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3" sheetId="2" r:id="rId5"/>
    <sheet state="hidden" name="Table 1" sheetId="3" r:id="rId6"/>
    <sheet state="hidden" name="Table 2" sheetId="4" r:id="rId7"/>
    <sheet state="hidden" name="Table 3" sheetId="5" r:id="rId8"/>
    <sheet state="hidden" name="Table 4" sheetId="6" r:id="rId9"/>
    <sheet state="hidden" name="Table 5" sheetId="7" r:id="rId10"/>
    <sheet state="hidden" name="Table 6" sheetId="8" r:id="rId11"/>
    <sheet state="hidden" name="Table 7" sheetId="9" r:id="rId12"/>
    <sheet state="hidden" name="Table 8" sheetId="10" r:id="rId13"/>
    <sheet state="hidden" name="Table 9" sheetId="11" r:id="rId14"/>
    <sheet state="hidden" name="Table 10" sheetId="12" r:id="rId15"/>
    <sheet state="hidden" name="Table 11" sheetId="13" r:id="rId16"/>
    <sheet state="hidden" name="Table 12" sheetId="14" r:id="rId17"/>
    <sheet state="hidden" name="Table 13" sheetId="15" r:id="rId18"/>
    <sheet state="hidden" name="Table 14" sheetId="16" r:id="rId19"/>
    <sheet state="hidden" name="Table 15" sheetId="17" r:id="rId20"/>
    <sheet state="hidden" name="Table 16" sheetId="18" r:id="rId21"/>
    <sheet state="hidden" name="Table 17" sheetId="19" r:id="rId22"/>
    <sheet state="hidden" name="Table 18" sheetId="20" r:id="rId23"/>
    <sheet state="hidden" name="Table 19" sheetId="21" r:id="rId24"/>
    <sheet state="hidden" name="Table 20" sheetId="22" r:id="rId25"/>
    <sheet state="hidden" name="Table 21" sheetId="23" r:id="rId26"/>
    <sheet state="hidden" name="Table 22" sheetId="24" r:id="rId27"/>
    <sheet state="hidden" name="Table 23" sheetId="25" r:id="rId28"/>
    <sheet state="hidden" name="Table 24" sheetId="26" r:id="rId29"/>
    <sheet state="hidden" name="Table 25" sheetId="27" r:id="rId30"/>
    <sheet state="hidden" name="Table 26" sheetId="28" r:id="rId31"/>
    <sheet state="hidden" name="Table 27" sheetId="29" r:id="rId32"/>
    <sheet state="hidden" name="Table 28" sheetId="30" r:id="rId33"/>
    <sheet state="hidden" name="Table 29" sheetId="31" r:id="rId34"/>
    <sheet state="hidden" name="Table 30" sheetId="32" r:id="rId35"/>
    <sheet state="hidden" name="Table 31" sheetId="33" r:id="rId36"/>
    <sheet state="hidden" name="Table 32" sheetId="34" r:id="rId37"/>
    <sheet state="hidden" name="Table 33" sheetId="35" r:id="rId38"/>
    <sheet state="hidden" name="Table 34" sheetId="36" r:id="rId39"/>
    <sheet state="hidden" name="Table 35" sheetId="37" r:id="rId40"/>
    <sheet state="hidden" name="Table 36" sheetId="38" r:id="rId41"/>
    <sheet state="hidden" name="Table 37" sheetId="39" r:id="rId42"/>
    <sheet state="hidden" name="Table 38" sheetId="40" r:id="rId43"/>
    <sheet state="hidden" name="Table 39" sheetId="41" r:id="rId44"/>
    <sheet state="hidden" name="Table 40" sheetId="42" r:id="rId45"/>
    <sheet state="hidden" name="Table 41" sheetId="43" r:id="rId46"/>
    <sheet state="hidden" name="Table 42" sheetId="44" r:id="rId47"/>
    <sheet state="hidden" name="Table 43" sheetId="45" r:id="rId48"/>
    <sheet state="hidden" name="Table 44" sheetId="46" r:id="rId49"/>
    <sheet state="hidden" name="Table 45" sheetId="47" r:id="rId50"/>
    <sheet state="hidden" name="Table 46" sheetId="48" r:id="rId51"/>
    <sheet state="hidden" name="Table 47" sheetId="49" r:id="rId52"/>
    <sheet state="hidden" name="Table 48" sheetId="50" r:id="rId53"/>
    <sheet state="hidden" name="Table 49" sheetId="51" r:id="rId54"/>
    <sheet state="hidden" name="Table 50" sheetId="52" r:id="rId55"/>
    <sheet state="hidden" name="Table 51" sheetId="53" r:id="rId56"/>
    <sheet state="hidden" name="Table 52" sheetId="54" r:id="rId57"/>
    <sheet state="hidden" name="Table 53" sheetId="55" r:id="rId58"/>
    <sheet state="hidden" name="Table 54" sheetId="56" r:id="rId59"/>
    <sheet state="hidden" name="Table 55" sheetId="57" r:id="rId60"/>
    <sheet state="hidden" name="Table 56" sheetId="58" r:id="rId61"/>
    <sheet state="visible" name="Table 57" sheetId="59" r:id="rId62"/>
    <sheet state="visible" name="Table 58" sheetId="60" r:id="rId63"/>
    <sheet state="visible" name="Table 59" sheetId="61" r:id="rId64"/>
    <sheet state="visible" name="Table 60" sheetId="62" r:id="rId65"/>
    <sheet state="visible" name="Table 61" sheetId="63" r:id="rId66"/>
    <sheet state="visible" name="Table 62" sheetId="64" r:id="rId67"/>
    <sheet state="visible" name="Table 63" sheetId="65" r:id="rId68"/>
    <sheet state="visible" name="Table 64" sheetId="66" r:id="rId69"/>
    <sheet state="visible" name="Table 65" sheetId="67" r:id="rId70"/>
    <sheet state="visible" name="Table 66" sheetId="68" r:id="rId71"/>
    <sheet state="visible" name="Table 67" sheetId="69" r:id="rId72"/>
    <sheet state="visible" name="Table 68" sheetId="70" r:id="rId73"/>
    <sheet state="visible" name="Table 69" sheetId="71" r:id="rId74"/>
    <sheet state="visible" name="Table 70" sheetId="72" r:id="rId75"/>
    <sheet state="visible" name="Table 71" sheetId="73" r:id="rId76"/>
    <sheet state="visible" name="Table 72" sheetId="74" r:id="rId77"/>
    <sheet state="visible" name="Table 73" sheetId="75" r:id="rId78"/>
    <sheet state="visible" name="Table 74" sheetId="76" r:id="rId79"/>
    <sheet state="visible" name="Table 75" sheetId="77" r:id="rId80"/>
    <sheet state="visible" name="Table 76" sheetId="78" r:id="rId81"/>
    <sheet state="visible" name="Table 77" sheetId="79" r:id="rId82"/>
    <sheet state="visible" name="Table 78" sheetId="80" r:id="rId83"/>
    <sheet state="visible" name="Table 79" sheetId="81" r:id="rId84"/>
    <sheet state="visible" name="Table 80" sheetId="82" r:id="rId85"/>
    <sheet state="visible" name="Table 81" sheetId="83" r:id="rId86"/>
    <sheet state="visible" name="Table 82" sheetId="84" r:id="rId87"/>
    <sheet state="visible" name="Table 83" sheetId="85" r:id="rId88"/>
    <sheet state="visible" name="Table 84" sheetId="86" r:id="rId89"/>
    <sheet state="visible" name="Table 85" sheetId="87" r:id="rId90"/>
    <sheet state="visible" name="Table 86" sheetId="88" r:id="rId91"/>
    <sheet state="visible" name="Table 87" sheetId="89" r:id="rId92"/>
    <sheet state="visible" name="Table 88" sheetId="90" r:id="rId93"/>
    <sheet state="visible" name="Table 89" sheetId="91" r:id="rId94"/>
    <sheet state="visible" name="Table 90" sheetId="92" r:id="rId95"/>
    <sheet state="visible" name="Table 91" sheetId="93" r:id="rId96"/>
    <sheet state="visible" name="Table 92" sheetId="94" r:id="rId97"/>
    <sheet state="visible" name="Table 93" sheetId="95" r:id="rId98"/>
    <sheet state="visible" name="Table 94" sheetId="96" r:id="rId99"/>
    <sheet state="visible" name="Table 95" sheetId="97" r:id="rId100"/>
    <sheet state="visible" name="Table 96" sheetId="98" r:id="rId101"/>
    <sheet state="visible" name="Table 97" sheetId="99" r:id="rId102"/>
    <sheet state="visible" name="Table 98" sheetId="100" r:id="rId103"/>
    <sheet state="visible" name="Table 99" sheetId="101" r:id="rId104"/>
    <sheet state="visible" name="Table 100" sheetId="102" r:id="rId105"/>
    <sheet state="visible" name="Table 101" sheetId="103" r:id="rId106"/>
    <sheet state="visible" name="Table 102" sheetId="104" r:id="rId107"/>
    <sheet state="visible" name="Table 103" sheetId="105" r:id="rId108"/>
    <sheet state="visible" name="Table 104" sheetId="106" r:id="rId109"/>
    <sheet state="visible" name="Table 105" sheetId="107" r:id="rId110"/>
    <sheet state="visible" name="Table 106" sheetId="108" r:id="rId111"/>
    <sheet state="visible" name="Table 107" sheetId="109" r:id="rId112"/>
    <sheet state="visible" name="Table 108" sheetId="110" r:id="rId113"/>
    <sheet state="visible" name="Table 109" sheetId="111" r:id="rId114"/>
    <sheet state="visible" name="Table 110" sheetId="112" r:id="rId115"/>
    <sheet state="visible" name="Table 111" sheetId="113" r:id="rId116"/>
    <sheet state="visible" name="Table 112" sheetId="114" r:id="rId117"/>
    <sheet state="visible" name="Table 113" sheetId="115" r:id="rId118"/>
    <sheet state="visible" name="Table 114" sheetId="116" r:id="rId119"/>
    <sheet state="visible" name="Table 115" sheetId="117" r:id="rId120"/>
    <sheet state="visible" name="Table 116" sheetId="118" r:id="rId121"/>
    <sheet state="visible" name="Table 117" sheetId="119" r:id="rId122"/>
    <sheet state="visible" name="Table 118" sheetId="120" r:id="rId123"/>
    <sheet state="visible" name="Table 119" sheetId="121" r:id="rId124"/>
    <sheet state="visible" name="Table 120" sheetId="122" r:id="rId125"/>
    <sheet state="visible" name="Table 121" sheetId="123" r:id="rId126"/>
    <sheet state="visible" name="Table 122" sheetId="124" r:id="rId127"/>
    <sheet state="visible" name="Table 123" sheetId="125" r:id="rId128"/>
    <sheet state="visible" name="Table 124" sheetId="126" r:id="rId129"/>
    <sheet state="visible" name="Table 125" sheetId="127" r:id="rId130"/>
    <sheet state="visible" name="Table 126" sheetId="128" r:id="rId131"/>
    <sheet state="visible" name="Table 127" sheetId="129" r:id="rId132"/>
    <sheet state="visible" name="Table 128" sheetId="130" r:id="rId133"/>
    <sheet state="visible" name="Table 129" sheetId="131" r:id="rId134"/>
    <sheet state="visible" name="Table 130" sheetId="132" r:id="rId135"/>
    <sheet state="visible" name="Table 131" sheetId="133" r:id="rId136"/>
    <sheet state="visible" name="Table 132" sheetId="134" r:id="rId137"/>
    <sheet state="visible" name="Table 133" sheetId="135" r:id="rId138"/>
    <sheet state="visible" name="Table 134" sheetId="136" r:id="rId139"/>
    <sheet state="visible" name="Table 135" sheetId="137" r:id="rId140"/>
    <sheet state="visible" name="Table 136" sheetId="138" r:id="rId141"/>
    <sheet state="visible" name="Table 137" sheetId="139" r:id="rId142"/>
    <sheet state="visible" name="Table 138" sheetId="140" r:id="rId143"/>
    <sheet state="visible" name="Table 139" sheetId="141" r:id="rId144"/>
    <sheet state="visible" name="Table 140" sheetId="142" r:id="rId145"/>
    <sheet state="visible" name="Table 141" sheetId="143" r:id="rId146"/>
    <sheet state="visible" name="Table 142" sheetId="144" r:id="rId147"/>
    <sheet state="visible" name="Table 143" sheetId="145" r:id="rId148"/>
    <sheet state="visible" name="Table 144" sheetId="146" r:id="rId149"/>
    <sheet state="visible" name="Table 145" sheetId="147" r:id="rId150"/>
    <sheet state="visible" name="Table 146" sheetId="148" r:id="rId151"/>
    <sheet state="visible" name="Table 147" sheetId="149" r:id="rId152"/>
    <sheet state="visible" name="Table 148" sheetId="150" r:id="rId153"/>
    <sheet state="visible" name="Table 149" sheetId="151" r:id="rId154"/>
    <sheet state="visible" name="Table 150" sheetId="152" r:id="rId155"/>
    <sheet state="visible" name="Table 151" sheetId="153" r:id="rId156"/>
    <sheet state="visible" name="Table 152" sheetId="154" r:id="rId157"/>
    <sheet state="visible" name="Table 153" sheetId="155" r:id="rId158"/>
    <sheet state="visible" name="Table 154" sheetId="156" r:id="rId159"/>
    <sheet state="visible" name="Table 155" sheetId="157" r:id="rId160"/>
    <sheet state="visible" name="Table 156" sheetId="158" r:id="rId161"/>
    <sheet state="visible" name="Table 157" sheetId="159" r:id="rId162"/>
    <sheet state="visible" name="Table 158" sheetId="160" r:id="rId163"/>
    <sheet state="visible" name="Table 159" sheetId="161" r:id="rId164"/>
    <sheet state="visible" name="Table 160" sheetId="162" r:id="rId165"/>
    <sheet state="visible" name="Table 161" sheetId="163" r:id="rId166"/>
    <sheet state="visible" name="Table 162" sheetId="164" r:id="rId167"/>
    <sheet state="visible" name="Table 163" sheetId="165" r:id="rId168"/>
    <sheet state="visible" name="Table 164" sheetId="166" r:id="rId169"/>
    <sheet state="visible" name="Table 165" sheetId="167" r:id="rId170"/>
    <sheet state="visible" name="Table 166" sheetId="168" r:id="rId171"/>
    <sheet state="visible" name="Table 167" sheetId="169" r:id="rId172"/>
    <sheet state="visible" name="Table 168" sheetId="170" r:id="rId173"/>
    <sheet state="visible" name="Table 169" sheetId="171" r:id="rId174"/>
    <sheet state="visible" name="Table 170" sheetId="172" r:id="rId175"/>
    <sheet state="visible" name="Table 171" sheetId="173" r:id="rId176"/>
    <sheet state="visible" name="Table 172" sheetId="174" r:id="rId177"/>
    <sheet state="visible" name="Table 173" sheetId="175" r:id="rId178"/>
    <sheet state="visible" name="Table 174" sheetId="176" r:id="rId179"/>
    <sheet state="visible" name="Table 175" sheetId="177" r:id="rId180"/>
    <sheet state="visible" name="Table 176" sheetId="178" r:id="rId181"/>
    <sheet state="visible" name="Table 177" sheetId="179" r:id="rId182"/>
    <sheet state="visible" name="Table 178" sheetId="180" r:id="rId183"/>
    <sheet state="visible" name="Table 179" sheetId="181" r:id="rId184"/>
    <sheet state="visible" name="Table 180" sheetId="182" r:id="rId185"/>
  </sheets>
  <definedNames/>
  <calcPr/>
</workbook>
</file>

<file path=xl/sharedStrings.xml><?xml version="1.0" encoding="utf-8"?>
<sst xmlns="http://schemas.openxmlformats.org/spreadsheetml/2006/main" count="107079" uniqueCount="70637">
  <si>
    <t>record</t>
  </si>
  <si>
    <t>slug</t>
  </si>
  <si>
    <t>bank_code</t>
  </si>
  <si>
    <t>name</t>
  </si>
  <si>
    <t>districts</t>
  </si>
  <si>
    <t>district_name</t>
  </si>
  <si>
    <t>branches</t>
  </si>
  <si>
    <t>routing_number</t>
  </si>
  <si>
    <t>branch_name</t>
  </si>
  <si>
    <t>branch_slug</t>
  </si>
  <si>
    <t>branch_code</t>
  </si>
  <si>
    <t>swift_code</t>
  </si>
  <si>
    <t>address</t>
  </si>
  <si>
    <t>telephone</t>
  </si>
  <si>
    <t>email</t>
  </si>
  <si>
    <t>fax</t>
  </si>
  <si>
    <t>AB_BANK_LIMITED</t>
  </si>
  <si>
    <t>020</t>
  </si>
  <si>
    <t>AB BANK LIMITED</t>
  </si>
  <si>
    <t>BARISAL</t>
  </si>
  <si>
    <t>020060288</t>
  </si>
  <si>
    <t>BARISAL BRANCH</t>
  </si>
  <si>
    <t>BARISAL_BRANCH</t>
  </si>
  <si>
    <t>4321 / 028</t>
  </si>
  <si>
    <t>ABBLBDDH</t>
  </si>
  <si>
    <t>MONSUR MANSION, 101 SADAR ROAD, BARISAL</t>
  </si>
  <si>
    <t>0431 2173186</t>
  </si>
  <si>
    <t>brslmg@abbl.com</t>
  </si>
  <si>
    <t>0431 63562</t>
  </si>
  <si>
    <t>BOGRA</t>
  </si>
  <si>
    <t>020100377</t>
  </si>
  <si>
    <t>BOGRA BRANCH</t>
  </si>
  <si>
    <t>BOGRA_BRANCH</t>
  </si>
  <si>
    <t>4201 / 037</t>
  </si>
  <si>
    <t>ABBLBDDH201</t>
  </si>
  <si>
    <t>324 KAZI NAZRUL ISLAM SARAK, JHAWTALA, BOGRA</t>
  </si>
  <si>
    <t>051 66786, 66621</t>
  </si>
  <si>
    <t>bgramg@abbl.com</t>
  </si>
  <si>
    <t>051 66786</t>
  </si>
  <si>
    <t>BRAHMANBARIA</t>
  </si>
  <si>
    <t>020120102</t>
  </si>
  <si>
    <t>ASHUGANJ BRANCH</t>
  </si>
  <si>
    <t>ASHUGANJ_BRANCH</t>
  </si>
  <si>
    <t>4135 / 4135</t>
  </si>
  <si>
    <t>KASHEM PLAZA, ASHUGANJ SADAR, BRAHMANBARIA</t>
  </si>
  <si>
    <t>08528 74575, 74574</t>
  </si>
  <si>
    <t>ashumg@abbl.com</t>
  </si>
  <si>
    <t>ASHU</t>
  </si>
  <si>
    <t>020120436</t>
  </si>
  <si>
    <t>BRAHMANBARIA BRANCH</t>
  </si>
  <si>
    <t>BRAHMANBARIA_BRANCH</t>
  </si>
  <si>
    <t>4134 / 043</t>
  </si>
  <si>
    <t>1090/128 COURT ROAD, BRAHMANBARIA</t>
  </si>
  <si>
    <t>0851 58452, 59743</t>
  </si>
  <si>
    <t>bhnbmg@abbl.com</t>
  </si>
  <si>
    <t>0851 59743</t>
  </si>
  <si>
    <t>CHANDPUR</t>
  </si>
  <si>
    <t>020130318</t>
  </si>
  <si>
    <t>CHANDPUR BRANCH</t>
  </si>
  <si>
    <t>CHANDPUR_BRANCH</t>
  </si>
  <si>
    <t>4132 / 031</t>
  </si>
  <si>
    <t>123/115 KALIBARI POURO NEW MARKET, CHANDPUR SADAR, CHANDPUR</t>
  </si>
  <si>
    <t>0841 66151, 66153</t>
  </si>
  <si>
    <t>chanmg@abbl.com</t>
  </si>
  <si>
    <t>0841 66152</t>
  </si>
  <si>
    <t>CHAPAI_NAWABGANJ</t>
  </si>
  <si>
    <t>020700256</t>
  </si>
  <si>
    <t>CHAPAI NAWABGANJ BRANCH</t>
  </si>
  <si>
    <t>CHAPAI_NAWABGANJ_BRANCH</t>
  </si>
  <si>
    <t>4204 / 025</t>
  </si>
  <si>
    <t>16 GODAGARI ROAD, CHAPAI NAWABGANJ</t>
  </si>
  <si>
    <t>0781 52726</t>
  </si>
  <si>
    <t>cnbjmg@abbl.com</t>
  </si>
  <si>
    <t>CNBJ</t>
  </si>
  <si>
    <t>CHITTAGONG</t>
  </si>
  <si>
    <t>020150130</t>
  </si>
  <si>
    <t>AGRABAD BRANCH</t>
  </si>
  <si>
    <t>AGRABAD_BRANCH</t>
  </si>
  <si>
    <t>4101 / 013</t>
  </si>
  <si>
    <t>ABBLBDDH101</t>
  </si>
  <si>
    <t>BCIC SADAN, 26, AGRABAD C/A, CHITTAGONG</t>
  </si>
  <si>
    <t>031 713381-83</t>
  </si>
  <si>
    <t>agrmg@abbl.com</t>
  </si>
  <si>
    <t>031 713384, 713386</t>
  </si>
  <si>
    <t>020150493</t>
  </si>
  <si>
    <t>ANDERKILLA BRANCH</t>
  </si>
  <si>
    <t>ANDERKILLA_BRANCH</t>
  </si>
  <si>
    <t>4125 / 049</t>
  </si>
  <si>
    <t>UNIVERSAL CHAMBER, 7 LALDIGHI EAST, ANDERKILLA, CHITTAGONG</t>
  </si>
  <si>
    <t>031 613158, 617242, 2854306, 2854307</t>
  </si>
  <si>
    <t>andkmg@abbl.com</t>
  </si>
  <si>
    <t>031 613158</t>
  </si>
  <si>
    <t>020150798</t>
  </si>
  <si>
    <t>BAHADDARHAT BRANCH</t>
  </si>
  <si>
    <t>BAHADDARHAT_BRANCH</t>
  </si>
  <si>
    <t>4130 / 079</t>
  </si>
  <si>
    <t>4543 BAHADDARHAT, MEDINA HOTEL, CHANDGAON, CHITTAGONG</t>
  </si>
  <si>
    <t>031 650676, 650689, 657070</t>
  </si>
  <si>
    <t>bdhtmg@abbl.com</t>
  </si>
  <si>
    <t>031 650676</t>
  </si>
  <si>
    <t>020150972</t>
  </si>
  <si>
    <t>BANSHKHALI BRANCH</t>
  </si>
  <si>
    <t>BANSHKHALI_BRANCH</t>
  </si>
  <si>
    <t>4141 / 4141</t>
  </si>
  <si>
    <t>MOHAMMED MEAH PLAZA,RAMDAS MUNSHIRHAT, KOKDANDI, BANSHKHALI, CHITTAGONG</t>
  </si>
  <si>
    <t>030 3256075, 3256180, 011 99762823</t>
  </si>
  <si>
    <t>bskhmg@abbl.com</t>
  </si>
  <si>
    <t>BSKH</t>
  </si>
  <si>
    <t>020151300</t>
  </si>
  <si>
    <t>BOALKHALI BRANCH</t>
  </si>
  <si>
    <t>BOALKHALI_BRANCH</t>
  </si>
  <si>
    <t>4129 / 130</t>
  </si>
  <si>
    <t>TCCA COMPLEX, GOMDANDI EAST, BOALKHALI, CHITTAGONG</t>
  </si>
  <si>
    <t>032 56075, 56180, 011 99762823</t>
  </si>
  <si>
    <t>blklmg@abbl.com</t>
  </si>
  <si>
    <t>BLKL</t>
  </si>
  <si>
    <t>020151489</t>
  </si>
  <si>
    <t>CDA AVENUE BRANCH</t>
  </si>
  <si>
    <t>CDA_AVENUE_BRANCH</t>
  </si>
  <si>
    <t>4110 / 148</t>
  </si>
  <si>
    <t>ABBLBDDH110</t>
  </si>
  <si>
    <t>BMA BHABAN, 1367 CDA AVENUE, EAST NASIRABAD, CHITTAGONG</t>
  </si>
  <si>
    <t>031 651048, 654368</t>
  </si>
  <si>
    <t>cdamg@abbl.com</t>
  </si>
  <si>
    <t>031 651048</t>
  </si>
  <si>
    <t>020151876</t>
  </si>
  <si>
    <t>CHATURI BRANCH</t>
  </si>
  <si>
    <t>CHATURI_BRANCH</t>
  </si>
  <si>
    <t>4139 / 4139</t>
  </si>
  <si>
    <t>AL AMIN SUPER MARKET, CHATURI, ANOWARA, CHITTAGONG</t>
  </si>
  <si>
    <t>03029 56064</t>
  </si>
  <si>
    <t>chatmg@abbl.com</t>
  </si>
  <si>
    <t>CHAT</t>
  </si>
  <si>
    <t>020151939</t>
  </si>
  <si>
    <t>CHAWK BAZAR BRANCH</t>
  </si>
  <si>
    <t>CHAWK_BAZAR_BRANCH</t>
  </si>
  <si>
    <t>4107 / 193</t>
  </si>
  <si>
    <t>MOTI TOWER, 67/68 COLLEGE ROAD, CHAWKBAZAR, CHITTAGONG</t>
  </si>
  <si>
    <t>031 618350, 618805</t>
  </si>
  <si>
    <t>cwkbmg@abbl.com</t>
  </si>
  <si>
    <t>031 618350</t>
  </si>
  <si>
    <t>020152446</t>
  </si>
  <si>
    <t>DEWANHAT BRANCH</t>
  </si>
  <si>
    <t>DEWANHAT_BRANCH</t>
  </si>
  <si>
    <t>4123 / 4123</t>
  </si>
  <si>
    <t>315 DEWAN CHAMBER, DEWANHAT, DOUBLEMURING, CHITTAGONG</t>
  </si>
  <si>
    <t>031 724048, 724058, 724059</t>
  </si>
  <si>
    <t>dewamg@abbl.com</t>
  </si>
  <si>
    <t>DEWA</t>
  </si>
  <si>
    <t>020151571</t>
  </si>
  <si>
    <t>EPZ BRANCH</t>
  </si>
  <si>
    <t>EPZ_BRANCH</t>
  </si>
  <si>
    <t>4105 / 157</t>
  </si>
  <si>
    <t>ABBLBDDH105</t>
  </si>
  <si>
    <t>SOUTH EPZ, BAY SHOPPING CENTRE, HALISHAHAR, CHITTAGONG 4223</t>
  </si>
  <si>
    <t>031 741150, 741151, 741152, 740604</t>
  </si>
  <si>
    <t>epzmg@abbl.com</t>
  </si>
  <si>
    <t>031 741150</t>
  </si>
  <si>
    <t>020153229</t>
  </si>
  <si>
    <t>HATHAZARI BRANCH</t>
  </si>
  <si>
    <t>HATHAZARI_BRANCH</t>
  </si>
  <si>
    <t>4115 / 322</t>
  </si>
  <si>
    <t>HAJEE SIDDIQUE MARKET, HATHAZARI BUS STAND, HATHAZARI, CHITTAGONG</t>
  </si>
  <si>
    <t>031 2601340, 2601532, 018 19324716</t>
  </si>
  <si>
    <t>hthzmg@abbl.com</t>
  </si>
  <si>
    <t>HTHZ</t>
  </si>
  <si>
    <t>020153645</t>
  </si>
  <si>
    <t>JUBILEE ROAD BRANCH</t>
  </si>
  <si>
    <t>JUBILEE_ROAD_BRANCH</t>
  </si>
  <si>
    <t>4126 / 364</t>
  </si>
  <si>
    <t>ABBLBDDH126</t>
  </si>
  <si>
    <t>175 JUBILEE ROAD, ENAYET BAZAR, CHITTAGONG</t>
  </si>
  <si>
    <t>031 613362, 623316, 2868317</t>
  </si>
  <si>
    <t>jubrmg@abbl.com</t>
  </si>
  <si>
    <t>031 613362, 2868317</t>
  </si>
  <si>
    <t>020154273</t>
  </si>
  <si>
    <t>KHATUNGANJ BRANCH</t>
  </si>
  <si>
    <t>KHATUNGANJ_BRANCH</t>
  </si>
  <si>
    <t>4102 / 427</t>
  </si>
  <si>
    <t>ABBLBDDH102</t>
  </si>
  <si>
    <t>395 KHATUNGANJ, CHITTAGONG</t>
  </si>
  <si>
    <t>031 611035-6, 630423</t>
  </si>
  <si>
    <t>ktgmg@abbl.com</t>
  </si>
  <si>
    <t>031 611176</t>
  </si>
  <si>
    <t>020154365</t>
  </si>
  <si>
    <t>KHULSHI BRANCH</t>
  </si>
  <si>
    <t>KHULSHI_BRANCH</t>
  </si>
  <si>
    <t>4124 / 436</t>
  </si>
  <si>
    <t>KHULSHI HOUSE, BUNGALOW NO 2B-2, ROAD NO 1, KHULSHI, CHITTAGONG</t>
  </si>
  <si>
    <t>031 2551649, 2551657</t>
  </si>
  <si>
    <t>kulsmg@abbl.com</t>
  </si>
  <si>
    <t>031 2551649</t>
  </si>
  <si>
    <t>020154660</t>
  </si>
  <si>
    <t>LOHAGARA BRANCH</t>
  </si>
  <si>
    <t>LOHAGARA_BRANCH</t>
  </si>
  <si>
    <t>4106 / 466</t>
  </si>
  <si>
    <t>MOSTAFA CITY, AMIRABAD, LOHAGARA, CHITTAGONG</t>
  </si>
  <si>
    <t>03034 56047, 56678</t>
  </si>
  <si>
    <t>lohamg@abbl.com</t>
  </si>
  <si>
    <t>LOHA</t>
  </si>
  <si>
    <t>020155269</t>
  </si>
  <si>
    <t>MOMIN ROAD BRANCH</t>
  </si>
  <si>
    <t>MOMIN_ROAD_BRANCH</t>
  </si>
  <si>
    <t>4140 / 4140</t>
  </si>
  <si>
    <t>EQUITY CENTRAL, 42-43, MOMIN ROAD, JAMAL KHAN, CHITTAGONG</t>
  </si>
  <si>
    <t>011 96008829, 018 19306373</t>
  </si>
  <si>
    <t>momimg@abbl.com</t>
  </si>
  <si>
    <t>MOMI</t>
  </si>
  <si>
    <t>020155627</t>
  </si>
  <si>
    <t>NAZU MEAH HAT BRANCH</t>
  </si>
  <si>
    <t>NAZU_MEAH_HAT_BRANCH</t>
  </si>
  <si>
    <t>4104 / 562</t>
  </si>
  <si>
    <t>BURISCHAR, KAPTAI ROAD, HATHAZARI, CHITTAGONG 4337</t>
  </si>
  <si>
    <t>031 670628, 670999</t>
  </si>
  <si>
    <t>nmhbmg@abbl.com</t>
  </si>
  <si>
    <t>NMHB</t>
  </si>
  <si>
    <t>020155922</t>
  </si>
  <si>
    <t>PAHARTOLI BRANCH</t>
  </si>
  <si>
    <t>PAHARTOLI_BRANCH</t>
  </si>
  <si>
    <t>4121 / 592</t>
  </si>
  <si>
    <t>ABDUR RAHIM TOWER, 972/1043, D T ROAD, WARD 98, A K KHAN GATE, NORTH PAHARTOLI, CHITTAGONG</t>
  </si>
  <si>
    <t>031 751616</t>
  </si>
  <si>
    <t>prtlmg@abbl.com</t>
  </si>
  <si>
    <t>PRTL</t>
  </si>
  <si>
    <t>020156134</t>
  </si>
  <si>
    <t>PATHERHAT BRANCH</t>
  </si>
  <si>
    <t>PATHERHAT_BRANCH</t>
  </si>
  <si>
    <t>4122 / 613</t>
  </si>
  <si>
    <t>KHAYEZ SHOPPING CENTER, PATHERRHAT, NOYAPARA, CHITTAGONG</t>
  </si>
  <si>
    <t>031 2572716</t>
  </si>
  <si>
    <t>pathmg@abbl.com</t>
  </si>
  <si>
    <t>031 2572717</t>
  </si>
  <si>
    <t>020156255</t>
  </si>
  <si>
    <t>PORT CONNECTING ROAD BRANCH</t>
  </si>
  <si>
    <t>PORT_CONNECTING_ROAD_BRANCH</t>
  </si>
  <si>
    <t>4127 / 625</t>
  </si>
  <si>
    <t>5 PORT CONNECTING ROAD, BLOCK G, BARAPOLE, HALISHAHAR, CHITTAGONG</t>
  </si>
  <si>
    <t>031 727321, 727844, 727380</t>
  </si>
  <si>
    <t>pcrmg@abbl.com</t>
  </si>
  <si>
    <t>031 2519339</t>
  </si>
  <si>
    <t>020156918</t>
  </si>
  <si>
    <t>SANDWIP BRANCH</t>
  </si>
  <si>
    <t>SANDWIP_BRANCH</t>
  </si>
  <si>
    <t>4138 / 4138</t>
  </si>
  <si>
    <t>SANDWIP CITY CENTRE, ANAM NAHAR, PLOT # 22370 &amp;amp; 22371, HARAMIAH, SANDWIP, CHITTAGONG</t>
  </si>
  <si>
    <t>0302 756075, 018 24994217</t>
  </si>
  <si>
    <t>sandmg@abbl.com</t>
  </si>
  <si>
    <t>SAND</t>
  </si>
  <si>
    <t>020157391</t>
  </si>
  <si>
    <t>SITAKUNDA BRANCH</t>
  </si>
  <si>
    <t>SITAKUNDA_BRANCH</t>
  </si>
  <si>
    <t>4109 / 739</t>
  </si>
  <si>
    <t>AZIZ SHOPPING COMPLEX, MOHADEVPUR, CHITTAGONG</t>
  </si>
  <si>
    <t>03028 56007</t>
  </si>
  <si>
    <t>sitamg@abbl.com</t>
  </si>
  <si>
    <t>SITA</t>
  </si>
  <si>
    <t>020157517</t>
  </si>
  <si>
    <t>STATION ROAD BRANCH</t>
  </si>
  <si>
    <t>STATION_ROAD_BRANCH</t>
  </si>
  <si>
    <t>4103 / 751</t>
  </si>
  <si>
    <t>ABBLBDDH103</t>
  </si>
  <si>
    <t>EQUITY ANITRI, 32 HSS ROAD, KOTWALI, CHITTAGONG</t>
  </si>
  <si>
    <t>031 615029, 613376, 616665, 611030 (PABX)</t>
  </si>
  <si>
    <t>strmg@abbl.com</t>
  </si>
  <si>
    <t>031 615029</t>
  </si>
  <si>
    <t>COMILLA</t>
  </si>
  <si>
    <t>020191157</t>
  </si>
  <si>
    <t>COMILLA BRANCH</t>
  </si>
  <si>
    <t>COMILLA_BRANCH</t>
  </si>
  <si>
    <t>4131 / 115</t>
  </si>
  <si>
    <t>MOGHULTOLI SUPER MARKET, MOGHULTOLI ROAD, COMILLA</t>
  </si>
  <si>
    <t>081 68773, 65473</t>
  </si>
  <si>
    <t>comlmg@abbl.com</t>
  </si>
  <si>
    <t>081 65473-101</t>
  </si>
  <si>
    <t>COXS_BAZAR</t>
  </si>
  <si>
    <t>020220165</t>
  </si>
  <si>
    <t>CHAKARIA</t>
  </si>
  <si>
    <t>016</t>
  </si>
  <si>
    <t>020220257</t>
  </si>
  <si>
    <t>COXS BAZAR</t>
  </si>
  <si>
    <t>025</t>
  </si>
  <si>
    <t>020220910</t>
  </si>
  <si>
    <t>TEKNAF</t>
  </si>
  <si>
    <t>091</t>
  </si>
  <si>
    <t>DHAKA</t>
  </si>
  <si>
    <t>020260433</t>
  </si>
  <si>
    <t>BANANI BRANCH</t>
  </si>
  <si>
    <t>BANANI_BRANCH</t>
  </si>
  <si>
    <t>4033 / 4033</t>
  </si>
  <si>
    <t>SRR COMMERCIAL TOWER, HOUSE NO 50, ROAD 11, BLOCK C, BANANI, DHAKA</t>
  </si>
  <si>
    <t>02 9890865, 9891617</t>
  </si>
  <si>
    <t>banamg@abbl.com</t>
  </si>
  <si>
    <t>02 9891312</t>
  </si>
  <si>
    <t>020270649</t>
  </si>
  <si>
    <t>BANDURA BRANCH</t>
  </si>
  <si>
    <t>BANDURA_BRANCH</t>
  </si>
  <si>
    <t>4016 / 064</t>
  </si>
  <si>
    <t>BANDURA GOVT SUPER MARKET, HASNABAD, NAWABGANJ, DHAKA</t>
  </si>
  <si>
    <t>038946 84014, 011 99814923</t>
  </si>
  <si>
    <t>bndrmg@abbl.com</t>
  </si>
  <si>
    <t>BNDR</t>
  </si>
  <si>
    <t>020260554</t>
  </si>
  <si>
    <t>BASHUNDHARA BRANCH</t>
  </si>
  <si>
    <t>BASHUNDHARA_BRANCH</t>
  </si>
  <si>
    <t>4034 / 4034</t>
  </si>
  <si>
    <t>GREEN CORONET, PLOT NO 7, BLOCK A, BASHUNDHARA MAIN ROAD, DHAKA 1229</t>
  </si>
  <si>
    <t>02 8402994, 8402993, 011 90418260, 018 19241552</t>
  </si>
  <si>
    <t>bashmg@abbl.com</t>
  </si>
  <si>
    <t>02 8402995</t>
  </si>
  <si>
    <t>020261182</t>
  </si>
  <si>
    <t>DHANMONDI BRANCH</t>
  </si>
  <si>
    <t>DHANMONDI_BRANCH</t>
  </si>
  <si>
    <t>4021 / 118</t>
  </si>
  <si>
    <t>PLOT: 45 (NEW) 286/B (OLD), ROAD: 16 (NEW) 27 (OLD), DHANMONDI R/A, DHAKA 1209</t>
  </si>
  <si>
    <t>02 8117861, 9146489, 58153310</t>
  </si>
  <si>
    <t>dmnbmg@abbl.com</t>
  </si>
  <si>
    <t>DMNB</t>
  </si>
  <si>
    <t>020261645</t>
  </si>
  <si>
    <t>GARIB-E-NEWAZ AVENUE BRANCH</t>
  </si>
  <si>
    <t>GARIB-E-NEWAZ_AVENUE_BRANCH</t>
  </si>
  <si>
    <t>4037 / 4037</t>
  </si>
  <si>
    <t>HOUSE OF VERITAS, 8 GARIB-E-NEWAZ AVENUE, SECTOR 13, UTTARA, DHAKA 1230</t>
  </si>
  <si>
    <t>011 96007684, 019 16298299</t>
  </si>
  <si>
    <t>garimg@abbl.com</t>
  </si>
  <si>
    <t>GARI</t>
  </si>
  <si>
    <t>020261724</t>
  </si>
  <si>
    <t>GULSHAN BRANCH</t>
  </si>
  <si>
    <t>GULSHAN_BRANCH</t>
  </si>
  <si>
    <t>4019 / 172</t>
  </si>
  <si>
    <t>ABBLBDDH019</t>
  </si>
  <si>
    <t>VENTURA AVENUE, PLOT NO CWN(C)-8/B, ROAD NO 34, GULSHAN MODEL TOWN, DHAKA 1212</t>
  </si>
  <si>
    <t>02 9887169, 9884365</t>
  </si>
  <si>
    <t>gulbmg@abbl.com</t>
  </si>
  <si>
    <t>02 9882696</t>
  </si>
  <si>
    <t>020272805</t>
  </si>
  <si>
    <t>IMAMGANJ BRANCH</t>
  </si>
  <si>
    <t>IMAMGANJ_BRANCH</t>
  </si>
  <si>
    <t>4003 / 280</t>
  </si>
  <si>
    <t>ABBLBDDH003</t>
  </si>
  <si>
    <t>40 IMAMGANJ, DHAKA 1211</t>
  </si>
  <si>
    <t>02 57315484, 57315487, 57318067, 57316861</t>
  </si>
  <si>
    <t>imgjmg@abbl.com</t>
  </si>
  <si>
    <t>02 57314111</t>
  </si>
  <si>
    <t>020272926</t>
  </si>
  <si>
    <t>ISLAMI BANKING BRANCH</t>
  </si>
  <si>
    <t>ISLAMI_BANKING_BRANCH</t>
  </si>
  <si>
    <t>4027 / 292</t>
  </si>
  <si>
    <t>82 KAKRAIL, RAMNA, DHAKA</t>
  </si>
  <si>
    <t>02 8332235, 37-38</t>
  </si>
  <si>
    <t>kibbmg@abbl.com</t>
  </si>
  <si>
    <t>02 8332236</t>
  </si>
  <si>
    <t>020272984</t>
  </si>
  <si>
    <t>ISLAMPUR BRANCH</t>
  </si>
  <si>
    <t>ISLAMPUR_BRANCH</t>
  </si>
  <si>
    <t>4017 / 298</t>
  </si>
  <si>
    <t>38-39 ISLAMPUR, DHAKA</t>
  </si>
  <si>
    <t>02 7392456, 7396060, 7390536</t>
  </si>
  <si>
    <t>islpmg@abbl.com</t>
  </si>
  <si>
    <t>ISLP</t>
  </si>
  <si>
    <t>020273220</t>
  </si>
  <si>
    <t>JATRABARI BRANCH</t>
  </si>
  <si>
    <t>JATRABARI_BRANCH</t>
  </si>
  <si>
    <t>4044 / 4044</t>
  </si>
  <si>
    <t>TONY TOWER, 33 SHAHEED FARUQUE ROAD, JATRABARI, DHAKA 1212</t>
  </si>
  <si>
    <t>jtramg@abbl.com</t>
  </si>
  <si>
    <t>JTRA</t>
  </si>
  <si>
    <t>14 DECEMBER 2016</t>
  </si>
  <si>
    <t>020277097</t>
  </si>
  <si>
    <t>JINJIRA BRANCH</t>
  </si>
  <si>
    <t>JINJIRA_BRANCH</t>
  </si>
  <si>
    <t>4012 / 709</t>
  </si>
  <si>
    <t>HAZI KARIM MARKET, PURBA AGANAGAR, GUDARA GHAT ROAD, KERANIGONJ, DHAKA</t>
  </si>
  <si>
    <t>02 7772234, 7771805</t>
  </si>
  <si>
    <t>jinjmg@abbl.com</t>
  </si>
  <si>
    <t>02 7771805</t>
  </si>
  <si>
    <t>020273288</t>
  </si>
  <si>
    <t>JOYPARA BRANCH</t>
  </si>
  <si>
    <t>JOYPARA_BRANCH</t>
  </si>
  <si>
    <t>4014 / 328</t>
  </si>
  <si>
    <t>JOYPARA, DOHAR, DHAKA</t>
  </si>
  <si>
    <t>02 7768164-65</t>
  </si>
  <si>
    <t>joypmg@abbl.com</t>
  </si>
  <si>
    <t>JOYP</t>
  </si>
  <si>
    <t>020273370</t>
  </si>
  <si>
    <t>KAKRAIL BRANCH</t>
  </si>
  <si>
    <t>KAKRAIL_BRANCH</t>
  </si>
  <si>
    <t>4009 / 337</t>
  </si>
  <si>
    <t>ABBLBDDH009</t>
  </si>
  <si>
    <t>81 VIP ROAD, DHAKA 1000</t>
  </si>
  <si>
    <t>02 9339036, 8315462, 9351177</t>
  </si>
  <si>
    <t>krlbmg@abbl.com</t>
  </si>
  <si>
    <t>02 8311324</t>
  </si>
  <si>
    <t>020262444</t>
  </si>
  <si>
    <t>KALAMPUR BRANCH</t>
  </si>
  <si>
    <t>KALAMPUR_BRANCH</t>
  </si>
  <si>
    <t>4041 / 4041</t>
  </si>
  <si>
    <t>KALAMPUR, DHAMRAI, DHAKA</t>
  </si>
  <si>
    <t>019 72378024</t>
  </si>
  <si>
    <t>kalamg@abbl.com</t>
  </si>
  <si>
    <t>KALA</t>
  </si>
  <si>
    <t>020273433</t>
  </si>
  <si>
    <t>KALATIYA BRANCH</t>
  </si>
  <si>
    <t>KALATIYA_BRANCH</t>
  </si>
  <si>
    <t>4043 / 4043</t>
  </si>
  <si>
    <t>SUFIYA ZAMAN COMPLEX, KALATIYA BAZAR ROAD, SHAMSHERPUR, KALATIYA, KERANIGANJ, DHAKA</t>
  </si>
  <si>
    <t>011 90000878, 017 54117777</t>
  </si>
  <si>
    <t>klatmg@abbl.com</t>
  </si>
  <si>
    <t>KLAT</t>
  </si>
  <si>
    <t>020273583</t>
  </si>
  <si>
    <t>KAMRANGIRCHAR BRANCH</t>
  </si>
  <si>
    <t>KAMRANGIRCHAR_BRANCH</t>
  </si>
  <si>
    <t>4045 / 4045</t>
  </si>
  <si>
    <t>AL-MADINA SUPER MARKET, 1201 WEST ROSULPUR, KAMRANGIRCHAR, DHAKA</t>
  </si>
  <si>
    <t>kamrmg@abbl.com</t>
  </si>
  <si>
    <t>020262536</t>
  </si>
  <si>
    <t>KARWAN BAZAR BRANCH</t>
  </si>
  <si>
    <t>KARWAN_BAZAR_BRANCH</t>
  </si>
  <si>
    <t>4002 / 253</t>
  </si>
  <si>
    <t>ABBLBDDH002</t>
  </si>
  <si>
    <t>BSEC BHABAN, 102 KAZI NAZRUL ISLAM AVENUE, DHAKA 1215</t>
  </si>
  <si>
    <t>02 8117598-9, 8130602, 8122295, 9128537</t>
  </si>
  <si>
    <t>kwrnmg@abbl.com</t>
  </si>
  <si>
    <t>02 9128545</t>
  </si>
  <si>
    <t>020273941</t>
  </si>
  <si>
    <t>MALIBAGH BRANCH</t>
  </si>
  <si>
    <t>MALIBAGH_BRANCH</t>
  </si>
  <si>
    <t>4031 / 394</t>
  </si>
  <si>
    <t>ADVANCED MELINDA, 72 MALIBAGH, DHAKA 1219</t>
  </si>
  <si>
    <t>02 9354638 (PABX), 9354471</t>
  </si>
  <si>
    <t>malimg@abbl.com</t>
  </si>
  <si>
    <t>MALI</t>
  </si>
  <si>
    <t>020262981</t>
  </si>
  <si>
    <t>MIRPUR BRANCH</t>
  </si>
  <si>
    <t>MIRPUR_BRANCH</t>
  </si>
  <si>
    <t>4015 / 298</t>
  </si>
  <si>
    <t>5/A, 5/B, DARUS SALAM MAIN ROAD, SECTION 1, MIRPUR, DHAKA</t>
  </si>
  <si>
    <t>02 9013693, 9006525</t>
  </si>
  <si>
    <t>mirbmg@abbl.com</t>
  </si>
  <si>
    <t>02 9006525</t>
  </si>
  <si>
    <t>020263193</t>
  </si>
  <si>
    <t>MOHAKHALI BRANCH</t>
  </si>
  <si>
    <t>MOHAKHALI_BRANCH</t>
  </si>
  <si>
    <t>4011 / 319</t>
  </si>
  <si>
    <t>ABBLBDDH011</t>
  </si>
  <si>
    <t>PACIFIC CENTRE, 14 MOHAKHALI C/A DHAKA 1212</t>
  </si>
  <si>
    <t>02 9842567-8, 9897887</t>
  </si>
  <si>
    <t>mohamg@abbl.com</t>
  </si>
  <si>
    <t>02 8811963</t>
  </si>
  <si>
    <t>020274245</t>
  </si>
  <si>
    <t>MOTIJHEEL BRANCH</t>
  </si>
  <si>
    <t>MOTIJHEEL_BRANCH</t>
  </si>
  <si>
    <t>4004 / 424</t>
  </si>
  <si>
    <t>ABBLBDDH004</t>
  </si>
  <si>
    <t>BSB BUILDING, 08, DIT AVENUE, MOTIJHEEL, DHAKA</t>
  </si>
  <si>
    <t>02 9563011-5, 9555586</t>
  </si>
  <si>
    <t>motimg@abbl.com</t>
  </si>
  <si>
    <t>02 9556077</t>
  </si>
  <si>
    <t>020274724</t>
  </si>
  <si>
    <t>NAWABPUR ROAD BRANCH</t>
  </si>
  <si>
    <t>NAWABPUR_ROAD_BRANCH</t>
  </si>
  <si>
    <t>4013 / 472</t>
  </si>
  <si>
    <t>ABBLBDDH013</t>
  </si>
  <si>
    <t>NAWABPUR TOWER, 198-202, NAWABPUR ROAD, NAWABPUR, DHAKA 1100</t>
  </si>
  <si>
    <t>02 9566005, 9551511</t>
  </si>
  <si>
    <t>nwbpmg@abbl.com</t>
  </si>
  <si>
    <t>02 7120832</t>
  </si>
  <si>
    <t>020263498</t>
  </si>
  <si>
    <t>NEW ELEPHANT ROAD BRANCH</t>
  </si>
  <si>
    <t>NEW_ELEPHANT_ROAD_BRANCH</t>
  </si>
  <si>
    <t>4006 / 349</t>
  </si>
  <si>
    <t>ABBLBDDH006</t>
  </si>
  <si>
    <t>NOVERA SQUARE, HOUSE 05, ROAD 02, DHANMONDI, DHAKA 1205</t>
  </si>
  <si>
    <t>02 8616137, 9674002, 8613967</t>
  </si>
  <si>
    <t>nerbmg@abbl.com</t>
  </si>
  <si>
    <t>02 8616128</t>
  </si>
  <si>
    <t>020275110</t>
  </si>
  <si>
    <t>NORTH SOUTH ROAD BRANCH</t>
  </si>
  <si>
    <t>NORTH_SOUTH_ROAD_BRANCH</t>
  </si>
  <si>
    <t>4010 / 511</t>
  </si>
  <si>
    <t>ABBLBDDH010</t>
  </si>
  <si>
    <t>9/1 NORTH SOUTH ROAD, BANGSHAL, DHAKA 1100</t>
  </si>
  <si>
    <t>02 9562817, 9565956, 9590860</t>
  </si>
  <si>
    <t>nsrbmg@abbl.com</t>
  </si>
  <si>
    <t>02 9562817</t>
  </si>
  <si>
    <t>020275352</t>
  </si>
  <si>
    <t>PRINCIPAL BRANCH</t>
  </si>
  <si>
    <t>PRINCIPAL_BRANCH</t>
  </si>
  <si>
    <t>4005 / 535</t>
  </si>
  <si>
    <t>ABBLBDDH005</t>
  </si>
  <si>
    <t>BCIC BHABAN, 30-31 DILKUSHA C/A, DHAKA 1000</t>
  </si>
  <si>
    <t>9560312-6, 9560887-8</t>
  </si>
  <si>
    <t>pbbrmg@abbl.com</t>
  </si>
  <si>
    <t>2 9564122-23</t>
  </si>
  <si>
    <t>020263706</t>
  </si>
  <si>
    <t>PROGATI SHARANI BRANCH</t>
  </si>
  <si>
    <t>PROGATI_SHARANI_BRANCH</t>
  </si>
  <si>
    <t>4028 / 370</t>
  </si>
  <si>
    <t>NR TOWER, 72 PROGATI SHARANI, BLOCK J, BARIDHARA, DHAKA</t>
  </si>
  <si>
    <t>02 8836329, 8836330</t>
  </si>
  <si>
    <t>progmg@abbl.com</t>
  </si>
  <si>
    <t>02 8836121</t>
  </si>
  <si>
    <t>020264000</t>
  </si>
  <si>
    <t>ROKEYA SHARANI BRANCH</t>
  </si>
  <si>
    <t>ROKEYA_SHARANI_BRANCH</t>
  </si>
  <si>
    <t>4022 / 400</t>
  </si>
  <si>
    <t>923 SHEWRAPARA ROKEYA SHARANI, MIRPUR, DHAKA</t>
  </si>
  <si>
    <t>02 9014290, 9012607</t>
  </si>
  <si>
    <t>rkysmg@abbl.com</t>
  </si>
  <si>
    <t>02 9012607</t>
  </si>
  <si>
    <t>020264097</t>
  </si>
  <si>
    <t>SAVAR BRANCH</t>
  </si>
  <si>
    <t>SAVAR_BRANCH</t>
  </si>
  <si>
    <t>4029 / 409</t>
  </si>
  <si>
    <t>PALASH BARI, BAIPAL, SAVAR, DHAKA</t>
  </si>
  <si>
    <t>savrmg@abbl.com</t>
  </si>
  <si>
    <t>SAVR</t>
  </si>
  <si>
    <t>8 FEBRUARY 2009</t>
  </si>
  <si>
    <t>020264305</t>
  </si>
  <si>
    <t>SHYAMOLI BRANCH</t>
  </si>
  <si>
    <t>SHYAMOLI_BRANCH</t>
  </si>
  <si>
    <t>4032 / 430</t>
  </si>
  <si>
    <t>SHYAMOLI SQUARE, HOLDING 24/1 &amp;amp; 24/2, KHILZI ROAD, WARD 45, MOHAMMADPUR DHAKA 1207</t>
  </si>
  <si>
    <t>02 9103369 (PABX), 9103368</t>
  </si>
  <si>
    <t>shammg@abbl.com</t>
  </si>
  <si>
    <t>SHAM</t>
  </si>
  <si>
    <t>020264639</t>
  </si>
  <si>
    <t>UTTARA BRANCH</t>
  </si>
  <si>
    <t>UTTARA_BRANCH</t>
  </si>
  <si>
    <t>4020 / 463</t>
  </si>
  <si>
    <t>ABBLBDDH020</t>
  </si>
  <si>
    <t>HOUSE 11, ROAD 14D, SECTOR 4, UTTARA, DHAKA</t>
  </si>
  <si>
    <t>02 58957758, 58950865, 58952253</t>
  </si>
  <si>
    <t>uttrmg@abbl.com</t>
  </si>
  <si>
    <t>02 58951566</t>
  </si>
  <si>
    <t>DHAKA-SOUTH</t>
  </si>
  <si>
    <t>020270007</t>
  </si>
  <si>
    <t>TRUNCATION POINT</t>
  </si>
  <si>
    <t>TRUNCATION_POINT</t>
  </si>
  <si>
    <t>000</t>
  </si>
  <si>
    <t>DINAJPUR</t>
  </si>
  <si>
    <t>020280671</t>
  </si>
  <si>
    <t>DINAJPUR BRANCH</t>
  </si>
  <si>
    <t>DINAJPUR_BRANCH</t>
  </si>
  <si>
    <t>4208 / 067</t>
  </si>
  <si>
    <t>189 ZABED SUPER MARKET, BAHADUR BAZAR, DINAJPUR</t>
  </si>
  <si>
    <t>0531 62030, 62031</t>
  </si>
  <si>
    <t>dinamg@abbl.com</t>
  </si>
  <si>
    <t>0531 62031</t>
  </si>
  <si>
    <t>FENI</t>
  </si>
  <si>
    <t>020300522</t>
  </si>
  <si>
    <t>FENI BRANCH</t>
  </si>
  <si>
    <t>FENI_BRANCH</t>
  </si>
  <si>
    <t>4137 / 052</t>
  </si>
  <si>
    <t>HAQUE PLAZA, 193 SSK ROAD, FENI</t>
  </si>
  <si>
    <t>0331 63098-99, 011 90002030, 018 13214775</t>
  </si>
  <si>
    <t>fenimg@abbl.com</t>
  </si>
  <si>
    <t>GAZIPUR</t>
  </si>
  <si>
    <t>020330226</t>
  </si>
  <si>
    <t>BOARD BAZAR BRANCH</t>
  </si>
  <si>
    <t>BOARD_BAZAR_BRANCH</t>
  </si>
  <si>
    <t>4018 / 022</t>
  </si>
  <si>
    <t>WARD NO 35, GACHHA, ZONE 02, JOYDEBPUR THANA, GAZIPUR CITY CORPORATION, GAZIPUR 1704</t>
  </si>
  <si>
    <t>02 9291800, 9291801</t>
  </si>
  <si>
    <t>bdbzmg@abbl.com</t>
  </si>
  <si>
    <t>02 9291802</t>
  </si>
  <si>
    <t>020330400</t>
  </si>
  <si>
    <t>CHANDRA BRANCH</t>
  </si>
  <si>
    <t>CHANDRA_BRANCH</t>
  </si>
  <si>
    <t>4026 / 040</t>
  </si>
  <si>
    <t>ALHAJ KHABIRUDDIN SUPER MARKET, KALIAKOIR BAZAR, POURA SHAVA, KALIAKAIR, GAZIPUR</t>
  </si>
  <si>
    <t>06822 51448, 51466, 017 13033735</t>
  </si>
  <si>
    <t>cndrmg@abbl.com</t>
  </si>
  <si>
    <t>CNDR</t>
  </si>
  <si>
    <t>020331638</t>
  </si>
  <si>
    <t>TONGI BRANCH</t>
  </si>
  <si>
    <t>TONGI_BRANCH</t>
  </si>
  <si>
    <t>4038 / 4038</t>
  </si>
  <si>
    <t>SENA KALAYAN COMMERCIAL COMPLEX, PLOT NO 9, TONGI, GAZIPUR</t>
  </si>
  <si>
    <t>011 96009592, 017 10960940</t>
  </si>
  <si>
    <t>tngimg@abbl.com</t>
  </si>
  <si>
    <t>TNGI</t>
  </si>
  <si>
    <t>HABIGANJ</t>
  </si>
  <si>
    <t>020360612</t>
  </si>
  <si>
    <t>HABIGANJ BRANCH</t>
  </si>
  <si>
    <t>HABIGANJ_BRANCH</t>
  </si>
  <si>
    <t>4161 / 4161</t>
  </si>
  <si>
    <t>SHAISTANAGAR, HABIGANJ-SHAISTAGANJ MAIN ROAD, HABIGANJ 3300</t>
  </si>
  <si>
    <t>0831 63543</t>
  </si>
  <si>
    <t>habimg@abbl.com</t>
  </si>
  <si>
    <t>HABI</t>
  </si>
  <si>
    <t>020360883</t>
  </si>
  <si>
    <t>MADHABPUR BRANCH</t>
  </si>
  <si>
    <t>MADHABPUR_BRANCH</t>
  </si>
  <si>
    <t>4120 / 088</t>
  </si>
  <si>
    <t>MUNSHI TOWER, WARD 7, MADHABPUR, HABIGANJ</t>
  </si>
  <si>
    <t>0832 756355, 017 14000874</t>
  </si>
  <si>
    <t>madhmg@abbl.com</t>
  </si>
  <si>
    <t>MADH</t>
  </si>
  <si>
    <t>JESSORE</t>
  </si>
  <si>
    <t>020410283</t>
  </si>
  <si>
    <t>BENAPOLE BRANCH</t>
  </si>
  <si>
    <t>BENAPOLE_BRANCH</t>
  </si>
  <si>
    <t>4218 / 028</t>
  </si>
  <si>
    <t>HOTEL HAQUE INTERNATIONAL, 607, LOCAL BUS STAND, BENAPOLE, JESSORE</t>
  </si>
  <si>
    <t>04228 75664, 017 11274665</t>
  </si>
  <si>
    <t>bnplmg@abbl.com</t>
  </si>
  <si>
    <t>BNPL</t>
  </si>
  <si>
    <t>020410946</t>
  </si>
  <si>
    <t>JESSORE BRANCH</t>
  </si>
  <si>
    <t>JESSORE_BRANCH</t>
  </si>
  <si>
    <t>4214 / 094</t>
  </si>
  <si>
    <t>ABBLBDDH214</t>
  </si>
  <si>
    <t>MUNICIPAL ROAD, KOTWALI, JESSORE</t>
  </si>
  <si>
    <t>0421 61072, 66013</t>
  </si>
  <si>
    <t>jesrmg@abbl.com</t>
  </si>
  <si>
    <t>0421 68623</t>
  </si>
  <si>
    <t>020411095</t>
  </si>
  <si>
    <t>JHIKARGACHA BRANCH</t>
  </si>
  <si>
    <t>JHIKARGACHA_BRANCH</t>
  </si>
  <si>
    <t>4213 / 109</t>
  </si>
  <si>
    <t>HANEF SUPER MARKET, JESSORE BENAPOLE ROAD, JHIKARGACHA, JESSORE</t>
  </si>
  <si>
    <t>04225 71255</t>
  </si>
  <si>
    <t>jkgamg@abbl.com</t>
  </si>
  <si>
    <t>JKGA</t>
  </si>
  <si>
    <t>KHULNA</t>
  </si>
  <si>
    <t>020471543</t>
  </si>
  <si>
    <t>KHULNA BRANCH</t>
  </si>
  <si>
    <t>KHULNA_BRANCH</t>
  </si>
  <si>
    <t>4301 / 154</t>
  </si>
  <si>
    <t>ABBLBDDH301</t>
  </si>
  <si>
    <t>MOLLICK SHOPPING COMPLEX LIMITED, 99 KHAN A SABUR ROAD, KHULNA</t>
  </si>
  <si>
    <t>041 720311, 723062, 724090</t>
  </si>
  <si>
    <t>khlnmg@abbl.com</t>
  </si>
  <si>
    <t>041 720311</t>
  </si>
  <si>
    <t>KISHOREGANJ</t>
  </si>
  <si>
    <t>020480071</t>
  </si>
  <si>
    <t>AUSTAGRAM BRANCH</t>
  </si>
  <si>
    <t>AUSTAGRAM_BRANCH</t>
  </si>
  <si>
    <t>4046 / 4046</t>
  </si>
  <si>
    <t>MUSTARI BHABAN, JAMTOLI, AUSTAGRAM, KISHOREGANJ</t>
  </si>
  <si>
    <t>017 33583358, 017 11341153</t>
  </si>
  <si>
    <t>austmg@abbl.com</t>
  </si>
  <si>
    <t>AUST</t>
  </si>
  <si>
    <t>020480226</t>
  </si>
  <si>
    <t>BHAIRAB BAZAR BRANCH</t>
  </si>
  <si>
    <t>BHAIRAB_BAZAR_BRANCH</t>
  </si>
  <si>
    <t>4007 / 022</t>
  </si>
  <si>
    <t>248 W TIN POTTY, BHAIRAB BAZAR, BHAIRAB, KISHOREGANJ</t>
  </si>
  <si>
    <t>094 70340, 70351, 70528</t>
  </si>
  <si>
    <t>bhbzmg@abbl.com</t>
  </si>
  <si>
    <t>094 70351</t>
  </si>
  <si>
    <t>KUSHTIA</t>
  </si>
  <si>
    <t>020500948</t>
  </si>
  <si>
    <t>KUSHTIA BRANCH</t>
  </si>
  <si>
    <t>KUSHTIA_BRANCH</t>
  </si>
  <si>
    <t>4216 / 094</t>
  </si>
  <si>
    <t>12-14 NAWAB SERAJUDDOWLA ROAD, BORO BAZAR, KUSHTIA</t>
  </si>
  <si>
    <t>071 61980, 53020, 017 11959664</t>
  </si>
  <si>
    <t>kshtmg@abbl.com</t>
  </si>
  <si>
    <t>KSHT</t>
  </si>
  <si>
    <t>MOULVIBAZAR</t>
  </si>
  <si>
    <t>020581183</t>
  </si>
  <si>
    <t>MOULVIBAZAR BRANCH</t>
  </si>
  <si>
    <t>MOULVIBAZAR_BRANCH</t>
  </si>
  <si>
    <t>4116 / 118</t>
  </si>
  <si>
    <t>SHAMSHER NAGAR ROAD, CHOUMUHANA, MOULVIBAZAR</t>
  </si>
  <si>
    <t>0861 53152, 52880</t>
  </si>
  <si>
    <t>mlbzmg@abbl.com</t>
  </si>
  <si>
    <t>0861 53152</t>
  </si>
  <si>
    <t>020581725</t>
  </si>
  <si>
    <t>SREEMANGAL BRANCH</t>
  </si>
  <si>
    <t>SREEMANGAL_BRANCH</t>
  </si>
  <si>
    <t>4118 / 172</t>
  </si>
  <si>
    <t>AZIZ SUPER MARKET, MOULVIBAZAR ROAD, SREEMANGAL, MOULVIBAZAR</t>
  </si>
  <si>
    <t>08626 71322, 71718</t>
  </si>
  <si>
    <t>srmlmg@abbl.com</t>
  </si>
  <si>
    <t>SRML</t>
  </si>
  <si>
    <t>MYMENSINGH</t>
  </si>
  <si>
    <t>020611787</t>
  </si>
  <si>
    <t>MYMENSINGH BRANCH</t>
  </si>
  <si>
    <t>MYMENSINGH_BRANCH</t>
  </si>
  <si>
    <t>4030 / 178</t>
  </si>
  <si>
    <t>52 DR BIPIN SEN ROAD, CHOTO BAZAR, KOTWALI, MYMENSINGH</t>
  </si>
  <si>
    <t>091 61455, 53025</t>
  </si>
  <si>
    <t>mysgmg@abbl.com</t>
  </si>
  <si>
    <t>MYSG</t>
  </si>
  <si>
    <t>020612094</t>
  </si>
  <si>
    <t>SEED STORE BAZAR BRANCH</t>
  </si>
  <si>
    <t>SEED_STORE_BAZAR_BRANCH</t>
  </si>
  <si>
    <t>4035 / 4035</t>
  </si>
  <si>
    <t>AL-MADINA SHOPPING COMPLEX, SEED STORE BAZAR, BHALUKA, MYMENSINGH</t>
  </si>
  <si>
    <t>011 96007143, 016 83324484</t>
  </si>
  <si>
    <t>seedmg@abbl.com</t>
  </si>
  <si>
    <t>SEED</t>
  </si>
  <si>
    <t>NAOGAON</t>
  </si>
  <si>
    <t>020641186</t>
  </si>
  <si>
    <t>NAOGAON BRANCH</t>
  </si>
  <si>
    <t>NAOGAON_BRANCH</t>
  </si>
  <si>
    <t>4203 / 118</t>
  </si>
  <si>
    <t>MOZAFFER HOSSAIN MARKETING COMPLEX, MAIN ROAD, NAOGAON</t>
  </si>
  <si>
    <t>0741 63030, 63060</t>
  </si>
  <si>
    <t>naogmg@abbl.com</t>
  </si>
  <si>
    <t>0741 63030</t>
  </si>
  <si>
    <t>NARAYANGANJ</t>
  </si>
  <si>
    <t>020670223</t>
  </si>
  <si>
    <t>BHULTA BRANCH</t>
  </si>
  <si>
    <t>BHULTA_BRANCH</t>
  </si>
  <si>
    <t>4039 / 4039</t>
  </si>
  <si>
    <t>HAJI SHOPPING COMPLEX, BHULTA, GOLAKANDAIL, RUPGANJ, NARAYANGANJ</t>
  </si>
  <si>
    <t>017 12184672, 017 11978661</t>
  </si>
  <si>
    <t>bhulmg@abbl.com</t>
  </si>
  <si>
    <t>BHUL</t>
  </si>
  <si>
    <t>020671185</t>
  </si>
  <si>
    <t>NARAYANGANJ BRANCH</t>
  </si>
  <si>
    <t>NARAYANGANJ_BRANCH</t>
  </si>
  <si>
    <t>4008 / 118</t>
  </si>
  <si>
    <t>109 BB ROAD, NARAYANGANJ</t>
  </si>
  <si>
    <t>02 7640124, 7634707</t>
  </si>
  <si>
    <t>nrgjmg@abbl.com</t>
  </si>
  <si>
    <t>02 7632187</t>
  </si>
  <si>
    <t>020671301</t>
  </si>
  <si>
    <t>PAGLA BRANCH</t>
  </si>
  <si>
    <t>PAGLA_BRANCH</t>
  </si>
  <si>
    <t>4024 / 130</t>
  </si>
  <si>
    <t>AL-HAJ AFSAR KARIM BHABAN, DN ROAD, PAGLA, NARAYANGANJ</t>
  </si>
  <si>
    <t>02 7696160, 7696161</t>
  </si>
  <si>
    <t>paglmg@abbl.com</t>
  </si>
  <si>
    <t>02 7682008</t>
  </si>
  <si>
    <t>NARSINGDI</t>
  </si>
  <si>
    <t>020680671</t>
  </si>
  <si>
    <t>MADHABDI BRANCH</t>
  </si>
  <si>
    <t>MADHABDI_BRANCH</t>
  </si>
  <si>
    <t>4040 / 067</t>
  </si>
  <si>
    <t>PARKASHIPUR, MADHABDI BAZAR, NARSINGDI</t>
  </si>
  <si>
    <t>062 5756113, 9446113</t>
  </si>
  <si>
    <t>mdbdmg@abbl.com</t>
  </si>
  <si>
    <t>062 5756736, 9446736</t>
  </si>
  <si>
    <t>NILPHAMARI</t>
  </si>
  <si>
    <t>020730792</t>
  </si>
  <si>
    <t>SAIDPUR BRANCH</t>
  </si>
  <si>
    <t>SAIDPUR_BRANCH</t>
  </si>
  <si>
    <t>4211 / 079</t>
  </si>
  <si>
    <t>24 NUR PLAZA, WARD 12, SHAHEED DR ZIKRUL HAQUE ROAD, SAIDPUR, NILPHAMARI</t>
  </si>
  <si>
    <t>05526 72422, 72031, 011 99062967</t>
  </si>
  <si>
    <t>sadpmg@abbl.com</t>
  </si>
  <si>
    <t>0556 72422</t>
  </si>
  <si>
    <t>NOAKHALI</t>
  </si>
  <si>
    <t>020750677</t>
  </si>
  <si>
    <t>CHAUMUHANI BRANCH</t>
  </si>
  <si>
    <t>CHAUMUHANI_BRANCH</t>
  </si>
  <si>
    <t>4136 / 067</t>
  </si>
  <si>
    <t>HOLDING # 886, FENI ROAD, CHAUMUHANI, BEGUMGANJ, NOAKHALI</t>
  </si>
  <si>
    <t>0321 51099</t>
  </si>
  <si>
    <t>cmhnmg@abbl.com</t>
  </si>
  <si>
    <t>CMHN</t>
  </si>
  <si>
    <t>RAJSHAHI</t>
  </si>
  <si>
    <t>020811932</t>
  </si>
  <si>
    <t>RAJSHAHI BRANCH</t>
  </si>
  <si>
    <t>RAJSHAHI_BRANCH</t>
  </si>
  <si>
    <t>4202 / 193</t>
  </si>
  <si>
    <t>102-103 SHAHEB BAZAR, RAJSHAHI</t>
  </si>
  <si>
    <t>0721 773261, 774283</t>
  </si>
  <si>
    <t>rjshmg@abbl.com</t>
  </si>
  <si>
    <t>RJSH</t>
  </si>
  <si>
    <t>RANGPUR</t>
  </si>
  <si>
    <t>020851455</t>
  </si>
  <si>
    <t>RANGPUR BRANCH</t>
  </si>
  <si>
    <t>RANGPUR_BRANCH</t>
  </si>
  <si>
    <t>4205 / 145</t>
  </si>
  <si>
    <t>91-92 CENTRAL ROAD, KOTWALI, RANGPUR</t>
  </si>
  <si>
    <t>0521 62557, 65206</t>
  </si>
  <si>
    <t>rngpmg@abbl.com</t>
  </si>
  <si>
    <t>0521 62557</t>
  </si>
  <si>
    <t>SATKHIRA</t>
  </si>
  <si>
    <t>020871093</t>
  </si>
  <si>
    <t>SATKHIRA BRANCH</t>
  </si>
  <si>
    <t>SATKHIRA_BRANCH</t>
  </si>
  <si>
    <t>4212 / 109</t>
  </si>
  <si>
    <t>884/810 ABUL KASHEM ROAD, SATKHIRA</t>
  </si>
  <si>
    <t>0471 63277, 62215</t>
  </si>
  <si>
    <t>stkrmg@abbl.com</t>
  </si>
  <si>
    <t>0471 63665</t>
  </si>
  <si>
    <t>SIRAJGANJ</t>
  </si>
  <si>
    <t>020881870</t>
  </si>
  <si>
    <t>SIRAJGANJ BRANCH</t>
  </si>
  <si>
    <t>SIRAJGANJ_BRANCH</t>
  </si>
  <si>
    <t>4207 / 187</t>
  </si>
  <si>
    <t>FRIENDS PLAZA, S S ROAD, WARD 1, SIRAJGANJ</t>
  </si>
  <si>
    <t>0751 64749, 64717</t>
  </si>
  <si>
    <t>siramg@abbl.com</t>
  </si>
  <si>
    <t>SIRA</t>
  </si>
  <si>
    <t>SUNAMGANJ</t>
  </si>
  <si>
    <t>020900227</t>
  </si>
  <si>
    <t>CHHATAK BRANCH</t>
  </si>
  <si>
    <t>CHHATAK_BRANCH</t>
  </si>
  <si>
    <t>4119 / 022</t>
  </si>
  <si>
    <t>MADARIS MANSION, BAGBARI, CHATTAK, SUNAMGANJ</t>
  </si>
  <si>
    <t>08723 56057, 56118, 011 96000052</t>
  </si>
  <si>
    <t>chtkmg@abbl.com</t>
  </si>
  <si>
    <t>CHTK</t>
  </si>
  <si>
    <t>SYLHET</t>
  </si>
  <si>
    <t>020910525</t>
  </si>
  <si>
    <t>BOROIKANDI BRANCH</t>
  </si>
  <si>
    <t>BOROIKANDI_BRANCH</t>
  </si>
  <si>
    <t>4113 / 052</t>
  </si>
  <si>
    <t>RONGDHONU BIPONI BITAN, CENTRAL BUS TERMINAL ROAD, VERTHOKHOLA, SYLHET</t>
  </si>
  <si>
    <t>0821 717075, 714374</t>
  </si>
  <si>
    <t>brkdmg@abbl.com</t>
  </si>
  <si>
    <t>0821 714374</t>
  </si>
  <si>
    <t>020911090</t>
  </si>
  <si>
    <t>DARGAHGATE BRANCH</t>
  </si>
  <si>
    <t>DARGAHGATE_BRANCH</t>
  </si>
  <si>
    <t>4111 / 109</t>
  </si>
  <si>
    <t>ABBLBDDH111</t>
  </si>
  <si>
    <t>RAJ MANJIL, DARGAHGATE, SYLHET</t>
  </si>
  <si>
    <t>0821 715736, 717006, 715174, 017 11844601</t>
  </si>
  <si>
    <t>dagtmg@abbl.com</t>
  </si>
  <si>
    <t>0821 715174</t>
  </si>
  <si>
    <t>020911487</t>
  </si>
  <si>
    <t>GARDEN TOWER BRANCH</t>
  </si>
  <si>
    <t>GARDEN_TOWER_BRANCH</t>
  </si>
  <si>
    <t>4114 / 148</t>
  </si>
  <si>
    <t>BISHWA ROAD, SHAHJALAL UPASHAHAR POINT, SYLHET 3100</t>
  </si>
  <si>
    <t>0821 725042, 710786</t>
  </si>
  <si>
    <t>gdntmg@abbl.com</t>
  </si>
  <si>
    <t>0821 725042</t>
  </si>
  <si>
    <t>020913827</t>
  </si>
  <si>
    <t>TAJPUR BRANCH</t>
  </si>
  <si>
    <t>TAJPUR_BRANCH</t>
  </si>
  <si>
    <t>4117 / 382</t>
  </si>
  <si>
    <t>HAJI KERAMAT ALI SUPER MARKET, KADAMTALA, TAJPUR, SYLHET</t>
  </si>
  <si>
    <t>08242 56475, 037991 88036, 017 15072919</t>
  </si>
  <si>
    <t>tjprmg@abbl.com</t>
  </si>
  <si>
    <t>TJPR</t>
  </si>
  <si>
    <t>020912657</t>
  </si>
  <si>
    <t>VIP ROAD BRANCH</t>
  </si>
  <si>
    <t>VIP_ROAD_BRANCH</t>
  </si>
  <si>
    <t>4112 / 265</t>
  </si>
  <si>
    <t>ABBLBDDH112</t>
  </si>
  <si>
    <t>SURMA TOWER, VIP ROAD, TALTALA, KOTWALI, SYLHET</t>
  </si>
  <si>
    <t>0821 714052, 714054</t>
  </si>
  <si>
    <t>mdbnmg@abbl.com</t>
  </si>
  <si>
    <t>0821 714053</t>
  </si>
  <si>
    <t>TANGAIL</t>
  </si>
  <si>
    <t>020932295</t>
  </si>
  <si>
    <t>TANGAIL BRANCH</t>
  </si>
  <si>
    <t>TANGAIL_BRANCH</t>
  </si>
  <si>
    <t>4036 / 229</t>
  </si>
  <si>
    <t>702 SABUR KHAN TOWER, KALIBARI ROAD, TANGAIL SADAR, TANGAIL</t>
  </si>
  <si>
    <t>0921 61508</t>
  </si>
  <si>
    <t>tangmg@abbl.com</t>
  </si>
  <si>
    <t>TANG</t>
  </si>
  <si>
    <t>AGRANI_BANK_LIMITED</t>
  </si>
  <si>
    <t>010</t>
  </si>
  <si>
    <t>AGRANI BANK LIMITED</t>
  </si>
  <si>
    <t>BAGERHAT</t>
  </si>
  <si>
    <t>010010048</t>
  </si>
  <si>
    <t>BADHAL BAZAR</t>
  </si>
  <si>
    <t>BADHAL_BAZAR</t>
  </si>
  <si>
    <t>004</t>
  </si>
  <si>
    <t>010010077</t>
  </si>
  <si>
    <t>007</t>
  </si>
  <si>
    <t>010010280</t>
  </si>
  <si>
    <t>CHULKATHI BRANCH</t>
  </si>
  <si>
    <t>CHULKATHI_BRANCH</t>
  </si>
  <si>
    <t>028</t>
  </si>
  <si>
    <t>AGBKBDDH</t>
  </si>
  <si>
    <t>CHULKATHI BAZAR, BAGERHAT 9370</t>
  </si>
  <si>
    <t>018 19710500, 019 20513510</t>
  </si>
  <si>
    <t>SUNDAY - THURSDAY (EXCEPT HOLIDAYS)</t>
  </si>
  <si>
    <t>SUNDAY: 10:00 AM - 4:00 PM&lt;br&gt;MONDAY: 10:00 AM - 4:00 PM&lt;br&gt;TUESDAY: 10:00 AM - 4:00 PM&lt;br&gt;WEDNESDAY: 10:00 AM - 4:00 PM&lt;br&gt;THURSDAY: 10:00 AM - 4:00 PM&lt;br&gt;FRIDAY: CLOSED&lt;br&gt;SATURDAY: CLOSED</t>
  </si>
  <si>
    <t>010010372</t>
  </si>
  <si>
    <t>DEYPARA BRANCH</t>
  </si>
  <si>
    <t>DEYPARA_BRANCH</t>
  </si>
  <si>
    <t>037</t>
  </si>
  <si>
    <t>DEYPARA BAZAR, BAGERHAT 9300</t>
  </si>
  <si>
    <t>018 19710501</t>
  </si>
  <si>
    <t>010010619</t>
  </si>
  <si>
    <t>GOALMATH BRANCH</t>
  </si>
  <si>
    <t>GOALMATH_BRANCH</t>
  </si>
  <si>
    <t>061</t>
  </si>
  <si>
    <t>GOALMATH, SOLARKOLA, BAGERHAT 9311</t>
  </si>
  <si>
    <t>017 16446001</t>
  </si>
  <si>
    <t>010010677</t>
  </si>
  <si>
    <t>HERMA BAZAR</t>
  </si>
  <si>
    <t>HERMA_BAZAR</t>
  </si>
  <si>
    <t>067</t>
  </si>
  <si>
    <t>010010701</t>
  </si>
  <si>
    <t>JATRAPUR BAZAR BRANCH</t>
  </si>
  <si>
    <t>JATRAPUR_BAZAR_BRANCH</t>
  </si>
  <si>
    <t>070</t>
  </si>
  <si>
    <t>JATRAPUR BAZAR, RANGDIA, BAGERHAT 9302</t>
  </si>
  <si>
    <t>018 19710502, 017 18830374</t>
  </si>
  <si>
    <t>010010851</t>
  </si>
  <si>
    <t>MAIN ROAD</t>
  </si>
  <si>
    <t>MAIN_ROAD</t>
  </si>
  <si>
    <t>085</t>
  </si>
  <si>
    <t>010010972</t>
  </si>
  <si>
    <t>MONGLA PORT BRANCH</t>
  </si>
  <si>
    <t>MONGLA_PORT_BRANCH</t>
  </si>
  <si>
    <t>097</t>
  </si>
  <si>
    <t>54 SHAIKH ABDUL HAI ROAD, MONGLA PORT, BAGERHAT 9350</t>
  </si>
  <si>
    <t>04658 73153, 017 18929919</t>
  </si>
  <si>
    <t>010011034</t>
  </si>
  <si>
    <t>MORRELGANJ BAZAR BRANCH</t>
  </si>
  <si>
    <t>MORRELGANJ_BAZAR_BRANCH</t>
  </si>
  <si>
    <t>103</t>
  </si>
  <si>
    <t>MORRELGANJ BAZAR, BAGERHAT 9320</t>
  </si>
  <si>
    <t>04656 56210, 017 12730897</t>
  </si>
  <si>
    <t>010011063</t>
  </si>
  <si>
    <t>MUNIGANJ BRANCH</t>
  </si>
  <si>
    <t>MUNIGANJ_BRANCH</t>
  </si>
  <si>
    <t>106</t>
  </si>
  <si>
    <t>MUNIGANJ, PURATAN BAZAR, BAGERHAT 9300</t>
  </si>
  <si>
    <t>0468 62262</t>
  </si>
  <si>
    <t>010011126</t>
  </si>
  <si>
    <t>POLERHAT BAZAR BRANCH</t>
  </si>
  <si>
    <t>POLERHAT_BAZAR_BRANCH</t>
  </si>
  <si>
    <t>112</t>
  </si>
  <si>
    <t>POLERHAT BAZAR, MORRELGANJ, BAGERHAT 9320</t>
  </si>
  <si>
    <t>018 19710813</t>
  </si>
  <si>
    <t>010011276</t>
  </si>
  <si>
    <t>SANNASHI BAZAR BRANCH</t>
  </si>
  <si>
    <t>SANNASHI_BAZAR_BRANCH</t>
  </si>
  <si>
    <t>127</t>
  </si>
  <si>
    <t>SANNASHI BAZAR, MORRELGANJ, BAGERHAT 9321</t>
  </si>
  <si>
    <t>018 19710812, 019 12883006</t>
  </si>
  <si>
    <t>BANDARBAN</t>
  </si>
  <si>
    <t>010030073</t>
  </si>
  <si>
    <t>AZIZ NAGAR BRANCH</t>
  </si>
  <si>
    <t>AZIZ_NAGAR_BRANCH</t>
  </si>
  <si>
    <t>AZIZ NAGAR, LAMA, BANDARBAN</t>
  </si>
  <si>
    <t>018 19345107</t>
  </si>
  <si>
    <t>010030165</t>
  </si>
  <si>
    <t>BANDARBAN BAZAR BRANCH</t>
  </si>
  <si>
    <t>BANDARBAN_BAZAR_BRANCH</t>
  </si>
  <si>
    <t>BANDARBAN BAZAR, BANDARBAN SADAR, BANDARBAN</t>
  </si>
  <si>
    <t>0361 62353</t>
  </si>
  <si>
    <t>BARGUNA</t>
  </si>
  <si>
    <t>010040047</t>
  </si>
  <si>
    <t>AMTALI BRANCH</t>
  </si>
  <si>
    <t>AMTALI_BRANCH</t>
  </si>
  <si>
    <t>AMTALI, SADAR, BARGUNA 8710</t>
  </si>
  <si>
    <t>04452 56014</t>
  </si>
  <si>
    <t>010040139</t>
  </si>
  <si>
    <t>BARGUNA BRANCH</t>
  </si>
  <si>
    <t>BARGUNA_BRANCH</t>
  </si>
  <si>
    <t>013</t>
  </si>
  <si>
    <t>SADAR ROAD, BARGUNA 8700</t>
  </si>
  <si>
    <t>0448 62414</t>
  </si>
  <si>
    <t>010040371</t>
  </si>
  <si>
    <t>GAZIPURHAT BRANCH</t>
  </si>
  <si>
    <t>GAZIPURHAT_BRANCH</t>
  </si>
  <si>
    <t>GAZIPUR BAZAR, AMTALI, BARGUNA 8710</t>
  </si>
  <si>
    <t>017 13965156</t>
  </si>
  <si>
    <t>010040492</t>
  </si>
  <si>
    <t>KAKCHIRA BRANCH</t>
  </si>
  <si>
    <t>KAKCHIRA_BRANCH</t>
  </si>
  <si>
    <t>049</t>
  </si>
  <si>
    <t>KAKCHIRA BANDAR, PATHARGHATA, BARGUNA 8721</t>
  </si>
  <si>
    <t>017 16950711</t>
  </si>
  <si>
    <t>010040526</t>
  </si>
  <si>
    <t>KAUNIA</t>
  </si>
  <si>
    <t>052</t>
  </si>
  <si>
    <t>010040647</t>
  </si>
  <si>
    <t>NALIBANDAR</t>
  </si>
  <si>
    <t>064</t>
  </si>
  <si>
    <t>010040739</t>
  </si>
  <si>
    <t>TALTALI BAZAR BRANCH</t>
  </si>
  <si>
    <t>TALTALI_BAZAR_BRANCH</t>
  </si>
  <si>
    <t>073</t>
  </si>
  <si>
    <t>TALTALI BAZAR, AMTALI, BARGUNA 8710</t>
  </si>
  <si>
    <t>017 15743940</t>
  </si>
  <si>
    <t>010060056</t>
  </si>
  <si>
    <t>AMUA BAZAR BRANCH</t>
  </si>
  <si>
    <t>AMUA_BAZAR_BRANCH</t>
  </si>
  <si>
    <t>DC ROAD, AMUA BAZAR, KATHALIA, BARISAL 8431</t>
  </si>
  <si>
    <t>017 11731413</t>
  </si>
  <si>
    <t>010060256</t>
  </si>
  <si>
    <t>BANARIPARA BRANCH</t>
  </si>
  <si>
    <t>BANARIPARA_BRANCH</t>
  </si>
  <si>
    <t>AGRANI BANK ROAD, BANARIPARA, BARISAL 8530</t>
  </si>
  <si>
    <t>04332 56103</t>
  </si>
  <si>
    <t>010060377</t>
  </si>
  <si>
    <t>BATAJORE BRANCH</t>
  </si>
  <si>
    <t>BATAJORE_BRANCH</t>
  </si>
  <si>
    <t>BATAJORE BANDAR, GOURNADI, BARISAL 8233</t>
  </si>
  <si>
    <t>018 19790613</t>
  </si>
  <si>
    <t>010060522</t>
  </si>
  <si>
    <t>BATTALA BRANCH</t>
  </si>
  <si>
    <t>BATTALA_BRANCH</t>
  </si>
  <si>
    <t>BATTALA, KOTOWALI, BARISAL 8200</t>
  </si>
  <si>
    <t>0431 63185</t>
  </si>
  <si>
    <t>010060551</t>
  </si>
  <si>
    <t>BUKHAINAGAR BRANCH</t>
  </si>
  <si>
    <t>BUKHAINAGAR_BRANCH</t>
  </si>
  <si>
    <t>055</t>
  </si>
  <si>
    <t>KASHIPUR BAZAR, KOTOWALI, BARISAL 8201</t>
  </si>
  <si>
    <t>018 19790612</t>
  </si>
  <si>
    <t>010060706</t>
  </si>
  <si>
    <t>CHAWKBAZAR BRANCH</t>
  </si>
  <si>
    <t>CHAWKBAZAR_BRANCH</t>
  </si>
  <si>
    <t>ENAETUR RAHMAN SARAK, KOTWALI, BARISAL 8200</t>
  </si>
  <si>
    <t>0431 64082, 62426</t>
  </si>
  <si>
    <t>010060827</t>
  </si>
  <si>
    <t>GOURNADI BRANCH</t>
  </si>
  <si>
    <t>GOURNADI_BRANCH</t>
  </si>
  <si>
    <t>082</t>
  </si>
  <si>
    <t>GOURNADI BANDAR, GOURNADI, BARISAL 8220</t>
  </si>
  <si>
    <t>04322 56112</t>
  </si>
  <si>
    <t>010061400</t>
  </si>
  <si>
    <t>MOTHERKATHI BRANCH</t>
  </si>
  <si>
    <t>MOTHERKATHI_BRANCH</t>
  </si>
  <si>
    <t>MOTHERKATHI, BARISAL</t>
  </si>
  <si>
    <t>017 75316660, 017 11042092</t>
  </si>
  <si>
    <t>010061455</t>
  </si>
  <si>
    <t>MULADI BRANCH</t>
  </si>
  <si>
    <t>MULADI_BRANCH</t>
  </si>
  <si>
    <t>KHAN BHABAN, SADAR ROAD, MULADI, BARISAL</t>
  </si>
  <si>
    <t>010061600</t>
  </si>
  <si>
    <t>PAISHARHAT BRANCH</t>
  </si>
  <si>
    <t>PAISHARHAT_BRANCH</t>
  </si>
  <si>
    <t>PAISHAR HAT, BARISAL</t>
  </si>
  <si>
    <t>018 43762380</t>
  </si>
  <si>
    <t>010061697</t>
  </si>
  <si>
    <t>PURAN BAZAR BRANCH</t>
  </si>
  <si>
    <t>PURAN_BAZAR_BRANCH</t>
  </si>
  <si>
    <t>169</t>
  </si>
  <si>
    <t>HATKHOLA ROAD, KOTWALI, BARISAL 8200</t>
  </si>
  <si>
    <t>0431 63853</t>
  </si>
  <si>
    <t>010060085</t>
  </si>
  <si>
    <t>RAHUTKATHI BANDAR BRANCH</t>
  </si>
  <si>
    <t>RAHUTKATHI_BANDAR_BRANCH</t>
  </si>
  <si>
    <t>RAHUTKATHI BANDAR, BARISAL</t>
  </si>
  <si>
    <t>018 54918798, 017 12539230</t>
  </si>
  <si>
    <t>010061813</t>
  </si>
  <si>
    <t>SADAR ROAD BRANCH</t>
  </si>
  <si>
    <t>SADAR_ROAD_BRANCH</t>
  </si>
  <si>
    <t>181</t>
  </si>
  <si>
    <t>SADAR ROAD, KOTWALI, BARISAL 8200</t>
  </si>
  <si>
    <t>0431 64714, 64759</t>
  </si>
  <si>
    <t>010062212</t>
  </si>
  <si>
    <t>TARKI BANDAR BRANCH</t>
  </si>
  <si>
    <t>TARKI_BANDAR_BRANCH</t>
  </si>
  <si>
    <t>TARKI BANDAR, GOURNADI, BARISAL</t>
  </si>
  <si>
    <t>04322 56199, 017 27400976, 018 50680424</t>
  </si>
  <si>
    <t>010062238</t>
  </si>
  <si>
    <t>ULANIA BRANCH</t>
  </si>
  <si>
    <t>ULANIA_BRANCH</t>
  </si>
  <si>
    <t>223</t>
  </si>
  <si>
    <t>ULANIA BANDAR, ULANIA, MEHENDIGANJ, BARISAL 8272</t>
  </si>
  <si>
    <t>017 25653874</t>
  </si>
  <si>
    <t>BHOLA</t>
  </si>
  <si>
    <t>010090105</t>
  </si>
  <si>
    <t>BHOLA BRANCH</t>
  </si>
  <si>
    <t>BHOLA_BRANCH</t>
  </si>
  <si>
    <t>SADAR ROAD, BHOLA 8300</t>
  </si>
  <si>
    <t>0491 61515</t>
  </si>
  <si>
    <t>010090192</t>
  </si>
  <si>
    <t>BORHANUDDIN BRANCH</t>
  </si>
  <si>
    <t>BORHANUDDIN_BRANCH</t>
  </si>
  <si>
    <t>019</t>
  </si>
  <si>
    <t>SADAR ROAD, BORHANUDDIN, BHOLA 8320</t>
  </si>
  <si>
    <t>04922 56134</t>
  </si>
  <si>
    <t>010090255</t>
  </si>
  <si>
    <t>CHAR FASSON BAZAR BRANCH</t>
  </si>
  <si>
    <t>CHAR_FASSON_BAZAR_BRANCH</t>
  </si>
  <si>
    <t>MAIN ROAD, CHAR FASSON, BHOLA 8340</t>
  </si>
  <si>
    <t>04923 74058</t>
  </si>
  <si>
    <t>010090284</t>
  </si>
  <si>
    <t>CHAR SHASHIBUSHAN BRANCH</t>
  </si>
  <si>
    <t>CHAR_SHASHIBUSHAN_BRANCH</t>
  </si>
  <si>
    <t>ADARSHA ROAD, CHAR SHASHIBUSHAN, BHOLA 8340</t>
  </si>
  <si>
    <t>017 126318181</t>
  </si>
  <si>
    <t>010090376</t>
  </si>
  <si>
    <t>DAULATKHAN BRANCH</t>
  </si>
  <si>
    <t>DAULATKHAN_BRANCH</t>
  </si>
  <si>
    <t>SADAR ROAD, DAULATKHAN, BHOLA 8310</t>
  </si>
  <si>
    <t>04924 56137</t>
  </si>
  <si>
    <t>010090550</t>
  </si>
  <si>
    <t>KALINATH RAYER BAZAR BRANCH</t>
  </si>
  <si>
    <t>KALINATH_RAYER_BAZAR_BRANCH</t>
  </si>
  <si>
    <t>KALINATH RAYER BAZAR, BHOLA, BHOLA 8300</t>
  </si>
  <si>
    <t>0491 61167</t>
  </si>
  <si>
    <t>010090613</t>
  </si>
  <si>
    <t>KHAIYERHAT BRANCH</t>
  </si>
  <si>
    <t>KHAIYERHAT_BRANCH</t>
  </si>
  <si>
    <t>MAIN ROAD, KHAIYERHAT, BORHANUDDIN, BHOLA 8301</t>
  </si>
  <si>
    <t>018 19790614</t>
  </si>
  <si>
    <t>010090705</t>
  </si>
  <si>
    <t>LALMOHAN BRANCH</t>
  </si>
  <si>
    <t>LALMOHAN_BRANCH</t>
  </si>
  <si>
    <t>AGRANI BANK ROAD, LALMOHAN, BHOLA 8330</t>
  </si>
  <si>
    <t>04925 75623</t>
  </si>
  <si>
    <t>010091038</t>
  </si>
  <si>
    <t>WAPDA BRANCH</t>
  </si>
  <si>
    <t>WAPDA_BRANCH</t>
  </si>
  <si>
    <t>JUGIRGHOL, BHOLA SADAR, BHOLA 8300</t>
  </si>
  <si>
    <t>0491 61524</t>
  </si>
  <si>
    <t>010100161</t>
  </si>
  <si>
    <t>BADURTALA BRANCH</t>
  </si>
  <si>
    <t>BADURTALA_BRANCH</t>
  </si>
  <si>
    <t>BADURTOLA, BOGRA 5800</t>
  </si>
  <si>
    <t>051 66897</t>
  </si>
  <si>
    <t>010100190</t>
  </si>
  <si>
    <t>BAGBARI BRANCH</t>
  </si>
  <si>
    <t>BAGBARI_BRANCH</t>
  </si>
  <si>
    <t>BAGBARI, BOGRA 5800</t>
  </si>
  <si>
    <t>018 19770233</t>
  </si>
  <si>
    <t>010100282</t>
  </si>
  <si>
    <t>BHATRA BRANCH</t>
  </si>
  <si>
    <t>BHATRA_BRANCH</t>
  </si>
  <si>
    <t>BHATRA, NANDIGRAM, BOGRA 5860</t>
  </si>
  <si>
    <t>018 19770470</t>
  </si>
  <si>
    <t>010100437</t>
  </si>
  <si>
    <t>BOGRA GARISON BRANCH</t>
  </si>
  <si>
    <t>BOGRA_GARISON_BRANCH</t>
  </si>
  <si>
    <t>043</t>
  </si>
  <si>
    <t>BOGRA CANTONMENT, SHAJAHANPUR, BOGRA 5801</t>
  </si>
  <si>
    <t>051 66530</t>
  </si>
  <si>
    <t>010100640</t>
  </si>
  <si>
    <t>CHAMRUL BRANCH</t>
  </si>
  <si>
    <t>CHAMRUL_BRANCH</t>
  </si>
  <si>
    <t>CHAMRUL, DUPCHANCHIA, BOGRA 5880</t>
  </si>
  <si>
    <t>018 19770466</t>
  </si>
  <si>
    <t>010100761</t>
  </si>
  <si>
    <t>CHELOPARA BRANCH</t>
  </si>
  <si>
    <t>CHELOPARA_BRANCH</t>
  </si>
  <si>
    <t>076</t>
  </si>
  <si>
    <t>CHELOPARA, BOGRA 5800</t>
  </si>
  <si>
    <t>051 66459</t>
  </si>
  <si>
    <t>010100824</t>
  </si>
  <si>
    <t>DEMAJANI</t>
  </si>
  <si>
    <t>010100882</t>
  </si>
  <si>
    <t>DHUNAT BRANCH</t>
  </si>
  <si>
    <t>DHUNAT_BRANCH</t>
  </si>
  <si>
    <t>088</t>
  </si>
  <si>
    <t>DHUNAT, BOGRA 5850</t>
  </si>
  <si>
    <t>05023 56202</t>
  </si>
  <si>
    <t>010101210</t>
  </si>
  <si>
    <t>GOKUL</t>
  </si>
  <si>
    <t>121</t>
  </si>
  <si>
    <t>010101094</t>
  </si>
  <si>
    <t>GORADHAP HAT BRANCH</t>
  </si>
  <si>
    <t>GORADHAP_HAT_BRANCH</t>
  </si>
  <si>
    <t>109</t>
  </si>
  <si>
    <t>GORADHAP HAT, HAJRADIGHI, BOGRA</t>
  </si>
  <si>
    <t>018 19770471</t>
  </si>
  <si>
    <t>010101607</t>
  </si>
  <si>
    <t>KHANDAR BRANCH</t>
  </si>
  <si>
    <t>KHANDAR_BRANCH</t>
  </si>
  <si>
    <t>160</t>
  </si>
  <si>
    <t>KHANDAR, BOGRA 5800</t>
  </si>
  <si>
    <t>051 66932, 017 32367458</t>
  </si>
  <si>
    <t>010101757</t>
  </si>
  <si>
    <t>MADLA BRANCH</t>
  </si>
  <si>
    <t>MADLA_BRANCH</t>
  </si>
  <si>
    <t>175</t>
  </si>
  <si>
    <t>MADLA, BOGRA 5800</t>
  </si>
  <si>
    <t>018 19770472</t>
  </si>
  <si>
    <t>010101849</t>
  </si>
  <si>
    <t>MAJHIRA BRANCH</t>
  </si>
  <si>
    <t>MAJHIRA_BRANCH</t>
  </si>
  <si>
    <t>184</t>
  </si>
  <si>
    <t>MAJHIRA, SHAJAHANPUR, BOGRA 5800</t>
  </si>
  <si>
    <t>018 19770464</t>
  </si>
  <si>
    <t>010101902</t>
  </si>
  <si>
    <t>MIRZAPUR BRANCH</t>
  </si>
  <si>
    <t>MIRZAPUR_BRANCH</t>
  </si>
  <si>
    <t>190</t>
  </si>
  <si>
    <t>MIRZAPUR, SHERPUR, BOGRA 5840</t>
  </si>
  <si>
    <t>018 19770469</t>
  </si>
  <si>
    <t>010101960</t>
  </si>
  <si>
    <t>NAMAZGHAR BRANCH</t>
  </si>
  <si>
    <t>NAMAZGHAR_BRANCH</t>
  </si>
  <si>
    <t>196</t>
  </si>
  <si>
    <t>NAMAZGHAR, BOGRA 5800</t>
  </si>
  <si>
    <t>051 66002</t>
  </si>
  <si>
    <t>010102022</t>
  </si>
  <si>
    <t>NANDIGRAM BRANCH</t>
  </si>
  <si>
    <t>NANDIGRAM_BRANCH</t>
  </si>
  <si>
    <t>202</t>
  </si>
  <si>
    <t>NANDIGRAM, BOGRA 5860</t>
  </si>
  <si>
    <t>05027 76002</t>
  </si>
  <si>
    <t>010102114</t>
  </si>
  <si>
    <t>NISHINDARA BRANCH</t>
  </si>
  <si>
    <t>NISHINDARA_BRANCH</t>
  </si>
  <si>
    <t>211</t>
  </si>
  <si>
    <t>NISHINDARA, BOGRA SADAR, BOGRA 5800</t>
  </si>
  <si>
    <t>66122</t>
  </si>
  <si>
    <t>010102206</t>
  </si>
  <si>
    <t>PORADAH HAT BRANCH</t>
  </si>
  <si>
    <t>PORADAH_HAT_BRANCH</t>
  </si>
  <si>
    <t>220</t>
  </si>
  <si>
    <t>PORADAH HAT, MOHISHABAN, GABTOLI, BOGRA 5800</t>
  </si>
  <si>
    <t>018 19770234</t>
  </si>
  <si>
    <t>010102264</t>
  </si>
  <si>
    <t>RAJABAZAR BRANCH</t>
  </si>
  <si>
    <t>RAJABAZAR_BRANCH</t>
  </si>
  <si>
    <t>226</t>
  </si>
  <si>
    <t>RAJABAZAR, BOGRA 5800</t>
  </si>
  <si>
    <t>051 66473</t>
  </si>
  <si>
    <t>010102448</t>
  </si>
  <si>
    <t>SAPTAPADI MARKET BRANCH</t>
  </si>
  <si>
    <t>SAPTAPADI_MARKET_BRANCH</t>
  </si>
  <si>
    <t>244</t>
  </si>
  <si>
    <t>SATMATHA, BOGRA 5800</t>
  </si>
  <si>
    <t>051 66952</t>
  </si>
  <si>
    <t>010102835</t>
  </si>
  <si>
    <t>SHANKHA BRANCH</t>
  </si>
  <si>
    <t>SHANKHA_BRANCH</t>
  </si>
  <si>
    <t>283</t>
  </si>
  <si>
    <t>SHANKHA, SHERPUR, BOGRA 5840</t>
  </si>
  <si>
    <t>018 19770468</t>
  </si>
  <si>
    <t>010102743</t>
  </si>
  <si>
    <t>SHERPUR BRANCH</t>
  </si>
  <si>
    <t>SHERPUR_BRANCH</t>
  </si>
  <si>
    <t>274</t>
  </si>
  <si>
    <t>SHERPUR, BOGRA 5840</t>
  </si>
  <si>
    <t>05029 77035</t>
  </si>
  <si>
    <t>010102864</t>
  </si>
  <si>
    <t>SHIBBATI BRANCH</t>
  </si>
  <si>
    <t>SHIBBATI_BRANCH</t>
  </si>
  <si>
    <t>286</t>
  </si>
  <si>
    <t>SHIBBATI, BOGRA 5800</t>
  </si>
  <si>
    <t>051 66175</t>
  </si>
  <si>
    <t>010102956</t>
  </si>
  <si>
    <t>SONATALA BRANCH</t>
  </si>
  <si>
    <t>SONATALA_BRANCH</t>
  </si>
  <si>
    <t>295</t>
  </si>
  <si>
    <t>SONATALA, BOGRA 5826</t>
  </si>
  <si>
    <t>05032 79016</t>
  </si>
  <si>
    <t>010103047</t>
  </si>
  <si>
    <t>SULTANGANJ BRANCH</t>
  </si>
  <si>
    <t>SULTANGANJ_BRANCH</t>
  </si>
  <si>
    <t>304</t>
  </si>
  <si>
    <t>SULTANGANJ, BOGRA 5800</t>
  </si>
  <si>
    <t>051 66872</t>
  </si>
  <si>
    <t>010103076</t>
  </si>
  <si>
    <t>TALORA BRANCH</t>
  </si>
  <si>
    <t>TALORA_BRANCH</t>
  </si>
  <si>
    <t>307</t>
  </si>
  <si>
    <t>TALORA, DUPCHANCHIA, BOGRA 5881</t>
  </si>
  <si>
    <t>05042 53024</t>
  </si>
  <si>
    <t>010103100</t>
  </si>
  <si>
    <t>TALUCH HAT</t>
  </si>
  <si>
    <t>TALUCH_HAT</t>
  </si>
  <si>
    <t>310</t>
  </si>
  <si>
    <t>010103139</t>
  </si>
  <si>
    <t>TARANIHAT BRANCH</t>
  </si>
  <si>
    <t>TARANIHAT_BRANCH</t>
  </si>
  <si>
    <t>313</t>
  </si>
  <si>
    <t>TARANIHAT, BALIADIGHI, GABTOLI, BOGRA 5800</t>
  </si>
  <si>
    <t>018 19770235</t>
  </si>
  <si>
    <t>010103168</t>
  </si>
  <si>
    <t>THANA ROAD BRANCH</t>
  </si>
  <si>
    <t>THANA_ROAD_BRANCH</t>
  </si>
  <si>
    <t>316</t>
  </si>
  <si>
    <t>AGBKBDDH029</t>
  </si>
  <si>
    <t>THANA ROAD, SATHMATHA, BOGRA 5800</t>
  </si>
  <si>
    <t>051 66564, 65012</t>
  </si>
  <si>
    <t>010103221</t>
  </si>
  <si>
    <t>ZIANAGAR BRANCH</t>
  </si>
  <si>
    <t>ZIANAGAR_BRANCH</t>
  </si>
  <si>
    <t>322</t>
  </si>
  <si>
    <t>ZIANAGAR, DUPCHANCHIA, BOGRA 5880</t>
  </si>
  <si>
    <t>018 19770467</t>
  </si>
  <si>
    <t>010120046</t>
  </si>
  <si>
    <t>AKHAURA BRANCH</t>
  </si>
  <si>
    <t>AKHAURA_BRANCH</t>
  </si>
  <si>
    <t>SARAK BAZAR, AKHAURA, BRAHMANBARIA 3450</t>
  </si>
  <si>
    <t>08522 56076</t>
  </si>
  <si>
    <t>010120109</t>
  </si>
  <si>
    <t>ASHUGAJ BAZAR, BRAHMANBARIA 3402</t>
  </si>
  <si>
    <t>018 19412986</t>
  </si>
  <si>
    <t>010120259</t>
  </si>
  <si>
    <t>BANCHARAMPUR BRANCH</t>
  </si>
  <si>
    <t>BANCHARAMPUR_BRANCH</t>
  </si>
  <si>
    <t>BANCHARAMPUR, BRAHMANBARIA 3420</t>
  </si>
  <si>
    <t>08523 56203</t>
  </si>
  <si>
    <t>010120288</t>
  </si>
  <si>
    <t>BANGORA BAZAR BRANCH</t>
  </si>
  <si>
    <t>BANGORA_BAZAR_BRANCH</t>
  </si>
  <si>
    <t>BANGORA BAZAR, NABINAGAR, BRAHMANBARIA 3410</t>
  </si>
  <si>
    <t>018 19412990</t>
  </si>
  <si>
    <t>010120404</t>
  </si>
  <si>
    <t>BITGHAR BRANCH</t>
  </si>
  <si>
    <t>BITGHAR_BRANCH</t>
  </si>
  <si>
    <t>040</t>
  </si>
  <si>
    <t>BITGHAR, NABINAGAR, BRAHMANBARIA 3417</t>
  </si>
  <si>
    <t>018 19412987</t>
  </si>
  <si>
    <t>010120433</t>
  </si>
  <si>
    <t>COURT ROAD, BRAHMANBARIA 3400</t>
  </si>
  <si>
    <t>0851 58139, 58771</t>
  </si>
  <si>
    <t>010120583</t>
  </si>
  <si>
    <t>CHANDUA BAZAR BRANCH</t>
  </si>
  <si>
    <t>CHANDUA_BAZAR_BRANCH</t>
  </si>
  <si>
    <t>058</t>
  </si>
  <si>
    <t>CHANDURA BAZAR, BRAHMANBARIA 3432</t>
  </si>
  <si>
    <t>018 19412991</t>
  </si>
  <si>
    <t>010120912</t>
  </si>
  <si>
    <t>JAGATH BAZAR BRANCH</t>
  </si>
  <si>
    <t>JAGATH_BAZAR_BRANCH</t>
  </si>
  <si>
    <t>JAGATH BAZAR, BRAHMANBARIA 3400</t>
  </si>
  <si>
    <t>0851 58200</t>
  </si>
  <si>
    <t>010121032</t>
  </si>
  <si>
    <t>KASBA BRANCH</t>
  </si>
  <si>
    <t>KASBA_BRANCH</t>
  </si>
  <si>
    <t>KASBA, BRAHMANBARIA 3460</t>
  </si>
  <si>
    <t>08524 73083</t>
  </si>
  <si>
    <t>010121153</t>
  </si>
  <si>
    <t>LALPUR BAZAR BRANCH</t>
  </si>
  <si>
    <t>LALPUR_BAZAR_BRANCH</t>
  </si>
  <si>
    <t>115</t>
  </si>
  <si>
    <t>LALPUR BAZAR, ASHUGANJ, BRAHMANBARIA 3402</t>
  </si>
  <si>
    <t>018 19412985</t>
  </si>
  <si>
    <t>010121366</t>
  </si>
  <si>
    <t>NABINAGAR BRANCH</t>
  </si>
  <si>
    <t>NABINAGAR_BRANCH</t>
  </si>
  <si>
    <t>136</t>
  </si>
  <si>
    <t>NABINAGAR, BRAHMANBARIA 3410</t>
  </si>
  <si>
    <t>08525 75218</t>
  </si>
  <si>
    <t>010121579</t>
  </si>
  <si>
    <t>SALIMGANJ BRANCH</t>
  </si>
  <si>
    <t>SALIMGANJ_BRANCH</t>
  </si>
  <si>
    <t>157</t>
  </si>
  <si>
    <t>SALIMGANJ, BANCHHARAMPUR, BRAHMANBARIA 3413</t>
  </si>
  <si>
    <t>018 19412988</t>
  </si>
  <si>
    <t>010121724</t>
  </si>
  <si>
    <t>SHAHPUR BRANCH</t>
  </si>
  <si>
    <t>SHAHPUR_BRANCH</t>
  </si>
  <si>
    <t>172</t>
  </si>
  <si>
    <t>SHAHPUR, NABINAGAR, BRAHMANBARIA</t>
  </si>
  <si>
    <t>018 19412989</t>
  </si>
  <si>
    <t>010121737</t>
  </si>
  <si>
    <t>SHIBPUR BRANCH</t>
  </si>
  <si>
    <t>SHIBPUR_BRANCH</t>
  </si>
  <si>
    <t>SHIBPUR, BRAHMANBARIA</t>
  </si>
  <si>
    <t>017 55616036, 018 18722398</t>
  </si>
  <si>
    <t>010121845</t>
  </si>
  <si>
    <t>TA ROAD BRANCH</t>
  </si>
  <si>
    <t>TA_ROAD_BRANCH</t>
  </si>
  <si>
    <t>TA ROAD, BRAHMANBARIA 3400</t>
  </si>
  <si>
    <t>0851 58505</t>
  </si>
  <si>
    <t>010130052</t>
  </si>
  <si>
    <t>ALGI BAZAR BRANCH</t>
  </si>
  <si>
    <t>ALGI_BAZAR_BRANCH</t>
  </si>
  <si>
    <t>ALGI BAZAR, CHANDPUR</t>
  </si>
  <si>
    <t>08423 52204</t>
  </si>
  <si>
    <t>010130131</t>
  </si>
  <si>
    <t>BABURHAT BRANCH</t>
  </si>
  <si>
    <t>BABURHAT_BRANCH</t>
  </si>
  <si>
    <t>BABURHAT BAZAR, CHANDPUR 3602</t>
  </si>
  <si>
    <t>0841 63469</t>
  </si>
  <si>
    <t>010130207</t>
  </si>
  <si>
    <t>BALITHUBA BRANCH</t>
  </si>
  <si>
    <t>BALITHUBA_BRANCH</t>
  </si>
  <si>
    <t>BALITHUBA, CANDRA BAZAR, FORIDGANJ, CHANDPUR 3651</t>
  </si>
  <si>
    <t>017 12660409</t>
  </si>
  <si>
    <t>010130223</t>
  </si>
  <si>
    <t>BELTALI BAZAR BRANCH</t>
  </si>
  <si>
    <t>BELTALI_BAZAR_BRANCH</t>
  </si>
  <si>
    <t>022</t>
  </si>
  <si>
    <t>BADARPUR, BELTALI BAZARMATLAB NORTH, CHANDPUR 3640</t>
  </si>
  <si>
    <t>018 19412993</t>
  </si>
  <si>
    <t>010130465</t>
  </si>
  <si>
    <t>CHANDRA BAZAR BRANCH</t>
  </si>
  <si>
    <t>CHANDRA_BAZAR_BRANCH</t>
  </si>
  <si>
    <t>046</t>
  </si>
  <si>
    <t>SOUTH BALIA, BAKHARPUR, CHANDPUR 3651</t>
  </si>
  <si>
    <t>018 19412998</t>
  </si>
  <si>
    <t>010130557</t>
  </si>
  <si>
    <t>CHANGARCHAR BAZAR BRANCH</t>
  </si>
  <si>
    <t>CHANGARCHAR_BAZAR_BRANCH</t>
  </si>
  <si>
    <t>COLLEGE ROAD, CHANGARCHAR, MATLAB NORTH, CHANDPUR 3641</t>
  </si>
  <si>
    <t>018 19412995</t>
  </si>
  <si>
    <t>010130799</t>
  </si>
  <si>
    <t>FORROKABAD BRANCH</t>
  </si>
  <si>
    <t>FORROKABAD_BRANCH</t>
  </si>
  <si>
    <t>FORROKABAD, CHANDPUR</t>
  </si>
  <si>
    <t>018 33355797</t>
  </si>
  <si>
    <t>010130881</t>
  </si>
  <si>
    <t>HAJIGANJ BRANCH</t>
  </si>
  <si>
    <t>HAJIGANJ_BRANCH</t>
  </si>
  <si>
    <t>HAJIGANJ EAST BAZAR, HAJIGANJ, CHANDPUR 3610</t>
  </si>
  <si>
    <t>08424 75217</t>
  </si>
  <si>
    <t>010130065</t>
  </si>
  <si>
    <t>KACHUA BRANCH</t>
  </si>
  <si>
    <t>KACHUA_BRANCH</t>
  </si>
  <si>
    <t>KACHUA, CHANDPUR</t>
  </si>
  <si>
    <t>08425 56289, 018 33333015</t>
  </si>
  <si>
    <t>010131035</t>
  </si>
  <si>
    <t>KHAJURIA BAZAR BRANCH</t>
  </si>
  <si>
    <t>KHAJURIA_BAZAR_BRANCH</t>
  </si>
  <si>
    <t>KHAJURIA, SINGHARGOAN, FARIDGANJ, CHANDPUR 3650</t>
  </si>
  <si>
    <t>018 19412992</t>
  </si>
  <si>
    <t>010131219</t>
  </si>
  <si>
    <t>MATLAB BAZAR BRANCH</t>
  </si>
  <si>
    <t>MATLAB_BAZAR_BRANCH</t>
  </si>
  <si>
    <t>AGRANI BANK ROAD, MATLAB, MATLAB SOUTH, CHANDPUR 3640</t>
  </si>
  <si>
    <t>08426 56005</t>
  </si>
  <si>
    <t>010131277</t>
  </si>
  <si>
    <t>MEHER</t>
  </si>
  <si>
    <t>010131330</t>
  </si>
  <si>
    <t>MUNSHIRHAT BRANCH</t>
  </si>
  <si>
    <t>MUNSHIRHAT_BRANCH</t>
  </si>
  <si>
    <t>133</t>
  </si>
  <si>
    <t>DEGALDI, MUNSHIRHAT BAZAR, MATLAB SOUTH, CHANDPUR 3640</t>
  </si>
  <si>
    <t>0841 66953</t>
  </si>
  <si>
    <t>010131398</t>
  </si>
  <si>
    <t>NANDALALPUR BRANCH</t>
  </si>
  <si>
    <t>NANDALALPUR_BRANCH</t>
  </si>
  <si>
    <t>139</t>
  </si>
  <si>
    <t>NANDALALPUR, MATLAB NORTH, CHANDPUR 3640</t>
  </si>
  <si>
    <t>018 19412994</t>
  </si>
  <si>
    <t>010131451</t>
  </si>
  <si>
    <t>NARAYANPUR BRANCH</t>
  </si>
  <si>
    <t>NARAYANPUR_BRANCH</t>
  </si>
  <si>
    <t>145</t>
  </si>
  <si>
    <t>SARPAR, NARAYANPUR BAZAR, MATLAB SOUTH, CHANDPUR 3640</t>
  </si>
  <si>
    <t>018 19412997</t>
  </si>
  <si>
    <t>010131480</t>
  </si>
  <si>
    <t>NATUN BAZAR</t>
  </si>
  <si>
    <t>NATUN_BAZAR</t>
  </si>
  <si>
    <t>148</t>
  </si>
  <si>
    <t>010131727</t>
  </si>
  <si>
    <t>RAMCHANDRAPUR BAZAR BRANCH</t>
  </si>
  <si>
    <t>RAMCHANDRAPUR_BAZAR_BRANCH</t>
  </si>
  <si>
    <t>RAMCHANDRAPUR, KASHEMABAD, HAJIGANJ, CHANDPUR 3611</t>
  </si>
  <si>
    <t>018 13045612</t>
  </si>
  <si>
    <t>010131785</t>
  </si>
  <si>
    <t>RUPSHA BAZAR BRANCH</t>
  </si>
  <si>
    <t>RUPSHA_BAZAR_BRANCH</t>
  </si>
  <si>
    <t>178</t>
  </si>
  <si>
    <t>RUPSHA BAZAR, FARIDGANJ, CHANDPUR 3652</t>
  </si>
  <si>
    <t>08422 64063</t>
  </si>
  <si>
    <t>010132050</t>
  </si>
  <si>
    <t>SREE RAMDEE BRANCH</t>
  </si>
  <si>
    <t>SREE_RAMDEE_BRANCH</t>
  </si>
  <si>
    <t>205</t>
  </si>
  <si>
    <t>NITAIGANJ ROAD, PURAN BAZAR, CHANDPUR 3601</t>
  </si>
  <si>
    <t>0841 65490</t>
  </si>
  <si>
    <t>010132089</t>
  </si>
  <si>
    <t>208</t>
  </si>
  <si>
    <t>JM SENGUPTA ROAD, CHANDPUR 3600</t>
  </si>
  <si>
    <t>0841 63322</t>
  </si>
  <si>
    <t>010700040</t>
  </si>
  <si>
    <t>AMNURA BRANCH</t>
  </si>
  <si>
    <t>AMNURA_BRANCH</t>
  </si>
  <si>
    <t>AMNURA, CHAPAI NAWABGANJ 6303</t>
  </si>
  <si>
    <t>018 19750379</t>
  </si>
  <si>
    <t>010700132</t>
  </si>
  <si>
    <t>BAROGHORIA BRANCH</t>
  </si>
  <si>
    <t>BAROGHORIA_BRANCH</t>
  </si>
  <si>
    <t>BAROGHORIA, CHAPAI NAWABGANJ 6300</t>
  </si>
  <si>
    <t>0781 55923</t>
  </si>
  <si>
    <t>010700190</t>
  </si>
  <si>
    <t>BINODPUR BRANCH</t>
  </si>
  <si>
    <t>BINODPUR_BRANCH</t>
  </si>
  <si>
    <t>BINODPUR, SHIBGONJ, CHAPAI NAWABGANJ 6342</t>
  </si>
  <si>
    <t>018 19750097</t>
  </si>
  <si>
    <t>010700253</t>
  </si>
  <si>
    <t>HUZRAPUR, CHAPAI NAWABGANJ 6300</t>
  </si>
  <si>
    <t>078155365</t>
  </si>
  <si>
    <t>010700345</t>
  </si>
  <si>
    <t>CHOWDALA BRANCH</t>
  </si>
  <si>
    <t>CHOWDALA_BRANCH</t>
  </si>
  <si>
    <t>034</t>
  </si>
  <si>
    <t>CHOWDALA, GOMASTAPUR, CHAPAI NAWABGANJ 6321</t>
  </si>
  <si>
    <t>017 15418976</t>
  </si>
  <si>
    <t>010700408</t>
  </si>
  <si>
    <t>GOBRATOLA BRANCH</t>
  </si>
  <si>
    <t>GOBRATOLA_BRANCH</t>
  </si>
  <si>
    <t>GOBRATOLA, CHAPAI NAWABGANJ 6300</t>
  </si>
  <si>
    <t>018 19750378</t>
  </si>
  <si>
    <t>010700558</t>
  </si>
  <si>
    <t>KHAMAR BRANCH</t>
  </si>
  <si>
    <t>KHAMAR_BRANCH</t>
  </si>
  <si>
    <t>OCTROY MORE, CHAPAI NAWABGANJ 6300</t>
  </si>
  <si>
    <t>0781 55275</t>
  </si>
  <si>
    <t>010700703</t>
  </si>
  <si>
    <t>MANAKASHA BRANCH</t>
  </si>
  <si>
    <t>MANAKASHA_BRANCH</t>
  </si>
  <si>
    <t>MANAKASHA, SHIBGANJ, CHAPAI NAWABGANJ 6342</t>
  </si>
  <si>
    <t>07825 75221</t>
  </si>
  <si>
    <t>010700611</t>
  </si>
  <si>
    <t>MOBARAKPUR BRANCH</t>
  </si>
  <si>
    <t>MOBARAKPUR_BRANCH</t>
  </si>
  <si>
    <t>MOBARAKPUR, SHIBGANJ, CHAPAI NAWABGANJ 6301</t>
  </si>
  <si>
    <t>018 19750098</t>
  </si>
  <si>
    <t>010700824</t>
  </si>
  <si>
    <t>RAJA RAMPUR BRANCH</t>
  </si>
  <si>
    <t>RAJA_RAMPUR_BRANCH</t>
  </si>
  <si>
    <t>BATTALAHAT, CHAPAI NAWABGANJ 6300</t>
  </si>
  <si>
    <t>0781 55540</t>
  </si>
  <si>
    <t>010700882</t>
  </si>
  <si>
    <t>ROHANPUR BRANCH</t>
  </si>
  <si>
    <t>ROHANPUR_BRANCH</t>
  </si>
  <si>
    <t>ROHANPUR, GOMOSTAPUR, CHAPAI NAWABGANJ 6320</t>
  </si>
  <si>
    <t>07823 74001</t>
  </si>
  <si>
    <t>010700916</t>
  </si>
  <si>
    <t>SADARGHAT BRANCH</t>
  </si>
  <si>
    <t>SADARGHAT_BRANCH</t>
  </si>
  <si>
    <t>SADARGHAT, CHAPAI NAWABGANJ 6300</t>
  </si>
  <si>
    <t>0781 55271</t>
  </si>
  <si>
    <t>010700945</t>
  </si>
  <si>
    <t>SHIBGANJ BRANCH</t>
  </si>
  <si>
    <t>SHIBGANJ_BRANCH</t>
  </si>
  <si>
    <t>094</t>
  </si>
  <si>
    <t>SHIBGANJ, CHAPAI NAWABGANJ 6340</t>
  </si>
  <si>
    <t>07825 75014</t>
  </si>
  <si>
    <t>010150166</t>
  </si>
  <si>
    <t>AGRABAD C/A, CHITTAGONG 4100</t>
  </si>
  <si>
    <t>031 716370</t>
  </si>
  <si>
    <t>010150287</t>
  </si>
  <si>
    <t>AMANAT KHAN SARAK BRANCH</t>
  </si>
  <si>
    <t>AMANAT_KHAN_SARAK_BRANCH</t>
  </si>
  <si>
    <t>AMANAT KHAN SARAK, CHITTAGONG PORT, KOTWALI, CHITTAGONG 4100</t>
  </si>
  <si>
    <t>031 2520418</t>
  </si>
  <si>
    <t>010150403</t>
  </si>
  <si>
    <t>AMIRABAD BRANCH</t>
  </si>
  <si>
    <t>AMIRABAD_BRANCH</t>
  </si>
  <si>
    <t>AMIRABAD, LOHAGARA, CHITTAGONG 4396</t>
  </si>
  <si>
    <t>03034 56006</t>
  </si>
  <si>
    <t>010150432</t>
  </si>
  <si>
    <t>AMIRHAT BRANCH</t>
  </si>
  <si>
    <t>AMIRHAT_BRANCH</t>
  </si>
  <si>
    <t>AMIRHAT BAZAR, JAGANNATH HAT, RAOZAN, CHITTAGONG 4340</t>
  </si>
  <si>
    <t>018 19345129</t>
  </si>
  <si>
    <t>010150553</t>
  </si>
  <si>
    <t>ARTILERY CENTRE BRANCH</t>
  </si>
  <si>
    <t>ARTILERY_CENTRE_BRANCH</t>
  </si>
  <si>
    <t>ARTILLERY ROAD, HALISHAHAR, CHITTAGONG 4216</t>
  </si>
  <si>
    <t>031 710216</t>
  </si>
  <si>
    <t>010150582</t>
  </si>
  <si>
    <t>ASADGANJ BRANCH</t>
  </si>
  <si>
    <t>ASADGANJ_BRANCH</t>
  </si>
  <si>
    <t>AGBKBDDH016</t>
  </si>
  <si>
    <t>RAM JOY MAHAJAN LANE, GPO, KOTWALI, CHITTAGONG 4000</t>
  </si>
  <si>
    <t>031 637728</t>
  </si>
  <si>
    <t>010150674</t>
  </si>
  <si>
    <t>ASKERDIGHI BRANCH</t>
  </si>
  <si>
    <t>ASKERDIGHI_BRANCH</t>
  </si>
  <si>
    <t>SS KHALED ROAD, GPO, KOTWALI, CHITTAGONG 4000</t>
  </si>
  <si>
    <t>031 613828</t>
  </si>
  <si>
    <t>010150737</t>
  </si>
  <si>
    <t>AZADI BAZAR BRANCH</t>
  </si>
  <si>
    <t>AZADI_BAZAR_BRANCH</t>
  </si>
  <si>
    <t>AZADI BAZAR, FATIKCHARI, CHITTAGONG 4351</t>
  </si>
  <si>
    <t>018 19345131</t>
  </si>
  <si>
    <t>010150795</t>
  </si>
  <si>
    <t>079</t>
  </si>
  <si>
    <t>BAHADDAR HAT, CHANDGAON, CHITTAGONG 4212</t>
  </si>
  <si>
    <t>031 650626</t>
  </si>
  <si>
    <t>010151123</t>
  </si>
  <si>
    <t>BARADARGAR HAT BRANCH</t>
  </si>
  <si>
    <t>BARADARGAR_HAT_BRANCH</t>
  </si>
  <si>
    <t>DHAKA TRUNK ROAD, BARYADHALA, SITAKUNDA, CHITTAGONG 4311</t>
  </si>
  <si>
    <t>018 19345117</t>
  </si>
  <si>
    <t>010151099</t>
  </si>
  <si>
    <t>BARAIYER HAT BRANCH</t>
  </si>
  <si>
    <t>BARAIYER_HAT_BRANCH</t>
  </si>
  <si>
    <t>MAZZID ROAD, HINGULI, MIRSARAI, CHITTAGONG 4326</t>
  </si>
  <si>
    <t>018 19345116</t>
  </si>
  <si>
    <t>010151181</t>
  </si>
  <si>
    <t>BAY SHOPPING CENTRE</t>
  </si>
  <si>
    <t>BAY_SHOPPING_CENTRE</t>
  </si>
  <si>
    <t>118</t>
  </si>
  <si>
    <t>010151307</t>
  </si>
  <si>
    <t>130</t>
  </si>
  <si>
    <t>KANONGOPHARA, BOALKHALI, CHITTAGONG 4363</t>
  </si>
  <si>
    <t>018 19345105</t>
  </si>
  <si>
    <t>010151752</t>
  </si>
  <si>
    <t>CHAKTAI BRANCH</t>
  </si>
  <si>
    <t>CHAKTAI_BRANCH</t>
  </si>
  <si>
    <t>70 NEW CHAKAI ROAD, KOTWALI, CHITTAGONG 4000</t>
  </si>
  <si>
    <t>031 610910</t>
  </si>
  <si>
    <t>010151907</t>
  </si>
  <si>
    <t>CHATTESWARI ROAD BRANCH</t>
  </si>
  <si>
    <t>CHATTESWARI_ROAD_BRANCH</t>
  </si>
  <si>
    <t>CHATTESWARI ROAD, KOTWALI, CHITTAGONG 4000</t>
  </si>
  <si>
    <t>031 617608</t>
  </si>
  <si>
    <t>010151910</t>
  </si>
  <si>
    <t>CHATURI, ANWARA, CHITTAGONG</t>
  </si>
  <si>
    <t>018 47103760, 018 18565057</t>
  </si>
  <si>
    <t>010150195</t>
  </si>
  <si>
    <t>CHITTAGONG AIR BASE BRANCH</t>
  </si>
  <si>
    <t>CHITTAGONG_AIR_BASE_BRANCH</t>
  </si>
  <si>
    <t>BAF SHAHEEN, CHITTAGONG AIRPORT, PATENGA, CHITTAGONG 4205</t>
  </si>
  <si>
    <t>31 2501142</t>
  </si>
  <si>
    <t>010151660</t>
  </si>
  <si>
    <t>CHITTAGONG CADET COLLEGE BRANCH</t>
  </si>
  <si>
    <t>CHITTAGONG_CADET_COLLEGE_BRANCH</t>
  </si>
  <si>
    <t>166</t>
  </si>
  <si>
    <t>CADET COLLEGE ROAD, SITAKUNDA, CHITTAGONG 4316</t>
  </si>
  <si>
    <t>031 2780248</t>
  </si>
  <si>
    <t>A_BRANCH</t>
  </si>
  <si>
    <t>010153318</t>
  </si>
  <si>
    <t>CHITTAGONG_I</t>
  </si>
  <si>
    <t>010154933</t>
  </si>
  <si>
    <t>CHITTAGONG MEDICAL COLLEGE BRANCH</t>
  </si>
  <si>
    <t>CHITTAGONG_MEDICAL_COLLEGE_BRANCH</t>
  </si>
  <si>
    <t>493</t>
  </si>
  <si>
    <t>CHITTAGONG MEDICAL COLLEGE, PANCHLAISH, CHITTAGONG 4000</t>
  </si>
  <si>
    <t>031 614226</t>
  </si>
  <si>
    <t>010150911</t>
  </si>
  <si>
    <t>CHITTAGONG PORT BRANCH</t>
  </si>
  <si>
    <t>CHITTAGONG_PORT_BRANCH</t>
  </si>
  <si>
    <t>BSC BHABAN, CHITTAGONG PORT, BANDAR, CHITTAGONG 4100</t>
  </si>
  <si>
    <t>031 811241</t>
  </si>
  <si>
    <t>010152085</t>
  </si>
  <si>
    <t>CHITTAGONG UNIVERSITY BRANCH</t>
  </si>
  <si>
    <t>CHITTAGONG_UNIVERSITY_BRANCH</t>
  </si>
  <si>
    <t>CHITTAGONG UNIVERSITY, HATHAZARI, CHITTAGONG 4331</t>
  </si>
  <si>
    <t>31 2601114</t>
  </si>
  <si>
    <t>010152298</t>
  </si>
  <si>
    <t>COLONEL HAT BRANCH</t>
  </si>
  <si>
    <t>COLONEL_HAT_BRANCH</t>
  </si>
  <si>
    <t>229</t>
  </si>
  <si>
    <t>DHAKA TRUNK ROAD, COLONEL HAT, PAHARTALI, CHITTAGONG 4317</t>
  </si>
  <si>
    <t>031 751323</t>
  </si>
  <si>
    <t>010152322</t>
  </si>
  <si>
    <t>COMMERCIAL AREA</t>
  </si>
  <si>
    <t>COMMERCIAL_AREA</t>
  </si>
  <si>
    <t>232</t>
  </si>
  <si>
    <t>010152443</t>
  </si>
  <si>
    <t>DEWAN HAT, DOHAZARI, CHANDANAISH, CHITTAGONG 4382</t>
  </si>
  <si>
    <t>018 19345135</t>
  </si>
  <si>
    <t>010152627</t>
  </si>
  <si>
    <t>DURGAPUR BRANCH</t>
  </si>
  <si>
    <t>DURGAPUR_BRANCH</t>
  </si>
  <si>
    <t>262</t>
  </si>
  <si>
    <t>DURGAPUR, BHARATVAJ HAT, MIRSHARAI, CHITTAGONG 4323</t>
  </si>
  <si>
    <t>018 19345118</t>
  </si>
  <si>
    <t>010152801</t>
  </si>
  <si>
    <t>FIRINGI BAZAR BRANCH</t>
  </si>
  <si>
    <t>FIRINGI_BAZAR_BRANCH</t>
  </si>
  <si>
    <t>280</t>
  </si>
  <si>
    <t>SHIB BARI LANE, KOTWALI, CHITTAGONG 4000</t>
  </si>
  <si>
    <t>031 630209</t>
  </si>
  <si>
    <t>010152869</t>
  </si>
  <si>
    <t>FOTEABAD BRANCH</t>
  </si>
  <si>
    <t>FOTEABAD_BRANCH</t>
  </si>
  <si>
    <t>CHOWDHURY HAT BAZAR, FOTEABAD, HATHAZARI, CHITTAGONG 3225</t>
  </si>
  <si>
    <t>018 19345127</t>
  </si>
  <si>
    <t>010152898</t>
  </si>
  <si>
    <t>FOUZDERHAT BRANCH</t>
  </si>
  <si>
    <t>FOUZDERHAT_BRANCH</t>
  </si>
  <si>
    <t>289</t>
  </si>
  <si>
    <t>DHAKA TRUNK ROAD, ZAFARABAD, PAHARTALI, CHITTAGONG 4317</t>
  </si>
  <si>
    <t>031 751984</t>
  </si>
  <si>
    <t>010153013</t>
  </si>
  <si>
    <t>GAHIRA FKJ MADRASHA BRANCH</t>
  </si>
  <si>
    <t>GAHIRA_FKJ_MADRASHA_BRANCH</t>
  </si>
  <si>
    <t>301</t>
  </si>
  <si>
    <t>FKJ MADRASHA, GAHIRA, RAOZAN, CHITTAGONG 4343</t>
  </si>
  <si>
    <t>018 19345130</t>
  </si>
  <si>
    <t>010153071</t>
  </si>
  <si>
    <t>GUNAGARI BRANCH</t>
  </si>
  <si>
    <t>GUNAGARI_BRANCH</t>
  </si>
  <si>
    <t>GUNAGARI, BANSKHALI, CHITTAGONG 4392</t>
  </si>
  <si>
    <t>018 19345136</t>
  </si>
  <si>
    <t>010153163</t>
  </si>
  <si>
    <t>HALISHAHAR BRANCH</t>
  </si>
  <si>
    <t>HALISHAHAR_BRANCH</t>
  </si>
  <si>
    <t>EIDGAH, DT ROAD, HALISHAHAR, CHITTAGONG 4228</t>
  </si>
  <si>
    <t>031 2520663</t>
  </si>
  <si>
    <t>010153226</t>
  </si>
  <si>
    <t>HATHAZARI BUS STATION, HATHAZARI, CHITTAGONG 4330</t>
  </si>
  <si>
    <t>031 2601099</t>
  </si>
  <si>
    <t>010153255</t>
  </si>
  <si>
    <t>HAZIRHAT</t>
  </si>
  <si>
    <t>325</t>
  </si>
  <si>
    <t>010153376</t>
  </si>
  <si>
    <t>ISHAKHALI BRANCH</t>
  </si>
  <si>
    <t>ISHAKHALI_BRANCH</t>
  </si>
  <si>
    <t>337</t>
  </si>
  <si>
    <t>RANGUNIA, CHITTAGONG 4360</t>
  </si>
  <si>
    <t>0302 556003</t>
  </si>
  <si>
    <t>010153439</t>
  </si>
  <si>
    <t>ISHANAGAR BRANCH</t>
  </si>
  <si>
    <t>ISHANAGAR_BRANCH</t>
  </si>
  <si>
    <t>343</t>
  </si>
  <si>
    <t>ISHANAGAR FISH HARBOUR, KARNAFULI, CHITTAGONG 4000</t>
  </si>
  <si>
    <t>018 19345137</t>
  </si>
  <si>
    <t>010153521</t>
  </si>
  <si>
    <t>JALALABAD BRANCH</t>
  </si>
  <si>
    <t>JALALABAD_BRANCH</t>
  </si>
  <si>
    <t>352</t>
  </si>
  <si>
    <t>BOTTOLI BAZAR, KULGAON, HAJI SALEH BAZAR, BAIZID ROAD, CHITTAGONG 4216</t>
  </si>
  <si>
    <t>031 683521</t>
  </si>
  <si>
    <t>010153642</t>
  </si>
  <si>
    <t>364</t>
  </si>
  <si>
    <t>129 JUBILEE ROAD, KOTWALI, CHITTAGONG 4000</t>
  </si>
  <si>
    <t>031 614919</t>
  </si>
  <si>
    <t>010154038</t>
  </si>
  <si>
    <t>KAPASHGOLA BRANCH</t>
  </si>
  <si>
    <t>KAPASHGOLA_BRANCH</t>
  </si>
  <si>
    <t>403</t>
  </si>
  <si>
    <t>KAPASHGOLA, PANCHLAISH, CHITTAGONG 4000</t>
  </si>
  <si>
    <t>031 653075</t>
  </si>
  <si>
    <t>010154188</t>
  </si>
  <si>
    <t>KERANIRHAT BRANCH</t>
  </si>
  <si>
    <t>KERANIRHAT_BRANCH</t>
  </si>
  <si>
    <t>418</t>
  </si>
  <si>
    <t>KERANIR HAT, SATKANIA, CHITTAGONG 4387</t>
  </si>
  <si>
    <t>03036 56536, 018 19345138</t>
  </si>
  <si>
    <t>010154270</t>
  </si>
  <si>
    <t>427</t>
  </si>
  <si>
    <t>KHATUNGANJ ROAD, KOTWALI, CHITTAGONG 4000</t>
  </si>
  <si>
    <t>031 637482</t>
  </si>
  <si>
    <t>010154362</t>
  </si>
  <si>
    <t>436</t>
  </si>
  <si>
    <t>JAKIR HOSSAIN ROAD, DAMPARA, KHULSHI, CHITTAGONG 4000</t>
  </si>
  <si>
    <t>031 655283</t>
  </si>
  <si>
    <t>010154546</t>
  </si>
  <si>
    <t>LALDIGHI EAST BRANCH</t>
  </si>
  <si>
    <t>LALDIGHI_EAST_BRANCH</t>
  </si>
  <si>
    <t>454</t>
  </si>
  <si>
    <t>AGBKBDDH017</t>
  </si>
  <si>
    <t>1012-1013 LALDIGHI EAST SIDE, KOTWALI, CHITTAGONG 4000</t>
  </si>
  <si>
    <t>031 611373, 616754, 630805</t>
  </si>
  <si>
    <t>010154575</t>
  </si>
  <si>
    <t>LALKHAN BAZAR BRANCH</t>
  </si>
  <si>
    <t>LALKHAN_BAZAR_BRANCH</t>
  </si>
  <si>
    <t>457</t>
  </si>
  <si>
    <t>CDA AVENUE, KOTWALI, CHITTAGONG 4000</t>
  </si>
  <si>
    <t>031 611421</t>
  </si>
  <si>
    <t>010154696</t>
  </si>
  <si>
    <t>MADAMBIBIRHAT BRANCH</t>
  </si>
  <si>
    <t>MADAMBIBIRHAT_BRANCH</t>
  </si>
  <si>
    <t>469</t>
  </si>
  <si>
    <t>DHAKA TRUNK ROAD, BHATIARY, SITAKUNDA, CHITTAGONG 4315</t>
  </si>
  <si>
    <t>018 19345134</t>
  </si>
  <si>
    <t>010155024</t>
  </si>
  <si>
    <t>MINNATALI HAT BRANCH</t>
  </si>
  <si>
    <t>MINNATALI_HAT_BRANCH</t>
  </si>
  <si>
    <t>502</t>
  </si>
  <si>
    <t>MINNAT ALI HAT, ANWARA, CHITTAGONG 4338</t>
  </si>
  <si>
    <t>018 19345141</t>
  </si>
  <si>
    <t>010155082</t>
  </si>
  <si>
    <t>MIRZAKHIL BRANCH</t>
  </si>
  <si>
    <t>MIRZAKHIL_BRANCH</t>
  </si>
  <si>
    <t>508</t>
  </si>
  <si>
    <t>MIRZAKHIL, SATKANIA, CHITTAGONG 3860</t>
  </si>
  <si>
    <t>018 19345139</t>
  </si>
  <si>
    <t>010155174</t>
  </si>
  <si>
    <t>MODUNAGHAT BRANCH</t>
  </si>
  <si>
    <t>MODUNAGHAT_BRANCH</t>
  </si>
  <si>
    <t>517</t>
  </si>
  <si>
    <t>MODUNAGHAT BAZAR, SOUTH MADARSHA, NOOR ALI BARI, HATHAZARI, CHITTAGONG 4337</t>
  </si>
  <si>
    <t>0316 72141</t>
  </si>
  <si>
    <t>010155590</t>
  </si>
  <si>
    <t>NAZIRHAT BRANCH</t>
  </si>
  <si>
    <t>NAZIRHAT_BRANCH</t>
  </si>
  <si>
    <t>559</t>
  </si>
  <si>
    <t>NAZIRHAT BAZAR, FATIKCHHARI, CHITTAGONG 4353</t>
  </si>
  <si>
    <t>018 19345133</t>
  </si>
  <si>
    <t>010155653</t>
  </si>
  <si>
    <t>NEW MARKET BRANCH</t>
  </si>
  <si>
    <t>NEW_MARKET_BRANCH</t>
  </si>
  <si>
    <t>565</t>
  </si>
  <si>
    <t>AGBKBDDH039</t>
  </si>
  <si>
    <t>886/904 HS SOHRAWARDY ROAD, KOTWALI, CHITTAGONG 4000</t>
  </si>
  <si>
    <t>031 611525</t>
  </si>
  <si>
    <t>010155929</t>
  </si>
  <si>
    <t>PAHARTALI BRANCH</t>
  </si>
  <si>
    <t>PAHARTALI_BRANCH</t>
  </si>
  <si>
    <t>592</t>
  </si>
  <si>
    <t>DT ROAD, PAHARTALI BAZAR, CHITTAGONG 4202</t>
  </si>
  <si>
    <t>031 751332</t>
  </si>
  <si>
    <t>010156160</t>
  </si>
  <si>
    <t>PATIYA BRANCH</t>
  </si>
  <si>
    <t>PATIYA_BRANCH</t>
  </si>
  <si>
    <t>616</t>
  </si>
  <si>
    <t>PATIYA, CHITTAGONG 4370</t>
  </si>
  <si>
    <t>03035 56221</t>
  </si>
  <si>
    <t>010152056</t>
  </si>
  <si>
    <t>PRESS CLUB BRANCH</t>
  </si>
  <si>
    <t>PRESS_CLUB_BRANCH</t>
  </si>
  <si>
    <t>JAMAL KHAN ROAD, RAHMATGANJ, KOTWALI, CHITTAGONG 4000</t>
  </si>
  <si>
    <t>031 615759</t>
  </si>
  <si>
    <t>010156344</t>
  </si>
  <si>
    <t>QUAISH BURISCHAR BRANCH</t>
  </si>
  <si>
    <t>QUAISH_BURISCHAR_BRANCH</t>
  </si>
  <si>
    <t>634</t>
  </si>
  <si>
    <t>SK MOHAMMAD CITY CORPORATION COLLEGE, NOOR ALI BARI, HATHAZARI, CHITTAGONG 4337</t>
  </si>
  <si>
    <t>03125 70718</t>
  </si>
  <si>
    <t>010156494</t>
  </si>
  <si>
    <t>RAOZAN BRANCH</t>
  </si>
  <si>
    <t>RAOZAN_BRANCH</t>
  </si>
  <si>
    <t>649</t>
  </si>
  <si>
    <t>FAKIRHAT BAZAR, RAOZAN, CHITTAGONG 4340</t>
  </si>
  <si>
    <t>0302 656014</t>
  </si>
  <si>
    <t>010156528</t>
  </si>
  <si>
    <t>REAJUDDIN BAZAR BRANCH</t>
  </si>
  <si>
    <t>REAJUDDIN_BAZAR_BRANCH</t>
  </si>
  <si>
    <t>652</t>
  </si>
  <si>
    <t>REAJUDDIN BAZAR ROAD, KOTWALI, CHITTAGONG 4000</t>
  </si>
  <si>
    <t>031 613386</t>
  </si>
  <si>
    <t>010156731</t>
  </si>
  <si>
    <t>673</t>
  </si>
  <si>
    <t>SADARGHAT ROAD, KOTWALI, CHITTAGONG 4000</t>
  </si>
  <si>
    <t>031 614732</t>
  </si>
  <si>
    <t>010156915</t>
  </si>
  <si>
    <t>SANDWIP, CHITTAGONG</t>
  </si>
  <si>
    <t>018 33359666, 018 23722915</t>
  </si>
  <si>
    <t>010157035</t>
  </si>
  <si>
    <t>SARWATALI BRANCH</t>
  </si>
  <si>
    <t>SARWATALI_BRANCH</t>
  </si>
  <si>
    <t>703</t>
  </si>
  <si>
    <t>SARWATALI, BENGURA, BOALKHALI, CHITTAGONG 4367</t>
  </si>
  <si>
    <t>018 19345153</t>
  </si>
  <si>
    <t>010157093</t>
  </si>
  <si>
    <t>SATTARHAT BRANCH</t>
  </si>
  <si>
    <t>SATTARHAT_BRANCH</t>
  </si>
  <si>
    <t>709</t>
  </si>
  <si>
    <t>SATTARHAT, ANWARA, CHITTAGONG 4376</t>
  </si>
  <si>
    <t>018 19345109</t>
  </si>
  <si>
    <t>010156881</t>
  </si>
  <si>
    <t>SHAMITIRHAT BRANCH</t>
  </si>
  <si>
    <t>SHAMITIRHAT_BRANCH</t>
  </si>
  <si>
    <t>688</t>
  </si>
  <si>
    <t>SHAMITIRHAT BAZAR, FATIKCHHARI, CHITTAGONG 4333</t>
  </si>
  <si>
    <t>018 19345132</t>
  </si>
  <si>
    <t>010156944</t>
  </si>
  <si>
    <t>SHANTI NIKETAN BRANCH</t>
  </si>
  <si>
    <t>SHANTI_NIKETAN_BRANCH</t>
  </si>
  <si>
    <t>694</t>
  </si>
  <si>
    <t>SHANTI NIKETAN BAZAR, RANGUNIA, CHITTAGONG 4360</t>
  </si>
  <si>
    <t>018 19345128</t>
  </si>
  <si>
    <t>010157398</t>
  </si>
  <si>
    <t>739</t>
  </si>
  <si>
    <t>DHAKA TRUNK ROAD, SITAKUNDA, CHITTAGONG 4310</t>
  </si>
  <si>
    <t>03028 56035</t>
  </si>
  <si>
    <t>010157422</t>
  </si>
  <si>
    <t>SK MUJIB SARAK BRANCH</t>
  </si>
  <si>
    <t>SK_MUJIB_SARAK_BRANCH</t>
  </si>
  <si>
    <t>742</t>
  </si>
  <si>
    <t>SK MUJIB SARAK, AGRABAD, CHITTAGONG 4000</t>
  </si>
  <si>
    <t>031 2520931</t>
  </si>
  <si>
    <t>010157543</t>
  </si>
  <si>
    <t>STEEL MILLS BRANCH</t>
  </si>
  <si>
    <t>STEEL_MILLS_BRANCH</t>
  </si>
  <si>
    <t>754</t>
  </si>
  <si>
    <t>STEEL MILLS, POTENGA, CHITTAGONG 4200</t>
  </si>
  <si>
    <t>031 2500020</t>
  </si>
  <si>
    <t>010157572</t>
  </si>
  <si>
    <t>STRAND ROAD BRANCH</t>
  </si>
  <si>
    <t>STRAND_ROAD_BRANCH</t>
  </si>
  <si>
    <t>757</t>
  </si>
  <si>
    <t>AGBKBDDH041</t>
  </si>
  <si>
    <t>15 STRAND ROAD, KOTWALI, CHITTAGONG 4000</t>
  </si>
  <si>
    <t>031 631724</t>
  </si>
  <si>
    <t>CHUADANGA</t>
  </si>
  <si>
    <t>010180044</t>
  </si>
  <si>
    <t>ALAMDANGA BRANCH</t>
  </si>
  <si>
    <t>ALAMDANGA_BRANCH</t>
  </si>
  <si>
    <t>HALUD PATTY, ALAMDANGA, CHUADANGA 7210</t>
  </si>
  <si>
    <t>07622 56223</t>
  </si>
  <si>
    <t>010180107</t>
  </si>
  <si>
    <t>ANDULBARIA BRANCH</t>
  </si>
  <si>
    <t>ANDULBARIA_BRANCH</t>
  </si>
  <si>
    <t>ANDULBARIA, JIBAN NAGAR, CHUADANGA 7222</t>
  </si>
  <si>
    <t>018 19700327</t>
  </si>
  <si>
    <t>010180136</t>
  </si>
  <si>
    <t>ASMANKHALI BRANCH</t>
  </si>
  <si>
    <t>ASMANKHALI_BRANCH</t>
  </si>
  <si>
    <t>ASMANKHALI, ALAMDANGA, CHUADANGA 7201</t>
  </si>
  <si>
    <t>018 19700323</t>
  </si>
  <si>
    <t>010180194</t>
  </si>
  <si>
    <t>CHUADANGA BRANCH</t>
  </si>
  <si>
    <t>CHUADANGA_BRANCH</t>
  </si>
  <si>
    <t>CHUADANGA 7200</t>
  </si>
  <si>
    <t>018 19700314, 0761 62453</t>
  </si>
  <si>
    <t>010180310</t>
  </si>
  <si>
    <t>DARSHANA BRANCH</t>
  </si>
  <si>
    <t>DARSHANA_BRANCH</t>
  </si>
  <si>
    <t>031</t>
  </si>
  <si>
    <t>DARSHANA, DAMURHUDAM, CHUADANGA 7221</t>
  </si>
  <si>
    <t>07632 51009</t>
  </si>
  <si>
    <t>010180431</t>
  </si>
  <si>
    <t>HARDI BRANCH</t>
  </si>
  <si>
    <t>HARDI_BRANCH</t>
  </si>
  <si>
    <t>HARDI, ALAMDANGA, CHUADANGA 7211</t>
  </si>
  <si>
    <t>018 19700324</t>
  </si>
  <si>
    <t>010180581</t>
  </si>
  <si>
    <t>JIBANNAGAR BRANCH</t>
  </si>
  <si>
    <t>JIBANNAGAR_BRANCH</t>
  </si>
  <si>
    <t>JIBAN NAGAR, DAULATGANJ, CHUADANGA 7230</t>
  </si>
  <si>
    <t>07624 75016</t>
  </si>
  <si>
    <t>010180707</t>
  </si>
  <si>
    <t>KEDARGANJ BRANCH</t>
  </si>
  <si>
    <t>KEDARGANJ_BRANCH</t>
  </si>
  <si>
    <t>KEDARGANJ, CHUADANGA 7200</t>
  </si>
  <si>
    <t>0761 62540</t>
  </si>
  <si>
    <t>010180794</t>
  </si>
  <si>
    <t>RADHAKANTAPUR BAZAR BRANCH</t>
  </si>
  <si>
    <t>RADHAKANTAPUR_BAZAR_BRANCH</t>
  </si>
  <si>
    <t>MUNSHIGANJ BAZAR, ALAMDANGA, CHUADANGA 7210</t>
  </si>
  <si>
    <t>0761 64261</t>
  </si>
  <si>
    <t>010180828</t>
  </si>
  <si>
    <t>RAMDIA BRANCH</t>
  </si>
  <si>
    <t>RAMDIA_BRANCH</t>
  </si>
  <si>
    <t>KASKORRA BAZAR, ALAMDANGA, CHUADANGA 7210</t>
  </si>
  <si>
    <t>018 19700325</t>
  </si>
  <si>
    <t>010190168</t>
  </si>
  <si>
    <t>AMRATALI BAZAR BRANCH</t>
  </si>
  <si>
    <t>AMRATALI_BAZAR_BRANCH</t>
  </si>
  <si>
    <t>BARURA ROAD, AMRATALI, BARURA, COMILLA 3500</t>
  </si>
  <si>
    <t>018 19412927</t>
  </si>
  <si>
    <t>010190739</t>
  </si>
  <si>
    <t>BAKSHAGANJ BRANCH</t>
  </si>
  <si>
    <t>BAKSHAGANJ_BRANCH</t>
  </si>
  <si>
    <t>BAKSHAGANJ, HOSSAMIA, NANGALKOT, COMILLA 3583</t>
  </si>
  <si>
    <t>018 19412925</t>
  </si>
  <si>
    <t>010190371</t>
  </si>
  <si>
    <t>BALUTUPA BRANCH</t>
  </si>
  <si>
    <t>BALUTUPA_BRANCH</t>
  </si>
  <si>
    <t>OLD CHITTAGONG ROAD, CHAPAPUR, KOTWALI, COMILLA 3500</t>
  </si>
  <si>
    <t>081 67240</t>
  </si>
  <si>
    <t>010190555</t>
  </si>
  <si>
    <t>BATAISARI BAZAR BRANCH</t>
  </si>
  <si>
    <t>BATAISARI_BAZAR_BRANCH</t>
  </si>
  <si>
    <t>BATAISARI BAZAR, BARURA, COMILLA 3560</t>
  </si>
  <si>
    <t>018 19412928</t>
  </si>
  <si>
    <t>010190526</t>
  </si>
  <si>
    <t>BATA KANDI BAZAR</t>
  </si>
  <si>
    <t>BATA_KANDI_BAZAR</t>
  </si>
  <si>
    <t>010190250</t>
  </si>
  <si>
    <t>BSCIC BRANCH</t>
  </si>
  <si>
    <t>BSCIC_BRANCH</t>
  </si>
  <si>
    <t>RANIR BAZAR ROAD, SADAR, COMILLA 3500</t>
  </si>
  <si>
    <t>081 65346</t>
  </si>
  <si>
    <t>010190834</t>
  </si>
  <si>
    <t>BURICHONG BAZAR BRANCH</t>
  </si>
  <si>
    <t>BURICHONG_BAZAR_BRANCH</t>
  </si>
  <si>
    <t>BURICHONG, COMILLA</t>
  </si>
  <si>
    <t>0802 56124, 017 17032139</t>
  </si>
  <si>
    <t>010190889</t>
  </si>
  <si>
    <t>CHANDINA BRANCH</t>
  </si>
  <si>
    <t>CHANDINA_BRANCH</t>
  </si>
  <si>
    <t>CHANDINA, COMILLA 3510</t>
  </si>
  <si>
    <t>08022 56152</t>
  </si>
  <si>
    <t>010190126</t>
  </si>
  <si>
    <t>COMILLA MEDICAL COLLEGE BRANCH</t>
  </si>
  <si>
    <t>COMILLA_MEDICAL_COLLEGE_BRANCH</t>
  </si>
  <si>
    <t>COMILLA MEDICAL COLLEGE, COMILLA</t>
  </si>
  <si>
    <t>081 73517</t>
  </si>
  <si>
    <t>010191512</t>
  </si>
  <si>
    <t>DAUDKANDI BRANCH</t>
  </si>
  <si>
    <t>DAUDKANDI_BRANCH</t>
  </si>
  <si>
    <t>151</t>
  </si>
  <si>
    <t>DAUDKANDI BAZAR, DAUDKANDI, COMILLA 3516</t>
  </si>
  <si>
    <t>08023 55484</t>
  </si>
  <si>
    <t>010191604</t>
  </si>
  <si>
    <t>DEBIDWAR</t>
  </si>
  <si>
    <t>010192203</t>
  </si>
  <si>
    <t>HASANPUR BRANCH</t>
  </si>
  <si>
    <t>HASANPUR_BRANCH</t>
  </si>
  <si>
    <t>BAKSHAGANJ ROAD, DHALUA BAZAR, NANGALKOT, COMILLA 3581</t>
  </si>
  <si>
    <t>018 19412926</t>
  </si>
  <si>
    <t>010192232</t>
  </si>
  <si>
    <t>HOMNA BRANCH</t>
  </si>
  <si>
    <t>HOMNA_BRANCH</t>
  </si>
  <si>
    <t>HOMNA, COMILLA 3546</t>
  </si>
  <si>
    <t>08025 54002</t>
  </si>
  <si>
    <t>010192261</t>
  </si>
  <si>
    <t>HOUSING ESTATE BRANCH</t>
  </si>
  <si>
    <t>HOUSING_ESTATE_BRANCH</t>
  </si>
  <si>
    <t>HOUSING ESTATE, COMILLA SADAR, COMILLA 3500</t>
  </si>
  <si>
    <t>081 68750</t>
  </si>
  <si>
    <t>010192353</t>
  </si>
  <si>
    <t>JAHAPUR BRANCH</t>
  </si>
  <si>
    <t>JAHAPUR_BRANCH</t>
  </si>
  <si>
    <t>235</t>
  </si>
  <si>
    <t>JAHAPUR, MURADNAGAR, COMILLA 3540</t>
  </si>
  <si>
    <t>018 19412923</t>
  </si>
  <si>
    <t>010192382</t>
  </si>
  <si>
    <t>JHALAM BAZAR BRANCH</t>
  </si>
  <si>
    <t>JHALAM_BAZAR_BRANCH</t>
  </si>
  <si>
    <t>238</t>
  </si>
  <si>
    <t>JHALAM BAZAR, BARURA, COMILLA 3560</t>
  </si>
  <si>
    <t>018 19412930</t>
  </si>
  <si>
    <t>010190063</t>
  </si>
  <si>
    <t>JUKTIKHOLA BAZAR BRANCH</t>
  </si>
  <si>
    <t>JUKTIKHOLA_BAZAR_BRANCH</t>
  </si>
  <si>
    <t>JUKTIKHOLA BAZAR, NANGALKOT, COMILLA</t>
  </si>
  <si>
    <t>017 30714977</t>
  </si>
  <si>
    <t>010192595</t>
  </si>
  <si>
    <t>KASHINAGAR BAZAR BRANCH</t>
  </si>
  <si>
    <t>KASHINAGAR_BAZAR_BRANCH</t>
  </si>
  <si>
    <t>259</t>
  </si>
  <si>
    <t>KASHINAGAR BAZAR, CHAUDDAGRAM, COMILLA 3550</t>
  </si>
  <si>
    <t>018 19413005</t>
  </si>
  <si>
    <t>010192629</t>
  </si>
  <si>
    <t>KHILA BAZAR BRANCH</t>
  </si>
  <si>
    <t>KHILA_BAZAR_BRANCH</t>
  </si>
  <si>
    <t>NOAKHALI ROAD, IQBAL NAGAR, MANOHARGANJ, COMILLA 3570</t>
  </si>
  <si>
    <t>018 19413010</t>
  </si>
  <si>
    <t>010192711</t>
  </si>
  <si>
    <t>LAKSAM BRANCH</t>
  </si>
  <si>
    <t>LAKSAM_BRANCH</t>
  </si>
  <si>
    <t>271</t>
  </si>
  <si>
    <t>DAWLATGANJ ROAD, LAKSAM, COMILLA 3570</t>
  </si>
  <si>
    <t>08032 51317</t>
  </si>
  <si>
    <t>010192779</t>
  </si>
  <si>
    <t>MADHABPUR BAZAR BRANCH</t>
  </si>
  <si>
    <t>MADHABPUR_BAZAR_BRANCH</t>
  </si>
  <si>
    <t>277</t>
  </si>
  <si>
    <t>BRAHMANBARIA ROAD, MADHABPUR, BRAHMANPARA, COMILLA 3461</t>
  </si>
  <si>
    <t>018 19413009</t>
  </si>
  <si>
    <t>010193073</t>
  </si>
  <si>
    <t>MANOHARPUR BRANCH</t>
  </si>
  <si>
    <t>MANOHARPUR_BRANCH</t>
  </si>
  <si>
    <t>KANDIRPAR ROAD, MANOHARPUR, COMILLA 3500</t>
  </si>
  <si>
    <t>081 72120, 76160</t>
  </si>
  <si>
    <t>010193107</t>
  </si>
  <si>
    <t>MUNSHIRHAT, CHAUDDAGRAM, COMILLA 3550</t>
  </si>
  <si>
    <t>018 19413006</t>
  </si>
  <si>
    <t>010193257</t>
  </si>
  <si>
    <t>NANGALKOT</t>
  </si>
  <si>
    <t>010193286</t>
  </si>
  <si>
    <t>NASRATPUR BRANCH</t>
  </si>
  <si>
    <t>NASRATPUR_BRANCH</t>
  </si>
  <si>
    <t>328</t>
  </si>
  <si>
    <t>NOAKHALI ROAD, LAKSHAM, COMILLA 3570</t>
  </si>
  <si>
    <t>08032 51454</t>
  </si>
  <si>
    <t>010193310</t>
  </si>
  <si>
    <t>NATHERPATUA BRANCH</t>
  </si>
  <si>
    <t>NATHERPATUA_BRANCH</t>
  </si>
  <si>
    <t>331</t>
  </si>
  <si>
    <t>NOAKHALI ROAD, NATHERPATUA, MANOHARGANJ, COMILLA 3570</t>
  </si>
  <si>
    <t>018 19412921</t>
  </si>
  <si>
    <t>010193349</t>
  </si>
  <si>
    <t>NIMSAR BRANCH</t>
  </si>
  <si>
    <t>NIMSAR_BRANCH</t>
  </si>
  <si>
    <t>334</t>
  </si>
  <si>
    <t>BISHA ROAD, NIMSAR, BURICHANG, COMILLA 3500</t>
  </si>
  <si>
    <t>018 19413002</t>
  </si>
  <si>
    <t>010193402</t>
  </si>
  <si>
    <t>PADUAR BAZAR BRANCH</t>
  </si>
  <si>
    <t>PADUAR_BAZAR_BRANCH</t>
  </si>
  <si>
    <t>340</t>
  </si>
  <si>
    <t>BISHA ROAD, PADUAR BAZAR, AHMEDNAGAR, SADAR SOUTH, COMILLA 3502</t>
  </si>
  <si>
    <t>081 69122</t>
  </si>
  <si>
    <t>010193581</t>
  </si>
  <si>
    <t>RAJGANJ BRANCH</t>
  </si>
  <si>
    <t>RAJGANJ_BRANCH</t>
  </si>
  <si>
    <t>358</t>
  </si>
  <si>
    <t>AGBKBDDH020</t>
  </si>
  <si>
    <t>CHAWKBAZAR ROAD, COMILLA 3500</t>
  </si>
  <si>
    <t>081 76022</t>
  </si>
  <si>
    <t>010193765</t>
  </si>
  <si>
    <t>RUPBABU BAZAR BRANCH</t>
  </si>
  <si>
    <t>RUPBABU_BAZAR_BRANCH</t>
  </si>
  <si>
    <t>376</t>
  </si>
  <si>
    <t>BANGURA, MURADNAGAR, COMILLA 3543</t>
  </si>
  <si>
    <t>018 19412922</t>
  </si>
  <si>
    <t>010193828</t>
  </si>
  <si>
    <t>SHANKACHAIL BRANCH</t>
  </si>
  <si>
    <t>SHANKACHAIL_BRANCH</t>
  </si>
  <si>
    <t>382</t>
  </si>
  <si>
    <t>SHANKACHAIL BAZAR, BURICHANG, COMILLA 3500</t>
  </si>
  <si>
    <t>018 19413004</t>
  </si>
  <si>
    <t>010194098</t>
  </si>
  <si>
    <t>THOMSON BRIDGE BRANCH</t>
  </si>
  <si>
    <t>THOMSON_BRIDGE_BRANCH</t>
  </si>
  <si>
    <t>409</t>
  </si>
  <si>
    <t>EPZ ROAD, COMILLA SADAR, COMILLA 3500</t>
  </si>
  <si>
    <t>081 65770</t>
  </si>
  <si>
    <t>010220254</t>
  </si>
  <si>
    <t>010220641</t>
  </si>
  <si>
    <t>KHUTAKHALI</t>
  </si>
  <si>
    <t>010220704</t>
  </si>
  <si>
    <t>MARICCHA</t>
  </si>
  <si>
    <t>010220917</t>
  </si>
  <si>
    <t>010270109</t>
  </si>
  <si>
    <t>AGAMASHI LANE BRANCH</t>
  </si>
  <si>
    <t>AGAMASHI_LANE_BRANCH</t>
  </si>
  <si>
    <t>KAZI ALAUDDIN ROAD, SUTRAPUR, DHAKA 1100</t>
  </si>
  <si>
    <t>02 731537</t>
  </si>
  <si>
    <t>010270259</t>
  </si>
  <si>
    <t>AMIN COURT BRANCH</t>
  </si>
  <si>
    <t>AMIN_COURT_BRANCH</t>
  </si>
  <si>
    <t>AGBKBDDH004</t>
  </si>
  <si>
    <t>62/63 MOTIJHEEL C/A, DHAKA 1000</t>
  </si>
  <si>
    <t>02 9572045</t>
  </si>
  <si>
    <t>010270288</t>
  </si>
  <si>
    <t>ANTA BARRAH BRANCH</t>
  </si>
  <si>
    <t>ANTA_BARRAH_BRANCH</t>
  </si>
  <si>
    <t>RAIPARA, DOHAR, DHAKA</t>
  </si>
  <si>
    <t>018 19412942</t>
  </si>
  <si>
    <t>010270554</t>
  </si>
  <si>
    <t>BABU BAZAR BRANCH</t>
  </si>
  <si>
    <t>BABU_BAZAR_BRANCH</t>
  </si>
  <si>
    <t>3/2 AZIZULLAH ROAD, BABU BAZAR, LALBAGH, DHAKA 1100</t>
  </si>
  <si>
    <t>02 7317779</t>
  </si>
  <si>
    <t>010260430</t>
  </si>
  <si>
    <t>AGBKBDDH008</t>
  </si>
  <si>
    <t>26 KAMAL ATTATURK AVENUE, BANANI, GULSHAN, DHAKA 1213</t>
  </si>
  <si>
    <t>02 8816279</t>
  </si>
  <si>
    <t>010270433</t>
  </si>
  <si>
    <t>BANGABANDHU AVENUE BRANCH</t>
  </si>
  <si>
    <t>BANGABANDHU_AVENUE_BRANCH</t>
  </si>
  <si>
    <t>AGBKBDDH002</t>
  </si>
  <si>
    <t>32 BANGABANDHU AVENUE, RAMNA, DHAKA 1000</t>
  </si>
  <si>
    <t>02 9553242</t>
  </si>
  <si>
    <t>010260319</t>
  </si>
  <si>
    <t>BANGLADESH AIR FORCE BRANCH</t>
  </si>
  <si>
    <t>BANGLADESH_AIR_FORCE_BRANCH</t>
  </si>
  <si>
    <t>DHAKA CANTONMENT, KAFRUL, DHAKA 1206</t>
  </si>
  <si>
    <t>02 9860357</t>
  </si>
  <si>
    <t>010270796</t>
  </si>
  <si>
    <t>BANGLA ACADEMY BRANCH</t>
  </si>
  <si>
    <t>BANGLA_ACADEMY_BRANCH</t>
  </si>
  <si>
    <t>SHAHBAGH, DHAKA 1000</t>
  </si>
  <si>
    <t>02 8627774</t>
  </si>
  <si>
    <t>010260498</t>
  </si>
  <si>
    <t>BANK TOWN BRANCH</t>
  </si>
  <si>
    <t>BANK_TOWN_BRANCH</t>
  </si>
  <si>
    <t>RAJFUL BARI, SAVAR, DHAKA 1347</t>
  </si>
  <si>
    <t>02 7710723</t>
  </si>
  <si>
    <t>010270970</t>
  </si>
  <si>
    <t>BASABOO BRANCH</t>
  </si>
  <si>
    <t>BASABOO_BRANCH</t>
  </si>
  <si>
    <t>BASABOO, DHAKA 1214</t>
  </si>
  <si>
    <t>02 7290089</t>
  </si>
  <si>
    <t>010271032</t>
  </si>
  <si>
    <t>BECHARAM DEWRY BRANCH</t>
  </si>
  <si>
    <t>BECHARAM_DEWRY_BRANCH</t>
  </si>
  <si>
    <t>BECHARAM DEWRY, CHAWK BAZAR, LALBAGH, DHAKA 1100</t>
  </si>
  <si>
    <t>02 7318700</t>
  </si>
  <si>
    <t>010271061</t>
  </si>
  <si>
    <t>BEGUM BAZAR BRANCH</t>
  </si>
  <si>
    <t>BEGUM_BAZAR_BRANCH</t>
  </si>
  <si>
    <t>19/25  BEGUM BAZAR, LALBAGH, DHAKA 1100</t>
  </si>
  <si>
    <t>02 7316479</t>
  </si>
  <si>
    <t>010271216</t>
  </si>
  <si>
    <t>CENTRAL LAW COLLEGE BRANCH</t>
  </si>
  <si>
    <t>CENTRAL_LAW_COLLEGE_BRANCH</t>
  </si>
  <si>
    <t>KAKRAIL, DHAKA 1000</t>
  </si>
  <si>
    <t>02 9341317</t>
  </si>
  <si>
    <t>010271274</t>
  </si>
  <si>
    <t>2/1 CHAWK CIRCULAR ROAD, CHAWK BAZAR, LALBAGH, DHAKA 1100</t>
  </si>
  <si>
    <t>02 7312713</t>
  </si>
  <si>
    <t>010271337</t>
  </si>
  <si>
    <t>CHOWDHURY BAZAR BRANCH</t>
  </si>
  <si>
    <t>CHOWDHURY_BAZAR_BRANCH</t>
  </si>
  <si>
    <t>ISLAM PLAZA, SHAHID DELWAR HOSSAIN ROAD, KERANIGANJ, DHAKA</t>
  </si>
  <si>
    <t>02 7772754</t>
  </si>
  <si>
    <t>010263529</t>
  </si>
  <si>
    <t>DHAKA NEW MARKET BRANCH</t>
  </si>
  <si>
    <t>DHAKA_NEW_MARKET_BRANCH</t>
  </si>
  <si>
    <t>NEW MARKET, DHANMONDI, DHAKA 1205</t>
  </si>
  <si>
    <t>02 9338586</t>
  </si>
  <si>
    <t>010271724</t>
  </si>
  <si>
    <t>DHAKA UNIVERSITY BRANCH</t>
  </si>
  <si>
    <t>DHAKA_UNIVERSITY_BRANCH</t>
  </si>
  <si>
    <t>KARZON HALL, SHAHBAGH, DHAKA 1000</t>
  </si>
  <si>
    <t>02 88612859</t>
  </si>
  <si>
    <t>010261150</t>
  </si>
  <si>
    <t>DHAMRAI BRANCH</t>
  </si>
  <si>
    <t>DHAMRAI_BRANCH</t>
  </si>
  <si>
    <t>DHAMRAI, DHAKA 1350</t>
  </si>
  <si>
    <t>010261189</t>
  </si>
  <si>
    <t>HOUSE 2, ROAD 14, SOBHANBAGH, MIRPUR ROAD, ZIGATOLA, DHANMONDI, DHAKA 1209</t>
  </si>
  <si>
    <t>02 9111471</t>
  </si>
  <si>
    <t>010271874</t>
  </si>
  <si>
    <t>DOLAIRPAR BRANCH</t>
  </si>
  <si>
    <t>DOLAIRPAR_BRANCH</t>
  </si>
  <si>
    <t>187</t>
  </si>
  <si>
    <t>95 DOLAIRPAR, POSTAGOLA, JATRABARI, DHAKA</t>
  </si>
  <si>
    <t>02 7441670</t>
  </si>
  <si>
    <t>010261334</t>
  </si>
  <si>
    <t>ELEPHANT ROAD BRANCH</t>
  </si>
  <si>
    <t>ELEPHANT_ROAD_BRANCH</t>
  </si>
  <si>
    <t>123/A ELEPHANT ROAD, DHAKA 1205</t>
  </si>
  <si>
    <t>02 8631370</t>
  </si>
  <si>
    <t>010272231</t>
  </si>
  <si>
    <t>FARASHGANJ BRANCH</t>
  </si>
  <si>
    <t>FARASHGANJ_BRANCH</t>
  </si>
  <si>
    <t>52 BK DAS ROAD, SADARGHAT, SUTRAPUR, DHAKA</t>
  </si>
  <si>
    <t>02 7111970</t>
  </si>
  <si>
    <t>010272260</t>
  </si>
  <si>
    <t>FARIDABAD BRANCH</t>
  </si>
  <si>
    <t>FARIDABAD_BRANCH</t>
  </si>
  <si>
    <t>218 KARIMULLARBAG, FARIDABAD, SHYAMPUR, DHAKA</t>
  </si>
  <si>
    <t>02 7440839</t>
  </si>
  <si>
    <t>010261455</t>
  </si>
  <si>
    <t>FARM GATE BRANCH</t>
  </si>
  <si>
    <t>FARM_GATE_BRANCH</t>
  </si>
  <si>
    <t>FARM GATE, DHAKA</t>
  </si>
  <si>
    <t>02 91148854</t>
  </si>
  <si>
    <t>010272323</t>
  </si>
  <si>
    <t>FOREIGN EXCHANGE BRANCH</t>
  </si>
  <si>
    <t>FOREIGN_EXCHANGE_BRANCH</t>
  </si>
  <si>
    <t>AGBKBDDH006</t>
  </si>
  <si>
    <t>1/D DIT AVENUE, MOTIJHEEL, DHAKA 1000</t>
  </si>
  <si>
    <t>02 7176449, 956715</t>
  </si>
  <si>
    <t>010261547</t>
  </si>
  <si>
    <t>GABTALI BRANCH</t>
  </si>
  <si>
    <t>GABTALI_BRANCH</t>
  </si>
  <si>
    <t>154</t>
  </si>
  <si>
    <t>BAGHBARI, DARUS SALAM, DHAKA 1216</t>
  </si>
  <si>
    <t>02 9001195</t>
  </si>
  <si>
    <t>010261697</t>
  </si>
  <si>
    <t>GREEN ROAD BRANCH</t>
  </si>
  <si>
    <t>GREEN_ROAD_BRANCH</t>
  </si>
  <si>
    <t>AGBKBDDH036</t>
  </si>
  <si>
    <t>GREEN ROAD, DHAKA</t>
  </si>
  <si>
    <t>02 88613679</t>
  </si>
  <si>
    <t>010261721</t>
  </si>
  <si>
    <t>GULSHAN, DHAKA</t>
  </si>
  <si>
    <t>02 8824172</t>
  </si>
  <si>
    <t>010272594</t>
  </si>
  <si>
    <t>HATKHOLA BRANCH</t>
  </si>
  <si>
    <t>HATKHOLA_BRANCH</t>
  </si>
  <si>
    <t>HATKHOLA, WARI, SUTRAPUR, DHAKA 1203</t>
  </si>
  <si>
    <t>02 9552659</t>
  </si>
  <si>
    <t>010271632</t>
  </si>
  <si>
    <t>HOTEL SHERATON BRANCH</t>
  </si>
  <si>
    <t>HOTEL_SHERATON_BRANCH</t>
  </si>
  <si>
    <t>163</t>
  </si>
  <si>
    <t>AGBKBDDH040</t>
  </si>
  <si>
    <t>HOTEL SHERATON, SHAHBAGH, DHAKA</t>
  </si>
  <si>
    <t>02 8330130</t>
  </si>
  <si>
    <t>010262117</t>
  </si>
  <si>
    <t>ICDDRB BRANCH</t>
  </si>
  <si>
    <t>ICDDRB_BRANCH</t>
  </si>
  <si>
    <t>MOHAKHALI, GULSHAN, DHAKA 1212</t>
  </si>
  <si>
    <t>02 9880652</t>
  </si>
  <si>
    <t>010272802</t>
  </si>
  <si>
    <t>30 IMAMGANJ BAZAR LANE, LALBAGH, DHAKA 1211</t>
  </si>
  <si>
    <t>02 7319059</t>
  </si>
  <si>
    <t>010272981</t>
  </si>
  <si>
    <t>298</t>
  </si>
  <si>
    <t>8/2 ISLAMPUR ROAD, KATWALI, DHAKA</t>
  </si>
  <si>
    <t>02 7390674</t>
  </si>
  <si>
    <t>010273106</t>
  </si>
  <si>
    <t>JAGANNATH UNIVERSITY BRANCH</t>
  </si>
  <si>
    <t>JAGANNATH_UNIVERSITY_BRANCH</t>
  </si>
  <si>
    <t>JAGANNATH UNIVERSITY, KOTWALI, DHAKA</t>
  </si>
  <si>
    <t>02 7115769</t>
  </si>
  <si>
    <t>010262267</t>
  </si>
  <si>
    <t>JAHANGIRNAGAR UNIVERSITY BRANCH</t>
  </si>
  <si>
    <t>JAHANGIRNAGAR_UNIVERSITY_BRANCH</t>
  </si>
  <si>
    <t>JAHANGIRNAGAR UNIVERSITY, SAVAR, DHAKA</t>
  </si>
  <si>
    <t>02 7792092</t>
  </si>
  <si>
    <t>010273193</t>
  </si>
  <si>
    <t>JATIYA PRESS CLUB BRANCH</t>
  </si>
  <si>
    <t>JATIYA_PRESS_CLUB_BRANCH</t>
  </si>
  <si>
    <t>319</t>
  </si>
  <si>
    <t>JATIYA PRESS CLUB, RAMNA, DHAKA 1000</t>
  </si>
  <si>
    <t>02 9571639</t>
  </si>
  <si>
    <t>010273227</t>
  </si>
  <si>
    <t>JATRABARI, DHAKA 1204</t>
  </si>
  <si>
    <t>02 7540362</t>
  </si>
  <si>
    <t>010273285</t>
  </si>
  <si>
    <t>2012 JOYPARA MAIN ROAD, DOHAR, DHAKA</t>
  </si>
  <si>
    <t>038 94680029</t>
  </si>
  <si>
    <t>010273348</t>
  </si>
  <si>
    <t>KADAMTALI BRANCH</t>
  </si>
  <si>
    <t>KADAMTALI_BRANCH</t>
  </si>
  <si>
    <t>DHAKA NARAYANPUR ROAD, KADAMTALI, SHYAMPUR, DHAKA</t>
  </si>
  <si>
    <t>02 7445072</t>
  </si>
  <si>
    <t>010273498</t>
  </si>
  <si>
    <t>KAMALAPUR BRANCH</t>
  </si>
  <si>
    <t>KAMALAPUR_BRANCH</t>
  </si>
  <si>
    <t>349</t>
  </si>
  <si>
    <t>KAMALAPUR, MOTIJHEEL, DHAKA 1000</t>
  </si>
  <si>
    <t>02 9345082</t>
  </si>
  <si>
    <t>010273580</t>
  </si>
  <si>
    <t>KAMRANGIRCHAR, DHAKA</t>
  </si>
  <si>
    <t>017 16733080</t>
  </si>
  <si>
    <t>010262654</t>
  </si>
  <si>
    <t>KURMITOLA BRANCH</t>
  </si>
  <si>
    <t>KURMITOLA_BRANCH</t>
  </si>
  <si>
    <t>265</t>
  </si>
  <si>
    <t>KURMITOLA, DHAKA</t>
  </si>
  <si>
    <t>02 9893727</t>
  </si>
  <si>
    <t>010273948</t>
  </si>
  <si>
    <t>394</t>
  </si>
  <si>
    <t>MALIBAGH, SHANTINAGAR, RAMNA, DHAKA 1217</t>
  </si>
  <si>
    <t>02 9330457</t>
  </si>
  <si>
    <t>010274000</t>
  </si>
  <si>
    <t>MATUAIL BRANCH</t>
  </si>
  <si>
    <t>MATUAIL_BRANCH</t>
  </si>
  <si>
    <t>400</t>
  </si>
  <si>
    <t>MATUAIL, PARDOGAIR, DEMRA, DHAKA 1362</t>
  </si>
  <si>
    <t>02 7548179</t>
  </si>
  <si>
    <t>010262988</t>
  </si>
  <si>
    <t>MIRPUR NEW MARKET, DHAKA</t>
  </si>
  <si>
    <t>02 8012970</t>
  </si>
  <si>
    <t>010263190</t>
  </si>
  <si>
    <t>MOHAKHALI, DHAKA</t>
  </si>
  <si>
    <t>02 8828753</t>
  </si>
  <si>
    <t>010263282</t>
  </si>
  <si>
    <t>MOHAMMADPUR BRANCH</t>
  </si>
  <si>
    <t>MOHAMMADPUR_BRANCH</t>
  </si>
  <si>
    <t>71/C ASAD AVENUE, MOHAMMADPUR, DHAKA 1207</t>
  </si>
  <si>
    <t>02 9111418</t>
  </si>
  <si>
    <t>010274392</t>
  </si>
  <si>
    <t>MOUCHAK BRANCH</t>
  </si>
  <si>
    <t>MOUCHAK_BRANCH</t>
  </si>
  <si>
    <t>439</t>
  </si>
  <si>
    <t>MOUCHAK, RAMNA, DHAKA 1217</t>
  </si>
  <si>
    <t>02 8311214</t>
  </si>
  <si>
    <t>010274426</t>
  </si>
  <si>
    <t>442</t>
  </si>
  <si>
    <t>AGBKBDDH003</t>
  </si>
  <si>
    <t>AL-FALAH MARKET, 144 MITFORD ROAD, CHAWKBAZAR, LALBAGH, DHAKA 1100</t>
  </si>
  <si>
    <t>02 7314426, 7313424, 7311245</t>
  </si>
  <si>
    <t>010274639</t>
  </si>
  <si>
    <t>NARINDA BRANCH</t>
  </si>
  <si>
    <t>NARINDA_BRANCH</t>
  </si>
  <si>
    <t>463</t>
  </si>
  <si>
    <t>113 SHARATGUPTA ROAD, SUTRAPUR, DHAKA</t>
  </si>
  <si>
    <t>02 7110845</t>
  </si>
  <si>
    <t>010274668</t>
  </si>
  <si>
    <t>NARISHA BAZAR BRANCH</t>
  </si>
  <si>
    <t>NARISHA_BAZAR_BRANCH</t>
  </si>
  <si>
    <t>466</t>
  </si>
  <si>
    <t>MALIKANDI, NARISHA, DOHAR, DHAKA</t>
  </si>
  <si>
    <t>018 19412957</t>
  </si>
  <si>
    <t>010273164</t>
  </si>
  <si>
    <t>NATIONAL MUSEUM BRANCH</t>
  </si>
  <si>
    <t>NATIONAL_MUSEUM_BRANCH</t>
  </si>
  <si>
    <t>NATIONAL MUSEUM, SHAHBAGH, DHAKA 1000</t>
  </si>
  <si>
    <t>02 9663288</t>
  </si>
  <si>
    <t>010274718</t>
  </si>
  <si>
    <t>NAWABGANJ BRANCH</t>
  </si>
  <si>
    <t>NAWABGANJ_BRANCH</t>
  </si>
  <si>
    <t>KALAKOPA, NAWABGANJ, DHAKA</t>
  </si>
  <si>
    <t>038 94388132</t>
  </si>
  <si>
    <t>010274697</t>
  </si>
  <si>
    <t>NAWABGANJ ROAD BRANCH</t>
  </si>
  <si>
    <t>NAWABGANJ_ROAD_BRANCH</t>
  </si>
  <si>
    <t>3 NAWABGANJ ROAD, LALBAGH, DHAKA 1211</t>
  </si>
  <si>
    <t>02 8627835</t>
  </si>
  <si>
    <t>010274721</t>
  </si>
  <si>
    <t>NAWABPUR BRANCH</t>
  </si>
  <si>
    <t>NAWABPUR_BRANCH</t>
  </si>
  <si>
    <t>472</t>
  </si>
  <si>
    <t>AGBKBDDH014</t>
  </si>
  <si>
    <t>243-244 NAWABPUR ROAD, NAWABPUR, KOTWALI, DHAKA</t>
  </si>
  <si>
    <t>02 9562679</t>
  </si>
  <si>
    <t>010275117</t>
  </si>
  <si>
    <t>511</t>
  </si>
  <si>
    <t>121/1 LUTFOR RAHMAN ROAD, NAWABPUR, KOTWALI, DHAKA 1200</t>
  </si>
  <si>
    <t>02 9563677</t>
  </si>
  <si>
    <t>010263587</t>
  </si>
  <si>
    <t>PALLABI BRANCH</t>
  </si>
  <si>
    <t>PALLABI_BRANCH</t>
  </si>
  <si>
    <t>PALLABI, DHAKA</t>
  </si>
  <si>
    <t>02 8011370</t>
  </si>
  <si>
    <t>010263611</t>
  </si>
  <si>
    <t>PANTHAPATH BRANCH</t>
  </si>
  <si>
    <t>PANTHAPATH_BRANCH</t>
  </si>
  <si>
    <t>361</t>
  </si>
  <si>
    <t>PANTHAPATH, DHAKA</t>
  </si>
  <si>
    <t>02 8127757</t>
  </si>
  <si>
    <t>010275441</t>
  </si>
  <si>
    <t>PEARI DAS ROAD BRANCH</t>
  </si>
  <si>
    <t>PEARI_DAS_ROAD_BRANCH</t>
  </si>
  <si>
    <t>544</t>
  </si>
  <si>
    <t>2/3 PARIDAS ROAD, SADARGHAT, SUTRAPUR, DHAKA</t>
  </si>
  <si>
    <t>02 7113410</t>
  </si>
  <si>
    <t>010275296</t>
  </si>
  <si>
    <t>POSTA BRANCH</t>
  </si>
  <si>
    <t>POSTA_BRANCH</t>
  </si>
  <si>
    <t>529</t>
  </si>
  <si>
    <t>69/1 WATER WORKS ROAD, POSTA, LALBAGH, DHAKA 1211</t>
  </si>
  <si>
    <t>02 7314473</t>
  </si>
  <si>
    <t>010275359</t>
  </si>
  <si>
    <t>535</t>
  </si>
  <si>
    <t>AGBKBDDH001</t>
  </si>
  <si>
    <t>9/D DILKUSHA, MOTIJHEEL, DHAKA 1000</t>
  </si>
  <si>
    <t>02 9551650</t>
  </si>
  <si>
    <t>010275388</t>
  </si>
  <si>
    <t>PURANA PALTAN BRANCH</t>
  </si>
  <si>
    <t>PURANA_PALTAN_BRANCH</t>
  </si>
  <si>
    <t>538</t>
  </si>
  <si>
    <t>AGBKBDDH034</t>
  </si>
  <si>
    <t>56 PURANA PALTAN, DHAKA 1000</t>
  </si>
  <si>
    <t>02 9561049</t>
  </si>
  <si>
    <t>010275504</t>
  </si>
  <si>
    <t>RAI SHAHEB BAZAR BRANCH</t>
  </si>
  <si>
    <t>RAI_SHAHEB_BAZAR_BRANCH</t>
  </si>
  <si>
    <t>550</t>
  </si>
  <si>
    <t>33-34 JOHNSON ROAD, SADARGHAT, SUTRAPUR, DHAKA</t>
  </si>
  <si>
    <t>02 7118147</t>
  </si>
  <si>
    <t>010275625</t>
  </si>
  <si>
    <t>RAJUK BHABAN BRANCH</t>
  </si>
  <si>
    <t>RAJUK_BHABAN_BRANCH</t>
  </si>
  <si>
    <t>562</t>
  </si>
  <si>
    <t>RAJUK AVENUE, MOTIJHEEL, DHAKA 1000</t>
  </si>
  <si>
    <t>02 9552159</t>
  </si>
  <si>
    <t>010275683</t>
  </si>
  <si>
    <t>RAMNA BRANCH</t>
  </si>
  <si>
    <t>RAMNA_BRANCH</t>
  </si>
  <si>
    <t>568</t>
  </si>
  <si>
    <t>AGBKBDDH005</t>
  </si>
  <si>
    <t>18 BANGABANDHU AVENUE, RAMNA, DHAKA 1000</t>
  </si>
  <si>
    <t>02 7160070</t>
  </si>
  <si>
    <t>010275746</t>
  </si>
  <si>
    <t>RAMPURA BRANCH</t>
  </si>
  <si>
    <t>RAMPURA_BRANCH</t>
  </si>
  <si>
    <t>574</t>
  </si>
  <si>
    <t>RAMPURA, DHAKA 1219</t>
  </si>
  <si>
    <t>02 9330398</t>
  </si>
  <si>
    <t>010263945</t>
  </si>
  <si>
    <t>RAYER BAZAR BRANCH</t>
  </si>
  <si>
    <t>RAYER_BAZAR_BRANCH</t>
  </si>
  <si>
    <t>RAYER BAZAR, DHAKA</t>
  </si>
  <si>
    <t>02 9113586</t>
  </si>
  <si>
    <t>010275920</t>
  </si>
  <si>
    <t>AGBKBDDH007</t>
  </si>
  <si>
    <t>GREATWALL SHOPPING COMPLEX, SADARGHAT, SUTRAPUR, DHAKA</t>
  </si>
  <si>
    <t>02 7118594</t>
  </si>
  <si>
    <t>010264036</t>
  </si>
  <si>
    <t>SATMASJID ROAD BRANCH</t>
  </si>
  <si>
    <t>SATMASJID_ROAD_BRANCH</t>
  </si>
  <si>
    <t>SATMASJID ROAD, MOHAMMADPUR, DHAKA</t>
  </si>
  <si>
    <t>02 8123678</t>
  </si>
  <si>
    <t>010264094</t>
  </si>
  <si>
    <t>SAVAR, DHAKA</t>
  </si>
  <si>
    <t>02 7710737</t>
  </si>
  <si>
    <t>010264210</t>
  </si>
  <si>
    <t>SENPARA PARBATA BRANCH</t>
  </si>
  <si>
    <t>SENPARA_PARBATA_BRANCH</t>
  </si>
  <si>
    <t>421</t>
  </si>
  <si>
    <t>SENPARA PARBATA, KAFRUL, MIRPUR, DHAKA</t>
  </si>
  <si>
    <t>02 9002039</t>
  </si>
  <si>
    <t>010276011</t>
  </si>
  <si>
    <t>SHANTINAGAR BRANCH</t>
  </si>
  <si>
    <t>SHANTINAGAR_BRANCH</t>
  </si>
  <si>
    <t>601</t>
  </si>
  <si>
    <t>SHANTINAGAR, DHAKA 1217</t>
  </si>
  <si>
    <t>02 9332404</t>
  </si>
  <si>
    <t>010264278</t>
  </si>
  <si>
    <t>SHEWRAPARA BRANCH</t>
  </si>
  <si>
    <t>SHEWRAPARA_BRANCH</t>
  </si>
  <si>
    <t>SHEWRAPARA, MIRPUR, DHAKA</t>
  </si>
  <si>
    <t>02 8052480</t>
  </si>
  <si>
    <t>010264331</t>
  </si>
  <si>
    <t>SHIMULIA BRANCH</t>
  </si>
  <si>
    <t>SHIMULIA_BRANCH</t>
  </si>
  <si>
    <t>433</t>
  </si>
  <si>
    <t>SHIMULIA, SAVAR, DHAKA</t>
  </si>
  <si>
    <t>018 19412940</t>
  </si>
  <si>
    <t>010264302</t>
  </si>
  <si>
    <t>430</t>
  </si>
  <si>
    <t>SHYAMOLI, DHAKA</t>
  </si>
  <si>
    <t>02 9132095</t>
  </si>
  <si>
    <t>010264360</t>
  </si>
  <si>
    <t>SONARGOAN ROAD BRANCH</t>
  </si>
  <si>
    <t>SONARGOAN_ROAD_BRANCH</t>
  </si>
  <si>
    <t>SONARGOAN ROAD, DHAKA</t>
  </si>
  <si>
    <t>02 8615814</t>
  </si>
  <si>
    <t>010260348</t>
  </si>
  <si>
    <t>SOUTH BADDA BRANCH</t>
  </si>
  <si>
    <t>SOUTH_BADDA_BRANCH</t>
  </si>
  <si>
    <t>SOUTH BADDA, GULSHAN, DHAKA</t>
  </si>
  <si>
    <t>02 9897102</t>
  </si>
  <si>
    <t>010274097</t>
  </si>
  <si>
    <t>SSMC MITFORD HOSPITAL BRANCH</t>
  </si>
  <si>
    <t>SSMC_MITFORD_HOSPITAL_BRANCH</t>
  </si>
  <si>
    <t>SSMC MITFORD HOSPITAL COMPLEX, BABU BAZAR, LALBAGH, DHAKA 1100</t>
  </si>
  <si>
    <t>02 7311038</t>
  </si>
  <si>
    <t>010275896</t>
  </si>
  <si>
    <t>SS COLLEGE BRANCH</t>
  </si>
  <si>
    <t>SS_COLLEGE_BRANCH</t>
  </si>
  <si>
    <t>589</t>
  </si>
  <si>
    <t>73 SHUVASH BOSE AVENUE, LAKSHMIPUR, SUTRAPUR, DHAKA</t>
  </si>
  <si>
    <t>02 7117941</t>
  </si>
  <si>
    <t>010264515</t>
  </si>
  <si>
    <t>TEJGAON BRANCH</t>
  </si>
  <si>
    <t>TEJGAON_BRANCH</t>
  </si>
  <si>
    <t>451</t>
  </si>
  <si>
    <t>TEJGAON, DHAKA</t>
  </si>
  <si>
    <t>02 987426</t>
  </si>
  <si>
    <t>010276679</t>
  </si>
  <si>
    <t>THATARI BAZAR BRANCH</t>
  </si>
  <si>
    <t>THATARI_BAZAR_BRANCH</t>
  </si>
  <si>
    <t>667</t>
  </si>
  <si>
    <t>133 BCC ROAD, SUTRAPUR, DHAKA</t>
  </si>
  <si>
    <t>02 7118122</t>
  </si>
  <si>
    <t>010264694</t>
  </si>
  <si>
    <t>UTTARA MODEL TOWN BRANCH</t>
  </si>
  <si>
    <t>UTTARA_MODEL_TOWN_BRANCH</t>
  </si>
  <si>
    <t>UTTARA MODEL TOWN, UTTARA, DHAKA</t>
  </si>
  <si>
    <t>02 8914590</t>
  </si>
  <si>
    <t>010276945</t>
  </si>
  <si>
    <t>AGBKBDDH033</t>
  </si>
  <si>
    <t>WAPDA, MOTIJHEEL, DHAKA 1000</t>
  </si>
  <si>
    <t>02 9554283</t>
  </si>
  <si>
    <t>010264728</t>
  </si>
  <si>
    <t>WASA BRANCH</t>
  </si>
  <si>
    <t>WASA_BRANCH</t>
  </si>
  <si>
    <t>AGBKBDDH012</t>
  </si>
  <si>
    <t>KARWAN BAZAR, DHAKA</t>
  </si>
  <si>
    <t>02 9141377</t>
  </si>
  <si>
    <t>010277094</t>
  </si>
  <si>
    <t>ZINZIRA BRANCH</t>
  </si>
  <si>
    <t>ZINZIRA_BRANCH</t>
  </si>
  <si>
    <t>36 TINPATTI, KERANIGANJ, DHAKA</t>
  </si>
  <si>
    <t>02 7772937</t>
  </si>
  <si>
    <t>DHAKA-NORTH</t>
  </si>
  <si>
    <t>010263640</t>
  </si>
  <si>
    <t>PATHALIA</t>
  </si>
  <si>
    <t>010272686</t>
  </si>
  <si>
    <t>HEAD OFFICE</t>
  </si>
  <si>
    <t>HEAD_OFFICE</t>
  </si>
  <si>
    <t>268</t>
  </si>
  <si>
    <t>010275025</t>
  </si>
  <si>
    <t>NEW ESKATON</t>
  </si>
  <si>
    <t>NEW_ESKATON</t>
  </si>
  <si>
    <t>010270004</t>
  </si>
  <si>
    <t>010280078</t>
  </si>
  <si>
    <t>AMTALI UNION, CHIRIR BANDAR, DINAJPUR 5240</t>
  </si>
  <si>
    <t>0531 89153</t>
  </si>
  <si>
    <t>010280281</t>
  </si>
  <si>
    <t>BHUSHIR BANDAR BRANCH</t>
  </si>
  <si>
    <t>BHUSHIR_BANDAR_BRANCH</t>
  </si>
  <si>
    <t>TETULIA, BHUSHIR BANDAR, CHIRIRBANDAR, DINAJPUR 5240</t>
  </si>
  <si>
    <t>0531 89158</t>
  </si>
  <si>
    <t>010280344</t>
  </si>
  <si>
    <t>BIRAMPUR BRANCH</t>
  </si>
  <si>
    <t>BIRAMPUR_BRANCH</t>
  </si>
  <si>
    <t>MAIN ROAD, BIRAMPUR, DINAJPUR 5266</t>
  </si>
  <si>
    <t>05322 56403</t>
  </si>
  <si>
    <t>010280915</t>
  </si>
  <si>
    <t>HAKIMPUR BRANCH</t>
  </si>
  <si>
    <t>HAKIMPUR_BRANCH</t>
  </si>
  <si>
    <t>AGBKBDDH031</t>
  </si>
  <si>
    <t>BANGLAHILI, HAKIMPUR, DINAJPUR 5270</t>
  </si>
  <si>
    <t>05329 75351</t>
  </si>
  <si>
    <t>010281156</t>
  </si>
  <si>
    <t>KAMALPURHAT BRANCH</t>
  </si>
  <si>
    <t>KAMALPURHAT_BRANCH</t>
  </si>
  <si>
    <t>KAMALPUR HAT, KOTWALI, DINAJPUR 5200</t>
  </si>
  <si>
    <t>018 19770480</t>
  </si>
  <si>
    <t>010281369</t>
  </si>
  <si>
    <t>MADILAHAT BRANCH</t>
  </si>
  <si>
    <t>MADILAHAT_BRANCH</t>
  </si>
  <si>
    <t>CHAWK ENAETPUR, MADILAHAT, PHULBARI, DINAJPUR 5260</t>
  </si>
  <si>
    <t>018 19770476</t>
  </si>
  <si>
    <t>010281422</t>
  </si>
  <si>
    <t>MALDAHPATTY BRANCH</t>
  </si>
  <si>
    <t>MALDAHPATTY_BRANCH</t>
  </si>
  <si>
    <t>142</t>
  </si>
  <si>
    <t>AGBKBDDH030</t>
  </si>
  <si>
    <t>BASUNIAPATTY, KOTWALI, DINAJPUR 5260</t>
  </si>
  <si>
    <t>0531 63306, 63102</t>
  </si>
  <si>
    <t>010281572</t>
  </si>
  <si>
    <t>MUNSHIPARA BRANCH</t>
  </si>
  <si>
    <t>MUNSHIPARA_BRANCH</t>
  </si>
  <si>
    <t>MUNSHIPARA, KOTWALI, DINAJPUR 5200</t>
  </si>
  <si>
    <t>0531 63022</t>
  </si>
  <si>
    <t>010281635</t>
  </si>
  <si>
    <t>NAWABGANJ, DINAJPUR 5280</t>
  </si>
  <si>
    <t>05333 56011</t>
  </si>
  <si>
    <t>010281819</t>
  </si>
  <si>
    <t>PARBATIPUR BRANCH</t>
  </si>
  <si>
    <t>PARBATIPUR_BRANCH</t>
  </si>
  <si>
    <t>PARBATIPUR, DINAJPUR 5250</t>
  </si>
  <si>
    <t>010281877</t>
  </si>
  <si>
    <t>PHULBARI BRANCH</t>
  </si>
  <si>
    <t>PHULBARI_BRANCH</t>
  </si>
  <si>
    <t>KATABARI, PHULBARI, DINAJPUR 5260</t>
  </si>
  <si>
    <t>05327 56203</t>
  </si>
  <si>
    <t>010281848</t>
  </si>
  <si>
    <t>PULHAT BRANCH</t>
  </si>
  <si>
    <t>PULHAT_BRANCH</t>
  </si>
  <si>
    <t>PULHAT, KOTWALI, DINAJPUR 5200</t>
  </si>
  <si>
    <t>0531 63280</t>
  </si>
  <si>
    <t>010281969</t>
  </si>
  <si>
    <t>PURATAN BAZAR BRANCH</t>
  </si>
  <si>
    <t>PURATAN_BAZAR_BRANCH</t>
  </si>
  <si>
    <t>PURATAN BAZAR, PARBATIPUR, DINAJPUR 5250</t>
  </si>
  <si>
    <t>05334 74359</t>
  </si>
  <si>
    <t>010282171</t>
  </si>
  <si>
    <t>SETABGANJ BRANCH</t>
  </si>
  <si>
    <t>SETABGANJ_BRANCH</t>
  </si>
  <si>
    <t>217</t>
  </si>
  <si>
    <t>MURSHIDHAT, SETABGANJ, BOCHAGANJ, DINAJPUR 5216</t>
  </si>
  <si>
    <t>05325 73014</t>
  </si>
  <si>
    <t>010282326</t>
  </si>
  <si>
    <t>STATION ROAD, KOTWALI, DINAJPUR 5200</t>
  </si>
  <si>
    <t>0531 64352</t>
  </si>
  <si>
    <t>010282418</t>
  </si>
  <si>
    <t>TAJPURHAT BRANCH</t>
  </si>
  <si>
    <t>TAJPURHAT_BRANCH</t>
  </si>
  <si>
    <t>241</t>
  </si>
  <si>
    <t>TAJPUR HAT, KHANPUR, KOTWALI, DINAJPUR 5200</t>
  </si>
  <si>
    <t>018 19770479</t>
  </si>
  <si>
    <t>FARIDPUR</t>
  </si>
  <si>
    <t>010290163</t>
  </si>
  <si>
    <t>BADARPUR BRANCH</t>
  </si>
  <si>
    <t>BADARPUR_BRANCH</t>
  </si>
  <si>
    <t>BADARPUR, KOTWALI, FARIDPUR 7804</t>
  </si>
  <si>
    <t>0631 36804</t>
  </si>
  <si>
    <t>010290284</t>
  </si>
  <si>
    <t>BHANGA BRANCH</t>
  </si>
  <si>
    <t>BHANGA_BRANCH</t>
  </si>
  <si>
    <t>BHANGA BAZAR, FARIDPUR 7830</t>
  </si>
  <si>
    <t>06323 56118</t>
  </si>
  <si>
    <t>010290347</t>
  </si>
  <si>
    <t>BOALMARI BRANCH</t>
  </si>
  <si>
    <t>BOALMARI_BRANCH</t>
  </si>
  <si>
    <t>BOALMARI, FARIDPUR 7860</t>
  </si>
  <si>
    <t>06324 56126</t>
  </si>
  <si>
    <t>010290376</t>
  </si>
  <si>
    <t>BUS STAND BRANCH</t>
  </si>
  <si>
    <t>BUS_STAND_BRANCH</t>
  </si>
  <si>
    <t>GOALCHAMOT, KOTWALI, FARIDPUR 7800</t>
  </si>
  <si>
    <t>0631 62608</t>
  </si>
  <si>
    <t>010290439</t>
  </si>
  <si>
    <t>CHAR BHADRASHAN BRANCH</t>
  </si>
  <si>
    <t>CHAR_BHADRASHAN_BRANCH</t>
  </si>
  <si>
    <t>CHARBHADRASHAN RD, FARIDPUR 7810</t>
  </si>
  <si>
    <t>06325 56006</t>
  </si>
  <si>
    <t>010290521</t>
  </si>
  <si>
    <t>FARIDPUR BRANCH</t>
  </si>
  <si>
    <t>FARIDPUR_BRANCH</t>
  </si>
  <si>
    <t>AGBKBDDH011</t>
  </si>
  <si>
    <t>THANA ROAD, KOTWALI, FARIDPUR 7800</t>
  </si>
  <si>
    <t>0631 63134</t>
  </si>
  <si>
    <t>010290589</t>
  </si>
  <si>
    <t>GHARUA BRANCH</t>
  </si>
  <si>
    <t>GHARUA_BRANCH</t>
  </si>
  <si>
    <t>GHARUA, BHANGA, FARIDPUR 7830</t>
  </si>
  <si>
    <t>017 24414229</t>
  </si>
  <si>
    <t>010291120</t>
  </si>
  <si>
    <t>MALIGRAM BRANCH</t>
  </si>
  <si>
    <t>MALIGRAM_BRANCH</t>
  </si>
  <si>
    <t>MALIGRAM BAZAR, BHANGA, FARIDPUR 7830</t>
  </si>
  <si>
    <t>017 16245024</t>
  </si>
  <si>
    <t>010291188</t>
  </si>
  <si>
    <t>NAGARKANDA BRANCH</t>
  </si>
  <si>
    <t>NAGARKANDA_BRANCH</t>
  </si>
  <si>
    <t>NAGARKANDA, FARIDPUR 7731</t>
  </si>
  <si>
    <t>06327 56108</t>
  </si>
  <si>
    <t>010291270</t>
  </si>
  <si>
    <t>SADARPUR BRANCH</t>
  </si>
  <si>
    <t>SADARPUR_BRANCH</t>
  </si>
  <si>
    <t>SADARPUR, FARIDPUR 7820</t>
  </si>
  <si>
    <t>06328 75428</t>
  </si>
  <si>
    <t>010291333</t>
  </si>
  <si>
    <t>SHARIATULLAH MARKET BRANCH</t>
  </si>
  <si>
    <t>SHARIATULLAH_MARKET_BRANCH</t>
  </si>
  <si>
    <t>SHARIATULLAH MARKET, KOTWALI, FARIDPUR</t>
  </si>
  <si>
    <t>0631 63413</t>
  </si>
  <si>
    <t>010291517</t>
  </si>
  <si>
    <t>ZILLA PARISAD</t>
  </si>
  <si>
    <t>ZILLA_PARISAD</t>
  </si>
  <si>
    <t>010300132</t>
  </si>
  <si>
    <t>BAIRAGIRHAT BRANCH</t>
  </si>
  <si>
    <t>BAIRAGIRHAT_BRANCH</t>
  </si>
  <si>
    <t>MAIN ROAD, BAIRAGIRHAT, DAGONBHUIYAN, FENI 3920</t>
  </si>
  <si>
    <t>018 19345112</t>
  </si>
  <si>
    <t>010300316</t>
  </si>
  <si>
    <t>CHHAGALNAIYA BRANCH</t>
  </si>
  <si>
    <t>CHHAGALNAIYA_BRANCH</t>
  </si>
  <si>
    <t>MAIN ROAD, CHHAGALNAIYA, FENI 3910</t>
  </si>
  <si>
    <t>03322 78092</t>
  </si>
  <si>
    <t>010300529</t>
  </si>
  <si>
    <t>TRUNK ROAD, FENI 3900</t>
  </si>
  <si>
    <t>0331 74305, 018 1934519</t>
  </si>
  <si>
    <t>010300790</t>
  </si>
  <si>
    <t>KAMALAPATTY BRANCH</t>
  </si>
  <si>
    <t>KAMALAPATTY_BRANCH</t>
  </si>
  <si>
    <t>KAMALAPATTY, FENI 3900</t>
  </si>
  <si>
    <t>0331 73441</t>
  </si>
  <si>
    <t>010301278</t>
  </si>
  <si>
    <t>PARASHURAM BRANCH</t>
  </si>
  <si>
    <t>PARASHURAM_BRANCH</t>
  </si>
  <si>
    <t>MAIN ROAD, PARASHURAM, FENI 3940</t>
  </si>
  <si>
    <t>03324 56078</t>
  </si>
  <si>
    <t>010301481</t>
  </si>
  <si>
    <t>SONAGAZI BRANCH</t>
  </si>
  <si>
    <t>SONAGAZI_BRANCH</t>
  </si>
  <si>
    <t>MAIN ROAD, SONAGAZI, FENI 3930</t>
  </si>
  <si>
    <t>03325 76012</t>
  </si>
  <si>
    <t>010300066</t>
  </si>
  <si>
    <t>SUBAR BAZAR BRANCH</t>
  </si>
  <si>
    <t>SUBAR_BAZAR_BRANCH</t>
  </si>
  <si>
    <t>SUBAR BAZAR, FENI</t>
  </si>
  <si>
    <t>018 19182091</t>
  </si>
  <si>
    <t>010301515</t>
  </si>
  <si>
    <t>TULATOLY BAZAR</t>
  </si>
  <si>
    <t>TULATOLY_BAZAR</t>
  </si>
  <si>
    <t>GAIBANDHA</t>
  </si>
  <si>
    <t>010320220</t>
  </si>
  <si>
    <t>BONARPARA BRANCH</t>
  </si>
  <si>
    <t>BONARPARA_BRANCH</t>
  </si>
  <si>
    <t>BONARPARA BAZAR, SAGHATA, GAIBANDHA 5750</t>
  </si>
  <si>
    <t>05426 56102</t>
  </si>
  <si>
    <t>010320370</t>
  </si>
  <si>
    <t>DHOLBHANGA BRANCH</t>
  </si>
  <si>
    <t>DHOLBHANGA_BRANCH</t>
  </si>
  <si>
    <t>DHOLBHANGA BAZAR, SADULLAPUR, GAIBANDHA 5735</t>
  </si>
  <si>
    <t>018 19770231</t>
  </si>
  <si>
    <t>010320491</t>
  </si>
  <si>
    <t>FULCHARI BAZAR BRANCH</t>
  </si>
  <si>
    <t>FULCHARI_BAZAR_BRANCH</t>
  </si>
  <si>
    <t>FULCHARI BAZAR, FULCHARI, GAIBANDHA 5760</t>
  </si>
  <si>
    <t>05422 61313, 61390, 017 16110021</t>
  </si>
  <si>
    <t>010320525</t>
  </si>
  <si>
    <t>GAIBANDHA BRANCH</t>
  </si>
  <si>
    <t>GAIBANDHA_BRANCH</t>
  </si>
  <si>
    <t>STATION ROAD, GAIBANDHA 5700</t>
  </si>
  <si>
    <t>0541 61461, 018 19770491</t>
  </si>
  <si>
    <t>010320709</t>
  </si>
  <si>
    <t>KAMARPARA BRANCH</t>
  </si>
  <si>
    <t>KAMARPARA_BRANCH</t>
  </si>
  <si>
    <t>KAMARPARA, SADULLAPUR, GAIBANDHA 5711</t>
  </si>
  <si>
    <t>018 19770228</t>
  </si>
  <si>
    <t>010321032</t>
  </si>
  <si>
    <t>NALDANGA BRANCH</t>
  </si>
  <si>
    <t>NALDANGA_BRANCH</t>
  </si>
  <si>
    <t>NALDANGA BAZAR, SADULLAPUR, GAIBANDHA 5711</t>
  </si>
  <si>
    <t>018 19770232</t>
  </si>
  <si>
    <t>010321124</t>
  </si>
  <si>
    <t>PANCHPIR BAZAR BRANCH</t>
  </si>
  <si>
    <t>PANCHPIR_BAZAR_BRANCH</t>
  </si>
  <si>
    <t>PANCHPIR BAZAR, CHANDIPUR, SUNDARGANJ, GAIBANDHA 5720</t>
  </si>
  <si>
    <t>017 15279601</t>
  </si>
  <si>
    <t>010321216</t>
  </si>
  <si>
    <t>RASULPUR BRANCH</t>
  </si>
  <si>
    <t>RASULPUR_BRANCH</t>
  </si>
  <si>
    <t>RASULPUR, SANDIAPUR, SADULLAPUR, GAIBANDHA 5711</t>
  </si>
  <si>
    <t>018 19770230</t>
  </si>
  <si>
    <t>010321245</t>
  </si>
  <si>
    <t>SADULLAPUR BRANCH</t>
  </si>
  <si>
    <t>SADULLAPUR_BRANCH</t>
  </si>
  <si>
    <t>124</t>
  </si>
  <si>
    <t>SADULLAPUR, GAIBANDHA 5710</t>
  </si>
  <si>
    <t>05425 56004</t>
  </si>
  <si>
    <t>010321274</t>
  </si>
  <si>
    <t>SAGHATA BRANCH</t>
  </si>
  <si>
    <t>SAGHATA_BRANCH</t>
  </si>
  <si>
    <t>SAGHATA BAZAR, SAGHATA, GAIBANDHA 5751</t>
  </si>
  <si>
    <t>018 19925658</t>
  </si>
  <si>
    <t>010321308</t>
  </si>
  <si>
    <t>SUNDARGANJ BRANCH</t>
  </si>
  <si>
    <t>SUNDARGANJ_BRANCH</t>
  </si>
  <si>
    <t>SUNDARGANJ, GAIBANDHA 5720</t>
  </si>
  <si>
    <t>05427 64014</t>
  </si>
  <si>
    <t>010330281</t>
  </si>
  <si>
    <t>BARMI BAZAR BRANCH</t>
  </si>
  <si>
    <t>BARMI_BAZAR_BRANCH</t>
  </si>
  <si>
    <t>BARMI BAZAR, SREEPUR, GAZIPUR</t>
  </si>
  <si>
    <t>017 15816106</t>
  </si>
  <si>
    <t>010330223</t>
  </si>
  <si>
    <t>BOARD BAZAR, GAZIPUR SADAR, GAZIPUR 1704</t>
  </si>
  <si>
    <t>02 9291380</t>
  </si>
  <si>
    <t>010330449</t>
  </si>
  <si>
    <t>DOLAN BAZAR BRANCH</t>
  </si>
  <si>
    <t>DOLAN_BAZAR_BRANCH</t>
  </si>
  <si>
    <t>KOLAPACUA, JAMALPUR, KALIGANJ, GAZIPUR 1613</t>
  </si>
  <si>
    <t>017 14224297</t>
  </si>
  <si>
    <t>010330436</t>
  </si>
  <si>
    <t>DUET BRANCH</t>
  </si>
  <si>
    <t>DUET_BRANCH</t>
  </si>
  <si>
    <t>242 BIDC ROAD, DUET, GAZIPUR 1703</t>
  </si>
  <si>
    <t>02 9204033</t>
  </si>
  <si>
    <t>010330528</t>
  </si>
  <si>
    <t>GAZIPUR BRANCH</t>
  </si>
  <si>
    <t>GAZIPUR_BRANCH</t>
  </si>
  <si>
    <t>MAJEDA COMPLEX, JOYDEBPUR, GAZIPUR 1700</t>
  </si>
  <si>
    <t>02 9252202</t>
  </si>
  <si>
    <t>010330494</t>
  </si>
  <si>
    <t>GHAGOTIA CHALA BRANCH</t>
  </si>
  <si>
    <t>GHAGOTIA_CHALA_BRANCH</t>
  </si>
  <si>
    <t>GHAGOTIA CHALA, CHALAR BAZAR, KAPASIA, GAZIPUR</t>
  </si>
  <si>
    <t>017 11289306</t>
  </si>
  <si>
    <t>010330649</t>
  </si>
  <si>
    <t>GOSHINGA BRANCH</t>
  </si>
  <si>
    <t>GOSHINGA_BRANCH</t>
  </si>
  <si>
    <t>GOSHINGA, SREEPUR, GAZIPUR</t>
  </si>
  <si>
    <t>018 17048587</t>
  </si>
  <si>
    <t>010330799</t>
  </si>
  <si>
    <t>KALIAKOIR BRANCH</t>
  </si>
  <si>
    <t>KALIAKOIR_BRANCH</t>
  </si>
  <si>
    <t>KALIAKOIR, GAZIPUR 1613</t>
  </si>
  <si>
    <t>010330852</t>
  </si>
  <si>
    <t>KAORAID BRANCH</t>
  </si>
  <si>
    <t>KAORAID_BRANCH</t>
  </si>
  <si>
    <t>KAORAID BAZAR, SREEPUR, GAZIPUR</t>
  </si>
  <si>
    <t>018 17048586</t>
  </si>
  <si>
    <t>010330881</t>
  </si>
  <si>
    <t>KAPASIA BRANCH</t>
  </si>
  <si>
    <t>KAPASIA_BRANCH</t>
  </si>
  <si>
    <t>KAPASIA, GAZIPUR</t>
  </si>
  <si>
    <t>06824 51211</t>
  </si>
  <si>
    <t>010330915</t>
  </si>
  <si>
    <t>KASHIMPUR BRANCH</t>
  </si>
  <si>
    <t>KASHIMPUR_BRANCH</t>
  </si>
  <si>
    <t>KASHIMPUR, GAZIPUR</t>
  </si>
  <si>
    <t>018 19412944</t>
  </si>
  <si>
    <t>010331127</t>
  </si>
  <si>
    <t>MAWNA BAZAR BRANCH</t>
  </si>
  <si>
    <t>MAWNA_BAZAR_BRANCH</t>
  </si>
  <si>
    <t>MOWNA BAZAR, SREEPUR, GAZIPUR</t>
  </si>
  <si>
    <t>06825 51919</t>
  </si>
  <si>
    <t>010331156</t>
  </si>
  <si>
    <t>NAGARI BRANCH</t>
  </si>
  <si>
    <t>NAGARI_BRANCH</t>
  </si>
  <si>
    <t>NAGARI, KALIGANJ, GAZIPUR</t>
  </si>
  <si>
    <t>018 19412943</t>
  </si>
  <si>
    <t>010331301</t>
  </si>
  <si>
    <t>RAJABARI</t>
  </si>
  <si>
    <t>010331480</t>
  </si>
  <si>
    <t>SREEPUR BRANCH</t>
  </si>
  <si>
    <t>SREEPUR_BRANCH</t>
  </si>
  <si>
    <t>SREEPUR, GAZIPUR 1740</t>
  </si>
  <si>
    <t>06825 51004</t>
  </si>
  <si>
    <t>010331572</t>
  </si>
  <si>
    <t>TOKENAYAN BAZAR BRANCH</t>
  </si>
  <si>
    <t>TOKENAYAN_BAZAR_BRANCH</t>
  </si>
  <si>
    <t>TOKE NAYAN BAZAR, KAPASIA, GAZIPUR</t>
  </si>
  <si>
    <t>017 14266565</t>
  </si>
  <si>
    <t>010331635</t>
  </si>
  <si>
    <t>BANESA COMPLEX, 26 ANARKALI ROAD, MONNU NAGAR, TONGI, GAZIPUR</t>
  </si>
  <si>
    <t>02 9801112</t>
  </si>
  <si>
    <t>GOPALGANJ</t>
  </si>
  <si>
    <t>010350074</t>
  </si>
  <si>
    <t>BANAGRAM BRANCH</t>
  </si>
  <si>
    <t>BANAGRAM_BRANCH</t>
  </si>
  <si>
    <t>BANAGRAM, GOPALGANJ</t>
  </si>
  <si>
    <t>017 78793317, 017 31344939</t>
  </si>
  <si>
    <t>010350061</t>
  </si>
  <si>
    <t>BANGABANDHU SK MUJIB SCI &amp;amp; TECH BRANCH</t>
  </si>
  <si>
    <t>BANGABANDHU_SK_MUJIB_SCI_&amp;amp;_TECH_BRANCH</t>
  </si>
  <si>
    <t>Please Select Bank</t>
  </si>
  <si>
    <t>010350058</t>
  </si>
  <si>
    <t>BHANGARHAT BRANCH</t>
  </si>
  <si>
    <t>BHANGARHAT_BRANCH</t>
  </si>
  <si>
    <t>017 86638950, 017 17461321</t>
  </si>
  <si>
    <t>010350379</t>
  </si>
  <si>
    <t>GOPALGANJ BRANCH</t>
  </si>
  <si>
    <t>GOPALGANJ_BRANCH</t>
  </si>
  <si>
    <t>120 BANGABANDHU SARAK, GOPALGANJ 8100</t>
  </si>
  <si>
    <t>017 12840803</t>
  </si>
  <si>
    <t>010350461</t>
  </si>
  <si>
    <t>JALIRPAR BRANCH</t>
  </si>
  <si>
    <t>JALIRPAR_BRANCH</t>
  </si>
  <si>
    <t>JALIRPAR, MUKSHUDPUR, GOPALGANJ 7911</t>
  </si>
  <si>
    <t>017 46271714</t>
  </si>
  <si>
    <t>010350490</t>
  </si>
  <si>
    <t>JHUTIGRAM BRANCH</t>
  </si>
  <si>
    <t>JHUTIGRAM_BRANCH</t>
  </si>
  <si>
    <t>JHUTIGRAM, MUKSHUDPUR, GOPALGANJ</t>
  </si>
  <si>
    <t>017 29580044</t>
  </si>
  <si>
    <t>010350582</t>
  </si>
  <si>
    <t>KASHIANI BRANCH</t>
  </si>
  <si>
    <t>KASHIANI_BRANCH</t>
  </si>
  <si>
    <t>KASHIANI, GOPALGANJ 8130</t>
  </si>
  <si>
    <t>06652 56226, 017 16011971</t>
  </si>
  <si>
    <t>010350674</t>
  </si>
  <si>
    <t>KOTALIPARA BRANCH</t>
  </si>
  <si>
    <t>KOTALIPARA_BRANCH</t>
  </si>
  <si>
    <t>KOTALIPARA, GOPALGANJ 8110</t>
  </si>
  <si>
    <t>017 16406150</t>
  </si>
  <si>
    <t>010350737</t>
  </si>
  <si>
    <t>MUKSUDPUR BRANCH</t>
  </si>
  <si>
    <t>MUKSUDPUR_BRANCH</t>
  </si>
  <si>
    <t>MUKSHUDPUR, GOPALGANJ</t>
  </si>
  <si>
    <t>06654 56209, 017 12865852</t>
  </si>
  <si>
    <t>010350858</t>
  </si>
  <si>
    <t>POURA SUPER MARKET BRANCH</t>
  </si>
  <si>
    <t>POURA_SUPER_MARKET_BRANCH</t>
  </si>
  <si>
    <t>BANGABANDHU SARAK, GOPALGANJ 8100</t>
  </si>
  <si>
    <t>017 30181681</t>
  </si>
  <si>
    <t>010350979</t>
  </si>
  <si>
    <t>RAMDIA, GOPALGANJ</t>
  </si>
  <si>
    <t>017 83808363, 017 13566961</t>
  </si>
  <si>
    <t>010351099</t>
  </si>
  <si>
    <t>TUNGIPARA BRANCH</t>
  </si>
  <si>
    <t>TUNGIPARA_BRANCH</t>
  </si>
  <si>
    <t>TUNGIPARA, GOPALGANJ 8120</t>
  </si>
  <si>
    <t>017 14365995</t>
  </si>
  <si>
    <t>010360527</t>
  </si>
  <si>
    <t>GOPAIYA BRANCH</t>
  </si>
  <si>
    <t>GOPAIYA_BRANCH</t>
  </si>
  <si>
    <t>KHAN MANSION, HABIGANJ 3310</t>
  </si>
  <si>
    <t>0831 52423</t>
  </si>
  <si>
    <t>010360619</t>
  </si>
  <si>
    <t>ASHRAF JAHAN COMPLEX, HABIGANJ 3310</t>
  </si>
  <si>
    <t>0831 52324</t>
  </si>
  <si>
    <t>010360701</t>
  </si>
  <si>
    <t>KAILASHGANJ</t>
  </si>
  <si>
    <t>010361092</t>
  </si>
  <si>
    <t>NABIGANJ BRANCH</t>
  </si>
  <si>
    <t>NABIGANJ_BRANCH</t>
  </si>
  <si>
    <t>OSMANI ROAD, NABIGANJ, HABIGANJ 3370</t>
  </si>
  <si>
    <t>08328 56006</t>
  </si>
  <si>
    <t>010361339</t>
  </si>
  <si>
    <t>PURAN BAZAR</t>
  </si>
  <si>
    <t>PURAN_BAZAR</t>
  </si>
  <si>
    <t>JAMALPUR</t>
  </si>
  <si>
    <t>010390197</t>
  </si>
  <si>
    <t>BALIJURI BRANCH</t>
  </si>
  <si>
    <t>BALIJURI_BRANCH</t>
  </si>
  <si>
    <t>BALIJURI, JAMALPUR</t>
  </si>
  <si>
    <t>09825 56236, 017 14858642</t>
  </si>
  <si>
    <t>010390405</t>
  </si>
  <si>
    <t>MADHUPUR ROAD, JAMALPUR 2000</t>
  </si>
  <si>
    <t>0981 63643</t>
  </si>
  <si>
    <t>010390700</t>
  </si>
  <si>
    <t>HAZIPUR BAZAR BRANCH</t>
  </si>
  <si>
    <t>HAZIPUR_BAZAR_BRANCH</t>
  </si>
  <si>
    <t>HAZIPUR BAZAR, HAZIPUR, JAMALPUR 2000</t>
  </si>
  <si>
    <t>018 19412948</t>
  </si>
  <si>
    <t>010390797</t>
  </si>
  <si>
    <t>ISLAMPUR BAZAR BRANCH</t>
  </si>
  <si>
    <t>ISLAMPUR_BAZAR_BRANCH</t>
  </si>
  <si>
    <t>ISLAMPUR BAZAR, SARISHABARI, JAMALPUR 2020</t>
  </si>
  <si>
    <t>017 12483690</t>
  </si>
  <si>
    <t>010390821</t>
  </si>
  <si>
    <t>JAGANNATHGONJ GHAT</t>
  </si>
  <si>
    <t>JAGANNATHGONJ_GHAT</t>
  </si>
  <si>
    <t>010390850</t>
  </si>
  <si>
    <t>JAMALPUR BRANCH</t>
  </si>
  <si>
    <t>JAMALPUR_BRANCH</t>
  </si>
  <si>
    <t>TAMALTALA, JAMALPUR 2000</t>
  </si>
  <si>
    <t>0981 63134</t>
  </si>
  <si>
    <t>010390942</t>
  </si>
  <si>
    <t>JAMTALI BAZAR BRANCH</t>
  </si>
  <si>
    <t>JAMTALI_BAZAR_BRANCH</t>
  </si>
  <si>
    <t>JAMTALI BAZAR, KAMAL KHAN HAT, JAMALPUR 2000</t>
  </si>
  <si>
    <t>018 19412947</t>
  </si>
  <si>
    <t>010391004</t>
  </si>
  <si>
    <t>JAMUNA FERTILIZER COMPANY BRANCH</t>
  </si>
  <si>
    <t>JAMUNA_FERTILIZER_COMPANY_BRANCH</t>
  </si>
  <si>
    <t>100</t>
  </si>
  <si>
    <t>MARKET COMPLEX, JAMUNA FERTILIZER COMPANY, SARISABARI, JAMALPUR 2050</t>
  </si>
  <si>
    <t>038976 87028</t>
  </si>
  <si>
    <t>010391125</t>
  </si>
  <si>
    <t>LAHIRIKANDA BRANCH</t>
  </si>
  <si>
    <t>LAHIRIKANDA_BRANCH</t>
  </si>
  <si>
    <t>LAHIRIKANDA, JAMALPUR 2000</t>
  </si>
  <si>
    <t>018 19412949</t>
  </si>
  <si>
    <t>010391420</t>
  </si>
  <si>
    <t>PEYARPUR BRANCH</t>
  </si>
  <si>
    <t>PEYARPUR_BRANCH</t>
  </si>
  <si>
    <t>PEYARPUR, JAMALPUR 2205</t>
  </si>
  <si>
    <t>018 19412950</t>
  </si>
  <si>
    <t>010391396</t>
  </si>
  <si>
    <t>PIGNA BRANCH</t>
  </si>
  <si>
    <t>PIGNA_BRANCH</t>
  </si>
  <si>
    <t>PIGNA, SARISABARI, JAMALPUR 2054</t>
  </si>
  <si>
    <t>017 27782832</t>
  </si>
  <si>
    <t>010391488</t>
  </si>
  <si>
    <t>SARISHABARI BRANCH</t>
  </si>
  <si>
    <t>SARISHABARI_BRANCH</t>
  </si>
  <si>
    <t>SIMULTALA BAZAR, SARISHABARI, JAMALPUR 2050</t>
  </si>
  <si>
    <t>017 12088830</t>
  </si>
  <si>
    <t>010391541</t>
  </si>
  <si>
    <t>SHAHBAZPUR BRANCH</t>
  </si>
  <si>
    <t>SHAHBAZPUR_BRANCH</t>
  </si>
  <si>
    <t>SHAHBAZPUR, JAMALPUR 2000</t>
  </si>
  <si>
    <t>019 16409014</t>
  </si>
  <si>
    <t>010391662</t>
  </si>
  <si>
    <t>STATION BAZAR BRANCH</t>
  </si>
  <si>
    <t>STATION_BAZAR_BRANCH</t>
  </si>
  <si>
    <t>STATION BAZAR, JAMALPUR 2000</t>
  </si>
  <si>
    <t>0981 63012</t>
  </si>
  <si>
    <t>010410972</t>
  </si>
  <si>
    <t>BAF JESSORE BRANCH</t>
  </si>
  <si>
    <t>BAF_JESSORE_BRANCH</t>
  </si>
  <si>
    <t>BAF, JESSORE SADAR, JESSORE 7404</t>
  </si>
  <si>
    <t>0421 64015</t>
  </si>
  <si>
    <t>010410130</t>
  </si>
  <si>
    <t>BAGHERPARA</t>
  </si>
  <si>
    <t>010410251</t>
  </si>
  <si>
    <t>BAZAR BRANCH</t>
  </si>
  <si>
    <t>BAZAR_BRANCH</t>
  </si>
  <si>
    <t>HMM ROAD, JESSORE SADAR, JESSORE 7400</t>
  </si>
  <si>
    <t>0421 66193</t>
  </si>
  <si>
    <t>010410314</t>
  </si>
  <si>
    <t>BENAPOLE BAZAR BRANCH</t>
  </si>
  <si>
    <t>BENAPOLE_BAZAR_BRANCH</t>
  </si>
  <si>
    <t>BENAPOLE BAZAR, BENAPOLE PORT, JESSORE 7431</t>
  </si>
  <si>
    <t>04228 75308</t>
  </si>
  <si>
    <t>010410343</t>
  </si>
  <si>
    <t>BHANGURA BAZAR</t>
  </si>
  <si>
    <t>BHANGURA_BAZAR</t>
  </si>
  <si>
    <t>010410406</t>
  </si>
  <si>
    <t>BUS STAND</t>
  </si>
  <si>
    <t>BUS_STAND</t>
  </si>
  <si>
    <t>010410619</t>
  </si>
  <si>
    <t>DARATANA ROAD BRANCH</t>
  </si>
  <si>
    <t>DARATANA_ROAD_BRANCH</t>
  </si>
  <si>
    <t>GARIKHANA ROAD, JESSORE SADAR, JESSORE 7400</t>
  </si>
  <si>
    <t>0421 66176</t>
  </si>
  <si>
    <t>010410677</t>
  </si>
  <si>
    <t>GANGA NANDANPUR BRANCH</t>
  </si>
  <si>
    <t>GANGA_NANDANPUR_BRANCH</t>
  </si>
  <si>
    <t>GANGA NANDANPUR, JHIKARGACHHA, JESSORE 7420</t>
  </si>
  <si>
    <t>018 19700319</t>
  </si>
  <si>
    <t>010410730</t>
  </si>
  <si>
    <t>GODKHALI BAZAR BRANCH</t>
  </si>
  <si>
    <t>GODKHALI_BAZAR_BRANCH</t>
  </si>
  <si>
    <t>GODKHALI, JHIKARGACHHA, JESSORE 7420</t>
  </si>
  <si>
    <t>04225 71678</t>
  </si>
  <si>
    <t>010410851</t>
  </si>
  <si>
    <t>HASHIMPUR BRANCH</t>
  </si>
  <si>
    <t>HASHIMPUR_BRANCH</t>
  </si>
  <si>
    <t>HASHIMPUR, JESSORE SADAR, JESSORE 7400</t>
  </si>
  <si>
    <t>0421 68642</t>
  </si>
  <si>
    <t>010410943</t>
  </si>
  <si>
    <t>AGBKBDDH024</t>
  </si>
  <si>
    <t>SHAHID ROAD, JESSORE 7400</t>
  </si>
  <si>
    <t>0421 66516</t>
  </si>
  <si>
    <t>010411092</t>
  </si>
  <si>
    <t>JHIKARGACHHA BRANCH</t>
  </si>
  <si>
    <t>JHIKARGACHHA_BRANCH</t>
  </si>
  <si>
    <t>JHIKARGACHHA, JESSORE 7420</t>
  </si>
  <si>
    <t>0422 571369</t>
  </si>
  <si>
    <t>010411126</t>
  </si>
  <si>
    <t>JHUMJHUMPUR BRANCH</t>
  </si>
  <si>
    <t>JHUMJHUMPUR_BRANCH</t>
  </si>
  <si>
    <t>JHUMJHUMPUR, NARAIL ROAD, JESSORE 7400</t>
  </si>
  <si>
    <t>0421 66174</t>
  </si>
  <si>
    <t>010410985</t>
  </si>
  <si>
    <t>JSTU BRANCH</t>
  </si>
  <si>
    <t>JSTU_BRANCH</t>
  </si>
  <si>
    <t>JESSORE UNIVERSITY OF SCIENCE &amp;amp; TECHNOLOGY, CHURAMONKATHI,CHAUGACHHA RD, JESSORE 7408</t>
  </si>
  <si>
    <t>0421 60160, 017 89735955</t>
  </si>
  <si>
    <t>010411218</t>
  </si>
  <si>
    <t>KESHABPUR BRANCH</t>
  </si>
  <si>
    <t>KESHABPUR_BRANCH</t>
  </si>
  <si>
    <t>KESHABPUR, JESSORE 7450</t>
  </si>
  <si>
    <t>0422 656512</t>
  </si>
  <si>
    <t>010411755</t>
  </si>
  <si>
    <t>PRATAPPUR BRANCH</t>
  </si>
  <si>
    <t>PRATAPPUR_BRANCH</t>
  </si>
  <si>
    <t>PRATAP PUR, SHIKARPUR, KESHABPUR, JESSORE 7450</t>
  </si>
  <si>
    <t>018 19700305</t>
  </si>
  <si>
    <t>010411784</t>
  </si>
  <si>
    <t>PULERHAT BRANCH</t>
  </si>
  <si>
    <t>PULERHAT_BRANCH</t>
  </si>
  <si>
    <t>PULERHAT, CHANCHRA, JESSORE 7402</t>
  </si>
  <si>
    <t>0421 66172</t>
  </si>
  <si>
    <t>010411876</t>
  </si>
  <si>
    <t>RAIL BAZAR BRANCH</t>
  </si>
  <si>
    <t>RAIL_BAZAR_BRANCH</t>
  </si>
  <si>
    <t>RAIL ROAD, JESSORE SADAR, JESSORE 7400</t>
  </si>
  <si>
    <t>0421 66178</t>
  </si>
  <si>
    <t>010411968</t>
  </si>
  <si>
    <t>RAJARHAT BRANCH</t>
  </si>
  <si>
    <t>RAJARHAT_BRANCH</t>
  </si>
  <si>
    <t>RAJARHAT, RAMNAGAR, JESSORE 7400</t>
  </si>
  <si>
    <t>0421 66173</t>
  </si>
  <si>
    <t>010412170</t>
  </si>
  <si>
    <t>SHAIKH HATI BRANCH</t>
  </si>
  <si>
    <t>SHAIKH_HATI_BRANCH</t>
  </si>
  <si>
    <t>JAIL ROAD, UPASHAHAR, JESSORE 7401</t>
  </si>
  <si>
    <t>04216 61118</t>
  </si>
  <si>
    <t>JHALAKATI</t>
  </si>
  <si>
    <t>010420317</t>
  </si>
  <si>
    <t>JHALAKATI BRANCH</t>
  </si>
  <si>
    <t>JHALAKATI_BRANCH</t>
  </si>
  <si>
    <t>BAHER ROAD, JHALAKATI 8400</t>
  </si>
  <si>
    <t>0498 63550</t>
  </si>
  <si>
    <t>JHALOKATHI</t>
  </si>
  <si>
    <t>010420070</t>
  </si>
  <si>
    <t>AMUA BAZAR</t>
  </si>
  <si>
    <t>AMUA_BAZAR</t>
  </si>
  <si>
    <t>010420225</t>
  </si>
  <si>
    <t>DAPDAPIA FERRYGHAT</t>
  </si>
  <si>
    <t>DAPDAPIA_FERRYGHAT</t>
  </si>
  <si>
    <t>010420496</t>
  </si>
  <si>
    <t>NALCHITY</t>
  </si>
  <si>
    <t>010420612</t>
  </si>
  <si>
    <t>SHEKERHAT</t>
  </si>
  <si>
    <t>JHENAIDAH</t>
  </si>
  <si>
    <t>010440100</t>
  </si>
  <si>
    <t>BAZAR GOPALPUR BRANCH</t>
  </si>
  <si>
    <t>BAZAR_GOPALPUR_BRANCH</t>
  </si>
  <si>
    <t>BAZAR GOPALPUR, JHENAIDAH SADAR, JHENAIDAH 7300</t>
  </si>
  <si>
    <t>018 19700308</t>
  </si>
  <si>
    <t>010440313</t>
  </si>
  <si>
    <t>CHAPRAIL BRANCH</t>
  </si>
  <si>
    <t>CHAPRAIL_BRANCH</t>
  </si>
  <si>
    <t>CHAPRAIL, KALIGANJ, JHENAIDAH 7300</t>
  </si>
  <si>
    <t>018 19700309</t>
  </si>
  <si>
    <t>010440618</t>
  </si>
  <si>
    <t>HALDHANI BAZAR BRANCH</t>
  </si>
  <si>
    <t>HALDHANI_BAZAR_BRANCH</t>
  </si>
  <si>
    <t>HALDHANI BAZAR, JHENAIDAH SADAR, JHENAIDAH 7300</t>
  </si>
  <si>
    <t>018 19700329</t>
  </si>
  <si>
    <t>010440463</t>
  </si>
  <si>
    <t>HAMDAH BUS STAND BRANCH</t>
  </si>
  <si>
    <t>HAMDAH_BUS_STAND_BRANCH</t>
  </si>
  <si>
    <t>HAMDAH BUS STAND, JHENAIDAH SADAR, JHENAIDAH 7300</t>
  </si>
  <si>
    <t>0451 62855</t>
  </si>
  <si>
    <t>010440647</t>
  </si>
  <si>
    <t>JHENAIDAH BRANCH</t>
  </si>
  <si>
    <t>JHENAIDAH_BRANCH</t>
  </si>
  <si>
    <t>JHENAIDAH 7300</t>
  </si>
  <si>
    <t>0451 61144, 62325</t>
  </si>
  <si>
    <t>010440739</t>
  </si>
  <si>
    <t>KABIRPUR BRANCH</t>
  </si>
  <si>
    <t>KABIRPUR_BRANCH</t>
  </si>
  <si>
    <t>KABIRPUR, SHAILAKUPA, JHENAIDAH 7300</t>
  </si>
  <si>
    <t>010440797</t>
  </si>
  <si>
    <t>KALIGANJ BRANCH</t>
  </si>
  <si>
    <t>KALIGANJ_BRANCH</t>
  </si>
  <si>
    <t>NALDANGA BAZAR, KALIGANJ, JHENAIDAH 7300</t>
  </si>
  <si>
    <t>04523 56002</t>
  </si>
  <si>
    <t>010440850</t>
  </si>
  <si>
    <t>KANNADAH BRANCH</t>
  </si>
  <si>
    <t>KANNADAH_BRANCH</t>
  </si>
  <si>
    <t>KANNADAH, HARINA KUNDU, JHENAIDAH 7300</t>
  </si>
  <si>
    <t>017 37407176</t>
  </si>
  <si>
    <t>010441004</t>
  </si>
  <si>
    <t>KOTCHANDPUR BRANCH</t>
  </si>
  <si>
    <t>KOTCHANDPUR_BRANCH</t>
  </si>
  <si>
    <t>KOTCHANDPUR, JHENAIDAH</t>
  </si>
  <si>
    <t>04524 65366, 65367, 018 55003839</t>
  </si>
  <si>
    <t>010441217</t>
  </si>
  <si>
    <t>SADHUHATI BRANCH</t>
  </si>
  <si>
    <t>SADHUHATI_BRANCH</t>
  </si>
  <si>
    <t>SADHUHATI, JHENAIDAH SADAR, JHENAIDAH 7300</t>
  </si>
  <si>
    <t>017 12436069</t>
  </si>
  <si>
    <t>JOYPURHAT</t>
  </si>
  <si>
    <t>010380044</t>
  </si>
  <si>
    <t>AKKELPUR BRANCH</t>
  </si>
  <si>
    <t>AKKELPUR_BRANCH</t>
  </si>
  <si>
    <t>RAIL GATE, AKKELPUR, JOYPURHAT 5940</t>
  </si>
  <si>
    <t>05722 64011</t>
  </si>
  <si>
    <t>010380107</t>
  </si>
  <si>
    <t>AWLAI BRANCH</t>
  </si>
  <si>
    <t>AWLAI_BRANCH</t>
  </si>
  <si>
    <t>AWLAI UNION, PANCHBIBI, JOYPURHAT 5910</t>
  </si>
  <si>
    <t>018 19770454</t>
  </si>
  <si>
    <t>010380228</t>
  </si>
  <si>
    <t>CHAK BARKET BRANCH</t>
  </si>
  <si>
    <t>CHAK_BARKET_BRANCH</t>
  </si>
  <si>
    <t>CHAK BARKET, JOYPURHAT 5900</t>
  </si>
  <si>
    <t>1713787396</t>
  </si>
  <si>
    <t>010380402</t>
  </si>
  <si>
    <t>JOYPURHAT BRANCH</t>
  </si>
  <si>
    <t>JOYPURHAT_BRANCH</t>
  </si>
  <si>
    <t>SADER ROAD, JOYPURHAT 5900</t>
  </si>
  <si>
    <t>0571 62539</t>
  </si>
  <si>
    <t>010380460</t>
  </si>
  <si>
    <t>KALAI BRANCH</t>
  </si>
  <si>
    <t>KALAI_BRANCH</t>
  </si>
  <si>
    <t>KALAI, JOYPURHAT 5930</t>
  </si>
  <si>
    <t>05725 56007</t>
  </si>
  <si>
    <t>010380523</t>
  </si>
  <si>
    <t>KUSHUMBA BRANCH</t>
  </si>
  <si>
    <t>KUSHUMBA_BRANCH</t>
  </si>
  <si>
    <t>KUSHUMBA, PANCHBIBI, JOYPURHAT 5910</t>
  </si>
  <si>
    <t>018 19770453</t>
  </si>
  <si>
    <t>010380581</t>
  </si>
  <si>
    <t>MATRAI BRANCH</t>
  </si>
  <si>
    <t>MATRAI_BRANCH</t>
  </si>
  <si>
    <t>MATRAI, KALAI, JOYPURHAT 5930</t>
  </si>
  <si>
    <t>018 19770452</t>
  </si>
  <si>
    <t>010380673</t>
  </si>
  <si>
    <t>PANCHBIBI BRANCH</t>
  </si>
  <si>
    <t>PANCHBIBI_BRANCH</t>
  </si>
  <si>
    <t>PANCHBIBI, JOYPURHAT 5910</t>
  </si>
  <si>
    <t>05724 75039</t>
  </si>
  <si>
    <t>KHAGRACHHARI</t>
  </si>
  <si>
    <t>010460072</t>
  </si>
  <si>
    <t>KHAGRACHHARI BRANCH</t>
  </si>
  <si>
    <t>KHAGRACHHARI_BRANCH</t>
  </si>
  <si>
    <t>KHAGRACHHARI SADAR, KHAGRACHHARI</t>
  </si>
  <si>
    <t>0371 61658</t>
  </si>
  <si>
    <t>010460319</t>
  </si>
  <si>
    <t>RAMGARH BRANCH</t>
  </si>
  <si>
    <t>RAMGARH_BRANCH</t>
  </si>
  <si>
    <t>RAMGARH, KHAGRACHHARI</t>
  </si>
  <si>
    <t>018 19345108</t>
  </si>
  <si>
    <t>010470075</t>
  </si>
  <si>
    <t>BAIKALI BRANCH</t>
  </si>
  <si>
    <t>BAIKALI_BRANCH</t>
  </si>
  <si>
    <t>BAIKALI BAZAR, KHALISPUR, KHULNA 9000</t>
  </si>
  <si>
    <t>041 762024</t>
  </si>
  <si>
    <t>010470138</t>
  </si>
  <si>
    <t>BANDARGATI BRANCH</t>
  </si>
  <si>
    <t>BANDARGATI_BRANCH</t>
  </si>
  <si>
    <t>HAJI ISLAMI LINK ROAD, SONADANGA, KHULNA 9100</t>
  </si>
  <si>
    <t>041 724026</t>
  </si>
  <si>
    <t>010470196</t>
  </si>
  <si>
    <t>BANKA BAZAR BRANCH</t>
  </si>
  <si>
    <t>BANKA_BAZAR_BRANCH</t>
  </si>
  <si>
    <t>BANKA BAZAR, PAIKGACHA, KHULNA 9281</t>
  </si>
  <si>
    <t>017 21759507</t>
  </si>
  <si>
    <t>010470288</t>
  </si>
  <si>
    <t>BATBUINA BAZAR BRANCH</t>
  </si>
  <si>
    <t>BATBUINA_BAZAR_BRANCH</t>
  </si>
  <si>
    <t>BATBUNIA BAZAR, DACOP, KHULNA 9270</t>
  </si>
  <si>
    <t>017 20548761</t>
  </si>
  <si>
    <t>010470109</t>
  </si>
  <si>
    <t>BAZUA BAZAR BRANCH</t>
  </si>
  <si>
    <t>BAZUA_BAZAR_BRANCH</t>
  </si>
  <si>
    <t>UNION COUNCIL BUILDING, BAZUA, DACOP, KHULNA 9272</t>
  </si>
  <si>
    <t>017 26810981</t>
  </si>
  <si>
    <t>010470554</t>
  </si>
  <si>
    <t>CHUKNAGAR BRANCH</t>
  </si>
  <si>
    <t>CHUKNAGAR_BRANCH</t>
  </si>
  <si>
    <t>KHULNA-JESSORE-SATKIRA ROAD, CHUKNAGAR, DUMURIA, KHULNA 9250</t>
  </si>
  <si>
    <t>041 760047</t>
  </si>
  <si>
    <t>010470583</t>
  </si>
  <si>
    <t>CLAY ROAD BRANCH</t>
  </si>
  <si>
    <t>CLAY_ROAD_BRANCH</t>
  </si>
  <si>
    <t>AGBKBDDH032</t>
  </si>
  <si>
    <t>KHAN A SOBUR ROAD, KOTWALI, KHULNA 9100</t>
  </si>
  <si>
    <t>041 720552</t>
  </si>
  <si>
    <t>010470675</t>
  </si>
  <si>
    <t>DADA MATCH</t>
  </si>
  <si>
    <t>DADA_MATCH</t>
  </si>
  <si>
    <t>010470709</t>
  </si>
  <si>
    <t>DAULATPUR BRANCH</t>
  </si>
  <si>
    <t>DAULATPUR_BRANCH</t>
  </si>
  <si>
    <t>KHAN A SOBUR ROAD, DAULATPUR, KHULNA 9202</t>
  </si>
  <si>
    <t>041 762012</t>
  </si>
  <si>
    <t>010470820</t>
  </si>
  <si>
    <t>FARAZIPARA BRANCH</t>
  </si>
  <si>
    <t>FARAZIPARA_BRANCH</t>
  </si>
  <si>
    <t>SHER-E-BANGLA ROAD, KOTWALI, KHULNA 9100</t>
  </si>
  <si>
    <t>041 724829</t>
  </si>
  <si>
    <t>010470912</t>
  </si>
  <si>
    <t>GOALPARA BRANCH</t>
  </si>
  <si>
    <t>GOALPARA_BRANCH</t>
  </si>
  <si>
    <t>GOALPARA STATION ROAD, KHALISHPUR, KHULNA 9000</t>
  </si>
  <si>
    <t>041 761007</t>
  </si>
  <si>
    <t>010471061</t>
  </si>
  <si>
    <t>JAIGIR MOHAL BRANCH</t>
  </si>
  <si>
    <t>JAIGIR_MOHAL_BRANCH</t>
  </si>
  <si>
    <t>JAIGIR MOHAL, AMADI, KOYRA, KHULNA 9291</t>
  </si>
  <si>
    <t>019 23397759</t>
  </si>
  <si>
    <t>010471124</t>
  </si>
  <si>
    <t>JESSORE ROAD BRANCH</t>
  </si>
  <si>
    <t>JESSORE_ROAD_BRANCH</t>
  </si>
  <si>
    <t>KHAN A SOBUR ROAD, SONADANGA, KHULNA 9100</t>
  </si>
  <si>
    <t>041 723201</t>
  </si>
  <si>
    <t>010471274</t>
  </si>
  <si>
    <t>KAPILMUNI BRANCH</t>
  </si>
  <si>
    <t>KAPILMUNI_BRANCH</t>
  </si>
  <si>
    <t>JAFAR AULIA SARAK, KAPILMUNI BAZAR, PAIKGACHHA, KHULNA 9282</t>
  </si>
  <si>
    <t>017 25321757</t>
  </si>
  <si>
    <t>010471366</t>
  </si>
  <si>
    <t>KAZDIA BRANCH</t>
  </si>
  <si>
    <t>KAZDIA_BRANCH</t>
  </si>
  <si>
    <t>KAZDIA BAZAR, ALAIPUR, RUPSA, KHULNA 9240</t>
  </si>
  <si>
    <t>041 800106</t>
  </si>
  <si>
    <t>010471458</t>
  </si>
  <si>
    <t>KHALISHPUR BRANCH</t>
  </si>
  <si>
    <t>KHALISHPUR_BRANCH</t>
  </si>
  <si>
    <t>BIDC ROAD, KHALISHPUR, KHULNA 9000</t>
  </si>
  <si>
    <t>041 762017</t>
  </si>
  <si>
    <t>010471487</t>
  </si>
  <si>
    <t>KHAN JAHAN ALI ROAD BRANCH</t>
  </si>
  <si>
    <t>KHAN_JAHAN_ALI_ROAD_BRANCH</t>
  </si>
  <si>
    <t>KHAN JAHAN ALI ROAD, KOTWALI, KHULNA 9100</t>
  </si>
  <si>
    <t>041 722122</t>
  </si>
  <si>
    <t>010471632</t>
  </si>
  <si>
    <t>KHULNA MEDICAL COLLEGE BRANCH</t>
  </si>
  <si>
    <t>KHULNA_MEDICAL_COLLEGE_BRANCH</t>
  </si>
  <si>
    <t>MEDICAL COLLEGE, BOYRA, SONADANGA, KHULNA 9100</t>
  </si>
  <si>
    <t>041 861226</t>
  </si>
  <si>
    <t>010471216</t>
  </si>
  <si>
    <t>KHULNA NEW MARKET BRANCH</t>
  </si>
  <si>
    <t>KHULNA_NEW_MARKET_BRANCH</t>
  </si>
  <si>
    <t>KDA NEW MARKET, SONADANGA, KHULNA 9100</t>
  </si>
  <si>
    <t>041 732470</t>
  </si>
  <si>
    <t>010471690</t>
  </si>
  <si>
    <t>KHULNA UNIVERSITY BRANCH</t>
  </si>
  <si>
    <t>KHULNA_UNIVERSITY_BRANCH</t>
  </si>
  <si>
    <t>UNIVERSITY CAMPUS, KHULNA UNIVERSITY, BATIAGATA, KHULNA 9208</t>
  </si>
  <si>
    <t>041 724429</t>
  </si>
  <si>
    <t>010471908</t>
  </si>
  <si>
    <t>MAHESHWARPASHA BRANCH</t>
  </si>
  <si>
    <t>MAHESHWARPASHA_BRANCH</t>
  </si>
  <si>
    <t>MAHESHWAR PASHA BAZAR, DAULATPUR, KHULNA 9203</t>
  </si>
  <si>
    <t>041 774014</t>
  </si>
  <si>
    <t>010471966</t>
  </si>
  <si>
    <t>NEVAL BASE BRANCH</t>
  </si>
  <si>
    <t>NEVAL_BASE_BRANCH</t>
  </si>
  <si>
    <t>WIRELESS APPROCH ROAD, KHALISPUR, KHULNA 9000</t>
  </si>
  <si>
    <t>041 761010</t>
  </si>
  <si>
    <t>010472110</t>
  </si>
  <si>
    <t>PHULBARI GATE BRANCH</t>
  </si>
  <si>
    <t>PHULBARI_GATE_BRANCH</t>
  </si>
  <si>
    <t>PHULBARI GATE, DAULATPUR, KHAN JAHAN ALI, KHULNA 9202</t>
  </si>
  <si>
    <t>041 774087</t>
  </si>
  <si>
    <t>010472149</t>
  </si>
  <si>
    <t>PHULTALA BRANCH</t>
  </si>
  <si>
    <t>PHULTALA_BRANCH</t>
  </si>
  <si>
    <t>214</t>
  </si>
  <si>
    <t>KHULNA-JESSORE ROAD, PHULTALA, KHULNA 9210</t>
  </si>
  <si>
    <t>041 701011</t>
  </si>
  <si>
    <t>010472352</t>
  </si>
  <si>
    <t>RUPSA BRANCH</t>
  </si>
  <si>
    <t>RUPSA_BRANCH</t>
  </si>
  <si>
    <t>RUPSA STAND ROAD, KOTWALI, KHULNA 9100</t>
  </si>
  <si>
    <t>041 724028</t>
  </si>
  <si>
    <t>010472507</t>
  </si>
  <si>
    <t>SHAIKPURA BRANCH</t>
  </si>
  <si>
    <t>SHAIKPURA_BRANCH</t>
  </si>
  <si>
    <t>250</t>
  </si>
  <si>
    <t>SHAIKPURA BAZAR, SHEALI, TEROKHADA, KHULNA 9230</t>
  </si>
  <si>
    <t>017 32444428</t>
  </si>
  <si>
    <t>010472381</t>
  </si>
  <si>
    <t>SI ROAD BRANCH</t>
  </si>
  <si>
    <t>SI_ROAD_BRANCH</t>
  </si>
  <si>
    <t>AGBKBDDH023</t>
  </si>
  <si>
    <t>15 SIR IQBAL ROAD, KHULNA 9100</t>
  </si>
  <si>
    <t>041 722949</t>
  </si>
  <si>
    <t>010472415</t>
  </si>
  <si>
    <t>SR ROAD BRANCH</t>
  </si>
  <si>
    <t>SR_ROAD_BRANCH</t>
  </si>
  <si>
    <t>SHAMSUR RAHMAN ROAD, KOTWALI, KHULNA 9100</t>
  </si>
  <si>
    <t>041 724027</t>
  </si>
  <si>
    <t>010472657</t>
  </si>
  <si>
    <t>TEROKHADA BRANCH</t>
  </si>
  <si>
    <t>TEROKHADA_BRANCH</t>
  </si>
  <si>
    <t>FAZLUL HAQUE PILOT SCHOOL, TEROKHADA, KHULNA 9230</t>
  </si>
  <si>
    <t>04029 56006</t>
  </si>
  <si>
    <t>010480102</t>
  </si>
  <si>
    <t>BAZITPUR BRANCH</t>
  </si>
  <si>
    <t>BAZITPUR_BRANCH</t>
  </si>
  <si>
    <t>BAZITPUR, KISHOREGANJ 2336</t>
  </si>
  <si>
    <t>09423 64214</t>
  </si>
  <si>
    <t>010480223</t>
  </si>
  <si>
    <t>TIN PATTY, BHAIRAB BAZAR, KISHOREGANJ 2350</t>
  </si>
  <si>
    <t>09424 71458</t>
  </si>
  <si>
    <t>010480252</t>
  </si>
  <si>
    <t>CHARPAMDI BRANCH</t>
  </si>
  <si>
    <t>CHARPAMDI_BRANCH</t>
  </si>
  <si>
    <t>CHARPAMDI BAZAR, PAMDI, HOSSAINPUR, KISHOREGANJ 2300</t>
  </si>
  <si>
    <t>017 12742048</t>
  </si>
  <si>
    <t>010480407</t>
  </si>
  <si>
    <t>HOSSAINPUR BRANCH</t>
  </si>
  <si>
    <t>HOSSAINPUR_BRANCH</t>
  </si>
  <si>
    <t>HOSSAINPUR, KISHOREGANJ 2320</t>
  </si>
  <si>
    <t>0942 556023</t>
  </si>
  <si>
    <t>010480557</t>
  </si>
  <si>
    <t>KARIMGANJ BRANCH</t>
  </si>
  <si>
    <t>KARIMGANJ_BRANCH</t>
  </si>
  <si>
    <t>KARIMGANJ, KISHOREGANJ 2310</t>
  </si>
  <si>
    <t>09427 56029</t>
  </si>
  <si>
    <t>010480610</t>
  </si>
  <si>
    <t>KATIADI BAZAR BRANCH</t>
  </si>
  <si>
    <t>KATIADI_BAZAR_BRANCH</t>
  </si>
  <si>
    <t>KATIADI BAZAR, KATIADI, KISHOREGANJ 2330</t>
  </si>
  <si>
    <t>09428 56008</t>
  </si>
  <si>
    <t>010480678</t>
  </si>
  <si>
    <t>KISHOREGANJ BRANCH</t>
  </si>
  <si>
    <t>KISHOREGANJ_BRANCH</t>
  </si>
  <si>
    <t>STATION ROAD, KISHOREGANJ 2300</t>
  </si>
  <si>
    <t>0941 6829</t>
  </si>
  <si>
    <t>010480731</t>
  </si>
  <si>
    <t>KULIARCHAR BRANCH</t>
  </si>
  <si>
    <t>KULIARCHAR_BRANCH</t>
  </si>
  <si>
    <t>KULIAR CHAR, KISHOREGANJ 2340</t>
  </si>
  <si>
    <t>09429 56035</t>
  </si>
  <si>
    <t>010480915</t>
  </si>
  <si>
    <t>MIRZAPUR BAZAR, PANKACHAIR, PAKUNDIA, KISHOREGANJ 2326</t>
  </si>
  <si>
    <t>018 17048592</t>
  </si>
  <si>
    <t>010480881</t>
  </si>
  <si>
    <t>MOTHKHOLA BRANCH</t>
  </si>
  <si>
    <t>MOTHKHOLA_BRANCH</t>
  </si>
  <si>
    <t>MOTHKHOLA, PAKUNDIA, KISHOREGANJ 2326</t>
  </si>
  <si>
    <t>018 17048591</t>
  </si>
  <si>
    <t>010481006</t>
  </si>
  <si>
    <t>NIKLI BRANCH</t>
  </si>
  <si>
    <t>NIKLI_BRANCH</t>
  </si>
  <si>
    <t>NIKLI, KISHOREGANJ 2360</t>
  </si>
  <si>
    <t>09432 56013</t>
  </si>
  <si>
    <t>010481064</t>
  </si>
  <si>
    <t>PAKUNDIA BRANCH</t>
  </si>
  <si>
    <t>PAKUNDIA_BRANCH</t>
  </si>
  <si>
    <t>PAKUNDIA, KISHOREGANJ 2326</t>
  </si>
  <si>
    <t>09433 56013</t>
  </si>
  <si>
    <t>KURIGRAM</t>
  </si>
  <si>
    <t>010490071</t>
  </si>
  <si>
    <t>BHITORBOND BRANCH</t>
  </si>
  <si>
    <t>BHITORBOND_BRANCH</t>
  </si>
  <si>
    <t>BHABANIPUR, BHITORBOND, NAGESWARI, KURIGRAM 5600</t>
  </si>
  <si>
    <t>018 19770492</t>
  </si>
  <si>
    <t>010490105</t>
  </si>
  <si>
    <t>BHURUNGAMARI BRANCH</t>
  </si>
  <si>
    <t>BHURUNGAMARI_BRANCH</t>
  </si>
  <si>
    <t>DEWANER KHAMER, BHURUNGAMARI, KURIGRAM 5600</t>
  </si>
  <si>
    <t>05822 56079</t>
  </si>
  <si>
    <t>010490134</t>
  </si>
  <si>
    <t>CHILMARI BRANCH</t>
  </si>
  <si>
    <t>CHILMARI_BRANCH</t>
  </si>
  <si>
    <t>CHILMARI, KURIGRAM 5630</t>
  </si>
  <si>
    <t>05824 56006</t>
  </si>
  <si>
    <t>010490400</t>
  </si>
  <si>
    <t>KURIGRAM BRANCH</t>
  </si>
  <si>
    <t>KURIGRAM_BRANCH</t>
  </si>
  <si>
    <t>DADAMORE, KURIGRAM 5600</t>
  </si>
  <si>
    <t>0581 61407</t>
  </si>
  <si>
    <t>010490468</t>
  </si>
  <si>
    <t>NAGESHWARI BRANCH</t>
  </si>
  <si>
    <t>NAGESHWARI_BRANCH</t>
  </si>
  <si>
    <t>PASHCHIM NAGESHWARI, NAGESHWARI, KURIGRAM 5660</t>
  </si>
  <si>
    <t>05826 56227</t>
  </si>
  <si>
    <t>010490497</t>
  </si>
  <si>
    <t>NAZIM KHAN BRANCH</t>
  </si>
  <si>
    <t>NAZIM_KHAN_BRANCH</t>
  </si>
  <si>
    <t>MALLICK BEG, NAZIM KHAN, RAJARHAT, KURIGRAM 5611</t>
  </si>
  <si>
    <t>019 22982352</t>
  </si>
  <si>
    <t>010490589</t>
  </si>
  <si>
    <t>MEKURTARI, RAJARHAT, KURIGRAM 5600</t>
  </si>
  <si>
    <t>05827 56040</t>
  </si>
  <si>
    <t>010490705</t>
  </si>
  <si>
    <t>ULIPUR BRANCH</t>
  </si>
  <si>
    <t>ULIPUR_BRANCH</t>
  </si>
  <si>
    <t>KC ROAD, ULIPUR, KURIGRAM 5620</t>
  </si>
  <si>
    <t>05829 56009</t>
  </si>
  <si>
    <t>010500079</t>
  </si>
  <si>
    <t>ALLARDARGAH BRANCH</t>
  </si>
  <si>
    <t>ALLARDARGAH_BRANCH</t>
  </si>
  <si>
    <t>ALLARDARGA, DAULATPUR, KUSHTIA 7042</t>
  </si>
  <si>
    <t>0702 375221</t>
  </si>
  <si>
    <t>010500190</t>
  </si>
  <si>
    <t>BARA BAZAR BRANCH</t>
  </si>
  <si>
    <t>BARA_BAZAR_BRANCH</t>
  </si>
  <si>
    <t>NS ROAD, BARA BAZAR, KUSHTIA 7000</t>
  </si>
  <si>
    <t>018 19700313</t>
  </si>
  <si>
    <t>010500224</t>
  </si>
  <si>
    <t>BARA GANGDIA BRANCH</t>
  </si>
  <si>
    <t>BARA_GANGDIA_BRANCH</t>
  </si>
  <si>
    <t>BARA GANGDIA, DAULATPUR, KUSHTIA 7050</t>
  </si>
  <si>
    <t>07023 75290</t>
  </si>
  <si>
    <t>010500282</t>
  </si>
  <si>
    <t>BHERAMARA BRANCH</t>
  </si>
  <si>
    <t>BHERAMARA_BRANCH</t>
  </si>
  <si>
    <t>BHERAMARA, KUSHTIA 7040</t>
  </si>
  <si>
    <t>07022 71314</t>
  </si>
  <si>
    <t>010500466</t>
  </si>
  <si>
    <t>DAULATPUR, KUSHTIA 7050</t>
  </si>
  <si>
    <t>07023 75338</t>
  </si>
  <si>
    <t>010500558</t>
  </si>
  <si>
    <t>GOLAPNAGAR BRANCH</t>
  </si>
  <si>
    <t>GOLAPNAGAR_BRANCH</t>
  </si>
  <si>
    <t>GOLAPNAGAR, BHERAMARA, KUSHTIA 7040</t>
  </si>
  <si>
    <t>07022 71014</t>
  </si>
  <si>
    <t>010500679</t>
  </si>
  <si>
    <t>ISLAMIC UNIVERSITY BRANCH</t>
  </si>
  <si>
    <t>ISLAMIC_UNIVERSITY_BRANCH</t>
  </si>
  <si>
    <t>ISLAMIC UNIVERSITY, SANTIDANGA, KUSHTIA 7003</t>
  </si>
  <si>
    <t>071 62201-6, 071 62005</t>
  </si>
  <si>
    <t>010500790</t>
  </si>
  <si>
    <t>KHALISHA KUNDI BRANCH</t>
  </si>
  <si>
    <t>KHALISHA_KUNDI_BRANCH</t>
  </si>
  <si>
    <t>KHALISHA KUNDI, DAULATPUR, KUSHTIA 7030</t>
  </si>
  <si>
    <t>017 16984816, 071 89035</t>
  </si>
  <si>
    <t>010500882</t>
  </si>
  <si>
    <t>KUMARKHALI BRANCH</t>
  </si>
  <si>
    <t>KUMARKHALI_BRANCH</t>
  </si>
  <si>
    <t>KUMARKHALI, KUSHTIA 7010</t>
  </si>
  <si>
    <t>07025 76409</t>
  </si>
  <si>
    <t>010501249</t>
  </si>
  <si>
    <t>KUSHTIA NEW MARKET BRANCH</t>
  </si>
  <si>
    <t>KUSHTIA_NEW_MARKET_BRANCH</t>
  </si>
  <si>
    <t>NS ROAD, NEW MARKET, KUSHTIA 7000</t>
  </si>
  <si>
    <t>071 61998</t>
  </si>
  <si>
    <t>010501036</t>
  </si>
  <si>
    <t>MATHURAPUR BRANCH</t>
  </si>
  <si>
    <t>MATHURAPUR_BRANCH</t>
  </si>
  <si>
    <t>MATHURAPUR, DAULATPUR, KUSHTIA 7052</t>
  </si>
  <si>
    <t>010501157</t>
  </si>
  <si>
    <t>MAZAMPUR BRANCH</t>
  </si>
  <si>
    <t>MAZAMPUR_BRANCH</t>
  </si>
  <si>
    <t>MAZAMPUR, KUSHTIA SADAR, KUSHTIA 7000</t>
  </si>
  <si>
    <t>071 62331</t>
  </si>
  <si>
    <t>010501065</t>
  </si>
  <si>
    <t>MIRPUR, KUSHTIA 7030</t>
  </si>
  <si>
    <t>07026 56212</t>
  </si>
  <si>
    <t>010501278</t>
  </si>
  <si>
    <t>PANTI BRANCH</t>
  </si>
  <si>
    <t>PANTI_BRANCH</t>
  </si>
  <si>
    <t>PANTI, KUMARKHALI, KUSHTIA 7011</t>
  </si>
  <si>
    <t>017 32766022</t>
  </si>
  <si>
    <t>010501399</t>
  </si>
  <si>
    <t>PARAGPUR BRANCH</t>
  </si>
  <si>
    <t>PARAGPUR_BRANCH</t>
  </si>
  <si>
    <t>PARAGPUR, CHARPRAGPUR, DAULATPUR, KUSHTIA 7052</t>
  </si>
  <si>
    <t>018 19700168</t>
  </si>
  <si>
    <t>010501331</t>
  </si>
  <si>
    <t>PATIKABARI BRANCH</t>
  </si>
  <si>
    <t>PATIKABARI_BRANCH</t>
  </si>
  <si>
    <t>PATIKABARI, KUSHTIA 7031</t>
  </si>
  <si>
    <t>018 19700306</t>
  </si>
  <si>
    <t>010501481</t>
  </si>
  <si>
    <t>SC BENARJEE ROAD BRANCH</t>
  </si>
  <si>
    <t>SC_BENARJEE_ROAD_BRANCH</t>
  </si>
  <si>
    <t>SC BENARJEE ROAD, BARA BAZAR, KUSHTIA 7000</t>
  </si>
  <si>
    <t>071 61954</t>
  </si>
  <si>
    <t>010501544</t>
  </si>
  <si>
    <t>SELAIDAH BRANCH</t>
  </si>
  <si>
    <t>SELAIDAH_BRANCH</t>
  </si>
  <si>
    <t>SELAIDAH, KUMARKHALI, KUSHTIA 7000</t>
  </si>
  <si>
    <t>017 14303390</t>
  </si>
  <si>
    <t>010501573</t>
  </si>
  <si>
    <t>STATION ROAD, KUSHITA 7000</t>
  </si>
  <si>
    <t>071 62224</t>
  </si>
  <si>
    <t>010501665</t>
  </si>
  <si>
    <t>THANAPARA BRANCH</t>
  </si>
  <si>
    <t>THANAPARA_BRANCH</t>
  </si>
  <si>
    <t>NS ROAD, THANAPARA, KUSHTIA 7000</t>
  </si>
  <si>
    <t>071 62017</t>
  </si>
  <si>
    <t>010501694</t>
  </si>
  <si>
    <t>UJANGRAM BRANCH</t>
  </si>
  <si>
    <t>UJANGRAM_BRANCH</t>
  </si>
  <si>
    <t>UJANGRAM, KUSHTIA 7002</t>
  </si>
  <si>
    <t>071 89034</t>
  </si>
  <si>
    <t>LAKSHMIPUR</t>
  </si>
  <si>
    <t>010510072</t>
  </si>
  <si>
    <t>BHABANIGANJ BRANCH</t>
  </si>
  <si>
    <t>BHABANIGANJ_BRANCH</t>
  </si>
  <si>
    <t>BHABANIGANJ BAZAR, LAXMIPUR 3702</t>
  </si>
  <si>
    <t>018 19345143</t>
  </si>
  <si>
    <t>010510401</t>
  </si>
  <si>
    <t>DALAL BAZAR BRANCH</t>
  </si>
  <si>
    <t>DALAL_BAZAR_BRANCH</t>
  </si>
  <si>
    <t>DALAL BAZAR, LAKSHMIPUR 3701</t>
  </si>
  <si>
    <t>0381 55297</t>
  </si>
  <si>
    <t>010510469</t>
  </si>
  <si>
    <t>DASHERHAT BRANCH</t>
  </si>
  <si>
    <t>DASHERHAT_BRANCH</t>
  </si>
  <si>
    <t>DASHER HAT, RUPA CHARA, LAKSHMIPUR 3705</t>
  </si>
  <si>
    <t>018 19345144</t>
  </si>
  <si>
    <t>010510735</t>
  </si>
  <si>
    <t>LAKSHMIPUR BRANCH</t>
  </si>
  <si>
    <t>LAKSHMIPUR_BRANCH</t>
  </si>
  <si>
    <t>LAKSHMIPUR SADAR, LAKSHMIPUR 3700</t>
  </si>
  <si>
    <t>0381 55327</t>
  </si>
  <si>
    <t>010510827</t>
  </si>
  <si>
    <t>MANDARI BAZAR BRANCH</t>
  </si>
  <si>
    <t>MANDARI_BAZAR_BRANCH</t>
  </si>
  <si>
    <t>MANDARI BAZAR, LAKSHMIPUR 3703</t>
  </si>
  <si>
    <t>0381 55320</t>
  </si>
  <si>
    <t>010510919</t>
  </si>
  <si>
    <t>PANPARA BAZAR BRANCH</t>
  </si>
  <si>
    <t>PANPARA_BAZAR_BRANCH</t>
  </si>
  <si>
    <t>PANPARA BAZAR, RAMGANJ, LAKSHMIPUR 3722</t>
  </si>
  <si>
    <t>018 19345150</t>
  </si>
  <si>
    <t>010510977</t>
  </si>
  <si>
    <t>RAIPUR BRANCH</t>
  </si>
  <si>
    <t>RAIPUR_BRANCH</t>
  </si>
  <si>
    <t>RAIPUR, LAKSHMIPUR 3710</t>
  </si>
  <si>
    <t>03822 56086</t>
  </si>
  <si>
    <t>010511039</t>
  </si>
  <si>
    <t>RAMGANJ BRANCH</t>
  </si>
  <si>
    <t>RAMGANJ_BRANCH</t>
  </si>
  <si>
    <t>RAMGANJ, LAKSHMIPUR 3720</t>
  </si>
  <si>
    <t>03824 75004</t>
  </si>
  <si>
    <t>010511068</t>
  </si>
  <si>
    <t>RAMGATI BRANCH</t>
  </si>
  <si>
    <t>RAMGATI_BRANCH</t>
  </si>
  <si>
    <t>ALEXANDER, RAMGATI, LAKSHMIPUR 3730</t>
  </si>
  <si>
    <t>03823 56205</t>
  </si>
  <si>
    <t>LALMONIRHAT</t>
  </si>
  <si>
    <t>010520462</t>
  </si>
  <si>
    <t>LALMONIRHAT BRANCH</t>
  </si>
  <si>
    <t>LALMONIRHAT_BRANCH</t>
  </si>
  <si>
    <t>GOSHALA ROAD, LALMONIRHAT 5500</t>
  </si>
  <si>
    <t>0591 61414</t>
  </si>
  <si>
    <t>010520059</t>
  </si>
  <si>
    <t>MISSION MORE BRANCH</t>
  </si>
  <si>
    <t>MISSION_MORE_BRANCH</t>
  </si>
  <si>
    <t>MISSION MORE, LALMONIRHAT</t>
  </si>
  <si>
    <t>MADARIPUR</t>
  </si>
  <si>
    <t>010540071</t>
  </si>
  <si>
    <t>BARHAMGANJ BRANCH</t>
  </si>
  <si>
    <t>BARHAMGANJ_BRANCH</t>
  </si>
  <si>
    <t>MAIN ROAD, SHIBCHAR, MADARIPUR 7930</t>
  </si>
  <si>
    <t>06624 56104</t>
  </si>
  <si>
    <t>010540084</t>
  </si>
  <si>
    <t>DIKRIRCHAR  HAT BRANCH</t>
  </si>
  <si>
    <t>DIKRIRCHAR__HAT_BRANCH</t>
  </si>
  <si>
    <t>DIKRIRCHAR  HAT, MADARIPUR</t>
  </si>
  <si>
    <t>010540284</t>
  </si>
  <si>
    <t>KALKINI BRANCH</t>
  </si>
  <si>
    <t>KALKINI_BRANCH</t>
  </si>
  <si>
    <t>KALKINI BAZAR, KALKINI, MADARIPUR 7920</t>
  </si>
  <si>
    <t>06622 56132</t>
  </si>
  <si>
    <t>010540400</t>
  </si>
  <si>
    <t>MADARIPUR BRANCH</t>
  </si>
  <si>
    <t>MADARIPUR_BRANCH</t>
  </si>
  <si>
    <t>PURAN BAZAR, MADARIPUR 7900</t>
  </si>
  <si>
    <t>0661 61503</t>
  </si>
  <si>
    <t>010540589</t>
  </si>
  <si>
    <t>DR TOTA SARAK, MADARIPUR 7900</t>
  </si>
  <si>
    <t>0661 62879</t>
  </si>
  <si>
    <t>010540763</t>
  </si>
  <si>
    <t>TAKERHAT BRANCH</t>
  </si>
  <si>
    <t>TAKERHAT_BRANCH</t>
  </si>
  <si>
    <t>TAKERHAT BAZAR, KHALIA, RAJOIR, MADARIPUR 7911</t>
  </si>
  <si>
    <t>06623  56301-2</t>
  </si>
  <si>
    <t>MAGURA</t>
  </si>
  <si>
    <t>010550166</t>
  </si>
  <si>
    <t>BEROIL PALITA BRANCH</t>
  </si>
  <si>
    <t>BEROIL_PALITA_BRANCH</t>
  </si>
  <si>
    <t>BEROIL PALITA, MAGURA SADAR, MAGURA 7600</t>
  </si>
  <si>
    <t>018 19700311</t>
  </si>
  <si>
    <t>010550379</t>
  </si>
  <si>
    <t>HAZIPUR BRANCH</t>
  </si>
  <si>
    <t>HAZIPUR_BRANCH</t>
  </si>
  <si>
    <t>HAZIPUR, MAGURA SADAR, MAGURA 7600</t>
  </si>
  <si>
    <t>018 19700310</t>
  </si>
  <si>
    <t>010550403</t>
  </si>
  <si>
    <t>ICHAKHADA BRANCH</t>
  </si>
  <si>
    <t>ICHAKHADA_BRANCH</t>
  </si>
  <si>
    <t>ICHAKHADA, MAGURA 7600</t>
  </si>
  <si>
    <t>018 19700312</t>
  </si>
  <si>
    <t>010550553</t>
  </si>
  <si>
    <t>MAGURA BRANCH</t>
  </si>
  <si>
    <t>MAGURA_BRANCH</t>
  </si>
  <si>
    <t>MAGURA SADAR, MAGURA 7600</t>
  </si>
  <si>
    <t>0421 62521</t>
  </si>
  <si>
    <t>010551002</t>
  </si>
  <si>
    <t>VAINAR MOAR</t>
  </si>
  <si>
    <t>VAINAR_MOAR</t>
  </si>
  <si>
    <t>MANIKGANJ</t>
  </si>
  <si>
    <t>010560048</t>
  </si>
  <si>
    <t>ARICHAGHAT BRANCH</t>
  </si>
  <si>
    <t>ARICHAGHAT_BRANCH</t>
  </si>
  <si>
    <t>ARICHAGHAT, SHIBALAY, MANIKGANJ 1850</t>
  </si>
  <si>
    <t>06 5175014</t>
  </si>
  <si>
    <t>010560169</t>
  </si>
  <si>
    <t>BOYRA BRANCH</t>
  </si>
  <si>
    <t>BOYRA_BRANCH</t>
  </si>
  <si>
    <t>ANDHARMANIK, HORIRAMPUR, MANIKGANJ 1830</t>
  </si>
  <si>
    <t>06524 56082</t>
  </si>
  <si>
    <t>010560222</t>
  </si>
  <si>
    <t>CHARIGRAM BRANCH</t>
  </si>
  <si>
    <t>CHARIGRAM_BRANCH</t>
  </si>
  <si>
    <t>CHARIGRAM BAZAR, SINGAIR, MANIKGANJ 1820</t>
  </si>
  <si>
    <t>0651 71144</t>
  </si>
  <si>
    <t>010560314</t>
  </si>
  <si>
    <t>DHALLA BRANCH</t>
  </si>
  <si>
    <t>DHALLA_BRANCH</t>
  </si>
  <si>
    <t>DHALLA BAZAR, SINGAIR, MANIKGANJ 1340</t>
  </si>
  <si>
    <t>018 19412932</t>
  </si>
  <si>
    <t>010560556</t>
  </si>
  <si>
    <t>JHITKA BAZAR BRANCH</t>
  </si>
  <si>
    <t>JHITKA_BAZAR_BRANCH</t>
  </si>
  <si>
    <t>BASHUDEVPUR, JHITKA, HARIRAMPUR, MANIKGANJ 1831</t>
  </si>
  <si>
    <t>038972 50027</t>
  </si>
  <si>
    <t>010560585</t>
  </si>
  <si>
    <t>KRISHNAPUR BRANCH</t>
  </si>
  <si>
    <t>KRISHNAPUR_BRANCH</t>
  </si>
  <si>
    <t>KRISHNAPUR, KATIGRAM, MANIKGANJ 1820</t>
  </si>
  <si>
    <t>018 1941295</t>
  </si>
  <si>
    <t>010560619</t>
  </si>
  <si>
    <t>MANIKGANJ BRANCH</t>
  </si>
  <si>
    <t>MANIKGANJ_BRANCH</t>
  </si>
  <si>
    <t>108 SHAHID RAFIQUE SARAK, MANIKGANJ 1800</t>
  </si>
  <si>
    <t>0651 61220</t>
  </si>
  <si>
    <t>010560677</t>
  </si>
  <si>
    <t>MANIKNAGAR BRANCH</t>
  </si>
  <si>
    <t>MANIKNAGAR_BRANCH</t>
  </si>
  <si>
    <t>MANIKNAGAR BAZAR, CHNDHORE, SINGAIR, MANIKGANJ 1822</t>
  </si>
  <si>
    <t>018 19412956</t>
  </si>
  <si>
    <t>010560493</t>
  </si>
  <si>
    <t>SATURIA BRANCH</t>
  </si>
  <si>
    <t>SATURIA_BRANCH</t>
  </si>
  <si>
    <t>JANNA BAZAR, SATURIA, MANIKGANJ 1800</t>
  </si>
  <si>
    <t>018 19412931</t>
  </si>
  <si>
    <t>010560822</t>
  </si>
  <si>
    <t>SINGAIR BRANCH</t>
  </si>
  <si>
    <t>SINGAIR_BRANCH</t>
  </si>
  <si>
    <t>SHAHID RAFIQUE SARANI, SINGAIR, MANIKGANJ 1820</t>
  </si>
  <si>
    <t>0651 71033</t>
  </si>
  <si>
    <t>010560880</t>
  </si>
  <si>
    <t>WIRELESS GATE BRANCH</t>
  </si>
  <si>
    <t>WIRELESS_GATE_BRANCH</t>
  </si>
  <si>
    <t>22 SHAHID SARANI, MANIKGANJ 1800</t>
  </si>
  <si>
    <t>0651 61667</t>
  </si>
  <si>
    <t>MEHERPUR</t>
  </si>
  <si>
    <t>010570070</t>
  </si>
  <si>
    <t>BAMANPARA BRANCH</t>
  </si>
  <si>
    <t>BAMANPARA_BRANCH</t>
  </si>
  <si>
    <t>BAMANPARA, MEHERPUR 7100</t>
  </si>
  <si>
    <t>018 19700326</t>
  </si>
  <si>
    <t>010570133</t>
  </si>
  <si>
    <t>GANGNI BRANCH</t>
  </si>
  <si>
    <t>GANGNI_BRANCH</t>
  </si>
  <si>
    <t>HATBOALIA ROAD, GANGNI, MEHERPUR</t>
  </si>
  <si>
    <t>018 68198966</t>
  </si>
  <si>
    <t>010570375</t>
  </si>
  <si>
    <t>MEHERPUR BRANCH</t>
  </si>
  <si>
    <t>MEHERPUR_BRANCH</t>
  </si>
  <si>
    <t>MEHERPUR SADAR, MEHERPUR 7100</t>
  </si>
  <si>
    <t>0791 62484</t>
  </si>
  <si>
    <t>010570467</t>
  </si>
  <si>
    <t>MUJIBNAGAR BRANCH</t>
  </si>
  <si>
    <t>MUJIBNAGAR_BRANCH</t>
  </si>
  <si>
    <t>MUJIB NAGAR, KEDARGANJ, MEHERPUR 7100</t>
  </si>
  <si>
    <t>079 23740</t>
  </si>
  <si>
    <t>010580228</t>
  </si>
  <si>
    <t>BHUKSHIMOIL BRANCH</t>
  </si>
  <si>
    <t>BHUKSHIMOIL_BRANCH</t>
  </si>
  <si>
    <t>BHUKSHIMOIL, KULARUA, MOULVIBAZAR 3230</t>
  </si>
  <si>
    <t>017 11985710</t>
  </si>
  <si>
    <t>010580552</t>
  </si>
  <si>
    <t>FULTALA BRANCH</t>
  </si>
  <si>
    <t>FULTALA_BRANCH</t>
  </si>
  <si>
    <t>FULTOLA BAZAR, JURI, MOULVIBAZAR 3251</t>
  </si>
  <si>
    <t>017 19449391</t>
  </si>
  <si>
    <t>010580828</t>
  </si>
  <si>
    <t>KARMADHA BRANCH</t>
  </si>
  <si>
    <t>KARMADHA_BRANCH</t>
  </si>
  <si>
    <t>KARMADHA, KULAURA, MOULVIBAZAR 3233</t>
  </si>
  <si>
    <t>017 18672639</t>
  </si>
  <si>
    <t>010580857</t>
  </si>
  <si>
    <t>KATARKONA BRANCH</t>
  </si>
  <si>
    <t>KATARKONA_BRANCH</t>
  </si>
  <si>
    <t>HAJIPUR, KULAURA, MOULVIBAZAR 3223</t>
  </si>
  <si>
    <t>017 11041395</t>
  </si>
  <si>
    <t>010580949</t>
  </si>
  <si>
    <t>KULAURA BRANCH</t>
  </si>
  <si>
    <t>KULAURA_BRANCH</t>
  </si>
  <si>
    <t>SHAHJALAL MARKET, KULAURA, MOULVIBAZAR 3230</t>
  </si>
  <si>
    <t>08624 56007</t>
  </si>
  <si>
    <t>010581151</t>
  </si>
  <si>
    <t>MOSTAFAPUR BRANCH</t>
  </si>
  <si>
    <t>MOSTAFAPUR_BRANCH</t>
  </si>
  <si>
    <t>MOSTAFAPUR, MOULVIBAZAR 3200</t>
  </si>
  <si>
    <t>0861 52562</t>
  </si>
  <si>
    <t>010581180</t>
  </si>
  <si>
    <t>CHOUMOHANA, M SAIFUR RAHMAN ROAD, MOULVIBAZAR 3200</t>
  </si>
  <si>
    <t>0861 52231</t>
  </si>
  <si>
    <t>010581243</t>
  </si>
  <si>
    <t>MUNSHI BAZAR BRANCH</t>
  </si>
  <si>
    <t>MUNSHI_BAZAR_BRANCH</t>
  </si>
  <si>
    <t>KHOLAGRAM, KARIMPUR TEA GARDEN, RAJNAGAR, MOULVIBAZAR 3235</t>
  </si>
  <si>
    <t>018 19550707</t>
  </si>
  <si>
    <t>010581364</t>
  </si>
  <si>
    <t>RABIR BAZAR BRANCH</t>
  </si>
  <si>
    <t>RABIR_BAZAR_BRANCH</t>
  </si>
  <si>
    <t>RABIR BAZAR, PRITHIMPASHA, KULAURA, MOULVIBAZAR 3233</t>
  </si>
  <si>
    <t>010581698</t>
  </si>
  <si>
    <t>SINDURKHAN BAZAR BRANCH</t>
  </si>
  <si>
    <t>SINDURKHAN_BAZAR_BRANCH</t>
  </si>
  <si>
    <t>SINDURKHAN BAZAR, JANAURA, SREEMONGAL, MOULVIBAZAR 3210</t>
  </si>
  <si>
    <t>08626 71506</t>
  </si>
  <si>
    <t>010581722</t>
  </si>
  <si>
    <t>CHOUMOHANA, STATION ROAD, SREEMANGAL, MOULVIBAZAR 3210</t>
  </si>
  <si>
    <t>MOULVI_BAZAR</t>
  </si>
  <si>
    <t>010580581</t>
  </si>
  <si>
    <t>GIAS NAGAR</t>
  </si>
  <si>
    <t>GIAS_NAGAR</t>
  </si>
  <si>
    <t>010581001</t>
  </si>
  <si>
    <t>MADHABPUR BAZAR</t>
  </si>
  <si>
    <t>MADHABPUR_BAZAR</t>
  </si>
  <si>
    <t>MUNSHIGANJ</t>
  </si>
  <si>
    <t>010590139</t>
  </si>
  <si>
    <t>BALIGAON BRANCH</t>
  </si>
  <si>
    <t>BALIGAON_BRANCH</t>
  </si>
  <si>
    <t>BALIGAON BAZAR, TANGIBARI, MUNSHIGANJ 1522</t>
  </si>
  <si>
    <t>017 26107336</t>
  </si>
  <si>
    <t>010590434</t>
  </si>
  <si>
    <t>DIGHIRPAR BRANCH</t>
  </si>
  <si>
    <t>DIGHIRPAR_BRANCH</t>
  </si>
  <si>
    <t>DIGHIRPAR BAZAR, TANGIBARI, MUNSHIGANJ 1525</t>
  </si>
  <si>
    <t>018 19412945</t>
  </si>
  <si>
    <t>010590555</t>
  </si>
  <si>
    <t>HASAIL BAZAR BRANCH</t>
  </si>
  <si>
    <t>HASAIL_BAZAR_BRANCH</t>
  </si>
  <si>
    <t>SHIDDESHWARI BAZAR, PANCHGAON, TANGIBARI, MUNSHIGANJ 1524</t>
  </si>
  <si>
    <t>018 19412951</t>
  </si>
  <si>
    <t>010590618</t>
  </si>
  <si>
    <t>HASHARA BAZAR BRANCH</t>
  </si>
  <si>
    <t>HASHARA_BAZAR_BRANCH</t>
  </si>
  <si>
    <t>HASHARA BAZAR, SREENAGAR, MUNSHIGANJ 1553</t>
  </si>
  <si>
    <t>018 19412952</t>
  </si>
  <si>
    <t>010590647</t>
  </si>
  <si>
    <t>HOSSANDI BAZAR BRANCH</t>
  </si>
  <si>
    <t>HOSSANDI_BAZAR_BRANCH</t>
  </si>
  <si>
    <t>HOSSENDI BAZAR, GAZARIA, MUNSHIGANJ 1521</t>
  </si>
  <si>
    <t>018 17048588</t>
  </si>
  <si>
    <t>010590821</t>
  </si>
  <si>
    <t>KALAPARA BAZAR BRANCH</t>
  </si>
  <si>
    <t>KALAPARA_BAZAR_BRANCH</t>
  </si>
  <si>
    <t>KALAPARA BAZAR, SREENAGAR, MUNSHIGANJ 1550</t>
  </si>
  <si>
    <t>018 19412954</t>
  </si>
  <si>
    <t>010590700</t>
  </si>
  <si>
    <t>KALMA BRANCH</t>
  </si>
  <si>
    <t>KALMA_BRANCH</t>
  </si>
  <si>
    <t>KALMA BAZAR, LAUHAJANG, MUNSHIGANJ 1530</t>
  </si>
  <si>
    <t>018 17048589</t>
  </si>
  <si>
    <t>010590971</t>
  </si>
  <si>
    <t>MIRKADIM BRANCH</t>
  </si>
  <si>
    <t>MIRKADIM_BRANCH</t>
  </si>
  <si>
    <t>MIRKADIM, MUNSHIGANJ 1502</t>
  </si>
  <si>
    <t>0691 62181</t>
  </si>
  <si>
    <t>010591004</t>
  </si>
  <si>
    <t>MUKTARPUR BRANCH</t>
  </si>
  <si>
    <t>MUKTARPUR_BRANCH</t>
  </si>
  <si>
    <t>MUKTERPUR, PANCHASAR, MUNSHIGANJ 1500</t>
  </si>
  <si>
    <t>0691 63188</t>
  </si>
  <si>
    <t>010591033</t>
  </si>
  <si>
    <t>MUNSHIGANJ BRANCH</t>
  </si>
  <si>
    <t>MUNSHIGANJ_BRANCH</t>
  </si>
  <si>
    <t>SADAR ROAD, MUNSHIGANJ 1500</t>
  </si>
  <si>
    <t>0691 62125</t>
  </si>
  <si>
    <t>010591062</t>
  </si>
  <si>
    <t>MUNSHIR HAT BAZAR, MUNSHIGANJ 1500</t>
  </si>
  <si>
    <t>0691 62071</t>
  </si>
  <si>
    <t>010591154</t>
  </si>
  <si>
    <t>RAMGOPALPUR BRANCH</t>
  </si>
  <si>
    <t>RAMGOPALPUR_BRANCH</t>
  </si>
  <si>
    <t>RIKABI BAZAR, MUNSHIGANJ 1501</t>
  </si>
  <si>
    <t>0691 63331</t>
  </si>
  <si>
    <t>010591367</t>
  </si>
  <si>
    <t>SIMPARA BRANCH</t>
  </si>
  <si>
    <t>SIMPARA_BRANCH</t>
  </si>
  <si>
    <t>SIMPARA BAZAR, KOLA, SREENAGAR, MUNSHIGANJ 1541</t>
  </si>
  <si>
    <t>010591420</t>
  </si>
  <si>
    <t>SREENAGAR BRANCH</t>
  </si>
  <si>
    <t>SREENAGAR_BRANCH</t>
  </si>
  <si>
    <t>SRINAGAR BAZAR, SRINAGAR, MUNSHIGANJ 1550</t>
  </si>
  <si>
    <t>06925 65191</t>
  </si>
  <si>
    <t>010610130</t>
  </si>
  <si>
    <t>ATHARABARI BRANCH</t>
  </si>
  <si>
    <t>ATHARABARI_BRANCH</t>
  </si>
  <si>
    <t>ROY BAZAR, ISWARGANJ, MYMENSINGH 2282</t>
  </si>
  <si>
    <t>017 17101887</t>
  </si>
  <si>
    <t>010610280</t>
  </si>
  <si>
    <t>BHAITKANDI BRANCH</t>
  </si>
  <si>
    <t>BHAITKANDI_BRANCH</t>
  </si>
  <si>
    <t>BHAITKANDI BAZAR, PHULPUR, MYMENSINGH 2250</t>
  </si>
  <si>
    <t>017 18648074</t>
  </si>
  <si>
    <t>010610314</t>
  </si>
  <si>
    <t>BHALUKA BRANCH</t>
  </si>
  <si>
    <t>BHALUKA_BRANCH</t>
  </si>
  <si>
    <t>HAQUE MARKET, BHALUKA, MYMENSINGH 2240</t>
  </si>
  <si>
    <t>09022 56010</t>
  </si>
  <si>
    <t>010610330</t>
  </si>
  <si>
    <t>BIDYAGANJ BRANCH</t>
  </si>
  <si>
    <t>BIDYAGANJ_BRANCH</t>
  </si>
  <si>
    <t>BIDYAGANJ, MYMENSINGH</t>
  </si>
  <si>
    <t>017 12518080</t>
  </si>
  <si>
    <t>010610585</t>
  </si>
  <si>
    <t>CHOTOBAZAR BRANCH</t>
  </si>
  <si>
    <t>CHOTOBAZAR_BRANCH</t>
  </si>
  <si>
    <t>GKMC SHAHA ROAD, MYMENSINGH 2200</t>
  </si>
  <si>
    <t>091 66587</t>
  </si>
  <si>
    <t>010610406</t>
  </si>
  <si>
    <t>CK GHOSE ROAD BRANCH</t>
  </si>
  <si>
    <t>CK_GHOSE_ROAD_BRANCH</t>
  </si>
  <si>
    <t>CK GHOSE ROAD, MYMENSINGH 2200</t>
  </si>
  <si>
    <t>091 66476</t>
  </si>
  <si>
    <t>010610822</t>
  </si>
  <si>
    <t>DHARA BAZAR BRANCH</t>
  </si>
  <si>
    <t>DHARA_BAZAR_BRANCH</t>
  </si>
  <si>
    <t>DHARA BAZAR, HALUAGHAT, MYMENSINGH 2261</t>
  </si>
  <si>
    <t>019 13865441</t>
  </si>
  <si>
    <t>010611005</t>
  </si>
  <si>
    <t>GAFARGAON BRANCH</t>
  </si>
  <si>
    <t>GAFARGAON_BRANCH</t>
  </si>
  <si>
    <t>MADHYA BAZAR, GAFARGAON, MYMENSINGH 2230</t>
  </si>
  <si>
    <t>09025 56006</t>
  </si>
  <si>
    <t>010611247</t>
  </si>
  <si>
    <t>KALIGANJ BAZAR BRANCH</t>
  </si>
  <si>
    <t>KALIGANJ_BAZAR_BRANCH</t>
  </si>
  <si>
    <t>KALIGANJ BAZAR, CHANG BHADERA, NANDAIL, MYMENSINGH 2291</t>
  </si>
  <si>
    <t>010611300</t>
  </si>
  <si>
    <t>KASHIGANJ BRANCH</t>
  </si>
  <si>
    <t>KASHIGANJ_BRANCH</t>
  </si>
  <si>
    <t>KASHIGANJ BAZAR, KHICHA, TARAKANDA, MYMENSINGH 2200</t>
  </si>
  <si>
    <t>017 12779904</t>
  </si>
  <si>
    <t>010611605</t>
  </si>
  <si>
    <t>MECHUA BAZAR BRANCH</t>
  </si>
  <si>
    <t>MECHUA_BAZAR_BRANCH</t>
  </si>
  <si>
    <t>STATION ROAD, MYMENSINGH 2200</t>
  </si>
  <si>
    <t>091 65838</t>
  </si>
  <si>
    <t>010611692</t>
  </si>
  <si>
    <t>MUKTAGACHHA BRANCH</t>
  </si>
  <si>
    <t>MUKTAGACHHA_BRANCH</t>
  </si>
  <si>
    <t>MAHARAJA ROAD, MUKTAGACHHA, MYMENSINGH 2210</t>
  </si>
  <si>
    <t>09028 75204</t>
  </si>
  <si>
    <t>010611755</t>
  </si>
  <si>
    <t>091 67192</t>
  </si>
  <si>
    <t>010611034</t>
  </si>
  <si>
    <t>MYMENSINGH GIRLS CADET COLLEGE BRANCH</t>
  </si>
  <si>
    <t>MYMENSINGH_GIRLS_CADET_COLLEGE_BRANCH</t>
  </si>
  <si>
    <t>SAHARA-CHAMRAGODAM ROAD, MYMENSINGH 2200</t>
  </si>
  <si>
    <t>091 66479</t>
  </si>
  <si>
    <t>010611634</t>
  </si>
  <si>
    <t>MYMENSINGH MEDICAL COLLEGE BRANCH</t>
  </si>
  <si>
    <t>MYMENSINGH_MEDICAL_COLLEGE_BRANCH</t>
  </si>
  <si>
    <t>DHAKA-MYMENSINGH ROAD, MYMENSINGH 2200</t>
  </si>
  <si>
    <t>091 66735</t>
  </si>
  <si>
    <t>010610064</t>
  </si>
  <si>
    <t>PAGLA BAZAR BRANCH</t>
  </si>
  <si>
    <t>PAGLA_BAZAR_BRANCH</t>
  </si>
  <si>
    <t>PAGLA BAZAR, MYMENSINGH</t>
  </si>
  <si>
    <t>017 16806694</t>
  </si>
  <si>
    <t>010610972</t>
  </si>
  <si>
    <t>PHULPUR BRANCH</t>
  </si>
  <si>
    <t>PHULPUR_BRANCH</t>
  </si>
  <si>
    <t>BUS STAND ROAD, PHULPUR, MYMENSINGH 2250</t>
  </si>
  <si>
    <t>09033 56006</t>
  </si>
  <si>
    <t>010612354</t>
  </si>
  <si>
    <t>TRISHAL BRANCH</t>
  </si>
  <si>
    <t>TRISHAL_BRANCH</t>
  </si>
  <si>
    <t>TRISHAL, MYMENSINGH</t>
  </si>
  <si>
    <t>09032 56147, 015 56359366</t>
  </si>
  <si>
    <t>010640100</t>
  </si>
  <si>
    <t>AHSANGANJ BRANCH</t>
  </si>
  <si>
    <t>AHSANGANJ_BRANCH</t>
  </si>
  <si>
    <t>AHSANGONJ HAT ROAD, ATRAI, NAOGAON 6596</t>
  </si>
  <si>
    <t>074 227001</t>
  </si>
  <si>
    <t>010640139</t>
  </si>
  <si>
    <t>AIHAI BRANCH</t>
  </si>
  <si>
    <t>AIHAI_BRANCH</t>
  </si>
  <si>
    <t>ASARANDRO BAZAR, SAPAHAR, NAOGAON 6560</t>
  </si>
  <si>
    <t>017 27554023</t>
  </si>
  <si>
    <t>010640405</t>
  </si>
  <si>
    <t>BOALIA BRANCH</t>
  </si>
  <si>
    <t>BOALIA_BRANCH</t>
  </si>
  <si>
    <t>SANTAHAR ROAD, SANTAHAR, NAOGAON 5891</t>
  </si>
  <si>
    <t>0741 69495</t>
  </si>
  <si>
    <t>010640434</t>
  </si>
  <si>
    <t>MOHADEVPUR ROAD, NAOGAON 6500</t>
  </si>
  <si>
    <t>0741 62676</t>
  </si>
  <si>
    <t>010640797</t>
  </si>
  <si>
    <t>KESHAB BRANCH</t>
  </si>
  <si>
    <t>KESHAB_BRANCH</t>
  </si>
  <si>
    <t>KESHAB, PANJARBHANGA, MANDA, NAOGAON 6510</t>
  </si>
  <si>
    <t>017 18842607</t>
  </si>
  <si>
    <t>010640971</t>
  </si>
  <si>
    <t>MAINAMHAT BRANCH</t>
  </si>
  <si>
    <t>MAINAMHAT_BRANCH</t>
  </si>
  <si>
    <t>PANJARBHANGA ROAD, MAINAMHAT, MANDA, NAOGAON 5600</t>
  </si>
  <si>
    <t>017 29611769, 018 19750074</t>
  </si>
  <si>
    <t>010641062</t>
  </si>
  <si>
    <t>MATAJEEHAT BRANCH</t>
  </si>
  <si>
    <t>MATAJEEHAT_BRANCH</t>
  </si>
  <si>
    <t>BADALGACHHI ROAD, RAIGAON, MOHADEBPUR, NAOGAON 6530</t>
  </si>
  <si>
    <t>017 26314327, 018 19750072</t>
  </si>
  <si>
    <t>010641183</t>
  </si>
  <si>
    <t>MAIN ROAD, NAOGAON 6500</t>
  </si>
  <si>
    <t>0741 62554</t>
  </si>
  <si>
    <t>010641338</t>
  </si>
  <si>
    <t>NITHPUR BRANCH</t>
  </si>
  <si>
    <t>NITHPUR_BRANCH</t>
  </si>
  <si>
    <t>SADAR ROAD, NITHPUR, PORSHA, NAOGAON 6550</t>
  </si>
  <si>
    <t>07429 56008, 011 99393228</t>
  </si>
  <si>
    <t>010641512</t>
  </si>
  <si>
    <t>PARSHA BRANCH</t>
  </si>
  <si>
    <t>PARSHA_BRANCH</t>
  </si>
  <si>
    <t>SADAR ROAD, PARSHA, NAOGAON 6551</t>
  </si>
  <si>
    <t>017 15018895</t>
  </si>
  <si>
    <t>010641459</t>
  </si>
  <si>
    <t>PATNITALA BRANCH</t>
  </si>
  <si>
    <t>PATNITALA_BRANCH</t>
  </si>
  <si>
    <t>NAJIPUR ROAD, PATNITALA, NAOGAON 6540</t>
  </si>
  <si>
    <t>07428 63002</t>
  </si>
  <si>
    <t>010641754</t>
  </si>
  <si>
    <t>SAPAHAR BRANCH</t>
  </si>
  <si>
    <t>SAPAHAR_BRANCH</t>
  </si>
  <si>
    <t>SADAR ROAD, SAPAHAR, NAOGAON 6560</t>
  </si>
  <si>
    <t>07432 74025</t>
  </si>
  <si>
    <t>NARAIL</t>
  </si>
  <si>
    <t>010650040</t>
  </si>
  <si>
    <t>ARENDA</t>
  </si>
  <si>
    <t>010650079</t>
  </si>
  <si>
    <t>AURIA BRANCH</t>
  </si>
  <si>
    <t>AURIA_BRANCH</t>
  </si>
  <si>
    <t>AURIA, NARAIL SADAR, NARAIL 7500</t>
  </si>
  <si>
    <t>017 12642862</t>
  </si>
  <si>
    <t>010650190</t>
  </si>
  <si>
    <t>GAZIRHAT</t>
  </si>
  <si>
    <t>010650282</t>
  </si>
  <si>
    <t>JUGANIA BRANCH</t>
  </si>
  <si>
    <t>JUGANIA_BRANCH</t>
  </si>
  <si>
    <t>JUGANIA, NARAGATI, NARAIL 7514</t>
  </si>
  <si>
    <t>017 17085464</t>
  </si>
  <si>
    <t>010650316</t>
  </si>
  <si>
    <t>KALABARIA BRANCH</t>
  </si>
  <si>
    <t>KALABARIA_BRANCH</t>
  </si>
  <si>
    <t>KALABARIA, NORAGATI, NARAIL 7520</t>
  </si>
  <si>
    <t>017 11034240</t>
  </si>
  <si>
    <t>010650345</t>
  </si>
  <si>
    <t>KALIA BRANCH</t>
  </si>
  <si>
    <t>KALIA_BRANCH</t>
  </si>
  <si>
    <t>KALIA, NARAIL 7520</t>
  </si>
  <si>
    <t>04822 56031</t>
  </si>
  <si>
    <t>010650466</t>
  </si>
  <si>
    <t>KALIA ROAD, LOHAGARA, NARAIL 7511</t>
  </si>
  <si>
    <t>04823 56357</t>
  </si>
  <si>
    <t>010650640</t>
  </si>
  <si>
    <t>NARAIL BRANCH</t>
  </si>
  <si>
    <t>NARAIL_BRANCH</t>
  </si>
  <si>
    <t>RUPGANJ BAZAR, NARAIL</t>
  </si>
  <si>
    <t>0481 62249</t>
  </si>
  <si>
    <t>010650703</t>
  </si>
  <si>
    <t>RATANDANGA BRANCH</t>
  </si>
  <si>
    <t>RATANDANGA_BRANCH</t>
  </si>
  <si>
    <t>RATANDANGA, GORAKHALI, NARAIL 7500</t>
  </si>
  <si>
    <t>019 11292503</t>
  </si>
  <si>
    <t>010670046</t>
  </si>
  <si>
    <t>ARAIHAZAR BRANCH</t>
  </si>
  <si>
    <t>ARAIHAZAR_BRANCH</t>
  </si>
  <si>
    <t>ARAI HAZAR BAZAR, NARAYANGANJ 1450</t>
  </si>
  <si>
    <t>06722 56114</t>
  </si>
  <si>
    <t>010670075</t>
  </si>
  <si>
    <t>BANGABANDHU ROAD BRANCH</t>
  </si>
  <si>
    <t>BANGABANDHU_ROAD_BRANCH</t>
  </si>
  <si>
    <t>AGBKBDDH009</t>
  </si>
  <si>
    <t>32 BANGABANDHU ROAD, NARAYANGANJ 1400</t>
  </si>
  <si>
    <t>02 7630090, 7630165</t>
  </si>
  <si>
    <t>010670138</t>
  </si>
  <si>
    <t>BK ROAD BRANCH</t>
  </si>
  <si>
    <t>BK_ROAD_BRANCH</t>
  </si>
  <si>
    <t>129 BK ROAD, NARAYANGANJ 1400</t>
  </si>
  <si>
    <t>02 7630378</t>
  </si>
  <si>
    <t>010670259</t>
  </si>
  <si>
    <t>COURT ROAD BRANCH</t>
  </si>
  <si>
    <t>COURT_ROAD_BRANCH</t>
  </si>
  <si>
    <t>AGBKBDDH010</t>
  </si>
  <si>
    <t>52/1 COURT ROAD, NARAYANGANJ 1400</t>
  </si>
  <si>
    <t>02 7631808, 7631930</t>
  </si>
  <si>
    <t>010670312</t>
  </si>
  <si>
    <t>DEMRA</t>
  </si>
  <si>
    <t>010670738</t>
  </si>
  <si>
    <t>KALIR BAZAR BRANCH</t>
  </si>
  <si>
    <t>KALIR_BAZAR_BRANCH</t>
  </si>
  <si>
    <t>47 SIRAJUDULLAH ROAD, NARAYANGANJ 1400</t>
  </si>
  <si>
    <t>02 7630792</t>
  </si>
  <si>
    <t>010670796</t>
  </si>
  <si>
    <t>KANCHAN BRANCH</t>
  </si>
  <si>
    <t>KANCHAN_BRANCH</t>
  </si>
  <si>
    <t>KANCHAN BAZAR, KANCHAN, RUPGANJ, NARAYANGANJ 1461</t>
  </si>
  <si>
    <t>017 12145267</t>
  </si>
  <si>
    <t>010671032</t>
  </si>
  <si>
    <t>MIRJUMLA ROAD BRANCH</t>
  </si>
  <si>
    <t>MIRJUMLA_ROAD_BRANCH</t>
  </si>
  <si>
    <t>27/1 SK ROAD, NARAYANGANJ 1400</t>
  </si>
  <si>
    <t>02 7634144</t>
  </si>
  <si>
    <t>010671540</t>
  </si>
  <si>
    <t>SASTAPUR BRANCH</t>
  </si>
  <si>
    <t>SASTAPUR_BRANCH</t>
  </si>
  <si>
    <t>SHIBU MARKET, FATULLAH, NARAYANGANJ 1420</t>
  </si>
  <si>
    <t>02 7647341</t>
  </si>
  <si>
    <t>010671632</t>
  </si>
  <si>
    <t>SIDDHIRGANJ POWER STATION BRANCH</t>
  </si>
  <si>
    <t>SIDDHIRGANJ_POWER_STATION_BRANCH</t>
  </si>
  <si>
    <t>POWER STATION COMPLEX, SIDDHIRGANJ, NARAYANGANJ 1430</t>
  </si>
  <si>
    <t>02 7693096</t>
  </si>
  <si>
    <t>010671690</t>
  </si>
  <si>
    <t>SONARGAON BRANCH</t>
  </si>
  <si>
    <t>SONARGAON_BRANCH</t>
  </si>
  <si>
    <t>MOGRAPARA MORE, SONARGAON, NARAYANGANJ 1440</t>
  </si>
  <si>
    <t>06723 56357</t>
  </si>
  <si>
    <t>010671753</t>
  </si>
  <si>
    <t>TANBAZAR BRANCH</t>
  </si>
  <si>
    <t>TANBAZAR_BRANCH</t>
  </si>
  <si>
    <t>SA MALEH ROAD, NARAYANGANJ 1400</t>
  </si>
  <si>
    <t>02 7630745</t>
  </si>
  <si>
    <t>010680049</t>
  </si>
  <si>
    <t>AMIRGANJ BRANCH</t>
  </si>
  <si>
    <t>AMIRGANJ_BRANCH</t>
  </si>
  <si>
    <t>HASNABAD BAZAR, RAIPURA, NARSINGDI 1631</t>
  </si>
  <si>
    <t>017 27717080</t>
  </si>
  <si>
    <t>010680102</t>
  </si>
  <si>
    <t>BANK ROAD, MADHABDI, NARSINGDI 1604</t>
  </si>
  <si>
    <t>06257 56258</t>
  </si>
  <si>
    <t>010680128</t>
  </si>
  <si>
    <t>C&amp;amp;B BAZAR BRANCH</t>
  </si>
  <si>
    <t>C&amp;amp;B_BAZAR_BRANCH</t>
  </si>
  <si>
    <t>010680315</t>
  </si>
  <si>
    <t>CHALAKCHAR BAZAR BRANCH</t>
  </si>
  <si>
    <t>CHALAKCHAR_BAZAR_BRANCH</t>
  </si>
  <si>
    <t>CHALAKCHAR BAZAR, MANAHARDI, NARSINGDI 1650</t>
  </si>
  <si>
    <t>06253 56189</t>
  </si>
  <si>
    <t>010680731</t>
  </si>
  <si>
    <t>MANOHARDI BRANCH</t>
  </si>
  <si>
    <t>MANOHARDI_BRANCH</t>
  </si>
  <si>
    <t>SADAR ROAD, MONOHARDI, NARSINGDI 1650</t>
  </si>
  <si>
    <t>06253 56001</t>
  </si>
  <si>
    <t>010680799</t>
  </si>
  <si>
    <t>MUSAPUR BAZAR BRANCH</t>
  </si>
  <si>
    <t>MUSAPUR_BAZAR_BRANCH</t>
  </si>
  <si>
    <t>MUSAPUR BAZAR, RAIPURA, NARSINGDI 1630</t>
  </si>
  <si>
    <t>017 33929852</t>
  </si>
  <si>
    <t>010680852</t>
  </si>
  <si>
    <t>NARSINGDI BRANCH</t>
  </si>
  <si>
    <t>NARSINGDI_BRANCH</t>
  </si>
  <si>
    <t>SADAR ROAD, NARSINGDI 1600</t>
  </si>
  <si>
    <t>02 9462670</t>
  </si>
  <si>
    <t>010680944</t>
  </si>
  <si>
    <t>PALASH BAZAR BRANCH</t>
  </si>
  <si>
    <t>PALASH_BAZAR_BRANCH</t>
  </si>
  <si>
    <t>PALASH BAZAR, PALASH, NARSINGDI 1610</t>
  </si>
  <si>
    <t>0628 74269</t>
  </si>
  <si>
    <t>010681064</t>
  </si>
  <si>
    <t>RADHAGANJ BRANCH</t>
  </si>
  <si>
    <t>RADHAGANJ_BRANCH</t>
  </si>
  <si>
    <t>RADHAGANJ BAZAR, RAIPURA, NARSINGDI 1632</t>
  </si>
  <si>
    <t>018 17048590</t>
  </si>
  <si>
    <t>010681301</t>
  </si>
  <si>
    <t>SHIBPUR, NARSINGDI</t>
  </si>
  <si>
    <t>06256 75175, 019 18537771</t>
  </si>
  <si>
    <t>010681369</t>
  </si>
  <si>
    <t>02 9463217</t>
  </si>
  <si>
    <t>NATORE</t>
  </si>
  <si>
    <t>010690134</t>
  </si>
  <si>
    <t>BAGATIPARA BRANCH</t>
  </si>
  <si>
    <t>BAGATIPARA_BRANCH</t>
  </si>
  <si>
    <t>BAGATIPARA, LAXMANHATI, NATORE 6410</t>
  </si>
  <si>
    <t>07722 72010</t>
  </si>
  <si>
    <t>010690318</t>
  </si>
  <si>
    <t>CHANCHKAIR BAZAR BRANCH</t>
  </si>
  <si>
    <t>CHANCHKAIR_BAZAR_BRANCH</t>
  </si>
  <si>
    <t>CHANCHKAIR BAZAR, NATORE</t>
  </si>
  <si>
    <t>0772 474045, 017 17978587</t>
  </si>
  <si>
    <t>010690497</t>
  </si>
  <si>
    <t>GOPALPUR BRANCH</t>
  </si>
  <si>
    <t>GOPALPUR_BRANCH</t>
  </si>
  <si>
    <t>GOPALPUR, LALPUR, NATORE 6420</t>
  </si>
  <si>
    <t>07725 75025</t>
  </si>
  <si>
    <t>010690589</t>
  </si>
  <si>
    <t>HALSHA BRANCH</t>
  </si>
  <si>
    <t>HALSHA_BRANCH</t>
  </si>
  <si>
    <t>HALSHA, BIPARHALSHA, NATORE 6400</t>
  </si>
  <si>
    <t>018 19750385</t>
  </si>
  <si>
    <t>010690947</t>
  </si>
  <si>
    <t>LAXMIKOLE BRANCH</t>
  </si>
  <si>
    <t>LAXMIKOLE_BRANCH</t>
  </si>
  <si>
    <t>LAXMIKOLE, BARAIGRAM NATORE 6430</t>
  </si>
  <si>
    <t>018 19750386</t>
  </si>
  <si>
    <t>010690950</t>
  </si>
  <si>
    <t>LOKMANPUR BRANCH</t>
  </si>
  <si>
    <t>LOKMANPUR_BRANCH</t>
  </si>
  <si>
    <t>LOKMANPUR, NATORE</t>
  </si>
  <si>
    <t>017 70012002, 017 10437879</t>
  </si>
  <si>
    <t>010691096</t>
  </si>
  <si>
    <t>NATORE BRANCH</t>
  </si>
  <si>
    <t>NATORE_BRANCH</t>
  </si>
  <si>
    <t>KANAIKHALI, NATORE 6400</t>
  </si>
  <si>
    <t>0771 62254</t>
  </si>
  <si>
    <t>010691159</t>
  </si>
  <si>
    <t>NATORE SUGAR MILLS BRANCH</t>
  </si>
  <si>
    <t>NATORE_SUGAR_MILLS_BRANCH</t>
  </si>
  <si>
    <t>LENGURIA, NATORE SADAR, NATORE 6400</t>
  </si>
  <si>
    <t>0771 66903</t>
  </si>
  <si>
    <t>010691212</t>
  </si>
  <si>
    <t>NAZIRPUR BRANCH</t>
  </si>
  <si>
    <t>NAZIRPUR_BRANCH</t>
  </si>
  <si>
    <t>NAZIRPUR, GURUDUSPUR, NATORE 6440</t>
  </si>
  <si>
    <t>018 19750388</t>
  </si>
  <si>
    <t>010691038</t>
  </si>
  <si>
    <t>NORTH BENGAL SUGAR MILLS BRANCH</t>
  </si>
  <si>
    <t>NORTH_BENGAL_SUGAR_MILLS_BRANCH</t>
  </si>
  <si>
    <t>0772 575065</t>
  </si>
  <si>
    <t>010691362</t>
  </si>
  <si>
    <t>QUADIRABAD CANTONMENT BRANCH</t>
  </si>
  <si>
    <t>QUADIRABAD_CANTONMENT_BRANCH</t>
  </si>
  <si>
    <t>DAYARAMPUR, BAGATIPARA, NATORE 6431</t>
  </si>
  <si>
    <t>07722 72068</t>
  </si>
  <si>
    <t>010691425</t>
  </si>
  <si>
    <t>RAJAPURHAT BRANCH</t>
  </si>
  <si>
    <t>RAJAPURHAT_BRANCH</t>
  </si>
  <si>
    <t>RAJAPUR, RAJAPURHAT, BARAIGRAM, NATORE 6623</t>
  </si>
  <si>
    <t>018 19750387</t>
  </si>
  <si>
    <t>010691483</t>
  </si>
  <si>
    <t>SINGRA BRANCH</t>
  </si>
  <si>
    <t>SINGRA_BRANCH</t>
  </si>
  <si>
    <t>SINGRA, NATORE 6450</t>
  </si>
  <si>
    <t>07726 63115</t>
  </si>
  <si>
    <t>NETROKONA</t>
  </si>
  <si>
    <t>010720075</t>
  </si>
  <si>
    <t>BARHATTA BRANCH</t>
  </si>
  <si>
    <t>BARHATTA_BRANCH</t>
  </si>
  <si>
    <t>BARHATTA BAZAR, NETROKONA</t>
  </si>
  <si>
    <t>09523 56008</t>
  </si>
  <si>
    <t>010720109</t>
  </si>
  <si>
    <t>BIRISIRI BRANCH</t>
  </si>
  <si>
    <t>BIRISIRI_BRANCH</t>
  </si>
  <si>
    <t>BIRISHIRI, DURGAPUR, NETROKONA</t>
  </si>
  <si>
    <t>018 17048584</t>
  </si>
  <si>
    <t>010720196</t>
  </si>
  <si>
    <t>NAZIPUR ROAD, DURGAPUR, NETROKONA</t>
  </si>
  <si>
    <t>09525 56011</t>
  </si>
  <si>
    <t>010720220</t>
  </si>
  <si>
    <t>FAKIRER BAZAR BRANCH</t>
  </si>
  <si>
    <t>FAKIRER_BAZAR_BRANCH</t>
  </si>
  <si>
    <t>FAKIRER BAZAR, BARHATTA, NETROKONA</t>
  </si>
  <si>
    <t>017 12876427</t>
  </si>
  <si>
    <t>010720341</t>
  </si>
  <si>
    <t>JHANJAIL BRANCH</t>
  </si>
  <si>
    <t>JHANJAIL_BRANCH</t>
  </si>
  <si>
    <t>JHANJAIL BAZAR, JARIA, DURGAPUR, NETROKONA</t>
  </si>
  <si>
    <t>017 17337552</t>
  </si>
  <si>
    <t>010720462</t>
  </si>
  <si>
    <t>KENDUA BRANCH</t>
  </si>
  <si>
    <t>KENDUA_BRANCH</t>
  </si>
  <si>
    <t>KENDUA BAZAR, NETROKONA</t>
  </si>
  <si>
    <t>09528 56020</t>
  </si>
  <si>
    <t>010720675</t>
  </si>
  <si>
    <t>MOHANGANJ BRANCH</t>
  </si>
  <si>
    <t>MOHANGANJ_BRANCH</t>
  </si>
  <si>
    <t>MOHANGANJ BAZAR, MOHANGANJ, NETROKONA</t>
  </si>
  <si>
    <t>09524 56192</t>
  </si>
  <si>
    <t>010720738</t>
  </si>
  <si>
    <t>NETROKONA BRANCH</t>
  </si>
  <si>
    <t>NETROKONA_BRANCH</t>
  </si>
  <si>
    <t>MALNI ROAD, NETROKONA 2400</t>
  </si>
  <si>
    <t>0951 61529</t>
  </si>
  <si>
    <t>010720796</t>
  </si>
  <si>
    <t>PURBADHALA BRANCH</t>
  </si>
  <si>
    <t>PURBADHALA_BRANCH</t>
  </si>
  <si>
    <t>PURBADHALA BAZAR, PURBADHALA, NETROKONA</t>
  </si>
  <si>
    <t>09532 56017</t>
  </si>
  <si>
    <t>010720859</t>
  </si>
  <si>
    <t>RUPGANJ BAZAR BRANCH</t>
  </si>
  <si>
    <t>RUPGANJ_BAZAR_BRANCH</t>
  </si>
  <si>
    <t>BAUSHI BAZAR, RUPGANJ, BARHATTA, NETROKONA</t>
  </si>
  <si>
    <t>017 18754210</t>
  </si>
  <si>
    <t>010721061</t>
  </si>
  <si>
    <t>TEASREE BAZAR BRANCH</t>
  </si>
  <si>
    <t>TEASREE_BAZAR_BRANCH</t>
  </si>
  <si>
    <t>TEASREE BAZAR, MADAN, NETROKONA</t>
  </si>
  <si>
    <t>017 18900943</t>
  </si>
  <si>
    <t>010730494</t>
  </si>
  <si>
    <t>KACHUKATA</t>
  </si>
  <si>
    <t>010730731</t>
  </si>
  <si>
    <t>NILPHAMARI BRANCH</t>
  </si>
  <si>
    <t>NILPHAMARI_BRANCH</t>
  </si>
  <si>
    <t>STATION ROAD, NILPHAMARI SADAR, NILPHAMARI 5300</t>
  </si>
  <si>
    <t>0551 61454</t>
  </si>
  <si>
    <t>010730799</t>
  </si>
  <si>
    <t>DINAJPUR ROAD, SAIDPUR, NILPHAMARI 5310</t>
  </si>
  <si>
    <t>05526 72321</t>
  </si>
  <si>
    <t>010730823</t>
  </si>
  <si>
    <t>SAIDPUR CANTONMENT BRANCH</t>
  </si>
  <si>
    <t>SAIDPUR_CANTONMENT_BRANCH</t>
  </si>
  <si>
    <t>CANTONMENT, SAIDPUR, NILPHAMARI 5310</t>
  </si>
  <si>
    <t>05526 72650</t>
  </si>
  <si>
    <t>010750137</t>
  </si>
  <si>
    <t>BADALKOT BRANCH</t>
  </si>
  <si>
    <t>BADALKOT_BRANCH</t>
  </si>
  <si>
    <t>BADALKOT BAZAR, CHATKHIL, NOAKHALI 3873</t>
  </si>
  <si>
    <t>018 18165804</t>
  </si>
  <si>
    <t>010750166</t>
  </si>
  <si>
    <t>BADAMTOLI BRANCH</t>
  </si>
  <si>
    <t>BADAMTOLI_BRANCH</t>
  </si>
  <si>
    <t>BADAMTOLI ROAD, CHOWMOHANI, BEGUMGANJ, NOAKHALI 3821</t>
  </si>
  <si>
    <t>0321 52001</t>
  </si>
  <si>
    <t>010750258</t>
  </si>
  <si>
    <t>BASURHAT BRANCH</t>
  </si>
  <si>
    <t>BASURHAT_BRANCH</t>
  </si>
  <si>
    <t>MAIN ROAD, BASHURHAT, COMPANIGANJ, NOAKHALI 3850</t>
  </si>
  <si>
    <t>03223 56409</t>
  </si>
  <si>
    <t>010750311</t>
  </si>
  <si>
    <t>BAZRA BAZAR BRANCH</t>
  </si>
  <si>
    <t>BAZRA_BAZAR_BRANCH</t>
  </si>
  <si>
    <t>MAIN ROAD, BAZRA BAZAR, SONAIMURI, NOAKHALI 3824</t>
  </si>
  <si>
    <t>018 19345113</t>
  </si>
  <si>
    <t>010750379</t>
  </si>
  <si>
    <t>BROJERGAON ROAD BRANCH</t>
  </si>
  <si>
    <t>BROJERGAON_ROAD_BRANCH</t>
  </si>
  <si>
    <t>BROJERGAO ROAD, AMISHAPARA, SONAIMURI, NOAKHALI 3836</t>
  </si>
  <si>
    <t>018 19345114</t>
  </si>
  <si>
    <t>010750403</t>
  </si>
  <si>
    <t>CHANDRAGONJ</t>
  </si>
  <si>
    <t>010750582</t>
  </si>
  <si>
    <t>CHATKHIL BRANCH</t>
  </si>
  <si>
    <t>CHATKHIL_BRANCH</t>
  </si>
  <si>
    <t>CHATKHIL, NOAKHALI 3870</t>
  </si>
  <si>
    <t>03222 75118</t>
  </si>
  <si>
    <t>010750674</t>
  </si>
  <si>
    <t>CHOWMUHANI BRANCH</t>
  </si>
  <si>
    <t>CHOWMUHANI_BRANCH</t>
  </si>
  <si>
    <t>AGBKBDDH022</t>
  </si>
  <si>
    <t>DB ROAD,CHOWMUHANI, BEGUMGANJ, NOAKHALI 3821</t>
  </si>
  <si>
    <t>0321 51867, 018 9345000</t>
  </si>
  <si>
    <t>010750766</t>
  </si>
  <si>
    <t>DASHGARIA BRANCH</t>
  </si>
  <si>
    <t>DASHGARIA_BRANCH</t>
  </si>
  <si>
    <t>DASHGARIA, CHATKHIL, NOAKHALI 3878</t>
  </si>
  <si>
    <t>018 18638047</t>
  </si>
  <si>
    <t>010750795</t>
  </si>
  <si>
    <t>DATTERHAT BRANCH</t>
  </si>
  <si>
    <t>DATTERHAT_BRANCH</t>
  </si>
  <si>
    <t>DATTERHAT, NOAKHALI SADAR, NOAKHALI 3800</t>
  </si>
  <si>
    <t>0321 62114</t>
  </si>
  <si>
    <t>010750858</t>
  </si>
  <si>
    <t>DELTA GATE BRANCH</t>
  </si>
  <si>
    <t>DELTA_GATE_BRANCH</t>
  </si>
  <si>
    <t>KARIMPUR ROAD, CHOWMUHANI, BEGUMGANJ, NOAKHALI 3821</t>
  </si>
  <si>
    <t>0321 51031</t>
  </si>
  <si>
    <t>010751002</t>
  </si>
  <si>
    <t>GOPALPUR, BEGUMGANJ, NOAKHALI 3828</t>
  </si>
  <si>
    <t>018 19345146</t>
  </si>
  <si>
    <t>010751031</t>
  </si>
  <si>
    <t>HATIYA BRANCH</t>
  </si>
  <si>
    <t>HATIYA_BRANCH</t>
  </si>
  <si>
    <t>SURJAMUKHI, HATIYA, NOAKHALI 3890</t>
  </si>
  <si>
    <t>017 26632105</t>
  </si>
  <si>
    <t>010751181</t>
  </si>
  <si>
    <t>JOYAG</t>
  </si>
  <si>
    <t>010751394</t>
  </si>
  <si>
    <t>KASHIPUR BAZAR BRANCH</t>
  </si>
  <si>
    <t>KASHIPUR_BAZAR_BRANCH</t>
  </si>
  <si>
    <t>MAIN ROAD, MOHESHGANJ BAZAR, SONAIMURI, NOAKHALI 3838</t>
  </si>
  <si>
    <t>018 19345152</t>
  </si>
  <si>
    <t>010751486</t>
  </si>
  <si>
    <t>KHILPARA BAZAR BRANCH</t>
  </si>
  <si>
    <t>KHILPARA_BAZAR_BRANCH</t>
  </si>
  <si>
    <t>KHILPARA BAZAR, CHATKHIL, NOAKHALI 3872</t>
  </si>
  <si>
    <t>018 18474570</t>
  </si>
  <si>
    <t>010751578</t>
  </si>
  <si>
    <t>MAIJDEE COURT BRANCH</t>
  </si>
  <si>
    <t>MAIJDEE_COURT_BRANCH</t>
  </si>
  <si>
    <t>MAIJDEE COURT, NOAKHALI 3800</t>
  </si>
  <si>
    <t>0321 61404, 018 1934512</t>
  </si>
  <si>
    <t>010751631</t>
  </si>
  <si>
    <t>MIRGANJ BAZAR</t>
  </si>
  <si>
    <t>MIRGANJ_BAZAR</t>
  </si>
  <si>
    <t>010751660</t>
  </si>
  <si>
    <t>NADANA BAZAR BRANCH</t>
  </si>
  <si>
    <t>NADANA_BAZAR_BRANCH</t>
  </si>
  <si>
    <t>NADANA BAZAR, SONAIMURI, NOAKHALI 3839</t>
  </si>
  <si>
    <t>018 19345147</t>
  </si>
  <si>
    <t>010752177</t>
  </si>
  <si>
    <t>SHAHEBER HAT</t>
  </si>
  <si>
    <t>SHAHEBER_HAT</t>
  </si>
  <si>
    <t>010752201</t>
  </si>
  <si>
    <t>SOMPARA BRANCH</t>
  </si>
  <si>
    <t>SOMPARA_BRANCH</t>
  </si>
  <si>
    <t>SOMPARA BAZAR, CHATKHIL, NOAKHALI 3882</t>
  </si>
  <si>
    <t>018 19345142</t>
  </si>
  <si>
    <t>010752230</t>
  </si>
  <si>
    <t>SONAIMURI BRANCH</t>
  </si>
  <si>
    <t>SONAIMURI_BRANCH</t>
  </si>
  <si>
    <t>SONAIMURI BAZAR, SONAIMURI, NOAKHALI 3827</t>
  </si>
  <si>
    <t>018 19345120</t>
  </si>
  <si>
    <t>010752443</t>
  </si>
  <si>
    <t>ZILLA BOARD BRANCH</t>
  </si>
  <si>
    <t>ZILLA_BOARD_BRANCH</t>
  </si>
  <si>
    <t>SONAPUR, SADAR, NOAKHALI 3802</t>
  </si>
  <si>
    <t>0321 62292</t>
  </si>
  <si>
    <t>PABNA</t>
  </si>
  <si>
    <t>010760048</t>
  </si>
  <si>
    <t>ABDUL HAMID ROAD BRANCH</t>
  </si>
  <si>
    <t>ABDUL_HAMID_ROAD_BRANCH</t>
  </si>
  <si>
    <t>ABDUL HAMID ROAD, PABNA 6600</t>
  </si>
  <si>
    <t>0731 658986</t>
  </si>
  <si>
    <t>010760222</t>
  </si>
  <si>
    <t>ATAIKULA</t>
  </si>
  <si>
    <t>010760251</t>
  </si>
  <si>
    <t>ATGHORIA BRANCH</t>
  </si>
  <si>
    <t>ATGHORIA_BRANCH</t>
  </si>
  <si>
    <t>ATGHORIA BAZAR, PABNA 6610</t>
  </si>
  <si>
    <t>015 58426037</t>
  </si>
  <si>
    <t>010760406</t>
  </si>
  <si>
    <t>BANOGRAM BRANCH</t>
  </si>
  <si>
    <t>BANOGRAM_BRANCH</t>
  </si>
  <si>
    <t>BERA BAZAR, BONOGRAM, PABNA 6680</t>
  </si>
  <si>
    <t>07323 75201</t>
  </si>
  <si>
    <t>010760619</t>
  </si>
  <si>
    <t>BARAL BRIDGE BRANCH</t>
  </si>
  <si>
    <t>BARAL_BRIDGE_BRANCH</t>
  </si>
  <si>
    <t>BARAL BRIDGE, VANGURA, PABNA 6640</t>
  </si>
  <si>
    <t>07328 56042</t>
  </si>
  <si>
    <t>010760701</t>
  </si>
  <si>
    <t>COLLEGE GATE BRANCH</t>
  </si>
  <si>
    <t>COLLEGE_GATE_BRANCH</t>
  </si>
  <si>
    <t>COLLEGE GATE, ISHWARDI ROAD, PABNA 6600</t>
  </si>
  <si>
    <t>0371 65021</t>
  </si>
  <si>
    <t>010760730</t>
  </si>
  <si>
    <t>COURT ROAD, PABNA 6600</t>
  </si>
  <si>
    <t>0731 65084</t>
  </si>
  <si>
    <t>010760943</t>
  </si>
  <si>
    <t>DUBLIA BAZAR BRANCH</t>
  </si>
  <si>
    <t>DUBLIA_BAZAR_BRANCH</t>
  </si>
  <si>
    <t>DUBLIA BAZAR, PABNA 6600</t>
  </si>
  <si>
    <t>018 19750391</t>
  </si>
  <si>
    <t>010761126</t>
  </si>
  <si>
    <t>HMM ROAD BRANCH</t>
  </si>
  <si>
    <t>HMM_ROAD_BRANCH</t>
  </si>
  <si>
    <t>HMM ROAD, PABNA 6600</t>
  </si>
  <si>
    <t>0731 65029</t>
  </si>
  <si>
    <t>010761218</t>
  </si>
  <si>
    <t>ISHWARDI BRANCH</t>
  </si>
  <si>
    <t>ISHWARDI_BRANCH</t>
  </si>
  <si>
    <t>STATION ROAD, ISHWARDI, PABNA 6620</t>
  </si>
  <si>
    <t>0732 63443</t>
  </si>
  <si>
    <t>010761542</t>
  </si>
  <si>
    <t>MIRZAPUR HAT BRANCH</t>
  </si>
  <si>
    <t>MIRZAPUR_HAT_BRANCH</t>
  </si>
  <si>
    <t>MIRZAPUR HAT, AUSTOMNISHA, CHATMOHAR, PABNA 6640</t>
  </si>
  <si>
    <t>018 19750075</t>
  </si>
  <si>
    <t>010761571</t>
  </si>
  <si>
    <t>MULADULI BRANCH</t>
  </si>
  <si>
    <t>MULADULI_BRANCH</t>
  </si>
  <si>
    <t>MULADULI, ISHWARDI, PABNA 6623</t>
  </si>
  <si>
    <t>018 19750393</t>
  </si>
  <si>
    <t>010761663</t>
  </si>
  <si>
    <t>NALKHOLA BRANCH</t>
  </si>
  <si>
    <t>NALKHOLA_BRANCH</t>
  </si>
  <si>
    <t>NALKHOLA BAZAR, PURAN VARENGA, BERA, PABNA 6683</t>
  </si>
  <si>
    <t>018 19750101</t>
  </si>
  <si>
    <t>010761692</t>
  </si>
  <si>
    <t>NARIKELPARA BRANCH</t>
  </si>
  <si>
    <t>NARIKELPARA_BRANCH</t>
  </si>
  <si>
    <t>NARIKEL PARA, CHATMOHAR, PABNA 6630</t>
  </si>
  <si>
    <t>07324 56173</t>
  </si>
  <si>
    <t>010761726</t>
  </si>
  <si>
    <t>NAZIRGANJ BRANCH</t>
  </si>
  <si>
    <t>NAZIRGANJ_BRANCH</t>
  </si>
  <si>
    <t>NAZIRGANJ BAZAR, SUJANAGAR, PABNA 6661</t>
  </si>
  <si>
    <t>018 19750078</t>
  </si>
  <si>
    <t>010761900</t>
  </si>
  <si>
    <t>PAKSEY</t>
  </si>
  <si>
    <t>010761939</t>
  </si>
  <si>
    <t>PUSHPAPARA BRANCH</t>
  </si>
  <si>
    <t>PUSHPAPARA_BRANCH</t>
  </si>
  <si>
    <t>193</t>
  </si>
  <si>
    <t>PUSHPAPARA, PABNA 6600</t>
  </si>
  <si>
    <t>018 19750392</t>
  </si>
  <si>
    <t>010761968</t>
  </si>
  <si>
    <t>RAIL BAZAR, CHATMOHAR, PABNA 6630</t>
  </si>
  <si>
    <t>010761997</t>
  </si>
  <si>
    <t>RAKSHERHAT</t>
  </si>
  <si>
    <t>199</t>
  </si>
  <si>
    <t>010762020</t>
  </si>
  <si>
    <t>RUPPUR BRANCH</t>
  </si>
  <si>
    <t>RUPPUR_BRANCH</t>
  </si>
  <si>
    <t>JOYNAGAR BAZAR, ISHWARDI, PABNA 6620</t>
  </si>
  <si>
    <t>07326 63397</t>
  </si>
  <si>
    <t>010762170</t>
  </si>
  <si>
    <t>SHIBRAMPUR BRANCH</t>
  </si>
  <si>
    <t>SHIBRAMPUR_BRANCH</t>
  </si>
  <si>
    <t>HAZI ABDUL GANI ROAD, PABNA 6600</t>
  </si>
  <si>
    <t>0731 65037</t>
  </si>
  <si>
    <t>010762204</t>
  </si>
  <si>
    <t>SHYAMGANJ HAT BRANCH</t>
  </si>
  <si>
    <t>SHYAMGANJ_HAT_BRANCH</t>
  </si>
  <si>
    <t>TRIMOHANI BAZAR, NATUN MIRPUR, BERA, PABNA 6682</t>
  </si>
  <si>
    <t>018 19750079</t>
  </si>
  <si>
    <t>010762262</t>
  </si>
  <si>
    <t>SUJANAGAR BRANCH</t>
  </si>
  <si>
    <t>SUJANAGAR_BRANCH</t>
  </si>
  <si>
    <t>SUJANAGAR, PABNA 6660</t>
  </si>
  <si>
    <t>07329 56104</t>
  </si>
  <si>
    <t>010760064</t>
  </si>
  <si>
    <t>TRIMOHANI BRANCH</t>
  </si>
  <si>
    <t>TRIMOHANI_BRANCH</t>
  </si>
  <si>
    <t>TRIMOHANI, PABNA</t>
  </si>
  <si>
    <t>017 41243311</t>
  </si>
  <si>
    <t>PANCHAGARH</t>
  </si>
  <si>
    <t>010770162</t>
  </si>
  <si>
    <t>CHAKLAHAT BRANCH</t>
  </si>
  <si>
    <t>CHAKLAHAT_BRANCH</t>
  </si>
  <si>
    <t>CHAKLAHAT, PANCHAGARH 5000</t>
  </si>
  <si>
    <t>017 12313227, 018 19770439</t>
  </si>
  <si>
    <t>010770346</t>
  </si>
  <si>
    <t>JAGDALHAT BRANCH</t>
  </si>
  <si>
    <t>JAGDALHAT_BRANCH</t>
  </si>
  <si>
    <t>JAGDALHAT, PANCHAGARH 5000</t>
  </si>
  <si>
    <t>018 19770437</t>
  </si>
  <si>
    <t>010770520</t>
  </si>
  <si>
    <t>MIRZAPUR, ATWARI, PANCHAGARH 5041</t>
  </si>
  <si>
    <t>018 19770229</t>
  </si>
  <si>
    <t>010770559</t>
  </si>
  <si>
    <t>PANCHAGARH BRANCH</t>
  </si>
  <si>
    <t>PANCHAGARH_BRANCH</t>
  </si>
  <si>
    <t>PANCHAGARH BAZAR, PANCHAGARH 5000</t>
  </si>
  <si>
    <t>0568 61215</t>
  </si>
  <si>
    <t>010770612</t>
  </si>
  <si>
    <t>SHALBAHANHAT BRANCH</t>
  </si>
  <si>
    <t>SHALBAHANHAT_BRANCH</t>
  </si>
  <si>
    <t>SHALBAHANHAT, TETULIA, PANCHAGARH 5030</t>
  </si>
  <si>
    <t>017 40839279</t>
  </si>
  <si>
    <t>010770762</t>
  </si>
  <si>
    <t>TUNIRHAT BRANCH</t>
  </si>
  <si>
    <t>TUNIRHAT_BRANCH</t>
  </si>
  <si>
    <t>TUNIRHAT, PANCHAGARH SADAR, PANCHAGARH 5000</t>
  </si>
  <si>
    <t>018 19770438</t>
  </si>
  <si>
    <t>PATUAKHALI</t>
  </si>
  <si>
    <t>010780194</t>
  </si>
  <si>
    <t>BAUPHAL BRANCH</t>
  </si>
  <si>
    <t>BAUPHAL_BRANCH</t>
  </si>
  <si>
    <t>BAZAR ROAD, BAUPHAL, PATUAKHALI 8620</t>
  </si>
  <si>
    <t>04422 56305</t>
  </si>
  <si>
    <t>010780349</t>
  </si>
  <si>
    <t>DASHMINA BAZAR BRANCH</t>
  </si>
  <si>
    <t>DASHMINA_BAZAR_BRANCH</t>
  </si>
  <si>
    <t>SADAR ROAD, DASHMINA, PATUAKHALI 8630</t>
  </si>
  <si>
    <t>04423 56107</t>
  </si>
  <si>
    <t>010780499</t>
  </si>
  <si>
    <t>GALACHIPA BRANCH</t>
  </si>
  <si>
    <t>GALACHIPA_BRANCH</t>
  </si>
  <si>
    <t>SADAR ROAD, GALACHIPA, PATUAKHALI 8640</t>
  </si>
  <si>
    <t>04424 56398</t>
  </si>
  <si>
    <t>010780644</t>
  </si>
  <si>
    <t>KANAKDIA BRANCH</t>
  </si>
  <si>
    <t>KANAKDIA_BRANCH</t>
  </si>
  <si>
    <t>KANAKDIA BAZAR, KANAKDIA, BAUPHAL, PATUAKHALI 8620</t>
  </si>
  <si>
    <t>017 20331257</t>
  </si>
  <si>
    <t>010780765</t>
  </si>
  <si>
    <t>KHEPUPARA BRANCH</t>
  </si>
  <si>
    <t>KHEPUPARA_BRANCH</t>
  </si>
  <si>
    <t>SADAR ROAD, KHEPUPARA, KALAPARA, PATUAKHALI 8650</t>
  </si>
  <si>
    <t>04425 56305</t>
  </si>
  <si>
    <t>010780794</t>
  </si>
  <si>
    <t>KUAKATA BRANCH</t>
  </si>
  <si>
    <t>KUAKATA_BRANCH</t>
  </si>
  <si>
    <t>PARJATAN, KUAKATA, KALAPARA, PATUAKHALI 8651</t>
  </si>
  <si>
    <t>04428 56023</t>
  </si>
  <si>
    <t>010780828</t>
  </si>
  <si>
    <t>MIRZAGANJ BRANCH</t>
  </si>
  <si>
    <t>MIRZAGANJ_BRANCH</t>
  </si>
  <si>
    <t>MIRZAGANJ BAZAR, PATUAKHALI 8610</t>
  </si>
  <si>
    <t>04426 75212</t>
  </si>
  <si>
    <t>010781001</t>
  </si>
  <si>
    <t>NATUN BAZAR BRANCH</t>
  </si>
  <si>
    <t>NATUN_BAZAR_BRANCH</t>
  </si>
  <si>
    <t>SADAR ROAD, NATUN BAZAR, PATUAKHALI 8600</t>
  </si>
  <si>
    <t>0441 62495</t>
  </si>
  <si>
    <t>010781030</t>
  </si>
  <si>
    <t>PANGASIA</t>
  </si>
  <si>
    <t>010781180</t>
  </si>
  <si>
    <t>PATUAKHALI NEW MARKER BRANCH</t>
  </si>
  <si>
    <t>PATUAKHALI_NEW_MARKER_BRANCH</t>
  </si>
  <si>
    <t>NEW MARKER, PATUAKHALI 8600</t>
  </si>
  <si>
    <t>0441 62917</t>
  </si>
  <si>
    <t>010781243</t>
  </si>
  <si>
    <t>PURAN BAZAR, PATUAKHALI 8600</t>
  </si>
  <si>
    <t>0441 62913</t>
  </si>
  <si>
    <t>010781306</t>
  </si>
  <si>
    <t>TEGACHIA</t>
  </si>
  <si>
    <t>PIROJPUR</t>
  </si>
  <si>
    <t>010790139</t>
  </si>
  <si>
    <t>BHANDARIA BRANCH</t>
  </si>
  <si>
    <t>BHANDARIA_BRANCH</t>
  </si>
  <si>
    <t>BHANDARIA, PIROJPUR 8550</t>
  </si>
  <si>
    <t>04623 56292</t>
  </si>
  <si>
    <t>010790434</t>
  </si>
  <si>
    <t>KAUKHALI BRANCH</t>
  </si>
  <si>
    <t>KAUKHALI_BRANCH</t>
  </si>
  <si>
    <t>KAUKHALI, PIROJPUR 3510</t>
  </si>
  <si>
    <t>04624 56103</t>
  </si>
  <si>
    <t>010790526</t>
  </si>
  <si>
    <t>MATHBARIA BRANCH</t>
  </si>
  <si>
    <t>MATHBARIA_BRANCH</t>
  </si>
  <si>
    <t>MATHBARIA, PIROJPUR 8560</t>
  </si>
  <si>
    <t>04625 75021</t>
  </si>
  <si>
    <t>010790647</t>
  </si>
  <si>
    <t>MIRUKHALI BRANCH</t>
  </si>
  <si>
    <t>MIRUKHALI_BRANCH</t>
  </si>
  <si>
    <t>MIRUKHALI, MATHBARIA, PIROJPUR 8431</t>
  </si>
  <si>
    <t>017 31136275</t>
  </si>
  <si>
    <t>010790739</t>
  </si>
  <si>
    <t>PARERHAT BRANCH</t>
  </si>
  <si>
    <t>PARERHAT_BRANCH</t>
  </si>
  <si>
    <t>PARERHAT, ZIANAGAR, PIROJPUR 8502</t>
  </si>
  <si>
    <t>0461 62203</t>
  </si>
  <si>
    <t>010790797</t>
  </si>
  <si>
    <t>PIROJPUR MAIN ROAD</t>
  </si>
  <si>
    <t>PIROJPUR_MAIN_ROAD</t>
  </si>
  <si>
    <t>010790821</t>
  </si>
  <si>
    <t>PIROJPUR ZILLA PARISHAD</t>
  </si>
  <si>
    <t>PIROJPUR_ZILLA_PARISHAD</t>
  </si>
  <si>
    <t>RAJBARI</t>
  </si>
  <si>
    <t>010820041</t>
  </si>
  <si>
    <t>AHLADIPUR</t>
  </si>
  <si>
    <t>010820375</t>
  </si>
  <si>
    <t>KALUKHALI</t>
  </si>
  <si>
    <t>010820559</t>
  </si>
  <si>
    <t>NALIA-JAMALPUR</t>
  </si>
  <si>
    <t>010820670</t>
  </si>
  <si>
    <t>PANGSHA BRANCH</t>
  </si>
  <si>
    <t>PANGSHA_BRANCH</t>
  </si>
  <si>
    <t>PANGSHA, RAJBARI 7700</t>
  </si>
  <si>
    <t>06424 75208</t>
  </si>
  <si>
    <t>010820733</t>
  </si>
  <si>
    <t>RAJBARI BRANCH</t>
  </si>
  <si>
    <t>RAJBARI_BRANCH</t>
  </si>
  <si>
    <t>PURAN BAZAR, RAJBARI 7700</t>
  </si>
  <si>
    <t>0641 65446</t>
  </si>
  <si>
    <t>010810130</t>
  </si>
  <si>
    <t>BAJUBAGHA BRANCH</t>
  </si>
  <si>
    <t>BAJUBAGHA_BRANCH</t>
  </si>
  <si>
    <t>NARAYANPUR BAZAR, BAGHA, RAJSHAHI 6280</t>
  </si>
  <si>
    <t>07233 56011</t>
  </si>
  <si>
    <t>010810169</t>
  </si>
  <si>
    <t>BALIAGHATA BRANCH</t>
  </si>
  <si>
    <t>BALIAGHATA_BRANCH</t>
  </si>
  <si>
    <t>HIGH SCHOOL BUILDING, CHOWHODDITOLA, GODAGARI, RAJSHAHI 6290</t>
  </si>
  <si>
    <t>0781 62409</t>
  </si>
  <si>
    <t>010810198</t>
  </si>
  <si>
    <t>BANESHWAR BAZAR BRANCH</t>
  </si>
  <si>
    <t>BANESHWAR_BAZAR_BRANCH</t>
  </si>
  <si>
    <t>DHAKA ROAD, BANESHWAR, PUTHIA, RAJSHAHI 6260</t>
  </si>
  <si>
    <t>0722 781039</t>
  </si>
  <si>
    <t>010810406</t>
  </si>
  <si>
    <t>CHARGHAT BRANCH</t>
  </si>
  <si>
    <t>CHARGHAT_BRANCH</t>
  </si>
  <si>
    <t>CHARGHAT BAZAR, CHARGHAT, RAJSHAHI 6270</t>
  </si>
  <si>
    <t>07223 56031</t>
  </si>
  <si>
    <t>010810051</t>
  </si>
  <si>
    <t>COURT BAZAR BRANCH</t>
  </si>
  <si>
    <t>COURT_BAZAR_BRANCH</t>
  </si>
  <si>
    <t>COURT BAZAR, RAJSHAHI SADAR, RAJSHAHI</t>
  </si>
  <si>
    <t>0721 771478,  017 27214222</t>
  </si>
  <si>
    <t>010810769</t>
  </si>
  <si>
    <t>HARIAN BRANCH</t>
  </si>
  <si>
    <t>HARIAN_BRANCH</t>
  </si>
  <si>
    <t>RAJSHAHI SUGAR MILLS, PABA, RAJSHAHI 6211</t>
  </si>
  <si>
    <t>0721 751061</t>
  </si>
  <si>
    <t>010811184</t>
  </si>
  <si>
    <t>LAKSHMIPUR, RAJPARA, RAJSHAHI 6000</t>
  </si>
  <si>
    <t>0721 774141</t>
  </si>
  <si>
    <t>010811247</t>
  </si>
  <si>
    <t>MADRASHA MARKET</t>
  </si>
  <si>
    <t>MADRASHA_MARKET</t>
  </si>
  <si>
    <t>010811276</t>
  </si>
  <si>
    <t>MALOPARA BRANCH</t>
  </si>
  <si>
    <t>MALOPARA_BRANCH</t>
  </si>
  <si>
    <t>MALOPARA, GHORAMARA, BOALIA, RAJSHAHI 6100</t>
  </si>
  <si>
    <t>0721 774231</t>
  </si>
  <si>
    <t>010811605</t>
  </si>
  <si>
    <t>NAWHATA BRANCH</t>
  </si>
  <si>
    <t>NAWHATA_BRANCH</t>
  </si>
  <si>
    <t>NAWHATA, LALITGANJ, PABA, RAJSHAHI 6210</t>
  </si>
  <si>
    <t>0721 800160</t>
  </si>
  <si>
    <t>010811847</t>
  </si>
  <si>
    <t>PUTHIA BRANCH</t>
  </si>
  <si>
    <t>PUTHIA_BRANCH</t>
  </si>
  <si>
    <t>DHAKA ROAD, PUTHIA, RAJSHAHI 6260</t>
  </si>
  <si>
    <t>07228 56104</t>
  </si>
  <si>
    <t>010811876</t>
  </si>
  <si>
    <t>RAIGHATI BRANCH</t>
  </si>
  <si>
    <t>RAIGHATI_BRANCH</t>
  </si>
  <si>
    <t>KESHORHAT, MOHANPUR, RAJSHAHI 6220</t>
  </si>
  <si>
    <t>07226 56060</t>
  </si>
  <si>
    <t>010811997</t>
  </si>
  <si>
    <t>RAJSHAHI CANTONMENT BRANCH</t>
  </si>
  <si>
    <t>RAJSHAHI_CANTONMENT_BRANCH</t>
  </si>
  <si>
    <t>UPASHAHAR, RAJSHAHI CANTONMENT, BOALIA, RAJSHAHI 6202</t>
  </si>
  <si>
    <t>0721 760294</t>
  </si>
  <si>
    <t>010811634</t>
  </si>
  <si>
    <t>RAJSHAHI NEW MARKET BRANCH</t>
  </si>
  <si>
    <t>RAJSHAHI_NEW_MARKET_BRANCH</t>
  </si>
  <si>
    <t>GORHANGA, GHORAMARA, BOALIA, RAJSHAHI 6100</t>
  </si>
  <si>
    <t>0721 773374</t>
  </si>
  <si>
    <t>010812112</t>
  </si>
  <si>
    <t>RAJSHAHI UNIVERSITY BRANCH</t>
  </si>
  <si>
    <t>RAJSHAHI_UNIVERSITY_BRANCH</t>
  </si>
  <si>
    <t>RAJSHAHI UNIVERSITY, MOTIHAR, RAJSHAHI 6205</t>
  </si>
  <si>
    <t>0721 750243</t>
  </si>
  <si>
    <t>010812262</t>
  </si>
  <si>
    <t>SHAHEB BAZAR BRANCH</t>
  </si>
  <si>
    <t>SHAHEB_BAZAR_BRANCH</t>
  </si>
  <si>
    <t>AGBKBDDH027</t>
  </si>
  <si>
    <t>SHAHEB BAZAR, GHORAMARA, BOALIA, RAJSHAHI 6100</t>
  </si>
  <si>
    <t>0721 772393</t>
  </si>
  <si>
    <t>010812354</t>
  </si>
  <si>
    <t>TALAIMARI</t>
  </si>
  <si>
    <t>010812417</t>
  </si>
  <si>
    <t>WAPDA SOPURA BRANCH</t>
  </si>
  <si>
    <t>WAPDA_SOPURA_BRANCH</t>
  </si>
  <si>
    <t>BWDB OFFICE BUILDING, SOPURA, BOALIA, RAJSHAHI 6203</t>
  </si>
  <si>
    <t>0721 760425</t>
  </si>
  <si>
    <t>RANGAMATI</t>
  </si>
  <si>
    <t>010840076</t>
  </si>
  <si>
    <t>BANORUPA BRANCH</t>
  </si>
  <si>
    <t>BANORUPA_BRANCH</t>
  </si>
  <si>
    <t>BONORUPA, RANGAMATI</t>
  </si>
  <si>
    <t>0351 62391</t>
  </si>
  <si>
    <t>010840197</t>
  </si>
  <si>
    <t>CHANDRAGHONA BRANCH</t>
  </si>
  <si>
    <t>CHANDRAGHONA_BRANCH</t>
  </si>
  <si>
    <t>CHANDRAGHONA KPM, CHANDRAGHONA, RANGAMATI</t>
  </si>
  <si>
    <t>017 26038203</t>
  </si>
  <si>
    <t>010840289</t>
  </si>
  <si>
    <t>KAPTAI BRANCH</t>
  </si>
  <si>
    <t>KAPTAI_BRANCH</t>
  </si>
  <si>
    <t>KAPTAI, RANGAMATI</t>
  </si>
  <si>
    <t>0352 9263</t>
  </si>
  <si>
    <t>010840526</t>
  </si>
  <si>
    <t>RANGAMATI BRANCH</t>
  </si>
  <si>
    <t>RANGAMATI_BRANCH</t>
  </si>
  <si>
    <t>RANGAMATI SADAR, RANGAMATI</t>
  </si>
  <si>
    <t>0351 62375</t>
  </si>
  <si>
    <t>010850040</t>
  </si>
  <si>
    <t>ALAMNAGAR BRANCH</t>
  </si>
  <si>
    <t>ALAMNAGAR_BRANCH</t>
  </si>
  <si>
    <t>STATION APPROACH ROAD, ALAMNAGAR, KOTWALI, RANGPUR 5402</t>
  </si>
  <si>
    <t>0521 65236</t>
  </si>
  <si>
    <t>010850103</t>
  </si>
  <si>
    <t>BADARGANJ BRANCH</t>
  </si>
  <si>
    <t>BADARGANJ_BRANCH</t>
  </si>
  <si>
    <t>PARBATIPUR RAOD, BADARGANJ, RANGPUR 5430</t>
  </si>
  <si>
    <t>05222 56214</t>
  </si>
  <si>
    <t>010850345</t>
  </si>
  <si>
    <t>CENTRAL ROAD BRANCH</t>
  </si>
  <si>
    <t>CENTRAL_ROAD_BRANCH</t>
  </si>
  <si>
    <t>CENTRAL ROAD, KOTWALI, RANGPUR 5400</t>
  </si>
  <si>
    <t>0521 62393, 65437</t>
  </si>
  <si>
    <t>010851186</t>
  </si>
  <si>
    <t>NEK MAMUDHAT BRANCH</t>
  </si>
  <si>
    <t>NEK_MAMUDHAT_BRANCH</t>
  </si>
  <si>
    <t>TAMBULPUR ROAD, PIRGACHHA, RANGPUR 5450</t>
  </si>
  <si>
    <t>018 19770485</t>
  </si>
  <si>
    <t>010851302</t>
  </si>
  <si>
    <t>PAWTANA BRANCH</t>
  </si>
  <si>
    <t>PAWTANA_BRANCH</t>
  </si>
  <si>
    <t>PAWTANA, PIRGACHHA, RANGPUR 5450</t>
  </si>
  <si>
    <t>017 27226681</t>
  </si>
  <si>
    <t>010851331</t>
  </si>
  <si>
    <t>PIRGACHHA BRANCH</t>
  </si>
  <si>
    <t>PIRGACHHA_BRANCH</t>
  </si>
  <si>
    <t>PIRGACHHA MARKET, PIRGACHHA, RANGPUR 5450</t>
  </si>
  <si>
    <t>05226 56006</t>
  </si>
  <si>
    <t>010851452</t>
  </si>
  <si>
    <t>STATION ROAD, KOTWALI, RANGPUR 5400</t>
  </si>
  <si>
    <t>0521 65587</t>
  </si>
  <si>
    <t>010850316</t>
  </si>
  <si>
    <t>RANGPUR CADET COLLEGE BRANCH</t>
  </si>
  <si>
    <t>RANGPUR_CADET_COLLEGE_BRANCH</t>
  </si>
  <si>
    <t>MODERN MORE, CADET COLLEGE, KOTWALI, RANGPUR 5404</t>
  </si>
  <si>
    <t>0521 65238</t>
  </si>
  <si>
    <t>010851036</t>
  </si>
  <si>
    <t>RANGPUR MEDICAL COLLEGE BRANCH</t>
  </si>
  <si>
    <t>RANGPUR_MEDICAL_COLLEGE_BRANCH</t>
  </si>
  <si>
    <t>COLLEGE CAMPUS, DHAAP, KOTWALI, RANGPUR 5400</t>
  </si>
  <si>
    <t>0521 64758</t>
  </si>
  <si>
    <t>010851665</t>
  </si>
  <si>
    <t>SHAKERHAT BRANCH</t>
  </si>
  <si>
    <t>SHAKERHAT_BRANCH</t>
  </si>
  <si>
    <t>BADARGANJ ROAD, UPASHAHAR, KOTWALI, RANGPUR 5400</t>
  </si>
  <si>
    <t>0521 53390</t>
  </si>
  <si>
    <t>010851728</t>
  </si>
  <si>
    <t>SHANERHAT BRANCH</t>
  </si>
  <si>
    <t>SHANERHAT_BRANCH</t>
  </si>
  <si>
    <t>SHADULLAHPUR ROAD, SHANERHAT, PIRGANJ, RANGPUR 5420</t>
  </si>
  <si>
    <t>018 19770486</t>
  </si>
  <si>
    <t>010851931</t>
  </si>
  <si>
    <t>TARAGANJ BRANCH</t>
  </si>
  <si>
    <t>TARAGANJ_BRANCH</t>
  </si>
  <si>
    <t>TARAGANJ MARKET, TARAGANJ, RANGPUR 5420</t>
  </si>
  <si>
    <t>05228 56035</t>
  </si>
  <si>
    <t>010870167</t>
  </si>
  <si>
    <t>BANGSHIPUR BUS STAND BRANCH</t>
  </si>
  <si>
    <t>BANGSHIPUR_BUS_STAND_BRANCH</t>
  </si>
  <si>
    <t>SATKHIRA-MUNSHIGANJ SARAK, ISWARIPUR, SHYAMNAGAR, SATKHIRA 9450</t>
  </si>
  <si>
    <t>04726 74192</t>
  </si>
  <si>
    <t>010870259</t>
  </si>
  <si>
    <t>BHETKHALI BRANCH</t>
  </si>
  <si>
    <t>BHETKHALI_BRANCH</t>
  </si>
  <si>
    <t>BHETKHALI-BANGSHIPUR SARAK, BHETKHALI, SHYAMNAGAR, SATKHIRA 9450</t>
  </si>
  <si>
    <t>018 19710816</t>
  </si>
  <si>
    <t>010870370</t>
  </si>
  <si>
    <t>DEBHATTA BRANCH</t>
  </si>
  <si>
    <t>DEBHATTA_BRANCH</t>
  </si>
  <si>
    <t>SAKHIPUR BAZAR ROAD, DEBHATTA, SATKHIRA 9430</t>
  </si>
  <si>
    <t>04732 72041</t>
  </si>
  <si>
    <t>010870433</t>
  </si>
  <si>
    <t>GAZIRHAT BRANCH</t>
  </si>
  <si>
    <t>GAZIRHAT_BRANCH</t>
  </si>
  <si>
    <t>SATKHIRA-MUNSHIGANJ SARAK, SHIMULIA, DEBHATA, SATKHIRA 9430</t>
  </si>
  <si>
    <t>010870859</t>
  </si>
  <si>
    <t>MAUTALA BRANCH</t>
  </si>
  <si>
    <t>MAUTALA_BRANCH</t>
  </si>
  <si>
    <t>MAUTALA BAZAR ROAD, MAUTALA, KALIGANJ, SATKHIRA 9440</t>
  </si>
  <si>
    <t>018 19710496</t>
  </si>
  <si>
    <t>010870888</t>
  </si>
  <si>
    <t>MUNSHIGANJ BAZAR</t>
  </si>
  <si>
    <t>MUNSHIGANJ_BAZAR</t>
  </si>
  <si>
    <t>010872031</t>
  </si>
  <si>
    <t>NURNAGAR BRANCH</t>
  </si>
  <si>
    <t>NURNAGAR_BRANCH</t>
  </si>
  <si>
    <t>203</t>
  </si>
  <si>
    <t>NURNAGAR BAZAR, SHYAMNAGAR, SATKHIRA 6451</t>
  </si>
  <si>
    <t>018 19710817</t>
  </si>
  <si>
    <t>010871032</t>
  </si>
  <si>
    <t>PATKELGHATA BRANCH</t>
  </si>
  <si>
    <t>PATKELGHATA_BRANCH</t>
  </si>
  <si>
    <t>PATKELGHATA, TALA, SATKHIRA 9421</t>
  </si>
  <si>
    <t>0471 63810</t>
  </si>
  <si>
    <t>010871090</t>
  </si>
  <si>
    <t>BARA BAZAR SARAK, SATKHIRA 9400</t>
  </si>
  <si>
    <t>0471 63241</t>
  </si>
  <si>
    <t>010871216</t>
  </si>
  <si>
    <t>SHYAMNAGAR BRANCH</t>
  </si>
  <si>
    <t>SHYAMNAGAR_BRANCH</t>
  </si>
  <si>
    <t>SATKHIRA-MUNSHIGANJ SARAK, NAKIPUR, SHYAMNAGAR, SATKHIRA 9450</t>
  </si>
  <si>
    <t>04726 74011</t>
  </si>
  <si>
    <t>SHARIATPUR</t>
  </si>
  <si>
    <t>010860193</t>
  </si>
  <si>
    <t>DAMUDYA BRANCH</t>
  </si>
  <si>
    <t>DAMUDYA_BRANCH</t>
  </si>
  <si>
    <t>DAMUDDYA BAZAR, DAMUDDYA, SHARIATPUR 8040</t>
  </si>
  <si>
    <t>06023 56216</t>
  </si>
  <si>
    <t>010860522</t>
  </si>
  <si>
    <t>MULFATGANJ BRANCH</t>
  </si>
  <si>
    <t>MULFATGANJ_BRANCH</t>
  </si>
  <si>
    <t>MULFATGANJ BAZAR, NARIA, SHARIATPUR 8020</t>
  </si>
  <si>
    <t>0601 59146</t>
  </si>
  <si>
    <t>010860580</t>
  </si>
  <si>
    <t>NARIA BRANCH</t>
  </si>
  <si>
    <t>NARIA_BRANCH</t>
  </si>
  <si>
    <t>NARIA BAZAR, NARIA, SHARIATPUR 8020</t>
  </si>
  <si>
    <t>0601 59122</t>
  </si>
  <si>
    <t>010860672</t>
  </si>
  <si>
    <t>SHARIATPUR BRANCH</t>
  </si>
  <si>
    <t>SHARIATPUR_BRANCH</t>
  </si>
  <si>
    <t>HAZI SHARIATULLAH ROAD, PALANG, SHARIATPUR 8000</t>
  </si>
  <si>
    <t>0601 61542</t>
  </si>
  <si>
    <t>010860706</t>
  </si>
  <si>
    <t>ZAJIRA</t>
  </si>
  <si>
    <t>SHERPUR</t>
  </si>
  <si>
    <t>010890192</t>
  </si>
  <si>
    <t>KAKARKANDI BRANCH</t>
  </si>
  <si>
    <t>KAKARKANDI_BRANCH</t>
  </si>
  <si>
    <t>NALITABARI BAZAR, NALITABARI, SHERPUR 2110</t>
  </si>
  <si>
    <t>09324 73320</t>
  </si>
  <si>
    <t>010890347</t>
  </si>
  <si>
    <t>NALITABARI BRANCH</t>
  </si>
  <si>
    <t>NALITABARI_BRANCH</t>
  </si>
  <si>
    <t>TARAGANJ BAZAR, NALITABARI, SHERPUR 2110</t>
  </si>
  <si>
    <t>09324 73014</t>
  </si>
  <si>
    <t>010890400</t>
  </si>
  <si>
    <t>NANDIR BAZAR BRANCH</t>
  </si>
  <si>
    <t>NANDIR_BAZAR_BRANCH</t>
  </si>
  <si>
    <t>NANDIR BAZAR, MOKSUDPUR, SHERPUR 2110</t>
  </si>
  <si>
    <t>018 17048576</t>
  </si>
  <si>
    <t>010890439</t>
  </si>
  <si>
    <t>NANNI BAZAR BRANCH</t>
  </si>
  <si>
    <t>NANNI_BAZAR_BRANCH</t>
  </si>
  <si>
    <t>NANNI, NALITABARI, SHERPUR 2111</t>
  </si>
  <si>
    <t>018 17048575</t>
  </si>
  <si>
    <t>010890550</t>
  </si>
  <si>
    <t>SHERPUR SADAR, SHERPUR 2100</t>
  </si>
  <si>
    <t>0931 61353</t>
  </si>
  <si>
    <t>010890705</t>
  </si>
  <si>
    <t>TINANI BAZAR BRANCH</t>
  </si>
  <si>
    <t>TINANI_BAZAR_BRANCH</t>
  </si>
  <si>
    <t>TINANI BAZAR, HATIBANDA, JHINAIGATI, SHERPUR 2111</t>
  </si>
  <si>
    <t>018 19412933</t>
  </si>
  <si>
    <t>010880160</t>
  </si>
  <si>
    <t>BAHULI BRANCH</t>
  </si>
  <si>
    <t>BAHULI_BRANCH</t>
  </si>
  <si>
    <t>BAHULI, SIRAJGANJ 6700</t>
  </si>
  <si>
    <t>018 19770458</t>
  </si>
  <si>
    <t>010881219</t>
  </si>
  <si>
    <t>BELKUCHI BRANCH</t>
  </si>
  <si>
    <t>BELKUCHI_BRANCH</t>
  </si>
  <si>
    <t>BELKUCHI, SIRAJGANJ 6740</t>
  </si>
  <si>
    <t>07522 56420</t>
  </si>
  <si>
    <t>010880252</t>
  </si>
  <si>
    <t>BELTAIL BRANCH</t>
  </si>
  <si>
    <t>BELTAIL_BRANCH</t>
  </si>
  <si>
    <t>BETKANDI BAZAR, BETKANDI, SHAHJADPUR, SIRAJGANJ 6770</t>
  </si>
  <si>
    <t>018 19750087</t>
  </si>
  <si>
    <t>010880373</t>
  </si>
  <si>
    <t>BRAHMANGACHA BRANCH</t>
  </si>
  <si>
    <t>BRAHMANGACHA_BRANCH</t>
  </si>
  <si>
    <t>BRAHMANGACHA, RAIGANJ, SIRAJGANJ 6720</t>
  </si>
  <si>
    <t>018 19750096</t>
  </si>
  <si>
    <t>010880436</t>
  </si>
  <si>
    <t>CHANDAIKONA BRANCH</t>
  </si>
  <si>
    <t>CHANDAIKONA_BRANCH</t>
  </si>
  <si>
    <t>CHANDAIKONA, RAIGANJ, SIRAJGANJ 6720</t>
  </si>
  <si>
    <t>018 19750095</t>
  </si>
  <si>
    <t>010880731</t>
  </si>
  <si>
    <t>DHUBIL BRANCH</t>
  </si>
  <si>
    <t>DHUBIL_BRANCH</t>
  </si>
  <si>
    <t>DHUBIL BAZZAR, RAIGANJ, SIRAJGANJ 6720</t>
  </si>
  <si>
    <t>018 19750094</t>
  </si>
  <si>
    <t>010880823</t>
  </si>
  <si>
    <t>ENAYETPUR BRANCH</t>
  </si>
  <si>
    <t>ENAYETPUR_BRANCH</t>
  </si>
  <si>
    <t>ENAYETPUR BAZAR, SIRAJGANJ 6751</t>
  </si>
  <si>
    <t>018 19770457</t>
  </si>
  <si>
    <t>010880881</t>
  </si>
  <si>
    <t>GHURKA BRANCH</t>
  </si>
  <si>
    <t>GHURKA_BRANCH</t>
  </si>
  <si>
    <t>SALONGA BAZAR, SALONGA, SIRAJGANJ 6723</t>
  </si>
  <si>
    <t>018 19750092</t>
  </si>
  <si>
    <t>010881006</t>
  </si>
  <si>
    <t>KALIBARI ROAD BRANCH</t>
  </si>
  <si>
    <t>KALIBARI_ROAD_BRANCH</t>
  </si>
  <si>
    <t>KALIBARI ROAD, SIRAJGANJ, SIRAJGANJ 6700</t>
  </si>
  <si>
    <t>0751 62014</t>
  </si>
  <si>
    <t>010881451</t>
  </si>
  <si>
    <t>NEW MARKET, SIRAJGANJ 6700</t>
  </si>
  <si>
    <t>0751 62045</t>
  </si>
  <si>
    <t>010881514</t>
  </si>
  <si>
    <t>NIMGACHHI BRANCH</t>
  </si>
  <si>
    <t>NIMGACHHI_BRANCH</t>
  </si>
  <si>
    <t>NIMGACHHI BAZAR, RAIGANJ, SIRAJGANJ 6720</t>
  </si>
  <si>
    <t>018 19750093</t>
  </si>
  <si>
    <t>010881572</t>
  </si>
  <si>
    <t>PANGASHIAHAT BRANCH</t>
  </si>
  <si>
    <t>PANGASHIAHAT_BRANCH</t>
  </si>
  <si>
    <t>HATPANGASHI, RAIGANJ, SIRAJGANJ 6720</t>
  </si>
  <si>
    <t>018 19770461</t>
  </si>
  <si>
    <t>010881606</t>
  </si>
  <si>
    <t>PARJANA VATPARA BRANCH</t>
  </si>
  <si>
    <t>PARJANA_VATPARA_BRANCH</t>
  </si>
  <si>
    <t>ZAMIRTA BAZAR, SHAHJADPUR, SIRAJGANJ 6770</t>
  </si>
  <si>
    <t>018 19750085</t>
  </si>
  <si>
    <t>010881693</t>
  </si>
  <si>
    <t>RAIGANJ BRANCH</t>
  </si>
  <si>
    <t>RAIGANJ_BRANCH</t>
  </si>
  <si>
    <t>DHANGARA BAZAR, DHANGARA, RAIGANJ, SIRAJGANJ 6720</t>
  </si>
  <si>
    <t>07526 56110</t>
  </si>
  <si>
    <t>010881901</t>
  </si>
  <si>
    <t>SHAHZADPUR BRANCH</t>
  </si>
  <si>
    <t>SHAHZADPUR_BRANCH</t>
  </si>
  <si>
    <t>MONIRAMPUR BAZAR, SHAHZADPUR, SIRAJGANJ 6770</t>
  </si>
  <si>
    <t>07527 64579</t>
  </si>
  <si>
    <t>010881998</t>
  </si>
  <si>
    <t>SOMESPUR BRANCH</t>
  </si>
  <si>
    <t>SOMESPUR_BRANCH</t>
  </si>
  <si>
    <t>SOMESPUR BAZAR, BELKUCHI, SIRAJGANJ 6740</t>
  </si>
  <si>
    <t>018 19770460</t>
  </si>
  <si>
    <t>010881785</t>
  </si>
  <si>
    <t>SS ROAD BRANCH</t>
  </si>
  <si>
    <t>SS_ROAD_BRANCH</t>
  </si>
  <si>
    <t>SS ROAD, SIRAJGANJ 6700</t>
  </si>
  <si>
    <t>0751 62079</t>
  </si>
  <si>
    <t>010882050</t>
  </si>
  <si>
    <t>STATION ROAD, SIRAJGANJ 6700</t>
  </si>
  <si>
    <t>0751 62064</t>
  </si>
  <si>
    <t>010882113</t>
  </si>
  <si>
    <t>TALGACHI BAZAR BRANCH</t>
  </si>
  <si>
    <t>TALGACHI_BAZAR_BRANCH</t>
  </si>
  <si>
    <t>TALGACHI BAZAR, GARADAH, SHAHJADPUR, SIRAJGANJ 6770</t>
  </si>
  <si>
    <t>018 19750083</t>
  </si>
  <si>
    <t>010882234</t>
  </si>
  <si>
    <t>ULLAPARA BRANCH</t>
  </si>
  <si>
    <t>ULLAPARA_BRANCH</t>
  </si>
  <si>
    <t>ULLAPARA, SIRAJGANJ 6761</t>
  </si>
  <si>
    <t>07529 56281</t>
  </si>
  <si>
    <t>010900040</t>
  </si>
  <si>
    <t>AMBARI BAZAR BRANCH</t>
  </si>
  <si>
    <t>AMBARI_BAZAR_BRANCH</t>
  </si>
  <si>
    <t>AMBARI BAZAR, DUARA BAZAR, SUNAMGANJ 8710</t>
  </si>
  <si>
    <t>018 19550714</t>
  </si>
  <si>
    <t>010900224</t>
  </si>
  <si>
    <t>CHHATAK BAZAR, SUNAMGANJ 3080</t>
  </si>
  <si>
    <t>08723 56217</t>
  </si>
  <si>
    <t>010900253</t>
  </si>
  <si>
    <t>DERAI BRANCH</t>
  </si>
  <si>
    <t>DERAI_BRANCH</t>
  </si>
  <si>
    <t>DHIRAI CHANDPUR, DERAI, SUNAMGANJ 3040</t>
  </si>
  <si>
    <t>08724 56001</t>
  </si>
  <si>
    <t>010900345</t>
  </si>
  <si>
    <t>DUARA BAZAR BRANCH</t>
  </si>
  <si>
    <t>DUARA_BAZAR_BRANCH</t>
  </si>
  <si>
    <t>DUARA BAZAR, SUNAMGANJ 3070</t>
  </si>
  <si>
    <t>08726 56024</t>
  </si>
  <si>
    <t>010901128</t>
  </si>
  <si>
    <t>SUNAMGANJ BRANCH</t>
  </si>
  <si>
    <t>SUNAMGANJ_BRANCH</t>
  </si>
  <si>
    <t>SUNAMGANJ SADAR, SUNAMGANJ 3000</t>
  </si>
  <si>
    <t>0871 55318</t>
  </si>
  <si>
    <t>010910043</t>
  </si>
  <si>
    <t>AMBERKHANA BRANCH</t>
  </si>
  <si>
    <t>AMBERKHANA_BRANCH</t>
  </si>
  <si>
    <t>AMBARKHANA, SYLHET SADAR, SYLHET 3100</t>
  </si>
  <si>
    <t>0821 714032</t>
  </si>
  <si>
    <t>010910135</t>
  </si>
  <si>
    <t>BAIRAGIR BAZAR BRANCH</t>
  </si>
  <si>
    <t>BAIRAGIR_BAZAR_BRANCH</t>
  </si>
  <si>
    <t>BAIRAGIR BAZAR, BISWANATH, SYLHET 3130</t>
  </si>
  <si>
    <t>018 19550712</t>
  </si>
  <si>
    <t>010910164</t>
  </si>
  <si>
    <t>BALAGANJ BRANCH</t>
  </si>
  <si>
    <t>BALAGANJ_BRANCH</t>
  </si>
  <si>
    <t>BALAGANJ, SYLHET 3120</t>
  </si>
  <si>
    <t>03796 800013</t>
  </si>
  <si>
    <t>010910193</t>
  </si>
  <si>
    <t>BANDAR BAZAR BRANCH</t>
  </si>
  <si>
    <t>BANDAR_BAZAR_BRANCH</t>
  </si>
  <si>
    <t>BANDAR BAZAR, SYLHET 3100</t>
  </si>
  <si>
    <t>0821 718569</t>
  </si>
  <si>
    <t>010910319</t>
  </si>
  <si>
    <t>BEANIBAZAR BRANCH</t>
  </si>
  <si>
    <t>BEANIBAZAR_BRANCH</t>
  </si>
  <si>
    <t>BEANI BAZAR, SYLHET 3170</t>
  </si>
  <si>
    <t>03799287083</t>
  </si>
  <si>
    <t>010910430</t>
  </si>
  <si>
    <t>BISWANATH BRANCH</t>
  </si>
  <si>
    <t>BISWANATH_BRANCH</t>
  </si>
  <si>
    <t>BISWANATH, SYLHET 3130</t>
  </si>
  <si>
    <t>038911 82156</t>
  </si>
  <si>
    <t>010910498</t>
  </si>
  <si>
    <t>BOALJUR BAZAR BRANCH</t>
  </si>
  <si>
    <t>BOALJUR_BAZAR_BRANCH</t>
  </si>
  <si>
    <t>BOALJUR BAZAR, BALAGANJ, SYLHET 3120</t>
  </si>
  <si>
    <t>03796800042</t>
  </si>
  <si>
    <t>010910614</t>
  </si>
  <si>
    <t>CHAGLI BAZAR BRANCH</t>
  </si>
  <si>
    <t>CHAGLI_BAZAR_BRANCH</t>
  </si>
  <si>
    <t>CHAGLI BAZAR, JAKIGANJ, SYLHET 3190</t>
  </si>
  <si>
    <t>018 19551863</t>
  </si>
  <si>
    <t>010910735</t>
  </si>
  <si>
    <t>CHAWKBAZAR, SILAM, SOUTH SURMA, SYLHET 3105</t>
  </si>
  <si>
    <t>0821 713013</t>
  </si>
  <si>
    <t>010911242</t>
  </si>
  <si>
    <t>DEWALGRAM BRANCH</t>
  </si>
  <si>
    <t>DEWALGRAM_BRANCH</t>
  </si>
  <si>
    <t>DEWALGRAM, BEANI BAZAR, SYLHET 3160</t>
  </si>
  <si>
    <t>011 98029507</t>
  </si>
  <si>
    <t>010911305</t>
  </si>
  <si>
    <t>DHAKADAKSHIN BRANCH</t>
  </si>
  <si>
    <t>DHAKADAKSHIN_BRANCH</t>
  </si>
  <si>
    <t>DHAKADAKSHIN, GOLAPGANJ, SYLHET 3161</t>
  </si>
  <si>
    <t>037 99587276</t>
  </si>
  <si>
    <t>010911363</t>
  </si>
  <si>
    <t>FENCHUGANJ BRANCH</t>
  </si>
  <si>
    <t>FENCHUGANJ_BRANCH</t>
  </si>
  <si>
    <t>FENCHUGANJ, SYLHET 3116</t>
  </si>
  <si>
    <t>0822 656033</t>
  </si>
  <si>
    <t>010911518</t>
  </si>
  <si>
    <t>GASBARI BAZAR BRANCH</t>
  </si>
  <si>
    <t>GASBARI_BAZAR_BRANCH</t>
  </si>
  <si>
    <t>GASBARI BAZAR, KANAIGAHAT, SYLHET 3183</t>
  </si>
  <si>
    <t>018 17318130</t>
  </si>
  <si>
    <t>010911547</t>
  </si>
  <si>
    <t>GOALABAZAR BRANCH</t>
  </si>
  <si>
    <t>GOALABAZAR_BRANCH</t>
  </si>
  <si>
    <t>GOALABAZAR, OSMNAINAGAR, SYLHET 3124</t>
  </si>
  <si>
    <t>037 999187024</t>
  </si>
  <si>
    <t>010911576</t>
  </si>
  <si>
    <t>GODOWN BAZAR BRANCH</t>
  </si>
  <si>
    <t>GODOWN_BAZAR_BRANCH</t>
  </si>
  <si>
    <t>GODOWN BAZAR, PATON, BEANIBAZAR, SYLHET 3170</t>
  </si>
  <si>
    <t>037 99284014</t>
  </si>
  <si>
    <t>010911600</t>
  </si>
  <si>
    <t>GOLAPGANJ BRANCH</t>
  </si>
  <si>
    <t>GOLAPGANJ_BRANCH</t>
  </si>
  <si>
    <t>GOLAPGANJ, SYLHET 3160</t>
  </si>
  <si>
    <t>0822 756455</t>
  </si>
  <si>
    <t>010911721</t>
  </si>
  <si>
    <t>HARIPUR GAS FIELD BRANCH</t>
  </si>
  <si>
    <t>HARIPUR_GAS_FIELD_BRANCH</t>
  </si>
  <si>
    <t>HARIPUR GAS FIELD, CHIKNAGUL, JAINTAPUR, SYLHET 3152</t>
  </si>
  <si>
    <t>044 93340638</t>
  </si>
  <si>
    <t>010911750</t>
  </si>
  <si>
    <t>HATIMGANJ BRANCH</t>
  </si>
  <si>
    <t>HATIMGANJ_BRANCH</t>
  </si>
  <si>
    <t>HATIMGANJ, GOLAPGANJ, SYLHET 3160</t>
  </si>
  <si>
    <t>018 19550722</t>
  </si>
  <si>
    <t>010911871</t>
  </si>
  <si>
    <t>JALALPUR BAZAR BRANCH</t>
  </si>
  <si>
    <t>JALALPUR_BAZAR_BRANCH</t>
  </si>
  <si>
    <t>JALALPUR BAZAR, SOUTH SURMA, SYLHET 3107</t>
  </si>
  <si>
    <t>018 18049295</t>
  </si>
  <si>
    <t>010911934</t>
  </si>
  <si>
    <t>KAKARDI BAZAR BRANCH</t>
  </si>
  <si>
    <t>KAKARDI_BAZAR_BRANCH</t>
  </si>
  <si>
    <t>KAKARDI BAZAR, TERADAL, BEANIBAZAR, SYLHET 3170</t>
  </si>
  <si>
    <t>037 99285229</t>
  </si>
  <si>
    <t>010911992</t>
  </si>
  <si>
    <t>KALIGINJ BAZAR BRANCH</t>
  </si>
  <si>
    <t>KALIGINJ_BAZAR_BRANCH</t>
  </si>
  <si>
    <t>KALIGINJ BAZAR, BISWANATH, SYLHET 3130</t>
  </si>
  <si>
    <t>038911 82091</t>
  </si>
  <si>
    <t>010912146</t>
  </si>
  <si>
    <t>KAZIR BAZAR BRANCH</t>
  </si>
  <si>
    <t>KAZIR_BAZAR_BRANCH</t>
  </si>
  <si>
    <t>KAZIR BAZAR, SYLHET 3100</t>
  </si>
  <si>
    <t>0821 719661</t>
  </si>
  <si>
    <t>010912320</t>
  </si>
  <si>
    <t>KUCHAI BRANCH</t>
  </si>
  <si>
    <t>KUCHAI_BRANCH</t>
  </si>
  <si>
    <t>KUCHAI, KADAMTALI, SYLHET 3111</t>
  </si>
  <si>
    <t>0821 840062</t>
  </si>
  <si>
    <t>010912470</t>
  </si>
  <si>
    <t>LALA BAZAR BRANCH</t>
  </si>
  <si>
    <t>LALA_BAZAR_BRANCH</t>
  </si>
  <si>
    <t>247</t>
  </si>
  <si>
    <t>LALA BAZAR, SOUTH SURMA, SYLHET 3113</t>
  </si>
  <si>
    <t>018 19550723</t>
  </si>
  <si>
    <t>010912504</t>
  </si>
  <si>
    <t>LALDIGHIRPAR BRANCH</t>
  </si>
  <si>
    <t>LALDIGHIRPAR_BRANCH</t>
  </si>
  <si>
    <t>AGBKBDDH021</t>
  </si>
  <si>
    <t>LALDIGHIR PAR, SYLHET SADAR, SYLHET 3100</t>
  </si>
  <si>
    <t>0821 716177, 717038, 725619</t>
  </si>
  <si>
    <t>010912562</t>
  </si>
  <si>
    <t>MATHIURA EIDGAH BRANCH</t>
  </si>
  <si>
    <t>MATHIURA_EIDGAH_BRANCH</t>
  </si>
  <si>
    <t>256</t>
  </si>
  <si>
    <t>MATHIURA IDDGAH, BEANI BAZAR, SYLHET 3172</t>
  </si>
  <si>
    <t>010912920</t>
  </si>
  <si>
    <t>RADHANAGAR BAZAR</t>
  </si>
  <si>
    <t>RADHANAGAR_BAZAR</t>
  </si>
  <si>
    <t>292</t>
  </si>
  <si>
    <t>010912988</t>
  </si>
  <si>
    <t>RAMDAH BAZAR BRANCH</t>
  </si>
  <si>
    <t>RAMDAH_BAZAR_BRANCH</t>
  </si>
  <si>
    <t>RAMDAH BAZAR, BEANIBAZAR, SYLHET 3170</t>
  </si>
  <si>
    <t>018 19550719</t>
  </si>
  <si>
    <t>010913132</t>
  </si>
  <si>
    <t>SALUTIKAR BAZAR BRANCH</t>
  </si>
  <si>
    <t>SALUTIKAR_BAZAR_BRANCH</t>
  </si>
  <si>
    <t>SALUTIKAR BAZAR, SYLHET SADAR, SYLHET 3100</t>
  </si>
  <si>
    <t>018 19550711</t>
  </si>
  <si>
    <t>010913161</t>
  </si>
  <si>
    <t>SARAKER BAZAR BRANCH</t>
  </si>
  <si>
    <t>SARAKER_BAZAR_BRANCH</t>
  </si>
  <si>
    <t>SARAKER BAZAR, KANAIGAHAT, SYLHET 3180</t>
  </si>
  <si>
    <t>017 14527888</t>
  </si>
  <si>
    <t>010913408</t>
  </si>
  <si>
    <t>SHIBGANJ, SYLHET SADAR, SYLHET 3100</t>
  </si>
  <si>
    <t>0821 760864</t>
  </si>
  <si>
    <t>010913466</t>
  </si>
  <si>
    <t>346</t>
  </si>
  <si>
    <t>STATION ROAD, SOUTH SURMA, SYLHET 3100</t>
  </si>
  <si>
    <t>0821 714006</t>
  </si>
  <si>
    <t>010913495</t>
  </si>
  <si>
    <t>SUBID BAZAR BRANCH</t>
  </si>
  <si>
    <t>SUBID_BAZAR_BRANCH</t>
  </si>
  <si>
    <t>SUBID BAZAR, SYLHET SADAR, SYLHET 3100</t>
  </si>
  <si>
    <t>0821 718083</t>
  </si>
  <si>
    <t>010914007</t>
  </si>
  <si>
    <t>UMARPUR BAZAR BRANCH</t>
  </si>
  <si>
    <t>UMARPUR_BAZAR_BRANCH</t>
  </si>
  <si>
    <t>UMARPUR BAZAR, OSMANINAGAR, SYLHET 3126</t>
  </si>
  <si>
    <t>017 15930355</t>
  </si>
  <si>
    <t>010914157</t>
  </si>
  <si>
    <t>ZINDABAZAR BRANCH</t>
  </si>
  <si>
    <t>ZINDABAZAR_BRANCH</t>
  </si>
  <si>
    <t>415</t>
  </si>
  <si>
    <t>ZINDA BAZAR, SYLHET 3100</t>
  </si>
  <si>
    <t>0821 714056</t>
  </si>
  <si>
    <t>010930049</t>
  </si>
  <si>
    <t>AISHORA BRANCH</t>
  </si>
  <si>
    <t>AISHORA_BRANCH</t>
  </si>
  <si>
    <t>AISHORA, BASAIL, TANGAIL 1920</t>
  </si>
  <si>
    <t>018 19412937</t>
  </si>
  <si>
    <t>010930373</t>
  </si>
  <si>
    <t>BASAIL BRANCH</t>
  </si>
  <si>
    <t>BASAIL_BRANCH</t>
  </si>
  <si>
    <t>BASHAIL BUS STAND, TANGAIL 1920</t>
  </si>
  <si>
    <t>010930465</t>
  </si>
  <si>
    <t>BHUAPUR BRANCH</t>
  </si>
  <si>
    <t>BHUAPUR_BRANCH</t>
  </si>
  <si>
    <t>POUROSHAVA ROAD, BHUAPUR, TANGAIL</t>
  </si>
  <si>
    <t>017 22180265</t>
  </si>
  <si>
    <t>010930065</t>
  </si>
  <si>
    <t>CHAPRI BAZAR BRANCH</t>
  </si>
  <si>
    <t>CHAPRI_BAZAR_BRANCH</t>
  </si>
  <si>
    <t>CHAPRI BAZAR, TANGAIL</t>
  </si>
  <si>
    <t>018 47023312</t>
  </si>
  <si>
    <t>010930731</t>
  </si>
  <si>
    <t>DHUBURIA BRANCH</t>
  </si>
  <si>
    <t>DHUBURIA_BRANCH</t>
  </si>
  <si>
    <t>DHUBURIA, NAGARPUR, TANGAIL 1937</t>
  </si>
  <si>
    <t>017 19673598</t>
  </si>
  <si>
    <t>010930915</t>
  </si>
  <si>
    <t>GHATAIL BRANCH</t>
  </si>
  <si>
    <t>GHATAIL_BRANCH</t>
  </si>
  <si>
    <t>GHATAIL, TANGAIL 1980</t>
  </si>
  <si>
    <t>017 32629739</t>
  </si>
  <si>
    <t>010931006</t>
  </si>
  <si>
    <t>GOPALPUR, TANGAIL 1990</t>
  </si>
  <si>
    <t>017 15663677</t>
  </si>
  <si>
    <t>010931156</t>
  </si>
  <si>
    <t>HEMNAGAR BRANCH</t>
  </si>
  <si>
    <t>HEMNAGAR_BRANCH</t>
  </si>
  <si>
    <t>HEMNAGAR, GOPALPUR, TANGAIL 1992</t>
  </si>
  <si>
    <t>018 17048583</t>
  </si>
  <si>
    <t>010931185</t>
  </si>
  <si>
    <t>JAMURKI BRANCH</t>
  </si>
  <si>
    <t>JAMURKI_BRANCH</t>
  </si>
  <si>
    <t>JAMURKI BAZAR, MIRZAPUR, TANGAIL 1944</t>
  </si>
  <si>
    <t>017 12898891</t>
  </si>
  <si>
    <t>010931330</t>
  </si>
  <si>
    <t>KANCHANPUR BRANCH</t>
  </si>
  <si>
    <t>KANCHANPUR_BRANCH</t>
  </si>
  <si>
    <t>KANCHANPUR, BILPARA BAZAR, BASAIL, TANGAIL 1945</t>
  </si>
  <si>
    <t>010931369</t>
  </si>
  <si>
    <t>KARATIA BRANCH</t>
  </si>
  <si>
    <t>KARATIA_BRANCH</t>
  </si>
  <si>
    <t>KARATIA BUS STAND, KARATIA, TANGAIL 1903</t>
  </si>
  <si>
    <t>017 10652099</t>
  </si>
  <si>
    <t>010931398</t>
  </si>
  <si>
    <t>KAWALJANI BRANCH</t>
  </si>
  <si>
    <t>KAWALJANI_BRANCH</t>
  </si>
  <si>
    <t>KAWALJANI BAORD BAZAR, KAWALJANI, BASAIL, TANGAIL 1973</t>
  </si>
  <si>
    <t>018 19412938</t>
  </si>
  <si>
    <t>010931480</t>
  </si>
  <si>
    <t>MADHUPUR BRANCH</t>
  </si>
  <si>
    <t>MADHUPUR_BRANCH</t>
  </si>
  <si>
    <t>MADHUPUR BUS STAND, MADHUPUR, TANGAIL 1996</t>
  </si>
  <si>
    <t>017 24571836</t>
  </si>
  <si>
    <t>010931514</t>
  </si>
  <si>
    <t>MIRZAPUR, TANGAIL 1940</t>
  </si>
  <si>
    <t>018 12866860</t>
  </si>
  <si>
    <t>010931543</t>
  </si>
  <si>
    <t>MIRZAPUR CADET COLLEGE BRANCH</t>
  </si>
  <si>
    <t>MIRZAPUR_CADET_COLLEGE_BRANCH</t>
  </si>
  <si>
    <t>MIRZAPUR CADET COLLEGE, MIRZAPUR, TANGAIL 1941</t>
  </si>
  <si>
    <t>017 17898256</t>
  </si>
  <si>
    <t>010931635</t>
  </si>
  <si>
    <t>MOHERA BRANCH</t>
  </si>
  <si>
    <t>MOHERA_BRANCH</t>
  </si>
  <si>
    <t>MOHERA, MIRZAPUR, TANGAIL 1945</t>
  </si>
  <si>
    <t>018 19412935</t>
  </si>
  <si>
    <t>010931664</t>
  </si>
  <si>
    <t>MYMENSINGH ROAD BRANCH</t>
  </si>
  <si>
    <t>MYMENSINGH_ROAD_BRANCH</t>
  </si>
  <si>
    <t>OLD BUS STAND, MYMENSINGH ROAD, TANGAIL 1900</t>
  </si>
  <si>
    <t>017 20450366</t>
  </si>
  <si>
    <t>010931693</t>
  </si>
  <si>
    <t>NAGARPUR BRANCH</t>
  </si>
  <si>
    <t>NAGARPUR_BRANCH</t>
  </si>
  <si>
    <t>NAGARPUR, TANGAIL 1936</t>
  </si>
  <si>
    <t>017 12614074</t>
  </si>
  <si>
    <t>010931727</t>
  </si>
  <si>
    <t>NALUA BAZAR BRANCH</t>
  </si>
  <si>
    <t>NALUA_BAZAR_BRANCH</t>
  </si>
  <si>
    <t>NALUA BAZAR, SHAKHIPUR, TANGAIL 1950</t>
  </si>
  <si>
    <t>018 20100445</t>
  </si>
  <si>
    <t>010932205</t>
  </si>
  <si>
    <t>SAKHIPUR BRANCH</t>
  </si>
  <si>
    <t>SAKHIPUR_BRANCH</t>
  </si>
  <si>
    <t>SAKHIPUR BAZAR, TANGAIL 1950</t>
  </si>
  <si>
    <t>017 10879836</t>
  </si>
  <si>
    <t>010932142</t>
  </si>
  <si>
    <t>SHALIMABAD BRANCH</t>
  </si>
  <si>
    <t>SHALIMABAD_BRANCH</t>
  </si>
  <si>
    <t>SHALIMABAD, NAGARPUR, TANGAIL 1938</t>
  </si>
  <si>
    <t>018 19412939</t>
  </si>
  <si>
    <t>010932263</t>
  </si>
  <si>
    <t>SURUJ BAZAR BRANCH</t>
  </si>
  <si>
    <t>SURUJ_BAZAR_BRANCH</t>
  </si>
  <si>
    <t>SURUJ BAZAR, GOSAI JOWAIR, TANGAIL 1900</t>
  </si>
  <si>
    <t>017 14492857</t>
  </si>
  <si>
    <t>010932292</t>
  </si>
  <si>
    <t>KHAN PLAZA, MAIN ROAD, TANGAIL 1900</t>
  </si>
  <si>
    <t>018 19412966</t>
  </si>
  <si>
    <t>010932418</t>
  </si>
  <si>
    <t>WARSHI BRANCH</t>
  </si>
  <si>
    <t>WARSHI_BRANCH</t>
  </si>
  <si>
    <t>WARSHI, MIRZAPUR, TANGAIL 1943</t>
  </si>
  <si>
    <t>018 19412934</t>
  </si>
  <si>
    <t>THAKURGAON</t>
  </si>
  <si>
    <t>010940134</t>
  </si>
  <si>
    <t>BEGUNBARI BRANCH</t>
  </si>
  <si>
    <t>BEGUNBARI_BRANCH</t>
  </si>
  <si>
    <t>PIRGONJ BAZAR, PIRGANJ, THAKURGAON 5110</t>
  </si>
  <si>
    <t>0562 456420</t>
  </si>
  <si>
    <t>010940468</t>
  </si>
  <si>
    <t>HARIPUR BRANCH</t>
  </si>
  <si>
    <t>HARIPUR_BRANCH</t>
  </si>
  <si>
    <t>JIBANPUR, HARIPUR, THAKURGAON 5130</t>
  </si>
  <si>
    <t>0562 356010</t>
  </si>
  <si>
    <t>010940671</t>
  </si>
  <si>
    <t>MUNSHIRHAT, KHALISHAKURI, THAKURGAON 5100</t>
  </si>
  <si>
    <t>018 19770442</t>
  </si>
  <si>
    <t>010940976</t>
  </si>
  <si>
    <t>THAKURGAON BRANCH</t>
  </si>
  <si>
    <t>THAKURGAON_BRANCH</t>
  </si>
  <si>
    <t>BANGABANDHU ROAD, THAKURGAON 5100</t>
  </si>
  <si>
    <t>0561 52327</t>
  </si>
  <si>
    <t>AL-ARAFAH_ISLAMI_BANK_LIMITED</t>
  </si>
  <si>
    <t>015</t>
  </si>
  <si>
    <t>AL-ARAFAH ISLAMI BANK LIMITED</t>
  </si>
  <si>
    <t>015010948</t>
  </si>
  <si>
    <t>MONGLA BRANCH</t>
  </si>
  <si>
    <t>MONGLA_BRANCH</t>
  </si>
  <si>
    <t>ALARBDDH</t>
  </si>
  <si>
    <t>19/A MONGLA PORT I/A, MONGLA, BAGERHAT</t>
  </si>
  <si>
    <t>0466 275105-6, 017 38933588</t>
  </si>
  <si>
    <t>015060280</t>
  </si>
  <si>
    <t>HOTEL IMPERIAL, 442 HEMAYET UDDIN ROAD, GRIZA MAHALLA, BARISAL 8200</t>
  </si>
  <si>
    <t>0431 64476, 017 27379119</t>
  </si>
  <si>
    <t>015090100</t>
  </si>
  <si>
    <t>JAHANGIR PLAZA, SADAR ROAD, BHOLA</t>
  </si>
  <si>
    <t>0491 61244-5, 017 15602316</t>
  </si>
  <si>
    <t>015100379</t>
  </si>
  <si>
    <t>ALARBDDH071</t>
  </si>
  <si>
    <t>TALUKDER MANSION, BOROGOLA, BOGRA</t>
  </si>
  <si>
    <t>051 69994-5, 017 13203754</t>
  </si>
  <si>
    <t>015120054</t>
  </si>
  <si>
    <t>AKHAURA SME BRANCH</t>
  </si>
  <si>
    <t>AKHAURA_SME_BRANCH</t>
  </si>
  <si>
    <t>005</t>
  </si>
  <si>
    <t>COLLAGE ROAD SARAK BAZAR, AKHAURA, BRAHMANBARIA</t>
  </si>
  <si>
    <t>08522 56155, 017 40619012</t>
  </si>
  <si>
    <t>015120438</t>
  </si>
  <si>
    <t>HAZI MANSION, MOSJID ROAD, BRAHMANBARIA</t>
  </si>
  <si>
    <t>0851 59330, 018 7563888</t>
  </si>
  <si>
    <t>015121095</t>
  </si>
  <si>
    <t>KUTIBAZAR BRANCH</t>
  </si>
  <si>
    <t>KUTIBAZAR_BRANCH</t>
  </si>
  <si>
    <t>EASTERN FEROJ PLAZA, KUTIBAZAR, KASBA, BRAHMANBARIA</t>
  </si>
  <si>
    <t>017 30970400</t>
  </si>
  <si>
    <t>015121361</t>
  </si>
  <si>
    <t>NABIN SUPER MARKET, SADAR ROAD, NABINAGAR, BRAHMANBARIA</t>
  </si>
  <si>
    <t>0852 575504, 575505, 017 66678445</t>
  </si>
  <si>
    <t>015121879</t>
  </si>
  <si>
    <t>TANTARBAZAR SME BRANCH</t>
  </si>
  <si>
    <t>TANTARBAZAR_SME_BRANCH</t>
  </si>
  <si>
    <t>HAZI LAL MIA MARKET, TANTAR BAZAR, AKHAURA, BRAHMANBARIA</t>
  </si>
  <si>
    <t>017 43244344</t>
  </si>
  <si>
    <t>015150132</t>
  </si>
  <si>
    <t>ALARBDDH069</t>
  </si>
  <si>
    <t>96 AGRABAD C/A, CHITTAGONG</t>
  </si>
  <si>
    <t>031 713372-3, 711725, 018 19310770</t>
  </si>
  <si>
    <t>015153168</t>
  </si>
  <si>
    <t>PLOT 1, BLOCK A, HS ROAD, HALISHAHAR HOUSING ESTATE, FOILLATOLI BAZAR, CHITTAGONG</t>
  </si>
  <si>
    <t>031 715662-3, 018 33149150</t>
  </si>
  <si>
    <t>015153221</t>
  </si>
  <si>
    <t>SALAMATULLAH BHABAN, KACHARI ROAD, HATHAZARI, CHITTAGONG</t>
  </si>
  <si>
    <t>031 2601679-80, 018 11408492</t>
  </si>
  <si>
    <t>015153647</t>
  </si>
  <si>
    <t>ALARBDDH076</t>
  </si>
  <si>
    <t>KADER PLAZA, 221 JUBILEE ROAD, CHITTAGONG</t>
  </si>
  <si>
    <t>031 2868630), 637680-1, 018 19315480</t>
  </si>
  <si>
    <t>015153739</t>
  </si>
  <si>
    <t>KADAMTOLI BRANCH</t>
  </si>
  <si>
    <t>KADAMTOLI_BRANCH</t>
  </si>
  <si>
    <t>376 DT ROAD, KADAMTOLI, CHITTAGONG</t>
  </si>
  <si>
    <t>031 2522835, 2522861-2, 018 47114430</t>
  </si>
  <si>
    <t>015154275</t>
  </si>
  <si>
    <t>ALARBDDH072</t>
  </si>
  <si>
    <t>146 CHAND MIAH LANE, KHATUNGANJ, CHITTAGONG</t>
  </si>
  <si>
    <t>031 617103, 622230, 617104</t>
  </si>
  <si>
    <t>015155324</t>
  </si>
  <si>
    <t>MURADPUR BRANCH</t>
  </si>
  <si>
    <t>MURADPUR_BRANCH</t>
  </si>
  <si>
    <t>ISLAM TOWER, 69 CDA AVENUE, ASIAN HIGHWAY, MURADPUR, PANCHLAISH, CHITTAGONG</t>
  </si>
  <si>
    <t>031 657966, 651188, 019 65881111, 015 11881111</t>
  </si>
  <si>
    <t>015155803</t>
  </si>
  <si>
    <t>OR NIZAM ROAD BRANCH</t>
  </si>
  <si>
    <t>OR_NIZAM_ROAD_BRANCH</t>
  </si>
  <si>
    <t>580</t>
  </si>
  <si>
    <t>ALARBDDH087</t>
  </si>
  <si>
    <t>943 OR NIZAM ROAD (GEC CIRCLE), NASIRABAD, CHITTAGONG</t>
  </si>
  <si>
    <t>031 656567-8, 2557770, 018 19345030</t>
  </si>
  <si>
    <t>015150237</t>
  </si>
  <si>
    <t>PADUA BAZAR BRANCH</t>
  </si>
  <si>
    <t>PADUA_BAZAR_BRANCH</t>
  </si>
  <si>
    <t>SEVEN STAR SHOPPING COMPLEX, PADUA BAZAR, LOHAGARA, CHITTAGONG</t>
  </si>
  <si>
    <t>018 33175500</t>
  </si>
  <si>
    <t>015156136</t>
  </si>
  <si>
    <t>613</t>
  </si>
  <si>
    <t>POTHERHAT, NOAPARA, RAUZAN, CHITTAGONG 4346</t>
  </si>
  <si>
    <t>031 2572571-2, 018 17058797, 018 11424739</t>
  </si>
  <si>
    <t>015157306</t>
  </si>
  <si>
    <t>SHIBERHAT BRANCH</t>
  </si>
  <si>
    <t>SHIBERHAT_BRANCH</t>
  </si>
  <si>
    <t>IDRIS COMPLEX, SHIBERHAT, SANDWIP, CHITTAGONG</t>
  </si>
  <si>
    <t>018 47114428, 017 96399377, 017 18357947</t>
  </si>
  <si>
    <t>015157519</t>
  </si>
  <si>
    <t>HOTEL SUBHAN, 108 STATION ROAD, REAZ UDDIN BAZAR, CHITTAGONG</t>
  </si>
  <si>
    <t>031 632812-3, 632810, 019 12103029, 018 11418211</t>
  </si>
  <si>
    <t>015190497</t>
  </si>
  <si>
    <t>BARURA BRANCH</t>
  </si>
  <si>
    <t>BARURA_BRANCH</t>
  </si>
  <si>
    <t>MADINA MARKET, HOSPITAL ROAD, BARURA, COMILLA</t>
  </si>
  <si>
    <t>08027 52305-6, 018 47054695, 019 31787241</t>
  </si>
  <si>
    <t>015191159</t>
  </si>
  <si>
    <t>HAJI MANSION, MONOHARPUR, KOTWALI, COMILLA 3500</t>
  </si>
  <si>
    <t>081 64546, 64647, 017 11431174</t>
  </si>
  <si>
    <t>015191425</t>
  </si>
  <si>
    <t>COMPANIGANJ BRANCH</t>
  </si>
  <si>
    <t>COMPANIGANJ_BRANCH</t>
  </si>
  <si>
    <t>COMPANIGANJ BAZAR, MURADNAGAR, COMILLA 3542</t>
  </si>
  <si>
    <t>080 2659076, 017 12235569</t>
  </si>
  <si>
    <t>015192024</t>
  </si>
  <si>
    <t>GALLAI BRANCH</t>
  </si>
  <si>
    <t>GALLAI_BRANCH</t>
  </si>
  <si>
    <t>ABEDA NUR FOUNDATION COMPLEX, GALLAI, CHANDINA, COMILLA</t>
  </si>
  <si>
    <t>017 15219672</t>
  </si>
  <si>
    <t>015192116</t>
  </si>
  <si>
    <t>GOURIPUR BRANCH</t>
  </si>
  <si>
    <t>GOURIPUR_BRANCH</t>
  </si>
  <si>
    <t>MA COMPLEX, GOURIPUR BAZAR, DAUDKANDI, COMILLA</t>
  </si>
  <si>
    <t>018 11418206, 017 91575766</t>
  </si>
  <si>
    <t>NANGALKOT BRANCH</t>
  </si>
  <si>
    <t>NANGALKOT_BRANCH</t>
  </si>
  <si>
    <t>NANGALKOT BAZAR, NANGALKOT, COMILLA</t>
  </si>
  <si>
    <t>017 12796757</t>
  </si>
  <si>
    <t>015220259</t>
  </si>
  <si>
    <t>015260051</t>
  </si>
  <si>
    <t>ABDULLAHPUR SME BRANCH</t>
  </si>
  <si>
    <t>ABDULLAHPUR_SME_BRANCH</t>
  </si>
  <si>
    <t>MINNAT PLAZA, ABDULLAHPUR BAZAR, ABDULLAHPUR, KERANIGANJ, DHAKA 1311</t>
  </si>
  <si>
    <t>017 13810082, 017 11135672</t>
  </si>
  <si>
    <t>015270346</t>
  </si>
  <si>
    <t>ATIBAZAR BRANCH</t>
  </si>
  <si>
    <t>ATIBAZAR_BRANCH</t>
  </si>
  <si>
    <t>MANIK PLAZA, ATI BAZAR, KERANIGANJ, DHAKA 1312</t>
  </si>
  <si>
    <t>02 7769168, 7769169, 018 33330274</t>
  </si>
  <si>
    <t>015260435</t>
  </si>
  <si>
    <t>ALARBDDH079</t>
  </si>
  <si>
    <t>TOWER HAMLET, 16 KAMAL ATATURK AVENUE, BANANI, DHAKA 1213</t>
  </si>
  <si>
    <t>02 9822250, 9822354, 018 19255587</t>
  </si>
  <si>
    <t>015260914</t>
  </si>
  <si>
    <t>DAKSHIN KHAN BRANCH</t>
  </si>
  <si>
    <t>DAKSHIN_KHAN_BRANCH</t>
  </si>
  <si>
    <t>LK PLAZA, DAKSHIN KHAN, DHAKA 1230</t>
  </si>
  <si>
    <t>02 8999042, 8999562, 019 72582013</t>
  </si>
  <si>
    <t>015261184</t>
  </si>
  <si>
    <t>ALARBDDH084</t>
  </si>
  <si>
    <t>AHMED TOWER, HOUSE 54/1, ROAD 4/A, SATMASJID ROAD, DHANMOINDI R/A, DHAKA 1209</t>
  </si>
  <si>
    <t>02 8610913, 8652930, 018 19255906</t>
  </si>
  <si>
    <t>015271903</t>
  </si>
  <si>
    <t>DILKUSHA BRANCH</t>
  </si>
  <si>
    <t>DILKUSHA_BRANCH</t>
  </si>
  <si>
    <t>ALARBDDH080</t>
  </si>
  <si>
    <t>MIAH AMANULLAH BHABAN, 63 DILKUSHA C/A, DHAKA 1000</t>
  </si>
  <si>
    <t>02 9559063, 9570000, 018 19244902</t>
  </si>
  <si>
    <t>015261726</t>
  </si>
  <si>
    <t>ALARBDDH086</t>
  </si>
  <si>
    <t>HOSNA CENTER, 106 GULSHAN AVENUE, DHAKA 1212</t>
  </si>
  <si>
    <t>02 9863236, 8835020, 018 19559199, 017 15499229</t>
  </si>
  <si>
    <t>015261968</t>
  </si>
  <si>
    <t>HAZARIBAGH BRANCH</t>
  </si>
  <si>
    <t>HAZARIBAGH_BRANCH</t>
  </si>
  <si>
    <t>149 HAZARIBAGH BAZAR, DHAKA 1209</t>
  </si>
  <si>
    <t>02 9611758-9, 9614475, 018 19157536</t>
  </si>
  <si>
    <t>015262059</t>
  </si>
  <si>
    <t>HEMAYETPUR BRANCH</t>
  </si>
  <si>
    <t>HEMAYETPUR_BRANCH</t>
  </si>
  <si>
    <t>ASHA PLAZA, HEMAYETPUR BUS STAND, SAVAR, DHAKA</t>
  </si>
  <si>
    <t>02 7746784, 019 11398935, 018 25928909</t>
  </si>
  <si>
    <t>015272986</t>
  </si>
  <si>
    <t>ROWSHAN PLAZA, 29-31 ISLAMPUR ROAD, DHAKA 1100</t>
  </si>
  <si>
    <t>02 7393800, 7393754, 018 11487867</t>
  </si>
  <si>
    <t>015273222</t>
  </si>
  <si>
    <t>ALARBDDH083</t>
  </si>
  <si>
    <t>6 SHAHID FARUQ ROAD, WEST JATRABARI, DHAKA 1204</t>
  </si>
  <si>
    <t>02 7554510 ,7554477, 7546055</t>
  </si>
  <si>
    <t>015273585</t>
  </si>
  <si>
    <t>HAZI KAMAL SUPER MARKET, RASULPUR MAIN ROAD, KAMRANGIRCHAR, DHAKA 1211</t>
  </si>
  <si>
    <t>02 9614458, 018 15451189, 018 11448052</t>
  </si>
  <si>
    <t>015262538</t>
  </si>
  <si>
    <t>99 KAZI NAZRUL ISLAM AVENUE, TEJGAON, DHAKA</t>
  </si>
  <si>
    <t>02 9135309, 9135345, 017 66677618, 019 37268577</t>
  </si>
  <si>
    <t>015260093</t>
  </si>
  <si>
    <t>KATHGORA BAZAR BRANCH</t>
  </si>
  <si>
    <t>KATHGORA_BAZAR_BRANCH</t>
  </si>
  <si>
    <t>SARKER PLAZA, DEWAN IDRIS ROAD, KATHGORA BAZAR, ASHULIA, DHAKA 1341</t>
  </si>
  <si>
    <t>02 7792573-4, 017 11111292</t>
  </si>
  <si>
    <t>015273648</t>
  </si>
  <si>
    <t>KERANIGANJ BRANCH</t>
  </si>
  <si>
    <t>KERANIGANJ_BRANCH</t>
  </si>
  <si>
    <t>HARIDIA SHOPPING COMPLEX, KADAMTALI, KERANIGANJ, DHAKA 1310</t>
  </si>
  <si>
    <t>02 7763100, 7763099, 018 11487862</t>
  </si>
  <si>
    <t>015260743</t>
  </si>
  <si>
    <t>KHILKHET BRANCH</t>
  </si>
  <si>
    <t>KHILKHET_BRANCH</t>
  </si>
  <si>
    <t>074</t>
  </si>
  <si>
    <t>B-34/KA KHILKHET SUPER MARKET, KHILKHET, DHAKA 1229</t>
  </si>
  <si>
    <t>02 8954860, 018 11483199</t>
  </si>
  <si>
    <t>015271495</t>
  </si>
  <si>
    <t>KOLATIA SME BRANCH</t>
  </si>
  <si>
    <t>KOLATIA_SME_BRANCH</t>
  </si>
  <si>
    <t>KABIR PLAZA, KALATIA BAZAR, KERANIGANJ, DHAKA</t>
  </si>
  <si>
    <t>02 7769157, 017 60938299, 018 17112883</t>
  </si>
  <si>
    <t>015273743</t>
  </si>
  <si>
    <t>KONAPARA BRANCH</t>
  </si>
  <si>
    <t>KONAPARA_BRANCH</t>
  </si>
  <si>
    <t>374</t>
  </si>
  <si>
    <t>MATUAIL NEW MARKET, KONAPARA, DEMRA, DHAKA</t>
  </si>
  <si>
    <t>02 7559661, 7559663, 7559652</t>
  </si>
  <si>
    <t>015262875</t>
  </si>
  <si>
    <t>MANDA BRANCH</t>
  </si>
  <si>
    <t>MANDA_BRANCH</t>
  </si>
  <si>
    <t>287</t>
  </si>
  <si>
    <t>96 NORTH MANDA, SABUJBAGH, DHAKA 1214</t>
  </si>
  <si>
    <t>02 7277772, 7277388, 015 52490339, 018 11449493</t>
  </si>
  <si>
    <t>015263137</t>
  </si>
  <si>
    <t>MIRPUR 10 BRANCH</t>
  </si>
  <si>
    <t>MIRPUR_10_BRANCH</t>
  </si>
  <si>
    <t>27 DEWAN MANSION, MIRPUR 10, DHAKA 1216</t>
  </si>
  <si>
    <t>02 9011766, 9000453, 9000391, 018 11448055</t>
  </si>
  <si>
    <t>015262983</t>
  </si>
  <si>
    <t>APAN ANGINA, MIRPUR CITY CENTER, 3/4 DARUS-SALAM ROAD, MIRPUR 1, DHAKA 1216</t>
  </si>
  <si>
    <t>02 9010623, 018 19211459</t>
  </si>
  <si>
    <t>015263379</t>
  </si>
  <si>
    <t>MOHAMMADPUR KRISHI MARKET BRANCH</t>
  </si>
  <si>
    <t>MOHAMMADPUR_KRISHI_MARKET_BRANCH</t>
  </si>
  <si>
    <t>32/8(KA) TAJMAHAL ROAD, MOHAMMADPUR, DHAKA 1207</t>
  </si>
  <si>
    <t>02 9142732, 018 19255297</t>
  </si>
  <si>
    <t>015274247</t>
  </si>
  <si>
    <t>424</t>
  </si>
  <si>
    <t>ALARBDDH066</t>
  </si>
  <si>
    <t>RAHMAN MANSION, 161  MOTIJHEEL C/A, DHAKA 1000</t>
  </si>
  <si>
    <t>02 9569350, 9564190, 7121943, 7122075</t>
  </si>
  <si>
    <t>015271390</t>
  </si>
  <si>
    <t>MOTIJHEEL CORPORATE BRANCH</t>
  </si>
  <si>
    <t>MOTIJHEEL_CORPORATE_BRANCH</t>
  </si>
  <si>
    <t>ALARBDDH075</t>
  </si>
  <si>
    <t>125 MOTIJHEEL COMMERCIAL AREA, DHAKA 1000</t>
  </si>
  <si>
    <t>02 9570608, 9563884, 9563873, 017 66682398</t>
  </si>
  <si>
    <t>015274397</t>
  </si>
  <si>
    <t>76 DIT ROAD, MALIBAGH, DHAKA 1217</t>
  </si>
  <si>
    <t>02 9339006, 8322373, 018 17519387</t>
  </si>
  <si>
    <t>015274421</t>
  </si>
  <si>
    <t>ALARBDDH067</t>
  </si>
  <si>
    <t>AL-SHAHANI COMPLEX, 130 CHOWK MOGOLTULY, MOULVIBAZAR, DHAKA</t>
  </si>
  <si>
    <t>02 7311989, 7320201, 7313900, 018 19211828</t>
  </si>
  <si>
    <t>015274605</t>
  </si>
  <si>
    <t>NANDIPARA BRANCH</t>
  </si>
  <si>
    <t>NANDIPARA_BRANCH</t>
  </si>
  <si>
    <t>460</t>
  </si>
  <si>
    <t>AKKEL ALI SHOPING COMPLEX, NANDIPARA BAZAR, BASABO, DHAKA 1214</t>
  </si>
  <si>
    <t>02 7811053, 018 47054693</t>
  </si>
  <si>
    <t>015263429</t>
  </si>
  <si>
    <t>1206 SAMIR UDDIN MARKET, BHATARA ROAD, BHATARA, GULSHAN, DHAKA 1212</t>
  </si>
  <si>
    <t>02 8831156-7, 018 11487861</t>
  </si>
  <si>
    <t>015274726</t>
  </si>
  <si>
    <t>85/87 NAWABPUR ROAD, DHAKA 1100</t>
  </si>
  <si>
    <t>02 7110708, 7119494, 9589601</t>
  </si>
  <si>
    <t>015263490</t>
  </si>
  <si>
    <t>ALARBDDH081</t>
  </si>
  <si>
    <t>91 NEW ELEPHANT ROAD, DHAKA 1205</t>
  </si>
  <si>
    <t>02 9665323-4, 8620782, 9664133</t>
  </si>
  <si>
    <t>015275112</t>
  </si>
  <si>
    <t>ALARBDDH085</t>
  </si>
  <si>
    <t>96 SHAHID SAYED NAZRUL ISLAM SHARANI, BANGSHAL, DHAKA 1100</t>
  </si>
  <si>
    <t>02 7167682-3, 7161857, 018 19411415</t>
  </si>
  <si>
    <t>015263616</t>
  </si>
  <si>
    <t>FR TOWER, 8/C SHUKRABAD, PANTHAPATH, DHAKA 1207</t>
  </si>
  <si>
    <t>02 9138682, 018 33330271, 017 11330469</t>
  </si>
  <si>
    <t>015263708</t>
  </si>
  <si>
    <t>PRAGATI SARANI BRANCH</t>
  </si>
  <si>
    <t>PRAGATI_SARANI_BRANCH</t>
  </si>
  <si>
    <t>370</t>
  </si>
  <si>
    <t>GA-133/3 PROGATI SHARANI, MIDDLE BADDA, DHAKA 1212</t>
  </si>
  <si>
    <t>02 9863317, 9893857, 017 13204935</t>
  </si>
  <si>
    <t>015263911</t>
  </si>
  <si>
    <t>5/1 PASHCHIM CHOWDHURY PARA, RAMPURA, DHAKA 1217</t>
  </si>
  <si>
    <t>02 9311356, 9339179, 018 11454997</t>
  </si>
  <si>
    <t>015270054</t>
  </si>
  <si>
    <t>RUHITPUR BRANCH</t>
  </si>
  <si>
    <t>RUHITPUR_BRANCH</t>
  </si>
  <si>
    <t>RUHITPUR BAZAR, KARANIGANJ, DHAKA</t>
  </si>
  <si>
    <t>02 7766882-3, 019 20997483</t>
  </si>
  <si>
    <t>015264307</t>
  </si>
  <si>
    <t>3/1 RING ROAD, SHYAMOLI, DHAKA 1207</t>
  </si>
  <si>
    <t>02 9136517, 9136532, 9103604</t>
  </si>
  <si>
    <t>015260080</t>
  </si>
  <si>
    <t>SONARGAON JANAPATH ROAD BRANCH</t>
  </si>
  <si>
    <t>SONARGAON_JANAPATH_ROAD_BRANCH</t>
  </si>
  <si>
    <t>PLOT 30, SECTOR 11, SONARGAON JANAPATH ROAD, UTTARA, DHAKA 1230</t>
  </si>
  <si>
    <t>02 8991109, 7914470, 019 11711950</t>
  </si>
  <si>
    <t>015273248</t>
  </si>
  <si>
    <t>SOUTH JATRABARI BRANCH</t>
  </si>
  <si>
    <t>SOUTH_JATRABARI_BRANCH</t>
  </si>
  <si>
    <t>324</t>
  </si>
  <si>
    <t>YOUNUS MANSION, HOUSE 314-A/4, SOUTH JATRABARI, DHAKA 1204</t>
  </si>
  <si>
    <t>02 7545161, 017 52016968</t>
  </si>
  <si>
    <t>015264699</t>
  </si>
  <si>
    <t>ALARBDDH082</t>
  </si>
  <si>
    <t>HOUSE 13, ROAD 14/A, SECTOR 4, UTTARA MODEL TOWN, DHAKA 1230</t>
  </si>
  <si>
    <t>02 8916454, 8920583, 018 19261382</t>
  </si>
  <si>
    <t>015276858</t>
  </si>
  <si>
    <t>685</t>
  </si>
  <si>
    <t>ALARBDDH077</t>
  </si>
  <si>
    <t>RIDGE AHMED SQUARE, 50/1 INNER CIRCULAR ROAD, NAYA PALTAN, DHAKA 1000</t>
  </si>
  <si>
    <t>02 9353801, 9345871-2, 018 11409593</t>
  </si>
  <si>
    <t>015272681</t>
  </si>
  <si>
    <t>015270009</t>
  </si>
  <si>
    <t>015280673</t>
  </si>
  <si>
    <t>333 NIMTALA, KOTWALI, DINAJPUR</t>
  </si>
  <si>
    <t>0531 61865-6, 017 36233233, 017 15139798</t>
  </si>
  <si>
    <t>015300524</t>
  </si>
  <si>
    <t>33-34 SSK ROAD, FENI</t>
  </si>
  <si>
    <t>0331 63548-9, 018 11412291</t>
  </si>
  <si>
    <t>015330086</t>
  </si>
  <si>
    <t>BARMI BRANCH</t>
  </si>
  <si>
    <t>BARMI_BRANCH</t>
  </si>
  <si>
    <t>SHAHJAHAN FAKIR BHABAN, BARMI BAZAR, SREEPUR, GAZIPUR</t>
  </si>
  <si>
    <t>018 47054694, 017 12613211</t>
  </si>
  <si>
    <t>015330099</t>
  </si>
  <si>
    <t>FULBARI BRANCH</t>
  </si>
  <si>
    <t>FULBARI_BRANCH</t>
  </si>
  <si>
    <t>JOYNAL ABEDIN SARKER PLAZA, FULBARIA BAZAR, GAZIPUR</t>
  </si>
  <si>
    <t>018 47054692, 017 85980027</t>
  </si>
  <si>
    <t>015330523</t>
  </si>
  <si>
    <t>AL-RAZI TOWER, HOLDING K-280, BIDC ROAD, SHIBBARI MORE, GAZIPUR</t>
  </si>
  <si>
    <t>02 9261102, 9261140, 018 11448051, 017 10912314</t>
  </si>
  <si>
    <t>015330736</t>
  </si>
  <si>
    <t>JOYDEBPUR BRANCH</t>
  </si>
  <si>
    <t>JOYDEBPUR_BRANCH</t>
  </si>
  <si>
    <t>SHAPLA MANSION, CHANDANA CHOWRASTA, JOYDEBPUR, GAZIPUR</t>
  </si>
  <si>
    <t>02 9256196, 9262042, 018 19261297</t>
  </si>
  <si>
    <t>015330886</t>
  </si>
  <si>
    <t>KAPASIA BAZAR MAIN ROAD, KAPASIA, GAZIPUR</t>
  </si>
  <si>
    <t>0682 452393, 016 71973077</t>
  </si>
  <si>
    <t>015360898</t>
  </si>
  <si>
    <t>MADHABPUR SME BRANCH</t>
  </si>
  <si>
    <t>MADHABPUR_SME_BRANCH</t>
  </si>
  <si>
    <t>089</t>
  </si>
  <si>
    <t>265-349 MADHABPUR BAZAR, HABIGANJ 3330</t>
  </si>
  <si>
    <t>0832 756352-3, 019 26697968</t>
  </si>
  <si>
    <t>015410285</t>
  </si>
  <si>
    <t>PLOT 283-284, BENAPOLE BAZAR, SHARSHA, JESSORE</t>
  </si>
  <si>
    <t>0422 875686, 876036, 017 11431176</t>
  </si>
  <si>
    <t>015410948</t>
  </si>
  <si>
    <t>SHAFIULLAH COMPLEX, 27 MK ROAD, JESSORE</t>
  </si>
  <si>
    <t>0421 68571-2, 017 11431060</t>
  </si>
  <si>
    <t>015420312</t>
  </si>
  <si>
    <t>68 MONOHARI PATTI, JHALAKATI</t>
  </si>
  <si>
    <t>0498 62807-8, 017 54015565</t>
  </si>
  <si>
    <t>015470559</t>
  </si>
  <si>
    <t>CHUKNAGAR BAZAR, KHULNA ROAD, DUMURIA, KHULNA</t>
  </si>
  <si>
    <t>017 27043255, 017 12236127, 016 82300150</t>
  </si>
  <si>
    <t>015470883</t>
  </si>
  <si>
    <t>GALLAMARI BRANCH</t>
  </si>
  <si>
    <t>GALLAMARI_BRANCH</t>
  </si>
  <si>
    <t>RAISA CLINIC BHABAN, 219/1 SHER-E-BANGLA ROAD, GALLAMARI, KHULNA</t>
  </si>
  <si>
    <t>041 2832181, 017 10685025</t>
  </si>
  <si>
    <t>015471545</t>
  </si>
  <si>
    <t>ALARBDDH068</t>
  </si>
  <si>
    <t>A HOSSAIN PLAZA, 4 SIR IQBAL ROAD, KHULNA</t>
  </si>
  <si>
    <t>041 721249, 722499, 724410, 017 65063340</t>
  </si>
  <si>
    <t>015481243</t>
  </si>
  <si>
    <t>BHAIRAB BRANCH</t>
  </si>
  <si>
    <t>BHAIRAB_BRANCH</t>
  </si>
  <si>
    <t>74 KAPOR POTTY, BHAIRAB, KISHOREGANJ</t>
  </si>
  <si>
    <t>094 71178, 70774, 018 17032726</t>
  </si>
  <si>
    <t>015581422</t>
  </si>
  <si>
    <t>RUPOSHPUR BRANCH</t>
  </si>
  <si>
    <t>RUPOSHPUR_BRANCH</t>
  </si>
  <si>
    <t>PLOT 1450, CENTRAL ROAD, RUPOSHPUR, SREEMANGAL, MOULVIBAZAR</t>
  </si>
  <si>
    <t>0862 671242, 672007, 017 11431173</t>
  </si>
  <si>
    <t>015580281</t>
  </si>
  <si>
    <t>CENTRAL ROAD</t>
  </si>
  <si>
    <t>CENTRAL_ROAD</t>
  </si>
  <si>
    <t>015611750</t>
  </si>
  <si>
    <t>70 CHOTO BAZAR, MYMENSINGH</t>
  </si>
  <si>
    <t>091 66714, 019 12000458</t>
  </si>
  <si>
    <t>015641096</t>
  </si>
  <si>
    <t>MOHADEBPUR BRANCH</t>
  </si>
  <si>
    <t>MOHADEBPUR_BRANCH</t>
  </si>
  <si>
    <t>PLOT 425, MOHADEVPUR, NAOGAON</t>
  </si>
  <si>
    <t>0742 675136, 017 11425675</t>
  </si>
  <si>
    <t>015670175</t>
  </si>
  <si>
    <t>BANDAR SME BRANCH</t>
  </si>
  <si>
    <t>BANDAR_SME_BRANCH</t>
  </si>
  <si>
    <t>017</t>
  </si>
  <si>
    <t>555/1 WILSON ROAD, BANDAR BAZAR, BANDAR, NARAYANGANJ</t>
  </si>
  <si>
    <t>02 7661317-8, 018 26180327</t>
  </si>
  <si>
    <t>015671187</t>
  </si>
  <si>
    <t>DELWAR HOSSAIN MARKET, 71 BB ROAD, NARAYANGANJ 1400</t>
  </si>
  <si>
    <t>02 7645821, 018 19411430, 018 33355196</t>
  </si>
  <si>
    <t>015671224</t>
  </si>
  <si>
    <t>NAYAPUR BRANCH</t>
  </si>
  <si>
    <t>NAYAPUR_BRANCH</t>
  </si>
  <si>
    <t>NAYAPUR BAZAR, NARAYANGANJ</t>
  </si>
  <si>
    <t>018 11487863</t>
  </si>
  <si>
    <t>015671303</t>
  </si>
  <si>
    <t>ALLHAJ AFSER KARIM BHABAN, TALTOLA, PAGLA, FATULLAH, NARAYANGANJ</t>
  </si>
  <si>
    <t>02 7645822, 7645821, 018 19253591</t>
  </si>
  <si>
    <t>015681393</t>
  </si>
  <si>
    <t>BHELANAGAR BRANCH</t>
  </si>
  <si>
    <t>BHELANAGAR_BRANCH</t>
  </si>
  <si>
    <t>RAFIQUL ISLAM SHOPPING COMPLEX, JAILKHANAR MORE, BHELANAGAR, NARSINGDI</t>
  </si>
  <si>
    <t>094 52295, 019 11487868</t>
  </si>
  <si>
    <t>015680673</t>
  </si>
  <si>
    <t>691-694 MADHABDI BAZAR, NARSINGDI</t>
  </si>
  <si>
    <t>094 46005, 017 11613484, 018 11412196</t>
  </si>
  <si>
    <t>015680860</t>
  </si>
  <si>
    <t>PANCHDONA SME BRANCH</t>
  </si>
  <si>
    <t>PANCHDONA_SME_BRANCH</t>
  </si>
  <si>
    <t>086</t>
  </si>
  <si>
    <t>HIRA PLAZA, PANCHDONA CHOWRASTA MORE, NARSINGDI</t>
  </si>
  <si>
    <t>016 19556567</t>
  </si>
  <si>
    <t>015730794</t>
  </si>
  <si>
    <t>ALARBDDH078</t>
  </si>
  <si>
    <t>SHAHED DR ZIKRUL HOQUE ROAD, SAIDPUR, NILPHAMARI 5310</t>
  </si>
  <si>
    <t>0552 672804, 017 16236334</t>
  </si>
  <si>
    <t>015750266</t>
  </si>
  <si>
    <t>BASHURHAT SME BRANCH</t>
  </si>
  <si>
    <t>BASHURHAT_SME_BRANCH</t>
  </si>
  <si>
    <t>026</t>
  </si>
  <si>
    <t>34 MAIN ROAD, BASHURHAT, COMPANIGANJ, NOAKHALI</t>
  </si>
  <si>
    <t>0322 356070, 018 11448041</t>
  </si>
  <si>
    <t>015750679</t>
  </si>
  <si>
    <t>857-858 HAZIPUR, FENI ROAD, CHOWMUHANI, NOAKHALI</t>
  </si>
  <si>
    <t>0321 51000, 51150, 017 15033336</t>
  </si>
  <si>
    <t>015790134</t>
  </si>
  <si>
    <t>SALAH AL ZOBAYER MARKET, MOWLANA ABDUR RAB SARAK, KAPURIA POTTY, BHANDARIA, PIROJPUR</t>
  </si>
  <si>
    <t>0462 356469, 017 20545589</t>
  </si>
  <si>
    <t>015790521</t>
  </si>
  <si>
    <t>MOTHBARIA BRANCH</t>
  </si>
  <si>
    <t>MOTHBARIA_BRANCH</t>
  </si>
  <si>
    <t>HATEM ALI PLAZA, 407 KAPURIAPATTY, MOTHBARIA, PIROJPUR</t>
  </si>
  <si>
    <t>0462 575374, 017 51108816, 019 23319066</t>
  </si>
  <si>
    <t>015811934</t>
  </si>
  <si>
    <t>ALARBDDH073</t>
  </si>
  <si>
    <t>239,248 SHAHEB BAZAR, BOALIA, RAJSHAHI</t>
  </si>
  <si>
    <t>0721 775171, 775161, 017 27179771</t>
  </si>
  <si>
    <t>015850179</t>
  </si>
  <si>
    <t>BADARGANJ SME BRANCH</t>
  </si>
  <si>
    <t>BADARGANJ_SME_BRANCH</t>
  </si>
  <si>
    <t>UPAZILA ROAD, BADARGANJ, RANGPUR 5430</t>
  </si>
  <si>
    <t>0522 256573-4, 017 61730189</t>
  </si>
  <si>
    <t>015851457</t>
  </si>
  <si>
    <t>15 CENTRAL ROAD, PAYRACHATTAR, RANGPUR</t>
  </si>
  <si>
    <t>0521 55830-1, 017 73268000</t>
  </si>
  <si>
    <t>015871095</t>
  </si>
  <si>
    <t>S MAWLA PLAZA, 466 BORO BAZAR SARAK, SATKHIRA</t>
  </si>
  <si>
    <t>0471 63606, 65208, 017 12514660</t>
  </si>
  <si>
    <t>015910048</t>
  </si>
  <si>
    <t>AMBARKHANA BRANCH</t>
  </si>
  <si>
    <t>AMBARKHANA_BRANCH</t>
  </si>
  <si>
    <t>NABIBA COMPLEX, HOLDING 4877, AMBORKHANA, SYLHET</t>
  </si>
  <si>
    <t>0821 720352, 720742, 017 11312599</t>
  </si>
  <si>
    <t>015910314</t>
  </si>
  <si>
    <t>HOLDING 825, SOUTH BEANI BAZAR, SYLHET</t>
  </si>
  <si>
    <t>0822 356114-5, 017 13409987</t>
  </si>
  <si>
    <t>015912509</t>
  </si>
  <si>
    <t>ALARBDDH070</t>
  </si>
  <si>
    <t>REASORT TOWER, 1795 LALDIGHIRPAR, SYLHET</t>
  </si>
  <si>
    <t>0821 710809, 710265, 720077</t>
  </si>
  <si>
    <t>015914152</t>
  </si>
  <si>
    <t>JALALABAD HOUSE, ZINDABAZAR MAIN ROAD, SYLHET 3100</t>
  </si>
  <si>
    <t>0821 722078-9, 017 11431175, 015 54337382</t>
  </si>
  <si>
    <t>BANGLADESH_BANK</t>
  </si>
  <si>
    <t>BANGLADESH BANK</t>
  </si>
  <si>
    <t>BARISHAL</t>
  </si>
  <si>
    <t>025068885</t>
  </si>
  <si>
    <t>BARISAL BUREAU</t>
  </si>
  <si>
    <t>BARISAL_BUREAU</t>
  </si>
  <si>
    <t>888</t>
  </si>
  <si>
    <t>025060009</t>
  </si>
  <si>
    <t>BARISAL CLEARING HOUSE</t>
  </si>
  <si>
    <t>BARISAL_CLEARING_HOUSE</t>
  </si>
  <si>
    <t>025061116</t>
  </si>
  <si>
    <t>BARISAL DAB</t>
  </si>
  <si>
    <t>BARISAL_DAB</t>
  </si>
  <si>
    <t>111</t>
  </si>
  <si>
    <t>025062223</t>
  </si>
  <si>
    <t>BARISAL PAD</t>
  </si>
  <si>
    <t>BARISAL_PAD</t>
  </si>
  <si>
    <t>222</t>
  </si>
  <si>
    <t>025108882</t>
  </si>
  <si>
    <t>BOGRA BUREAU</t>
  </si>
  <si>
    <t>BOGRA_BUREAU</t>
  </si>
  <si>
    <t>025100006</t>
  </si>
  <si>
    <t>BOGRA CLEARING HOUSE</t>
  </si>
  <si>
    <t>BOGRA_CLEARING_HOUSE</t>
  </si>
  <si>
    <t>025101113</t>
  </si>
  <si>
    <t>BOGRA DAB</t>
  </si>
  <si>
    <t>BOGRA_DAB</t>
  </si>
  <si>
    <t>025102220</t>
  </si>
  <si>
    <t>BOGRA PAD</t>
  </si>
  <si>
    <t>BOGRA_PAD</t>
  </si>
  <si>
    <t>025158887</t>
  </si>
  <si>
    <t>CHITTAGONG BUREAU</t>
  </si>
  <si>
    <t>CHITTAGONG_BUREAU</t>
  </si>
  <si>
    <t>025150001</t>
  </si>
  <si>
    <t>CHITTAGONG CLEARING HOUSE</t>
  </si>
  <si>
    <t>CHITTAGONG_CLEARING_HOUSE</t>
  </si>
  <si>
    <t>025151118</t>
  </si>
  <si>
    <t>CHITTAGONG DAB</t>
  </si>
  <si>
    <t>CHITTAGONG_DAB</t>
  </si>
  <si>
    <t>025152225</t>
  </si>
  <si>
    <t>CHITTAGONG PAD</t>
  </si>
  <si>
    <t>CHITTAGONG_PAD</t>
  </si>
  <si>
    <t>025270002</t>
  </si>
  <si>
    <t>DHAKA CLEARING HOUSE</t>
  </si>
  <si>
    <t>DHAKA_CLEARING_HOUSE</t>
  </si>
  <si>
    <t>025272684</t>
  </si>
  <si>
    <t>025279995</t>
  </si>
  <si>
    <t>MIRPUR BUREAU</t>
  </si>
  <si>
    <t>MIRPUR_BUREAU</t>
  </si>
  <si>
    <t>999</t>
  </si>
  <si>
    <t>025278888</t>
  </si>
  <si>
    <t>MOTIJHEEL BUREAU</t>
  </si>
  <si>
    <t>MOTIJHEEL_BUREAU</t>
  </si>
  <si>
    <t>025271119</t>
  </si>
  <si>
    <t>MOTIJHEEL DAB</t>
  </si>
  <si>
    <t>MOTIJHEEL_DAB</t>
  </si>
  <si>
    <t>025272226</t>
  </si>
  <si>
    <t>MOTIJHEEL PAD</t>
  </si>
  <si>
    <t>MOTIJHEEL_PAD</t>
  </si>
  <si>
    <t>025275928</t>
  </si>
  <si>
    <t>SADARGHAT</t>
  </si>
  <si>
    <t>025478888</t>
  </si>
  <si>
    <t>KHULNA BUREAU</t>
  </si>
  <si>
    <t>KHULNA_BUREAU</t>
  </si>
  <si>
    <t>025470002</t>
  </si>
  <si>
    <t>KHULNA CLEARING HOUSE</t>
  </si>
  <si>
    <t>KHULNA_CLEARING_HOUSE</t>
  </si>
  <si>
    <t>025471119</t>
  </si>
  <si>
    <t>KHULNA DAB</t>
  </si>
  <si>
    <t>KHULNA_DAB</t>
  </si>
  <si>
    <t>025472226</t>
  </si>
  <si>
    <t>KHULNA PAD</t>
  </si>
  <si>
    <t>KHULNA_PAD</t>
  </si>
  <si>
    <t>025819997</t>
  </si>
  <si>
    <t>RAJSHAHI BUREAU</t>
  </si>
  <si>
    <t>RAJSHAHI_BUREAU</t>
  </si>
  <si>
    <t>025810004</t>
  </si>
  <si>
    <t>RAJSHAHI CLEARING HOUSE</t>
  </si>
  <si>
    <t>RAJSHAHI_CLEARING_HOUSE</t>
  </si>
  <si>
    <t>025811111</t>
  </si>
  <si>
    <t>RAJSHAHI DAB</t>
  </si>
  <si>
    <t>RAJSHAHI_DAB</t>
  </si>
  <si>
    <t>025812228</t>
  </si>
  <si>
    <t>RAJSHAHI PAD</t>
  </si>
  <si>
    <t>RAJSHAHI_PAD</t>
  </si>
  <si>
    <t>025858882</t>
  </si>
  <si>
    <t>RANGPUR BUREAU</t>
  </si>
  <si>
    <t>RANGPUR_BUREAU</t>
  </si>
  <si>
    <t>025850006</t>
  </si>
  <si>
    <t>RANGPUR CLEARING HOUSE</t>
  </si>
  <si>
    <t>RANGPUR_CLEARING_HOUSE</t>
  </si>
  <si>
    <t>025851113</t>
  </si>
  <si>
    <t>RANGPUR DAB</t>
  </si>
  <si>
    <t>RANGPUR_DAB</t>
  </si>
  <si>
    <t>025852220</t>
  </si>
  <si>
    <t>RANGPUR PAD</t>
  </si>
  <si>
    <t>RANGPUR_PAD</t>
  </si>
  <si>
    <t>025918885</t>
  </si>
  <si>
    <t>SYLHET BUREAU</t>
  </si>
  <si>
    <t>SYLHET_BUREAU</t>
  </si>
  <si>
    <t>025910009</t>
  </si>
  <si>
    <t>SYLHET CLEARING HOUSE</t>
  </si>
  <si>
    <t>SYLHET_CLEARING_HOUSE</t>
  </si>
  <si>
    <t>025911116</t>
  </si>
  <si>
    <t>SYLHET DAB</t>
  </si>
  <si>
    <t>SYLHET_DAB</t>
  </si>
  <si>
    <t>025912223</t>
  </si>
  <si>
    <t>SYLHET PAD</t>
  </si>
  <si>
    <t>SYLHET_PAD</t>
  </si>
  <si>
    <t>BANGLADESH_COMMERCE_BANK_LIMITED</t>
  </si>
  <si>
    <t>030</t>
  </si>
  <si>
    <t>BANGLADESH COMMERCE BANK LIMITED</t>
  </si>
  <si>
    <t>030100370</t>
  </si>
  <si>
    <t>BCBLBDDH</t>
  </si>
  <si>
    <t>99/1-B  BOROGOLA, BOGRA 5800</t>
  </si>
  <si>
    <t>096 13228001, 051 65441</t>
  </si>
  <si>
    <t>030150133</t>
  </si>
  <si>
    <t>BCBLBDDH014</t>
  </si>
  <si>
    <t>JIBON BIMA BHABAN, 56 AGRABAD C/A, CHITTAGONG</t>
  </si>
  <si>
    <t>096 13226001, 031 717974, 717973</t>
  </si>
  <si>
    <t>030151758</t>
  </si>
  <si>
    <t>68 RAJAKHALI ROAD, NEW CHAKTAI, CHITTAGONG 4000</t>
  </si>
  <si>
    <t>096 13222201, 031 2867575</t>
  </si>
  <si>
    <t>030152449</t>
  </si>
  <si>
    <t>AHMED MANSION, 1128 SHEIKH MUJIB ROAD, DEWANHAT, CHITTAGONG</t>
  </si>
  <si>
    <t>096 13221201, 031 2513622</t>
  </si>
  <si>
    <t>030153648</t>
  </si>
  <si>
    <t>BCBLBDDH020</t>
  </si>
  <si>
    <t>IMAM GAZZALI MARKET, 30 JUBLEE ROAD, CHITTAGONG</t>
  </si>
  <si>
    <t>096 13221901, 031 627837</t>
  </si>
  <si>
    <t>030154276</t>
  </si>
  <si>
    <t>SW TOWER, 304 LAMA BAZAR, KOTWALI, KHATUNGANJ, CHITTAGONG</t>
  </si>
  <si>
    <t>096 13222301, 031 2864559</t>
  </si>
  <si>
    <t>030155325</t>
  </si>
  <si>
    <t>HOUSE 73/74, WARD 7, CDA AVENUE, MURADPUR, CHITTAGONG</t>
  </si>
  <si>
    <t>096 13223096, 031 655982, 656154</t>
  </si>
  <si>
    <t>030191363</t>
  </si>
  <si>
    <t>35/32 ZILLA SCHOOL ROAD, KANDIRPAR, COMILLA</t>
  </si>
  <si>
    <t>096 13222601, 081 69951</t>
  </si>
  <si>
    <t>030190272</t>
  </si>
  <si>
    <t>KANGSHANAGAR BAZAR BRANCH</t>
  </si>
  <si>
    <t>KANGSHANAGAR_BAZAR_BRANCH</t>
  </si>
  <si>
    <t>KANGSHANAGAR BAZAR, BURICHANG, COMILLA 3520</t>
  </si>
  <si>
    <t>096 13224501-2</t>
  </si>
  <si>
    <t>030270642</t>
  </si>
  <si>
    <t>PURATON BANDURA, NAWABGANJ, DHAKA</t>
  </si>
  <si>
    <t>096 13223301, 017 55592397</t>
  </si>
  <si>
    <t>030270826</t>
  </si>
  <si>
    <t>BANGLABAZAR BRANCH</t>
  </si>
  <si>
    <t>BANGLABAZAR_BRANCH</t>
  </si>
  <si>
    <t>52 NORTH BROOK HALL ROAD, BANGLABAZAR, DHAKA 1100</t>
  </si>
  <si>
    <t>096 13221301, 02 7122227</t>
  </si>
  <si>
    <t>030270884</t>
  </si>
  <si>
    <t>BANGSHAL BRANCH</t>
  </si>
  <si>
    <t>BANGSHAL_BRANCH</t>
  </si>
  <si>
    <t>BCBLBDDH015</t>
  </si>
  <si>
    <t>141 LUTFOR RAHMAN LANE, NORTH SOUTHROAD, BANGSHAL, DHAKA 1100</t>
  </si>
  <si>
    <t>096 13221501, 02 9580624</t>
  </si>
  <si>
    <t>030271096</t>
  </si>
  <si>
    <t>BIJOYNAGAR BRANCH</t>
  </si>
  <si>
    <t>BIJOYNAGAR_BRANCH</t>
  </si>
  <si>
    <t>AL-RAJI COMPLEX, 166/167 SHAHID SYED NAZRUL ISLAM SARANI, BIJOYNAGAR, DHAKA</t>
  </si>
  <si>
    <t>096 13223101, 02 7115625</t>
  </si>
  <si>
    <t>030261156</t>
  </si>
  <si>
    <t>KEYETPARA, DHAMRAI BAZAR, DHAKA</t>
  </si>
  <si>
    <t>096 13228139, 02 7730237</t>
  </si>
  <si>
    <t>030271841</t>
  </si>
  <si>
    <t>DHOLAIKHAL BRANCH</t>
  </si>
  <si>
    <t>DHOLAIKHAL_BRANCH</t>
  </si>
  <si>
    <t>23 GOAL GHAT LANE, WARI, DHOLAIKHAL, DHAKA 1100</t>
  </si>
  <si>
    <t>096 13221196, 02 9560344</t>
  </si>
  <si>
    <t>030271904</t>
  </si>
  <si>
    <t>BCBLBDDH019</t>
  </si>
  <si>
    <t>BOLIADI MANSION, 16 DILKUSHA C/A, DHAKA 1000</t>
  </si>
  <si>
    <t>096 13225001, 02 9578578, 9570105</t>
  </si>
  <si>
    <t>030272329</t>
  </si>
  <si>
    <t>SURMA TOWER, 59/2 PURANA PALTAN, DHAKA 1000</t>
  </si>
  <si>
    <t>096 13223601, 02 9573467, 9573468</t>
  </si>
  <si>
    <t>030261693</t>
  </si>
  <si>
    <t>HOSSAIN TOWER, 75 GREEN ROAD, FARMGATE, DHAKA</t>
  </si>
  <si>
    <t>096 13221401, 02 8154664</t>
  </si>
  <si>
    <t>030261727</t>
  </si>
  <si>
    <t>BCBLBDDH018</t>
  </si>
  <si>
    <t>LANDVIEW COMMERCIAL COMPLEX, 28 GULSHAN NORTH C/A, GULSHAN CIRCLE 2, DHAKA 1212</t>
  </si>
  <si>
    <t>096 13227001, 02 8881045, 9854019</t>
  </si>
  <si>
    <t>030260094</t>
  </si>
  <si>
    <t>HAZI NUJOMUDDIN SUPER MARKET, KATHGORA BAZAR, JIRABO, ASHULIA, DHAKA</t>
  </si>
  <si>
    <t>096 13220000, 02 7792634</t>
  </si>
  <si>
    <t>030273678</t>
  </si>
  <si>
    <t>KHILGAON BRANCH</t>
  </si>
  <si>
    <t>KHILGAON_BRANCH</t>
  </si>
  <si>
    <t>367</t>
  </si>
  <si>
    <t>NAHAR TOWER, PLOT 290/3, BLOCK A, RAILGATE, KHILGAON, DHAKA 1219</t>
  </si>
  <si>
    <t>096 13222501, 02 7213779</t>
  </si>
  <si>
    <t>030270189</t>
  </si>
  <si>
    <t>MERAJNAGAR BRANCH</t>
  </si>
  <si>
    <t>MERAJNAGAR_BRANCH</t>
  </si>
  <si>
    <t>MERAJNAGAR SUPPER MARKET, SHAYMPUR, KADOMTOLI, DHAKA 1362</t>
  </si>
  <si>
    <t>016 70878940</t>
  </si>
  <si>
    <t>030262984</t>
  </si>
  <si>
    <t>PLOT 2, AVENUE 6, SECTION 1, MIRPUR, DHAKA 1216</t>
  </si>
  <si>
    <t>096 13222101, 02 9020274</t>
  </si>
  <si>
    <t>030274369</t>
  </si>
  <si>
    <t>MARUF MARKET, 238/1 OUTER CIRCULAR ROAD, MALIBAGH, DHAKA 1217</t>
  </si>
  <si>
    <t>096 13223001, 02 8311113</t>
  </si>
  <si>
    <t>030274422</t>
  </si>
  <si>
    <t>BCBLBDDH017</t>
  </si>
  <si>
    <t>40 IMAMGANJ, MOULVIBAZAR, DHAKA 1100</t>
  </si>
  <si>
    <t>096 13222096, 02 7343769</t>
  </si>
  <si>
    <t>030263709</t>
  </si>
  <si>
    <t>ZAKIR COMPLEX, KA/218 PRAGATI SARANI, KURIL CHOWRASTA, DHAKA</t>
  </si>
  <si>
    <t>096 13224096, 096 13224097, 02 8417359</t>
  </si>
  <si>
    <t>030275355</t>
  </si>
  <si>
    <t>BCBLBDDH013</t>
  </si>
  <si>
    <t>TARANGA COMPLEX, 19 RAJUK AVENUE, MOTIJHEEL C/A, DHAKA 1000</t>
  </si>
  <si>
    <t>096 13222001, 02 7112069, 9559831</t>
  </si>
  <si>
    <t>030264090</t>
  </si>
  <si>
    <t>ISLAM PLAZA, 63/14 BAZAR ROAD, SAVAR, DHAKA</t>
  </si>
  <si>
    <t>096 13223801, 02 7742151</t>
  </si>
  <si>
    <t>030264632</t>
  </si>
  <si>
    <t>HOUSE 37, SECTOR 07, SONARGAON JANAPATH ROAD, UTTARA, DHAKA 1230</t>
  </si>
  <si>
    <t>096 13222801, 02 8921555</t>
  </si>
  <si>
    <t>030262326</t>
  </si>
  <si>
    <t>ZIGATOLA BRANCH</t>
  </si>
  <si>
    <t>ZIGATOLA_BRANCH</t>
  </si>
  <si>
    <t>25/1 ZIGATOLA, DHAKA 1209</t>
  </si>
  <si>
    <t>096 13221601, 02 9668558</t>
  </si>
  <si>
    <t>030270000</t>
  </si>
  <si>
    <t>030470705</t>
  </si>
  <si>
    <t>727 JESSORE ROAD, DAULATPUR, KHULNA 9202</t>
  </si>
  <si>
    <t>096 13221701, 041 761604</t>
  </si>
  <si>
    <t>030471546</t>
  </si>
  <si>
    <t>141 SIR IQBAL ROAD, KHULNA 9100</t>
  </si>
  <si>
    <t>096 13224001, 041 732595, 2830144</t>
  </si>
  <si>
    <t>030471304</t>
  </si>
  <si>
    <t>KOPILMUNI BAZAR BRANCH</t>
  </si>
  <si>
    <t>KOPILMUNI_BAZAR_BRANCH</t>
  </si>
  <si>
    <t>SOROJINI BANIJJO BIPONI MARKET, KOPIL MUNI SOHACHORI VIDDA MONDIR, PAIKGACHA, KHULNA</t>
  </si>
  <si>
    <t>096 13224101, 017 55653280-1</t>
  </si>
  <si>
    <t>030641189</t>
  </si>
  <si>
    <t>KADER MANSON, MAIN ROAD, NAOGAON</t>
  </si>
  <si>
    <t>096 13221801, 0741 8118</t>
  </si>
  <si>
    <t>030671696</t>
  </si>
  <si>
    <t>BCBLBDDH016</t>
  </si>
  <si>
    <t>SALINA PLAZA, MOGRAPARA, SONARGAON, NARAYANGANG</t>
  </si>
  <si>
    <t>096 13224801-3, 018 19310777, 02 7656033</t>
  </si>
  <si>
    <t>030671759</t>
  </si>
  <si>
    <t>ISLAM SUPER MARKET, 18 RK MITRA ROAD, NIMTOLA, NARAYANGANJ 1400</t>
  </si>
  <si>
    <t>02 7640321, 7644750</t>
  </si>
  <si>
    <t>030913554</t>
  </si>
  <si>
    <t>SYLHET BRANCH</t>
  </si>
  <si>
    <t>SYLHET_BRANCH</t>
  </si>
  <si>
    <t>355</t>
  </si>
  <si>
    <t>GELLARIYA SHOPPING &amp;amp; APPARTMENT COMPLEX, WEST ZINDA BAZAR, JALLARPAR ROAD, SYLHET</t>
  </si>
  <si>
    <t>096 13221096, 0821 723210</t>
  </si>
  <si>
    <t>BANGLADESH_DEVELOPMENT_BANK_LIMITED</t>
  </si>
  <si>
    <t>047</t>
  </si>
  <si>
    <t>BANGLADESH DEVELOPMENT BANK LIMITED</t>
  </si>
  <si>
    <t>047060287</t>
  </si>
  <si>
    <t>028 / 028</t>
  </si>
  <si>
    <t>BDDBBDDH</t>
  </si>
  <si>
    <t>ABDUR RAHMAN BHUIYAN &amp;amp; SONS (ARBS) BHABAN, 41 CHAWKBAZAR, BARISAL</t>
  </si>
  <si>
    <t>0431 64456</t>
  </si>
  <si>
    <t>047100376</t>
  </si>
  <si>
    <t>037 / 037</t>
  </si>
  <si>
    <t>KHAN PLAZA, CHAKJADU ROAD, BADURTALA, BOGRA</t>
  </si>
  <si>
    <t>051 66154</t>
  </si>
  <si>
    <t>047101933</t>
  </si>
  <si>
    <t>MOKAMTALA BRANCH</t>
  </si>
  <si>
    <t>MOKAMTALA_BRANCH</t>
  </si>
  <si>
    <t>193 / 193</t>
  </si>
  <si>
    <t>RASHIDA MARKET, MOKAMTALA BAZAR, SHIBGANJ, BOGRA</t>
  </si>
  <si>
    <t>017 55618955</t>
  </si>
  <si>
    <t>047151967</t>
  </si>
  <si>
    <t>196 / 196</t>
  </si>
  <si>
    <t>BDDBBDDHAGB</t>
  </si>
  <si>
    <t>BDBL BHABAN, 106 AGRABAD, C/A, CHITTAGONG</t>
  </si>
  <si>
    <t>031 716178, 724162</t>
  </si>
  <si>
    <t>047154272</t>
  </si>
  <si>
    <t>427 / 427</t>
  </si>
  <si>
    <t>6 RAMJOY MAHAJAN LANE, ASADGANG, KHATUNGANG, CHITTAGONG</t>
  </si>
  <si>
    <t>031 618547</t>
  </si>
  <si>
    <t>047191156</t>
  </si>
  <si>
    <t>115 / 115</t>
  </si>
  <si>
    <t>SAMABAY BANK BHABAN, KANDIRPAR, COMMILLA</t>
  </si>
  <si>
    <t>081 76191</t>
  </si>
  <si>
    <t>047260229</t>
  </si>
  <si>
    <t>ASHULIA BRANCH</t>
  </si>
  <si>
    <t>ASHULIA_BRANCH</t>
  </si>
  <si>
    <t>022 / 022</t>
  </si>
  <si>
    <t>THREE STAR SUPER MARKET, JAMGORA, DIAKHALI, ASHULIA, DHAKA</t>
  </si>
  <si>
    <t>02 7789156</t>
  </si>
  <si>
    <t>047261336</t>
  </si>
  <si>
    <t>133 / 133</t>
  </si>
  <si>
    <t>299 ELEPHANT ROAD, DHAKA</t>
  </si>
  <si>
    <t>02 9675282</t>
  </si>
  <si>
    <t>047262564</t>
  </si>
  <si>
    <t>256 / 256</t>
  </si>
  <si>
    <t>12 KARWAN BAZAR, DHAKA</t>
  </si>
  <si>
    <t>02 9144173</t>
  </si>
  <si>
    <t>047274244</t>
  </si>
  <si>
    <t>424 / 424</t>
  </si>
  <si>
    <t>AK KHAN BUILDING, 49 MOTIJHEEL, DHAKA 1000</t>
  </si>
  <si>
    <t>02 9560169</t>
  </si>
  <si>
    <t>047271571</t>
  </si>
  <si>
    <t>157 / 157</t>
  </si>
  <si>
    <t>BDBL BHABAN, 8 RAJUK AVENUE, DHAKA 1000</t>
  </si>
  <si>
    <t>02 9558326</t>
  </si>
  <si>
    <t>047270006</t>
  </si>
  <si>
    <t>047280670</t>
  </si>
  <si>
    <t>067 / 067</t>
  </si>
  <si>
    <t>ABEDIN PLAZA, GANESHTOLA, DINAJPUR</t>
  </si>
  <si>
    <t>0531 63972</t>
  </si>
  <si>
    <t>047290523</t>
  </si>
  <si>
    <t>052 / 052</t>
  </si>
  <si>
    <t>CHAMBER BUILDING, MOJIB SARAK, NILLTOLI, FARIDPUR</t>
  </si>
  <si>
    <t>0631 63267</t>
  </si>
  <si>
    <t>047440649</t>
  </si>
  <si>
    <t>064 / 064</t>
  </si>
  <si>
    <t>RONI TOWER, 18 MOULANA BHASANI SARAK, JHENIDAH</t>
  </si>
  <si>
    <t>0451 62464</t>
  </si>
  <si>
    <t>047471542</t>
  </si>
  <si>
    <t>154 / 154</t>
  </si>
  <si>
    <t>25-26 KDA COMMERCIAL AREA, UPAR JESSORE ROAD, KHULNA</t>
  </si>
  <si>
    <t>041 720261, 714710</t>
  </si>
  <si>
    <t>047611757</t>
  </si>
  <si>
    <t>175 / 175</t>
  </si>
  <si>
    <t>19/D SHAHEB ALI ROAD, NOTUN BAZAR, MYMENSINGH</t>
  </si>
  <si>
    <t>091 65825</t>
  </si>
  <si>
    <t>047751725</t>
  </si>
  <si>
    <t>NOAKHALI BRANCH</t>
  </si>
  <si>
    <t>NOAKHALI_BRANCH</t>
  </si>
  <si>
    <t>172 / 172</t>
  </si>
  <si>
    <t>460 DAKHIN BAZAR, CHOWMUHANI, NOAKHALI</t>
  </si>
  <si>
    <t>0321 52306</t>
  </si>
  <si>
    <t>047761786</t>
  </si>
  <si>
    <t>PABNA BRANCH</t>
  </si>
  <si>
    <t>PABNA_BRANCH</t>
  </si>
  <si>
    <t>178 / 178</t>
  </si>
  <si>
    <t>BHAI BHAI SUPER MARKET, ABDUL HAMID ROAD, PABNA</t>
  </si>
  <si>
    <t>0731 66160</t>
  </si>
  <si>
    <t>047811931</t>
  </si>
  <si>
    <t>108/6 KUMARPARA, RAJSHAHI</t>
  </si>
  <si>
    <t>0721 772337, 775802</t>
  </si>
  <si>
    <t>047851454</t>
  </si>
  <si>
    <t>145 / 145</t>
  </si>
  <si>
    <t>SHARIF BUILDING, STATION ROAD, RANGPUR</t>
  </si>
  <si>
    <t>0521 62487</t>
  </si>
  <si>
    <t>047910140</t>
  </si>
  <si>
    <t>OSMANINAGAR BRANCH</t>
  </si>
  <si>
    <t>OSMANINAGAR_BRANCH</t>
  </si>
  <si>
    <t>014 / 014</t>
  </si>
  <si>
    <t>DM TOWER, DAYAMIR BAZAR, OSMANINAGAR, BALAGONJ, SYLHET</t>
  </si>
  <si>
    <t>08242 56101</t>
  </si>
  <si>
    <t>047913550</t>
  </si>
  <si>
    <t>355 / 355</t>
  </si>
  <si>
    <t>ALO 01, CENTURY SHOPPING CENTRE, SUNAMGANJ ROAD, ABERKHANA, SYLHET</t>
  </si>
  <si>
    <t>0821 716627, 726470</t>
  </si>
  <si>
    <t>BANGLADESH_KRISHI_BANK</t>
  </si>
  <si>
    <t>035</t>
  </si>
  <si>
    <t>BANGLADESH KRISHI BANK</t>
  </si>
  <si>
    <t>035010049</t>
  </si>
  <si>
    <t>BADHAL BAZAR BRANCH</t>
  </si>
  <si>
    <t>BADHAL_BAZAR_BRANCH</t>
  </si>
  <si>
    <t>1408 / 004</t>
  </si>
  <si>
    <t>BKBABDDH</t>
  </si>
  <si>
    <t>BADHAL, KACHUA, BAGERHAT</t>
  </si>
  <si>
    <t>mgrbadhalbazar@krishibank.org.bd</t>
  </si>
  <si>
    <t>035010078</t>
  </si>
  <si>
    <t>BAGERHAT BRANCH</t>
  </si>
  <si>
    <t>BAGERHAT_BRANCH</t>
  </si>
  <si>
    <t>1401 / 007</t>
  </si>
  <si>
    <t>SAROI, RAIL ROAD, BAGERHAT</t>
  </si>
  <si>
    <t>mgrbagerhat@krishibank.org.bd</t>
  </si>
  <si>
    <t>035010302</t>
  </si>
  <si>
    <t>035010199</t>
  </si>
  <si>
    <t>CHACKSREE BAZAR BRANCH</t>
  </si>
  <si>
    <t>CHACKSREE_BAZAR_BRANCH</t>
  </si>
  <si>
    <t>1411 / 019</t>
  </si>
  <si>
    <t>CHACKSREE, BAYENTOLA, RAMPAL, BAGERHAT</t>
  </si>
  <si>
    <t>mgrchaksreebazar@krishibank.org.bd</t>
  </si>
  <si>
    <t>035010252</t>
  </si>
  <si>
    <t>CHHITALMARI BAZAR BRANCH</t>
  </si>
  <si>
    <t>CHHITALMARI_BAZAR_BRANCH</t>
  </si>
  <si>
    <t>1409 / 025</t>
  </si>
  <si>
    <t>CHITALMARI, BAGERHAT</t>
  </si>
  <si>
    <t>mgrchitalmaribazar@krishibank.org.bd</t>
  </si>
  <si>
    <t>035010315</t>
  </si>
  <si>
    <t>DAIBAGHATI BRANCH</t>
  </si>
  <si>
    <t>DAIBAGHATI_BRANCH</t>
  </si>
  <si>
    <t>1419 / 031</t>
  </si>
  <si>
    <t>DAIBAGHATI, MORRELGANJ, BAGERHAT</t>
  </si>
  <si>
    <t>mgrdaibanchahati@krishibank.org.bd</t>
  </si>
  <si>
    <t>035010344</t>
  </si>
  <si>
    <t>DARGAH BRANCH</t>
  </si>
  <si>
    <t>DARGAH_BRANCH</t>
  </si>
  <si>
    <t>1402 / 034</t>
  </si>
  <si>
    <t>RONOBIJOYPUR, SATGUMBOJ, BAGERHAT</t>
  </si>
  <si>
    <t>mgrdargah@krishibank.org.bd</t>
  </si>
  <si>
    <t>035010465</t>
  </si>
  <si>
    <t>FAKIRHAT BRANCH</t>
  </si>
  <si>
    <t>FAKIRHAT_BRANCH</t>
  </si>
  <si>
    <t>1403 / 046</t>
  </si>
  <si>
    <t>KATHALTALA, FAKIRHAT, BAGERHAT</t>
  </si>
  <si>
    <t>mgrfakirhat@krishibank.org.bd</t>
  </si>
  <si>
    <t>035010494</t>
  </si>
  <si>
    <t>FALTITA BAZAR BRANCH</t>
  </si>
  <si>
    <t>FALTITA_BAZAR_BRANCH</t>
  </si>
  <si>
    <t>1420 / 049</t>
  </si>
  <si>
    <t>FALTITA BANIAKHALI, MULGHAR, FAKIRHAT, BAGERHAT</t>
  </si>
  <si>
    <t>mgrfaltitabazar@krishibank.org.bd</t>
  </si>
  <si>
    <t>035010528</t>
  </si>
  <si>
    <t>FULHATA BAZAR BRANCH</t>
  </si>
  <si>
    <t>FULHATA_BAZAR_BRANCH</t>
  </si>
  <si>
    <t>1414 / 052</t>
  </si>
  <si>
    <t>BOHURBUNIA, MORRELGANJ, BAGERHAT</t>
  </si>
  <si>
    <t>mgrfulhatabazar@krishibank.org.bd</t>
  </si>
  <si>
    <t>035010557</t>
  </si>
  <si>
    <t>GAZALIA BAZAR BRANCH</t>
  </si>
  <si>
    <t>GAZALIA_BAZAR_BRANCH</t>
  </si>
  <si>
    <t>1407 / 055</t>
  </si>
  <si>
    <t>GAZALIA, KACHUA, BAGERHAT</t>
  </si>
  <si>
    <t>mgrgajaliabazar@krishibank.org.bd</t>
  </si>
  <si>
    <t>035010731</t>
  </si>
  <si>
    <t>1406 / 073</t>
  </si>
  <si>
    <t>KACHUA BAZAR, KACHUA, BAGERHAT</t>
  </si>
  <si>
    <t>mgrkachua@krishibank.org.bd</t>
  </si>
  <si>
    <t>035010799</t>
  </si>
  <si>
    <t>KALATOLA BRANCH</t>
  </si>
  <si>
    <t>KALATOLA_BRANCH</t>
  </si>
  <si>
    <t>1405 / 079</t>
  </si>
  <si>
    <t>KALATOLA, CHITALMARI, BAGERHAT</t>
  </si>
  <si>
    <t>mgrkalatalabazar@krishibank.org.bd</t>
  </si>
  <si>
    <t>035010915</t>
  </si>
  <si>
    <t>MOLLAHAT BRANCH</t>
  </si>
  <si>
    <t>MOLLAHAT_BRANCH</t>
  </si>
  <si>
    <t>1404 / 091</t>
  </si>
  <si>
    <t>GARPHA, UDAYPUR, MOLLAHAT, BAGERHAT</t>
  </si>
  <si>
    <t>mgrmollahat@krishibank.org.bd</t>
  </si>
  <si>
    <t>035010973</t>
  </si>
  <si>
    <t>1416 / 097</t>
  </si>
  <si>
    <t>MADRASHA ROAD, MONGLA, BAGERHAT</t>
  </si>
  <si>
    <t>mgrmonglaport@krishibank.org.bd</t>
  </si>
  <si>
    <t>035011035</t>
  </si>
  <si>
    <t>MORRELGANJ BRANCH</t>
  </si>
  <si>
    <t>MORRELGANJ_BRANCH</t>
  </si>
  <si>
    <t>1412 / 103</t>
  </si>
  <si>
    <t>MORRELGANJ, BAGERHAT</t>
  </si>
  <si>
    <t>mgrmorelgonj@krishibank.org.bd</t>
  </si>
  <si>
    <t>035011369</t>
  </si>
  <si>
    <t>MUKKHAIT BRANCH</t>
  </si>
  <si>
    <t>MUKKHAIT_BRANCH</t>
  </si>
  <si>
    <t>1418 / 136</t>
  </si>
  <si>
    <t>MUKKHAIT, BAGERHAT SADAR, BAGERHAT</t>
  </si>
  <si>
    <t>mgrmukkhayit@krishibank.org.bd</t>
  </si>
  <si>
    <t>035011219</t>
  </si>
  <si>
    <t>RAMPAL BRANCH</t>
  </si>
  <si>
    <t>RAMPAL_BRANCH</t>
  </si>
  <si>
    <t>1410 / 121</t>
  </si>
  <si>
    <t>RAMPAL, BAGERHAT</t>
  </si>
  <si>
    <t>mgrrampal@krishibank.org.bd</t>
  </si>
  <si>
    <t>035011248</t>
  </si>
  <si>
    <t>RAYENDA BAZAR BRANCH</t>
  </si>
  <si>
    <t>RAYENDA_BAZAR_BRANCH</t>
  </si>
  <si>
    <t>1415 / 124</t>
  </si>
  <si>
    <t>RAYENDA BAZAR, SARANKHOLA, BAGERHAT</t>
  </si>
  <si>
    <t>mgrraiyendabazar@krishibank.org.bd</t>
  </si>
  <si>
    <t>035011330</t>
  </si>
  <si>
    <t>SONNASHI BAZAR BRANCH</t>
  </si>
  <si>
    <t>SONNASHI_BAZAR_BRANCH</t>
  </si>
  <si>
    <t>1413 / 133</t>
  </si>
  <si>
    <t>SONNASHI BAZAR, KHAWLA, MORRELGANJ, BAGERHAT</t>
  </si>
  <si>
    <t>mgrsannashibazar@krishibank.org.bd</t>
  </si>
  <si>
    <t>035011398</t>
  </si>
  <si>
    <t>TOWN NOAPARA BRANCH</t>
  </si>
  <si>
    <t>TOWN_NOAPARA_BRANCH</t>
  </si>
  <si>
    <t>1417 / 139</t>
  </si>
  <si>
    <t>PILJONG, FAKIRHAT, BAGERHAT</t>
  </si>
  <si>
    <t>mgrtownnoapara@krishibank.org.bd</t>
  </si>
  <si>
    <t>035030045</t>
  </si>
  <si>
    <t>ALIKADAM BRANCH</t>
  </si>
  <si>
    <t>ALIKADAM_BRANCH</t>
  </si>
  <si>
    <t>3119 / 004</t>
  </si>
  <si>
    <t>ALIKADAM, BANDARBAN</t>
  </si>
  <si>
    <t>mgralikadam@krishibank.org.bd</t>
  </si>
  <si>
    <t>035030074</t>
  </si>
  <si>
    <t>AZIZNAGAR BRANCH</t>
  </si>
  <si>
    <t>AZIZNAGAR_BRANCH</t>
  </si>
  <si>
    <t>3118 / 007</t>
  </si>
  <si>
    <t>AZIZNAGAR, LAMA, BANDARBAN</t>
  </si>
  <si>
    <t>mgraziznagar@krishibank.org.bd</t>
  </si>
  <si>
    <t>035030108</t>
  </si>
  <si>
    <t>BAICHARI BRANCH</t>
  </si>
  <si>
    <t>BAICHARI_BRANCH</t>
  </si>
  <si>
    <t>3121 / 010</t>
  </si>
  <si>
    <t>BAICHARI, NAIKKHANGCHHARI, BANDARBAN</t>
  </si>
  <si>
    <t>mgrbbaishari@krishibank.org.bd</t>
  </si>
  <si>
    <t>035030137</t>
  </si>
  <si>
    <t>BANDARBAN BRANCH</t>
  </si>
  <si>
    <t>BANDARBAN_BRANCH</t>
  </si>
  <si>
    <t>3201 / 013</t>
  </si>
  <si>
    <t>BANDARBAN SADAR, BANDARBAN</t>
  </si>
  <si>
    <t>mgrbandarban@krishibank.org.bd</t>
  </si>
  <si>
    <t>035030195</t>
  </si>
  <si>
    <t>LAMA BRANCH</t>
  </si>
  <si>
    <t>LAMA_BRANCH</t>
  </si>
  <si>
    <t>3117 / 019</t>
  </si>
  <si>
    <t>LAMA, BANDARBAN</t>
  </si>
  <si>
    <t>mgrlama@krishibank.org.bd</t>
  </si>
  <si>
    <t>035030229</t>
  </si>
  <si>
    <t>NAIKKHANGCHHARI BRANCH</t>
  </si>
  <si>
    <t>NAIKKHANGCHHARI_BRANCH</t>
  </si>
  <si>
    <t>3120 / 022</t>
  </si>
  <si>
    <t>NAIKKHANGCHHARI, BANDARBAN</t>
  </si>
  <si>
    <t>mgrnaikhangchari@krishibank.org.bd</t>
  </si>
  <si>
    <t>035030258</t>
  </si>
  <si>
    <t>ROANGCHHARI BRANCH</t>
  </si>
  <si>
    <t>ROANGCHHARI_BRANCH</t>
  </si>
  <si>
    <t>3202 / 025</t>
  </si>
  <si>
    <t>ROANGCHHARI, BANDARBAN</t>
  </si>
  <si>
    <t>mgrrowangchari@krishibank.org.bd</t>
  </si>
  <si>
    <t>035030287</t>
  </si>
  <si>
    <t>RUMA BRANCH</t>
  </si>
  <si>
    <t>RUMA_BRANCH</t>
  </si>
  <si>
    <t>3204 / 028</t>
  </si>
  <si>
    <t>RUMA, BANDARBAN</t>
  </si>
  <si>
    <t>mgrruma@krishibank.org.bd</t>
  </si>
  <si>
    <t>035030311</t>
  </si>
  <si>
    <t>THANCHI BRANCH</t>
  </si>
  <si>
    <t>THANCHI_BRANCH</t>
  </si>
  <si>
    <t>3203 / 031</t>
  </si>
  <si>
    <t>THANCHI, BANDARBAN</t>
  </si>
  <si>
    <t>mgrthanchi@krishibank.org.bd</t>
  </si>
  <si>
    <t>035040048</t>
  </si>
  <si>
    <t>606 / 004</t>
  </si>
  <si>
    <t>AMTALI, BARGUNA</t>
  </si>
  <si>
    <t>mgramtali@krishibank.org.bd</t>
  </si>
  <si>
    <t>035040077</t>
  </si>
  <si>
    <t>AYLA BAZAR BRANCH</t>
  </si>
  <si>
    <t>AYLA_BAZAR_BRANCH</t>
  </si>
  <si>
    <t>612 / 007</t>
  </si>
  <si>
    <t>AYLA, BARGUNA</t>
  </si>
  <si>
    <t>mgraylabazar@krishibank.org.bd</t>
  </si>
  <si>
    <t>035040101</t>
  </si>
  <si>
    <t>BAMNA BRANCH</t>
  </si>
  <si>
    <t>BAMNA_BRANCH</t>
  </si>
  <si>
    <t>609 / 010</t>
  </si>
  <si>
    <t>BAMNA, BARGUNA</t>
  </si>
  <si>
    <t>mgrbamna@krishibank.org.bd</t>
  </si>
  <si>
    <t>035040130</t>
  </si>
  <si>
    <t>601 / 013</t>
  </si>
  <si>
    <t>BARGUNA SADAR, BARGUNA</t>
  </si>
  <si>
    <t>mgrbarguna@krishibank.org.bd</t>
  </si>
  <si>
    <t>035040222</t>
  </si>
  <si>
    <t>BETAGI BRANCH</t>
  </si>
  <si>
    <t>BETAGI_BRANCH</t>
  </si>
  <si>
    <t>603 / 022</t>
  </si>
  <si>
    <t>BETAGI, BARGUNA</t>
  </si>
  <si>
    <t>mgrbetagi@krishibank.org.bd</t>
  </si>
  <si>
    <t>035040251</t>
  </si>
  <si>
    <t>CHANDOKHALI BRANCH</t>
  </si>
  <si>
    <t>CHANDOKHALI_BRANCH</t>
  </si>
  <si>
    <t>604 / 025</t>
  </si>
  <si>
    <t>CHANDOKHALI, BETAGI, BARGUNA</t>
  </si>
  <si>
    <t>mgrchandkhalibarguna@krishibank.org.bd</t>
  </si>
  <si>
    <t>035040280</t>
  </si>
  <si>
    <t>CHARDUANI BAZAR BRANCH</t>
  </si>
  <si>
    <t>CHARDUANI_BAZAR_BRANCH</t>
  </si>
  <si>
    <t>611 / 028</t>
  </si>
  <si>
    <t>CHARDUANI, PATHARGHATA, BARGUNA</t>
  </si>
  <si>
    <t>mgrcharduanibazar@krishibank.org.bd</t>
  </si>
  <si>
    <t>035040314</t>
  </si>
  <si>
    <t>DOWATALA BRANCH</t>
  </si>
  <si>
    <t>DOWATALA_BRANCH</t>
  </si>
  <si>
    <t>615 / 031</t>
  </si>
  <si>
    <t>DOWATALA, BAMNA, BARGUNA</t>
  </si>
  <si>
    <t>mgrdowatala@krishibank.org.bd</t>
  </si>
  <si>
    <t>035040343</t>
  </si>
  <si>
    <t>FULJHURI BAZAR BRANCH</t>
  </si>
  <si>
    <t>FULJHURI_BAZAR_BRANCH</t>
  </si>
  <si>
    <t>610 / 034</t>
  </si>
  <si>
    <t>FULJHURI BAZAR, BARGUNA 8700</t>
  </si>
  <si>
    <t>mgrfuljhuribazar@krishibank.org.bd</t>
  </si>
  <si>
    <t>035040406</t>
  </si>
  <si>
    <t>GOURICHANNA BRANCH</t>
  </si>
  <si>
    <t>GOURICHANNA_BRANCH</t>
  </si>
  <si>
    <t>616 / 040</t>
  </si>
  <si>
    <t>GOURICHANNA, BARGUNA</t>
  </si>
  <si>
    <t>mgrgourichanna@krishibank.org.bd</t>
  </si>
  <si>
    <t>035040435</t>
  </si>
  <si>
    <t>HASNABAD BRANCH</t>
  </si>
  <si>
    <t>HASNABAD_BRANCH</t>
  </si>
  <si>
    <t>613 / 043</t>
  </si>
  <si>
    <t>HASNABAD, BETAGI, BARGUNA</t>
  </si>
  <si>
    <t>mgrhosnabad@krishibank.org.bd</t>
  </si>
  <si>
    <t>035040556</t>
  </si>
  <si>
    <t>KUKUA BRANCH</t>
  </si>
  <si>
    <t>KUKUA_BRANCH</t>
  </si>
  <si>
    <t>608 / 055</t>
  </si>
  <si>
    <t>KUKUA, AMTALI, BARGUNA</t>
  </si>
  <si>
    <t>mgrkakua@krishibank.org.bd</t>
  </si>
  <si>
    <t>035040585</t>
  </si>
  <si>
    <t>LEMUA BAZAR BRANCH</t>
  </si>
  <si>
    <t>LEMUA_BAZAR_BRANCH</t>
  </si>
  <si>
    <t>614 / 058</t>
  </si>
  <si>
    <t>LEMUA, PATHARGHATA, BARGUNA</t>
  </si>
  <si>
    <t>mgrlemua@krishibank.org.bd</t>
  </si>
  <si>
    <t>035040619</t>
  </si>
  <si>
    <t>MOKAMIA BRANCH</t>
  </si>
  <si>
    <t>MOKAMIA_BRANCH</t>
  </si>
  <si>
    <t>605 / 061</t>
  </si>
  <si>
    <t>MOKAMIA, BETAGI, BARGUNA</t>
  </si>
  <si>
    <t>mgrmokamia@krishibank.org.bd</t>
  </si>
  <si>
    <t>035040677</t>
  </si>
  <si>
    <t>PATHARGHATA BRANCH</t>
  </si>
  <si>
    <t>PATHARGHATA_BRANCH</t>
  </si>
  <si>
    <t>602 / 067</t>
  </si>
  <si>
    <t>SADAR ROAD, PATHARGHATA, BARGUNA</t>
  </si>
  <si>
    <t>mgrpatharghata@krishibank.org.bd</t>
  </si>
  <si>
    <t>035040701</t>
  </si>
  <si>
    <t>TALTALI BRANCH</t>
  </si>
  <si>
    <t>TALTALI_BRANCH</t>
  </si>
  <si>
    <t>607 / 070</t>
  </si>
  <si>
    <t>TALTALI, AMTALI, BARGUNA</t>
  </si>
  <si>
    <t>mgrtaltalibarg@krishibank.org.bd</t>
  </si>
  <si>
    <t>035060073</t>
  </si>
  <si>
    <t>AGAILJHARA BRANCH</t>
  </si>
  <si>
    <t>AGAILJHARA_BRANCH</t>
  </si>
  <si>
    <t>209 / 007</t>
  </si>
  <si>
    <t>BUDHAR, GAILA, AGAILJHARA, BARISAL</t>
  </si>
  <si>
    <t>mgragailjhara@krishibank.org.bd</t>
  </si>
  <si>
    <t>035060165</t>
  </si>
  <si>
    <t>BABUGANJ BRANCH</t>
  </si>
  <si>
    <t>BABUGANJ_BRANCH</t>
  </si>
  <si>
    <t>205 / 016</t>
  </si>
  <si>
    <t>LOHALIA, RAHAMETPUR, BABUGANJ, BARISAL</t>
  </si>
  <si>
    <t>mgrbabugonj@krishibank.org.bd</t>
  </si>
  <si>
    <t>035060194</t>
  </si>
  <si>
    <t>BAISARI BRANCH</t>
  </si>
  <si>
    <t>BAISARI_BRANCH</t>
  </si>
  <si>
    <t>223 / 019</t>
  </si>
  <si>
    <t>BAISARI, BANARIPARA, BARISAL</t>
  </si>
  <si>
    <t>mgrbaishari@krishibank.org.bd</t>
  </si>
  <si>
    <t>035060228</t>
  </si>
  <si>
    <t>BAKERGANJ BRANCH</t>
  </si>
  <si>
    <t>BAKERGANJ_BRANCH</t>
  </si>
  <si>
    <t>202 / 022</t>
  </si>
  <si>
    <t>RUNSHI, BAKERGANJ, BARISAL</t>
  </si>
  <si>
    <t>mgrbakerganj@krishibank.org.bd</t>
  </si>
  <si>
    <t>035060257</t>
  </si>
  <si>
    <t>222 / 025</t>
  </si>
  <si>
    <t>BANARIPARA, BARISAL</t>
  </si>
  <si>
    <t>mgrbanaripara@krishibank.org.bd</t>
  </si>
  <si>
    <t>035060286</t>
  </si>
  <si>
    <t>201 / 028</t>
  </si>
  <si>
    <t>KB HEMAYET UDDIN ROAD, BARISAL</t>
  </si>
  <si>
    <t>0431 62193, 64501, 017 30708092</t>
  </si>
  <si>
    <t>mgrbarisal@krishibank.org.bd</t>
  </si>
  <si>
    <t>035060431</t>
  </si>
  <si>
    <t>BHASHANCHAR BRANCH</t>
  </si>
  <si>
    <t>BHASHANCHAR_BRANCH</t>
  </si>
  <si>
    <t>212 / 043</t>
  </si>
  <si>
    <t>BHASHANCHAR, MEHENDIGANJ, BARISAL</t>
  </si>
  <si>
    <t>mgrbhashanchar@krishibank.org.bd</t>
  </si>
  <si>
    <t>035060099</t>
  </si>
  <si>
    <t>CHOYGRAM BAZAR BRANCH</t>
  </si>
  <si>
    <t>CHOYGRAM_BAZAR_BRANCH</t>
  </si>
  <si>
    <t>228 / 228</t>
  </si>
  <si>
    <t>CHOYGRAM, RATNOPUR, AGAILJHARA, BARISAL</t>
  </si>
  <si>
    <t>mgrchoygrambazar@krishibank.org.bd</t>
  </si>
  <si>
    <t>035060828</t>
  </si>
  <si>
    <t>208 / 082</t>
  </si>
  <si>
    <t>CHAR GADATALI, GOURNADI, BARISAL</t>
  </si>
  <si>
    <t>mgrgouranadi@krishibank.org.bd</t>
  </si>
  <si>
    <t>035060910</t>
  </si>
  <si>
    <t>HABIBPUR BAZAR BRANCH</t>
  </si>
  <si>
    <t>HABIBPUR_BAZAR_BRANCH</t>
  </si>
  <si>
    <t>224 / 091</t>
  </si>
  <si>
    <t>KESHABKATI, OTRA, UZIRPUR, BARISAL</t>
  </si>
  <si>
    <t>mgrhabibpurbazar@krishibank.org.bd</t>
  </si>
  <si>
    <t>035060123</t>
  </si>
  <si>
    <t>HARTA BANDAR BRANCH</t>
  </si>
  <si>
    <t>HARTA_BANDAR_BRANCH</t>
  </si>
  <si>
    <t>229 / 229</t>
  </si>
  <si>
    <t>HARTA, UZIRPUR, BARISAL</t>
  </si>
  <si>
    <t>hartabandor@krishibank.org.bd</t>
  </si>
  <si>
    <t>035060978</t>
  </si>
  <si>
    <t>HIZLA BRANCH</t>
  </si>
  <si>
    <t>HIZLA_BRANCH</t>
  </si>
  <si>
    <t>216 / 097</t>
  </si>
  <si>
    <t>KUNNA, BARAJALIA, HIZLA, BARISAL</t>
  </si>
  <si>
    <t>mgrhijla@krishibank.org.bd</t>
  </si>
  <si>
    <t>035061106</t>
  </si>
  <si>
    <t>KARFA BAZAR BRANCH</t>
  </si>
  <si>
    <t>KARFA_BAZAR_BRANCH</t>
  </si>
  <si>
    <t>225 / 225</t>
  </si>
  <si>
    <t>KARFA, JALLA, UZIRPUR, BARISAL</t>
  </si>
  <si>
    <t>017 30708995</t>
  </si>
  <si>
    <t>mgrkarfabazar@krishibank.org.bd</t>
  </si>
  <si>
    <t>035061122</t>
  </si>
  <si>
    <t>KAZIRHAT BRANCH</t>
  </si>
  <si>
    <t>KAZIRHAT_BRANCH</t>
  </si>
  <si>
    <t>219 / 112</t>
  </si>
  <si>
    <t>ASHOLISONTOSPUR, LATA, MEHENDIGANJ, BARISAL</t>
  </si>
  <si>
    <t>mgrkazirhat@krishibank.org.bd</t>
  </si>
  <si>
    <t>035061180</t>
  </si>
  <si>
    <t>KHASHERHAT BRANCH</t>
  </si>
  <si>
    <t>KHASHERHAT_BRANCH</t>
  </si>
  <si>
    <t>215 / 118</t>
  </si>
  <si>
    <t>KHASHERHAT, KASIRCHAR, MULADI, BARISAL</t>
  </si>
  <si>
    <t>mgrkhasherhat@krishibank.org.bd</t>
  </si>
  <si>
    <t>035060110</t>
  </si>
  <si>
    <t>LANGUTIA BAZAR BRANCH</t>
  </si>
  <si>
    <t>LANGUTIA_BAZAR_BRANCH</t>
  </si>
  <si>
    <t>230 / 230</t>
  </si>
  <si>
    <t>ENGUTIA, JANGALIA, MEHENDIGANJ, BARISAL</t>
  </si>
  <si>
    <t>mgrlangutiabazar@krishibank.org.bd</t>
  </si>
  <si>
    <t>035061393</t>
  </si>
  <si>
    <t>MAHESHPUR BAZAR BRANCH</t>
  </si>
  <si>
    <t>MAHESHPUR_BAZAR_BRANCH</t>
  </si>
  <si>
    <t>203 / 139</t>
  </si>
  <si>
    <t>MAHESHPUR, NEAMOTI, BAKERGANJ, BARISAL</t>
  </si>
  <si>
    <t>mgrmoheshpurbazar@krishibank.org.bd</t>
  </si>
  <si>
    <t>035061272</t>
  </si>
  <si>
    <t>MAHILARA BRANCH</t>
  </si>
  <si>
    <t>MAHILARA_BRANCH</t>
  </si>
  <si>
    <t>227 / 127</t>
  </si>
  <si>
    <t>BEJOHAR, MAHILARA, GOURNADI, BARISAL</t>
  </si>
  <si>
    <t>mgrmahilara@krishibank.org.bd</t>
  </si>
  <si>
    <t>035061427</t>
  </si>
  <si>
    <t>MAULVIRHAT BRANCH</t>
  </si>
  <si>
    <t>MAULVIRHAT_BRANCH</t>
  </si>
  <si>
    <t>220 / 142</t>
  </si>
  <si>
    <t>HIJOLTALA, CHADPURA, BARISAL</t>
  </si>
  <si>
    <t>mgrmoulvirhat@krishibank.org.bd</t>
  </si>
  <si>
    <t>035061456</t>
  </si>
  <si>
    <t>214 / 145</t>
  </si>
  <si>
    <t>TEROCHOR, MULADI, BARISAL</t>
  </si>
  <si>
    <t>mgrmuladi@krishibank.org.bd</t>
  </si>
  <si>
    <t>035061630</t>
  </si>
  <si>
    <t>PATARHAT BRANCH</t>
  </si>
  <si>
    <t>PATARHAT_BRANCH</t>
  </si>
  <si>
    <t>210 / 163</t>
  </si>
  <si>
    <t>PATARHAT, MEHENDIGANJ, BARISAL</t>
  </si>
  <si>
    <t>mgrpatarhat@krishibank.org.bd</t>
  </si>
  <si>
    <t>035061751</t>
  </si>
  <si>
    <t>RAIPASHA BRANCH</t>
  </si>
  <si>
    <t>RAIPASHA_BRANCH</t>
  </si>
  <si>
    <t>218 / 175</t>
  </si>
  <si>
    <t>HATEM ALI COLLEGE ROAD, RAIPASHA, BARISAL</t>
  </si>
  <si>
    <t>mgrraipasha@krishibank.org.bd</t>
  </si>
  <si>
    <t>035061780</t>
  </si>
  <si>
    <t>RATANPUR BRANCH</t>
  </si>
  <si>
    <t>RATANPUR_BRANCH</t>
  </si>
  <si>
    <t>213 / 178</t>
  </si>
  <si>
    <t>RATANPUR, BIDDHANANDPUR, MEHENDIGANJ, BARISAL</t>
  </si>
  <si>
    <t>mgrratanpur@krishibank.org.bd</t>
  </si>
  <si>
    <t>035061906</t>
  </si>
  <si>
    <t>SENERHAT BRANCH</t>
  </si>
  <si>
    <t>SENERHAT_BRANCH</t>
  </si>
  <si>
    <t>204 / 190</t>
  </si>
  <si>
    <t>GOBINDAPUR, DURGAPASHA, BAKERGANJ, BARISAL 8280</t>
  </si>
  <si>
    <t>mgrsenerhat@krishibank.org.bd</t>
  </si>
  <si>
    <t>035062055</t>
  </si>
  <si>
    <t>SHOLAK BRANCH</t>
  </si>
  <si>
    <t>SHOLAK_BRANCH</t>
  </si>
  <si>
    <t>207 / 205</t>
  </si>
  <si>
    <t>SHOLAK, UZIRPUR, BARISAL</t>
  </si>
  <si>
    <t>mgrsholak@krishibank.org.bd</t>
  </si>
  <si>
    <t>035062118</t>
  </si>
  <si>
    <t>SUKHI NILGANJ BRANCH</t>
  </si>
  <si>
    <t>SUKHI_NILGANJ_BRANCH</t>
  </si>
  <si>
    <t>221 / 211</t>
  </si>
  <si>
    <t>TATIPARA, GARULIA, BAKERGANJ, BARISAL</t>
  </si>
  <si>
    <t>mgrsukhinilgonj@krishibank.org.bd</t>
  </si>
  <si>
    <t>035062147</t>
  </si>
  <si>
    <t>217 / 214</t>
  </si>
  <si>
    <t>RANIMAHAL, CHARBARIA, BARISAL</t>
  </si>
  <si>
    <t>mgrtaltalibari@krishibank.org.bd</t>
  </si>
  <si>
    <t>035062268</t>
  </si>
  <si>
    <t>ULANIA BAZAR BRANCH</t>
  </si>
  <si>
    <t>ULANIA_BAZAR_BRANCH</t>
  </si>
  <si>
    <t>211 / 226</t>
  </si>
  <si>
    <t>ASHA, ULANIA BAZAR, MEHENDIGANJ, BARISAL</t>
  </si>
  <si>
    <t>mgrulaniabazar@krishibank.org.bd</t>
  </si>
  <si>
    <t>035062297</t>
  </si>
  <si>
    <t>UZIRPUR BRANCH</t>
  </si>
  <si>
    <t>UZIRPUR_BRANCH</t>
  </si>
  <si>
    <t>206 / 229</t>
  </si>
  <si>
    <t>UZIRPUR, BARISAL</t>
  </si>
  <si>
    <t>mgruzirpur@krishibank.org.bd</t>
  </si>
  <si>
    <t>035090106</t>
  </si>
  <si>
    <t>301 / 010</t>
  </si>
  <si>
    <t>BHOLA SADAR, BHOLA</t>
  </si>
  <si>
    <t>mgrbhola@krishibank.org.bd</t>
  </si>
  <si>
    <t>035090164</t>
  </si>
  <si>
    <t>BORHANGANJ BAZAR BRANCH</t>
  </si>
  <si>
    <t>BORHANGANJ_BAZAR_BRANCH</t>
  </si>
  <si>
    <t>315 / 016</t>
  </si>
  <si>
    <t>BORHANGANJ, BORHANUDDIN, BHOLA 8320</t>
  </si>
  <si>
    <t>mgrborhangonjbazar@krishibank.org.bd</t>
  </si>
  <si>
    <t>035090193</t>
  </si>
  <si>
    <t>305 / 019</t>
  </si>
  <si>
    <t>BORHANUDDIN, BHOLA</t>
  </si>
  <si>
    <t>mgrborhanuddin@krishibank.org.bd</t>
  </si>
  <si>
    <t>035090227</t>
  </si>
  <si>
    <t>CHARFASSON BRANCH</t>
  </si>
  <si>
    <t>CHARFASSON_BRANCH</t>
  </si>
  <si>
    <t>308 / 022</t>
  </si>
  <si>
    <t>CHARFASSON, BHOLA</t>
  </si>
  <si>
    <t>mgrcharfashion@krishibank.org.bd</t>
  </si>
  <si>
    <t>035090319</t>
  </si>
  <si>
    <t>DAKSHIN AICHA BAZAR BRANCH</t>
  </si>
  <si>
    <t>DAKSHIN_AICHA_BAZAR_BRANCH</t>
  </si>
  <si>
    <t>316 / 031</t>
  </si>
  <si>
    <t>DAKSHIN AICHA BAZAR, CHARFASSON, BHOLA</t>
  </si>
  <si>
    <t>017 30708116</t>
  </si>
  <si>
    <t>mgrdakkhinaichabazar@krishibank.org.bd</t>
  </si>
  <si>
    <t>035090377</t>
  </si>
  <si>
    <t>304 / 037</t>
  </si>
  <si>
    <t>DAULATKHAN, BHOLA</t>
  </si>
  <si>
    <t>mgrdaulatkhan@krishibank.org.bd</t>
  </si>
  <si>
    <t>035090401</t>
  </si>
  <si>
    <t>DULARHAT BRANCH</t>
  </si>
  <si>
    <t>DULARHAT_BRANCH</t>
  </si>
  <si>
    <t>309 / 040</t>
  </si>
  <si>
    <t>DULARHAT, CHARFASSON, BHOLA</t>
  </si>
  <si>
    <t>mgrdularhat@krishibank.org.bd</t>
  </si>
  <si>
    <t>035090469</t>
  </si>
  <si>
    <t>ILISHAHAT BRANCH</t>
  </si>
  <si>
    <t>ILISHAHAT_BRANCH</t>
  </si>
  <si>
    <t>302 / 046</t>
  </si>
  <si>
    <t>ILISHAHAT, BHOLA SADAR, BHOLA</t>
  </si>
  <si>
    <t>mgrilishahat@krishibank.org.bd</t>
  </si>
  <si>
    <t>035090498</t>
  </si>
  <si>
    <t>JANATA BAZAR BRANCH</t>
  </si>
  <si>
    <t>JANATA_BAZAR_BRANCH</t>
  </si>
  <si>
    <t>313 / 049</t>
  </si>
  <si>
    <t>JANATA BAZAR, CHARFASSON, BHOLA</t>
  </si>
  <si>
    <t>mgrjanatabazar@krishibank.org.bd</t>
  </si>
  <si>
    <t>035090580</t>
  </si>
  <si>
    <t>KERAMATGANJ BAZAR BRANCH</t>
  </si>
  <si>
    <t>KERAMATGANJ_BAZAR_BRANCH</t>
  </si>
  <si>
    <t>314 / 058</t>
  </si>
  <si>
    <t>KERAMATGANJ BAZAR, CHARFASSON, BHOLA</t>
  </si>
  <si>
    <t>mgrkeramotgonjbazar@krishibank.org.bd</t>
  </si>
  <si>
    <t>035090643</t>
  </si>
  <si>
    <t>KUNJERHAT BRANCH</t>
  </si>
  <si>
    <t>KUNJERHAT_BRANCH</t>
  </si>
  <si>
    <t>311 / 064</t>
  </si>
  <si>
    <t>KUNJERHAT, BORHANUDDIN, BHOLA</t>
  </si>
  <si>
    <t>mgrkunjerhat@krishibank.org.bd</t>
  </si>
  <si>
    <t>035090706</t>
  </si>
  <si>
    <t>306 / 070</t>
  </si>
  <si>
    <t>LALMOHAN, BHOLA</t>
  </si>
  <si>
    <t>mgrlalmohan@krishibank.org.bd</t>
  </si>
  <si>
    <t>035090735</t>
  </si>
  <si>
    <t>LETRA BAZAR BRANCH</t>
  </si>
  <si>
    <t>LETRA_BAZAR_BRANCH</t>
  </si>
  <si>
    <t>310 / 073</t>
  </si>
  <si>
    <t>LETRA BAZAR, CHARFASSON, BHOLA</t>
  </si>
  <si>
    <t>mgrletrabazar@krishibank.org.bd</t>
  </si>
  <si>
    <t>035090827</t>
  </si>
  <si>
    <t>MANPURA BRANCH</t>
  </si>
  <si>
    <t>MANPURA_BRANCH</t>
  </si>
  <si>
    <t>307 / 082</t>
  </si>
  <si>
    <t>MANPURA, BHOLA</t>
  </si>
  <si>
    <t>mgrmonpura@krishibank.org.bd</t>
  </si>
  <si>
    <t>035090793</t>
  </si>
  <si>
    <t>MONGAL SIKDER BRANCH</t>
  </si>
  <si>
    <t>MONGAL_SIKDER_BRANCH</t>
  </si>
  <si>
    <t>318 / 079</t>
  </si>
  <si>
    <t>MONGAL SIKDER, DHALIGOURANAGAR, LALMOHAN BHOLA 8330</t>
  </si>
  <si>
    <t>017 30708125</t>
  </si>
  <si>
    <t>mgrmongalsikdar@krishibank.org.bd</t>
  </si>
  <si>
    <t>035090977</t>
  </si>
  <si>
    <t>ROYCHAND BRANCH</t>
  </si>
  <si>
    <t>ROYCHAND_BRANCH</t>
  </si>
  <si>
    <t>312 / 097</t>
  </si>
  <si>
    <t>ROYCHAND, LALMOHAN, BHOLA</t>
  </si>
  <si>
    <t>mgrroychand@krishibank.org.bd</t>
  </si>
  <si>
    <t>035091000</t>
  </si>
  <si>
    <t>TAZUMUDDIN BRANCH</t>
  </si>
  <si>
    <t>TAZUMUDDIN_BRANCH</t>
  </si>
  <si>
    <t>303 / 100</t>
  </si>
  <si>
    <t>TAZUMUDDIN, BHOLA</t>
  </si>
  <si>
    <t>mgrtajumuddin@krishibank.org.bd</t>
  </si>
  <si>
    <t>035120047</t>
  </si>
  <si>
    <t>2421 / 004</t>
  </si>
  <si>
    <t>AKAURA BAZAR, BRAHMANBARIA</t>
  </si>
  <si>
    <t>mgrakhaura@krishibank.org.bd</t>
  </si>
  <si>
    <t>035120100</t>
  </si>
  <si>
    <t>2423 / 010</t>
  </si>
  <si>
    <t>ASHUGANJ, BRAHMANBARIA</t>
  </si>
  <si>
    <t>mgrashugonj@krishibank.org.bd</t>
  </si>
  <si>
    <t>035120139</t>
  </si>
  <si>
    <t>AUSTAGRAM BAZAR BRANCH</t>
  </si>
  <si>
    <t>AUSTAGRAM_BAZAR_BRANCH</t>
  </si>
  <si>
    <t>2407 / 013</t>
  </si>
  <si>
    <t>AUSTAGRAM, BRAHMANBARIA</t>
  </si>
  <si>
    <t>mgraushtagram@krishibank.org.bd</t>
  </si>
  <si>
    <t>035120168</t>
  </si>
  <si>
    <t>AWLIA BAZAR BRANCH</t>
  </si>
  <si>
    <t>AWLIA_BAZAR_BRANCH</t>
  </si>
  <si>
    <t>2409 / 016</t>
  </si>
  <si>
    <t>AWLIA BAZAR, BRAHMANBARIA 3400</t>
  </si>
  <si>
    <t>mgrawliabazar@krishibank.org.bd</t>
  </si>
  <si>
    <t>035120221</t>
  </si>
  <si>
    <t>BAISHMOUZA BAZAR BRANCH</t>
  </si>
  <si>
    <t>BAISHMOUZA_BAZAR_BRANCH</t>
  </si>
  <si>
    <t>2418 / 022</t>
  </si>
  <si>
    <t>BAISHMOUZA BAZAR, BRAHMANBARIA 3412</t>
  </si>
  <si>
    <t>mgrbaishmouzabazar@krishibank.org.bd</t>
  </si>
  <si>
    <t>035120250</t>
  </si>
  <si>
    <t>2428 / 025</t>
  </si>
  <si>
    <t>BANCHARAMPUR, BRAHMANBARIA</t>
  </si>
  <si>
    <t>mgrbancharampur@krishibank.org.bd</t>
  </si>
  <si>
    <t>035121217</t>
  </si>
  <si>
    <t>BISHWAROAD BAZAR BRANCH</t>
  </si>
  <si>
    <t>BISHWAROAD_BAZAR_BRANCH</t>
  </si>
  <si>
    <t>2424 / 121</t>
  </si>
  <si>
    <t>BISHWA ROAD, MAJLISHPUR, BRAHMANBARIA 3400</t>
  </si>
  <si>
    <t>mgrbishwaroad@krishibank.org.bd</t>
  </si>
  <si>
    <t>035120434</t>
  </si>
  <si>
    <t>2401 / 043</t>
  </si>
  <si>
    <t>980 KALAISREE PARA, BRAHMANBARIA</t>
  </si>
  <si>
    <t>mgrbrahmanbaria@krishibank.org.bd</t>
  </si>
  <si>
    <t>035120555</t>
  </si>
  <si>
    <t>CHANDURA BRANCH</t>
  </si>
  <si>
    <t>CHANDURA_BRANCH</t>
  </si>
  <si>
    <t>3402 / 055</t>
  </si>
  <si>
    <t>mgrchandura@krishibank.org.bd</t>
  </si>
  <si>
    <t>035120618</t>
  </si>
  <si>
    <t>CHARGACH BAZAR BRANCH</t>
  </si>
  <si>
    <t>CHARGACH_BAZAR_BRANCH</t>
  </si>
  <si>
    <t>2433 / 061</t>
  </si>
  <si>
    <t>CHARGACH BAZAR, BRAHMANBARIA 3463</t>
  </si>
  <si>
    <t>mgrchargachbazar@krishibank.org.bd</t>
  </si>
  <si>
    <t>035120647</t>
  </si>
  <si>
    <t>CHATALPAR BAZAR BRANCH</t>
  </si>
  <si>
    <t>CHATALPAR_BAZAR_BRANCH</t>
  </si>
  <si>
    <t>2420 / 064</t>
  </si>
  <si>
    <t>CHATALPAR BAZAR, BRAHMANBARIA 3400</t>
  </si>
  <si>
    <t>mgrchatalpar@krishibank.org.bd</t>
  </si>
  <si>
    <t>035120492</t>
  </si>
  <si>
    <t>CHAYARKURI BAZAR BRANCH</t>
  </si>
  <si>
    <t>CHAYARKURI_BAZAR_BRANCH</t>
  </si>
  <si>
    <t>2425 / 049</t>
  </si>
  <si>
    <t>CHAYARKURI BAZAR, BRAHMANBARIA</t>
  </si>
  <si>
    <t>mgrchaiyarkuribazar@krishibank.org.bd</t>
  </si>
  <si>
    <t>035120821</t>
  </si>
  <si>
    <t>GOPINATHPUR BAZAR BRANCH</t>
  </si>
  <si>
    <t>GOPINATHPUR_BAZAR_BRANCH</t>
  </si>
  <si>
    <t>2435 / 2435</t>
  </si>
  <si>
    <t>GOPINATHPUR BAZAR, BRAHMANBARIA</t>
  </si>
  <si>
    <t>mgrgopinathpurbazar@krishibank.org.bd</t>
  </si>
  <si>
    <t>035120850</t>
  </si>
  <si>
    <t>GOSHAIRPUR BRANCH</t>
  </si>
  <si>
    <t>GOSHAIRPUR_BRANCH</t>
  </si>
  <si>
    <t>2416 / 085</t>
  </si>
  <si>
    <t>GOSHAIRPUR BAZAR, BRAHMANBARIA</t>
  </si>
  <si>
    <t>mgrgosaipur@krishibank.org.bd</t>
  </si>
  <si>
    <t>035120942</t>
  </si>
  <si>
    <t>JIBANGANJ BAZAR BRANCH</t>
  </si>
  <si>
    <t>JIBANGANJ_BAZAR_BRANCH</t>
  </si>
  <si>
    <t>2430 / 094</t>
  </si>
  <si>
    <t>JIBANGANJ, NABINAGAR, BRAHMANBARIA 3419</t>
  </si>
  <si>
    <t>mgrjibongonjbazar@krishibank.org.bd</t>
  </si>
  <si>
    <t>035120971</t>
  </si>
  <si>
    <t>KAITALA BRANCH</t>
  </si>
  <si>
    <t>KAITALA_BRANCH</t>
  </si>
  <si>
    <t>2432 / 097</t>
  </si>
  <si>
    <t>KAITALA, NABINAGAR, BRAHMANBARIA 3417</t>
  </si>
  <si>
    <t>mgrkaitala@krishibank.org.bd</t>
  </si>
  <si>
    <t>035121004</t>
  </si>
  <si>
    <t>KALIKACCHA BRANCH</t>
  </si>
  <si>
    <t>KALIKACCHA_BRANCH</t>
  </si>
  <si>
    <t>2412 / 100</t>
  </si>
  <si>
    <t>KALIKACCHA, SARAIL, BRAHMANBARIA</t>
  </si>
  <si>
    <t>mgrkalikaccha@krishibank.org.bd</t>
  </si>
  <si>
    <t>035121033</t>
  </si>
  <si>
    <t>2422 / 103</t>
  </si>
  <si>
    <t>KASBA, BRAHMANBARIA</t>
  </si>
  <si>
    <t>mgrkasba@krishibank.org.bd</t>
  </si>
  <si>
    <t>035121091</t>
  </si>
  <si>
    <t>KUTI BAZAR BRANCH</t>
  </si>
  <si>
    <t>KUTI_BAZAR_BRANCH</t>
  </si>
  <si>
    <t>2434 / 109</t>
  </si>
  <si>
    <t>KUTI, KASBA, BRAHMANBARIA</t>
  </si>
  <si>
    <t>mgrkutibazar@krishibank.org.bd</t>
  </si>
  <si>
    <t>035121154</t>
  </si>
  <si>
    <t>2404 / 115</t>
  </si>
  <si>
    <t>LALPUR BAZAR, ASHUGANJ, BRAHMANBARIA</t>
  </si>
  <si>
    <t>mgrlalpurbazar@krishibank.org.bd</t>
  </si>
  <si>
    <t>035121183</t>
  </si>
  <si>
    <t>LAURFATEHPUR BRANCH</t>
  </si>
  <si>
    <t>LAURFATEHPUR_BRANCH</t>
  </si>
  <si>
    <t>2426 / 118</t>
  </si>
  <si>
    <t>LAUR FATEHPUR, NABINAGAR, BRAHMANBARIA</t>
  </si>
  <si>
    <t>mgrlaurfatehpur@krishibank.org.bd</t>
  </si>
  <si>
    <t>035121367</t>
  </si>
  <si>
    <t>2415 / 136</t>
  </si>
  <si>
    <t>NABINAGAR, BRAHMANBARIA</t>
  </si>
  <si>
    <t>mgrnabinagar@krishibank.org.bd</t>
  </si>
  <si>
    <t>035121396</t>
  </si>
  <si>
    <t>NASIRNAGAR BRANCH</t>
  </si>
  <si>
    <t>NASIRNAGAR_BRANCH</t>
  </si>
  <si>
    <t>2419 / 139</t>
  </si>
  <si>
    <t>NASIRNAGAR, BRAHMANBARIA</t>
  </si>
  <si>
    <t>mgrnasirnagar@krishibank.org.bd</t>
  </si>
  <si>
    <t>035121488</t>
  </si>
  <si>
    <t>NOORPUR BAZAR BRANCH</t>
  </si>
  <si>
    <t>NOORPUR_BAZAR_BRANCH</t>
  </si>
  <si>
    <t>2405 / 148</t>
  </si>
  <si>
    <t>NOORPUR, NASIRNAGAR, BRAHMANBARIA 3440</t>
  </si>
  <si>
    <t>mgrnoorpurbazar@krishibank.org.bd</t>
  </si>
  <si>
    <t>035121604</t>
  </si>
  <si>
    <t>SARAIL BRANCH</t>
  </si>
  <si>
    <t>SARAIL_BRANCH</t>
  </si>
  <si>
    <t>2410 / 160</t>
  </si>
  <si>
    <t>SARAIL BAZAR, BRAHMANBARIA</t>
  </si>
  <si>
    <t>mgrsarail@krishibank.org.bd</t>
  </si>
  <si>
    <t>035121691</t>
  </si>
  <si>
    <t>SATBARGA BAZAR BRANCH</t>
  </si>
  <si>
    <t>SATBARGA_BAZAR_BRANCH</t>
  </si>
  <si>
    <t>2403 / 169</t>
  </si>
  <si>
    <t>SATBARGA BAZAR, BIJOYNAGAR, BRAHMANBARIA</t>
  </si>
  <si>
    <t>mgrsatbargabazar@krishibank.org.bd</t>
  </si>
  <si>
    <t>035120089</t>
  </si>
  <si>
    <t>SATMURA BAZAR BRANCH</t>
  </si>
  <si>
    <t>SATMURA_BAZAR_BRANCH</t>
  </si>
  <si>
    <t>2436 / 2436</t>
  </si>
  <si>
    <t>SATMURA BAZAR, BRAHMANBARIA 7850</t>
  </si>
  <si>
    <t>mgrsatmorabazar@krishibank.org.bd</t>
  </si>
  <si>
    <t>035121309</t>
  </si>
  <si>
    <t>SOYFULLAKANDI BAZAR BRANCH</t>
  </si>
  <si>
    <t>SOYFULLAKANDI_BAZAR_BRANCH</t>
  </si>
  <si>
    <t>2429 / 130</t>
  </si>
  <si>
    <t>SOYFULLAKANDI, MIRPUR BAZAR, BRAHMANBARIA</t>
  </si>
  <si>
    <t>mgrsaifullakandibazar@krishibank.org.bd</t>
  </si>
  <si>
    <t>035130103</t>
  </si>
  <si>
    <t>AINATALI BAZAR BRANCH</t>
  </si>
  <si>
    <t>AINATALI_BAZAR_BRANCH</t>
  </si>
  <si>
    <t>2521 / 010</t>
  </si>
  <si>
    <t>PEARA PLAZA, AINATALI BAZAR, CHANDPUR</t>
  </si>
  <si>
    <t>mgraynatali@krishibank.org.bd</t>
  </si>
  <si>
    <t>035130282</t>
  </si>
  <si>
    <t>ASHIKHATI BRANCH</t>
  </si>
  <si>
    <t>ASHIKHATI_BRANCH</t>
  </si>
  <si>
    <t>2526 / 028</t>
  </si>
  <si>
    <t>ASHIKHATI, BABURHAT, CHANDPUR 3602</t>
  </si>
  <si>
    <t>mgrbsticshilpanagari@krishibank.org.bd</t>
  </si>
  <si>
    <t>035130161</t>
  </si>
  <si>
    <t>BAGRA BAZAR BRANCH</t>
  </si>
  <si>
    <t>BAGRA_BAZAR_BRANCH</t>
  </si>
  <si>
    <t>2515 / 016</t>
  </si>
  <si>
    <t>BAGRA BAZAR, CHANDPUR 3600</t>
  </si>
  <si>
    <t>017 30708157</t>
  </si>
  <si>
    <t>mgrbagrabazar@krishibank.org.bd</t>
  </si>
  <si>
    <t>035130190</t>
  </si>
  <si>
    <t>BAKILA BAZAR BRANCH</t>
  </si>
  <si>
    <t>BAKILA_BAZAR_BRANCH</t>
  </si>
  <si>
    <t>2518 / 019</t>
  </si>
  <si>
    <t>BAKILA BAZAR, HAJIGANJ, CHANDPUR 3611</t>
  </si>
  <si>
    <t>017 30708158</t>
  </si>
  <si>
    <t>mgrbakilabazar@krishibank.org.bd</t>
  </si>
  <si>
    <t>035130316</t>
  </si>
  <si>
    <t>2501 / 031</t>
  </si>
  <si>
    <t>TOMA PLAZA, MUKTIJODDHA ROAD, CHANDPUR</t>
  </si>
  <si>
    <t>mgrchandpur@krishibank.org.bd</t>
  </si>
  <si>
    <t>035130466</t>
  </si>
  <si>
    <t>2508 / 046</t>
  </si>
  <si>
    <t>CHANDRA BAZAR, FARIDGANJ, CHANDPUR</t>
  </si>
  <si>
    <t>mgrchandrabazar@krishibank.org.bd</t>
  </si>
  <si>
    <t>035130529</t>
  </si>
  <si>
    <t>CHARBHAIRABI BRANCH</t>
  </si>
  <si>
    <t>CHARBHAIRABI_BRANCH</t>
  </si>
  <si>
    <t>2517 / 052</t>
  </si>
  <si>
    <t>CHAR BHAIRABI BAZAR, CHANDPUR 3660</t>
  </si>
  <si>
    <t>017 30708161</t>
  </si>
  <si>
    <t>mgrcharbhairabibazar@krishibank.org.bd</t>
  </si>
  <si>
    <t>035130495</t>
  </si>
  <si>
    <t>CHHANGERCHAR BRANCH</t>
  </si>
  <si>
    <t>CHHANGERCHAR_BRANCH</t>
  </si>
  <si>
    <t>2510 / 049</t>
  </si>
  <si>
    <t>CHHANGER CHAR, MATLAB NORTH, CHANDPUR</t>
  </si>
  <si>
    <t>mgrchangerchar@krishibank.org.bd</t>
  </si>
  <si>
    <t>035130611</t>
  </si>
  <si>
    <t>CHOTO SUNDAR BAZAR BRANCH</t>
  </si>
  <si>
    <t>CHOTO_SUNDAR_BAZAR_BRANCH</t>
  </si>
  <si>
    <t>2503 / 061</t>
  </si>
  <si>
    <t>CHOTO SUNDAR BAZAR, ALGIPANCHGAO, CHANDPUR 3600</t>
  </si>
  <si>
    <t>017 30708163</t>
  </si>
  <si>
    <t>mgrchotosundarbazar@krishibank.org.bd</t>
  </si>
  <si>
    <t>035130679</t>
  </si>
  <si>
    <t>FARIDGANJ BRANCH</t>
  </si>
  <si>
    <t>FARIDGANJ_BRANCH</t>
  </si>
  <si>
    <t>2505 / 067</t>
  </si>
  <si>
    <t>FARIDGANJ, CHANDPUR</t>
  </si>
  <si>
    <t>mgrfaridgonj@krishibank.org.bd</t>
  </si>
  <si>
    <t>035130703</t>
  </si>
  <si>
    <t>GAZRA BAZAR BRANCH</t>
  </si>
  <si>
    <t>GAZRA_BAZAR_BRANCH</t>
  </si>
  <si>
    <t>2525 / 070</t>
  </si>
  <si>
    <t>GAZRA BAZAR, MATLAB NORTH, CHANDPUR 3640</t>
  </si>
  <si>
    <t>017 30708165</t>
  </si>
  <si>
    <t>mgrgazrabazar@krishibank.org.bd</t>
  </si>
  <si>
    <t>035130824</t>
  </si>
  <si>
    <t>GULBAHAR BRANCH</t>
  </si>
  <si>
    <t>GULBAHAR_BRANCH</t>
  </si>
  <si>
    <t>2524 / 082</t>
  </si>
  <si>
    <t>GULBAHAR, KACHUA, CHANDPUR</t>
  </si>
  <si>
    <t>mgrgulbahar@krishibank.org.bd</t>
  </si>
  <si>
    <t>035130853</t>
  </si>
  <si>
    <t>HAIMCHAR BRANCH</t>
  </si>
  <si>
    <t>HAIMCHAR_BRANCH</t>
  </si>
  <si>
    <t>2504 / 085</t>
  </si>
  <si>
    <t>ALGI BAZAR, HAIMCHAR, CHANDPUR</t>
  </si>
  <si>
    <t>mgrhaimchar@ krishibank.org.bd</t>
  </si>
  <si>
    <t>035130882</t>
  </si>
  <si>
    <t>2511 / 088</t>
  </si>
  <si>
    <t>AHMAD PLAZA, HAJIGANJ, CHANDPUR</t>
  </si>
  <si>
    <t>mgrhajigonj@krishibank.org.bd</t>
  </si>
  <si>
    <t>035130916</t>
  </si>
  <si>
    <t>2512 / 091</t>
  </si>
  <si>
    <t>KACHUA BAZAR, CHANDPUR</t>
  </si>
  <si>
    <t>035130945</t>
  </si>
  <si>
    <t>KAKAIRTALA BAZAR BRANCH</t>
  </si>
  <si>
    <t>KAKAIRTALA_BAZAR_BRANCH</t>
  </si>
  <si>
    <t>2514 / 094</t>
  </si>
  <si>
    <t>KAKAIRTALA BAZAR, SHAHRASTI, CHANDPUR 3620</t>
  </si>
  <si>
    <t>mgrkakairtala@krishibank.org.bd</t>
  </si>
  <si>
    <t>035131007</t>
  </si>
  <si>
    <t>KALIRBAZAR BRANCH</t>
  </si>
  <si>
    <t>KALIRBAZAR_BRANCH</t>
  </si>
  <si>
    <t>2507 / 100</t>
  </si>
  <si>
    <t>KALIR BAZAR, FARIDGANJ, CHANDPUR</t>
  </si>
  <si>
    <t>mgrkalirbazar@krishibank.org.bd</t>
  </si>
  <si>
    <t>035131131</t>
  </si>
  <si>
    <t>MAJIGACHA BAZAR BRANCH</t>
  </si>
  <si>
    <t>MAJIGACHA_BAZAR_BRANCH</t>
  </si>
  <si>
    <t>2528</t>
  </si>
  <si>
    <t>MAJIGACHA BAZAR, KACHUA, CHANDPUR</t>
  </si>
  <si>
    <t>mgrmajhigachabazar@krishibank.org.bd</t>
  </si>
  <si>
    <t>035131157</t>
  </si>
  <si>
    <t>MASTER BAZAR BRANCH</t>
  </si>
  <si>
    <t>MASTER_BAZAR_BRANCH</t>
  </si>
  <si>
    <t>2523 / 115</t>
  </si>
  <si>
    <t>MASTER BAZAR, MATLAB, CHANDPUR 3640</t>
  </si>
  <si>
    <t>017 30708172</t>
  </si>
  <si>
    <t>mgrmasterbazar@krishibank.org.bd</t>
  </si>
  <si>
    <t>035131186</t>
  </si>
  <si>
    <t>2509 / 118</t>
  </si>
  <si>
    <t>MATLAB BAZAR, MATLAB, CHANDPUR 3640</t>
  </si>
  <si>
    <t>mgrmatlab@krishibank.org.bd</t>
  </si>
  <si>
    <t>035131331</t>
  </si>
  <si>
    <t>2506 / 133</t>
  </si>
  <si>
    <t>MUNSHIRHAT, MATLAB, CHANDPUR 3640</t>
  </si>
  <si>
    <t>mgrmunshirhat@krishibank.org.bd</t>
  </si>
  <si>
    <t>035131515</t>
  </si>
  <si>
    <t>NAURIBAZAR BRANCH</t>
  </si>
  <si>
    <t>NAURIBAZAR_BRANCH</t>
  </si>
  <si>
    <t>2519 / 151</t>
  </si>
  <si>
    <t>NAURI AHAMMADIA BIDDYALAY, NAURI BAZAR, MATLAB, CHANDPUR 3643</t>
  </si>
  <si>
    <t>017 30708175</t>
  </si>
  <si>
    <t>mgrnauribazar@krishibank.org.bd</t>
  </si>
  <si>
    <t>035131636</t>
  </si>
  <si>
    <t>PIROJPUR BAZAR BRANCH</t>
  </si>
  <si>
    <t>PIROJPUR_BAZAR_BRANCH</t>
  </si>
  <si>
    <t>2527 / 163</t>
  </si>
  <si>
    <t>PIROJPUR BAZAR, RAGHUNATHPUR, HAJIGANJ, CHANDPUR 3611</t>
  </si>
  <si>
    <t>017 30708176</t>
  </si>
  <si>
    <t>mgrpirojpurbazar@krishibank.org.bd</t>
  </si>
  <si>
    <t>035131665</t>
  </si>
  <si>
    <t>2502 / 166</t>
  </si>
  <si>
    <t>BASTAPATTY, PURANA BAZAR, CHANDPUR 3601</t>
  </si>
  <si>
    <t>mgrpuranbazar@krishibank.org.bd</t>
  </si>
  <si>
    <t>035131810</t>
  </si>
  <si>
    <t>SACHAR BAZAR BRANCH</t>
  </si>
  <si>
    <t>SACHAR_BAZAR_BRANCH</t>
  </si>
  <si>
    <t>2522 / 181</t>
  </si>
  <si>
    <t>SACHAR BAZAR, KACHUA, CHANDPUR</t>
  </si>
  <si>
    <t>mgrsacharbazar@krishibank.org.bd</t>
  </si>
  <si>
    <t>035131960</t>
  </si>
  <si>
    <t>SAHEB BAZAR BRANCH</t>
  </si>
  <si>
    <t>SAHEB_BAZAR_BRANCH</t>
  </si>
  <si>
    <t>2520 / 196</t>
  </si>
  <si>
    <t>SAHEB BAZAR, NARAYANPUR BAZAR, CHANDPUR 3600</t>
  </si>
  <si>
    <t>017 30708179</t>
  </si>
  <si>
    <t>mgrsahebbazar@krishibank.org.bd</t>
  </si>
  <si>
    <t>035130095</t>
  </si>
  <si>
    <t>SHAHARPAR BRANCH</t>
  </si>
  <si>
    <t>SHAHARPAR_BRANCH</t>
  </si>
  <si>
    <t>2529 / 2529</t>
  </si>
  <si>
    <t>SHAHARPAR, RAHIMANAGAR, KACHUA, CHANDPUR 8120</t>
  </si>
  <si>
    <t>mgrshaharpar@krishibank.org.bd</t>
  </si>
  <si>
    <t>035131999</t>
  </si>
  <si>
    <t>SHAHRASTI BRANCH</t>
  </si>
  <si>
    <t>SHAHRASTI_BRANCH</t>
  </si>
  <si>
    <t>2513 / 199</t>
  </si>
  <si>
    <t>NEW MARKET, SHAHRASTI, CHANDPUR</t>
  </si>
  <si>
    <t>mgrshahrasti@krishibank.org.bd</t>
  </si>
  <si>
    <t>035150075</t>
  </si>
  <si>
    <t>ABUR HAT BRANCH</t>
  </si>
  <si>
    <t>ABUR_HAT_BRANCH</t>
  </si>
  <si>
    <t>2918 / 007</t>
  </si>
  <si>
    <t>ABUR HAT BAZAR, ISAKHALI, MIRSARAI, CHITTAGONG</t>
  </si>
  <si>
    <t>mgraburhat@krishibank.org.bd</t>
  </si>
  <si>
    <t>035150109</t>
  </si>
  <si>
    <t>ABUTORAB BAZAR BRANCH</t>
  </si>
  <si>
    <t>ABUTORAB_BAZAR_BRANCH</t>
  </si>
  <si>
    <t>2915 / 010</t>
  </si>
  <si>
    <t>ABU TORAB BAZAR, MIRSARAI, CHITTAGONG 4321</t>
  </si>
  <si>
    <t>mgrabutorabbazar@krishibank.org.bd</t>
  </si>
  <si>
    <t>035150138</t>
  </si>
  <si>
    <t>AGRABAD CORPORATE BRANCH</t>
  </si>
  <si>
    <t>AGRABAD_CORPORATE_BRANCH</t>
  </si>
  <si>
    <t>2903 / 013</t>
  </si>
  <si>
    <t>NOOR MANSION, 15 AGRABAD C/A, CHITTAGONG 4100</t>
  </si>
  <si>
    <t>031 2520038, 2520070, 723600</t>
  </si>
  <si>
    <t>corpagrabad@krishibank.org.bd</t>
  </si>
  <si>
    <t>035150220</t>
  </si>
  <si>
    <t>ALAMSHAPARA MADRASHA BRANCH</t>
  </si>
  <si>
    <t>ALAMSHAPARA_MADRASHA_BRANCH</t>
  </si>
  <si>
    <t>3308 / 022</t>
  </si>
  <si>
    <t>ALAMSHAPARA KAMIL MA MADRASHA, RANGUNIA, CHITTAGONG</t>
  </si>
  <si>
    <t>mgralamshahpara@krishibank.org.bd</t>
  </si>
  <si>
    <t>035150525</t>
  </si>
  <si>
    <t>ANWARA BRANCH</t>
  </si>
  <si>
    <t>ANWARA_BRANCH</t>
  </si>
  <si>
    <t>3008 / 052</t>
  </si>
  <si>
    <t>ANWARA, CHITTAGONG</t>
  </si>
  <si>
    <t>mgranowara@krishibank.org.bd</t>
  </si>
  <si>
    <t>035150246</t>
  </si>
  <si>
    <t>ASHRAFALI CHOWDHURY HAT BRANCH</t>
  </si>
  <si>
    <t>ASHRAFALI_CHOWDHURY_HAT_BRANCH</t>
  </si>
  <si>
    <t>5501 / 5501</t>
  </si>
  <si>
    <t>ASHRAF ALI CHOWDHURY HAT, RAOZAN, CHITTAGONG</t>
  </si>
  <si>
    <t>aachyhat@krishibank.org.bd</t>
  </si>
  <si>
    <t>035150738</t>
  </si>
  <si>
    <t>AZADIBAZAR BRANCH</t>
  </si>
  <si>
    <t>AZADIBAZAR_BRANCH</t>
  </si>
  <si>
    <t>2908 / 073</t>
  </si>
  <si>
    <t>AZADI BAZAR, FATIKCHHARI, CHITTAGONG</t>
  </si>
  <si>
    <t>mgrazadibazar@krishibank.org.bd</t>
  </si>
  <si>
    <t>035150767</t>
  </si>
  <si>
    <t>BADAMTALI BRANCH</t>
  </si>
  <si>
    <t>BADAMTALI_BRANCH</t>
  </si>
  <si>
    <t>2928 / 076</t>
  </si>
  <si>
    <t>BADAMTALI, KANCHANNAGAR, CHANDANAISH, CHITTAGONG 4322</t>
  </si>
  <si>
    <t>017 30708188</t>
  </si>
  <si>
    <t>mgrbadamtali@krishibank.org.bd</t>
  </si>
  <si>
    <t>035150888</t>
  </si>
  <si>
    <t>BAMANSUNDER DAROGARHAT BRANCH</t>
  </si>
  <si>
    <t>BAMANSUNDER_DAROGARHAT_BRANCH</t>
  </si>
  <si>
    <t>2917 / 088</t>
  </si>
  <si>
    <t>BAMANSUNDER, DAROGARHAT, MIRSARAI, CHITTAGONG</t>
  </si>
  <si>
    <t>mgrbsdarogahat@krishibank.org.bd</t>
  </si>
  <si>
    <t>035150970</t>
  </si>
  <si>
    <t>3208 / 097</t>
  </si>
  <si>
    <t>JOLDI, BANSHKHALI, CHITTAGONG</t>
  </si>
  <si>
    <t>mgrbanshkhali@krishibank.org.bd</t>
  </si>
  <si>
    <t>035151061</t>
  </si>
  <si>
    <t>BARAIADHALA BRANCH</t>
  </si>
  <si>
    <t>BARAIADHALA_BRANCH</t>
  </si>
  <si>
    <t>2926 / 106</t>
  </si>
  <si>
    <t>BARAIADHALA, SITAKUNDA, CHITTAGONG 4310</t>
  </si>
  <si>
    <t>017 30708190</t>
  </si>
  <si>
    <t>mgrbaraiadhala@krishibank.org.bd</t>
  </si>
  <si>
    <t>035151090</t>
  </si>
  <si>
    <t>BARAIARHAT BRANCH</t>
  </si>
  <si>
    <t>BARAIARHAT_BRANCH</t>
  </si>
  <si>
    <t>2916 / 109</t>
  </si>
  <si>
    <t>LILY MARKET, BARAIARHAT, MIRSARAI, CHITTAGONG</t>
  </si>
  <si>
    <t>mgrbaroiermarket@krishibank.org.bd</t>
  </si>
  <si>
    <t>035151308</t>
  </si>
  <si>
    <t>3007 / 130</t>
  </si>
  <si>
    <t>BOALKHALI, CHITTAGONG</t>
  </si>
  <si>
    <t>mgrboalkhali@krishibank.org.bd</t>
  </si>
  <si>
    <t>035151337</t>
  </si>
  <si>
    <t>BOMANGHAT BRANCH</t>
  </si>
  <si>
    <t>BOMANGHAT_BRANCH</t>
  </si>
  <si>
    <t>3206 / 133</t>
  </si>
  <si>
    <t>BOMANGHAT, BAJALIA, SATKANIA, CHITTAGONG 4312</t>
  </si>
  <si>
    <t>017 30708193</t>
  </si>
  <si>
    <t>mgrbomanghat@krishibank.org.bd</t>
  </si>
  <si>
    <t>035151429</t>
  </si>
  <si>
    <t>BUDHPURA HAT BRANCH</t>
  </si>
  <si>
    <t>BUDHPURA_HAT_BRANCH</t>
  </si>
  <si>
    <t>3009 / 142</t>
  </si>
  <si>
    <t>BUDHPURAHAT, PATIYA, CHITTAGONG 4370</t>
  </si>
  <si>
    <t>017 30708194</t>
  </si>
  <si>
    <t>mgrbudhpurahat@krishibank.org.bd</t>
  </si>
  <si>
    <t>035150112</t>
  </si>
  <si>
    <t>CHAITONNERHAT BRANCH</t>
  </si>
  <si>
    <t>CHAITONNERHAT_BRANCH</t>
  </si>
  <si>
    <t>2935 / 2935</t>
  </si>
  <si>
    <t>CHAITTONNER HAT, DURGAPUR, SITAKUNDA, CHITTAGONG</t>
  </si>
  <si>
    <t>mgrchaittonnerhat@krishibank.org.bd</t>
  </si>
  <si>
    <t>035151782</t>
  </si>
  <si>
    <t>CHAKTAI CHALPATTY BRANCH</t>
  </si>
  <si>
    <t>CHAKTAI_CHALPATTY_BRANCH</t>
  </si>
  <si>
    <t>2902 / 178</t>
  </si>
  <si>
    <t>CHAKTAI CHALPATTY, BAKLIA,CHITTAGONG</t>
  </si>
  <si>
    <t>mgrchalpatti@krishibank.org.bd</t>
  </si>
  <si>
    <t>035151816</t>
  </si>
  <si>
    <t>CHANDANAISH BRANCH</t>
  </si>
  <si>
    <t>CHANDANAISH_BRANCH</t>
  </si>
  <si>
    <t>3005 / 181</t>
  </si>
  <si>
    <t>JOARA, CHANDANAISH, CHITTAGONG</t>
  </si>
  <si>
    <t>mgrchandanaish@krishibank.org.bd</t>
  </si>
  <si>
    <t>035151874</t>
  </si>
  <si>
    <t>CHATORI BRANCH</t>
  </si>
  <si>
    <t>CHATORI_BRANCH</t>
  </si>
  <si>
    <t>3010 / 187</t>
  </si>
  <si>
    <t>CHATORI CHOWMUHANI, ANWARA, CHITTAGONG</t>
  </si>
  <si>
    <t>mgrchatari@krishibank.org.bd</t>
  </si>
  <si>
    <t>035151966</t>
  </si>
  <si>
    <t>CHITTAGONG CORPORATE BRANCH</t>
  </si>
  <si>
    <t>CHITTAGONG_CORPORATE_BRANCH</t>
  </si>
  <si>
    <t>2901 / 196</t>
  </si>
  <si>
    <t>61 JUBLEE ROAD, CHITTAGONG 4000</t>
  </si>
  <si>
    <t>031 2852319, 614088</t>
  </si>
  <si>
    <t>mgrchittagong@krishibank.org.bd</t>
  </si>
  <si>
    <t>035152231</t>
  </si>
  <si>
    <t>COLLEGE BAZAR BRANCH</t>
  </si>
  <si>
    <t>COLLEGE_BAZAR_BRANCH</t>
  </si>
  <si>
    <t>3003 / 223</t>
  </si>
  <si>
    <t>ANOWAR MARKET, SIKALBAHA, PATIYA, CHITTAGONG 4370</t>
  </si>
  <si>
    <t>017 30708199</t>
  </si>
  <si>
    <t>mgrcollegebazar@krishibank.org.bd</t>
  </si>
  <si>
    <t>035152536</t>
  </si>
  <si>
    <t>DHOPARHAT BRANCH</t>
  </si>
  <si>
    <t>DHOPARHAT_BRANCH</t>
  </si>
  <si>
    <t>2930 / 253</t>
  </si>
  <si>
    <t>DHOPARHAT, OSMANIA BAZAR, SANDWIP, CHITTAGONG 4650</t>
  </si>
  <si>
    <t>017 30708200</t>
  </si>
  <si>
    <t>mgrdhoparhat@krishibank.org.bd</t>
  </si>
  <si>
    <t>035152565</t>
  </si>
  <si>
    <t>DOHAZARI BRANCH</t>
  </si>
  <si>
    <t>DOHAZARI_BRANCH</t>
  </si>
  <si>
    <t>3002 / 256</t>
  </si>
  <si>
    <t>DOHAZARI, CHANDANAISH, CHITTAGONG</t>
  </si>
  <si>
    <t>mgrdohazari@krishibank.org.bd</t>
  </si>
  <si>
    <t>035152749</t>
  </si>
  <si>
    <t>FATIKCHHARI BRANCH</t>
  </si>
  <si>
    <t>FATIKCHHARI_BRANCH</t>
  </si>
  <si>
    <t>2906 / 274</t>
  </si>
  <si>
    <t>FATIKCHHARI, CHITTAGONG</t>
  </si>
  <si>
    <t>mgrfatickchari@krishibank.org.bd</t>
  </si>
  <si>
    <t>035152778</t>
  </si>
  <si>
    <t>FAZILKHAR HAT BRANCH</t>
  </si>
  <si>
    <t>FAZILKHAR_HAT_BRANCH</t>
  </si>
  <si>
    <t>3011 / 277</t>
  </si>
  <si>
    <t>FAZILKHAR HAT, PATIYA, CHITTAGONG 4370</t>
  </si>
  <si>
    <t>017 30708203</t>
  </si>
  <si>
    <t>mgrfazilkharhat@krishibank.org.bd</t>
  </si>
  <si>
    <t>035152923</t>
  </si>
  <si>
    <t>GACHUA BRANCH</t>
  </si>
  <si>
    <t>GACHUA_BRANCH</t>
  </si>
  <si>
    <t>2912 / 292</t>
  </si>
  <si>
    <t>GACHUA, SANDWIP, CHITTAGONG</t>
  </si>
  <si>
    <t>mgrgachua@krishibank.org.bd</t>
  </si>
  <si>
    <t>035153227</t>
  </si>
  <si>
    <t>2919 / 322</t>
  </si>
  <si>
    <t>HATHAZARI, CHITTAGONG</t>
  </si>
  <si>
    <t>mgrhathajari@krishibank.org.bd</t>
  </si>
  <si>
    <t>035153285</t>
  </si>
  <si>
    <t>HEAKO BRANCH</t>
  </si>
  <si>
    <t>HEAKO_BRANCH</t>
  </si>
  <si>
    <t>2907 / 328</t>
  </si>
  <si>
    <t>HEAKO, BHUJPUR, FATIKCHHARI, CHITTAGONG</t>
  </si>
  <si>
    <t>mgrheako@krishibank.org.bd</t>
  </si>
  <si>
    <t>035153856</t>
  </si>
  <si>
    <t>KALIPUR BRANCH</t>
  </si>
  <si>
    <t>KALIPUR_BRANCH</t>
  </si>
  <si>
    <t>3210 / 385</t>
  </si>
  <si>
    <t>KALIPUR, GUNAGORI BAZAR, BANSHKHALI, CHITTAGONG 4390</t>
  </si>
  <si>
    <t>017 30708207</t>
  </si>
  <si>
    <t>mgrkalipur@krishibank.org.bd</t>
  </si>
  <si>
    <t>035153977</t>
  </si>
  <si>
    <t>KAMAL BAZAR BRANCH</t>
  </si>
  <si>
    <t>KAMAL_BAZAR_BRANCH</t>
  </si>
  <si>
    <t>2904 / 397</t>
  </si>
  <si>
    <t>KAMAL BAZAR, MOHARA, CHANDGAON, CHITTAGONG</t>
  </si>
  <si>
    <t>mgrkamalbazar@krishibank.org.bd</t>
  </si>
  <si>
    <t>035154121</t>
  </si>
  <si>
    <t>KATIRHAT BRANCH</t>
  </si>
  <si>
    <t>KATIRHAT_BRANCH</t>
  </si>
  <si>
    <t>2927 / 412</t>
  </si>
  <si>
    <t>KATIRHAT, HATHAZARI, CHITTAGONG</t>
  </si>
  <si>
    <t>mgrkatirhat@krishibank.org.bd</t>
  </si>
  <si>
    <t>035154189</t>
  </si>
  <si>
    <t>KERANIHAT BRANCH</t>
  </si>
  <si>
    <t>KERANIHAT_BRANCH</t>
  </si>
  <si>
    <t>3207 / 418</t>
  </si>
  <si>
    <t>KERANIHAT BAZAR, SATKANIA, CHITTAGONG 4386</t>
  </si>
  <si>
    <t>mgrkeranihat@krishibank.org.bd</t>
  </si>
  <si>
    <t>035154271</t>
  </si>
  <si>
    <t>2929 / 427</t>
  </si>
  <si>
    <t>LAMABAZAR, KHATUNGANJ, CHITTAGONG</t>
  </si>
  <si>
    <t>mgrkhatungonj@krishibank.org.bd</t>
  </si>
  <si>
    <t>035154334</t>
  </si>
  <si>
    <t>KHODARHAT BRANCH</t>
  </si>
  <si>
    <t>KHODARHAT_BRANCH</t>
  </si>
  <si>
    <t>3006 / 433</t>
  </si>
  <si>
    <t>KHODARHAT, AMILAISH, CHANDANAISH, CHITTAGONG 4380</t>
  </si>
  <si>
    <t>017 30708212</t>
  </si>
  <si>
    <t>mgrkhodarhat@krishibank.org.bd</t>
  </si>
  <si>
    <t>035154455</t>
  </si>
  <si>
    <t>KUMIRA BRANCH</t>
  </si>
  <si>
    <t>KUMIRA_BRANCH</t>
  </si>
  <si>
    <t>2925 / 445</t>
  </si>
  <si>
    <t>BARA KUMIRA BAZAR, SITAKUNDA, CHITTAGONG</t>
  </si>
  <si>
    <t>mgrkumira@krishibank.org.bd</t>
  </si>
  <si>
    <t>035154668</t>
  </si>
  <si>
    <t>3211 / 466</t>
  </si>
  <si>
    <t>LOHAGARA, CHITTAGONG</t>
  </si>
  <si>
    <t>mgrlohagara@krishibank.org.bd</t>
  </si>
  <si>
    <t>035154721</t>
  </si>
  <si>
    <t>MADANHAT BRANCH</t>
  </si>
  <si>
    <t>MADANHAT_BRANCH</t>
  </si>
  <si>
    <t>2920 / 472</t>
  </si>
  <si>
    <t>MADANHAT, FATEHPUR, HATHAZARI, CHITTAGONG 4330</t>
  </si>
  <si>
    <t>mgrmadanhat@krishibank.org.bd</t>
  </si>
  <si>
    <t>035154789</t>
  </si>
  <si>
    <t>MAIZ BHANDER SHARIF</t>
  </si>
  <si>
    <t>MAIZ_BHANDER_SHARIF</t>
  </si>
  <si>
    <t>478</t>
  </si>
  <si>
    <t>035155054</t>
  </si>
  <si>
    <t>MIRSARAI BRANCH</t>
  </si>
  <si>
    <t>MIRSARAI_BRANCH</t>
  </si>
  <si>
    <t>2913 / 505</t>
  </si>
  <si>
    <t>MIRSARAI, CHITTAGONG</t>
  </si>
  <si>
    <t>mgrmirsharai@krishibank.org.bd</t>
  </si>
  <si>
    <t>035155470</t>
  </si>
  <si>
    <t>NAPORA BAZAR BRANCH</t>
  </si>
  <si>
    <t>NAPORA_BAZAR_BRANCH</t>
  </si>
  <si>
    <t>3209 / 547</t>
  </si>
  <si>
    <t>NAPORA BAZAR, BANSHKHALI, CHITTAGONG</t>
  </si>
  <si>
    <t>mgrnaporabazar@krishibank.org.bd</t>
  </si>
  <si>
    <t>035155504</t>
  </si>
  <si>
    <t>NARAYANHAT BRANCH</t>
  </si>
  <si>
    <t>NARAYANHAT_BRANCH</t>
  </si>
  <si>
    <t>2909 / 550</t>
  </si>
  <si>
    <t>NARAYANHAT, FATIKCHHARI, CHITTAGONG</t>
  </si>
  <si>
    <t>mgrnarayanhat@krishibank.org.bd</t>
  </si>
  <si>
    <t>035155591</t>
  </si>
  <si>
    <t>2910 / 559</t>
  </si>
  <si>
    <t>NAZIRHAT, FATIKCHHARI, CHITTAGONG</t>
  </si>
  <si>
    <t>mgrnazirhat@krishibank.org.bd</t>
  </si>
  <si>
    <t>035155625</t>
  </si>
  <si>
    <t>NAZUMIA HAT BRANCH</t>
  </si>
  <si>
    <t>NAZUMIA_HAT_BRANCH</t>
  </si>
  <si>
    <t>2921 / 562</t>
  </si>
  <si>
    <t>NAZUMIA HAT, HATHAZARI, CHITTAGONG</t>
  </si>
  <si>
    <t>mgrnazumiahat@krishibank.org.bd</t>
  </si>
  <si>
    <t>035155959</t>
  </si>
  <si>
    <t>PAHARTALI CHOWMUHANI BRANCH</t>
  </si>
  <si>
    <t>PAHARTALI_CHOWMUHANI_BRANCH</t>
  </si>
  <si>
    <t>3307 / 595</t>
  </si>
  <si>
    <t>PAHARTALI CHOWMUHANI, RAOZAN, CHITTAGONG 4349</t>
  </si>
  <si>
    <t>mgrpahartalichoumuhani@krishibank.org.bd</t>
  </si>
  <si>
    <t>035156079</t>
  </si>
  <si>
    <t>PANCHURIA DIGHIRPAR BRANCH</t>
  </si>
  <si>
    <t>PANCHURIA_DIGHIRPAR_BRANCH</t>
  </si>
  <si>
    <t>3004 / 607</t>
  </si>
  <si>
    <t>PANCHURIA DIGHIRPAR, DULINE, PATIYA, CHITTAGONG 4410</t>
  </si>
  <si>
    <t>017 30708223</t>
  </si>
  <si>
    <t>mgrpanchuriadighirpar@krishibank.org.bd</t>
  </si>
  <si>
    <t>035156132</t>
  </si>
  <si>
    <t>2922 / 613</t>
  </si>
  <si>
    <t>PATHERHAT, RAOZAN, CHITTAGONG 4340</t>
  </si>
  <si>
    <t>mgrpatherhat@krishibank.org.bd</t>
  </si>
  <si>
    <t>035156161</t>
  </si>
  <si>
    <t>3001 / 616</t>
  </si>
  <si>
    <t>PATIYA, CHITTAGONG</t>
  </si>
  <si>
    <t>mgrpatia@krishibank.org.bd</t>
  </si>
  <si>
    <t>035156190</t>
  </si>
  <si>
    <t>POMRA BRANCH</t>
  </si>
  <si>
    <t>POMRA_BRANCH</t>
  </si>
  <si>
    <t>3306 / 619</t>
  </si>
  <si>
    <t>POMRA, RANGUNIA, CHITTAGONG</t>
  </si>
  <si>
    <t>mgrpomra@krishibank.org.bd</t>
  </si>
  <si>
    <t>035156408</t>
  </si>
  <si>
    <t>RANGUNIA BRANCH</t>
  </si>
  <si>
    <t>RANGUNIA_BRANCH</t>
  </si>
  <si>
    <t>3305 / 640</t>
  </si>
  <si>
    <t>RANGUNIA, CHITTAGONG</t>
  </si>
  <si>
    <t>mgrrangunia@krishibank.org.bd</t>
  </si>
  <si>
    <t>035156437</t>
  </si>
  <si>
    <t>RANGUNIA COLLEGE BRANCH</t>
  </si>
  <si>
    <t>RANGUNIA_COLLEGE_BRANCH</t>
  </si>
  <si>
    <t>2934 / 643</t>
  </si>
  <si>
    <t>RANGUNIA COLLEGE, RANGUNIA, CHITTAGONG</t>
  </si>
  <si>
    <t>mgrranguniacollege@krishibank.org.bd</t>
  </si>
  <si>
    <t>035156495</t>
  </si>
  <si>
    <t>2923 / 649</t>
  </si>
  <si>
    <t>RAOZAN, CHITTAGONG</t>
  </si>
  <si>
    <t>mgrraujan@krishibank.org.bd</t>
  </si>
  <si>
    <t>035156916</t>
  </si>
  <si>
    <t>2911 / 691</t>
  </si>
  <si>
    <t>UPZILLA COMPLEX, SWANDIP, CHITTAGONG</t>
  </si>
  <si>
    <t>mgrsandwip@krishibank.org.bd</t>
  </si>
  <si>
    <t>035157065</t>
  </si>
  <si>
    <t>SATKANIA BRANCH</t>
  </si>
  <si>
    <t>SATKANIA_BRANCH</t>
  </si>
  <si>
    <t>3205 / 706</t>
  </si>
  <si>
    <t>SATKANIA, CHITTAGONG</t>
  </si>
  <si>
    <t>mgrsatkania@krishibank.org.bd</t>
  </si>
  <si>
    <t>035157302</t>
  </si>
  <si>
    <t>2936 / 2936</t>
  </si>
  <si>
    <t>MAIT BHANGA, SHIBERHAT, SANDWIP, CHITTAGONG 4301</t>
  </si>
  <si>
    <t>mgrshiberhat@krishibank.org.bd</t>
  </si>
  <si>
    <t>035157331</t>
  </si>
  <si>
    <t>SHOLOSHAHAR BRANCH</t>
  </si>
  <si>
    <t>SHOLOSHAHAR_BRANCH</t>
  </si>
  <si>
    <t>2931 / 733</t>
  </si>
  <si>
    <t>2 NO GATE, SHOLOSHAHAR, PANCHLAISH, CHITTAGONG</t>
  </si>
  <si>
    <t>mgrsholoshahar@krishibank.org.bd</t>
  </si>
  <si>
    <t>035157399</t>
  </si>
  <si>
    <t>2924 / 739</t>
  </si>
  <si>
    <t>SITAKUNDA PAURASAVA, SITAKUNDA, CHITTAGONG</t>
  </si>
  <si>
    <t>mgrsitakunda@krishibank.org.bd</t>
  </si>
  <si>
    <t>035157607</t>
  </si>
  <si>
    <t>TEA BOARD BRANCH</t>
  </si>
  <si>
    <t>TEA_BOARD_BRANCH</t>
  </si>
  <si>
    <t>2905 / 760</t>
  </si>
  <si>
    <t>BAYAZID BOSTAMI, NASIRABAD, CHITTAGONG</t>
  </si>
  <si>
    <t>mgrteaboard@krishibank.org.bd</t>
  </si>
  <si>
    <t>035157728</t>
  </si>
  <si>
    <t>WAHEDPUR BRANCH</t>
  </si>
  <si>
    <t>WAHEDPUR_BRANCH</t>
  </si>
  <si>
    <t>2914 / 772</t>
  </si>
  <si>
    <t>WAHEDPUR, HADI FAKIRHAT, MIRSARAI, CHITTAGONG 4360</t>
  </si>
  <si>
    <t>017 30708235</t>
  </si>
  <si>
    <t>mgrwahedpur@krishibank.org.bd</t>
  </si>
  <si>
    <t>035180045</t>
  </si>
  <si>
    <t>2003 / 004</t>
  </si>
  <si>
    <t>GARMENTS POTTY, ALAMDANGA, CHUADANGA</t>
  </si>
  <si>
    <t>mgralamdanga@krishibank.org.bd</t>
  </si>
  <si>
    <t>035180166</t>
  </si>
  <si>
    <t>BADARGANJ BAZAR BRANCH</t>
  </si>
  <si>
    <t>BADARGANJ_BAZAR_BRANCH</t>
  </si>
  <si>
    <t>2002 / 016</t>
  </si>
  <si>
    <t>BADARGANJ BAZAR, CHUADANGA</t>
  </si>
  <si>
    <t>mgrbadargonjbazar@krishibank.org.bd</t>
  </si>
  <si>
    <t>035180195</t>
  </si>
  <si>
    <t>2001 / 019</t>
  </si>
  <si>
    <t>CHUADANGA SADAR, CHUADANGA 7200</t>
  </si>
  <si>
    <t>mgrchuadanga@krishibank.org.bd</t>
  </si>
  <si>
    <t>035180287</t>
  </si>
  <si>
    <t>DAMURHUDA BRANCH</t>
  </si>
  <si>
    <t>DAMURHUDA_BRANCH</t>
  </si>
  <si>
    <t>2004 / 028</t>
  </si>
  <si>
    <t>DAMURHUDA, CHUADANGA</t>
  </si>
  <si>
    <t>mgrdamurhuda@krishibank.org.bd</t>
  </si>
  <si>
    <t>035180379</t>
  </si>
  <si>
    <t>GHOLDARI BRANCH</t>
  </si>
  <si>
    <t>GHOLDARI_BRANCH</t>
  </si>
  <si>
    <t>2011 / 037</t>
  </si>
  <si>
    <t>GHOLDARI, ALAMDANGA, CHUADANGA</t>
  </si>
  <si>
    <t>mgrgholdaribazar@krishibank.org.bd</t>
  </si>
  <si>
    <t>035180524</t>
  </si>
  <si>
    <t>HIZALGARI BRANCH</t>
  </si>
  <si>
    <t>HIZALGARI_BRANCH</t>
  </si>
  <si>
    <t>2007 / 052</t>
  </si>
  <si>
    <t>HIZALGARI, CHUADANGA 7200</t>
  </si>
  <si>
    <t>mgrhijalgari@krishibank.org.bd</t>
  </si>
  <si>
    <t>035180616</t>
  </si>
  <si>
    <t>JAGANNATHPUR BRANCH</t>
  </si>
  <si>
    <t>JAGANNATHPUR_BRANCH</t>
  </si>
  <si>
    <t>2008 / 061</t>
  </si>
  <si>
    <t>JAGANNATHPUR, DAMURHUDA, CHUADANGA</t>
  </si>
  <si>
    <t>mgrjagonnathpurchu@krishibank.org.bd</t>
  </si>
  <si>
    <t>035180553</t>
  </si>
  <si>
    <t>JAMJAMI BAZAR BRANCH</t>
  </si>
  <si>
    <t>JAMJAMI_BAZAR_BRANCH</t>
  </si>
  <si>
    <t>2009 / 055</t>
  </si>
  <si>
    <t>JAMJAMI BAZAR, ALAMDANGA, CHUADANGA 7210</t>
  </si>
  <si>
    <t>017 30708243</t>
  </si>
  <si>
    <t>mgrjamjamibazar@krishibank.org.bd</t>
  </si>
  <si>
    <t>035180582</t>
  </si>
  <si>
    <t>2005 / 058</t>
  </si>
  <si>
    <t>JIBANNAGAR, CHUADANGA</t>
  </si>
  <si>
    <t>mgrjibonnagar@krishibank.org.bd</t>
  </si>
  <si>
    <t>035180645</t>
  </si>
  <si>
    <t>JURANPUR BRANCH</t>
  </si>
  <si>
    <t>JURANPUR_BRANCH</t>
  </si>
  <si>
    <t>2010 / 064</t>
  </si>
  <si>
    <t>JURANPUR, KALABARI, DAMURHUDA, CHUADANGA 7220</t>
  </si>
  <si>
    <t>017 30708245</t>
  </si>
  <si>
    <t>mgrjiranpurchu@krishibank.org.bd</t>
  </si>
  <si>
    <t>035180887</t>
  </si>
  <si>
    <t>UTHALI BRANCH</t>
  </si>
  <si>
    <t>UTHALI_BRANCH</t>
  </si>
  <si>
    <t>2006 / 088</t>
  </si>
  <si>
    <t>BUSSTABD, UTHALI, CHUADANGA</t>
  </si>
  <si>
    <t>mgruthali@krishibank.org.bd</t>
  </si>
  <si>
    <t>035190077</t>
  </si>
  <si>
    <t>ADDA BAZAR BRANCH</t>
  </si>
  <si>
    <t>ADDA_BAZAR_BRANCH</t>
  </si>
  <si>
    <t>5305 / 5305</t>
  </si>
  <si>
    <t>ADDA, BARURA, COMILLA</t>
  </si>
  <si>
    <t>mgraddabazar@krishibank.org.bd</t>
  </si>
  <si>
    <t>035190114</t>
  </si>
  <si>
    <t>ALISHWAR BAZAR BRANCH</t>
  </si>
  <si>
    <t>ALISHWAR_BAZAR_BRANCH</t>
  </si>
  <si>
    <t>5304 / 5304</t>
  </si>
  <si>
    <t>ALISHWAR BAZAR, SADAR DAKSHIN, COMILLA</t>
  </si>
  <si>
    <t>mgralishor@krishibank.org.bd</t>
  </si>
  <si>
    <t>035190130</t>
  </si>
  <si>
    <t>AMRATALI BRANCH</t>
  </si>
  <si>
    <t>AMRATALI_BRANCH</t>
  </si>
  <si>
    <t>2304 / 013</t>
  </si>
  <si>
    <t>AMRATALI, BARURA ROAD, COMILLA 3500</t>
  </si>
  <si>
    <t>mgramratali@krishibank.org.bd</t>
  </si>
  <si>
    <t>035190198</t>
  </si>
  <si>
    <t>ASMANIA BAZAR BRANCH</t>
  </si>
  <si>
    <t>ASMANIA_BAZAR_BRANCH</t>
  </si>
  <si>
    <t>2342 / 019</t>
  </si>
  <si>
    <t>ASMANIA BAZAR, NARANDIA, TITAS, COMILLA</t>
  </si>
  <si>
    <t>mgrasmaniabazar@krishibank.org.bd</t>
  </si>
  <si>
    <t>035191726</t>
  </si>
  <si>
    <t>BABURCHI BAZAR BRANCH</t>
  </si>
  <si>
    <t>BABURCHI_BAZAR_BRANCH</t>
  </si>
  <si>
    <t>2332 / 172</t>
  </si>
  <si>
    <t>BABURCHI BAZAR, GOLPASHA, CHAUDDAGRAM, COMILLA</t>
  </si>
  <si>
    <t>mgrbauchibazar@krishibank.org.bd</t>
  </si>
  <si>
    <t>035190280</t>
  </si>
  <si>
    <t>2330 / 028</t>
  </si>
  <si>
    <t>BADARPUR, CHANDINA, COMILLA</t>
  </si>
  <si>
    <t>mgrbadarpurbazar@krishibank.org.bd</t>
  </si>
  <si>
    <t>035190093</t>
  </si>
  <si>
    <t>BAGMARA BAZAR BRANCH</t>
  </si>
  <si>
    <t>BAGMARA_BAZAR_BRANCH</t>
  </si>
  <si>
    <t>5303 / 5303</t>
  </si>
  <si>
    <t>BAGMARA BAZAR, SADAR DAKSHIN, COMILLA</t>
  </si>
  <si>
    <t>mgrbagmara@krishibank.org.bd</t>
  </si>
  <si>
    <t>035190406</t>
  </si>
  <si>
    <t>BANGODDA BAZAR BRANCH</t>
  </si>
  <si>
    <t>BANGODDA_BAZAR_BRANCH</t>
  </si>
  <si>
    <t>2316 / 040</t>
  </si>
  <si>
    <t>BANGODDA, NANGALKOT, COMILLA 3580</t>
  </si>
  <si>
    <t>mgrbangoddabazar@krishibank.org.bd</t>
  </si>
  <si>
    <t>035190435</t>
  </si>
  <si>
    <t>BARASHALGHAR BRANCH</t>
  </si>
  <si>
    <t>BARASHALGHAR_BRANCH</t>
  </si>
  <si>
    <t>2325 / 043</t>
  </si>
  <si>
    <t>BARASHALGHAR, DEBIDWAR, COMILLA</t>
  </si>
  <si>
    <t>mgrbarashalghar@krishibank.org.bd</t>
  </si>
  <si>
    <t>035190493</t>
  </si>
  <si>
    <t>2318 / 049</t>
  </si>
  <si>
    <t>BARURA, COMILLA</t>
  </si>
  <si>
    <t>mgrbarura@krishibank.org.bd</t>
  </si>
  <si>
    <t>035190293</t>
  </si>
  <si>
    <t>BATISA BRANCH</t>
  </si>
  <si>
    <t>BATISA_BRANCH</t>
  </si>
  <si>
    <t>2310 / 2310</t>
  </si>
  <si>
    <t>BATISA, CHAUDDAGRAM, COMILLA 3551</t>
  </si>
  <si>
    <t>mgrbatesabazar@krishibank.org.bd</t>
  </si>
  <si>
    <t>035190585</t>
  </si>
  <si>
    <t>BAUKSHAR BAZAR BRANCH</t>
  </si>
  <si>
    <t>BAUKSHAR_BAZAR_BRANCH</t>
  </si>
  <si>
    <t>2319 / 058</t>
  </si>
  <si>
    <t>BAUKSHAR BAZAR, BARURA, COMILLA 3560</t>
  </si>
  <si>
    <t>017 30708253</t>
  </si>
  <si>
    <t>mgrbauksharbazar@krishibank.org.bd</t>
  </si>
  <si>
    <t>035190701</t>
  </si>
  <si>
    <t>BIZRA BAZAR BRANCH</t>
  </si>
  <si>
    <t>BIZRA_BAZAR_BRANCH</t>
  </si>
  <si>
    <t>2314 / 070</t>
  </si>
  <si>
    <t>BIZRA BAZAR, BAKOI, LAKSAM, COMILLA 3570</t>
  </si>
  <si>
    <t>mgrbijrabazar@krishibank.org.bd</t>
  </si>
  <si>
    <t>035190769</t>
  </si>
  <si>
    <t>BRAHMANPARA BRANCH</t>
  </si>
  <si>
    <t>BRAHMANPARA_BRANCH</t>
  </si>
  <si>
    <t>2328 / 076</t>
  </si>
  <si>
    <t>BRAHMANPARA, COMILLA</t>
  </si>
  <si>
    <t>mgrbrahmanpara@krishibank.org.bd</t>
  </si>
  <si>
    <t>035190822</t>
  </si>
  <si>
    <t>BURICHONG BRANCH</t>
  </si>
  <si>
    <t>BURICHONG_BRANCH</t>
  </si>
  <si>
    <t>2306 / 082</t>
  </si>
  <si>
    <t>BURICHONG, COMILLA 3520</t>
  </si>
  <si>
    <t>mgrburichong@krishibank.org.bd</t>
  </si>
  <si>
    <t>035191034</t>
  </si>
  <si>
    <t>CHALIAKANDI BRANCH</t>
  </si>
  <si>
    <t>CHALIAKANDI_BRANCH</t>
  </si>
  <si>
    <t>2338 / 103</t>
  </si>
  <si>
    <t>CHALIAKANDI, MURADNAGAR, COMILLA 3544</t>
  </si>
  <si>
    <t>017 30708257</t>
  </si>
  <si>
    <t>mgrchaliakandi@krishibank.org.bd</t>
  </si>
  <si>
    <t>035190880</t>
  </si>
  <si>
    <t>2320 / 088</t>
  </si>
  <si>
    <t>CHANDINA, COMILLA</t>
  </si>
  <si>
    <t>mgrchandina@krishibank.org.bd</t>
  </si>
  <si>
    <t>035190943</t>
  </si>
  <si>
    <t>CHANDLA BRANCH</t>
  </si>
  <si>
    <t>CHANDLA_BRANCH</t>
  </si>
  <si>
    <t>2335 / 094</t>
  </si>
  <si>
    <t>CHANDLA, BRAHMANPARA, COMILLA</t>
  </si>
  <si>
    <t>mgrchandla@krishibank.org.bd</t>
  </si>
  <si>
    <t>035191063</t>
  </si>
  <si>
    <t>CHAUDDAGRAM BRANCH</t>
  </si>
  <si>
    <t>CHAUDDAGRAM_BRANCH</t>
  </si>
  <si>
    <t>2307 / 106</t>
  </si>
  <si>
    <t>HAZI SHORAFOT PLAZA, CHAUDDAGRAM, COMILLA</t>
  </si>
  <si>
    <t>mgrchouddagram@krishibank.org.bd</t>
  </si>
  <si>
    <t>035191126</t>
  </si>
  <si>
    <t>2311 / 112</t>
  </si>
  <si>
    <t>CHOWDHURY BAZAR, CHAUDDAGRAM, COMILLA</t>
  </si>
  <si>
    <t>mgrchowdhurybazar@krishibank.org.bd</t>
  </si>
  <si>
    <t>035191155</t>
  </si>
  <si>
    <t>2301 / 115</t>
  </si>
  <si>
    <t>MANOHARPUR, COMILLA</t>
  </si>
  <si>
    <t>mgrcomilla@krishibank.org.bd</t>
  </si>
  <si>
    <t>035191489</t>
  </si>
  <si>
    <t>DARORABAZAR BRANCH</t>
  </si>
  <si>
    <t>DARORABAZAR_BRANCH</t>
  </si>
  <si>
    <t>2327 / 148</t>
  </si>
  <si>
    <t>DARORA BAZAR, MURADNAGAR, COMILLA 3545</t>
  </si>
  <si>
    <t>017 30708263</t>
  </si>
  <si>
    <t>mgrdarorabazar@krishibank.org.bd</t>
  </si>
  <si>
    <t>035191513</t>
  </si>
  <si>
    <t>2322 / 151</t>
  </si>
  <si>
    <t>DAUDKANDI, COMILLA</t>
  </si>
  <si>
    <t>mgrdaudkandi@krishibank.org.bd</t>
  </si>
  <si>
    <t>035191605</t>
  </si>
  <si>
    <t>DEBIDWAR BRANCH</t>
  </si>
  <si>
    <t>DEBIDWAR_BRANCH</t>
  </si>
  <si>
    <t>2324 / 160</t>
  </si>
  <si>
    <t>DEBIDWAR, COMILLA</t>
  </si>
  <si>
    <t>mgrdebidwar@krishibank.org.bd</t>
  </si>
  <si>
    <t>035191663</t>
  </si>
  <si>
    <t>DHALUA BRANCH</t>
  </si>
  <si>
    <t>DHALUA_BRANCH</t>
  </si>
  <si>
    <t>2309 / 166</t>
  </si>
  <si>
    <t>DHALUA, LANGALKOT, COMILLA 3581</t>
  </si>
  <si>
    <t>017 30708266</t>
  </si>
  <si>
    <t>mgrdhalua@krishibank.org.bd</t>
  </si>
  <si>
    <t>035191692</t>
  </si>
  <si>
    <t>DHAMTI MADRASA BRANCH</t>
  </si>
  <si>
    <t>DHAMTI_MADRASA_BRANCH</t>
  </si>
  <si>
    <t>2340 / 169</t>
  </si>
  <si>
    <t>DHAMTI, DEBIDWAR, COMILLA</t>
  </si>
  <si>
    <t>mgrdhamtimadrasha@krishibank.org.bd</t>
  </si>
  <si>
    <t>035191847</t>
  </si>
  <si>
    <t>DULLAI NAWABPUR DAKHIN BAZAR BRANCH</t>
  </si>
  <si>
    <t>DULLAI_NAWABPUR_DAKHIN_BAZAR_BRANCH</t>
  </si>
  <si>
    <t>2339 / 184</t>
  </si>
  <si>
    <t>DULLAI NAWABPUR DAKHIN BAZAR, CHANDINA, COMILLA 3510</t>
  </si>
  <si>
    <t>mgrdndbazar@krishibank.org.bd</t>
  </si>
  <si>
    <t>035191968</t>
  </si>
  <si>
    <t>GAIRBANGA BAZAR BRANCH</t>
  </si>
  <si>
    <t>GAIRBANGA_BAZAR_BRANCH</t>
  </si>
  <si>
    <t>2313 / 196</t>
  </si>
  <si>
    <t>GAIRBANGA, SADAR DAKSHIN, COMILLA</t>
  </si>
  <si>
    <t>mgrgaiyerbhangabazar@krishibank.org.bd</t>
  </si>
  <si>
    <t>035191997</t>
  </si>
  <si>
    <t>GALIARA BRANCH</t>
  </si>
  <si>
    <t>GALIARA_BRANCH</t>
  </si>
  <si>
    <t>2347 / 199</t>
  </si>
  <si>
    <t>GALIARA, BAZAR CHOWARA, KOTWALI, COMILLA 3504</t>
  </si>
  <si>
    <t>017 30708271</t>
  </si>
  <si>
    <t>mgrgaliara@krishibank.org.bd</t>
  </si>
  <si>
    <t>035190206</t>
  </si>
  <si>
    <t>5306 / 5306</t>
  </si>
  <si>
    <t>HASNABAD, MANOHARGANJ, COMILLA</t>
  </si>
  <si>
    <t>mgrhasnabad@krishibank.org.bd</t>
  </si>
  <si>
    <t>035192233</t>
  </si>
  <si>
    <t>2321 / 223</t>
  </si>
  <si>
    <t>COLLEGE ROAD, HOMNA, COMILLA</t>
  </si>
  <si>
    <t>mgrhomna@krishibank.org.bd</t>
  </si>
  <si>
    <t>035192291</t>
  </si>
  <si>
    <t>HYDERABAD BRANCH</t>
  </si>
  <si>
    <t>HYDERABAD_BRANCH</t>
  </si>
  <si>
    <t>2336 / 229</t>
  </si>
  <si>
    <t>HYDERABAD, MURADNAGAR, COMILLA 3461</t>
  </si>
  <si>
    <t>mgrhydrabad@krishibank.org.bd</t>
  </si>
  <si>
    <t>035192396</t>
  </si>
  <si>
    <t>JOAG BAZAR BRANCH</t>
  </si>
  <si>
    <t>JOAG_BAZAR_BRANCH</t>
  </si>
  <si>
    <t>2350 / 2350</t>
  </si>
  <si>
    <t>JOAG BAZAR, CHANDINA, COMILLA</t>
  </si>
  <si>
    <t>mgrjoagbazar@krishibank.org.bd</t>
  </si>
  <si>
    <t>035192417</t>
  </si>
  <si>
    <t>2333 / 241</t>
  </si>
  <si>
    <t>JURANPUR, DAUDKANDI, COMILLA</t>
  </si>
  <si>
    <t>mgrjuranpur@krishibank.org.bd</t>
  </si>
  <si>
    <t>035190219</t>
  </si>
  <si>
    <t>KADAIR BAZAR BRANCH</t>
  </si>
  <si>
    <t>KADAIR_BAZAR_BRANCH</t>
  </si>
  <si>
    <t>5307 / 5307</t>
  </si>
  <si>
    <t>KADAIR BAZAR, SHUVOPUR, CHAUDDAGRAM, COMILLA</t>
  </si>
  <si>
    <t>mgrkadir@krishibank.org.bd</t>
  </si>
  <si>
    <t>035192567</t>
  </si>
  <si>
    <t>KANKAPAITH BRANCH</t>
  </si>
  <si>
    <t>KANKAPAITH_BRANCH</t>
  </si>
  <si>
    <t>2312 / 256</t>
  </si>
  <si>
    <t>KANKAPAITH, CHAUDDAGRAM, COMILLA 3551</t>
  </si>
  <si>
    <t>017 30708276</t>
  </si>
  <si>
    <t>mgrkankapaithbazar@krishibank.org.bd</t>
  </si>
  <si>
    <t>035192596</t>
  </si>
  <si>
    <t>KASHINAGAR BRANCH</t>
  </si>
  <si>
    <t>KASHINAGAR_BRANCH</t>
  </si>
  <si>
    <t>2308 / 259</t>
  </si>
  <si>
    <t>KASHINAGAR, CHAUDDAGRAM, COMILLA 3550</t>
  </si>
  <si>
    <t>mgrkashinagar@krishibank.org.bd</t>
  </si>
  <si>
    <t>035190080</t>
  </si>
  <si>
    <t>KHOSHBASH BRANCH</t>
  </si>
  <si>
    <t>KHOSHBASH_BRANCH</t>
  </si>
  <si>
    <t>5302 / 5302</t>
  </si>
  <si>
    <t>KHOSHBASH, BARURA, COMILLA</t>
  </si>
  <si>
    <t>019 25139873</t>
  </si>
  <si>
    <t>mgrkhoshbash@krishibank.org.bd</t>
  </si>
  <si>
    <t>035192688</t>
  </si>
  <si>
    <t>LAKHANPUR BAZAR BRANCH</t>
  </si>
  <si>
    <t>LAKHANPUR_BAZAR_BRANCH</t>
  </si>
  <si>
    <t>2341 / 268</t>
  </si>
  <si>
    <t>LAKHANPUR BAZAR, MANOHARGANJ, COMILLA 3571</t>
  </si>
  <si>
    <t>017 30708278</t>
  </si>
  <si>
    <t>mgrlakhanpurbazar@krishibank.org.bd</t>
  </si>
  <si>
    <t>035192712</t>
  </si>
  <si>
    <t>2315 / 271</t>
  </si>
  <si>
    <t>DAULATGANJ, LAKSAM, COMILLA</t>
  </si>
  <si>
    <t>mgrlaksam@krishibank.org.bd</t>
  </si>
  <si>
    <t>035192741</t>
  </si>
  <si>
    <t>MACHIMPUR BRANCH</t>
  </si>
  <si>
    <t>MACHIMPUR_BRANCH</t>
  </si>
  <si>
    <t>2331 / 274</t>
  </si>
  <si>
    <t>MACHIMPUR, DAUDKANDI, COMILLA</t>
  </si>
  <si>
    <t>mgrmachimpur@krishibank.org.bd</t>
  </si>
  <si>
    <t>035193045</t>
  </si>
  <si>
    <t>MANOHARGANJ BRANCH</t>
  </si>
  <si>
    <t>MANOHARGANJ_BRANCH</t>
  </si>
  <si>
    <t>2317 / 304</t>
  </si>
  <si>
    <t>KHILA, MANOHARGANJ, COMILLA</t>
  </si>
  <si>
    <t>mgrmonogargonj@krishibank.org.bd</t>
  </si>
  <si>
    <t>035192891</t>
  </si>
  <si>
    <t>MAOLANA SAHEBER BAZAR BRANCH</t>
  </si>
  <si>
    <t>MAOLANA_SAHEBER_BAZAR_BRANCH</t>
  </si>
  <si>
    <t>2344 / 289</t>
  </si>
  <si>
    <t>LAXMIPUR, MODAFFARGANJ, LAKSAM, COMILLA</t>
  </si>
  <si>
    <t>mgrmsbazar@krishibank.org.bd</t>
  </si>
  <si>
    <t>035192954</t>
  </si>
  <si>
    <t>MEGNA</t>
  </si>
  <si>
    <t>035194123</t>
  </si>
  <si>
    <t>MIABAZAR BRANCH</t>
  </si>
  <si>
    <t>MIABAZAR_BRANCH</t>
  </si>
  <si>
    <t>2345 / 412</t>
  </si>
  <si>
    <t>MIABAZAR UJIRPUR, CHAUDDAGRAM, COMILLA 3550</t>
  </si>
  <si>
    <t>mgrmiahbazar@krishibank.org.bd</t>
  </si>
  <si>
    <t>035193016</t>
  </si>
  <si>
    <t>MOHICHAIL BRANCH</t>
  </si>
  <si>
    <t>MOHICHAIL_BRANCH</t>
  </si>
  <si>
    <t>2346 / 301</t>
  </si>
  <si>
    <t>MOHICHAIL, CHANDINA, COMILLA 3511</t>
  </si>
  <si>
    <t>017 30708282</t>
  </si>
  <si>
    <t>mgrmohichail@krishibank.org.bd</t>
  </si>
  <si>
    <t>035193166</t>
  </si>
  <si>
    <t>MURADNAGAR BRANCH</t>
  </si>
  <si>
    <t>MURADNAGAR_BRANCH</t>
  </si>
  <si>
    <t>2326 / 316</t>
  </si>
  <si>
    <t>MURADNAGAR, COMILLA</t>
  </si>
  <si>
    <t>mgrmuradnagar@krishibank.org.bd</t>
  </si>
  <si>
    <t>035193195</t>
  </si>
  <si>
    <t>NAIYAR BAZAR BRANCH</t>
  </si>
  <si>
    <t>NAIYAR_BAZAR_BRANCH</t>
  </si>
  <si>
    <t>2323 / 319</t>
  </si>
  <si>
    <t>NAIYAR, DAUDKANDI, COMILLA 3517</t>
  </si>
  <si>
    <t>017 30708286</t>
  </si>
  <si>
    <t>mgrnaiyarbazar@krishibank.org.bd</t>
  </si>
  <si>
    <t>035193258</t>
  </si>
  <si>
    <t>2329 / 325</t>
  </si>
  <si>
    <t>NANGALKOT, COMILLA</t>
  </si>
  <si>
    <t>mgrnangolkot@krishibank.org.bd</t>
  </si>
  <si>
    <t>035193311</t>
  </si>
  <si>
    <t>NATHERPETUA BRANCH</t>
  </si>
  <si>
    <t>NATHERPETUA_BRANCH</t>
  </si>
  <si>
    <t>5301 / 5301</t>
  </si>
  <si>
    <t>GANIPUR, NATHERPETUA, MANOHARGANJ, COMILLA</t>
  </si>
  <si>
    <t>mgrnatherpetua@krishibank.org.bd</t>
  </si>
  <si>
    <t>035192446</t>
  </si>
  <si>
    <t>NIMSAR BAZAR BRANCH</t>
  </si>
  <si>
    <t>NIMSAR_BAZAR_BRANCH</t>
  </si>
  <si>
    <t>2348 / 244</t>
  </si>
  <si>
    <t>KALAKACHUA, NIMSAR BAZAR, BURICHONG, COMILLA</t>
  </si>
  <si>
    <t>mgrnimsharbazar@krishibank.org.bd</t>
  </si>
  <si>
    <t>035193524</t>
  </si>
  <si>
    <t>POLICE LINE BRANCH</t>
  </si>
  <si>
    <t>POLICE_LINE_BRANCH</t>
  </si>
  <si>
    <t>2302 / 352</t>
  </si>
  <si>
    <t>POLICE LINE, KOTWALI, COMILLA 3500</t>
  </si>
  <si>
    <t>02 29565848</t>
  </si>
  <si>
    <t>mgrpoliceline@krishibank.org.bd</t>
  </si>
  <si>
    <t>035193911</t>
  </si>
  <si>
    <t>SHIDLAI BRANCH</t>
  </si>
  <si>
    <t>SHIDLAI_BRANCH</t>
  </si>
  <si>
    <t>2343 / 391</t>
  </si>
  <si>
    <t>SHIDLAI, BRAHMANPARA, COMILLA 3526</t>
  </si>
  <si>
    <t>017 30708289</t>
  </si>
  <si>
    <t>mgrshidlai@krishibank.org.bd</t>
  </si>
  <si>
    <t>035193940</t>
  </si>
  <si>
    <t>SONAIMURI BAZAR BRANCH</t>
  </si>
  <si>
    <t>SONAIMURI_BAZAR_BRANCH</t>
  </si>
  <si>
    <t>2337 / 394</t>
  </si>
  <si>
    <t>SONAIMURI BAZAR, BARURA, COMILLA 3561</t>
  </si>
  <si>
    <t>017 30708291</t>
  </si>
  <si>
    <t>mgrsonaimuribazar@krishibank.org.bd</t>
  </si>
  <si>
    <t>035220071</t>
  </si>
  <si>
    <t>BANGLA BAZAR</t>
  </si>
  <si>
    <t>BANGLA_BAZAR</t>
  </si>
  <si>
    <t>035220105</t>
  </si>
  <si>
    <t>BARA MAHESH KHALI</t>
  </si>
  <si>
    <t>BARA_MAHESH_KHALI</t>
  </si>
  <si>
    <t>035220192</t>
  </si>
  <si>
    <t>CHIRINGA</t>
  </si>
  <si>
    <t>035220255</t>
  </si>
  <si>
    <t>035220347</t>
  </si>
  <si>
    <t>DHURONG BAZAR</t>
  </si>
  <si>
    <t>DHURONG_BAZAR</t>
  </si>
  <si>
    <t>035220376</t>
  </si>
  <si>
    <t>DULHAZRA</t>
  </si>
  <si>
    <t>035220400</t>
  </si>
  <si>
    <t>EIDGAON</t>
  </si>
  <si>
    <t>035220439</t>
  </si>
  <si>
    <t>GORAKGHATA</t>
  </si>
  <si>
    <t>035220468</t>
  </si>
  <si>
    <t>GORZANIA BAZAR</t>
  </si>
  <si>
    <t>GORZANIA_BAZAR</t>
  </si>
  <si>
    <t>035220497</t>
  </si>
  <si>
    <t>HANILA</t>
  </si>
  <si>
    <t>035220521</t>
  </si>
  <si>
    <t>HARBUNG</t>
  </si>
  <si>
    <t>035220550</t>
  </si>
  <si>
    <t>HOANAK</t>
  </si>
  <si>
    <t>035220613</t>
  </si>
  <si>
    <t>KALARMARCHARA</t>
  </si>
  <si>
    <t>035220671</t>
  </si>
  <si>
    <t>KUTUBDIA</t>
  </si>
  <si>
    <t>035220734</t>
  </si>
  <si>
    <t>MATAR BARI</t>
  </si>
  <si>
    <t>MATAR_BARI</t>
  </si>
  <si>
    <t>035220826</t>
  </si>
  <si>
    <t>PEKUYA</t>
  </si>
  <si>
    <t>035220855</t>
  </si>
  <si>
    <t>RAMU</t>
  </si>
  <si>
    <t>035220918</t>
  </si>
  <si>
    <t>035220947</t>
  </si>
  <si>
    <t>UKHIYA</t>
  </si>
  <si>
    <t>035260257</t>
  </si>
  <si>
    <t>ASHULIA BAZAR BRANCH</t>
  </si>
  <si>
    <t>ASHULIA_BAZAR_BRANCH</t>
  </si>
  <si>
    <t>4124 / 025</t>
  </si>
  <si>
    <t>ASHULIA BAZAR, SAVAR, DHAKA</t>
  </si>
  <si>
    <t>mgrashuliabazar@krishibank.org.bd</t>
  </si>
  <si>
    <t>035260349</t>
  </si>
  <si>
    <t>BADDA BRANCH</t>
  </si>
  <si>
    <t>BADDA_BRANCH</t>
  </si>
  <si>
    <t>4106 / 034</t>
  </si>
  <si>
    <t>SHA-77, UTTAR BADDA, DHAKA 1212</t>
  </si>
  <si>
    <t>mgrbadda@krishibank.org.bd</t>
  </si>
  <si>
    <t>035260402</t>
  </si>
  <si>
    <t>BALIA BRANCH</t>
  </si>
  <si>
    <t>BALIA_BRANCH</t>
  </si>
  <si>
    <t>4120 / 040</t>
  </si>
  <si>
    <t>BALIA, DHAMRAI, DHAKA</t>
  </si>
  <si>
    <t>mgrbalia@krishibank.org.bd</t>
  </si>
  <si>
    <t>035260707</t>
  </si>
  <si>
    <t>BALISHWAR BRANCH</t>
  </si>
  <si>
    <t>BALISHWAR_BRANCH</t>
  </si>
  <si>
    <t>4119 / 070</t>
  </si>
  <si>
    <t>UPAZILLA PARISHAD ROAD, BALISHWAR, DHAMRAI, DHAKA</t>
  </si>
  <si>
    <t>03791800010</t>
  </si>
  <si>
    <t>mgrbelishwar@krishibank.org.bd</t>
  </si>
  <si>
    <t>035260431</t>
  </si>
  <si>
    <t>BANANI CORPORATE BRANCH</t>
  </si>
  <si>
    <t>BANANI_CORPORATE_BRANCH</t>
  </si>
  <si>
    <t>4116 / 043</t>
  </si>
  <si>
    <t>HOUSE NO 153, ROAD 11, BLOCK E, BANANI 1213</t>
  </si>
  <si>
    <t>02 9888913</t>
  </si>
  <si>
    <t>bkbbananicorp@gmail.com</t>
  </si>
  <si>
    <t>035270676</t>
  </si>
  <si>
    <t>BANDURAHAT BRANCH</t>
  </si>
  <si>
    <t>BANDURAHAT_BRANCH</t>
  </si>
  <si>
    <t>4110 / 067</t>
  </si>
  <si>
    <t>TOKYO MANSION (2ND FLOOR), BANDURA, NAWABGANJ, DHAKA</t>
  </si>
  <si>
    <t>mgrbandurahat@krishibank.org.bd</t>
  </si>
  <si>
    <t>035271275</t>
  </si>
  <si>
    <t>4117 / 127</t>
  </si>
  <si>
    <t>178 WATER WORKERS ROAD, CHAWKBAZAR, DHAKA 1211</t>
  </si>
  <si>
    <t>mgrchakbazar@krishibank.org.bd,</t>
  </si>
  <si>
    <t>035271488</t>
  </si>
  <si>
    <t>DEMRA BAZAR BRANCH</t>
  </si>
  <si>
    <t>DEMRA_BAZAR_BRANCH</t>
  </si>
  <si>
    <t>4125 / 148</t>
  </si>
  <si>
    <t>BAWANI HIGH SCHOOL, KAMARGOP, DEMRA, DHAKA</t>
  </si>
  <si>
    <t>mgrdemrabazar@krishibank.org.bd</t>
  </si>
  <si>
    <t>035261151</t>
  </si>
  <si>
    <t>4118 / 115</t>
  </si>
  <si>
    <t>DHAMRAI BAZAR, DHAKA</t>
  </si>
  <si>
    <t>mgrdhamrai@gmail.com</t>
  </si>
  <si>
    <t>035272058</t>
  </si>
  <si>
    <t>DOHAR BRANCH</t>
  </si>
  <si>
    <t>DOHAR_BRANCH</t>
  </si>
  <si>
    <t>4113 / 205</t>
  </si>
  <si>
    <t>GAHAR KAZI SUPER MARKET, JOYPARA BAZAR, DOHAR, DHAKA</t>
  </si>
  <si>
    <t>mgrdohar@krishibank.org.bd</t>
  </si>
  <si>
    <t>035272232</t>
  </si>
  <si>
    <t>4103 / 223</t>
  </si>
  <si>
    <t>25 BK DAS ROAD, FARASHGANJ, DHAKA 1100</t>
  </si>
  <si>
    <t>mgrfarashgonj@krishibank.org.bd</t>
  </si>
  <si>
    <t>035272658</t>
  </si>
  <si>
    <t>HAZRATPUR BRANCH</t>
  </si>
  <si>
    <t>HAZRATPUR_BRANCH</t>
  </si>
  <si>
    <t>4126 / 265</t>
  </si>
  <si>
    <t>HAZRATPUR, ITAVARA, KERANIGANJ, DHAKA</t>
  </si>
  <si>
    <t>mgrhazratpur@gmail.com</t>
  </si>
  <si>
    <t>035273310</t>
  </si>
  <si>
    <t>JURAIN BRANCH</t>
  </si>
  <si>
    <t>JURAIN_BRANCH</t>
  </si>
  <si>
    <t>4107 / 331</t>
  </si>
  <si>
    <t>HOUSE NO 1/B, ROAD NO 59, JURAIN, KADAMTALI, DHAKA</t>
  </si>
  <si>
    <t>mgrjurain@krishibank.org.bd</t>
  </si>
  <si>
    <t>035273581</t>
  </si>
  <si>
    <t>4122 / 358</t>
  </si>
  <si>
    <t>PLOT NO 648, SULTANPUR, KAMRANGIRCHAR, DHAKA</t>
  </si>
  <si>
    <t>mgrkamrangirchar@krishibank.org.bd</t>
  </si>
  <si>
    <t>035262534</t>
  </si>
  <si>
    <t>KARWAN BAZAR CORPORATE BRANCH</t>
  </si>
  <si>
    <t>KARWAN_BAZAR_CORPORATE_BRANCH</t>
  </si>
  <si>
    <t>4101 / 253</t>
  </si>
  <si>
    <t>LATIF TOWER, 47 KARWAN BAZAR C/A, DHAKA 1215</t>
  </si>
  <si>
    <t>02 9114962</t>
  </si>
  <si>
    <t>corpkawranbazar@krishibank.org.bd</t>
  </si>
  <si>
    <t>035273644</t>
  </si>
  <si>
    <t>4108 / 364</t>
  </si>
  <si>
    <t>ZINZIRA, KERANIGANJ, DHAKA</t>
  </si>
  <si>
    <t>mgrkeranigonj@krishibank.org.bd</t>
  </si>
  <si>
    <t>035262592</t>
  </si>
  <si>
    <t>KHAMARBARI BRANCH</t>
  </si>
  <si>
    <t>KHAMARBARI_BRANCH</t>
  </si>
  <si>
    <t>4102 / 259</t>
  </si>
  <si>
    <t>FARMGATE, TAJGAON, DHAKA 1215</t>
  </si>
  <si>
    <t>mgrkhamarbari@krishibank.org.bd</t>
  </si>
  <si>
    <t>035273707</t>
  </si>
  <si>
    <t>KOMARGANJHAT BRANCH</t>
  </si>
  <si>
    <t>KOMARGANJHAT_BRANCH</t>
  </si>
  <si>
    <t>4112 / 370</t>
  </si>
  <si>
    <t>KOMARGANJ, NAWABGANJ, DHAKA</t>
  </si>
  <si>
    <t>mgrkomorgonj@krishibank.org.bd</t>
  </si>
  <si>
    <t>035262989</t>
  </si>
  <si>
    <t>4114 / 298</t>
  </si>
  <si>
    <t>SONY SUPER MARKET, MIRPUR 1, DHAKA 1216</t>
  </si>
  <si>
    <t>mgrmirpur@krishibank..org.bd</t>
  </si>
  <si>
    <t>035274601</t>
  </si>
  <si>
    <t>NANDIPARA BAZAR BRANCH</t>
  </si>
  <si>
    <t>NANDIPARA_BAZAR_BRANCH</t>
  </si>
  <si>
    <t>4127 / 460</t>
  </si>
  <si>
    <t>SHAHABUDDIN MARKET, NANDIPARA BAZAR, KHILGAON, DHAKA</t>
  </si>
  <si>
    <t>mgrnandiparabazar@krishibank.org.bd</t>
  </si>
  <si>
    <t>035274698</t>
  </si>
  <si>
    <t>4109 / 469</t>
  </si>
  <si>
    <t>ISAMOTI PLAZA, BAGMARA, NAWABGANJ, DHAKA</t>
  </si>
  <si>
    <t>mgrnababgonj@krishibank.org.bd</t>
  </si>
  <si>
    <t>035273910</t>
  </si>
  <si>
    <t>4001 / 391</t>
  </si>
  <si>
    <t>BKBABDDHLPO</t>
  </si>
  <si>
    <t>83-85 MOTIJHEET C/A, DHAKA 1000</t>
  </si>
  <si>
    <t>02 9552996</t>
  </si>
  <si>
    <t>dgmlpo@krishibank.org.bd</t>
  </si>
  <si>
    <t>035264095</t>
  </si>
  <si>
    <t>4115 / 409</t>
  </si>
  <si>
    <t>SUGANDHA SUPER MARKET, SAVAR BAZAR, DHAKA</t>
  </si>
  <si>
    <t>mgrsavar@krishibank.org.bd</t>
  </si>
  <si>
    <t>035276317</t>
  </si>
  <si>
    <t>SHANIRAKHRA BRANCH</t>
  </si>
  <si>
    <t>SHANIRAKHRA_BRANCH</t>
  </si>
  <si>
    <t>4123 / 631</t>
  </si>
  <si>
    <t>GOBINDAPUR, DANIA, JATRABARI, DHAKA</t>
  </si>
  <si>
    <t>mgrshanirakhra@krishibank.org.bd</t>
  </si>
  <si>
    <t>035264303</t>
  </si>
  <si>
    <t>SHAYMOLI BRANCH</t>
  </si>
  <si>
    <t>SHAYMOLI_BRANCH</t>
  </si>
  <si>
    <t>4104 / 430</t>
  </si>
  <si>
    <t>SHAYMOLI, SHER-E-BANGLA NAGAR, DHAKA</t>
  </si>
  <si>
    <t>mgrshaymoli@krishibank.org. bd</t>
  </si>
  <si>
    <t>035276496</t>
  </si>
  <si>
    <t>SHOLLA BAZAR BRANCH</t>
  </si>
  <si>
    <t>SHOLLA_BAZAR_BRANCH</t>
  </si>
  <si>
    <t>4111 / 649</t>
  </si>
  <si>
    <t>SHOLLA, NAWABGANJ, DHAKA</t>
  </si>
  <si>
    <t>mgrsollabazar@krishibank.org.bd</t>
  </si>
  <si>
    <t>035264545</t>
  </si>
  <si>
    <t>STAFF COLLEGE BRANCH</t>
  </si>
  <si>
    <t>STAFF_COLLEGE_BRANCH</t>
  </si>
  <si>
    <t>4121 / 454</t>
  </si>
  <si>
    <t>PLOT NO 3, SECTION 13, MIRPUR, DHAKA 1216</t>
  </si>
  <si>
    <t>mgrti@krishibank.org.bd</t>
  </si>
  <si>
    <t>035264453</t>
  </si>
  <si>
    <t>TAJMAHAL ROAD BRANCH</t>
  </si>
  <si>
    <t>TAJMAHAL_ROAD_BRANCH</t>
  </si>
  <si>
    <t>4105 / 445</t>
  </si>
  <si>
    <t>32 TAJMAHAL ROAD, MOHAMMADPUR, DHAKA 1207</t>
  </si>
  <si>
    <t>mgrtajmohol@krishibank.org.bd</t>
  </si>
  <si>
    <t>035264637</t>
  </si>
  <si>
    <t>4128 / 463</t>
  </si>
  <si>
    <t>NAWAB HABIBULLAH MODEL SCHOOL &amp;amp; COLLAGE, PLOT NO 3, SHAHJALAL AVENUE, SECTOR 4, AZAMPUR, UTTARA MODEL TOWN, UTTARA, DHAKA 1230</t>
  </si>
  <si>
    <t>mgruttara@krishibank.org.bd</t>
  </si>
  <si>
    <t>035270005</t>
  </si>
  <si>
    <t>035290043</t>
  </si>
  <si>
    <t>ALFADANGA BRANCH</t>
  </si>
  <si>
    <t>ALFADANGA_BRANCH</t>
  </si>
  <si>
    <t>0809 / 004</t>
  </si>
  <si>
    <t>ALFADANGA, FARIDPUR</t>
  </si>
  <si>
    <t>mgralfadanga@krishibank.org.bd</t>
  </si>
  <si>
    <t>035290135</t>
  </si>
  <si>
    <t>BABURCHAR BRANCH</t>
  </si>
  <si>
    <t>BABURCHAR_BRANCH</t>
  </si>
  <si>
    <t>0822 / 013</t>
  </si>
  <si>
    <t>BABURCHAR, SADARPUR, FARIDPUR</t>
  </si>
  <si>
    <t>mgrbaburchar@krishibank.org.bd</t>
  </si>
  <si>
    <t>035290193</t>
  </si>
  <si>
    <t>BAGAT BRANCH</t>
  </si>
  <si>
    <t>BAGAT_BRANCH</t>
  </si>
  <si>
    <t>0823 / 019</t>
  </si>
  <si>
    <t>BAGAT, MADHUKHALI, FARIDPUR 7861</t>
  </si>
  <si>
    <t>mgrbagat@krishibank.org.bd</t>
  </si>
  <si>
    <t>035290227</t>
  </si>
  <si>
    <t>BAITUL AMAN BRANCH</t>
  </si>
  <si>
    <t>BAITUL_AMAN_BRANCH</t>
  </si>
  <si>
    <t>0804 / 022</t>
  </si>
  <si>
    <t>BAITUL AMAN, FARIDPUR 7803</t>
  </si>
  <si>
    <t>017 30708344</t>
  </si>
  <si>
    <t>mgrbaitulaman@krishibank.org.bd</t>
  </si>
  <si>
    <t>035290256</t>
  </si>
  <si>
    <t>BAKHUNDA BRANCH</t>
  </si>
  <si>
    <t>BAKHUNDA_BRANCH</t>
  </si>
  <si>
    <t>0819 / 025</t>
  </si>
  <si>
    <t>BAKHUNDA, FARIDPUR 7800</t>
  </si>
  <si>
    <t>mgrbakhundabazar@krishibank.org.bd</t>
  </si>
  <si>
    <t>035290285</t>
  </si>
  <si>
    <t>0810 / 028</t>
  </si>
  <si>
    <t>BHANGA, FARIDPUR</t>
  </si>
  <si>
    <t>mgrbhanga@krishibank.org.bd</t>
  </si>
  <si>
    <t>035290319</t>
  </si>
  <si>
    <t>BILGOBINDOPUR BRANCH</t>
  </si>
  <si>
    <t>BILGOBINDOPUR_BRANCH</t>
  </si>
  <si>
    <t>0820 / 031</t>
  </si>
  <si>
    <t>BILGOBINDOPUR, NAGARKANDA, FARIDPUR</t>
  </si>
  <si>
    <t>mgrbilgobindapur@krishibank.org.bd</t>
  </si>
  <si>
    <t>035290348</t>
  </si>
  <si>
    <t>0807 / 034</t>
  </si>
  <si>
    <t>BOALMARI, FARIDPUR</t>
  </si>
  <si>
    <t>mgrboalmari@krishibank.org.bd</t>
  </si>
  <si>
    <t>035290401</t>
  </si>
  <si>
    <t>CHANDHAT BRANCH</t>
  </si>
  <si>
    <t>CHANDHAT_BRANCH</t>
  </si>
  <si>
    <t>0821 / 040</t>
  </si>
  <si>
    <t>CHANDHAT, NAGARKANDA, FARIDPUR 7840</t>
  </si>
  <si>
    <t>017 30708349</t>
  </si>
  <si>
    <t>mgrchandhat@krishibank.org.bd</t>
  </si>
  <si>
    <t>035290430</t>
  </si>
  <si>
    <t>CHARBHADRASAN BRANCH</t>
  </si>
  <si>
    <t>CHARBHADRASAN_BRANCH</t>
  </si>
  <si>
    <t>0805 / 043</t>
  </si>
  <si>
    <t>CHARBHADRASAN, FARIDPUR</t>
  </si>
  <si>
    <t>mgrcharbhadrasan@krishibank.org.bd</t>
  </si>
  <si>
    <t>035290522</t>
  </si>
  <si>
    <t>0801 / 052</t>
  </si>
  <si>
    <t>NILTULI, FARIDPUR</t>
  </si>
  <si>
    <t>mgrfaridpur@krishibank.org.bd</t>
  </si>
  <si>
    <t>035290643</t>
  </si>
  <si>
    <t>GOPALPUR BAZAR BRANCH</t>
  </si>
  <si>
    <t>GOPALPUR_BAZAR_BRANCH</t>
  </si>
  <si>
    <t>0826 / 064</t>
  </si>
  <si>
    <t>GOPALPUR BAZAR, ALFADANGA, FARIDPUR 7870</t>
  </si>
  <si>
    <t>017 30708352</t>
  </si>
  <si>
    <t>mgrgopalpurbazarfar@krishibank.org.bd</t>
  </si>
  <si>
    <t>035290764</t>
  </si>
  <si>
    <t>HAJIGONJ BAZAR BRANCH</t>
  </si>
  <si>
    <t>HAJIGONJ_BAZAR_BRANCH</t>
  </si>
  <si>
    <t>0806 / 076</t>
  </si>
  <si>
    <t>HAJIGONJ, CHAR BHADRASAN, FARIDPUR 7810</t>
  </si>
  <si>
    <t>017 30708353</t>
  </si>
  <si>
    <t>mgrhajigonjbazar@krishibank.org.bd</t>
  </si>
  <si>
    <t>035290735</t>
  </si>
  <si>
    <t>HAT KRISHNAPUR BRANCH</t>
  </si>
  <si>
    <t>HAT_KRISHNAPUR_BRANCH</t>
  </si>
  <si>
    <t>0816 / 073</t>
  </si>
  <si>
    <t>HAT KRISHNAPUR, SADARPUR, FARIDPUR 7821</t>
  </si>
  <si>
    <t>017 30708354</t>
  </si>
  <si>
    <t>mgrhatkrishnapur@krishibank.org.bd</t>
  </si>
  <si>
    <t>035290793</t>
  </si>
  <si>
    <t>ISHAN GOPALPUR BRANCH</t>
  </si>
  <si>
    <t>ISHAN_GOPALPUR_BRANCH</t>
  </si>
  <si>
    <t>0803 / 079</t>
  </si>
  <si>
    <t>ISHAN GOPALPUR, FARIDPUR SADAR, FARIDPUR 7800</t>
  </si>
  <si>
    <t>017 30708355</t>
  </si>
  <si>
    <t>mgrishangopalpur@krishibank.org.bd</t>
  </si>
  <si>
    <t>035290827</t>
  </si>
  <si>
    <t>KADIRDI BAZAR BRANCH</t>
  </si>
  <si>
    <t>KADIRDI_BAZAR_BRANCH</t>
  </si>
  <si>
    <t>0817 / 082</t>
  </si>
  <si>
    <t>KADIRDI, FARIDPUR 7800</t>
  </si>
  <si>
    <t>mgrkadirdibazar@krishibank.org.bd</t>
  </si>
  <si>
    <t>035290948</t>
  </si>
  <si>
    <t>KAULIBERA BRANCH</t>
  </si>
  <si>
    <t>KAULIBERA_BRANCH</t>
  </si>
  <si>
    <t>0811 / 094</t>
  </si>
  <si>
    <t>KAULIBERA, BHANGA, FARIDPUR</t>
  </si>
  <si>
    <t>mgrkaulibera@krishibank.org.bd</t>
  </si>
  <si>
    <t>035291000</t>
  </si>
  <si>
    <t>KHALILPUR BAZAR BRANCH</t>
  </si>
  <si>
    <t>KHALILPUR_BAZAR_BRANCH</t>
  </si>
  <si>
    <t>0802 / 100</t>
  </si>
  <si>
    <t>KHALILPUR, FARIDPUR 7800</t>
  </si>
  <si>
    <t>017 30708358</t>
  </si>
  <si>
    <t>mgrkhalilpurbazar@krishibank.org.bd</t>
  </si>
  <si>
    <t>035291039</t>
  </si>
  <si>
    <t>LASKARDIA BAZAR BRANCH</t>
  </si>
  <si>
    <t>LASKARDIA_BAZAR_BRANCH</t>
  </si>
  <si>
    <t>0827 / 103</t>
  </si>
  <si>
    <t>LASKARDIA, NAGARKANDA, FARIDPUR 7840</t>
  </si>
  <si>
    <t>017 30708359</t>
  </si>
  <si>
    <t>mgrlaskardiabazar@krishibank.org.bd</t>
  </si>
  <si>
    <t>035291097</t>
  </si>
  <si>
    <t>MADHUKHALI BRANCH</t>
  </si>
  <si>
    <t>MADHUKHALI_BRANCH</t>
  </si>
  <si>
    <t>0808 / 109</t>
  </si>
  <si>
    <t>MADHUKHALI, FARIDPUR</t>
  </si>
  <si>
    <t>mgrmadhukhali@krishibank.org.bd</t>
  </si>
  <si>
    <t>035291189</t>
  </si>
  <si>
    <t>0813 / 118</t>
  </si>
  <si>
    <t>NAGARKANDA, FARIDPUR</t>
  </si>
  <si>
    <t>mgrnagarkanda@krishibank.org.bd</t>
  </si>
  <si>
    <t>035291213</t>
  </si>
  <si>
    <t>PUKHURIA BRANCH</t>
  </si>
  <si>
    <t>PUKHURIA_BRANCH</t>
  </si>
  <si>
    <t>0812 / 121</t>
  </si>
  <si>
    <t>PUKHURIA, BHANGA, FARIDPUR 7830</t>
  </si>
  <si>
    <t>017 30708362</t>
  </si>
  <si>
    <t>mgrpukhuria@krishibank.org.bd</t>
  </si>
  <si>
    <t>035290056</t>
  </si>
  <si>
    <t>PURAPARA BAZAR BRANCH</t>
  </si>
  <si>
    <t>PURAPARA_BAZAR_BRANCH</t>
  </si>
  <si>
    <t>0829 / 0829</t>
  </si>
  <si>
    <t>PURAPARA BAZAR, NAGARKANDA, FARIDPUR 8055</t>
  </si>
  <si>
    <t>017 11223207</t>
  </si>
  <si>
    <t>mgrpuraparabazar@krishibank.org.bd</t>
  </si>
  <si>
    <t>035291271</t>
  </si>
  <si>
    <t>0815 / 127</t>
  </si>
  <si>
    <t>SADARPUR, FARIDPUR</t>
  </si>
  <si>
    <t>mgrsadarpur@krishibank.org.bd</t>
  </si>
  <si>
    <t>035291305</t>
  </si>
  <si>
    <t>SALTHA BAZAR BRANCH</t>
  </si>
  <si>
    <t>SALTHA_BAZAR_BRANCH</t>
  </si>
  <si>
    <t>0818 / 130</t>
  </si>
  <si>
    <t>SALTHA, FARIDPUR</t>
  </si>
  <si>
    <t>mgrsaltabazar@krishibank.org.bd</t>
  </si>
  <si>
    <t>035291426</t>
  </si>
  <si>
    <t>TALMA BRANCH</t>
  </si>
  <si>
    <t>TALMA_BRANCH</t>
  </si>
  <si>
    <t>0814 / 142</t>
  </si>
  <si>
    <t>TALMA, NAGARKANDA, FARIDPUR 7841</t>
  </si>
  <si>
    <t>mgrtalma@krishibank.org.bd</t>
  </si>
  <si>
    <t>035291439</t>
  </si>
  <si>
    <t>TAMBULKHANA BAZAR BRANCH</t>
  </si>
  <si>
    <t>TAMBULKHANA_BAZAR_BRANCH</t>
  </si>
  <si>
    <t>0828 / 0828</t>
  </si>
  <si>
    <t>TAMBULKHANA BAZAR, FARIDPUR SADAR, FARIDPUR</t>
  </si>
  <si>
    <t>017 15030020</t>
  </si>
  <si>
    <t>mgrtambulkhanabazar@krishibank.org.bd</t>
  </si>
  <si>
    <t>035300041</t>
  </si>
  <si>
    <t>AFTAB BIBIRHAT BRANCH</t>
  </si>
  <si>
    <t>AFTAB_BIBIRHAT_BRANCH</t>
  </si>
  <si>
    <t>2714 / 004</t>
  </si>
  <si>
    <t>AFTAB BIBIR HAT, BALIGAON, FENI SADAR, FENI 3900</t>
  </si>
  <si>
    <t>017 30708366</t>
  </si>
  <si>
    <t>mgraftabbibirhat@krishibank.org.bd</t>
  </si>
  <si>
    <t>035300104</t>
  </si>
  <si>
    <t>AMJADHAT BRANCH</t>
  </si>
  <si>
    <t>AMJADHAT_BRANCH</t>
  </si>
  <si>
    <t>2706 / 010</t>
  </si>
  <si>
    <t>SOUTH TARAKUCH, AMJADHAT, FULGAZI, FENI 3942</t>
  </si>
  <si>
    <t>017 30708367</t>
  </si>
  <si>
    <t>mgramjadhat@krishibank.org.bd</t>
  </si>
  <si>
    <t>035300283</t>
  </si>
  <si>
    <t>BOX MAHMUD BAZAR BRANCH</t>
  </si>
  <si>
    <t>BOX_MAHMUD_BAZAR_BRANCH</t>
  </si>
  <si>
    <t>2710 / 028</t>
  </si>
  <si>
    <t>BOX MAHMUD BAZAR, PARSHURAM, FENI 3942</t>
  </si>
  <si>
    <t>017 30708368</t>
  </si>
  <si>
    <t>mgrbmbazar@krishibank.org.bd</t>
  </si>
  <si>
    <t>035300317</t>
  </si>
  <si>
    <t>2705 / 031</t>
  </si>
  <si>
    <t>BASHPARA, CHHAGALNAIYA, FENI 3910</t>
  </si>
  <si>
    <t>mgrchagalnaiya@krishibank.org.bd</t>
  </si>
  <si>
    <t>035300375</t>
  </si>
  <si>
    <t>DAGANBHUIYAN BRANCH</t>
  </si>
  <si>
    <t>DAGANBHUIYAN_BRANCH</t>
  </si>
  <si>
    <t>2704 / 037</t>
  </si>
  <si>
    <t>HOLDING NO BF-70, YARPUR, DAGANBHUIYAN, FENI</t>
  </si>
  <si>
    <t>mgrdagonbhuiya@krishibank.org.bd</t>
  </si>
  <si>
    <t>035300467</t>
  </si>
  <si>
    <t>ETIMKHANA BAZAR</t>
  </si>
  <si>
    <t>ETIMKHANA_BAZAR</t>
  </si>
  <si>
    <t>035300496</t>
  </si>
  <si>
    <t>FAZILPUR BAZAR BRANCH</t>
  </si>
  <si>
    <t>FAZILPUR_BAZAR_BRANCH</t>
  </si>
  <si>
    <t>2717 / 2717</t>
  </si>
  <si>
    <t>FAZILPUR, FENI SADAR, FENI 3901</t>
  </si>
  <si>
    <t>mgrfazilpurbazar@krishibank.org.bd</t>
  </si>
  <si>
    <t>035300520</t>
  </si>
  <si>
    <t>2701 / 052</t>
  </si>
  <si>
    <t>HOLDING NO 3437-3438, TAKIA ROAD, RAMPUR, FENI SADAR, FENI</t>
  </si>
  <si>
    <t>mgrfeni@krishibank.org.bd</t>
  </si>
  <si>
    <t>035300612</t>
  </si>
  <si>
    <t>FULGAZI BRANCH</t>
  </si>
  <si>
    <t>FULGAZI_BRANCH</t>
  </si>
  <si>
    <t>2711 / 061</t>
  </si>
  <si>
    <t>BIJOYPUR, FULGAZI, FENI</t>
  </si>
  <si>
    <t>mgrfulgazi@krishibank.org.bd</t>
  </si>
  <si>
    <t>035300641</t>
  </si>
  <si>
    <t>GM HAT BRANCH</t>
  </si>
  <si>
    <t>GM_HAT_BRANCH</t>
  </si>
  <si>
    <t>2708 / 064</t>
  </si>
  <si>
    <t>NURPUR,  GM HAT, FULGAZI, FENI 3942</t>
  </si>
  <si>
    <t>017 30708374</t>
  </si>
  <si>
    <t>mgrgmhat@krishibank.org.bd</t>
  </si>
  <si>
    <t>035300762</t>
  </si>
  <si>
    <t>JOYLASKAR BRANCH</t>
  </si>
  <si>
    <t>JOYLASKAR_BRANCH</t>
  </si>
  <si>
    <t>2702 / 076</t>
  </si>
  <si>
    <t>CHANDPUR, JOYLASKAR, DAGANBHUIYAN, FENI</t>
  </si>
  <si>
    <t>mgrjoylaskar@krishibank.org.bd</t>
  </si>
  <si>
    <t>035300917</t>
  </si>
  <si>
    <t>KUHUMA SANTIR BAZAR BRANCH</t>
  </si>
  <si>
    <t>KUHUMA_SANTIR_BAZAR_BRANCH</t>
  </si>
  <si>
    <t>2715 / 091</t>
  </si>
  <si>
    <t>KUHUMA SANTIR BAZAR, CHHAGALNAIYA, FENI 3910</t>
  </si>
  <si>
    <t>017 30708376</t>
  </si>
  <si>
    <t>mgrkuhumasantir@krishibank.org.bd</t>
  </si>
  <si>
    <t>035300920</t>
  </si>
  <si>
    <t>KURAISH MUNSHI BAZAR BRANCH</t>
  </si>
  <si>
    <t>KURAISH_MUNSHI_BAZAR_BRANCH</t>
  </si>
  <si>
    <t>2716 / 2716</t>
  </si>
  <si>
    <t>KURAISH MUNSHI BAZAR, RAJAPUR, DAGANBHUIYAN, FENI 3920</t>
  </si>
  <si>
    <t>017 30708380</t>
  </si>
  <si>
    <t>mgrkuraishmunshi@krishibank.org.bd</t>
  </si>
  <si>
    <t>035300946</t>
  </si>
  <si>
    <t>KUTIRHAT BRANCH</t>
  </si>
  <si>
    <t>KUTIRHAT_BRANCH</t>
  </si>
  <si>
    <t>2713 / 094</t>
  </si>
  <si>
    <t>KUTIRHAT, SONAGAZI, FENI 3930</t>
  </si>
  <si>
    <t>017 30708377</t>
  </si>
  <si>
    <t>mgrkutirhat@krishibank.org.bd</t>
  </si>
  <si>
    <t>035301145</t>
  </si>
  <si>
    <t>MUKTA BAZAR BRANCH</t>
  </si>
  <si>
    <t>MUKTA_BAZAR_BRANCH</t>
  </si>
  <si>
    <t>2718 / 2718</t>
  </si>
  <si>
    <t>HOLDING NO 059201, TRUNK ROAD, FENI</t>
  </si>
  <si>
    <t>mgrmuktobazar@krishibank.org.bd</t>
  </si>
  <si>
    <t>035301279</t>
  </si>
  <si>
    <t>PARSHURAM BRANCH</t>
  </si>
  <si>
    <t>PARSHURAM_BRANCH</t>
  </si>
  <si>
    <t>2709 / 127</t>
  </si>
  <si>
    <t>KOLAPARA, PARSHURAM, FENI</t>
  </si>
  <si>
    <t>mgrparshuram@krishibank.org.bd</t>
  </si>
  <si>
    <t>035301453</t>
  </si>
  <si>
    <t>SHUVAPUR BRANCH</t>
  </si>
  <si>
    <t>SHUVAPUR_BRANCH</t>
  </si>
  <si>
    <t>2707 / 145</t>
  </si>
  <si>
    <t>JOYPUR, SHUVAPUR, CHHAGALNAIYA, FENI</t>
  </si>
  <si>
    <t>mgrshuvapur@krishibank.org.bd</t>
  </si>
  <si>
    <t>035301482</t>
  </si>
  <si>
    <t>2712 / 148</t>
  </si>
  <si>
    <t>HOLDING NO 138, MAIN ROAD, SONAGAZI,  FENI</t>
  </si>
  <si>
    <t>mgrsonagzi@krishibank.org.bd</t>
  </si>
  <si>
    <t>035330040</t>
  </si>
  <si>
    <t>AMRAID BAZAR BRANCH</t>
  </si>
  <si>
    <t>AMRAID_BAZAR_BRANCH</t>
  </si>
  <si>
    <t>4204 / 004</t>
  </si>
  <si>
    <t>AMRAID BAZAR, KAPASIA, GAZIPUR 1730</t>
  </si>
  <si>
    <t>017 30708382</t>
  </si>
  <si>
    <t>mgramraidbazar@krishibank.org.bd</t>
  </si>
  <si>
    <t>035330079</t>
  </si>
  <si>
    <t>AWRAKHALI BAZAR BRANCH</t>
  </si>
  <si>
    <t>AWRAKHALI_BAZAR_BRANCH</t>
  </si>
  <si>
    <t>4214 / 007</t>
  </si>
  <si>
    <t>AWRAKHALI BAZAR, AZNATPUR, KALIGANJ, GAZIPUR</t>
  </si>
  <si>
    <t>mgrawrakhali@krishibank.org.bd</t>
  </si>
  <si>
    <t>035330466</t>
  </si>
  <si>
    <t>FULBARIA BRANCH</t>
  </si>
  <si>
    <t>FULBARIA_BRANCH</t>
  </si>
  <si>
    <t>4216 / 046</t>
  </si>
  <si>
    <t>FULBARIA, KALIAKAIR, GAZIPUR</t>
  </si>
  <si>
    <t>mgrfulbaria@krishibank.org.bd</t>
  </si>
  <si>
    <t>035330679</t>
  </si>
  <si>
    <t>JAINA BAZAR BRANCH</t>
  </si>
  <si>
    <t>JAINA_BAZAR_BRANCH</t>
  </si>
  <si>
    <t>4215 / 067</t>
  </si>
  <si>
    <t>NAGAR HAWLA, JAINA BAZAR, TELIKHATI, SREEPUR, GAZIPUR 1740</t>
  </si>
  <si>
    <t>017 30708385</t>
  </si>
  <si>
    <t>mgrjainabazar@krishibank.org.bd</t>
  </si>
  <si>
    <t>035330732</t>
  </si>
  <si>
    <t>JOYDEBPUR</t>
  </si>
  <si>
    <t>035330790</t>
  </si>
  <si>
    <t>KALIAKAIR BRANCH</t>
  </si>
  <si>
    <t>KALIAKAIR_BRANCH</t>
  </si>
  <si>
    <t>4209 / 079</t>
  </si>
  <si>
    <t>KALIAKAIR, GAZIPUR</t>
  </si>
  <si>
    <t>06822 51014</t>
  </si>
  <si>
    <t>mgrkaliakair@krishibank.org.bd</t>
  </si>
  <si>
    <t>035330824</t>
  </si>
  <si>
    <t>4206 / 082</t>
  </si>
  <si>
    <t>KALIGANJ, GAZIPUR</t>
  </si>
  <si>
    <t>mgrkaligonj@krishibank.org.bd</t>
  </si>
  <si>
    <t>035330882</t>
  </si>
  <si>
    <t>4202 / 088</t>
  </si>
  <si>
    <t>mgrkapasia@krishibank.org.bd</t>
  </si>
  <si>
    <t>035330932</t>
  </si>
  <si>
    <t>KHIRATI BAZAR BRANCH</t>
  </si>
  <si>
    <t>KHIRATI_BAZAR_BRANCH</t>
  </si>
  <si>
    <t>4217 / 4217</t>
  </si>
  <si>
    <t>KHIRATI BAZAR, KAPASIA, GAZIPUR 2300</t>
  </si>
  <si>
    <t>017 20627476</t>
  </si>
  <si>
    <t>mgrkheratibazar@krishibank.org.bd</t>
  </si>
  <si>
    <t>035330945</t>
  </si>
  <si>
    <t>KONABARI BRANCH</t>
  </si>
  <si>
    <t>KONABARI_BRANCH</t>
  </si>
  <si>
    <t>4213 / 094</t>
  </si>
  <si>
    <t>KONABARI, NILNAGOR, GAZIPUR 1740</t>
  </si>
  <si>
    <t>mgrkonabari@krishibank.org.bd</t>
  </si>
  <si>
    <t>035331065</t>
  </si>
  <si>
    <t>4211 / 106</t>
  </si>
  <si>
    <t>PLOT NO 408, BHAWAL MIRZAPUR BAZAR, GAZIPUR</t>
  </si>
  <si>
    <t>mgrmirzapur@krishibank.org.bd</t>
  </si>
  <si>
    <t>035331360</t>
  </si>
  <si>
    <t>RANIGANJ BAZAR BRANCH</t>
  </si>
  <si>
    <t>RANIGANJ_BAZAR_BRANCH</t>
  </si>
  <si>
    <t>4205 / 136</t>
  </si>
  <si>
    <t>RANIGANJ, KAPASIA, GAZIPUR</t>
  </si>
  <si>
    <t>mgrranigonjbazar@krishibank.org.bd</t>
  </si>
  <si>
    <t>035331399</t>
  </si>
  <si>
    <t>SAWRAID BAZAR BRANCH</t>
  </si>
  <si>
    <t>SAWRAID_BAZAR_BRANCH</t>
  </si>
  <si>
    <t>4212 / 139</t>
  </si>
  <si>
    <t>SAWRAID BAZAR, KALIGANJ, GAZIPUR 1720</t>
  </si>
  <si>
    <t>017 30708393</t>
  </si>
  <si>
    <t>mgrsawraidbazar@krishibank.org.bd</t>
  </si>
  <si>
    <t>035331423</t>
  </si>
  <si>
    <t>SHAFIPUR BRANCH</t>
  </si>
  <si>
    <t>SHAFIPUR_BRANCH</t>
  </si>
  <si>
    <t>4210 / 142</t>
  </si>
  <si>
    <t>SHAFIPUR, GAZIPUR</t>
  </si>
  <si>
    <t>mgrshafipurr@krishibank.org.bd</t>
  </si>
  <si>
    <t>035331481</t>
  </si>
  <si>
    <t>4207 / 148</t>
  </si>
  <si>
    <t>SREEPUR, GAZIPUR</t>
  </si>
  <si>
    <t>mgrsreepur@krishibank.org.bd</t>
  </si>
  <si>
    <t>035331607</t>
  </si>
  <si>
    <t>TOKNAYAN BAZAR BRANCH</t>
  </si>
  <si>
    <t>TOKNAYAN_BAZAR_BRANCH</t>
  </si>
  <si>
    <t>4203 / 160</t>
  </si>
  <si>
    <t>TOKNAYAN BAZAR, KAPASIA, GAZIPUR 1730</t>
  </si>
  <si>
    <t>017 30708396</t>
  </si>
  <si>
    <t>mgrtoknayanbazar@krishibank.org.bd</t>
  </si>
  <si>
    <t>035331636</t>
  </si>
  <si>
    <t>4208 / 163</t>
  </si>
  <si>
    <t>MONNU NAGAR, TONGI, GAZIPUR</t>
  </si>
  <si>
    <t>mgrtongi@krishibank.org.bd</t>
  </si>
  <si>
    <t>035350046</t>
  </si>
  <si>
    <t>0909 / 004</t>
  </si>
  <si>
    <t>mgrbanogram@krishibank.org.bd</t>
  </si>
  <si>
    <t>035350109</t>
  </si>
  <si>
    <t>BASHBARIA BRANCH</t>
  </si>
  <si>
    <t>BASHBARIA_BRANCH</t>
  </si>
  <si>
    <t>0913 / 010</t>
  </si>
  <si>
    <t>BASHBARIA, TUNGIPARA, GOPALGANJ</t>
  </si>
  <si>
    <t>mgrbashbaria@krishibank.org.bd</t>
  </si>
  <si>
    <t>035350138</t>
  </si>
  <si>
    <t>BATIKAMARI BAZAR BRANCH</t>
  </si>
  <si>
    <t>BATIKAMARI_BAZAR_BRANCH</t>
  </si>
  <si>
    <t>0908 / 013</t>
  </si>
  <si>
    <t>BATIKAMARI, MUKSUDPUR, GOPALGANJ</t>
  </si>
  <si>
    <t>mgrbatikamari@krishibank.org.bd</t>
  </si>
  <si>
    <t>035350059</t>
  </si>
  <si>
    <t>0923 / 0923</t>
  </si>
  <si>
    <t>BHANGARHAT, KOTALIPARA, GOPALGANJ</t>
  </si>
  <si>
    <t>bhangarhat@krishibank.org.bd</t>
  </si>
  <si>
    <t>035350196</t>
  </si>
  <si>
    <t>BHERARHAT BRANCH</t>
  </si>
  <si>
    <t>BHERARHAT_BRANCH</t>
  </si>
  <si>
    <t>0902 / 019</t>
  </si>
  <si>
    <t>BHERARHAT, GOPALGANJ</t>
  </si>
  <si>
    <t>mgrbherarhat@krishibank.org.bd</t>
  </si>
  <si>
    <t>035350646</t>
  </si>
  <si>
    <t>BOILTOLI BRANCH</t>
  </si>
  <si>
    <t>BOILTOLI_BRANCH</t>
  </si>
  <si>
    <t>0903 / 064</t>
  </si>
  <si>
    <t>BOILTOLI, KARPARA BAZAR, GOPALGANJ</t>
  </si>
  <si>
    <t>mgrkarpara@krishibank.org.bd</t>
  </si>
  <si>
    <t>035350259</t>
  </si>
  <si>
    <t>CHOWDHURYHAT BRANCH</t>
  </si>
  <si>
    <t>CHOWDHURYHAT_BRANCH</t>
  </si>
  <si>
    <t>0916 / 025</t>
  </si>
  <si>
    <t>CHOWDHURY HAT, GOPALGANJ</t>
  </si>
  <si>
    <t>mgrchowdhryhat@krishibank.org.bd</t>
  </si>
  <si>
    <t>035350312</t>
  </si>
  <si>
    <t>GOALGRAM MADRASA BRANCH</t>
  </si>
  <si>
    <t>GOALGRAM_MADRASA_BRANCH</t>
  </si>
  <si>
    <t>0919 / 031</t>
  </si>
  <si>
    <t>GOALGRAM MADRASAH, GOPALGANJ</t>
  </si>
  <si>
    <t>mgrgoalgrammadrasa@krishibank.org.bd</t>
  </si>
  <si>
    <t>035350341</t>
  </si>
  <si>
    <t>GOHALA BRANCH</t>
  </si>
  <si>
    <t>GOHALA_BRANCH</t>
  </si>
  <si>
    <t>0907 / 034</t>
  </si>
  <si>
    <t>GOHALA, MUKSUDPUR, GOPALGANJ</t>
  </si>
  <si>
    <t>mgrgohala@krishibank.org.bd</t>
  </si>
  <si>
    <t>035350370</t>
  </si>
  <si>
    <t>0901 / 037</t>
  </si>
  <si>
    <t>GOPALGANJ SADAR, GOPALGANJ</t>
  </si>
  <si>
    <t>mgrgopalganj@krishibank.org.bd</t>
  </si>
  <si>
    <t>035350433</t>
  </si>
  <si>
    <t>GOPINATHPUR BRANCH</t>
  </si>
  <si>
    <t>GOPINATHPUR_BRANCH</t>
  </si>
  <si>
    <t>0917 / 043</t>
  </si>
  <si>
    <t>GOPINATHPUR, GOPALGANJ</t>
  </si>
  <si>
    <t>mgrgopinathpur@krishibank.org.bd</t>
  </si>
  <si>
    <t>035350554</t>
  </si>
  <si>
    <t>KAJULIA BRANCH</t>
  </si>
  <si>
    <t>KAJULIA_BRANCH</t>
  </si>
  <si>
    <t>0914 / 055</t>
  </si>
  <si>
    <t>KAJULIA, GOPALGANJ</t>
  </si>
  <si>
    <t>mgrkajulia@krishibank.org.bd</t>
  </si>
  <si>
    <t>035350583</t>
  </si>
  <si>
    <t>0910 / 058</t>
  </si>
  <si>
    <t>KASHIANI, GOPALGANJ</t>
  </si>
  <si>
    <t>mgrkasiani@krishibank.org.bd</t>
  </si>
  <si>
    <t>035350617</t>
  </si>
  <si>
    <t>KATHI BAZAR BRANCH</t>
  </si>
  <si>
    <t>KATHI_BAZAR_BRANCH</t>
  </si>
  <si>
    <t>0920 / 061</t>
  </si>
  <si>
    <t>KATHI BAZAR, GOPALGANJ</t>
  </si>
  <si>
    <t>mgrkathibazar@krishibank.org.bd</t>
  </si>
  <si>
    <t>035350675</t>
  </si>
  <si>
    <t>0904 / 067</t>
  </si>
  <si>
    <t>KOTALIPARA, GOPALGANJ</t>
  </si>
  <si>
    <t>mgrkotalipara@krishibank.org.bd</t>
  </si>
  <si>
    <t>035350738</t>
  </si>
  <si>
    <t>0906 / 073</t>
  </si>
  <si>
    <t>MUKSUDPUR, GOPALGANJ</t>
  </si>
  <si>
    <t>mgrmuksupur@krishibank.org.bd</t>
  </si>
  <si>
    <t>035350767</t>
  </si>
  <si>
    <t>NILFA BAZAR BRANCH</t>
  </si>
  <si>
    <t>NILFA_BAZAR_BRANCH</t>
  </si>
  <si>
    <t>0922 / 076</t>
  </si>
  <si>
    <t>NILFA BAZAR, TUNGIPARA, GOPALGANJ</t>
  </si>
  <si>
    <t>mgrnilfabazar@krishibank.org.bd</t>
  </si>
  <si>
    <t>035350888</t>
  </si>
  <si>
    <t>RADHAGANJ BAZAR BRANCH</t>
  </si>
  <si>
    <t>RADHAGANJ_BAZAR_BRANCH</t>
  </si>
  <si>
    <t>0905 / 088</t>
  </si>
  <si>
    <t>RADHAGANJ, KOTALIPARA, GOPALGANJ</t>
  </si>
  <si>
    <t>mgrradhagonj@krishibank.org.bd</t>
  </si>
  <si>
    <t>035350941</t>
  </si>
  <si>
    <t>RAJPAT BAZAR BRANCH</t>
  </si>
  <si>
    <t>RAJPAT_BAZAR_BRANCH</t>
  </si>
  <si>
    <t>0915 / 094</t>
  </si>
  <si>
    <t>RAJPAT, KASHIANI, GOPALGANJ</t>
  </si>
  <si>
    <t>mgrrajpat@krishibank.org.bd</t>
  </si>
  <si>
    <t>035350970</t>
  </si>
  <si>
    <t>0911 / 097</t>
  </si>
  <si>
    <t>RAMDIA, KASHIANI, GOPALGANJ</t>
  </si>
  <si>
    <t>mgrramdia@krishibank.org.bd</t>
  </si>
  <si>
    <t>035351032</t>
  </si>
  <si>
    <t>RATOIL BAZAR BRANCH</t>
  </si>
  <si>
    <t>RATOIL_BAZAR_BRANCH</t>
  </si>
  <si>
    <t>0918 / 103</t>
  </si>
  <si>
    <t>RATOIL, KASHIANI, GOPALGANJ 8132</t>
  </si>
  <si>
    <t>mgrratailbazar@krishibank.org.bd</t>
  </si>
  <si>
    <t>035351090</t>
  </si>
  <si>
    <t>0912 / 109</t>
  </si>
  <si>
    <t>TUNGIPARA, GOPALGANJ</t>
  </si>
  <si>
    <t>mgrtungipara@krishibank.org.bd</t>
  </si>
  <si>
    <t>035351124</t>
  </si>
  <si>
    <t>UJANI BAZAR BRANCH</t>
  </si>
  <si>
    <t>UJANI_BAZAR_BRANCH</t>
  </si>
  <si>
    <t>0921 / 112</t>
  </si>
  <si>
    <t>UJANI BAZAR, MUKSUDPUR, GOPALGANJ</t>
  </si>
  <si>
    <t>mgrujanibazar@krishibank.org.bd</t>
  </si>
  <si>
    <t>035360049</t>
  </si>
  <si>
    <t>AJMIRIGANJ BRANCH</t>
  </si>
  <si>
    <t>AJMIRIGANJ_BRANCH</t>
  </si>
  <si>
    <t>3906 / 004</t>
  </si>
  <si>
    <t>AJMIRIGANJ, HABIGANJ</t>
  </si>
  <si>
    <t>mgrazmirigonj@krishibank.org.bd</t>
  </si>
  <si>
    <t>035360078</t>
  </si>
  <si>
    <t>AMUROAD BAZAR BRANCH</t>
  </si>
  <si>
    <t>AMUROAD_BAZAR_BRANCH</t>
  </si>
  <si>
    <t>3918 / 007</t>
  </si>
  <si>
    <t>AMUROAD BAZAR, CHUNARUGHAT, HABIGANJ</t>
  </si>
  <si>
    <t>mgramuroadbazar@krishibank.org.bd</t>
  </si>
  <si>
    <t>035360131</t>
  </si>
  <si>
    <t>BAHUBAL BRANCH</t>
  </si>
  <si>
    <t>BAHUBAL_BRANCH</t>
  </si>
  <si>
    <t>3904 / 013</t>
  </si>
  <si>
    <t>BAHUBAL, HABIGANJ</t>
  </si>
  <si>
    <t>mgrbahubal@krishibank.org.bd</t>
  </si>
  <si>
    <t>035360160</t>
  </si>
  <si>
    <t>BANIACHONG BRANCH</t>
  </si>
  <si>
    <t>BANIACHONG_BRANCH</t>
  </si>
  <si>
    <t>3908 / 016</t>
  </si>
  <si>
    <t>BANIACHONG, HABIGANJ</t>
  </si>
  <si>
    <t>mgrbaniachang@krishibank.org.bd</t>
  </si>
  <si>
    <t>035360315</t>
  </si>
  <si>
    <t>CHOWMUHANI BAZAR BRANCH</t>
  </si>
  <si>
    <t>CHOWMUHANI_BAZAR_BRANCH</t>
  </si>
  <si>
    <t>3922 / 031</t>
  </si>
  <si>
    <t>CHOWMUHANI, HABIGANJ</t>
  </si>
  <si>
    <t>mgrchowmuhanibazar@krishibank.org.bd</t>
  </si>
  <si>
    <t>035360344</t>
  </si>
  <si>
    <t>CHUNARUGHAT BRANCH</t>
  </si>
  <si>
    <t>CHUNARUGHAT_BRANCH</t>
  </si>
  <si>
    <t>3911 / 034</t>
  </si>
  <si>
    <t>CHUNARUGHAT, HABIGANJ</t>
  </si>
  <si>
    <t>mgrchunarughat@krishibank.org.bd</t>
  </si>
  <si>
    <t>035360407</t>
  </si>
  <si>
    <t>DUBAI HAJIGANJ BRANCH</t>
  </si>
  <si>
    <t>DUBAI_HAJIGANJ_BRANCH</t>
  </si>
  <si>
    <t>3905 / 040</t>
  </si>
  <si>
    <t>DUBAI HAJIGANJ, BAHUBAL, HABIGANJ</t>
  </si>
  <si>
    <t>mgrdubaihajigonj@krishibank.org.bd</t>
  </si>
  <si>
    <t>035360557</t>
  </si>
  <si>
    <t>GOPLAR BAZAR BRANCH</t>
  </si>
  <si>
    <t>GOPLAR_BAZAR_BRANCH</t>
  </si>
  <si>
    <t>3915 / 055</t>
  </si>
  <si>
    <t>GOPLAR BAZAR, NABIGANJ, HABIGANJ</t>
  </si>
  <si>
    <t>mgrgoplarbazar@krishibank.org.bd</t>
  </si>
  <si>
    <t>035360610</t>
  </si>
  <si>
    <t>3901 / 061</t>
  </si>
  <si>
    <t>HABIGANJ SADAR, HABIGANJ</t>
  </si>
  <si>
    <t>mgrhabigonj@krishibank.org.bd</t>
  </si>
  <si>
    <t>035360678</t>
  </si>
  <si>
    <t>IMAMBARI BRANCH</t>
  </si>
  <si>
    <t>IMAMBARI_BRANCH</t>
  </si>
  <si>
    <t>3914 / 067</t>
  </si>
  <si>
    <t>IMAMBARI, NABIGANJ, HABIGANJ</t>
  </si>
  <si>
    <t>mgrimambari@krishibank.org.bd</t>
  </si>
  <si>
    <t>035360731</t>
  </si>
  <si>
    <t>KAKILCHEO BRANCH</t>
  </si>
  <si>
    <t>KAKILCHEO_BRANCH</t>
  </si>
  <si>
    <t>3907 / 073</t>
  </si>
  <si>
    <t>KAKILCHEO, AJMIRIGANJ, HABIGANJ</t>
  </si>
  <si>
    <t>mgrkakailcheo@krishibank.org.bd</t>
  </si>
  <si>
    <t>035360760</t>
  </si>
  <si>
    <t>KALAUK BRANCH</t>
  </si>
  <si>
    <t>KALAUK_BRANCH</t>
  </si>
  <si>
    <t>3916 / 076</t>
  </si>
  <si>
    <t>KALAUK, LAKHAI,HABIGANJ</t>
  </si>
  <si>
    <t>mgrkalauk@krishibank.org.bd</t>
  </si>
  <si>
    <t>035360799</t>
  </si>
  <si>
    <t>KASHIMNAGAR BRANCH</t>
  </si>
  <si>
    <t>KASHIMNAGAR_BRANCH</t>
  </si>
  <si>
    <t>3903 / 079</t>
  </si>
  <si>
    <t>KASHIMNAGAR, MADHABPUR, HABIGANJ</t>
  </si>
  <si>
    <t>mgrkashimnagar@krishibank.org.bd</t>
  </si>
  <si>
    <t>035360823</t>
  </si>
  <si>
    <t>KAZIGANJ BAZAR BRANCH</t>
  </si>
  <si>
    <t>KAZIGANJ_BAZAR_BRANCH</t>
  </si>
  <si>
    <t>3913 / 082</t>
  </si>
  <si>
    <t>KAZIGANJ BAZAR, NABIGANJ, HABIGANJ</t>
  </si>
  <si>
    <t>mgrkazigonjbazar@krishibank.org.bd</t>
  </si>
  <si>
    <t>035360852</t>
  </si>
  <si>
    <t>LAKHAI BRANCH</t>
  </si>
  <si>
    <t>LAKHAI_BRANCH</t>
  </si>
  <si>
    <t>3910 / 085</t>
  </si>
  <si>
    <t>LAKHAI, HABIGANJ</t>
  </si>
  <si>
    <t>mgrlakhai@krishibank.org.bd</t>
  </si>
  <si>
    <t>035360881</t>
  </si>
  <si>
    <t>3902 / 088</t>
  </si>
  <si>
    <t>MADHABPUR, HABIGANJ</t>
  </si>
  <si>
    <t>mgrmadhabpur@krishibank.org.bd</t>
  </si>
  <si>
    <t>035360915</t>
  </si>
  <si>
    <t>MADNA BRANCH</t>
  </si>
  <si>
    <t>MADNA_BRANCH</t>
  </si>
  <si>
    <t>3924 / 091</t>
  </si>
  <si>
    <t>MADNA, LAKHAI, HABIGANJ</t>
  </si>
  <si>
    <t>mgrmadna@krishibank.org.bd</t>
  </si>
  <si>
    <t>035360973</t>
  </si>
  <si>
    <t>3928 / 097</t>
  </si>
  <si>
    <t>MIRPUR BAZAR, BAHUBAL, HABIGANJ 3301</t>
  </si>
  <si>
    <t>mgrmirpur@krishibank.org.bd</t>
  </si>
  <si>
    <t>035361064</t>
  </si>
  <si>
    <t>MURAKARI BRANCH</t>
  </si>
  <si>
    <t>MURAKARI_BRANCH</t>
  </si>
  <si>
    <t>3931 / 106</t>
  </si>
  <si>
    <t>MURAKARI, LAKHAI, HABIGANJ</t>
  </si>
  <si>
    <t>mgrmurakari@krishibank.org.bd</t>
  </si>
  <si>
    <t>035361093</t>
  </si>
  <si>
    <t>3912 / 109</t>
  </si>
  <si>
    <t>NABIGANJ, HABIGANJ</t>
  </si>
  <si>
    <t>mgrnabigonj@krishibank.org.bd</t>
  </si>
  <si>
    <t>035361127</t>
  </si>
  <si>
    <t>NAGURA BRANCH</t>
  </si>
  <si>
    <t>NAGURA_BRANCH</t>
  </si>
  <si>
    <t>3909 / 112</t>
  </si>
  <si>
    <t>NAGURA, BANIACHONG, HABIGANJ</t>
  </si>
  <si>
    <t>mgrnagura@krishibank.org.bd</t>
  </si>
  <si>
    <t>035361156</t>
  </si>
  <si>
    <t>NALMUKH BAZAR BRANCH</t>
  </si>
  <si>
    <t>NALMUKH_BAZAR_BRANCH</t>
  </si>
  <si>
    <t>3926 / 115</t>
  </si>
  <si>
    <t>NALMUKH BAZAR, CHUNARUGHAT, HABIGANJ</t>
  </si>
  <si>
    <t>mgrnalmukhbazar@krishibank.org.bd</t>
  </si>
  <si>
    <t>035361185</t>
  </si>
  <si>
    <t>NANDANPUR BAZAR BRANCH</t>
  </si>
  <si>
    <t>NANDANPUR_BAZAR_BRANCH</t>
  </si>
  <si>
    <t>3927 / 118</t>
  </si>
  <si>
    <t>NANDANPUR, BAHUBAL, HABIGANJ</t>
  </si>
  <si>
    <t>mgrnandanpurbazar@krishibank.org.bd</t>
  </si>
  <si>
    <t>035361248</t>
  </si>
  <si>
    <t>PAHARPUR BAZAR BRANCH</t>
  </si>
  <si>
    <t>PAHARPUR_BAZAR_BRANCH</t>
  </si>
  <si>
    <t>3920 / 124</t>
  </si>
  <si>
    <t>PAHARPUR BAZAR, HABIGANJ</t>
  </si>
  <si>
    <t>mgrpaharpurbazar@krishibank.org.bd</t>
  </si>
  <si>
    <t>035361277</t>
  </si>
  <si>
    <t>PANIUMDA BRANCH</t>
  </si>
  <si>
    <t>PANIUMDA_BRANCH</t>
  </si>
  <si>
    <t>3919 / 127</t>
  </si>
  <si>
    <t>PANIUMDA, NABIGANJ, HABIGANJ</t>
  </si>
  <si>
    <t>mgrpaniumda@krishibank.org.bd</t>
  </si>
  <si>
    <t>035361301</t>
  </si>
  <si>
    <t>POIL</t>
  </si>
  <si>
    <t>035361369</t>
  </si>
  <si>
    <t>SHAKIR MAMUD BRANCH</t>
  </si>
  <si>
    <t>SHAKIR_MAMUD_BRANCH</t>
  </si>
  <si>
    <t>3917 / 136</t>
  </si>
  <si>
    <t>SHAKIR MAMUD, CHUNARUGHAT, HABIGANJ</t>
  </si>
  <si>
    <t>mgrshakirmahmud@krishibank.org.bd</t>
  </si>
  <si>
    <t>035361422</t>
  </si>
  <si>
    <t>SUJATPUR BAZAR BRANCH</t>
  </si>
  <si>
    <t>SUJATPUR_BAZAR_BRANCH</t>
  </si>
  <si>
    <t>3923 / 142</t>
  </si>
  <si>
    <t>SUJATPUR, BANIACHONG, HABIGANJ</t>
  </si>
  <si>
    <t>mgrsujatpurbazar@krishibank.org.bd</t>
  </si>
  <si>
    <t>035361451</t>
  </si>
  <si>
    <t>SUNDARPUR BAZAR BRANCH</t>
  </si>
  <si>
    <t>SUNDARPUR_BAZAR_BRANCH</t>
  </si>
  <si>
    <t>3929 / 145</t>
  </si>
  <si>
    <t>SUNDARPUR, CHUNARUGHAT, HABIGANJ</t>
  </si>
  <si>
    <t>mgrsundarpurbazar@krishibank.org.bd</t>
  </si>
  <si>
    <t>035361543</t>
  </si>
  <si>
    <t>TELIAPARA BRANCH</t>
  </si>
  <si>
    <t>TELIAPARA_BRANCH</t>
  </si>
  <si>
    <t>3921 / 154</t>
  </si>
  <si>
    <t>TELIAPARA, CHUNARUGHAT, HABIGANJ</t>
  </si>
  <si>
    <t>mgrteliapara@krishibank.org.bd</t>
  </si>
  <si>
    <t>035390048</t>
  </si>
  <si>
    <t>BAHADURABAD BRANCH</t>
  </si>
  <si>
    <t>BAHADURABAD_BRANCH</t>
  </si>
  <si>
    <t>5212 / 004</t>
  </si>
  <si>
    <t>BAHADURABAD, DEWANGANJ, JAMALPUR</t>
  </si>
  <si>
    <t>mgrbahadurabad@krishibank.org.bd</t>
  </si>
  <si>
    <t>035390356</t>
  </si>
  <si>
    <t>BAHATARA BAZAR BRANCH</t>
  </si>
  <si>
    <t>BAHATARA_BAZAR_BRANCH</t>
  </si>
  <si>
    <t>5223 / 5223</t>
  </si>
  <si>
    <t>BAHATARA BAZAR, SARISHABARI, JAMALPUR</t>
  </si>
  <si>
    <t>017 30708456</t>
  </si>
  <si>
    <t>mgrbahatarabazar@krishibank.org.bd</t>
  </si>
  <si>
    <t>035390101</t>
  </si>
  <si>
    <t>BAKSHIGANJ BRANCH</t>
  </si>
  <si>
    <t>BAKSHIGANJ_BRANCH</t>
  </si>
  <si>
    <t>5215 / 010</t>
  </si>
  <si>
    <t>BAKSHIGANJ, JAMALPUR</t>
  </si>
  <si>
    <t>mgrbokshigonj@krishibank.org.bd</t>
  </si>
  <si>
    <t>035390251</t>
  </si>
  <si>
    <t>BARUAMARI BRANCH</t>
  </si>
  <si>
    <t>BARUAMARI_BRANCH</t>
  </si>
  <si>
    <t>5217 / 025</t>
  </si>
  <si>
    <t>BARUAMARI, BAKSHIGANJ, JAMALPUR</t>
  </si>
  <si>
    <t>mgrbaruamari@krishibank.org.bd</t>
  </si>
  <si>
    <t>035390314</t>
  </si>
  <si>
    <t>BAUSI BANGALI BRANCH</t>
  </si>
  <si>
    <t>BAUSI_BANGALI_BRANCH</t>
  </si>
  <si>
    <t>5207 / 031</t>
  </si>
  <si>
    <t>BAUSI BANGALI, SARISHABARI, JAMALPUR</t>
  </si>
  <si>
    <t>mgrbaushibangali@krishibank.org.bd</t>
  </si>
  <si>
    <t>035390343</t>
  </si>
  <si>
    <t>BHABKI BAZAR BRANCH</t>
  </si>
  <si>
    <t>BHABKI_BAZAR_BRANCH</t>
  </si>
  <si>
    <t>5219 / 034</t>
  </si>
  <si>
    <t>BHABKI BAZAR, MELANDAH, JAMALPUR</t>
  </si>
  <si>
    <t>017 30708454</t>
  </si>
  <si>
    <t>mgrbhabkibazar@krishibank.org.bd</t>
  </si>
  <si>
    <t>035390127</t>
  </si>
  <si>
    <t>BHARUAKHALI BAZAR BRANCH</t>
  </si>
  <si>
    <t>BHARUAKHALI_BAZAR_BRANCH</t>
  </si>
  <si>
    <t>5229 / 5229</t>
  </si>
  <si>
    <t>BHARUAKHALI, JAMALPUR SADAR, JAMALPUR</t>
  </si>
  <si>
    <t>mgrbharuakhalibazar@krishibank.org.bd</t>
  </si>
  <si>
    <t>035390464</t>
  </si>
  <si>
    <t>DEWANGANJ BRANCH</t>
  </si>
  <si>
    <t>DEWANGANJ_BRANCH</t>
  </si>
  <si>
    <t>5210 / 046</t>
  </si>
  <si>
    <t>DEWANGANJ, JAMALPUR</t>
  </si>
  <si>
    <t>mgrdewangonj@krishibank.org.bd</t>
  </si>
  <si>
    <t>035390677</t>
  </si>
  <si>
    <t>GUTHAIL BAZAR BRANCH</t>
  </si>
  <si>
    <t>GUTHAIL_BAZAR_BRANCH</t>
  </si>
  <si>
    <t>5213 / 067</t>
  </si>
  <si>
    <t>GUTHAIL BAZAR, ISLAMPUR, JAMALPUR</t>
  </si>
  <si>
    <t>mgrguthailbazar@krishibank.org.bd</t>
  </si>
  <si>
    <t>035390701</t>
  </si>
  <si>
    <t>5203 / 070</t>
  </si>
  <si>
    <t>HAZIPUR, JAMALPUR 2000</t>
  </si>
  <si>
    <t>mgrhajirpurbazar@krishibank.org.bd</t>
  </si>
  <si>
    <t>035390769</t>
  </si>
  <si>
    <t>5211 / 076</t>
  </si>
  <si>
    <t>ISLAMPUR, JAMALPUR</t>
  </si>
  <si>
    <t>mgrislampur@krishibank.org.bd</t>
  </si>
  <si>
    <t>035390114</t>
  </si>
  <si>
    <t>JABBARGANJ BAZAR BRANCH</t>
  </si>
  <si>
    <t>JABBARGANJ_BAZAR_BRANCH</t>
  </si>
  <si>
    <t>5228 / 5228</t>
  </si>
  <si>
    <t>JABBARGANJ, BAKSHIGANJ, JAMALPUR</t>
  </si>
  <si>
    <t>mgrjabbargonjbazar@krishibank.org.bd</t>
  </si>
  <si>
    <t>035390280</t>
  </si>
  <si>
    <t>JAGANNATHGANJ GHAT BRANCH</t>
  </si>
  <si>
    <t>JAGANNATHGANJ_GHAT_BRANCH</t>
  </si>
  <si>
    <t>5216 / 028</t>
  </si>
  <si>
    <t>JAGANNATHGANJ GHAT, SHARISHABARI, JAMALPUR</t>
  </si>
  <si>
    <t>mgrjagannathgonjghat@krishibank.org.bd</t>
  </si>
  <si>
    <t>035390851</t>
  </si>
  <si>
    <t>5201 / 085</t>
  </si>
  <si>
    <t>STATION ROAD, JAMALPUR 2000</t>
  </si>
  <si>
    <t>mgrjamalpur@krishibank.org.bd</t>
  </si>
  <si>
    <t>035390222</t>
  </si>
  <si>
    <t>MADARGANJ BRANCH</t>
  </si>
  <si>
    <t>MADARGANJ_BRANCH</t>
  </si>
  <si>
    <t>5209 / 022</t>
  </si>
  <si>
    <t>BALIJURI, MADARGANJ, JAMALPUR 2041</t>
  </si>
  <si>
    <t>mgrmadergonj@krishibank.org.bd</t>
  </si>
  <si>
    <t>035390080</t>
  </si>
  <si>
    <t>MAHMUDPUR BAZAR BRANCH</t>
  </si>
  <si>
    <t>MAHMUDPUR_BAZAR_BRANCH</t>
  </si>
  <si>
    <t>5226 / 5226</t>
  </si>
  <si>
    <t>MAHMUDPUR BAZAR, MELANDAH, JAMALPUR</t>
  </si>
  <si>
    <t>mgrmahmudpurbazar@krishibank.org.bd</t>
  </si>
  <si>
    <t>035391276</t>
  </si>
  <si>
    <t>MELANDAH BRANCH</t>
  </si>
  <si>
    <t>MELANDAH_BRANCH</t>
  </si>
  <si>
    <t>5208 / 127</t>
  </si>
  <si>
    <t>MELANDAH, JAMALPUR 2010</t>
  </si>
  <si>
    <t>mgrmelandah@krishibank.org.bd</t>
  </si>
  <si>
    <t>035390064</t>
  </si>
  <si>
    <t>MILON BAZAR BRANCH</t>
  </si>
  <si>
    <t>MILON_BAZAR_BRANCH</t>
  </si>
  <si>
    <t>5225 / 5225</t>
  </si>
  <si>
    <t>MILON BAZAR, MADARGANJ, JAMALPUR</t>
  </si>
  <si>
    <t>mgrmilonbazar@krishibank.org.bd</t>
  </si>
  <si>
    <t>035391184</t>
  </si>
  <si>
    <t>MOLAMGANJ BAZAR BRANCH</t>
  </si>
  <si>
    <t>MOLAMGANJ_BAZAR_BRANCH</t>
  </si>
  <si>
    <t>5221 / 118</t>
  </si>
  <si>
    <t>mgrmolamgonjbazar@krishibank.org.bd</t>
  </si>
  <si>
    <t>035391300</t>
  </si>
  <si>
    <t>NANDINA BRANCH</t>
  </si>
  <si>
    <t>NANDINA_BRANCH</t>
  </si>
  <si>
    <t>5202 / 130</t>
  </si>
  <si>
    <t>NANDINA BAZAR, JAMALPUR 2001</t>
  </si>
  <si>
    <t>mgrnandina@krishibank.org.bd</t>
  </si>
  <si>
    <t>035391339</t>
  </si>
  <si>
    <t>NARUNDI BAZAR BRANCH</t>
  </si>
  <si>
    <t>NARUNDI_BAZAR_BRANCH</t>
  </si>
  <si>
    <t>5205 / 133</t>
  </si>
  <si>
    <t>NARUNDI BAZAR, JAMALPUR</t>
  </si>
  <si>
    <t>mgrnurundibazar@krishibank.org.bd</t>
  </si>
  <si>
    <t>035391368</t>
  </si>
  <si>
    <t>5218 / 136</t>
  </si>
  <si>
    <t>BATTAZORE, BAKSHIGANJ, JAMALPUR 2140</t>
  </si>
  <si>
    <t>017 30708467</t>
  </si>
  <si>
    <t>mgrnatunbazar@krishibank.org.bd</t>
  </si>
  <si>
    <t>035391555</t>
  </si>
  <si>
    <t>SHARIFPUR BAZAR BRANCH</t>
  </si>
  <si>
    <t>SHARIFPUR_BAZAR_BRANCH</t>
  </si>
  <si>
    <t>5224 / 5224</t>
  </si>
  <si>
    <t>SHARIFPUR BAZAR, JAMALPUR</t>
  </si>
  <si>
    <t>mgrsharifpur@krishibank.org.bd</t>
  </si>
  <si>
    <t>035391489</t>
  </si>
  <si>
    <t>SHARISHABARI BRANCH</t>
  </si>
  <si>
    <t>SHARISHABARI_BRANCH</t>
  </si>
  <si>
    <t>5206 / 148</t>
  </si>
  <si>
    <t>SHARISHABARI, JAMALPUR</t>
  </si>
  <si>
    <t>mgrsarishabari@krishibank.org.bd</t>
  </si>
  <si>
    <t>035391571</t>
  </si>
  <si>
    <t>SHYAMGANJ KALIBARI BRANCH</t>
  </si>
  <si>
    <t>SHYAMGANJ_KALIBARI_BRANCH</t>
  </si>
  <si>
    <t>5214 / 157</t>
  </si>
  <si>
    <t>SHYAMGANJ KALIBARI, JAMALPUR 2051</t>
  </si>
  <si>
    <t>mgrshyamgonjkalibari@krishibank.org.bd</t>
  </si>
  <si>
    <t>035391605</t>
  </si>
  <si>
    <t>SONTIA BAZAR BRANCH</t>
  </si>
  <si>
    <t>SONTIA_BAZAR_BRANCH</t>
  </si>
  <si>
    <t>5204 / 160</t>
  </si>
  <si>
    <t>SONTIA BAZAR, JAMALPUR SADAR, JAMALPUR</t>
  </si>
  <si>
    <t>mgrchontiabazar@krishibank.org.bd</t>
  </si>
  <si>
    <t>035391692</t>
  </si>
  <si>
    <t>TARAKANDI BRANCH</t>
  </si>
  <si>
    <t>TARAKANDI_BRANCH</t>
  </si>
  <si>
    <t>5230 / 5230</t>
  </si>
  <si>
    <t>TARAKANDI, SARISHABARI, JAMALPUR 3942</t>
  </si>
  <si>
    <t>02 9515585</t>
  </si>
  <si>
    <t>mgrtarakandi@krishibank.org.bd</t>
  </si>
  <si>
    <t>035390143</t>
  </si>
  <si>
    <t>TONKI BAZAR BRANCH</t>
  </si>
  <si>
    <t>TONKI_BAZAR_BRANCH</t>
  </si>
  <si>
    <t>5231 / 5231</t>
  </si>
  <si>
    <t>TONKI BAZAR, MELANDAH, JAMALPUR</t>
  </si>
  <si>
    <t>mgrtankeybazar@krishibank.org.bd</t>
  </si>
  <si>
    <t>035390093</t>
  </si>
  <si>
    <t>TULSHIPUR BAZAR BRANCH</t>
  </si>
  <si>
    <t>TULSHIPUR_BAZAR_BRANCH</t>
  </si>
  <si>
    <t>5227 / 5227</t>
  </si>
  <si>
    <t>TULSHIPUR BAZAR, JAMALPUR 1730</t>
  </si>
  <si>
    <t>mgrtulshipurbazar@krishibank.org.bd</t>
  </si>
  <si>
    <t>035410131</t>
  </si>
  <si>
    <t>BAGHARPARA BRANCH</t>
  </si>
  <si>
    <t>BAGHARPARA_BRANCH</t>
  </si>
  <si>
    <t>1615 / 013</t>
  </si>
  <si>
    <t>BAGHARPARA, JESSORE</t>
  </si>
  <si>
    <t>mgrbagharpara@krishibank.org.bd</t>
  </si>
  <si>
    <t>035410557</t>
  </si>
  <si>
    <t>CHOWGACHA BRANCH</t>
  </si>
  <si>
    <t>CHOWGACHA_BRANCH</t>
  </si>
  <si>
    <t>1605 / 055</t>
  </si>
  <si>
    <t>CHOWGACHA, JESSORE 7410</t>
  </si>
  <si>
    <t>mgrchowgacha@krishibank.org.bd</t>
  </si>
  <si>
    <t>035410760</t>
  </si>
  <si>
    <t>1610 / 076</t>
  </si>
  <si>
    <t>GOPALPUR, KHANPUR, MANIRAMPUR, JESSORE 7440</t>
  </si>
  <si>
    <t>mgrgopalpurbazar@krishibank.org.bd</t>
  </si>
  <si>
    <t>035410823</t>
  </si>
  <si>
    <t>1618 / 082</t>
  </si>
  <si>
    <t>HASANPUR, BURIHATI, KESHABPUR, JESSORE 7450</t>
  </si>
  <si>
    <t>017 30708474</t>
  </si>
  <si>
    <t>mgrhasanpur@krishibank.org.bd</t>
  </si>
  <si>
    <t>035410915</t>
  </si>
  <si>
    <t>JAGADISHPUR BRANCH</t>
  </si>
  <si>
    <t>JAGADISHPUR_BRANCH</t>
  </si>
  <si>
    <t>1606 / 091</t>
  </si>
  <si>
    <t>JAGADISHPUR, CHOWGACHA, JESSORE</t>
  </si>
  <si>
    <t>mgrjagadishpur@krishibank.org.bd</t>
  </si>
  <si>
    <t>035410944</t>
  </si>
  <si>
    <t>1601 / 094</t>
  </si>
  <si>
    <t>LOHAPOTTI, JESSORE</t>
  </si>
  <si>
    <t>mgrjessore@krishibank.org.bd</t>
  </si>
  <si>
    <t>035411093</t>
  </si>
  <si>
    <t>1603 / 109</t>
  </si>
  <si>
    <t>JHIKARGACHA BAZAR, JESSORE 7420</t>
  </si>
  <si>
    <t>mgrjikargacha@krishibank.org.bd</t>
  </si>
  <si>
    <t>035411185</t>
  </si>
  <si>
    <t>KAYEMKHOLA BAZAR BRANCH</t>
  </si>
  <si>
    <t>KAYEMKHOLA_BAZAR_BRANCH</t>
  </si>
  <si>
    <t>1617 / 118</t>
  </si>
  <si>
    <t>KAYEMKHOLA BAZAR, JHIKARGACHHA, JESSORE</t>
  </si>
  <si>
    <t>mgrkayemkolabazar@krishibank.org.bd</t>
  </si>
  <si>
    <t>035411219</t>
  </si>
  <si>
    <t>1612 / 121</t>
  </si>
  <si>
    <t>KESHABPUR, JESSORE</t>
  </si>
  <si>
    <t>mgrkeshobpur@krishibank.org.bd</t>
  </si>
  <si>
    <t>035411277</t>
  </si>
  <si>
    <t>KHEDAPARA BAZAR BRANCH</t>
  </si>
  <si>
    <t>KHEDAPARA_BAZAR_BRANCH</t>
  </si>
  <si>
    <t>1619 / 127</t>
  </si>
  <si>
    <t>KHEDAPARA BAZAR, MANIRAMPUR, JESSORE 7440</t>
  </si>
  <si>
    <t>mgrkhedaparabazar@krishibank.org.bd</t>
  </si>
  <si>
    <t>035410065</t>
  </si>
  <si>
    <t>KOLAGACHI BRANCH</t>
  </si>
  <si>
    <t>KOLAGACHI_BRANCH</t>
  </si>
  <si>
    <t>1622 / 1622</t>
  </si>
  <si>
    <t>KOLAGACHI, JESSORE 7800</t>
  </si>
  <si>
    <t>mgrkolagachi@krishibank.org.bd</t>
  </si>
  <si>
    <t>035411301</t>
  </si>
  <si>
    <t>KUADA BAZAR BRANCH</t>
  </si>
  <si>
    <t>KUADA_BAZAR_BRANCH</t>
  </si>
  <si>
    <t>1611 / 130</t>
  </si>
  <si>
    <t>KUADA BAZAR, MANIRAMPUR, JESSORE 7440</t>
  </si>
  <si>
    <t>017 30708481</t>
  </si>
  <si>
    <t>mgrkuadabazar@krishibank.org.bd</t>
  </si>
  <si>
    <t>035411369</t>
  </si>
  <si>
    <t>1608 / 136</t>
  </si>
  <si>
    <t>LAKHANPUR, SHARSHA, JESSORE 7430</t>
  </si>
  <si>
    <t>035411514</t>
  </si>
  <si>
    <t>MANIRAMPUR BRANCH</t>
  </si>
  <si>
    <t>MANIRAMPUR_BRANCH</t>
  </si>
  <si>
    <t>1609 / 151</t>
  </si>
  <si>
    <t>MANIRAMPUR, JESSORE</t>
  </si>
  <si>
    <t>mgrmonirampur@krishibank.org.bd</t>
  </si>
  <si>
    <t>035411480</t>
  </si>
  <si>
    <t>MOSHIAHATI BRANCH</t>
  </si>
  <si>
    <t>MOSHIAHATI_BRANCH</t>
  </si>
  <si>
    <t>1614 / 148</t>
  </si>
  <si>
    <t>MOSHIAHATI, MANIRAMPUR, JESSORE 7440</t>
  </si>
  <si>
    <t>017 30708484</t>
  </si>
  <si>
    <t>mgrmoshiahati@krishibank.org.bd</t>
  </si>
  <si>
    <t>035411543</t>
  </si>
  <si>
    <t>NARAYANPUR BAZAR BRANCH</t>
  </si>
  <si>
    <t>NARAYANPUR_BAZAR_BRANCH</t>
  </si>
  <si>
    <t>1616 / 154</t>
  </si>
  <si>
    <t>NARAYANPUR, KESHABPUR, JESSORE 7460</t>
  </si>
  <si>
    <t>017 30708485</t>
  </si>
  <si>
    <t>mgrnarayanpur@krishibank.org.bd</t>
  </si>
  <si>
    <t>035411606</t>
  </si>
  <si>
    <t>NAVARON BRANCH</t>
  </si>
  <si>
    <t>NAVARON_BRANCH</t>
  </si>
  <si>
    <t>1604 / 160</t>
  </si>
  <si>
    <t>NAVARON, JHIKARGACHA, JESSORE 7432</t>
  </si>
  <si>
    <t>mgrnavaran@krishibank.org.bd</t>
  </si>
  <si>
    <t>035411635</t>
  </si>
  <si>
    <t>NOAPARA BRANCH</t>
  </si>
  <si>
    <t>NOAPARA_BRANCH</t>
  </si>
  <si>
    <t>1613 / 163</t>
  </si>
  <si>
    <t>NOAPARA, ABHAYNAGAR, JESSORE</t>
  </si>
  <si>
    <t>mgrnoapara@krishibank.org.bd</t>
  </si>
  <si>
    <t>035412021</t>
  </si>
  <si>
    <t>RUPDIA BRANCH</t>
  </si>
  <si>
    <t>RUPDIA_BRANCH</t>
  </si>
  <si>
    <t>1602 / 202</t>
  </si>
  <si>
    <t>RUPDIA BAZAR, NARENDRAPUR, JESSORE</t>
  </si>
  <si>
    <t>mgrrupdia@krishibank.org.bd</t>
  </si>
  <si>
    <t>035412142</t>
  </si>
  <si>
    <t>SHARSHA BRANCH</t>
  </si>
  <si>
    <t>SHARSHA_BRANCH</t>
  </si>
  <si>
    <t>1607 / 214</t>
  </si>
  <si>
    <t>SHARSHA, JESSORE</t>
  </si>
  <si>
    <t>mgrsharsa@krishibank.org.bd</t>
  </si>
  <si>
    <t>035412205</t>
  </si>
  <si>
    <t>SHINGHAJHULLY BAZAR BRANCH</t>
  </si>
  <si>
    <t>SHINGHAJHULLY_BAZAR_BRANCH</t>
  </si>
  <si>
    <t>1620 / 220</t>
  </si>
  <si>
    <t>SHINGHAJHULLY, CHOWGACHA, JESSORE</t>
  </si>
  <si>
    <t>mgrshinghajhulibazar@krishibank.org.bd</t>
  </si>
  <si>
    <t>035410052</t>
  </si>
  <si>
    <t>TELIDHANNYAPORA BRANCH</t>
  </si>
  <si>
    <t>TELIDHANNYAPORA_BRANCH</t>
  </si>
  <si>
    <t>1621 / 1621</t>
  </si>
  <si>
    <t>TELIDHANNYAPORA, BAGARPARA, JESSORE 7470</t>
  </si>
  <si>
    <t>017 11471651</t>
  </si>
  <si>
    <t>mgrtelidhannyapora@krishibank.org.bd</t>
  </si>
  <si>
    <t>JHALAKATHI</t>
  </si>
  <si>
    <t>035420042</t>
  </si>
  <si>
    <t>AMUA BRANCH</t>
  </si>
  <si>
    <t>AMUA_BRANCH</t>
  </si>
  <si>
    <t>0408 / 004</t>
  </si>
  <si>
    <t>AMUA, KATHALIA, JHALAKATI</t>
  </si>
  <si>
    <t>mgramua@krishibank.org.bd</t>
  </si>
  <si>
    <t>035420134</t>
  </si>
  <si>
    <t>BASANDA BRANCH</t>
  </si>
  <si>
    <t>BASANDA_BRANCH</t>
  </si>
  <si>
    <t>0411 / 013</t>
  </si>
  <si>
    <t>BASANDA, JHALAKATHI SADAR, JHALAKATHI</t>
  </si>
  <si>
    <t>mgrbasanda@krishibank.org.bd</t>
  </si>
  <si>
    <t>035420163</t>
  </si>
  <si>
    <t>BINOYKATHI BRANCH</t>
  </si>
  <si>
    <t>BINOYKATHI_BRANCH</t>
  </si>
  <si>
    <t>402 / 016</t>
  </si>
  <si>
    <t>BINOYKATHI, JHALAKATHI SADAR, JHALAKATHHI</t>
  </si>
  <si>
    <t>mgrbinoykati@krishibank.org.bd</t>
  </si>
  <si>
    <t>035420192</t>
  </si>
  <si>
    <t>CHITKY BAZAR BRANCH</t>
  </si>
  <si>
    <t>CHITKY_BAZAR_BRANCH</t>
  </si>
  <si>
    <t>0414 / 019</t>
  </si>
  <si>
    <t>CHITKI, KANTHALIA, JHALAKATHI</t>
  </si>
  <si>
    <t>mgrchitkibazar@krishibank.org.bd</t>
  </si>
  <si>
    <t>035420255</t>
  </si>
  <si>
    <t>GALUABAZAR BRANCH</t>
  </si>
  <si>
    <t>GALUABAZAR_BRANCH</t>
  </si>
  <si>
    <t>0403 / 025</t>
  </si>
  <si>
    <t>GALUABAZAR, RAJAPUR, JHALAKATHI</t>
  </si>
  <si>
    <t>mgrgaluabazar@krishibank.org.bd</t>
  </si>
  <si>
    <t>035420318</t>
  </si>
  <si>
    <t>JHALAKATHI BRANCH</t>
  </si>
  <si>
    <t>JHALAKATHI_BRANCH</t>
  </si>
  <si>
    <t>0401 / 031</t>
  </si>
  <si>
    <t>JHALAKATI SADAR, JHALAKATHI</t>
  </si>
  <si>
    <t>mgrjhalakathi@krishibank.org.bd</t>
  </si>
  <si>
    <t>035420347</t>
  </si>
  <si>
    <t>KAIKHALI BRANCH</t>
  </si>
  <si>
    <t>KAIKHALI_BRANCH</t>
  </si>
  <si>
    <t>0410 / 034</t>
  </si>
  <si>
    <t>KAIKHALI, KATHALIA, JHALAKATHI</t>
  </si>
  <si>
    <t>mgrkaikhali@krishibank.org.bd</t>
  </si>
  <si>
    <t>035420376</t>
  </si>
  <si>
    <t>KATHALIA BANDAR BRANCH</t>
  </si>
  <si>
    <t>KATHALIA_BANDAR_BRANCH</t>
  </si>
  <si>
    <t>0407 / 037</t>
  </si>
  <si>
    <t>KATHALIA BAZAR, JHALAKATHI</t>
  </si>
  <si>
    <t>mgrkathalia@krishibank.org.bd</t>
  </si>
  <si>
    <t>035420439</t>
  </si>
  <si>
    <t>NABAGRAM BRANCH</t>
  </si>
  <si>
    <t>NABAGRAM_BRANCH</t>
  </si>
  <si>
    <t>0413 / 043</t>
  </si>
  <si>
    <t>NABAGRAM, JHALAKATHI SADAR, JHALAKATHI</t>
  </si>
  <si>
    <t>mgrnabagram@krishibank.org.bd</t>
  </si>
  <si>
    <t>035420497</t>
  </si>
  <si>
    <t>NALCHITY BRANCH</t>
  </si>
  <si>
    <t>NALCHITY_BRANCH</t>
  </si>
  <si>
    <t>0404 / 049</t>
  </si>
  <si>
    <t>NALCHITY, JHALAKATHI</t>
  </si>
  <si>
    <t>mgrnalchity@krishibank.org.bd</t>
  </si>
  <si>
    <t>035420271</t>
  </si>
  <si>
    <t>NIZAMIA BAZAR BRANCH</t>
  </si>
  <si>
    <t>NIZAMIA_BAZAR_BRANCH</t>
  </si>
  <si>
    <t>0417 / 0417</t>
  </si>
  <si>
    <t>NIZAMIA BAZAR, RAJAPUR, JHALAKATHI</t>
  </si>
  <si>
    <t>mgrnizamiabazar@krishibank.org.bd</t>
  </si>
  <si>
    <t>035420550</t>
  </si>
  <si>
    <t>RAJAPUR BRANCH</t>
  </si>
  <si>
    <t>RAJAPUR_BRANCH</t>
  </si>
  <si>
    <t>0406 / 055</t>
  </si>
  <si>
    <t>RAJAPUR, JHALAKATHI</t>
  </si>
  <si>
    <t>mgrrajapur@krishibank.org.bd</t>
  </si>
  <si>
    <t>035420589</t>
  </si>
  <si>
    <t>RAMACHANDRAPUR BAZAR BRANCH</t>
  </si>
  <si>
    <t>RAMACHANDRAPUR_BAZAR_BRANCH</t>
  </si>
  <si>
    <t>0416 / 058</t>
  </si>
  <si>
    <t>RAMACHANDRAPUR, BENOYKATHI, JHALAKATHI</t>
  </si>
  <si>
    <t>mgrramchandrapur@krishibank.org.bd</t>
  </si>
  <si>
    <t>035420671</t>
  </si>
  <si>
    <t>TALTALA BAZAR BRANCH</t>
  </si>
  <si>
    <t>TALTALA_BAZAR_BRANCH</t>
  </si>
  <si>
    <t>0405 / 067</t>
  </si>
  <si>
    <t>TALTALA BAZAR, NALCHITY, JHALAKATHI 8420</t>
  </si>
  <si>
    <t>mgrtaltalabazar@krishibank.org.bd</t>
  </si>
  <si>
    <t>035420105</t>
  </si>
  <si>
    <t>BADURTALA BAZAR</t>
  </si>
  <si>
    <t>BADURTALA_BAZAR</t>
  </si>
  <si>
    <t>035440048</t>
  </si>
  <si>
    <t>BALIADANGA BAZAR BRANCH</t>
  </si>
  <si>
    <t>BALIADANGA_BAZAR_BRANCH</t>
  </si>
  <si>
    <t>1708 / 004</t>
  </si>
  <si>
    <t>BALIADANGA, BIPIN NAGAR, KALIGANJ, JHENAIDAH, 7350</t>
  </si>
  <si>
    <t>017 30708868</t>
  </si>
  <si>
    <t>mgrbaliadanga@krishibank.org.bd</t>
  </si>
  <si>
    <t>035440130</t>
  </si>
  <si>
    <t>BHAIRABA BAZAR BRANCH</t>
  </si>
  <si>
    <t>BHAIRABA_BAZAR_BRANCH</t>
  </si>
  <si>
    <t>1712 / 013</t>
  </si>
  <si>
    <t>BHAIRABA BAZAR, MAHESHPUR, JHENAIDAH 7350</t>
  </si>
  <si>
    <t>017 30708506</t>
  </si>
  <si>
    <t>mgrbhairababazar@krishibank.org.bd</t>
  </si>
  <si>
    <t>035440169</t>
  </si>
  <si>
    <t>BHALKI BAZAR BRANCH</t>
  </si>
  <si>
    <t>BHALKI_BAZAR_BRANCH</t>
  </si>
  <si>
    <t>1704 / 016</t>
  </si>
  <si>
    <t>BHALKI BAZAR, HARINAKUNDA, JHENAIDAH 7310</t>
  </si>
  <si>
    <t>017 30708507</t>
  </si>
  <si>
    <t>mgrbhalkibazar@krishibank.org.bd</t>
  </si>
  <si>
    <t>035440198</t>
  </si>
  <si>
    <t>BHATOI BAZAR BRANCH</t>
  </si>
  <si>
    <t>BHATOI_BAZAR_BRANCH</t>
  </si>
  <si>
    <t>1706 / 019</t>
  </si>
  <si>
    <t>BHATOI BAZAR, SHAILKUPA, JHENAIDAH 7320</t>
  </si>
  <si>
    <t>017 30708508</t>
  </si>
  <si>
    <t>mgrbhatoibazar@krishibank.org.bd</t>
  </si>
  <si>
    <t>035440493</t>
  </si>
  <si>
    <t>HARINAKUNDA BRANCH</t>
  </si>
  <si>
    <t>HARINAKUNDA_BRANCH</t>
  </si>
  <si>
    <t>1703 / 049</t>
  </si>
  <si>
    <t>HOLDING NO 33, RAMAN SARAK, HARINAKUNDA, JHENAIDAH</t>
  </si>
  <si>
    <t>mgrharinakunda@krishibank.org.bd</t>
  </si>
  <si>
    <t>035440435</t>
  </si>
  <si>
    <t>HOLIDHANI BRANCH</t>
  </si>
  <si>
    <t>HOLIDHANI_BRANCH</t>
  </si>
  <si>
    <t>1702 / 043</t>
  </si>
  <si>
    <t>HOLIDHANI, JHENAIDAH SADAR, JHENAIDAH</t>
  </si>
  <si>
    <t>mgrholidhani@krishibank.org.bd</t>
  </si>
  <si>
    <t>035440648</t>
  </si>
  <si>
    <t>1701 / 064</t>
  </si>
  <si>
    <t>HSS ROAD, JHENAIDAH</t>
  </si>
  <si>
    <t>mgrjhenaidah@krishibank.org.bd</t>
  </si>
  <si>
    <t>035440769</t>
  </si>
  <si>
    <t>KACHUA BAZAR BRANCH</t>
  </si>
  <si>
    <t>KACHUA_BAZAR_BRANCH</t>
  </si>
  <si>
    <t>1715 / 076</t>
  </si>
  <si>
    <t>KACHUA BAZAR, KANCHERPOL, SHAILKUPA, JHENAIDAH 7320</t>
  </si>
  <si>
    <t>017 30708980</t>
  </si>
  <si>
    <t>mgrkachuabazar@krishibank.org.bd</t>
  </si>
  <si>
    <t>035440798</t>
  </si>
  <si>
    <t>1707 / 079</t>
  </si>
  <si>
    <t>NOLDANGA ROAD, KALIGANJ, JHENAIDAH</t>
  </si>
  <si>
    <t>mgrkaligonjjhi@krishibank.org.bd</t>
  </si>
  <si>
    <t>035440880</t>
  </si>
  <si>
    <t>KASTOSAGORA BAZAR BRANCH</t>
  </si>
  <si>
    <t>KASTOSAGORA_BAZAR_BRANCH</t>
  </si>
  <si>
    <t>1713 / 088</t>
  </si>
  <si>
    <t>KASTOSAGORA BAZAR, MADHUPUR, JHENIDAH SADAR, JHENAIDAH 7300</t>
  </si>
  <si>
    <t>017 30708515</t>
  </si>
  <si>
    <t>mgrkastosagorabazar@krishibank.org.bd</t>
  </si>
  <si>
    <t>035440943</t>
  </si>
  <si>
    <t>KHULUM BARIA BRANCH</t>
  </si>
  <si>
    <t>KHULUM_BARIA_BRANCH</t>
  </si>
  <si>
    <t>1714 / 094</t>
  </si>
  <si>
    <t>KHULUM BARIA BAZAR, SHAILKUPA, JHENAIDAH</t>
  </si>
  <si>
    <t>mgrkhulumbaria@krishibank.org.bd</t>
  </si>
  <si>
    <t>035441005</t>
  </si>
  <si>
    <t>1711 / 100</t>
  </si>
  <si>
    <t>mgrcourtchandpur@krishibank.org.bd</t>
  </si>
  <si>
    <t>035441092</t>
  </si>
  <si>
    <t>MAHESHPUR BRANCH</t>
  </si>
  <si>
    <t>MAHESHPUR_BRANCH</t>
  </si>
  <si>
    <t>1710 / 109</t>
  </si>
  <si>
    <t>MAHESHPUR, JHENAIDAH</t>
  </si>
  <si>
    <t>mgrmoheshpur@krishibank.org.bd</t>
  </si>
  <si>
    <t>035441184</t>
  </si>
  <si>
    <t>SHAILKUPA BRANCH</t>
  </si>
  <si>
    <t>SHAILKUPA_BRANCH</t>
  </si>
  <si>
    <t>1705 / 118</t>
  </si>
  <si>
    <t>COLLEGE ROAD, SHAILKUPA, JHENAIDAH</t>
  </si>
  <si>
    <t>mgrshailkupa@krishibank.org.bd</t>
  </si>
  <si>
    <t>035441276</t>
  </si>
  <si>
    <t>SINGIBAZAR BRANCH</t>
  </si>
  <si>
    <t>SINGIBAZAR_BRANCH</t>
  </si>
  <si>
    <t>1709 / 127</t>
  </si>
  <si>
    <t>SINGI BAZAR, KALIGANJ, JHENAIDAH</t>
  </si>
  <si>
    <t>mgrsingibazar@krishibank.org.bd</t>
  </si>
  <si>
    <t>035460044</t>
  </si>
  <si>
    <t>DIGHINALA BRANCH</t>
  </si>
  <si>
    <t>DIGHINALA_BRANCH</t>
  </si>
  <si>
    <t>3404 / 004</t>
  </si>
  <si>
    <t>DIGHINALA, KHAGRACHHARI</t>
  </si>
  <si>
    <t>mgrdighinala@krishibank.org.bd</t>
  </si>
  <si>
    <t>035460073</t>
  </si>
  <si>
    <t>3401 / 007</t>
  </si>
  <si>
    <t>0371 61924</t>
  </si>
  <si>
    <t>mgrkhagrachari@krishibank.org.bd</t>
  </si>
  <si>
    <t>035460136</t>
  </si>
  <si>
    <t>LAKSHMICHHARI BRANCH</t>
  </si>
  <si>
    <t>LAKSHMICHHARI_BRANCH</t>
  </si>
  <si>
    <t>3409 / 013</t>
  </si>
  <si>
    <t>LAKSHMICHHARI, KHAGRACHHARI</t>
  </si>
  <si>
    <t>mgrlaxmichari@krishibank.org.bd</t>
  </si>
  <si>
    <t>035460194</t>
  </si>
  <si>
    <t>MANIKCHHARI BRANCH</t>
  </si>
  <si>
    <t>MANIKCHHARI_BRANCH</t>
  </si>
  <si>
    <t>3408 / 019</t>
  </si>
  <si>
    <t>MANIKCHHARI, KHAGRACHHARI 4430</t>
  </si>
  <si>
    <t>017 30708523</t>
  </si>
  <si>
    <t>mgrmanikchhari@krishibank.org.bd</t>
  </si>
  <si>
    <t>035460228</t>
  </si>
  <si>
    <t>MATIRANGA BRANCH</t>
  </si>
  <si>
    <t>MATIRANGA_BRANCH</t>
  </si>
  <si>
    <t>3406 / 022</t>
  </si>
  <si>
    <t>MATIRANGA, KHAGRACHHARI</t>
  </si>
  <si>
    <t>mgrmatiranga@krishibank.org.bd</t>
  </si>
  <si>
    <t>035460257</t>
  </si>
  <si>
    <t>MOHALCHHARI BRANCH</t>
  </si>
  <si>
    <t>MOHALCHHARI_BRANCH</t>
  </si>
  <si>
    <t>3402 / 025</t>
  </si>
  <si>
    <t>MOHALCHHARI, KHAGRACHHARI 4430</t>
  </si>
  <si>
    <t>017 30708525</t>
  </si>
  <si>
    <t>mgrmohalchari@krishibank.org.bd</t>
  </si>
  <si>
    <t>035460286</t>
  </si>
  <si>
    <t>PANCHHARI BRANCH</t>
  </si>
  <si>
    <t>PANCHHARI_BRANCH</t>
  </si>
  <si>
    <t>3403 / 028</t>
  </si>
  <si>
    <t>PANCHHARI, KHAGRACHHARI</t>
  </si>
  <si>
    <t>mgrpanchhari@krishibank.org.bd</t>
  </si>
  <si>
    <t>035460310</t>
  </si>
  <si>
    <t>3405 / 031</t>
  </si>
  <si>
    <t>mgrramgarh@krishibank.org.bd</t>
  </si>
  <si>
    <t>035470250</t>
  </si>
  <si>
    <t>BARAKPUR BRANCH</t>
  </si>
  <si>
    <t>BARAKPUR_BRANCH</t>
  </si>
  <si>
    <t>1305 / 025</t>
  </si>
  <si>
    <t>PLOT NO SA246, BARAKPUR BAZAR, DIGHOLIA, KHULNA</t>
  </si>
  <si>
    <t>mgrbarakpurbazar@krishibank.org.bd</t>
  </si>
  <si>
    <t>035470313</t>
  </si>
  <si>
    <t>BATIAGHATA BRANCH</t>
  </si>
  <si>
    <t>BATIAGHATA_BRANCH</t>
  </si>
  <si>
    <t>1312 / 031</t>
  </si>
  <si>
    <t>PLOT NO SA1280, HATBARI, BATIAGHATA, KHULNA</t>
  </si>
  <si>
    <t>mgrbatiaghata@krishibank.org.bd</t>
  </si>
  <si>
    <t>035470342</t>
  </si>
  <si>
    <t>BIRAT BAZAR BRANCH</t>
  </si>
  <si>
    <t>BIRAT_BAZAR_BRANCH</t>
  </si>
  <si>
    <t>1313 / 034</t>
  </si>
  <si>
    <t>PLOT NO 608-609, JHALBARI, BIRAT BAZAR, FULBARI, BATIAGHATA, KHULNA 9260</t>
  </si>
  <si>
    <t>017 30708530</t>
  </si>
  <si>
    <t>mgrbiratbazar@krishibank.org.bd</t>
  </si>
  <si>
    <t>035470526</t>
  </si>
  <si>
    <t>CHANDKHALI BRANCH</t>
  </si>
  <si>
    <t>CHANDKHALI_BRANCH</t>
  </si>
  <si>
    <t>1321 / 052</t>
  </si>
  <si>
    <t>PLOT NO SA27, CHANDKHALI, PAIKGACHHA, KHULNA 9281</t>
  </si>
  <si>
    <t>mgrchandkhali@krishibank.org.bd</t>
  </si>
  <si>
    <t>035470647</t>
  </si>
  <si>
    <t>DACOPE BRANCH</t>
  </si>
  <si>
    <t>DACOPE_BRANCH</t>
  </si>
  <si>
    <t>1311 / 064</t>
  </si>
  <si>
    <t>PLOT NO SA6002, PANKHALI, DACOPE, KHULNA</t>
  </si>
  <si>
    <t>mgrdacop@krishibank.org.bd</t>
  </si>
  <si>
    <t>035470700</t>
  </si>
  <si>
    <t>1304 / 070</t>
  </si>
  <si>
    <t>PLOT NO SA258, DAULATPUR, KHULNA</t>
  </si>
  <si>
    <t>mgrdaulatpur.khulna@krishibank.org.bd</t>
  </si>
  <si>
    <t>035470797</t>
  </si>
  <si>
    <t>DUMURIA BRANCH</t>
  </si>
  <si>
    <t>DUMURIA_BRANCH</t>
  </si>
  <si>
    <t>1308 / 079</t>
  </si>
  <si>
    <t>PLOT NO SA95,96,98, DUMURIA BAZAR, DUMURIA, KHULNA</t>
  </si>
  <si>
    <t>mgrdumuria@krishibank.org.bd</t>
  </si>
  <si>
    <t>035471062</t>
  </si>
  <si>
    <t>JAIGIRMAHAL BRANCH</t>
  </si>
  <si>
    <t>JAIGIRMAHAL_BRANCH</t>
  </si>
  <si>
    <t>1316 / 106</t>
  </si>
  <si>
    <t>PLOT NO 1635, GARAMADI, KOYRA, KHULNA</t>
  </si>
  <si>
    <t>mgrjaigirmahal@krishibank.org.bd</t>
  </si>
  <si>
    <t>035471091</t>
  </si>
  <si>
    <t>JAMIRA BAZAR BRANCH</t>
  </si>
  <si>
    <t>JAMIRA_BAZAR_BRANCH</t>
  </si>
  <si>
    <t>1307 / 109</t>
  </si>
  <si>
    <t>PLOT NO SA1481/1853, JAMIRA BAZAR, PHULTALA, KHULNA</t>
  </si>
  <si>
    <t>mgrjamirabazar@krishibank.org.bd</t>
  </si>
  <si>
    <t>035471367</t>
  </si>
  <si>
    <t>1318 / 136</t>
  </si>
  <si>
    <t>FATEHPUR, UPAZILA PARISHAD, KHULNA 9100</t>
  </si>
  <si>
    <t>mgrkajdia@krishibank.org.bd</t>
  </si>
  <si>
    <t>035471420</t>
  </si>
  <si>
    <t>KDA BUS TERMINAL BRANCH</t>
  </si>
  <si>
    <t>KDA_BUS_TERMINAL_BRANCH</t>
  </si>
  <si>
    <t>1319 / 142</t>
  </si>
  <si>
    <t>PLOT NO SA354, SONADANGA, KHULNA</t>
  </si>
  <si>
    <t>mgrkdabusterminal@krishibank.org.bd</t>
  </si>
  <si>
    <t>035471541</t>
  </si>
  <si>
    <t>KHULNA CORPORATE BRANCH</t>
  </si>
  <si>
    <t>KHULNA_CORPORATE_BRANCH</t>
  </si>
  <si>
    <t>1301 / 154</t>
  </si>
  <si>
    <t>SIR IQBAL ROAD, KHULNA 9000</t>
  </si>
  <si>
    <t>corpkhulna@krishibank.org.bd</t>
  </si>
  <si>
    <t>035471783</t>
  </si>
  <si>
    <t>KOYRA BRANCH</t>
  </si>
  <si>
    <t>KOYRA_BRANCH</t>
  </si>
  <si>
    <t>1317 / 178</t>
  </si>
  <si>
    <t>PLOT NO SA1744, KOYRA BAZAR, KHULNA</t>
  </si>
  <si>
    <t>mgrkaira@krishibank.org.bd</t>
  </si>
  <si>
    <t>035471817</t>
  </si>
  <si>
    <t>LABONCHARA BRANCH</t>
  </si>
  <si>
    <t>LABONCHARA_BRANCH</t>
  </si>
  <si>
    <t>1302 / 181</t>
  </si>
  <si>
    <t>LABONCHARA, NATUN BAZAR, KHULNA 9000</t>
  </si>
  <si>
    <t>02 9565848</t>
  </si>
  <si>
    <t>mgrlabonchara@krishibank.org.bd</t>
  </si>
  <si>
    <t>035471938</t>
  </si>
  <si>
    <t>NALIAN BAZAR BRANCH</t>
  </si>
  <si>
    <t>NALIAN_BAZAR_BRANCH</t>
  </si>
  <si>
    <t>1322 / 193</t>
  </si>
  <si>
    <t>PLOT NO SA61/700, NALIAN BAZAR, DACOPE, KHULNA 9270</t>
  </si>
  <si>
    <t>017 30708543</t>
  </si>
  <si>
    <t>mgrnalianbazar@krishibank.org.bd</t>
  </si>
  <si>
    <t>035471996</t>
  </si>
  <si>
    <t>1320 / 199</t>
  </si>
  <si>
    <t>17-18 KDA C/A, KHULNA 9100</t>
  </si>
  <si>
    <t>mgrnewmarket@krishibank.org.bd</t>
  </si>
  <si>
    <t>035472087</t>
  </si>
  <si>
    <t>PAIKGACHHA BRANCH</t>
  </si>
  <si>
    <t>PAIKGACHHA_BRANCH</t>
  </si>
  <si>
    <t>1315 / 208</t>
  </si>
  <si>
    <t>PLOT NO SA174/175, BALIADANGA, BATIAGHATA, KHULNA</t>
  </si>
  <si>
    <t>mgrpaikgacha@krishibank.org.bd</t>
  </si>
  <si>
    <t>035472140</t>
  </si>
  <si>
    <t>1306 / 214</t>
  </si>
  <si>
    <t>PLOT NO SA94/252, TAJPUR, PHULTALA, KHULNA</t>
  </si>
  <si>
    <t>mgrfultala@krishibank.org.bd</t>
  </si>
  <si>
    <t>035472324</t>
  </si>
  <si>
    <t>RUPSHAGHAT BRANCH</t>
  </si>
  <si>
    <t>RUPSHAGHAT_BRANCH</t>
  </si>
  <si>
    <t>1303 / 232</t>
  </si>
  <si>
    <t>PLOT NO 263, NAIHATI, BAGMARA, RUPSHA, KHULNA</t>
  </si>
  <si>
    <t>mgrrupsaghat@krishibank.org.bd</t>
  </si>
  <si>
    <t>035472445</t>
  </si>
  <si>
    <t>1309 / 244</t>
  </si>
  <si>
    <t>PLOT NO SA543, SHAHPUR, DUMURIA, KHULNA</t>
  </si>
  <si>
    <t>mgrsahapur@krishibank.org.bd</t>
  </si>
  <si>
    <t>035472658</t>
  </si>
  <si>
    <t>1310 / 265</t>
  </si>
  <si>
    <t>PLOT NO 948-949, TEROKHADA ,KHULNA 9230</t>
  </si>
  <si>
    <t>mgrterokhada@krishibank.org.bd</t>
  </si>
  <si>
    <t>035480040</t>
  </si>
  <si>
    <t>ADAMPUR BRANCH</t>
  </si>
  <si>
    <t>ADAMPUR_BRANCH</t>
  </si>
  <si>
    <t>4818 / 004</t>
  </si>
  <si>
    <t>ADAMPUR BAZAR, AUSTAGRAM, KISHOREGANJ</t>
  </si>
  <si>
    <t>mgradampur@krishibank.org.bd</t>
  </si>
  <si>
    <t>035480079</t>
  </si>
  <si>
    <t>4817 / 007</t>
  </si>
  <si>
    <t>AUSTAGRAM BAZAR, AUSTAGRAM, KISHOREGANJ</t>
  </si>
  <si>
    <t>mgrashtagram@krishibank.org.bd</t>
  </si>
  <si>
    <t>035480103</t>
  </si>
  <si>
    <t>BAJITPUR BRANCH</t>
  </si>
  <si>
    <t>BAJITPUR_BRANCH</t>
  </si>
  <si>
    <t>4805 / 010</t>
  </si>
  <si>
    <t>BAJITPUR BAZAR, BAJITPUR, KISHOREGANJ</t>
  </si>
  <si>
    <t>mgrbajitpurk@krishibank.org.bd</t>
  </si>
  <si>
    <t>035480224</t>
  </si>
  <si>
    <t>4808 / 022</t>
  </si>
  <si>
    <t>508 CINEMA ROAD, BHAIRAB, KISHOREGANJ</t>
  </si>
  <si>
    <t>mgrbhairabbazar@krishibank.org.bd</t>
  </si>
  <si>
    <t>035480316</t>
  </si>
  <si>
    <t>CHOUDDASHOTO BOARD BAZAR BRANCH</t>
  </si>
  <si>
    <t>CHOUDDASHOTO_BOARD_BAZAR_BRANCH</t>
  </si>
  <si>
    <t>4823 / 4823</t>
  </si>
  <si>
    <t>CHOUDDASHOTO BOARD BAZAR, KISHOREGANJ</t>
  </si>
  <si>
    <t>mgrchouddasataboardbazar@krishibank.org.bd</t>
  </si>
  <si>
    <t>035480116</t>
  </si>
  <si>
    <t>CHOUGANGA BAZAR BRANCH</t>
  </si>
  <si>
    <t>CHOUGANGA_BAZAR_BRANCH</t>
  </si>
  <si>
    <t>4826 / 4826</t>
  </si>
  <si>
    <t>CHOUGANGA BAZAR, ITNA, KISHOREGANJ</t>
  </si>
  <si>
    <t>mgrchawgangabazar@krishibank.org.bd</t>
  </si>
  <si>
    <t>035480095</t>
  </si>
  <si>
    <t>GACHIHATA BAZAR BRANCH</t>
  </si>
  <si>
    <t>GACHIHATA_BAZAR_BRANCH</t>
  </si>
  <si>
    <t>4825 / 4825</t>
  </si>
  <si>
    <t>GACHIHATA BAZAR, DULDIA, KATIADI, KISHOREGANJ</t>
  </si>
  <si>
    <t>mgrgachihatabazar@krishibank.org.bd</t>
  </si>
  <si>
    <t>035480345</t>
  </si>
  <si>
    <t>GOSHAIR BAZAR BRANCH</t>
  </si>
  <si>
    <t>GOSHAIR_BAZAR_BRANCH</t>
  </si>
  <si>
    <t>4802 / 034</t>
  </si>
  <si>
    <t>JOSHUDAL BAZAR, GOSHAIR BAZAR, KISHOREGANJ</t>
  </si>
  <si>
    <t>mgrgosairbazar@krishibank.org.bd</t>
  </si>
  <si>
    <t>035480374</t>
  </si>
  <si>
    <t>HILOCHIA BRANCH</t>
  </si>
  <si>
    <t>HILOCHIA_BRANCH</t>
  </si>
  <si>
    <t>4807 / 037</t>
  </si>
  <si>
    <t>HILOCHIA, BAJITPUR, KISHOREGANJ</t>
  </si>
  <si>
    <t>mgrhilochia@krishibank.org.bd</t>
  </si>
  <si>
    <t>035480408</t>
  </si>
  <si>
    <t>4816 / 040</t>
  </si>
  <si>
    <t>HOSSAINPUR BAZAR, HOSSAINPUR, KISHOREGANJ</t>
  </si>
  <si>
    <t>mgrhossainpur@krishibank.org.bd</t>
  </si>
  <si>
    <t>035480437</t>
  </si>
  <si>
    <t>ITNA BRANCH</t>
  </si>
  <si>
    <t>ITNA_BRANCH</t>
  </si>
  <si>
    <t>4811 / 043</t>
  </si>
  <si>
    <t>ITNA BAZAR, ITNA, KISHOREGANJ</t>
  </si>
  <si>
    <t>mgritna@krishibank.org.bd</t>
  </si>
  <si>
    <t>035480466</t>
  </si>
  <si>
    <t>JOYSIDDI BRANCH</t>
  </si>
  <si>
    <t>JOYSIDDI_BRANCH</t>
  </si>
  <si>
    <t>4812 / 046</t>
  </si>
  <si>
    <t>JOYSIDDI BAZAR, ITNA, KISHOREGANJ</t>
  </si>
  <si>
    <t>mgrjoysiddi@krishibank.org.bd</t>
  </si>
  <si>
    <t>035480558</t>
  </si>
  <si>
    <t>4809 / 055</t>
  </si>
  <si>
    <t>KARIMGANJ BAZAR, KARIMGANJ, KISHOREGANJ 2310</t>
  </si>
  <si>
    <t>mgrkarimgonj@krishibank.org.bd</t>
  </si>
  <si>
    <t>035480587</t>
  </si>
  <si>
    <t>KATIADI BRANCH</t>
  </si>
  <si>
    <t>KATIADI_BRANCH</t>
  </si>
  <si>
    <t>4813 / 058</t>
  </si>
  <si>
    <t>502 COLLEGE ROAD, KATIADI, KISHOREGANJ</t>
  </si>
  <si>
    <t>mgrkatiadi@krishibank.org.bd</t>
  </si>
  <si>
    <t>035480679</t>
  </si>
  <si>
    <t>4801 / 067</t>
  </si>
  <si>
    <t>6566 RATHKHOLA, KISHOREGANJ</t>
  </si>
  <si>
    <t>mgrkishoreganj@krishibank.org.bd</t>
  </si>
  <si>
    <t>035480732</t>
  </si>
  <si>
    <t>4815 / 073</t>
  </si>
  <si>
    <t>KULIARCHAR BAZAR, KISHOREGANJ</t>
  </si>
  <si>
    <t>mgrkuliarchar@krishibank.org.bd</t>
  </si>
  <si>
    <t>035480761</t>
  </si>
  <si>
    <t>LATIFABAD BRANCH</t>
  </si>
  <si>
    <t>LATIFABAD_BRANCH</t>
  </si>
  <si>
    <t>4803 / 076</t>
  </si>
  <si>
    <t>SADULLARCHAR BAZAR, LATIFABAD, KISHOREGANJ</t>
  </si>
  <si>
    <t>mgrlatifabad@krishibank.org.bd</t>
  </si>
  <si>
    <t>035480853</t>
  </si>
  <si>
    <t>MARICHKHALI BAZAR BRANCH</t>
  </si>
  <si>
    <t>MARICHKHALI_BAZAR_BRANCH</t>
  </si>
  <si>
    <t>4822 / 085</t>
  </si>
  <si>
    <t>MARICHKHALI BAZAR, KARIMGANJ, KISHOREGANJ</t>
  </si>
  <si>
    <t>mgrmorichkhalibazar@krishibank.org.bd</t>
  </si>
  <si>
    <t>035480082</t>
  </si>
  <si>
    <t>MASUA BAZAR BRANCH</t>
  </si>
  <si>
    <t>MASUA_BAZAR_BRANCH</t>
  </si>
  <si>
    <t>4824 / 4824</t>
  </si>
  <si>
    <t>MASUA BAZAR, KATIADI, KISHOREGANJ</t>
  </si>
  <si>
    <t>mgrmasuabazar@krishibank.org.bd</t>
  </si>
  <si>
    <t>035480945</t>
  </si>
  <si>
    <t>MITHAMAIN BRANCH</t>
  </si>
  <si>
    <t>MITHAMAIN_BRANCH</t>
  </si>
  <si>
    <t>4819 / 094</t>
  </si>
  <si>
    <t>MITHAMAIN BAZAR, MITHAMAIN, KISHOREGANJ</t>
  </si>
  <si>
    <t>mgrmitamaine@krishibank.org.bd</t>
  </si>
  <si>
    <t>035480974</t>
  </si>
  <si>
    <t>NEAMATPUR BRANCH</t>
  </si>
  <si>
    <t>NEAMATPUR_BRANCH</t>
  </si>
  <si>
    <t>4810 / 097</t>
  </si>
  <si>
    <t>NEAMATPUR BAZAR, KARIMGANJ, KISHOREGANJ</t>
  </si>
  <si>
    <t>mgrniamatpur@krishibank.org.bd</t>
  </si>
  <si>
    <t>035481007</t>
  </si>
  <si>
    <t>4820 / 100</t>
  </si>
  <si>
    <t>NIKLI BAZAR, KISHOREGANJ</t>
  </si>
  <si>
    <t>mgrnikli@krishibank.org.bd</t>
  </si>
  <si>
    <t>035481065</t>
  </si>
  <si>
    <t>4804 / 106</t>
  </si>
  <si>
    <t>PAKUNDIA BAZAR, PAKUNDIA, KISHOREGANJ</t>
  </si>
  <si>
    <t>mgrpakundia@krishibank.org.bd</t>
  </si>
  <si>
    <t>035481094</t>
  </si>
  <si>
    <t>SARARCHAR BRANCH</t>
  </si>
  <si>
    <t>SARARCHAR_BRANCH</t>
  </si>
  <si>
    <t>4806 / 109</t>
  </si>
  <si>
    <t>SARARCHAR, BAJITPUR, KISHOREGANJ 2337</t>
  </si>
  <si>
    <t>mgrsararchar@krishibank.org.bd</t>
  </si>
  <si>
    <t>035481128</t>
  </si>
  <si>
    <t>SHIMULKANDI BAZAR BRANCH</t>
  </si>
  <si>
    <t>SHIMULKANDI_BAZAR_BRANCH</t>
  </si>
  <si>
    <t>4821 / 112</t>
  </si>
  <si>
    <t>SHIMULKANDI, BHAIRAB, KISHOREGANJ</t>
  </si>
  <si>
    <t>mgrshimulkandibazar@krishibank.org.bd</t>
  </si>
  <si>
    <t>035481157</t>
  </si>
  <si>
    <t>TARAIL BRANCH</t>
  </si>
  <si>
    <t>TARAIL_BRANCH</t>
  </si>
  <si>
    <t>4814 / 115</t>
  </si>
  <si>
    <t>TARAIL BAZAR, TARAIL, KISHOREGANJ</t>
  </si>
  <si>
    <t>mgrtarail@krishibank.org.bd</t>
  </si>
  <si>
    <t>035500041</t>
  </si>
  <si>
    <t>AILCHARA BRANCH</t>
  </si>
  <si>
    <t>AILCHARA_BRANCH</t>
  </si>
  <si>
    <t>1902 / 004</t>
  </si>
  <si>
    <t>AILCHARA, PORADAH, KUSHTIA SADAR, KUSHTIA 7000</t>
  </si>
  <si>
    <t>017 30708571</t>
  </si>
  <si>
    <t>mgrailchara@krishibank.org.bd</t>
  </si>
  <si>
    <t>035500104</t>
  </si>
  <si>
    <t>AMLA BRANCH</t>
  </si>
  <si>
    <t>AMLA_BRANCH</t>
  </si>
  <si>
    <t>1906 / 010</t>
  </si>
  <si>
    <t>AMLA, MIRPUR, KUSHTIA</t>
  </si>
  <si>
    <t>mgramla@krishibank.org.bd</t>
  </si>
  <si>
    <t>035500162</t>
  </si>
  <si>
    <t>BAHALBARIA BRANCH</t>
  </si>
  <si>
    <t>BAHALBARIA_BRANCH</t>
  </si>
  <si>
    <t>1907 / 016</t>
  </si>
  <si>
    <t>BAHALBARIA, MIRPUR, KUSHTIA</t>
  </si>
  <si>
    <t>mgrbahalbaria@krishibank.org.bd</t>
  </si>
  <si>
    <t>035500191</t>
  </si>
  <si>
    <t>1917 / 019</t>
  </si>
  <si>
    <t>13 NS ROAD, BARA BAZAR, KUSHTIA 7000</t>
  </si>
  <si>
    <t>mgrbarabazar@krishibank.org.bd</t>
  </si>
  <si>
    <t>035500254</t>
  </si>
  <si>
    <t>BARKHADA BRANCH</t>
  </si>
  <si>
    <t>BARKHADA_BRANCH</t>
  </si>
  <si>
    <t>1904 / 025</t>
  </si>
  <si>
    <t>BARKHADA, KUSHTIA SADAR, KUSHTIA</t>
  </si>
  <si>
    <t>mgrbarokhada@krishibank.org.bd</t>
  </si>
  <si>
    <t>035500283</t>
  </si>
  <si>
    <t>1908 / 028</t>
  </si>
  <si>
    <t>mgrbheramara@krishibank.org.bd</t>
  </si>
  <si>
    <t>035500409</t>
  </si>
  <si>
    <t>DANGMARKA BAZAR BRANCH</t>
  </si>
  <si>
    <t>DANGMARKA_BAZAR_BRANCH</t>
  </si>
  <si>
    <t>1912 / 040</t>
  </si>
  <si>
    <t>DANGMARKA BAZAR, DAULATPUR, KUSHTIA</t>
  </si>
  <si>
    <t>mgrdangmorka@krishibank.org.bd</t>
  </si>
  <si>
    <t>035500467</t>
  </si>
  <si>
    <t>1911 / 046</t>
  </si>
  <si>
    <t>TARAGUNIA BAZAR, DAULATPUR, KUSHTIA</t>
  </si>
  <si>
    <t>mgrdaulatpur@krishibank.org.bd</t>
  </si>
  <si>
    <t>035500733</t>
  </si>
  <si>
    <t>JHAUDIA BRANCH</t>
  </si>
  <si>
    <t>JHAUDIA_BRANCH</t>
  </si>
  <si>
    <t>1903 / 073</t>
  </si>
  <si>
    <t>JHAUDIA, MAZPARA, KUSHTIA</t>
  </si>
  <si>
    <t>mgrjhaudia@krishibank.org.bd</t>
  </si>
  <si>
    <t>035500704</t>
  </si>
  <si>
    <t>JUNIADAH BRANCH</t>
  </si>
  <si>
    <t>JUNIADAH_BRANCH</t>
  </si>
  <si>
    <t>1909 / 070</t>
  </si>
  <si>
    <t>JUNIADAH, BHERAMARA, KUSHTIA 7040</t>
  </si>
  <si>
    <t>mgrjuniadah@krishibank.org.bd</t>
  </si>
  <si>
    <t>035500825</t>
  </si>
  <si>
    <t>KHOKSA BRANCH</t>
  </si>
  <si>
    <t>KHOKSA_BRANCH</t>
  </si>
  <si>
    <t>1915 / 082</t>
  </si>
  <si>
    <t>JANIPUR, KHOKSA, KUSHTIA 7020</t>
  </si>
  <si>
    <t>mgrkhoksa@krishibank.org.bd</t>
  </si>
  <si>
    <t>035500854</t>
  </si>
  <si>
    <t>KUCHIAMORA BAZAR BRANCH</t>
  </si>
  <si>
    <t>KUCHIAMORA_BAZAR_BRANCH</t>
  </si>
  <si>
    <t>1910 / 085</t>
  </si>
  <si>
    <t>KUCHIAMORA BAZAR, BHERAMARA, KUSHTIA</t>
  </si>
  <si>
    <t>mgrk  uchiamora@krishibank.org.bd</t>
  </si>
  <si>
    <t>035500883</t>
  </si>
  <si>
    <t>1913 / 088</t>
  </si>
  <si>
    <t>KUMARKHALI BAZAR, KUSHTIA</t>
  </si>
  <si>
    <t>mgrkumarkhali@krishibank.org.bd</t>
  </si>
  <si>
    <t>035500946</t>
  </si>
  <si>
    <t>1901 / 094</t>
  </si>
  <si>
    <t>BANGABONDHU SUPER MARKET, NS ROAD, KUSHTIA</t>
  </si>
  <si>
    <t>mgrkushtia@krishibank.org.bd</t>
  </si>
  <si>
    <t>035501095</t>
  </si>
  <si>
    <t>MADHUPUR BAZAR BRANCH</t>
  </si>
  <si>
    <t>MADHUPUR_BAZAR_BRANCH</t>
  </si>
  <si>
    <t>1914 / 109</t>
  </si>
  <si>
    <t>MADHUPUR, KUMARKHALI, KUSHTIA</t>
  </si>
  <si>
    <t>mgrmadhupurbazar@krishibank.org.bd</t>
  </si>
  <si>
    <t>035501066</t>
  </si>
  <si>
    <t>1905 / 106</t>
  </si>
  <si>
    <t>MIRPUR BAZAR, MIRPUR, KUSHTIA</t>
  </si>
  <si>
    <t>mgrmirpurkus@krishibank.org.bd</t>
  </si>
  <si>
    <t>035510228</t>
  </si>
  <si>
    <t>CHAR ALEXANDAR BRANCH</t>
  </si>
  <si>
    <t>CHAR_ALEXANDAR_BRANCH</t>
  </si>
  <si>
    <t>2807 / 022</t>
  </si>
  <si>
    <t>CHAR ALEXANDAR, ALEXANDAR BAZAR, RAMGATI, LAKSHMIPUR 3730</t>
  </si>
  <si>
    <t>017 30708587</t>
  </si>
  <si>
    <t>mgrcharalexandar@krishibank.org.bd</t>
  </si>
  <si>
    <t>035510257</t>
  </si>
  <si>
    <t>CHAR FALCON BRANCH</t>
  </si>
  <si>
    <t>CHAR_FALCON_BRANCH</t>
  </si>
  <si>
    <t>2809 / 025</t>
  </si>
  <si>
    <t>CHAR FALCON, KAMALNAGAR, LAKSHMIPUR</t>
  </si>
  <si>
    <t>mgrcharfalkon@krishibank.org.bd</t>
  </si>
  <si>
    <t>035510286</t>
  </si>
  <si>
    <t>CHAR GAZI BRANCH</t>
  </si>
  <si>
    <t>CHAR_GAZI_BRANCH</t>
  </si>
  <si>
    <t>2808 / 028</t>
  </si>
  <si>
    <t>CHAR GAZI, RAMGATIRHAT, RAMGATI, LAKSHMIPUR 3732</t>
  </si>
  <si>
    <t>017 30708589</t>
  </si>
  <si>
    <t>mgrchargazi@krishibank.org.bd</t>
  </si>
  <si>
    <t>035510378</t>
  </si>
  <si>
    <t>2814 / 037</t>
  </si>
  <si>
    <t>UTTAR HAMSADI, CHOWDHURY BAZAR, LAKSHMIPUR</t>
  </si>
  <si>
    <t>035510060</t>
  </si>
  <si>
    <t>DIGHALI BAZAR BRANCH</t>
  </si>
  <si>
    <t>DIGHALI_BAZAR_BRANCH</t>
  </si>
  <si>
    <t>2818 / 2818</t>
  </si>
  <si>
    <t>DIGHALI BAZAR, LAKSHMIPUR SADAR, LAKSHMIPUR 3703</t>
  </si>
  <si>
    <t>mgrdighalibazar@krishibank.org.bd</t>
  </si>
  <si>
    <t>035510581</t>
  </si>
  <si>
    <t>HAJIRPARA BRANCH</t>
  </si>
  <si>
    <t>HAJIRPARA_BRANCH</t>
  </si>
  <si>
    <t>2802 / 058</t>
  </si>
  <si>
    <t>HOLDING NO 176, HAJIRPARA, KERAMATGANJ, LAKSHMIPUR 3700</t>
  </si>
  <si>
    <t>017 30708591</t>
  </si>
  <si>
    <t>mgrhajirpara@krishibank.org.bd</t>
  </si>
  <si>
    <t>035510615</t>
  </si>
  <si>
    <t>JAKSIN BAZAR BRANCH</t>
  </si>
  <si>
    <t>JAKSIN_BAZAR_BRANCH</t>
  </si>
  <si>
    <t>2813 / 061</t>
  </si>
  <si>
    <t>JAKSIN BAZAR, LAKSHMIPUR SADAR, LAKSHMIPUR 3700</t>
  </si>
  <si>
    <t>017 30708592</t>
  </si>
  <si>
    <t>mgrjaksinbazar@krishibank.org.bd</t>
  </si>
  <si>
    <t>035510644</t>
  </si>
  <si>
    <t>KADER PANDITER HAT BRANCH</t>
  </si>
  <si>
    <t>KADER_PANDITER_HAT_BRANCH</t>
  </si>
  <si>
    <t>2812 / 064</t>
  </si>
  <si>
    <t>KADER PANDITER HAT, RAMGATI, LAKSHMIPUR 3732</t>
  </si>
  <si>
    <t>017 30708593</t>
  </si>
  <si>
    <t>mgrkaderpanditerhat@krishibank.org.bd</t>
  </si>
  <si>
    <t>035510707</t>
  </si>
  <si>
    <t>KARUNANAGAR BAZAR BRANCH</t>
  </si>
  <si>
    <t>KARUNANAGAR_BAZAR_BRANCH</t>
  </si>
  <si>
    <t>2815 / 070</t>
  </si>
  <si>
    <t>CHAR JANGALIA, KARUNANAGAR BAZAR, RAMGATI, LAKSHMIPUR 3731</t>
  </si>
  <si>
    <t>017 30708594</t>
  </si>
  <si>
    <t>mgrkorunanagarbazar@krishibank.org.bd</t>
  </si>
  <si>
    <t>035510736</t>
  </si>
  <si>
    <t>2801 / 073</t>
  </si>
  <si>
    <t>HOLDING NO 1100, BANCHANAGAR, LAKSHMIPUR 3700</t>
  </si>
  <si>
    <t>mgrlaxmipur@krishibank.org.bd</t>
  </si>
  <si>
    <t>035510794</t>
  </si>
  <si>
    <t>MAJHIRGAON BAZAR BRANCH</t>
  </si>
  <si>
    <t>MAJHIRGAON_BAZAR_BRANCH</t>
  </si>
  <si>
    <t>2806 / 079</t>
  </si>
  <si>
    <t>MAJHIRGAON, KASHIMNAGAR, RAIPUR, LAKSHMIPUR 3710</t>
  </si>
  <si>
    <t>017 30708596</t>
  </si>
  <si>
    <t>mgrmajhirgaonbazar@krishibank.org.bd</t>
  </si>
  <si>
    <t>035510886</t>
  </si>
  <si>
    <t>MITALI BAZAR BRANCH</t>
  </si>
  <si>
    <t>MITALI_BAZAR_BRANCH</t>
  </si>
  <si>
    <t>2816 / 088</t>
  </si>
  <si>
    <t>MITALI BAZAR, KEMPER HAT, RAIPUR, LAKSHMIPUR 3711</t>
  </si>
  <si>
    <t>017 30708597</t>
  </si>
  <si>
    <t>mgrmitalibazar@krishibank.org.bd</t>
  </si>
  <si>
    <t>035510910</t>
  </si>
  <si>
    <t>2811 / 091</t>
  </si>
  <si>
    <t>017 30708598</t>
  </si>
  <si>
    <t>mgrpanparabazar@krishibank.org.bd</t>
  </si>
  <si>
    <t>035510949</t>
  </si>
  <si>
    <t>PODDAR BAZAR BRANCH</t>
  </si>
  <si>
    <t>PODDAR_BAZAR_BRANCH</t>
  </si>
  <si>
    <t>2817 / 2817</t>
  </si>
  <si>
    <t>BIRAHIMPUR, PODDAR BAZAR, LAKSHMIPUR 8550</t>
  </si>
  <si>
    <t>017 30708998</t>
  </si>
  <si>
    <t>mgrpoddarbazar@krishibank.org.bd</t>
  </si>
  <si>
    <t>035510978</t>
  </si>
  <si>
    <t>2803 / 097</t>
  </si>
  <si>
    <t>HOLDING NO 255, DENAYETPUR, RAIPUR, LAKSHMIPUR</t>
  </si>
  <si>
    <t>mgrraipur@krishibank.org.bd</t>
  </si>
  <si>
    <t>035511001</t>
  </si>
  <si>
    <t>RAKHALIA BAZAR BRANCH</t>
  </si>
  <si>
    <t>RAKHALIA_BAZAR_BRANCH</t>
  </si>
  <si>
    <t>2804 / 100</t>
  </si>
  <si>
    <t>BOGA RAKHALIA, RAIPUR, LAKSHMIPUR 3710</t>
  </si>
  <si>
    <t>mgrrakhaliabazar@krishibank.org.bd</t>
  </si>
  <si>
    <t>035511030</t>
  </si>
  <si>
    <t>2805 / 103</t>
  </si>
  <si>
    <t>HOLDING NO 269, SATARPARA, RAMGANJ, LAKSHMIPUR</t>
  </si>
  <si>
    <t>mgrramgonj@krishibank.org.bd</t>
  </si>
  <si>
    <t>035511180</t>
  </si>
  <si>
    <t>TORABGANJ BRANCH</t>
  </si>
  <si>
    <t>TORABGANJ_BRANCH</t>
  </si>
  <si>
    <t>2810 / 118</t>
  </si>
  <si>
    <t>TORABGANJ, KAMALNAGAR, LAKSHMIPUR</t>
  </si>
  <si>
    <t>mgrtorabgonjbazar@krishibank.org.bd</t>
  </si>
  <si>
    <t>035540043</t>
  </si>
  <si>
    <t>1013 / 004</t>
  </si>
  <si>
    <t>SHEIKHPUR BAZAR, SHIBCHAR, MADARIPUR</t>
  </si>
  <si>
    <t>mgrbajitpur@krishibank.org.bd</t>
  </si>
  <si>
    <t>035540106</t>
  </si>
  <si>
    <t>CHANDERCHAR BRANCH</t>
  </si>
  <si>
    <t>CHANDERCHAR_BRANCH</t>
  </si>
  <si>
    <t>1012 / 010</t>
  </si>
  <si>
    <t>CHANDERCHAR BAZAR, UMEDPUR, SHIBCHAR MADARIPUR 3930</t>
  </si>
  <si>
    <t>mgrchanderchar@krishibank.org.bd</t>
  </si>
  <si>
    <t>035540193</t>
  </si>
  <si>
    <t>GHATAKCHAR BAZAR BRANCH</t>
  </si>
  <si>
    <t>GHATAKCHAR_BAZAR_BRANCH</t>
  </si>
  <si>
    <t>1014 / 019</t>
  </si>
  <si>
    <t>GHATAKCHAR BAZAR, KENDUA, MADARIPUR SADAR, MADARIPUR</t>
  </si>
  <si>
    <t>mgrgatakcharbazar@krishibank.org.bd</t>
  </si>
  <si>
    <t>035540227</t>
  </si>
  <si>
    <t>GOPALPUR HAT BRANCH</t>
  </si>
  <si>
    <t>GOPALPUR_HAT_BRANCH</t>
  </si>
  <si>
    <t>1011 / 022</t>
  </si>
  <si>
    <t>GOPALPUR HAT, KALKINI, MADARIPUR</t>
  </si>
  <si>
    <t>035540256</t>
  </si>
  <si>
    <t>1010 / 025</t>
  </si>
  <si>
    <t>KALIR BAZAR, HABIGANJ, MADARIPUR SADAR, MADARIPUR 7900</t>
  </si>
  <si>
    <t>017 30708607</t>
  </si>
  <si>
    <t>035540285</t>
  </si>
  <si>
    <t>1004 / 028</t>
  </si>
  <si>
    <t>COLLEGE ROAD, KALKINI, MADARIPUR</t>
  </si>
  <si>
    <t>mgrkalkini@krishibank.org.bd</t>
  </si>
  <si>
    <t>035540319</t>
  </si>
  <si>
    <t>1015 / 031</t>
  </si>
  <si>
    <t>KHASHERHAT, KALKINI, MADARIPUR</t>
  </si>
  <si>
    <t>mgrkhaserhat@krishibank.org.bd</t>
  </si>
  <si>
    <t>035540401</t>
  </si>
  <si>
    <t>1001 / 040</t>
  </si>
  <si>
    <t>AMIN SUPER MARKET, MAIN ROAD, PURAN BAZAR, MADARIPUR</t>
  </si>
  <si>
    <t>mgrmadaripur@krishibank.org.bd</t>
  </si>
  <si>
    <t>035540498</t>
  </si>
  <si>
    <t>MATHER BAZAR BRANCH</t>
  </si>
  <si>
    <t>MATHER_BAZAR_BRANCH</t>
  </si>
  <si>
    <t>1002 / 049</t>
  </si>
  <si>
    <t>MATHER BAZAR, KHOAJPUR, MADARIPUR SADAR, MADARIPUR</t>
  </si>
  <si>
    <t>mgrmatherbazar@krishibank.org.bd</t>
  </si>
  <si>
    <t>035540614</t>
  </si>
  <si>
    <t>PACHCHAR BAZAR BRANCH</t>
  </si>
  <si>
    <t>PACHCHAR_BAZAR_BRANCH</t>
  </si>
  <si>
    <t>1009 / 061</t>
  </si>
  <si>
    <t>PACHCHAR, SHIBCHAR, MADARIPUR</t>
  </si>
  <si>
    <t>mgrpachcharbazar@krishibank.org.bd</t>
  </si>
  <si>
    <t>035540643</t>
  </si>
  <si>
    <t>RAJOIR BRANCH</t>
  </si>
  <si>
    <t>RAJOIR_BRANCH</t>
  </si>
  <si>
    <t>1003 / 064</t>
  </si>
  <si>
    <t>MAIN ROAD, RAJOIR, MADARIPUR</t>
  </si>
  <si>
    <t>mgrrajair@krishibank.org.bd</t>
  </si>
  <si>
    <t>035540672</t>
  </si>
  <si>
    <t>SAHEBRAMPUR BRANCH</t>
  </si>
  <si>
    <t>SAHEBRAMPUR_BRANCH</t>
  </si>
  <si>
    <t>1005 / 067</t>
  </si>
  <si>
    <t>SAHEBRAMPUR, KALKINI, MADARIPUR 7921</t>
  </si>
  <si>
    <t>017 30708614</t>
  </si>
  <si>
    <t>mgrsahebrampur@krishibank.org.bd</t>
  </si>
  <si>
    <t>035540706</t>
  </si>
  <si>
    <t>SHIBCHAR BRANCH</t>
  </si>
  <si>
    <t>SHIBCHAR_BRANCH</t>
  </si>
  <si>
    <t>1006 / 070</t>
  </si>
  <si>
    <t>SHIBCHAR BAZAR, SHIBCHAR, MADARIPUR</t>
  </si>
  <si>
    <t>mgrshibchar@krishibank.org.bd</t>
  </si>
  <si>
    <t>035540780</t>
  </si>
  <si>
    <t>TATIKANDA BRANCH</t>
  </si>
  <si>
    <t>TATIKANDA_BRANCH</t>
  </si>
  <si>
    <t>1016 / 1016</t>
  </si>
  <si>
    <t>TATIKANDA, HOSENPUR, RAJIOR, MADARIPUR 7910</t>
  </si>
  <si>
    <t>017 15530246</t>
  </si>
  <si>
    <t>mgrtatikanda@krishibank.org.bd</t>
  </si>
  <si>
    <t>035540827</t>
  </si>
  <si>
    <t>UTRAIL HAT BRANCH</t>
  </si>
  <si>
    <t>UTRAIL_HAT_BRANCH</t>
  </si>
  <si>
    <t>1007 / 082</t>
  </si>
  <si>
    <t>UTRAIL, SHIBCHAR, MADARIPUR 7911</t>
  </si>
  <si>
    <t>017 30708616</t>
  </si>
  <si>
    <t>mgrutrailhat@krishibank.org.bd</t>
  </si>
  <si>
    <t>035550046</t>
  </si>
  <si>
    <t>ALAMKHALI BAZAR BRANCH</t>
  </si>
  <si>
    <t>ALAMKHALI_BAZAR_BRANCH</t>
  </si>
  <si>
    <t>1814 / 004</t>
  </si>
  <si>
    <t>ALAMKHALI, RAUTARA, MAGURA 7600</t>
  </si>
  <si>
    <t>017 30708617</t>
  </si>
  <si>
    <t>mgralamkhalibazar@krishibank.org.bd</t>
  </si>
  <si>
    <t>035550075</t>
  </si>
  <si>
    <t>ALOKDIA BRANCH</t>
  </si>
  <si>
    <t>ALOKDIA_BRANCH</t>
  </si>
  <si>
    <t>1802 / 007</t>
  </si>
  <si>
    <t>ALOKDIA, MAGURA SADAR, MAGURA 7600</t>
  </si>
  <si>
    <t>017 30708618</t>
  </si>
  <si>
    <t>mgralokdia@krishibank.org.bd</t>
  </si>
  <si>
    <t>035550109</t>
  </si>
  <si>
    <t>AMURIA BAZAR BRANCH</t>
  </si>
  <si>
    <t>AMURIA_BAZAR_BRANCH</t>
  </si>
  <si>
    <t>1811 / 010</t>
  </si>
  <si>
    <t>AMURIA, MAGURA SADAR, MAGURA 7600</t>
  </si>
  <si>
    <t>017 30708619</t>
  </si>
  <si>
    <t>mgramuriabazar@krishibank.org.bd</t>
  </si>
  <si>
    <t>035550138</t>
  </si>
  <si>
    <t>ARPARA BRANCH</t>
  </si>
  <si>
    <t>ARPARA_BRANCH</t>
  </si>
  <si>
    <t>1806 / 013</t>
  </si>
  <si>
    <t>ARPARA, SHALIKHA, MAGURA 7620</t>
  </si>
  <si>
    <t>017 30708620</t>
  </si>
  <si>
    <t>mgrarpara@krishibank.org.bd</t>
  </si>
  <si>
    <t>035550196</t>
  </si>
  <si>
    <t>BHABANHATI BAZAR BRANCH</t>
  </si>
  <si>
    <t>BHABANHATI_BAZAR_BRANCH</t>
  </si>
  <si>
    <t>1810 / 019</t>
  </si>
  <si>
    <t>BHABANHATI, MAGURA SADAR, MAGURA 7600</t>
  </si>
  <si>
    <t>017 30708621</t>
  </si>
  <si>
    <t>mgrbhabanhatibazar@krishibank.org.bd</t>
  </si>
  <si>
    <t>035550220</t>
  </si>
  <si>
    <t>1808 / 022</t>
  </si>
  <si>
    <t>BINODPUR, MOHAMMADPUR, MAGURA 7631</t>
  </si>
  <si>
    <t>017 30708622</t>
  </si>
  <si>
    <t>mgrbinodpur@krishibank.org.bd</t>
  </si>
  <si>
    <t>035550312</t>
  </si>
  <si>
    <t>DAKKHIN MIRZAPUR BRANCH</t>
  </si>
  <si>
    <t>DAKKHIN_MIRZAPUR_BRANCH</t>
  </si>
  <si>
    <t>1817 / 031</t>
  </si>
  <si>
    <t>DAKKHIN MIRZAPUR, HAJRAPUR, MAGURA SADAR, MAGURA 7600</t>
  </si>
  <si>
    <t>017 30708623</t>
  </si>
  <si>
    <t>mgrdakkhinmirzapur@krishibank.org.bd</t>
  </si>
  <si>
    <t>035550433</t>
  </si>
  <si>
    <t>JAGDAL BAZAR BRANCH</t>
  </si>
  <si>
    <t>JAGDAL_BAZAR_BRANCH</t>
  </si>
  <si>
    <t>1809 / 043</t>
  </si>
  <si>
    <t>JAGDAL BAZAR, MOHAMMADPUR, MAGURA</t>
  </si>
  <si>
    <t>mgrjagadal@krishibank.org.bd</t>
  </si>
  <si>
    <t>035550525</t>
  </si>
  <si>
    <t>LANGALBAD BRANCH</t>
  </si>
  <si>
    <t>LANGALBAD_BRANCH</t>
  </si>
  <si>
    <t>1804 / 052</t>
  </si>
  <si>
    <t>LANGALBAD BAZAR, MAGURA</t>
  </si>
  <si>
    <t>mgrlangolbadh@krishibank.org.bd</t>
  </si>
  <si>
    <t>035550554</t>
  </si>
  <si>
    <t>1801 / 055</t>
  </si>
  <si>
    <t>mgrmagura@krishibank.org.bd</t>
  </si>
  <si>
    <t>035550617</t>
  </si>
  <si>
    <t>1807 / 061</t>
  </si>
  <si>
    <t>ARPARA, MOHAMMADPUR, MAGURA</t>
  </si>
  <si>
    <t>mgrmohammadpur@krishibank.org.bd</t>
  </si>
  <si>
    <t>035550646</t>
  </si>
  <si>
    <t>NAGRA BAZAR BRANCH</t>
  </si>
  <si>
    <t>NAGRA_BAZAR_BRANCH</t>
  </si>
  <si>
    <t>1813 / 064</t>
  </si>
  <si>
    <t>NAGRA BAZAR, MAGURA 7600</t>
  </si>
  <si>
    <t>mgrnagrabazar@krishibank.org.bd</t>
  </si>
  <si>
    <t>035550767</t>
  </si>
  <si>
    <t>RADHANAGAR BRANCH</t>
  </si>
  <si>
    <t>RADHANAGAR_BRANCH</t>
  </si>
  <si>
    <t>1812 / 076</t>
  </si>
  <si>
    <t>RADHANAGAR BAZAR, SREEPUR, MAGURA</t>
  </si>
  <si>
    <t>mgrradhanagarbazar@krishibank.org.bd</t>
  </si>
  <si>
    <t>035550820</t>
  </si>
  <si>
    <t>SACHILAPUR BRANCH</t>
  </si>
  <si>
    <t>SACHILAPUR_BRANCH</t>
  </si>
  <si>
    <t>1805 / 082</t>
  </si>
  <si>
    <t>SACHILAPUR BAZAR, SREEPUR, MAGURA 7610</t>
  </si>
  <si>
    <t>017 30708630</t>
  </si>
  <si>
    <t>mgrsachilapurbazar@krishibank.org.bd</t>
  </si>
  <si>
    <t>035550859</t>
  </si>
  <si>
    <t>SATRUJITPUR BRANCH</t>
  </si>
  <si>
    <t>SATRUJITPUR_BRANCH</t>
  </si>
  <si>
    <t>1815 / 085</t>
  </si>
  <si>
    <t>SATRUJITPUR, MAGURA 7600</t>
  </si>
  <si>
    <t>017 30708631</t>
  </si>
  <si>
    <t>mgrsatrujitpur@krishibank.org.bd</t>
  </si>
  <si>
    <t>035550970</t>
  </si>
  <si>
    <t>1803 / 097</t>
  </si>
  <si>
    <t>SREEPUR, MAGURA</t>
  </si>
  <si>
    <t>mgrsreepurmagura@krishibank.org.bd</t>
  </si>
  <si>
    <t>035560131</t>
  </si>
  <si>
    <t>BANIAJURI BRANCH</t>
  </si>
  <si>
    <t>BANIAJURI_BRANCH</t>
  </si>
  <si>
    <t>4308 / 013</t>
  </si>
  <si>
    <t>BANIAJURI, GHIOR, MANIKGANJ</t>
  </si>
  <si>
    <t>mgrbaniajuri@krishibank.org.bd</t>
  </si>
  <si>
    <t>035560223</t>
  </si>
  <si>
    <t>4305 / 022</t>
  </si>
  <si>
    <t>CHARIGRAM, SINGAIR, MANIKGANJ</t>
  </si>
  <si>
    <t>mgrcharigram@krishibank.org.bd</t>
  </si>
  <si>
    <t>035560281</t>
  </si>
  <si>
    <t>4309 / 028</t>
  </si>
  <si>
    <t>DAULATPUR, MANIKGANJ</t>
  </si>
  <si>
    <t>mgrdaulatpur.manikgonj@krishibank.org.bd</t>
  </si>
  <si>
    <t>035560373</t>
  </si>
  <si>
    <t>GHIOR BRANCH</t>
  </si>
  <si>
    <t>GHIOR_BRANCH</t>
  </si>
  <si>
    <t>4307 / 037</t>
  </si>
  <si>
    <t>GHIOR BAZAR, GHIOR, MANIKGANJ</t>
  </si>
  <si>
    <t>mgrgheor@krishibank.org.bd</t>
  </si>
  <si>
    <t>035560407</t>
  </si>
  <si>
    <t>HARGANJ BRANCH</t>
  </si>
  <si>
    <t>HARGANJ_BRANCH</t>
  </si>
  <si>
    <t>4316 / 040</t>
  </si>
  <si>
    <t>HARGANJ, SATURIA, MANIKGANJ</t>
  </si>
  <si>
    <t>mgrhargaj@krishibank.org.bd</t>
  </si>
  <si>
    <t>035560436</t>
  </si>
  <si>
    <t>HARIRAMPUR BRANCH</t>
  </si>
  <si>
    <t>HARIRAMPUR_BRANCH</t>
  </si>
  <si>
    <t>4303 / 043</t>
  </si>
  <si>
    <t>ANDHARMANIK, HARIRAMPUR, MANIKGANJ</t>
  </si>
  <si>
    <t>mgrharirampur@krishibank.org.bd</t>
  </si>
  <si>
    <t>035560465</t>
  </si>
  <si>
    <t>JAGIR BRANCH</t>
  </si>
  <si>
    <t>JAGIR_BRANCH</t>
  </si>
  <si>
    <t>4315 / 046</t>
  </si>
  <si>
    <t>JAGIR, MANIKGANJ SADAR, MANIKGANJ</t>
  </si>
  <si>
    <t>mgrjagir@krishibank.org.bd</t>
  </si>
  <si>
    <t>035560528</t>
  </si>
  <si>
    <t>JHITKA BRANCH</t>
  </si>
  <si>
    <t>JHITKA_BRANCH</t>
  </si>
  <si>
    <t>4302 / 052</t>
  </si>
  <si>
    <t>JHITKA BAZAR, HARIRAMPUR, MANIKGANJ 1831</t>
  </si>
  <si>
    <t>mgrjhitka@krishibank.org.bd</t>
  </si>
  <si>
    <t>035560573</t>
  </si>
  <si>
    <t>JOYMONTOP BRANCH</t>
  </si>
  <si>
    <t>JOYMONTOP_BRANCH</t>
  </si>
  <si>
    <t>4317 / 4317</t>
  </si>
  <si>
    <t>JOYMONTOP, SINGAIR, MANIKGANJ</t>
  </si>
  <si>
    <t>mgrjoymondop@krishibank.org.bd</t>
  </si>
  <si>
    <t>035560610</t>
  </si>
  <si>
    <t>4301 / 061</t>
  </si>
  <si>
    <t>SHOHID RAFIQ SARAK, MANIKGANJ</t>
  </si>
  <si>
    <t>mgrmanikgonj@krishibank.org.bd</t>
  </si>
  <si>
    <t>035560702</t>
  </si>
  <si>
    <t>4310 / 070</t>
  </si>
  <si>
    <t>MOHADEBPUR, SHIBALAYA, MANIKGANJ</t>
  </si>
  <si>
    <t>mgrmohadebpur@krishibank.org.bd</t>
  </si>
  <si>
    <t>035560760</t>
  </si>
  <si>
    <t>4306 / 076</t>
  </si>
  <si>
    <t>SATURIA, MANIKGANJ</t>
  </si>
  <si>
    <t>mgrsaturia@krishibank.org.bd</t>
  </si>
  <si>
    <t>035560799</t>
  </si>
  <si>
    <t>SHIBALAYA</t>
  </si>
  <si>
    <t>035560823</t>
  </si>
  <si>
    <t>4304 / 082</t>
  </si>
  <si>
    <t>SINGAIR BAZAR, SINGAIR, MANIKGANJ</t>
  </si>
  <si>
    <t>mgrsingair@krishibank.org.bd</t>
  </si>
  <si>
    <t>035570163</t>
  </si>
  <si>
    <t>BARADI BRANCH</t>
  </si>
  <si>
    <t>BARADI_BRANCH</t>
  </si>
  <si>
    <t>2102 / 016</t>
  </si>
  <si>
    <t>BARADI BAZAR, MEHERPUR 7100</t>
  </si>
  <si>
    <t>017 30708646</t>
  </si>
  <si>
    <t>mgrbaradi@krishibank.org.bd</t>
  </si>
  <si>
    <t>035570192</t>
  </si>
  <si>
    <t>DARIAPUR BRANCH</t>
  </si>
  <si>
    <t>DARIAPUR_BRANCH</t>
  </si>
  <si>
    <t>2103 / 019</t>
  </si>
  <si>
    <t>DARIAPUR BAZAR, MUJIBNAGAR, MEHERPUR 7102</t>
  </si>
  <si>
    <t>017 30708647</t>
  </si>
  <si>
    <t>mgrdariapur@krishibank.org.bd</t>
  </si>
  <si>
    <t>035570226</t>
  </si>
  <si>
    <t>2104 / 022</t>
  </si>
  <si>
    <t>GANGNI BAZAR, GANGNI, MEHERPUR 7110</t>
  </si>
  <si>
    <t>mgrgangni@krishibank.org.bd</t>
  </si>
  <si>
    <t>035570347</t>
  </si>
  <si>
    <t>KATHULI BRANCH</t>
  </si>
  <si>
    <t>KATHULI_BRANCH</t>
  </si>
  <si>
    <t>2106 / 034</t>
  </si>
  <si>
    <t>KATHULI BAZAR, MEHERPUR 7110</t>
  </si>
  <si>
    <t>017 30708649</t>
  </si>
  <si>
    <t>mgrkathuli@krishibank.org.bd</t>
  </si>
  <si>
    <t>035570376</t>
  </si>
  <si>
    <t>2101 / 037</t>
  </si>
  <si>
    <t>mgrmeherpur@krishibank.org.bd</t>
  </si>
  <si>
    <t>035570468</t>
  </si>
  <si>
    <t>2107 / 046</t>
  </si>
  <si>
    <t>KEDERGANJ BAZAR, MUJIBNAGAR, MEHERPUR</t>
  </si>
  <si>
    <t>mgrmujibnagar@krishibank.org.bd</t>
  </si>
  <si>
    <t>035570521</t>
  </si>
  <si>
    <t>UJALPUR BRANCH</t>
  </si>
  <si>
    <t>UJALPUR_BRANCH</t>
  </si>
  <si>
    <t>2105 / 052</t>
  </si>
  <si>
    <t>UJALPUR BAZAR, MEHERPUR 7101</t>
  </si>
  <si>
    <t>mgrujalpur@krishibank.org.bd</t>
  </si>
  <si>
    <t>035580137</t>
  </si>
  <si>
    <t>BARAMCHAL BRANCH</t>
  </si>
  <si>
    <t>BARAMCHAL_BRANCH</t>
  </si>
  <si>
    <t>3807 / 013</t>
  </si>
  <si>
    <t>BARAMCHAL, KULAURA, MOULVIBAZAR 3237</t>
  </si>
  <si>
    <t>mgrbaramchal@krishibank.org.bd</t>
  </si>
  <si>
    <t>035580108</t>
  </si>
  <si>
    <t>BARLEKHA BRANCH</t>
  </si>
  <si>
    <t>BARLEKHA_BRANCH</t>
  </si>
  <si>
    <t>3808 / 010</t>
  </si>
  <si>
    <t>HAZI MEMORIAL MARKET, BARLEKHA, MOULVIBAZAR 3250</t>
  </si>
  <si>
    <t>mgrbaralekha@krishibank.org.bd</t>
  </si>
  <si>
    <t>035581815</t>
  </si>
  <si>
    <t>BHATERA BRANCH</t>
  </si>
  <si>
    <t>BHATERA_BRANCH</t>
  </si>
  <si>
    <t>3814 / 181</t>
  </si>
  <si>
    <t>STATION BAZAR, BHATERA, KULAURA, MOULVIBAZAR</t>
  </si>
  <si>
    <t>mgrbhatera@krishibank.org.bd</t>
  </si>
  <si>
    <t>035580461</t>
  </si>
  <si>
    <t>DIGHIRPAR BAZAR BRANCH</t>
  </si>
  <si>
    <t>DIGHIRPAR_BAZAR_BRANCH</t>
  </si>
  <si>
    <t>3802 / 046</t>
  </si>
  <si>
    <t>DIGHIRPAR, MOULVIBAZAR SADAR, MOULVIBAZAR</t>
  </si>
  <si>
    <t>mgrdighirparbazar@krishibank.org.bd</t>
  </si>
  <si>
    <t>035580674</t>
  </si>
  <si>
    <t>JURI BRANCH</t>
  </si>
  <si>
    <t>JURI_BRANCH</t>
  </si>
  <si>
    <t>3809 / 067</t>
  </si>
  <si>
    <t>KAMINIGANJ BAZAR, JURI, MOULVIBAZAR 3251</t>
  </si>
  <si>
    <t>mgrjuri@krishibank.org.bd</t>
  </si>
  <si>
    <t>035580737</t>
  </si>
  <si>
    <t>KAGABALA BRANCH</t>
  </si>
  <si>
    <t>KAGABALA_BRANCH</t>
  </si>
  <si>
    <t>3803 / 073</t>
  </si>
  <si>
    <t>KAGABALA, MOULVIBAZAR SADAR, MOULVIBAZAR 3200</t>
  </si>
  <si>
    <t>017 30708658</t>
  </si>
  <si>
    <t>mgrkagabala@krishibank.org.bd</t>
  </si>
  <si>
    <t>035580766</t>
  </si>
  <si>
    <t>KAMALGANJ BRANCH</t>
  </si>
  <si>
    <t>KAMALGANJ_BRANCH</t>
  </si>
  <si>
    <t>3810 / 076</t>
  </si>
  <si>
    <t>KERAMOTNAGAR, KAMALGANJ, MOULVIBAZAR</t>
  </si>
  <si>
    <t>mgrkamolgonj@krishibank.org.bd</t>
  </si>
  <si>
    <t>035580940</t>
  </si>
  <si>
    <t>3806 / 094</t>
  </si>
  <si>
    <t>AMIN MANSION, UTTAR BAZAR, KULAURA, MOULVIBAZAR</t>
  </si>
  <si>
    <t>mgrkulaura@krishibank.org.bd</t>
  </si>
  <si>
    <t>035581031</t>
  </si>
  <si>
    <t>MONU BRANCH</t>
  </si>
  <si>
    <t>MONU_BRANCH</t>
  </si>
  <si>
    <t>3811 / 103</t>
  </si>
  <si>
    <t>HAJIPUR, MONU, MOULVIBAZAR</t>
  </si>
  <si>
    <t>mgrmonu@krishibank.org.bd</t>
  </si>
  <si>
    <t>035581181</t>
  </si>
  <si>
    <t>3801 / 118</t>
  </si>
  <si>
    <t>SHOMSHERNAGAR ROAD, MOULVIBAZAR</t>
  </si>
  <si>
    <t>mgrmoulvibazar@krishibank.org.bd</t>
  </si>
  <si>
    <t>035581099</t>
  </si>
  <si>
    <t>MUKAM BAZAR BRANCH</t>
  </si>
  <si>
    <t>MUKAM_BAZAR_BRANCH</t>
  </si>
  <si>
    <t>3815 / 109</t>
  </si>
  <si>
    <t>MUKAM BAZAR, MOULVIBAZAR</t>
  </si>
  <si>
    <t>mgrmokambazar@krishibank.org.bd</t>
  </si>
  <si>
    <t>035581394</t>
  </si>
  <si>
    <t>RAJNAGAR BRANCH</t>
  </si>
  <si>
    <t>RAJNAGAR_BRANCH</t>
  </si>
  <si>
    <t>3804 / 139</t>
  </si>
  <si>
    <t>RAJNAGAR, MOULVIBAZAR</t>
  </si>
  <si>
    <t>mgrrajnagar@krishibank.org.bd</t>
  </si>
  <si>
    <t>035581578</t>
  </si>
  <si>
    <t>SAHIDNAGAR BAZAR BRANCH</t>
  </si>
  <si>
    <t>SAHIDNAGAR_BAZAR_BRANCH</t>
  </si>
  <si>
    <t>3813 / 157</t>
  </si>
  <si>
    <t>SAHIDNAGAR BAZAR, KAMALGANJ, MOULVIBAZAR</t>
  </si>
  <si>
    <t>mgrshahidnagarbazar@krishibank.org.bd</t>
  </si>
  <si>
    <t>035581660</t>
  </si>
  <si>
    <t>SHERPUR BAZAR BRANCH</t>
  </si>
  <si>
    <t>SHERPUR_BAZAR_BRANCH</t>
  </si>
  <si>
    <t>3812 / 166</t>
  </si>
  <si>
    <t>SHERPUR BAZAR, AFROJGANJ, MOULVIBAZAR 3200</t>
  </si>
  <si>
    <t>017 30708666</t>
  </si>
  <si>
    <t>mgrsherpurbazar@krishibank.org.bd</t>
  </si>
  <si>
    <t>035581723</t>
  </si>
  <si>
    <t>3805 / 172</t>
  </si>
  <si>
    <t>SREEMANGAL, MOULVIBAZAR</t>
  </si>
  <si>
    <t>mgrsreemongal@krishibank.org.bd</t>
  </si>
  <si>
    <t>035590077</t>
  </si>
  <si>
    <t>ALDI BAZAR BRANCH</t>
  </si>
  <si>
    <t>ALDI_BAZAR_BRANCH</t>
  </si>
  <si>
    <t>4416 / 007</t>
  </si>
  <si>
    <t>ALDI BAZAR, TONGIBARI, MUNSHIGANJ 1520</t>
  </si>
  <si>
    <t>017 30708668</t>
  </si>
  <si>
    <t>mgraldibazar@krishibank.org.bd</t>
  </si>
  <si>
    <t>035590172</t>
  </si>
  <si>
    <t>BARAIKHALI BAZAR BRANCH</t>
  </si>
  <si>
    <t>BARAIKHALI_BAZAR_BRANCH</t>
  </si>
  <si>
    <t>4417 / 4417</t>
  </si>
  <si>
    <t>BARAIKHALI, SREENAGAR, MUNSHIGANJ</t>
  </si>
  <si>
    <t>mgrbaraykhali@krishibank.org.bd</t>
  </si>
  <si>
    <t>035590251</t>
  </si>
  <si>
    <t>BETKA BRANCH</t>
  </si>
  <si>
    <t>BETKA_BRANCH</t>
  </si>
  <si>
    <t>4413 / 025</t>
  </si>
  <si>
    <t>BETKA, TONGIBARI, MUNSHIGANJ</t>
  </si>
  <si>
    <t>mgrbetka@krishibank.org.bd</t>
  </si>
  <si>
    <t>035590280</t>
  </si>
  <si>
    <t>BHABERCHAR BRANCH</t>
  </si>
  <si>
    <t>BHABERCHAR_BRANCH</t>
  </si>
  <si>
    <t>4402 / 028</t>
  </si>
  <si>
    <t>BHABERCHAR, GAZARIA, MUNSHIGANJ</t>
  </si>
  <si>
    <t>mgrbhaberchar@krishibank.org.bd</t>
  </si>
  <si>
    <t>035590343</t>
  </si>
  <si>
    <t>CHARKEWAR BRANCH</t>
  </si>
  <si>
    <t>CHARKEWAR_BRANCH</t>
  </si>
  <si>
    <t>4415 / 034</t>
  </si>
  <si>
    <t>CHARKEWAR, MUNSHIGANJ SADAR, MUNSHIGANJ</t>
  </si>
  <si>
    <t>mgrcharkaeor@krishibank.org.bd</t>
  </si>
  <si>
    <t>035590464</t>
  </si>
  <si>
    <t>GAZARIA BRANCH</t>
  </si>
  <si>
    <t>GAZARIA_BRANCH</t>
  </si>
  <si>
    <t>4403 / 046</t>
  </si>
  <si>
    <t>GAZARIA, MUNSHIGANJ</t>
  </si>
  <si>
    <t>mgrgazaria@krishibank.org.bd</t>
  </si>
  <si>
    <t>035590493</t>
  </si>
  <si>
    <t>GHOLTALI BAZAR BRANCH</t>
  </si>
  <si>
    <t>GHOLTALI_BAZAR_BRANCH</t>
  </si>
  <si>
    <t>4407 / 049</t>
  </si>
  <si>
    <t>GHOLTALI, LAOHAJANG, MUNSHIGANJ</t>
  </si>
  <si>
    <t>mgrgholtalibazar@krishibank.org.bd</t>
  </si>
  <si>
    <t>035590585</t>
  </si>
  <si>
    <t>HASHARA BRANCH</t>
  </si>
  <si>
    <t>HASHARA_BRANCH</t>
  </si>
  <si>
    <t>4410 / 058</t>
  </si>
  <si>
    <t>HASHARA, SREENAGAR, MUNSHIGANJ</t>
  </si>
  <si>
    <t>Hashara, Sreenagar, Munshiganj</t>
  </si>
  <si>
    <t>035590677</t>
  </si>
  <si>
    <t>ICHAPURA BRANCH</t>
  </si>
  <si>
    <t>ICHAPURA_BRANCH</t>
  </si>
  <si>
    <t>4405 / 067</t>
  </si>
  <si>
    <t>ICHAPURA, SIRAJDIKHAN, MUNSHIGANJ</t>
  </si>
  <si>
    <t>mgrichapura@krishibank.org.bd</t>
  </si>
  <si>
    <t>035590851</t>
  </si>
  <si>
    <t>LAOHAJANG BRANCH</t>
  </si>
  <si>
    <t>LAOHAJANG_BRANCH</t>
  </si>
  <si>
    <t>4406 / 085</t>
  </si>
  <si>
    <t>LAOHAJANG, MUNSHIGANJ</t>
  </si>
  <si>
    <t>mgrlohajang@krishibank.org.bd</t>
  </si>
  <si>
    <t>035590943</t>
  </si>
  <si>
    <t>MEDINIMONDAL BRANCH</t>
  </si>
  <si>
    <t>MEDINIMONDAL_BRANCH</t>
  </si>
  <si>
    <t>4408 / 094</t>
  </si>
  <si>
    <t>MEDINIMONDAL, LAOHAJANG, MUNSHIGANJ</t>
  </si>
  <si>
    <t>mgrmedinimondal@krishibank.org.bd</t>
  </si>
  <si>
    <t>035591034</t>
  </si>
  <si>
    <t>4401 / 103</t>
  </si>
  <si>
    <t>SADAR ROAD, MUNSHIGANJ</t>
  </si>
  <si>
    <t>mgrmunshigonj@krishibank.org.bd</t>
  </si>
  <si>
    <t>035591184</t>
  </si>
  <si>
    <t>RARIKHAL BRANCH</t>
  </si>
  <si>
    <t>RARIKHAL_BRANCH</t>
  </si>
  <si>
    <t>4411 / 118</t>
  </si>
  <si>
    <t>RARIKHAL, SREENAGAR, MUNSHIGANJ</t>
  </si>
  <si>
    <t>mgrrarikhal@krishibank.org.bd</t>
  </si>
  <si>
    <t>035591339</t>
  </si>
  <si>
    <t>SHOLAGHAR BRANCH</t>
  </si>
  <si>
    <t>SHOLAGHAR_BRANCH</t>
  </si>
  <si>
    <t>4412 / 133</t>
  </si>
  <si>
    <t>SHOLAGHAR, SREENAGAR, MUNSHIGANJ</t>
  </si>
  <si>
    <t>mgrshologhor@krishibank.org.bd</t>
  </si>
  <si>
    <t>035591276</t>
  </si>
  <si>
    <t>SIRAJDIKHAN BRANCH</t>
  </si>
  <si>
    <t>SIRAJDIKHAN_BRANCH</t>
  </si>
  <si>
    <t>4404 / 127</t>
  </si>
  <si>
    <t>SIRAJDIKHAN, MUNSHIGANJ</t>
  </si>
  <si>
    <t>mgrsirajdikhan@krishibank.org.bd</t>
  </si>
  <si>
    <t>035591421</t>
  </si>
  <si>
    <t>4409 / 142</t>
  </si>
  <si>
    <t>SREENAGAR, MUNSHIGANJ</t>
  </si>
  <si>
    <t>mgrsreenagar@krishibank.org.bd</t>
  </si>
  <si>
    <t>035591542</t>
  </si>
  <si>
    <t>TONGIBARI BRANCH</t>
  </si>
  <si>
    <t>TONGIBARI_BRANCH</t>
  </si>
  <si>
    <t>4414 / 154</t>
  </si>
  <si>
    <t>TONGIBARI, MUNSHIGANJ</t>
  </si>
  <si>
    <t>mgrtongibari@krishibank.org.bd</t>
  </si>
  <si>
    <t>035610049</t>
  </si>
  <si>
    <t>AGRICULTURAL UNIVERSITY BRANCH</t>
  </si>
  <si>
    <t>AGRICULTURAL_UNIVERSITY_BRANCH</t>
  </si>
  <si>
    <t>4704 / 004</t>
  </si>
  <si>
    <t>UNIVERSITY CAMPUS, MYMENSINGH</t>
  </si>
  <si>
    <t>mgragriuniversity@krishibank.org.bd</t>
  </si>
  <si>
    <t>035610078</t>
  </si>
  <si>
    <t>AMBIKAGANJ BAZAR BRANCH</t>
  </si>
  <si>
    <t>AMBIKAGANJ_BAZAR_BRANCH</t>
  </si>
  <si>
    <t>4705 / 007</t>
  </si>
  <si>
    <t>AMBIKAGANJ BAZAR, MYMENSINGH</t>
  </si>
  <si>
    <t>mgrambikagonjbazar@krishibank.org.bd</t>
  </si>
  <si>
    <t>035610160</t>
  </si>
  <si>
    <t>AUSTADHAR BAZAR BRANCH</t>
  </si>
  <si>
    <t>AUSTADHAR_BAZAR_BRANCH</t>
  </si>
  <si>
    <t>4703 / 016</t>
  </si>
  <si>
    <t>AUSTADHAR BAZAR, MYMENSINGH</t>
  </si>
  <si>
    <t>mgrastadharbazar@krishibank.org.bd</t>
  </si>
  <si>
    <t>035610199</t>
  </si>
  <si>
    <t>BAKTA BAZAR BRANCH</t>
  </si>
  <si>
    <t>BAKTA_BAZAR_BRANCH</t>
  </si>
  <si>
    <t>4735 / 019</t>
  </si>
  <si>
    <t>HIGH, FULBARIA, MYMENSINGH</t>
  </si>
  <si>
    <t>mgrbaktabazar@krishibank.org.bd</t>
  </si>
  <si>
    <t>035610115</t>
  </si>
  <si>
    <t>4744 / 4744</t>
  </si>
  <si>
    <t>BATAJORE, BHALUKA, MYMENSINGH</t>
  </si>
  <si>
    <t>mgrbatajore@krishibank.org.bd</t>
  </si>
  <si>
    <t>035610315</t>
  </si>
  <si>
    <t>4707 / 031</t>
  </si>
  <si>
    <t>BHALUKA, MYMENSINGH</t>
  </si>
  <si>
    <t>mgrbhaluka@krishibank.org.bd</t>
  </si>
  <si>
    <t>035610373</t>
  </si>
  <si>
    <t>BIRUNINA BAZAR BRANCH</t>
  </si>
  <si>
    <t>BIRUNINA_BAZAR_BRANCH</t>
  </si>
  <si>
    <t>4709 / 037</t>
  </si>
  <si>
    <t>BIRUNINA BAZAR, BHALUKA, MYMENSINGH</t>
  </si>
  <si>
    <t>mgrbiruniabazar@krishibank.org.bd</t>
  </si>
  <si>
    <t>035610465</t>
  </si>
  <si>
    <t>CHAIRBARIA BAZAR BRANCH</t>
  </si>
  <si>
    <t>CHAIRBARIA_BAZAR_BRANCH</t>
  </si>
  <si>
    <t>4737 / 046</t>
  </si>
  <si>
    <t>CHAIRBARIA, GAFARGAON, MYMENSINGH</t>
  </si>
  <si>
    <t>mgrchairbariabazar@krishibank.org.bd</t>
  </si>
  <si>
    <t>035610557</t>
  </si>
  <si>
    <t>CHECHUA BAZAR BRANCH</t>
  </si>
  <si>
    <t>CHECHUA_BAZAR_BRANCH</t>
  </si>
  <si>
    <t>4719 / 055</t>
  </si>
  <si>
    <t>CHECHUA, MUKTAGACHHA, MYMENSINGH</t>
  </si>
  <si>
    <t>mgrchechuabazar@krishibank.org.bd</t>
  </si>
  <si>
    <t>035610599</t>
  </si>
  <si>
    <t>DAKATIA CHOWRASTA BAZAR BRANCH</t>
  </si>
  <si>
    <t>DAKATIA_CHOWRASTA_BAZAR_BRANCH</t>
  </si>
  <si>
    <t>4743 / 4743</t>
  </si>
  <si>
    <t>DAKATIA, BHALUKA, MYMENSINGH</t>
  </si>
  <si>
    <t>mgrdakatiachowrasta@krishibank.org.bd</t>
  </si>
  <si>
    <t>035610678</t>
  </si>
  <si>
    <t>DAWHAKHOLA BAZAR BRANCH</t>
  </si>
  <si>
    <t>DAWHAKHOLA_BAZAR_BRANCH</t>
  </si>
  <si>
    <t>4712 / 067</t>
  </si>
  <si>
    <t>DEWKHOLKA BAZAR, FULBARIA, MYMENSINGH</t>
  </si>
  <si>
    <t>mgrdewkhola@krishibank.org.bd</t>
  </si>
  <si>
    <t>035610760</t>
  </si>
  <si>
    <t>DHALIA BRANCH</t>
  </si>
  <si>
    <t>DHALIA_BRANCH</t>
  </si>
  <si>
    <t>4708 / 076</t>
  </si>
  <si>
    <t>DHITPUR, BHALUKA, MYMENSINGH</t>
  </si>
  <si>
    <t>mgrdhalia@krishibank.org.bd</t>
  </si>
  <si>
    <t>035610799</t>
  </si>
  <si>
    <t>DHANIKHOLA BRANCH</t>
  </si>
  <si>
    <t>DHANIKHOLA_BRANCH</t>
  </si>
  <si>
    <t>4716 / 079</t>
  </si>
  <si>
    <t>DHANIKHOLA, TRISHAL, MYMENSINGH</t>
  </si>
  <si>
    <t>mgrdhanikhola@krishibank.org.bd</t>
  </si>
  <si>
    <t>035610881</t>
  </si>
  <si>
    <t>DHOBAURA BRANCH</t>
  </si>
  <si>
    <t>DHOBAURA_BRANCH</t>
  </si>
  <si>
    <t>4740 / 088</t>
  </si>
  <si>
    <t>DHOBAURA, MYMENSINGH</t>
  </si>
  <si>
    <t>mgrdhobaura@krishibank.org.bd</t>
  </si>
  <si>
    <t>035610081</t>
  </si>
  <si>
    <t>DHURAIL BAZAR BRANCH</t>
  </si>
  <si>
    <t>DHURAIL_BAZAR_BRANCH</t>
  </si>
  <si>
    <t>5401 / 5401</t>
  </si>
  <si>
    <t>DHURAIL BAZAR, HALUAGHAT, MYMENSINGH</t>
  </si>
  <si>
    <t>mgrdhurail@krishibank.org.bd</t>
  </si>
  <si>
    <t>035610702</t>
  </si>
  <si>
    <t>DOHAKHOLA BAZAR BRANCH</t>
  </si>
  <si>
    <t>DOHAKHOLA_BAZAR_BRANCH</t>
  </si>
  <si>
    <t>4729 / 070</t>
  </si>
  <si>
    <t>DOHAKHOLA BAZAR, GOURIPUR, MYMENSINGH</t>
  </si>
  <si>
    <t>mgrdowhakhala@krishibank.org.bd</t>
  </si>
  <si>
    <t>035610944</t>
  </si>
  <si>
    <t>FULBARIA BAZAR BRANCH</t>
  </si>
  <si>
    <t>FULBARIA_BAZAR_BRANCH</t>
  </si>
  <si>
    <t>4711 / 094</t>
  </si>
  <si>
    <t>FULBARIA BAZAR, MYMENSINGH</t>
  </si>
  <si>
    <t>035611006</t>
  </si>
  <si>
    <t>4720 / 100</t>
  </si>
  <si>
    <t>GAFARGAON, MYMENSINGH</t>
  </si>
  <si>
    <t>mgrgafargaon@krishibank.org.bd</t>
  </si>
  <si>
    <t>035611127</t>
  </si>
  <si>
    <t>GAYESHPUR BAZAR BRANCH</t>
  </si>
  <si>
    <t>GAYESHPUR_BAZAR_BRANCH</t>
  </si>
  <si>
    <t>4722 / 112</t>
  </si>
  <si>
    <t>GAYESHPUR BAZAR, GAFARGAON, MYMENSINGH</t>
  </si>
  <si>
    <t>mgrgoyeshpurbazar@krishibank.org.bd</t>
  </si>
  <si>
    <t>035611064</t>
  </si>
  <si>
    <t>4728 / 106</t>
  </si>
  <si>
    <t>GOURIPUR, MYMENSINGH</t>
  </si>
  <si>
    <t>mgrgouripur@krishibank.org.bd</t>
  </si>
  <si>
    <t>035611156</t>
  </si>
  <si>
    <t>HALUAGHAT BRANCH</t>
  </si>
  <si>
    <t>HALUAGHAT_BRANCH</t>
  </si>
  <si>
    <t>4723 / 115</t>
  </si>
  <si>
    <t>HALUAGHAT, MYMENSINGH</t>
  </si>
  <si>
    <t>mgrhaluaghat@krishibank.org.bd</t>
  </si>
  <si>
    <t>035611185</t>
  </si>
  <si>
    <t>ISHWARGANJ BRANCH</t>
  </si>
  <si>
    <t>ISHWARGANJ_BRANCH</t>
  </si>
  <si>
    <t>4730 / 118</t>
  </si>
  <si>
    <t>ISHWARGANJ, MYMENSINGH</t>
  </si>
  <si>
    <t>mgrishwargon@krishibank.org.bd</t>
  </si>
  <si>
    <t>035611219</t>
  </si>
  <si>
    <t>JAIL ROAD BRANCH</t>
  </si>
  <si>
    <t>JAIL_ROAD_BRANCH</t>
  </si>
  <si>
    <t>4706 / 121</t>
  </si>
  <si>
    <t>JAIL ROAD, MYMENSINGH</t>
  </si>
  <si>
    <t>mgrjailroad@krishibank.org.bd</t>
  </si>
  <si>
    <t>035611277</t>
  </si>
  <si>
    <t>KANDIPARA BRANCH</t>
  </si>
  <si>
    <t>KANDIPARA_BRANCH</t>
  </si>
  <si>
    <t>4721 / 127</t>
  </si>
  <si>
    <t>KANDIPARA, GAFARGAON, MYMENSINGH</t>
  </si>
  <si>
    <t>mgrkandipara@krishibank.org.bd</t>
  </si>
  <si>
    <t>035611330</t>
  </si>
  <si>
    <t>KASHIGANJ BAZAR BRANCH</t>
  </si>
  <si>
    <t>KASHIGANJ_BAZAR_BRANCH</t>
  </si>
  <si>
    <t>4726 / 133</t>
  </si>
  <si>
    <t>KASHIGANJ BAZAR, TARAKANDA, MYMENSINGH</t>
  </si>
  <si>
    <t>mgrkashigonjbazar@krishibank.org.bd</t>
  </si>
  <si>
    <t>035611301</t>
  </si>
  <si>
    <t>4714 / 130</t>
  </si>
  <si>
    <t>KASHIGANJ BAZAR, TRISHAL, MYMENSINGH</t>
  </si>
  <si>
    <t>mgrkashigonjbazar@krishibank.org.bd,</t>
  </si>
  <si>
    <t>035611480</t>
  </si>
  <si>
    <t>MAEJBAGH BAZAR BRANCH</t>
  </si>
  <si>
    <t>MAEJBAGH_BAZAR_BRANCH</t>
  </si>
  <si>
    <t>4741 / 148</t>
  </si>
  <si>
    <t>MAEJBAGH BAZAR, ISHWARGANJ, MYMENSINGH</t>
  </si>
  <si>
    <t>mgrmaijbag@krishibank.org.bd</t>
  </si>
  <si>
    <t>035611572</t>
  </si>
  <si>
    <t>MAZIALI BRANCH</t>
  </si>
  <si>
    <t>MAZIALI_BRANCH</t>
  </si>
  <si>
    <t>4739 / 157</t>
  </si>
  <si>
    <t>MAZIALI, TARAKANDA, MYMENSINGH</t>
  </si>
  <si>
    <t>mgrmajhialy@krishibank.org.bd</t>
  </si>
  <si>
    <t>035611664</t>
  </si>
  <si>
    <t>MOAZZEMPUR BRANCH</t>
  </si>
  <si>
    <t>MOAZZEMPUR_BRANCH</t>
  </si>
  <si>
    <t>4738 / 166</t>
  </si>
  <si>
    <t>MOAZZEMPUR, NANDAIL, MYMENSINGH</t>
  </si>
  <si>
    <t>mgrmuazzempur@krishibank.org.bd</t>
  </si>
  <si>
    <t>035611451</t>
  </si>
  <si>
    <t>MODHUPUR BAZAR BRANCH</t>
  </si>
  <si>
    <t>MODHUPUR_BAZAR_BRANCH</t>
  </si>
  <si>
    <t>4731 / 145</t>
  </si>
  <si>
    <t>MODHUPUR BAZAR, ISHWARGANJ, MYMENSINGH</t>
  </si>
  <si>
    <t>mgrmadhupur@krishibank.org.bd</t>
  </si>
  <si>
    <t>035611693</t>
  </si>
  <si>
    <t>4718 / 169</t>
  </si>
  <si>
    <t>MUKTAGACHHA, MYMENSINGH</t>
  </si>
  <si>
    <t>mgrmuktagacha@krishibank.org.bd</t>
  </si>
  <si>
    <t>035611756</t>
  </si>
  <si>
    <t>4701 / 175</t>
  </si>
  <si>
    <t>NUTAN BAZAR, MYMENSINGH</t>
  </si>
  <si>
    <t>mgrmymensingh@krishibank.org.bd</t>
  </si>
  <si>
    <t>035611877</t>
  </si>
  <si>
    <t>NAGLA BAZAR BRANCH</t>
  </si>
  <si>
    <t>NAGLA_BAZAR_BRANCH</t>
  </si>
  <si>
    <t>4724 / 187</t>
  </si>
  <si>
    <t>NAGLA BAZAR, HALUAGHAT, MYMENSINGH</t>
  </si>
  <si>
    <t>mgrnagla@krishibank.org.bd</t>
  </si>
  <si>
    <t>035611901</t>
  </si>
  <si>
    <t>NANDAIL BRANCH</t>
  </si>
  <si>
    <t>NANDAIL_BRANCH</t>
  </si>
  <si>
    <t>4733 / 190</t>
  </si>
  <si>
    <t>NANDAIL, MYMENSINGH</t>
  </si>
  <si>
    <t>mgrnandail@krishibank.org.bd</t>
  </si>
  <si>
    <t>035610973</t>
  </si>
  <si>
    <t>4725 / 097</t>
  </si>
  <si>
    <t>PHULPUR, MYMENSINGH</t>
  </si>
  <si>
    <t>mgrfulpur@krishibank.org.bd</t>
  </si>
  <si>
    <t>035612089</t>
  </si>
  <si>
    <t>SEEDSTORE BAZAR BRANCH</t>
  </si>
  <si>
    <t>SEEDSTORE_BAZAR_BRANCH</t>
  </si>
  <si>
    <t>4710 / 208</t>
  </si>
  <si>
    <t>SEEDSTORE BAZAR, MYMENSINGH</t>
  </si>
  <si>
    <t>mgrseedstorebazar@krishibank.org.bd</t>
  </si>
  <si>
    <t>035612171</t>
  </si>
  <si>
    <t>SHOHAGI BAZAR BRANCH</t>
  </si>
  <si>
    <t>SHOHAGI_BAZAR_BRANCH</t>
  </si>
  <si>
    <t>4732 / 217</t>
  </si>
  <si>
    <t>SHOHAGI BAZAR, ISHWARGANJ, MYMENSINGH</t>
  </si>
  <si>
    <t>mgrsohagi@krishibank.org.bd</t>
  </si>
  <si>
    <t>035612155</t>
  </si>
  <si>
    <t>SHUSHUTI BAZAR BRANCH</t>
  </si>
  <si>
    <t>SHUSHUTI_BAZAR_BRANCH</t>
  </si>
  <si>
    <t>4742 / 4742</t>
  </si>
  <si>
    <t>SHUSHUTI BAZAR, ENAYETPUR, FULBARIA, MYMENSINGH</t>
  </si>
  <si>
    <t>mgrshushutibazar@krishibank.org.bd</t>
  </si>
  <si>
    <t>035612263</t>
  </si>
  <si>
    <t>TARAKANDA BRANCH</t>
  </si>
  <si>
    <t>TARAKANDA_BRANCH</t>
  </si>
  <si>
    <t>4727 / 226</t>
  </si>
  <si>
    <t>TARAKANDA, MYMENSINGH</t>
  </si>
  <si>
    <t>mgtarakandar@krishibank.org.bd</t>
  </si>
  <si>
    <t>035612355</t>
  </si>
  <si>
    <t>4715 / 235</t>
  </si>
  <si>
    <t>DHARIRAMPUR, TRISHAL, MYMENSINGH</t>
  </si>
  <si>
    <t>mgrtrishal@krishibank.org.bd</t>
  </si>
  <si>
    <t>035650254</t>
  </si>
  <si>
    <t>HABAKHALI BRANCH</t>
  </si>
  <si>
    <t>HABAKHALI_BRANCH</t>
  </si>
  <si>
    <t>2207 / 025</t>
  </si>
  <si>
    <t>SADHUKHALI, HABAKHALI, NARAIL 7500</t>
  </si>
  <si>
    <t>017 30708720</t>
  </si>
  <si>
    <t>mgrhabakhali@krishibank.org.bd</t>
  </si>
  <si>
    <t>035650346</t>
  </si>
  <si>
    <t>2205 / 034</t>
  </si>
  <si>
    <t>HOLDING NO 689, COLLAGE ROAD, KALIA, NARAIL</t>
  </si>
  <si>
    <t>mgrkalia@krishibank.org.bd</t>
  </si>
  <si>
    <t>035650409</t>
  </si>
  <si>
    <t>LAHURIA BAZAR BRANCH</t>
  </si>
  <si>
    <t>LAHURIA_BAZAR_BRANCH</t>
  </si>
  <si>
    <t>2204 / 040</t>
  </si>
  <si>
    <t>LAHURIA, KALIGANJ, LOHAGARA NARAIL 7511</t>
  </si>
  <si>
    <t>017 30708722</t>
  </si>
  <si>
    <t>mgrlahuria@krishibank.org.bd</t>
  </si>
  <si>
    <t>035650467</t>
  </si>
  <si>
    <t>2203 / 046</t>
  </si>
  <si>
    <t>HOLDING NO 436, COLLEGE ROAD, LOHAGARA, NARAIL</t>
  </si>
  <si>
    <t>mgrlohagaranarail@krishibank.org.bd</t>
  </si>
  <si>
    <t>035650612</t>
  </si>
  <si>
    <t>NARAGATI BAZAR BRANCH</t>
  </si>
  <si>
    <t>NARAGATI_BAZAR_BRANCH</t>
  </si>
  <si>
    <t>2208 / 061</t>
  </si>
  <si>
    <t>NARAGATI, KALIA, NARAIL</t>
  </si>
  <si>
    <t>mgrnaragati@krishibank.org.bd</t>
  </si>
  <si>
    <t>035650641</t>
  </si>
  <si>
    <t>2201 / 064</t>
  </si>
  <si>
    <t>HOLDING NO: 414, JESSORE ROAD, VOYAKHALI, NARAIL</t>
  </si>
  <si>
    <t>mgrnarail@krishibank.org.bd</t>
  </si>
  <si>
    <t>035650762</t>
  </si>
  <si>
    <t>SHEIKHHATI BAZAR BRANCH</t>
  </si>
  <si>
    <t>SHEIKHHATI_BAZAR_BRANCH</t>
  </si>
  <si>
    <t>2202 / 076</t>
  </si>
  <si>
    <t>SHEIKHHATI, NARAIL SADAR, NARAIL</t>
  </si>
  <si>
    <t>mgrseikhhatibazar@krishibank.org.bd</t>
  </si>
  <si>
    <t>035670047</t>
  </si>
  <si>
    <t>4608 / 004</t>
  </si>
  <si>
    <t>ARAIHAZAR, NARAYANGANJ</t>
  </si>
  <si>
    <t>mgraraihajar@krishibank.org.bd</t>
  </si>
  <si>
    <t>035670168</t>
  </si>
  <si>
    <t>BANDAR BRANCH</t>
  </si>
  <si>
    <t>BANDAR_BRANCH</t>
  </si>
  <si>
    <t>4603 / 016</t>
  </si>
  <si>
    <t>BANDAR, NARAYANGANJ</t>
  </si>
  <si>
    <t>mgrbandar@krishibank.org.bd</t>
  </si>
  <si>
    <t>035670526</t>
  </si>
  <si>
    <t>FATULLA BRANCH</t>
  </si>
  <si>
    <t>FATULLA_BRANCH</t>
  </si>
  <si>
    <t>4602 / 052</t>
  </si>
  <si>
    <t>FATULLA, NARAYANGANJ</t>
  </si>
  <si>
    <t>mgrfatullah@krishibank.org.bd</t>
  </si>
  <si>
    <t>035670584</t>
  </si>
  <si>
    <t>GOLAKANDAIL BRANCH</t>
  </si>
  <si>
    <t>GOLAKANDAIL_BRANCH</t>
  </si>
  <si>
    <t>4612 / 058</t>
  </si>
  <si>
    <t>GOLAKANDAIL, BHULTA, RUPGANJ, NARAYANGANJ</t>
  </si>
  <si>
    <t>mgrgolakandail@krishibank.org.bd</t>
  </si>
  <si>
    <t>035670647</t>
  </si>
  <si>
    <t>4611 / 064</t>
  </si>
  <si>
    <t>HOSSAINPUR, NARAYANGANJ 1400</t>
  </si>
  <si>
    <t>035670676</t>
  </si>
  <si>
    <t>ICHAPURA BAZAR BRANCH</t>
  </si>
  <si>
    <t>ICHAPURA_BAZAR_BRANCH</t>
  </si>
  <si>
    <t>4613 / 067</t>
  </si>
  <si>
    <t>ICHAPURA BAZAR, RUPGANJ, NARAYANGANJ</t>
  </si>
  <si>
    <t>mgrichapurabazar@krishibank.org.bd</t>
  </si>
  <si>
    <t>035670700</t>
  </si>
  <si>
    <t>JANGALIA BAZAR BRANCH</t>
  </si>
  <si>
    <t>JANGALIA_BAZAR_BRANCH</t>
  </si>
  <si>
    <t>4614 / 070</t>
  </si>
  <si>
    <t>JANGALIA BAZAR, ARAIHAZAR, NARAYANGANJ</t>
  </si>
  <si>
    <t>mgrjangaliabazar@krishibank.org.bd</t>
  </si>
  <si>
    <t>035670971</t>
  </si>
  <si>
    <t>MADANPUR BRANCH</t>
  </si>
  <si>
    <t>MADANPUR_BRANCH</t>
  </si>
  <si>
    <t>4604 / 097</t>
  </si>
  <si>
    <t>MADANPUR, BANDAR, NARAYANGANJ</t>
  </si>
  <si>
    <t>mgrmadanpur@krishibank.org.bd</t>
  </si>
  <si>
    <t>035671091</t>
  </si>
  <si>
    <t>MAHJAMPUR BAZAR BRANCH</t>
  </si>
  <si>
    <t>MAHJAMPUR_BAZAR_BRANCH</t>
  </si>
  <si>
    <t>4606 / 109</t>
  </si>
  <si>
    <t>MAHJAMPUR, SONARGAON, NARAYANGANJ</t>
  </si>
  <si>
    <t>mgrmahjampur@krishibank.org.bd</t>
  </si>
  <si>
    <t>035671183</t>
  </si>
  <si>
    <t>NARAYANGANJ CORPORATE BRANCH</t>
  </si>
  <si>
    <t>NARAYANGANJ_CORPORATE_BRANCH</t>
  </si>
  <si>
    <t>4601 / 118</t>
  </si>
  <si>
    <t>231 BANGABANDHU ROAD, NARAYANGANJ</t>
  </si>
  <si>
    <t>02 64717</t>
  </si>
  <si>
    <t>corpnarayangonj@krishibank.org.bd</t>
  </si>
  <si>
    <t>035670089</t>
  </si>
  <si>
    <t>POURA MARKET BRANCH</t>
  </si>
  <si>
    <t>POURA_MARKET_BRANCH</t>
  </si>
  <si>
    <t>4615 / 4615</t>
  </si>
  <si>
    <t>POURA MARKET, NARAYANGANJ</t>
  </si>
  <si>
    <t>mgrpouramarket@krishibank.org.bd</t>
  </si>
  <si>
    <t>035671459</t>
  </si>
  <si>
    <t>RUPGANJ BRANCH</t>
  </si>
  <si>
    <t>RUPGANJ_BRANCH</t>
  </si>
  <si>
    <t>4607 / 145</t>
  </si>
  <si>
    <t>RUPGANJ, NARAYANGANJ</t>
  </si>
  <si>
    <t>mgrrupganj@krishibank.org.bd</t>
  </si>
  <si>
    <t>035671512</t>
  </si>
  <si>
    <t>SATGAON BRANCH</t>
  </si>
  <si>
    <t>SATGAON_BRANCH</t>
  </si>
  <si>
    <t>4609 / 151</t>
  </si>
  <si>
    <t>SATGAON, RUPGANJ, NARAYANGANJ</t>
  </si>
  <si>
    <t>mgrsatgaon@krishibank.org.bd</t>
  </si>
  <si>
    <t>035671604</t>
  </si>
  <si>
    <t>SIDDHIRGANJ BRANCH</t>
  </si>
  <si>
    <t>SIDDHIRGANJ_BRANCH</t>
  </si>
  <si>
    <t>4610 / 160</t>
  </si>
  <si>
    <t>SIDDHIRGANJ, NARAYANGANJ</t>
  </si>
  <si>
    <t>mgrsiddhirgonj@krishibank.org.bd</t>
  </si>
  <si>
    <t>035671691</t>
  </si>
  <si>
    <t>4605 / 169</t>
  </si>
  <si>
    <t>SONARGAON, NARAYANGANJ</t>
  </si>
  <si>
    <t>mgrsonargaon@krishibank.org.bd</t>
  </si>
  <si>
    <t>035680066</t>
  </si>
  <si>
    <t>4523 / 4523</t>
  </si>
  <si>
    <t>ALGI BAZAR, RAIPURA, NARSINGDI 8600</t>
  </si>
  <si>
    <t>017 33929006</t>
  </si>
  <si>
    <t>mgralgiibazar@krishibank.org.bd</t>
  </si>
  <si>
    <t>035680103</t>
  </si>
  <si>
    <t>4502 / 010</t>
  </si>
  <si>
    <t>HAJI JASIMUDDIN MARKET, NARSINGDI 1600</t>
  </si>
  <si>
    <t>017 30708741</t>
  </si>
  <si>
    <t>mgrbaburhat@krishibank.org.bd</t>
  </si>
  <si>
    <t>035680161</t>
  </si>
  <si>
    <t>BANNAR BAZAR BRANCH</t>
  </si>
  <si>
    <t>BANNAR_BAZAR_BRANCH</t>
  </si>
  <si>
    <t>4518 / 016</t>
  </si>
  <si>
    <t>BANNAR BAZAR, CHAIDERKHOLA, SHIBPUR, NARSINGDI 1612</t>
  </si>
  <si>
    <t>017 30708742</t>
  </si>
  <si>
    <t>mgrbannarbazar@krishibank.org.bd</t>
  </si>
  <si>
    <t>035680190</t>
  </si>
  <si>
    <t>BAROICHA BAZAR BRANCH</t>
  </si>
  <si>
    <t>BAROICHA_BAZAR_BRANCH</t>
  </si>
  <si>
    <t>4520 / 019</t>
  </si>
  <si>
    <t>BAROICHA BAZAR, DEWANERCHAR, BELABO, NARSINGDI</t>
  </si>
  <si>
    <t>mgrbaraichabazar@krishibank.org.bd</t>
  </si>
  <si>
    <t>035680253</t>
  </si>
  <si>
    <t>BELABO BRANCH</t>
  </si>
  <si>
    <t>BELABO_BRANCH</t>
  </si>
  <si>
    <t>4503 / 025</t>
  </si>
  <si>
    <t>BELABO BAZAR, NARSINGDI 1640</t>
  </si>
  <si>
    <t>017 30708744</t>
  </si>
  <si>
    <t>mgrbelabo@krishibank.org.bd</t>
  </si>
  <si>
    <t>035680053</t>
  </si>
  <si>
    <t>CHAR NAGDIBAZAR BRANCH</t>
  </si>
  <si>
    <t>CHAR_NAGDIBAZAR_BRANCH</t>
  </si>
  <si>
    <t>4522 / 4522</t>
  </si>
  <si>
    <t>GOYESHPUR, PALASH, NARSINGDI</t>
  </si>
  <si>
    <t>mgrchanagardibazar@krishibank.org.bd</t>
  </si>
  <si>
    <t>035680374</t>
  </si>
  <si>
    <t>CHAR SUBUDDIBAZAR BRANCH</t>
  </si>
  <si>
    <t>CHAR_SUBUDDIBAZAR_BRANCH</t>
  </si>
  <si>
    <t>4519 / 037</t>
  </si>
  <si>
    <t>CHAR SUBUDDI BAZAR, RAIPURA, NARSINGDI 1630</t>
  </si>
  <si>
    <t>017 30708745</t>
  </si>
  <si>
    <t>mgrcharsubuddibazar@krishibank.org.bd</t>
  </si>
  <si>
    <t>035680495</t>
  </si>
  <si>
    <t>GHORASHAL BRANCH</t>
  </si>
  <si>
    <t>GHORASHAL_BRANCH</t>
  </si>
  <si>
    <t>4511 / 049</t>
  </si>
  <si>
    <t>GHORASHAL, PALASH, NARSINGDI</t>
  </si>
  <si>
    <t>mgrghorasal@krishibank.org.bd</t>
  </si>
  <si>
    <t>035680558</t>
  </si>
  <si>
    <t>HATIRDIA BRANCH</t>
  </si>
  <si>
    <t>HATIRDIA_BRANCH</t>
  </si>
  <si>
    <t>4507 / 055</t>
  </si>
  <si>
    <t>HATIRDIA, MANOHARDI, NARSINGDI</t>
  </si>
  <si>
    <t>mgrhatirdia@krishibank.org.bd</t>
  </si>
  <si>
    <t>035680640</t>
  </si>
  <si>
    <t>LAKHPUR BAZAR BRANCH</t>
  </si>
  <si>
    <t>LAKHPUR_BAZAR_BRANCH</t>
  </si>
  <si>
    <t>4509 / 064</t>
  </si>
  <si>
    <t>LAKHPUR BAZAR, SHIBPUR, NARSINGDI 1620</t>
  </si>
  <si>
    <t>017 30708748</t>
  </si>
  <si>
    <t>mgrlakhpurbazar@krishibank.org.bd</t>
  </si>
  <si>
    <t>035680732</t>
  </si>
  <si>
    <t>4505 / 073</t>
  </si>
  <si>
    <t>MANOHARDI, NARSINGDI</t>
  </si>
  <si>
    <t>mgrmonohardi@krishibank.org.bd</t>
  </si>
  <si>
    <t>035680761</t>
  </si>
  <si>
    <t>MORJAL BAZAR BRANCH</t>
  </si>
  <si>
    <t>MORJAL_BAZAR_BRANCH</t>
  </si>
  <si>
    <t>4516 / 076</t>
  </si>
  <si>
    <t>MORJAL BAZAR, RAIPUR, NARSINGDI 1633</t>
  </si>
  <si>
    <t>017 30708750</t>
  </si>
  <si>
    <t>mgrmorjalbazar@krishibank.org.bd</t>
  </si>
  <si>
    <t>035680774</t>
  </si>
  <si>
    <t>MUNSEFER CHAR BRANCH</t>
  </si>
  <si>
    <t>MUNSEFER_CHAR_BRANCH</t>
  </si>
  <si>
    <t>4521 / 4521</t>
  </si>
  <si>
    <t>MUNSEFER CHAR, SHIBPUR, NARSINGDI</t>
  </si>
  <si>
    <t>017 17867250</t>
  </si>
  <si>
    <t>mgrmusheferchar@krishibank.org.bd</t>
  </si>
  <si>
    <t>035680853</t>
  </si>
  <si>
    <t>4501 / 085</t>
  </si>
  <si>
    <t>STATION ROAD, NARSINGDI</t>
  </si>
  <si>
    <t>mgrnorshingdi@krishibank.org.bd</t>
  </si>
  <si>
    <t>035680116</t>
  </si>
  <si>
    <t>PAIKAN BAZAR BRANCH</t>
  </si>
  <si>
    <t>PAIKAN_BAZAR_BRANCH</t>
  </si>
  <si>
    <t>4525 / 4525</t>
  </si>
  <si>
    <t>PAIKAN BAZAR, BARACHAPA, MANOHARDI, NARSINGDI 3370</t>
  </si>
  <si>
    <t>mgrpaikanbazar@krishibank.org.bd</t>
  </si>
  <si>
    <t>035680916</t>
  </si>
  <si>
    <t>PALASH BRANCH</t>
  </si>
  <si>
    <t>PALASH_BRANCH</t>
  </si>
  <si>
    <t>4510 / 091</t>
  </si>
  <si>
    <t>SAR KARKHANA, PALASH, NARSINGDI</t>
  </si>
  <si>
    <t>mgrpalash@krishibank.org.bd</t>
  </si>
  <si>
    <t>035681007</t>
  </si>
  <si>
    <t>PORADIA BAZAR BRANCH</t>
  </si>
  <si>
    <t>PORADIA_BAZAR_BRANCH</t>
  </si>
  <si>
    <t>4506 / 100</t>
  </si>
  <si>
    <t>PORADIA BAZAR, BELABO, NARSINGDI</t>
  </si>
  <si>
    <t>017 30708753</t>
  </si>
  <si>
    <t>mgrporadiabazar@krishibank.org.bd</t>
  </si>
  <si>
    <t>035681094</t>
  </si>
  <si>
    <t>RAIPURA BRANCH</t>
  </si>
  <si>
    <t>RAIPURA_BRANCH</t>
  </si>
  <si>
    <t>4504 / 109</t>
  </si>
  <si>
    <t>RAIPURA, NARSINGDI 1630</t>
  </si>
  <si>
    <t>017 30708754</t>
  </si>
  <si>
    <t>mgrraipura@krishibank.org.bd</t>
  </si>
  <si>
    <t>035680095</t>
  </si>
  <si>
    <t>SHAHE PROTAP BRANCH</t>
  </si>
  <si>
    <t>SHAHE_PROTAP_BRANCH</t>
  </si>
  <si>
    <t>4524 / 4524</t>
  </si>
  <si>
    <t>SHILMONDI, NARSINGDI SADAR, NARSINGDI</t>
  </si>
  <si>
    <t>mgrshaheprotap@krishibank.org.bd</t>
  </si>
  <si>
    <t>035681249</t>
  </si>
  <si>
    <t>SHEKHER BAZAR BRANCH</t>
  </si>
  <si>
    <t>SHEKHER_BAZAR_BRANCH</t>
  </si>
  <si>
    <t>4517 / 124</t>
  </si>
  <si>
    <t>SHEKHER BAZAR, MANOHARDI, NARSINGDI</t>
  </si>
  <si>
    <t>mgrsekherbazar@krishibank.org.bd</t>
  </si>
  <si>
    <t>035681302</t>
  </si>
  <si>
    <t>4508 / 130</t>
  </si>
  <si>
    <t>SHIBPUR, NARSINGDI 1620</t>
  </si>
  <si>
    <t>mgrshibpur@krishibank.org.bd</t>
  </si>
  <si>
    <t>035720047</t>
  </si>
  <si>
    <t>ATPARA BRANCH</t>
  </si>
  <si>
    <t>ATPARA_BRANCH</t>
  </si>
  <si>
    <t>4909 / 004</t>
  </si>
  <si>
    <t>ATPARA, NETROKONA</t>
  </si>
  <si>
    <t>mgratpara@krishibank.org.bd</t>
  </si>
  <si>
    <t>035720076</t>
  </si>
  <si>
    <t>4908 / 007</t>
  </si>
  <si>
    <t>BARHATTA BAZAR, NETROKONA 2440</t>
  </si>
  <si>
    <t>mgrbarhatta@krishibank.org.bd</t>
  </si>
  <si>
    <t>035720139</t>
  </si>
  <si>
    <t>CHALLISHA BAZAR BRANCH</t>
  </si>
  <si>
    <t>CHALLISHA_BAZAR_BRANCH</t>
  </si>
  <si>
    <t>4902 / 013</t>
  </si>
  <si>
    <t>CHALLISHA BAZAR, KAILATI, NETROKONA 2460</t>
  </si>
  <si>
    <t>017 30708759</t>
  </si>
  <si>
    <t>mgrchallishabazar@krishibank.org.bd</t>
  </si>
  <si>
    <t>035720168</t>
  </si>
  <si>
    <t>DUOZ BRANCH</t>
  </si>
  <si>
    <t>DUOZ_BRANCH</t>
  </si>
  <si>
    <t>4920 / 016</t>
  </si>
  <si>
    <t>DUOZ, TELIGATI, ATPARA, NETROKONA 2470</t>
  </si>
  <si>
    <t>017 30708760</t>
  </si>
  <si>
    <t>mgrduoz@krishibank.org.bd</t>
  </si>
  <si>
    <t>035720197</t>
  </si>
  <si>
    <t>4903 / 019</t>
  </si>
  <si>
    <t>DURGAPUR, NETROKONA</t>
  </si>
  <si>
    <t>mgrdurgapur@krishibank.org.bd</t>
  </si>
  <si>
    <t>035720250</t>
  </si>
  <si>
    <t>HIRONPUR BAZAR BRANCH</t>
  </si>
  <si>
    <t>HIRONPUR_BAZAR_BRANCH</t>
  </si>
  <si>
    <t>4906 / 025</t>
  </si>
  <si>
    <t>HIRONPUR BAZAR, PURBADHALA, NETROKONA 2410</t>
  </si>
  <si>
    <t>017 30708762</t>
  </si>
  <si>
    <t>mgrhironpurbazar@krishibank.org.bd</t>
  </si>
  <si>
    <t>035720313</t>
  </si>
  <si>
    <t>4922 / 031</t>
  </si>
  <si>
    <t>JATRABARI, PURBADHALA, NETROKONA 2412</t>
  </si>
  <si>
    <t>017 30708763</t>
  </si>
  <si>
    <t>mgrjatrabaribazar@krishibank.org.bd</t>
  </si>
  <si>
    <t>035720405</t>
  </si>
  <si>
    <t>KADAMSREE BRANCH</t>
  </si>
  <si>
    <t>KADAMSREE_BRANCH</t>
  </si>
  <si>
    <t>4921 / 040</t>
  </si>
  <si>
    <t>KADAMSREE, MADAN, NETROKONA 2490</t>
  </si>
  <si>
    <t>017 30708764</t>
  </si>
  <si>
    <t>mgrkadamsree@krishibank.org.bd</t>
  </si>
  <si>
    <t>035720434</t>
  </si>
  <si>
    <t>KALMAKANDA BRANCH</t>
  </si>
  <si>
    <t>KALMAKANDA_BRANCH</t>
  </si>
  <si>
    <t>4910 / 043</t>
  </si>
  <si>
    <t>KALMAKANDA, NETROKONA</t>
  </si>
  <si>
    <t>mgrkalmakanda@krishibank.org.bd</t>
  </si>
  <si>
    <t>035720463</t>
  </si>
  <si>
    <t>4907 / 046</t>
  </si>
  <si>
    <t>KENDUA, NETROKONA 2480</t>
  </si>
  <si>
    <t>mgrkendua@krishibank.org.bd</t>
  </si>
  <si>
    <t>035720492</t>
  </si>
  <si>
    <t>KHALIAJURI BRANCH</t>
  </si>
  <si>
    <t>KHALIAJURI_BRANCH</t>
  </si>
  <si>
    <t>4912 / 049</t>
  </si>
  <si>
    <t>KHALIAJURI, NETROKONA 2460</t>
  </si>
  <si>
    <t>mgrkhaliajuri@krishibank.org.bd</t>
  </si>
  <si>
    <t>035720526</t>
  </si>
  <si>
    <t>KHALISHAUR BRANCH</t>
  </si>
  <si>
    <t>KHALISHAUR_BRANCH</t>
  </si>
  <si>
    <t>4917 / 052</t>
  </si>
  <si>
    <t>KHALISHAUR, PURBADHALA, NETROKONA 2410</t>
  </si>
  <si>
    <t>017 30708769</t>
  </si>
  <si>
    <t>mgrkhalishaur@krishibank.org.bd</t>
  </si>
  <si>
    <t>035720555</t>
  </si>
  <si>
    <t>KURPAR BRANCH</t>
  </si>
  <si>
    <t>KURPAR_BRANCH</t>
  </si>
  <si>
    <t>4918 / 055</t>
  </si>
  <si>
    <t>KURPAR, KAILATI, NETROKONA 2460</t>
  </si>
  <si>
    <t>017 30708765</t>
  </si>
  <si>
    <t>mgrkurpar@krishibank.org.bd</t>
  </si>
  <si>
    <t>035720618</t>
  </si>
  <si>
    <t>MADAN BRANCH</t>
  </si>
  <si>
    <t>MADAN_BRANCH</t>
  </si>
  <si>
    <t>4913 / 061</t>
  </si>
  <si>
    <t>MADAN, NETROKONA</t>
  </si>
  <si>
    <t>mgrmadan@krishibank.org.bd</t>
  </si>
  <si>
    <t>035720676</t>
  </si>
  <si>
    <t>4911 / 067</t>
  </si>
  <si>
    <t>MOHANGANJ BAZAR, NETROKONA 2446</t>
  </si>
  <si>
    <t>mgrmohangonj@krishibank.org.bd</t>
  </si>
  <si>
    <t>035720700</t>
  </si>
  <si>
    <t>4915 / 070</t>
  </si>
  <si>
    <t>NAZIRPUR, KALAMAKANDA, NETROKONA 2431</t>
  </si>
  <si>
    <t>017 30708772</t>
  </si>
  <si>
    <t>mgrnazirpur@krishibank.org.bd</t>
  </si>
  <si>
    <t>035720739</t>
  </si>
  <si>
    <t>4901 / 073</t>
  </si>
  <si>
    <t>FISH MARKET, NETROKONA</t>
  </si>
  <si>
    <t>mgrnetrokona@krishibank.org.bd</t>
  </si>
  <si>
    <t>035720797</t>
  </si>
  <si>
    <t>4904 / 079</t>
  </si>
  <si>
    <t>PURBADHALA BAZAR, NETROKONA 2410</t>
  </si>
  <si>
    <t>mgrpurbadhala@krishibank.org.bd</t>
  </si>
  <si>
    <t>035720913</t>
  </si>
  <si>
    <t>SHAHITPUR BAZAR BRANCH</t>
  </si>
  <si>
    <t>SHAHITPUR_BAZAR_BRANCH</t>
  </si>
  <si>
    <t>4923 / 091</t>
  </si>
  <si>
    <t>SHAHITPUR, KENDUA, NETROKONA 2480</t>
  </si>
  <si>
    <t>017 30708775</t>
  </si>
  <si>
    <t>mgrshahitpurbazar@krishibank.org.bd</t>
  </si>
  <si>
    <t>035720942</t>
  </si>
  <si>
    <t>SHYAMGANJ BRANCH</t>
  </si>
  <si>
    <t>SHYAMGANJ_BRANCH</t>
  </si>
  <si>
    <t>4905 / 094</t>
  </si>
  <si>
    <t>SHYAMGANJ, NETROKONA, NETROKONA</t>
  </si>
  <si>
    <t>mgrshyamgonj@krishibank.org.bd</t>
  </si>
  <si>
    <t>035720971</t>
  </si>
  <si>
    <t>TATIRKONA BRANCH</t>
  </si>
  <si>
    <t>TATIRKONA_BRANCH</t>
  </si>
  <si>
    <t>4919 / 097</t>
  </si>
  <si>
    <t>TATIRKONA, JAJIRA, DURGAPUR, NETROKONA 2420</t>
  </si>
  <si>
    <t>017 30708777</t>
  </si>
  <si>
    <t>mgrtatirkona@krishibank.org.bd</t>
  </si>
  <si>
    <t>035750088</t>
  </si>
  <si>
    <t>ABIRPARA BRANCH</t>
  </si>
  <si>
    <t>ABIRPARA_BRANCH</t>
  </si>
  <si>
    <t>2621 / 2621</t>
  </si>
  <si>
    <t>ABIRPARA, AMISHAPARA, SONAIMURI, NOAKHALI</t>
  </si>
  <si>
    <t>mgrabirpara@krishibank.org.bd</t>
  </si>
  <si>
    <t>035750259</t>
  </si>
  <si>
    <t>2607 / 025</t>
  </si>
  <si>
    <t>CHARKAKRA, BASURHAT, COMPANIGANJ, NOAKHALI</t>
  </si>
  <si>
    <t>mgrbashurhat@krishibank.org.bd</t>
  </si>
  <si>
    <t>035750288</t>
  </si>
  <si>
    <t>BOTTOLY BAZAR BRANCH</t>
  </si>
  <si>
    <t>BOTTOLY_BAZAR_BRANCH</t>
  </si>
  <si>
    <t>2614 / 028</t>
  </si>
  <si>
    <t>NATASOR,  SONIMURI, NOAKHALI</t>
  </si>
  <si>
    <t>mgrbottoly@krishibank.org.bd</t>
  </si>
  <si>
    <t>035750462</t>
  </si>
  <si>
    <t>CHAR FAKIRA BRANCH</t>
  </si>
  <si>
    <t>CHAR_FAKIRA_BRANCH</t>
  </si>
  <si>
    <t>2620 / 046</t>
  </si>
  <si>
    <t>CHAR FAKIRA, COMPANIGANJ, NOAKHALI 3850</t>
  </si>
  <si>
    <t>017 30708780</t>
  </si>
  <si>
    <t>mgrcharfakira@krishibank.org.bd</t>
  </si>
  <si>
    <t>035750525</t>
  </si>
  <si>
    <t>CHAR ISHWAR BRANCH</t>
  </si>
  <si>
    <t>CHAR_ISHWAR_BRANCH</t>
  </si>
  <si>
    <t>2616 / 052</t>
  </si>
  <si>
    <t>CHAR ISHWAR, OACHKHALI, HATIYA, NOAKHALI 3893</t>
  </si>
  <si>
    <t>017 30708781</t>
  </si>
  <si>
    <t>mgrcharishwar@krishibank.org.bd</t>
  </si>
  <si>
    <t>035750583</t>
  </si>
  <si>
    <t>2609 / 058</t>
  </si>
  <si>
    <t>DHAMALIA, CHATKHIL, NOAKHALI 3870</t>
  </si>
  <si>
    <t>mgrchatkill@krishibank.org.bd</t>
  </si>
  <si>
    <t>035750675</t>
  </si>
  <si>
    <t>2604 / 067</t>
  </si>
  <si>
    <t>GONIPUR, CHOWMUHANI, BEGUMGANJ, NOAKHALI</t>
  </si>
  <si>
    <t>mgrchowmuhani@krishibank.org.bd</t>
  </si>
  <si>
    <t>035750888</t>
  </si>
  <si>
    <t>DEOTI BAZAR BRANCH</t>
  </si>
  <si>
    <t>DEOTI_BAZAR_BRANCH</t>
  </si>
  <si>
    <t>2605 / 088</t>
  </si>
  <si>
    <t>DEOTI, SONAIMURI, NOAKHALI</t>
  </si>
  <si>
    <t>mgrdeoti@krishibank.org.bd</t>
  </si>
  <si>
    <t>035751090</t>
  </si>
  <si>
    <t>HAJARI HAT BRANCH</t>
  </si>
  <si>
    <t>HAJARI_HAT_BRANCH</t>
  </si>
  <si>
    <t>2619 / 109</t>
  </si>
  <si>
    <t>CHARHAZARI, COMPANIGANJ, NOAKHALI</t>
  </si>
  <si>
    <t>mgrhazarihat@krishibank.org.bd</t>
  </si>
  <si>
    <t>035751124</t>
  </si>
  <si>
    <t>JAHAJMARA BRANCH</t>
  </si>
  <si>
    <t>JAHAJMARA_BRANCH</t>
  </si>
  <si>
    <t>2611 / 112</t>
  </si>
  <si>
    <t>JAHAJMARA, HATIYA, NOAKHALI</t>
  </si>
  <si>
    <t>mgrjahajmara@krishibank.org.bd</t>
  </si>
  <si>
    <t>035751216</t>
  </si>
  <si>
    <t>KABIRHAT BRANCH</t>
  </si>
  <si>
    <t>KABIRHAT_BRANCH</t>
  </si>
  <si>
    <t>2623 / 2623</t>
  </si>
  <si>
    <t>PURBA FATEHPUR, KABIRHAT, NOAKHALI</t>
  </si>
  <si>
    <t>mgrkabirhat@krishibank.org.bd</t>
  </si>
  <si>
    <t>035751245</t>
  </si>
  <si>
    <t>KADIRPUR BRANCH</t>
  </si>
  <si>
    <t>KADIRPUR_BRANCH</t>
  </si>
  <si>
    <t>2606 / 124</t>
  </si>
  <si>
    <t>EARPUR, KADIRPUR, BEGUMGANJ, NOAKHALI 3831</t>
  </si>
  <si>
    <t>017 30708787</t>
  </si>
  <si>
    <t>mgrkadirpur@krishibank.org.bd</t>
  </si>
  <si>
    <t>035750091</t>
  </si>
  <si>
    <t>KARMULLAH BAZAR BRANCH</t>
  </si>
  <si>
    <t>KARMULLAH_BAZAR_BRANCH</t>
  </si>
  <si>
    <t>2622 / 2622</t>
  </si>
  <si>
    <t>KARMULLAH, EWAZBALIA, NOAKHALI SADAR, NOAKHALI</t>
  </si>
  <si>
    <t>mgrkoromullah@krishibank.org.bd</t>
  </si>
  <si>
    <t>035752028</t>
  </si>
  <si>
    <t>2602 / 202</t>
  </si>
  <si>
    <t>KHASHERHAT, SAMIRHAT, CHARBATA, SUBARNACHAR, NOAKHALI 3813</t>
  </si>
  <si>
    <t>017 30708794</t>
  </si>
  <si>
    <t>035751511</t>
  </si>
  <si>
    <t>KUTUBER HAT BRANCH</t>
  </si>
  <si>
    <t>KUTUBER_HAT_BRANCH</t>
  </si>
  <si>
    <t>2613 / 151</t>
  </si>
  <si>
    <t>KUTUBER HAT, DEBISINGPUR , SENBAGH, NOAKHALI 3861</t>
  </si>
  <si>
    <t>017 30708788</t>
  </si>
  <si>
    <t>mgrkutuberhat@krishibank.org.bd</t>
  </si>
  <si>
    <t>035751579</t>
  </si>
  <si>
    <t>2601 / 157</t>
  </si>
  <si>
    <t>HOLDING NO 807C, MAIN ROAD, MAIJDEE, NOAKHALI</t>
  </si>
  <si>
    <t>mgrnoakhali@krishibank.org.bd</t>
  </si>
  <si>
    <t>035751603</t>
  </si>
  <si>
    <t>MEARHAT BRANCH</t>
  </si>
  <si>
    <t>MEARHAT_BRANCH</t>
  </si>
  <si>
    <t>2617 / 160</t>
  </si>
  <si>
    <t>SEBARHAT, SENBAGH, NOAKHALI 3860</t>
  </si>
  <si>
    <t>017 30708790</t>
  </si>
  <si>
    <t>mgrmearhat@krishibank.org.bd</t>
  </si>
  <si>
    <t>035751690</t>
  </si>
  <si>
    <t>NEAZPUR BRANCH</t>
  </si>
  <si>
    <t>NEAZPUR_BRANCH</t>
  </si>
  <si>
    <t>2603 / 169</t>
  </si>
  <si>
    <t>NEAZPUR, DANAMEARHAT, SUDHARAM, NOAKHALI 3805</t>
  </si>
  <si>
    <t>017 30708791</t>
  </si>
  <si>
    <t>mgrneazpur@krishibank.org.bd</t>
  </si>
  <si>
    <t>035751937</t>
  </si>
  <si>
    <t>RAMNARAYANPUR BRANCH</t>
  </si>
  <si>
    <t>RAMNARAYANPUR_BRANCH</t>
  </si>
  <si>
    <t>2618 / 193</t>
  </si>
  <si>
    <t>RAMNARAYANPUR, MOLLIKA DIGHIRPAR, CHATKHIL, NOAKHALI 3874</t>
  </si>
  <si>
    <t>017 30708792</t>
  </si>
  <si>
    <t>mgrramnarayanpur@krishibank.org.bd</t>
  </si>
  <si>
    <t>035752149</t>
  </si>
  <si>
    <t>SAHEBALIR BAZAR BRANCH</t>
  </si>
  <si>
    <t>SAHEBALIR_BAZAR_BRANCH</t>
  </si>
  <si>
    <t>2612 / 214</t>
  </si>
  <si>
    <t>SAHEBALIR BAZAR, DHANUMEARHAT, HATIYA, NOAKHALI 3891</t>
  </si>
  <si>
    <t>017 30708793</t>
  </si>
  <si>
    <t>mgrsahabanir@krishibank.org.bd</t>
  </si>
  <si>
    <t>035752086</t>
  </si>
  <si>
    <t>SENBAGH BRANCH</t>
  </si>
  <si>
    <t>SENBAGH_BRANCH</t>
  </si>
  <si>
    <t>2608 / 208</t>
  </si>
  <si>
    <t>HOLDING NO 18-19, SONAIMURI ROAD, SENBAGH, NOAKHALI</t>
  </si>
  <si>
    <t>mgrsenbegh@krishibank.org.bd</t>
  </si>
  <si>
    <t>035752260</t>
  </si>
  <si>
    <t>SONAPUR BRANCH</t>
  </si>
  <si>
    <t>SONAPUR_BRANCH</t>
  </si>
  <si>
    <t>2615 / 226</t>
  </si>
  <si>
    <t>SONAPUR, NOAKHALI SADAR, NOAKHALI</t>
  </si>
  <si>
    <t>mgrsonapur@krishibank.org.bd</t>
  </si>
  <si>
    <t>035750125</t>
  </si>
  <si>
    <t>YEASIN HAZIRHAT BRANCH</t>
  </si>
  <si>
    <t>YEASIN_HAZIRHAT_BRANCH</t>
  </si>
  <si>
    <t>2624 / 2624</t>
  </si>
  <si>
    <t>YASIN HAZIRHAT, CHATKILL, NOAKHALI</t>
  </si>
  <si>
    <t>mgreasinhazirhat@krishibank.org.bd</t>
  </si>
  <si>
    <t>035780061</t>
  </si>
  <si>
    <t>AMKHOLA BRANCH</t>
  </si>
  <si>
    <t>AMKHOLA_BRANCH</t>
  </si>
  <si>
    <t>0724 / 0724</t>
  </si>
  <si>
    <t>AMKHOLA, GALACHIPA, PATUAKHALI 8640</t>
  </si>
  <si>
    <t>mgramkhola@krishibank.org.bd</t>
  </si>
  <si>
    <t>035780045</t>
  </si>
  <si>
    <t>AWLIAPUR BRANCH</t>
  </si>
  <si>
    <t>AWLIAPUR_BRANCH</t>
  </si>
  <si>
    <t>0710 / 004</t>
  </si>
  <si>
    <t>AWLIAPUR, RONOGOPALDI, DASHMINA, PATUAKHALI 8630</t>
  </si>
  <si>
    <t>017 30708797</t>
  </si>
  <si>
    <t>mgrawliapur@krishibank.org.bd</t>
  </si>
  <si>
    <t>035780137</t>
  </si>
  <si>
    <t>BAHERCHAR BANDAR BRANCH</t>
  </si>
  <si>
    <t>BAHERCHAR_BANDAR_BRANCH</t>
  </si>
  <si>
    <t>0708 / 013</t>
  </si>
  <si>
    <t>BAHERCHAR BANDAR, GALACHIPA, PATUAKHALI 8640</t>
  </si>
  <si>
    <t>017 30708798</t>
  </si>
  <si>
    <t>mgrbahercharbandar@krishibank.org.bd</t>
  </si>
  <si>
    <t>035780195</t>
  </si>
  <si>
    <t>0705 / 019</t>
  </si>
  <si>
    <t>BAUPHAL, PATUAKHALI</t>
  </si>
  <si>
    <t>mgrbauphal@krishibank.org.bd</t>
  </si>
  <si>
    <t>035780229</t>
  </si>
  <si>
    <t>CHANDPURA BANDAR BRANCH</t>
  </si>
  <si>
    <t>CHANDPURA_BANDAR_BRANCH</t>
  </si>
  <si>
    <t>0720 / 022</t>
  </si>
  <si>
    <t>CHANDPURA BANDAR, DASHMINA, PATUAKHALI 8630</t>
  </si>
  <si>
    <t>017 30708800</t>
  </si>
  <si>
    <t>mgrchandpurabandar@krishibank.org.bd</t>
  </si>
  <si>
    <t>035780258</t>
  </si>
  <si>
    <t>CHAR KAJAL BRANCH</t>
  </si>
  <si>
    <t>CHAR_KAJAL_BRANCH</t>
  </si>
  <si>
    <t>0704 / 025</t>
  </si>
  <si>
    <t>CHAR KAJAL, GALACHIPA, PATUAKHALI 8640</t>
  </si>
  <si>
    <t>017 30708801</t>
  </si>
  <si>
    <t>mgrcharkajal@krishibank.org.bd</t>
  </si>
  <si>
    <t>035780287</t>
  </si>
  <si>
    <t>CHIKNIKANDI BAZAR BRANCH</t>
  </si>
  <si>
    <t>CHIKNIKANDI_BAZAR_BRANCH</t>
  </si>
  <si>
    <t>0716 / 028</t>
  </si>
  <si>
    <t>CHIKNIKANDI BAZAR, SUTABARIA, GALACHIPA, PATUAKHALI 8640</t>
  </si>
  <si>
    <t>017 30708802</t>
  </si>
  <si>
    <t>mgrchiknikandi@krishibank.org.bd</t>
  </si>
  <si>
    <t>035780311</t>
  </si>
  <si>
    <t>CHOTOBIGHAI BAZAR BRANCH</t>
  </si>
  <si>
    <t>CHOTOBIGHAI_BAZAR_BRANCH</t>
  </si>
  <si>
    <t>0718 / 031</t>
  </si>
  <si>
    <t>CHOTOBIGHAI BAZAR, PATUAKHALI SADAR, PATUAKHALI</t>
  </si>
  <si>
    <t>mgrchotobighai@krishibank.org.bd</t>
  </si>
  <si>
    <t>035780340</t>
  </si>
  <si>
    <t>DASHMINA BRANCH</t>
  </si>
  <si>
    <t>DASHMINA_BRANCH</t>
  </si>
  <si>
    <t>0709 / 034</t>
  </si>
  <si>
    <t>DASHMINA, PATUAKHALI</t>
  </si>
  <si>
    <t>mgrdashmina@krishibank.org.bd</t>
  </si>
  <si>
    <t>035780432</t>
  </si>
  <si>
    <t>DUMKI BRANCH</t>
  </si>
  <si>
    <t>DUMKI_BRANCH</t>
  </si>
  <si>
    <t>0715 / 043</t>
  </si>
  <si>
    <t>DUMKI, PATUAKHALI</t>
  </si>
  <si>
    <t>mgrdumki@krishibank.org.bd</t>
  </si>
  <si>
    <t>035780461</t>
  </si>
  <si>
    <t>GABUA BAZAR BRANCH</t>
  </si>
  <si>
    <t>GABUA_BAZAR_BRANCH</t>
  </si>
  <si>
    <t>0719 / 046</t>
  </si>
  <si>
    <t>GABUA, MIRZAGANJ, PATUAKHALI 8600</t>
  </si>
  <si>
    <t>017 30708806</t>
  </si>
  <si>
    <t>mgrgabuabazar@krishibank.org.bd</t>
  </si>
  <si>
    <t>035780490</t>
  </si>
  <si>
    <t>0707 / 049</t>
  </si>
  <si>
    <t>GALACHIPA, PATUAKHALI</t>
  </si>
  <si>
    <t>mgrgalachipa@krishibank.org.bd</t>
  </si>
  <si>
    <t>035780582</t>
  </si>
  <si>
    <t>KALAIA BANDAR BRANCH</t>
  </si>
  <si>
    <t>KALAIA_BANDAR_BRANCH</t>
  </si>
  <si>
    <t>0726 / 0726</t>
  </si>
  <si>
    <t>KALAIA BANDAR, BAUPHAL, PATUAKHALI</t>
  </si>
  <si>
    <t>mgrkalaiabandar@krishibank.org.bd</t>
  </si>
  <si>
    <t>035780524</t>
  </si>
  <si>
    <t>KALAPARA BRANCH</t>
  </si>
  <si>
    <t>KALAPARA_BRANCH</t>
  </si>
  <si>
    <t>0712 / 052</t>
  </si>
  <si>
    <t>KALAPARA, PATUAKHALI</t>
  </si>
  <si>
    <t>mgrkalapara@krishibank.org.bd</t>
  </si>
  <si>
    <t>035780674</t>
  </si>
  <si>
    <t>KARKHANA BRANCH</t>
  </si>
  <si>
    <t>KARKHANA_BRANCH</t>
  </si>
  <si>
    <t>0721 / 067</t>
  </si>
  <si>
    <t>KARKHANA, BAUPHAL, PATUAKHALI</t>
  </si>
  <si>
    <t>mgrkarkhana@krishibank.org.bd</t>
  </si>
  <si>
    <t>035780708</t>
  </si>
  <si>
    <t>0714 / 070</t>
  </si>
  <si>
    <t>KESHABPUR, BAUPHAL, PATUAKHALI</t>
  </si>
  <si>
    <t>035780795</t>
  </si>
  <si>
    <t>0723 / 079</t>
  </si>
  <si>
    <t>KUAKATA, KALAPARA, PATUAKHALI</t>
  </si>
  <si>
    <t>mgrkuakata@krishibank.org.bd</t>
  </si>
  <si>
    <t>035780087</t>
  </si>
  <si>
    <t>LAMNA BARABAZAR BRANCH</t>
  </si>
  <si>
    <t>LAMNA_BARABAZAR_BRANCH</t>
  </si>
  <si>
    <t>0725 / 0725</t>
  </si>
  <si>
    <t>mgrlamnaborobazar @krishibank.org.bd</t>
  </si>
  <si>
    <t>035780858</t>
  </si>
  <si>
    <t>MOHIPUR BRANCH</t>
  </si>
  <si>
    <t>MOHIPUR_BRANCH</t>
  </si>
  <si>
    <t>0713 / 085</t>
  </si>
  <si>
    <t>MOHIPUR, KALAPARA, PATUAKHALI 8710</t>
  </si>
  <si>
    <t>017 30708812</t>
  </si>
  <si>
    <t>mgrmahipur @krishibank.org.bd</t>
  </si>
  <si>
    <t>035780911</t>
  </si>
  <si>
    <t>MURADIA BRANCH</t>
  </si>
  <si>
    <t>MURADIA_BRANCH</t>
  </si>
  <si>
    <t>0702 / 091</t>
  </si>
  <si>
    <t>MURADIA, DUMKI, PATUAKHALI 8602</t>
  </si>
  <si>
    <t>017 30708813</t>
  </si>
  <si>
    <t>mgrmuradia@krishibank.org.bd</t>
  </si>
  <si>
    <t>035780940</t>
  </si>
  <si>
    <t>NAGARER HAT BRANCH</t>
  </si>
  <si>
    <t>NAGARER_HAT_BRANCH</t>
  </si>
  <si>
    <t>0706 / 094</t>
  </si>
  <si>
    <t>NAGARERHAT, BAUPHAL, PATUAKHALI 8620</t>
  </si>
  <si>
    <t>017 30708814</t>
  </si>
  <si>
    <t>mgrnagarerhat@krishibank.org.bd</t>
  </si>
  <si>
    <t>035781060</t>
  </si>
  <si>
    <t>PANPATTY BRANCH</t>
  </si>
  <si>
    <t>PANPATTY_BRANCH</t>
  </si>
  <si>
    <t>0717 / 106</t>
  </si>
  <si>
    <t>PAN PATTY, GALACHIPA, PATUAKHALI</t>
  </si>
  <si>
    <t>mgrpanpatti@krishibank.org.bd</t>
  </si>
  <si>
    <t>035781099</t>
  </si>
  <si>
    <t>PATUAKHALI BRANCH</t>
  </si>
  <si>
    <t>PATUAKHALI_BRANCH</t>
  </si>
  <si>
    <t>0701 / 109</t>
  </si>
  <si>
    <t>PATUAKHALI SADAR, PATUAKHALI</t>
  </si>
  <si>
    <t>mgrpatuakhali@krishibank.org.bd</t>
  </si>
  <si>
    <t>035781215</t>
  </si>
  <si>
    <t>PUKURJANA BAZAR BRANCH</t>
  </si>
  <si>
    <t>PUKURJANA_BAZAR_BRANCH</t>
  </si>
  <si>
    <t>0722 / 121</t>
  </si>
  <si>
    <t>PUKURJANA BAZAR, PATUAKHALI SADAR, PATUAKHALI 8600</t>
  </si>
  <si>
    <t>017 30708817</t>
  </si>
  <si>
    <t>mgrpukurjanabazar@krishibank.org.bd</t>
  </si>
  <si>
    <t>035781273</t>
  </si>
  <si>
    <t>SUBIDKHALI BRANCH</t>
  </si>
  <si>
    <t>SUBIDKHALI_BRANCH</t>
  </si>
  <si>
    <t>0711 / 127</t>
  </si>
  <si>
    <t>SUBIDKHALI, MIRZAGANJ, PATUAKHALI</t>
  </si>
  <si>
    <t>mgrsubidkhali@krishibank.org.bd</t>
  </si>
  <si>
    <t>035790048</t>
  </si>
  <si>
    <t>BAITAKATA BRANCH</t>
  </si>
  <si>
    <t>BAITAKATA_BRANCH</t>
  </si>
  <si>
    <t>0506 / 004</t>
  </si>
  <si>
    <t>BAITAKATA, NAZIRPUR, PIROJPUR 8540</t>
  </si>
  <si>
    <t>017 30708819</t>
  </si>
  <si>
    <t>mgrbaitakata@krishibank.org.bd</t>
  </si>
  <si>
    <t>035790077</t>
  </si>
  <si>
    <t>BALDIA BRANCH</t>
  </si>
  <si>
    <t>BALDIA_BRANCH</t>
  </si>
  <si>
    <t>0510 / 007</t>
  </si>
  <si>
    <t>BALDIA, NESARABAD, PIROJPUR</t>
  </si>
  <si>
    <t>mgrbaldia@krishibank.org.bd</t>
  </si>
  <si>
    <t>035790101</t>
  </si>
  <si>
    <t>BARA MACHUA BRANCH</t>
  </si>
  <si>
    <t>BARA_MACHUA_BRANCH</t>
  </si>
  <si>
    <t>0526 / 010</t>
  </si>
  <si>
    <t>BARA MACHUA, MATHBARIA, PIROJPUR</t>
  </si>
  <si>
    <t>mgrbaramasua@krishibank.org.bd</t>
  </si>
  <si>
    <t>035790130</t>
  </si>
  <si>
    <t>0511 / 013</t>
  </si>
  <si>
    <t>BHANDARIA, PIROJPUR</t>
  </si>
  <si>
    <t>mgrbhandaria@krishibank.org.bd</t>
  </si>
  <si>
    <t>035790169</t>
  </si>
  <si>
    <t>CHANDIPUR BRANCH</t>
  </si>
  <si>
    <t>CHANDIPUR_BRANCH</t>
  </si>
  <si>
    <t>0508 / 016</t>
  </si>
  <si>
    <t>CHANDIPUR, ZIANAGAR, PIROJPUR 8502</t>
  </si>
  <si>
    <t>017 30708823</t>
  </si>
  <si>
    <t>mgrchandipur@krishibank.org.bd</t>
  </si>
  <si>
    <t>035790198</t>
  </si>
  <si>
    <t>CHILTALA BAZAR BRANCH</t>
  </si>
  <si>
    <t>CHILTALA_BAZAR_BRANCH</t>
  </si>
  <si>
    <t>0521 / 019</t>
  </si>
  <si>
    <t>CHILTALA BAZAR, SWARUPKATHI, PIROJPUR 8520</t>
  </si>
  <si>
    <t>017 30708824</t>
  </si>
  <si>
    <t>mgrchiltalabazar@krishibank.org.bd</t>
  </si>
  <si>
    <t>035790222</t>
  </si>
  <si>
    <t>DHANISHAFA BRANCH</t>
  </si>
  <si>
    <t>DHANISHAFA_BRANCH</t>
  </si>
  <si>
    <t>0514 / 022</t>
  </si>
  <si>
    <t>DHANISHAFA, MATHBARIA, PIROJPUR 8561</t>
  </si>
  <si>
    <t>017 30708825</t>
  </si>
  <si>
    <t>mgrdhanishafa@krishibank.org.bd</t>
  </si>
  <si>
    <t>035790251</t>
  </si>
  <si>
    <t>0522 / 025</t>
  </si>
  <si>
    <t>DURGAPUR, PIROJPUR SADAR, PIROJPUR</t>
  </si>
  <si>
    <t>035790280</t>
  </si>
  <si>
    <t>EKRI BAZAR BRANCH</t>
  </si>
  <si>
    <t>EKRI_BAZAR_BRANCH</t>
  </si>
  <si>
    <t>0520 / 028</t>
  </si>
  <si>
    <t>EKRI BAZAR, BHANDARIA, PIROJPUR</t>
  </si>
  <si>
    <t>mgrikribazar@krishibank.org.bd</t>
  </si>
  <si>
    <t>035790314</t>
  </si>
  <si>
    <t>GULISHAKHALI BRANCH</t>
  </si>
  <si>
    <t>GULISHAKHALI_BRANCH</t>
  </si>
  <si>
    <t>0515 / 031</t>
  </si>
  <si>
    <t>GULISHAKHALI, MATHBARIA, PIROJPUR</t>
  </si>
  <si>
    <t>mgrgulishakhali@krishibank.org.bd</t>
  </si>
  <si>
    <t>035790406</t>
  </si>
  <si>
    <t>KALAKHALI BRANCH</t>
  </si>
  <si>
    <t>KALAKHALI_BRANCH</t>
  </si>
  <si>
    <t>0524 / 040</t>
  </si>
  <si>
    <t>KALAKHALI, PIROJPUR SADAR, PIROJPUR 	8500</t>
  </si>
  <si>
    <t>017 30708829</t>
  </si>
  <si>
    <t>mgrkalakhali@krishibank.org.bd</t>
  </si>
  <si>
    <t>035790435</t>
  </si>
  <si>
    <t>0504 / 043</t>
  </si>
  <si>
    <t>KAUKHALI, PIROJPUR</t>
  </si>
  <si>
    <t>mgrkaukhali@krishibank.org.bd</t>
  </si>
  <si>
    <t>035790464</t>
  </si>
  <si>
    <t>KAWRIKHARA BRANCH</t>
  </si>
  <si>
    <t>KAWRIKHARA_BRANCH</t>
  </si>
  <si>
    <t>0509 / 046</t>
  </si>
  <si>
    <t>KAWRIKHARA, SWARUPKATHI, PIROJPUR</t>
  </si>
  <si>
    <t>mgrkourikhara@krishibank.org.bd</t>
  </si>
  <si>
    <t>035790493</t>
  </si>
  <si>
    <t>KURIANA BRANCH</t>
  </si>
  <si>
    <t>KURIANA_BRANCH</t>
  </si>
  <si>
    <t>0523 / 049</t>
  </si>
  <si>
    <t>KURIANA, SWARUPKATHI, PIROJPUR</t>
  </si>
  <si>
    <t>mgrkuriana@krishibank.org.bd</t>
  </si>
  <si>
    <t>035790527</t>
  </si>
  <si>
    <t>0513 / 052</t>
  </si>
  <si>
    <t>MATHBARIA, PIROJPUR</t>
  </si>
  <si>
    <t>mgrmathbaria@krishibank.org.bd</t>
  </si>
  <si>
    <t>035790556</t>
  </si>
  <si>
    <t>MATIBHANGA BRANCH</t>
  </si>
  <si>
    <t>MATIBHANGA_BRANCH</t>
  </si>
  <si>
    <t>0519 / 055</t>
  </si>
  <si>
    <t>MATIBHANGA, NAZIRPUR, PIROJPUR 8540</t>
  </si>
  <si>
    <t>017 30708834</t>
  </si>
  <si>
    <t>mgrmatibhanga@krishibank.org.bd</t>
  </si>
  <si>
    <t>035790677</t>
  </si>
  <si>
    <t>MULGRAMHAT BRANCH</t>
  </si>
  <si>
    <t>MULGRAMHAT_BRANCH</t>
  </si>
  <si>
    <t>0502 / 067</t>
  </si>
  <si>
    <t>MULGRAMHAT, PIROJPUR SADAR, PIROJPUR</t>
  </si>
  <si>
    <t>mgrmulgramhat@krishibank.org.bd</t>
  </si>
  <si>
    <t>035790701</t>
  </si>
  <si>
    <t>0505 / 070</t>
  </si>
  <si>
    <t>NAZIRPUR, PIROJPUR</t>
  </si>
  <si>
    <t>mgrnazirpurbazar@krishibank.org.bd</t>
  </si>
  <si>
    <t>035790769</t>
  </si>
  <si>
    <t>PIROJPUR BRANCH</t>
  </si>
  <si>
    <t>PIROJPUR_BRANCH</t>
  </si>
  <si>
    <t>0501 / 076</t>
  </si>
  <si>
    <t>PIROJPUR SADAR, PIROJPUR</t>
  </si>
  <si>
    <t>mgrperojpur@krishibank.org.bd</t>
  </si>
  <si>
    <t>035790880</t>
  </si>
  <si>
    <t>SANKARPASHA BRANCH</t>
  </si>
  <si>
    <t>SANKARPASHA_BRANCH</t>
  </si>
  <si>
    <t>0525 / 088</t>
  </si>
  <si>
    <t>SANKARPASHA, PIROJPUR SADAR, PIROJPUR</t>
  </si>
  <si>
    <t>mgrshankarpasha@krishibank.org.bd</t>
  </si>
  <si>
    <t>035790914</t>
  </si>
  <si>
    <t>SHAPLEZA BAZAR BRANCH</t>
  </si>
  <si>
    <t>SHAPLEZA_BAZAR_BRANCH</t>
  </si>
  <si>
    <t>0517 / 091</t>
  </si>
  <si>
    <t>SHAPLEZA, MATHBARIA, PIROJPUR</t>
  </si>
  <si>
    <t>mgrshaplejabazar@krishibank.org.bd</t>
  </si>
  <si>
    <t>035790972</t>
  </si>
  <si>
    <t>SWARUPKATHI BRANCH</t>
  </si>
  <si>
    <t>SWARUPKATHI_BRANCH</t>
  </si>
  <si>
    <t>0518 / 097</t>
  </si>
  <si>
    <t>SWARUPKATHI, PIROJPUR</t>
  </si>
  <si>
    <t>mgrswarupkati@krishibank.org.bd</t>
  </si>
  <si>
    <t>035791005</t>
  </si>
  <si>
    <t>TELIKHALI BRANCH</t>
  </si>
  <si>
    <t>TELIKHALI_BRANCH</t>
  </si>
  <si>
    <t>0512 / 100</t>
  </si>
  <si>
    <t>TELIKHALI, BHANDARIA, PIROJPUR 8550</t>
  </si>
  <si>
    <t>017 30708841</t>
  </si>
  <si>
    <t>mgrtelikhali@krishibank.org.bd</t>
  </si>
  <si>
    <t>035791063</t>
  </si>
  <si>
    <t>0507 / 106</t>
  </si>
  <si>
    <t>INDURKANI, ZIANAGAR, PIROJPUR</t>
  </si>
  <si>
    <t>mgrzianagar@krishibank.org.bd</t>
  </si>
  <si>
    <t>035820071</t>
  </si>
  <si>
    <t>BAGDULIHAT BRANCH</t>
  </si>
  <si>
    <t>BAGDULIHAT_BRANCH</t>
  </si>
  <si>
    <t>1106 / 007</t>
  </si>
  <si>
    <t>BAGDULIHAT, MOURAT, PANGSHA, RAJBARI</t>
  </si>
  <si>
    <t>mgrbagdulihat@krishibank.org.bd</t>
  </si>
  <si>
    <t>035820105</t>
  </si>
  <si>
    <t>BAHADURPUR BAZAR BRANCH</t>
  </si>
  <si>
    <t>BAHADURPUR_BAZAR_BRANCH</t>
  </si>
  <si>
    <t>1111 / 010</t>
  </si>
  <si>
    <t>BAHADURPUR BAZAR, PANGSHA, RAJBARI 7720</t>
  </si>
  <si>
    <t>017 30708844</t>
  </si>
  <si>
    <t>mgrbahadurpurbazar@krishibank.org.bd</t>
  </si>
  <si>
    <t>035820163</t>
  </si>
  <si>
    <t>BALIAKANDI BRANCH</t>
  </si>
  <si>
    <t>BALIAKANDI_BRANCH</t>
  </si>
  <si>
    <t>1109 / 016</t>
  </si>
  <si>
    <t>BALIAKANDI, RAJBARI</t>
  </si>
  <si>
    <t>mgrbaliakandi@krishibank.org.bd</t>
  </si>
  <si>
    <t>035820284</t>
  </si>
  <si>
    <t>GOALANDA BRANCH</t>
  </si>
  <si>
    <t>GOALANDA_BRANCH</t>
  </si>
  <si>
    <t>1108 / 028</t>
  </si>
  <si>
    <t>GOALANDA, RAJBARI</t>
  </si>
  <si>
    <t>mgrgoalunda@krishibank.org.bd</t>
  </si>
  <si>
    <t>035820347</t>
  </si>
  <si>
    <t>HABASHPUR BAZAR BRANCH</t>
  </si>
  <si>
    <t>HABASHPUR_BAZAR_BRANCH</t>
  </si>
  <si>
    <t>1107 / 034</t>
  </si>
  <si>
    <t>HABASHPUR, PANGSHA, RAJBARI 7720</t>
  </si>
  <si>
    <t>017 30708847</t>
  </si>
  <si>
    <t>mgrhabashpurbazar@krishibank.org.bd</t>
  </si>
  <si>
    <t>035820497</t>
  </si>
  <si>
    <t>MRIGI BAZAR BRANCH</t>
  </si>
  <si>
    <t>MRIGI_BAZAR_BRANCH</t>
  </si>
  <si>
    <t>1105 / 049</t>
  </si>
  <si>
    <t>MRIGI BAZAR, PANGSHA, RAJBARI 7700</t>
  </si>
  <si>
    <t>017 30708848</t>
  </si>
  <si>
    <t>mgrmrigibazar@krishibank.org.bd</t>
  </si>
  <si>
    <t>035820521</t>
  </si>
  <si>
    <t>MULGHAR BRANCH</t>
  </si>
  <si>
    <t>MULGHAR_BRANCH</t>
  </si>
  <si>
    <t>1113 / 052</t>
  </si>
  <si>
    <t>MULGHAR, RAJBARI</t>
  </si>
  <si>
    <t>mgrmulghor@krishibank.org.bd</t>
  </si>
  <si>
    <t>035820613</t>
  </si>
  <si>
    <t>PANCHURIA BAZAR BRANCH</t>
  </si>
  <si>
    <t>PANCHURIA_BAZAR_BRANCH</t>
  </si>
  <si>
    <t>1102 / 061</t>
  </si>
  <si>
    <t>PANCHURIA, KHANKHANAPUR, RAJBARI 7711</t>
  </si>
  <si>
    <t>017 30708850</t>
  </si>
  <si>
    <t>mgrpanchuriabazar@krishibank.org.bd</t>
  </si>
  <si>
    <t>035820671</t>
  </si>
  <si>
    <t>1103 / 067</t>
  </si>
  <si>
    <t>PANGSHA, RAJBARI</t>
  </si>
  <si>
    <t>mgrpangsha@krishibank.org.bd,</t>
  </si>
  <si>
    <t>035820734</t>
  </si>
  <si>
    <t>1101 / 073</t>
  </si>
  <si>
    <t>STATION ROAD, RAJBARI</t>
  </si>
  <si>
    <t>mgrrajbari@krishibank.org.bd</t>
  </si>
  <si>
    <t>035820826</t>
  </si>
  <si>
    <t>RATANDIA BRANCH</t>
  </si>
  <si>
    <t>RATANDIA_BRANCH</t>
  </si>
  <si>
    <t>1104 / 082</t>
  </si>
  <si>
    <t>RATANDIA, KALUKHALI, RAJBARI</t>
  </si>
  <si>
    <t>mgrratandia@krishibank.org.bd</t>
  </si>
  <si>
    <t>035820855</t>
  </si>
  <si>
    <t>SONAPUR BAZAR BRANCH</t>
  </si>
  <si>
    <t>SONAPUR_BAZAR_BRANCH</t>
  </si>
  <si>
    <t>1110 / 085</t>
  </si>
  <si>
    <t>SONAPUR, BALIAKANDI, RAJBARI 7730</t>
  </si>
  <si>
    <t>017 30708854</t>
  </si>
  <si>
    <t>mgrsonapurbazar@krishibank.org.bd</t>
  </si>
  <si>
    <t>035820884</t>
  </si>
  <si>
    <t>1112 / 088</t>
  </si>
  <si>
    <t>SREEPUR, RAJBARI SADAR, RAJBARI 7700</t>
  </si>
  <si>
    <t>017 30708632</t>
  </si>
  <si>
    <t>mgrsreepurrajbari@krishibank.org.bd,</t>
  </si>
  <si>
    <t>035840048</t>
  </si>
  <si>
    <t>BAGAICHHARI BRANCH</t>
  </si>
  <si>
    <t>BAGAICHHARI_BRANCH</t>
  </si>
  <si>
    <t>3507 / 004</t>
  </si>
  <si>
    <t>MARISHYA, BAGAICHHARI, RANGAMATI</t>
  </si>
  <si>
    <t>mgrbaghaichari@krishibank.org.bd</t>
  </si>
  <si>
    <t>035840130</t>
  </si>
  <si>
    <t>BARKAL BRANCH</t>
  </si>
  <si>
    <t>BARKAL_BRANCH</t>
  </si>
  <si>
    <t>3503 / 013</t>
  </si>
  <si>
    <t>BARKAL, RANGAMATI</t>
  </si>
  <si>
    <t>mgrbarkal@krishibank.org.bd</t>
  </si>
  <si>
    <t>035840169</t>
  </si>
  <si>
    <t>BILAICHHARI BRANCH</t>
  </si>
  <si>
    <t>BILAICHHARI_BRANCH</t>
  </si>
  <si>
    <t>3303 / 016</t>
  </si>
  <si>
    <t>BILAICHHARI, RANGAMATI</t>
  </si>
  <si>
    <t>mgrkaptai@krishibank.org.bd</t>
  </si>
  <si>
    <t>035840251</t>
  </si>
  <si>
    <t>JURACHHARI BRANCH</t>
  </si>
  <si>
    <t>JURACHHARI_BRANCH</t>
  </si>
  <si>
    <t>3506 / 025</t>
  </si>
  <si>
    <t>JURACHHARI, RANGAMATI</t>
  </si>
  <si>
    <t>mgrjurachari@krishibank.org.bd</t>
  </si>
  <si>
    <t>035840280</t>
  </si>
  <si>
    <t>3301 / 028</t>
  </si>
  <si>
    <t>NATUN BAZAR, KAPTAI, RANGAMATI</t>
  </si>
  <si>
    <t>mgrrangamati@krishibank.org.bd</t>
  </si>
  <si>
    <t>035840343</t>
  </si>
  <si>
    <t>KAWKHALI BRANCH</t>
  </si>
  <si>
    <t>KAWKHALI_BRANCH</t>
  </si>
  <si>
    <t>3505 / 034</t>
  </si>
  <si>
    <t>KAWKHALI, RANGAMATI</t>
  </si>
  <si>
    <t>mgrkawkhali@krishibank.org.bd</t>
  </si>
  <si>
    <t>035840372</t>
  </si>
  <si>
    <t>LONGADO BRANCH</t>
  </si>
  <si>
    <t>LONGADO_BRANCH</t>
  </si>
  <si>
    <t>3504 / 037</t>
  </si>
  <si>
    <t>LONGADO, RANGAMATI 4580</t>
  </si>
  <si>
    <t>017 30708862</t>
  </si>
  <si>
    <t>mgrlongadui@krishibank.org.bd</t>
  </si>
  <si>
    <t>035840406</t>
  </si>
  <si>
    <t>NANIARCHAR BRANCH</t>
  </si>
  <si>
    <t>NANIARCHAR_BRANCH</t>
  </si>
  <si>
    <t>3502 / 040</t>
  </si>
  <si>
    <t>NANIARCHAR, RANGAMATI</t>
  </si>
  <si>
    <t>mgrnaniarchar@krishibank.org.bd</t>
  </si>
  <si>
    <t>035840464</t>
  </si>
  <si>
    <t>RAIKHALI BAZAR BRANCH</t>
  </si>
  <si>
    <t>RAIKHALI_BAZAR_BRANCH</t>
  </si>
  <si>
    <t>3302 / 046</t>
  </si>
  <si>
    <t>RAIKHALI BAZAR, KAPTAI, RANGAMATI 4530</t>
  </si>
  <si>
    <t>017 30708864</t>
  </si>
  <si>
    <t>mgrraikhalibazar@krishibank.org.bd</t>
  </si>
  <si>
    <t>035840493</t>
  </si>
  <si>
    <t>RAJASTHALI BRANCH</t>
  </si>
  <si>
    <t>RAJASTHALI_BRANCH</t>
  </si>
  <si>
    <t>3304 / 049</t>
  </si>
  <si>
    <t>RAJASTHALI, RANGAMATI 4540</t>
  </si>
  <si>
    <t>017 30708865</t>
  </si>
  <si>
    <t>mgrrajosthali@krishibank.org.bd</t>
  </si>
  <si>
    <t>035840527</t>
  </si>
  <si>
    <t>3501 / 052</t>
  </si>
  <si>
    <t>035870076</t>
  </si>
  <si>
    <t>ASSASUNI BRANCH</t>
  </si>
  <si>
    <t>ASSASUNI_BRANCH</t>
  </si>
  <si>
    <t>1509 / 007</t>
  </si>
  <si>
    <t>ASSASUNI, SATKHIRA</t>
  </si>
  <si>
    <t>mgrashashuni@krishibank.org.bd</t>
  </si>
  <si>
    <t>035870139</t>
  </si>
  <si>
    <t>1506 / 013</t>
  </si>
  <si>
    <t>BALIADANGA BAZAR, KALAROA, SATKHIRA 9410</t>
  </si>
  <si>
    <t>mgrbaliadangabazar@krishibank.org.bd</t>
  </si>
  <si>
    <t>035870289</t>
  </si>
  <si>
    <t>BHOMRA STHAL BANDAR BRANCH</t>
  </si>
  <si>
    <t>BHOMRA_STHAL_BANDAR_BRANCH</t>
  </si>
  <si>
    <t>1518 / 028</t>
  </si>
  <si>
    <t>BHOMRA, SATKHIRA SADAR, SATKHIRA 9400</t>
  </si>
  <si>
    <t>017 30708869</t>
  </si>
  <si>
    <t>mgrbsbandar@krishibank.org.bd</t>
  </si>
  <si>
    <t>035870371</t>
  </si>
  <si>
    <t>DEBHATA BRANCH</t>
  </si>
  <si>
    <t>DEBHATA_BRANCH</t>
  </si>
  <si>
    <t>1511 / 037</t>
  </si>
  <si>
    <t>DEBHATA, SATKHIRA</t>
  </si>
  <si>
    <t>mgrdebhata@krishibank.org.bd</t>
  </si>
  <si>
    <t>035870405</t>
  </si>
  <si>
    <t>DHULIHAR BAZAR BRANCH</t>
  </si>
  <si>
    <t>DHULIHAR_BAZAR_BRANCH</t>
  </si>
  <si>
    <t>1503 / 040</t>
  </si>
  <si>
    <t>DHULIHAR BAZAR, BRAHMARAJPUR, SATKHIRA 9400</t>
  </si>
  <si>
    <t>017 30708871</t>
  </si>
  <si>
    <t>mgrdhuliharbazar@krishibank.org.bd</t>
  </si>
  <si>
    <t>035870463</t>
  </si>
  <si>
    <t>GHONA BRANCH</t>
  </si>
  <si>
    <t>GHONA_BRANCH</t>
  </si>
  <si>
    <t>1502 / 046</t>
  </si>
  <si>
    <t>GHONA, SATKHIRA</t>
  </si>
  <si>
    <t>mgrghona@krishibank.org.bd</t>
  </si>
  <si>
    <t>035870526</t>
  </si>
  <si>
    <t>GUNAKARKATI BRANCH</t>
  </si>
  <si>
    <t>GUNAKARKATI_BRANCH</t>
  </si>
  <si>
    <t>1510 / 052</t>
  </si>
  <si>
    <t>GUNAKARKATI, ASSASUNI, SATKHIRA</t>
  </si>
  <si>
    <t>mgrgunakarkati@krishibank.org.bd</t>
  </si>
  <si>
    <t>035870584</t>
  </si>
  <si>
    <t>KALAROA BRANCH</t>
  </si>
  <si>
    <t>KALAROA_BRANCH</t>
  </si>
  <si>
    <t>1505 / 058</t>
  </si>
  <si>
    <t>KALAROA, SATKHIRA</t>
  </si>
  <si>
    <t>mgrkalaroa@krishibank.org.bd</t>
  </si>
  <si>
    <t>035870618</t>
  </si>
  <si>
    <t>1513 / 061</t>
  </si>
  <si>
    <t>KALIGANJ, SATKHIRA</t>
  </si>
  <si>
    <t>mgrkaligonjsat@krishibank.org.bd</t>
  </si>
  <si>
    <t>035870700</t>
  </si>
  <si>
    <t>KHORDA BAZAR BRANCH</t>
  </si>
  <si>
    <t>KHORDA_BAZAR_BRANCH</t>
  </si>
  <si>
    <t>1507 / 070</t>
  </si>
  <si>
    <t>KHORDA BAZAR, KALAROA, SATKHIRA 9410</t>
  </si>
  <si>
    <t>017 30708876</t>
  </si>
  <si>
    <t>mgrkhordabazar@krishibank.org.bd</t>
  </si>
  <si>
    <t>035870739</t>
  </si>
  <si>
    <t>KRISHNANAGAR BRANCH</t>
  </si>
  <si>
    <t>KRISHNANAGAR_BRANCH</t>
  </si>
  <si>
    <t>1514 / 073</t>
  </si>
  <si>
    <t>KRISHNANAGAR, RAGHUNATHPUR, KALIGANJ, SATKHIRA</t>
  </si>
  <si>
    <t>mgrkrishnanagar@krishibank.org.bd</t>
  </si>
  <si>
    <t>035871062</t>
  </si>
  <si>
    <t>REOI BAZAR BRANCH</t>
  </si>
  <si>
    <t>REOI_BAZAR_BRANCH</t>
  </si>
  <si>
    <t>1516 / 106</t>
  </si>
  <si>
    <t>REOI BAZAR, KAONDANGA, SATKHIRA 9400</t>
  </si>
  <si>
    <t>017 30708878</t>
  </si>
  <si>
    <t>mgrreoibazar@krishibank.org.bd</t>
  </si>
  <si>
    <t>035871183</t>
  </si>
  <si>
    <t>1512 / 118</t>
  </si>
  <si>
    <t>SAKHIPUR, DEBHATA, SATKHIRA</t>
  </si>
  <si>
    <t>mgrsakhipursat@krishibank.org.bd</t>
  </si>
  <si>
    <t>035871091</t>
  </si>
  <si>
    <t>1501 / 109</t>
  </si>
  <si>
    <t>SATKHIRA SADAR, SATKHIRA</t>
  </si>
  <si>
    <t>0471 62393</t>
  </si>
  <si>
    <t>mgrsatkhira@krishibank.org.bd</t>
  </si>
  <si>
    <t>035871217</t>
  </si>
  <si>
    <t>1515 / 121</t>
  </si>
  <si>
    <t>NOKHIPUR, SHYAMNAGAR, SATKHIRA</t>
  </si>
  <si>
    <t>mgrshyamnagar@krishibank.org.bd</t>
  </si>
  <si>
    <t>035871246</t>
  </si>
  <si>
    <t>SONABARIA BAZAR BRANCH</t>
  </si>
  <si>
    <t>SONABARIA_BAZAR_BRANCH</t>
  </si>
  <si>
    <t>1508 / 124</t>
  </si>
  <si>
    <t>SONABARIA BAZAR, KALAROA, SATKHIRA 9410</t>
  </si>
  <si>
    <t>017 30708881</t>
  </si>
  <si>
    <t>mgrsonabariabazar@krishibank.org.bd</t>
  </si>
  <si>
    <t>035871309</t>
  </si>
  <si>
    <t>TALA BRANCH</t>
  </si>
  <si>
    <t>TALA_BRANCH</t>
  </si>
  <si>
    <t>1504 / 130</t>
  </si>
  <si>
    <t>TALA, SATKHIRA</t>
  </si>
  <si>
    <t>mgrtala@krishibank.org.bd</t>
  </si>
  <si>
    <t>035860107</t>
  </si>
  <si>
    <t>BHEDARGANJ BRANCH</t>
  </si>
  <si>
    <t>BHEDARGANJ_BRANCH</t>
  </si>
  <si>
    <t>1209 / 010</t>
  </si>
  <si>
    <t>908/1590 GOIDDA, BHEDARGANJ, SHARIATPUR</t>
  </si>
  <si>
    <t>mgrbhedorgonj@krishibank.org.bd</t>
  </si>
  <si>
    <t>035860073</t>
  </si>
  <si>
    <t>BURIRHAT BAZAR BRANCH</t>
  </si>
  <si>
    <t>BURIRHAT_BAZAR_BRANCH</t>
  </si>
  <si>
    <t>1218 / 1218</t>
  </si>
  <si>
    <t>BURIRHAT BAZAR, SHARIATPUR 8050</t>
  </si>
  <si>
    <t>017 30708999</t>
  </si>
  <si>
    <t>mgrburirhatbazar@krishibank.org.bd</t>
  </si>
  <si>
    <t>035860165</t>
  </si>
  <si>
    <t>CHIKONDI BRANCH</t>
  </si>
  <si>
    <t>CHIKONDI_BRANCH</t>
  </si>
  <si>
    <t>1212 / 016</t>
  </si>
  <si>
    <t>2237 SHAWLA, CHIKONDI, SHARIATPUR</t>
  </si>
  <si>
    <t>mgrchiknadi@krishibank.org.bd</t>
  </si>
  <si>
    <t>035860194</t>
  </si>
  <si>
    <t>1210 / 019</t>
  </si>
  <si>
    <t>1139 DAMUDYA, SHARIATPUR</t>
  </si>
  <si>
    <t>mgrdamudda@krishibank.org.bd</t>
  </si>
  <si>
    <t>035860202</t>
  </si>
  <si>
    <t>DM KHALI BAZAR BRANCH</t>
  </si>
  <si>
    <t>DM_KHALI_BAZAR_BRANCH</t>
  </si>
  <si>
    <t>1217 / 1217</t>
  </si>
  <si>
    <t>DM KHALI, SAKHIPUR, SHARIATPUR</t>
  </si>
  <si>
    <t>mgrdmkhali@krishibank.org.bd</t>
  </si>
  <si>
    <t>035860228</t>
  </si>
  <si>
    <t>DOGRI BAZAR BRANCH</t>
  </si>
  <si>
    <t>DOGRI_BAZAR_BRANCH</t>
  </si>
  <si>
    <t>1216 / 022</t>
  </si>
  <si>
    <t>176/1 DOGRI BAZAR, NASHASON, NARIA, SHARIATPUR 8020</t>
  </si>
  <si>
    <t>017 30708887</t>
  </si>
  <si>
    <t>mgrdogribazar@krishibank.org.bd</t>
  </si>
  <si>
    <t>035860257</t>
  </si>
  <si>
    <t>GHARIER</t>
  </si>
  <si>
    <t>035860310</t>
  </si>
  <si>
    <t>GHARISHAR BAZAR BRANCH</t>
  </si>
  <si>
    <t>GHARISHAR_BAZAR_BRANCH</t>
  </si>
  <si>
    <t>1203 / 031</t>
  </si>
  <si>
    <t>854-855 GHARISHAR BAZAR, NARIA, SHARIATPUR</t>
  </si>
  <si>
    <t>mgrgharisar@krishibank.org.bd</t>
  </si>
  <si>
    <t>035860378</t>
  </si>
  <si>
    <t>HATURIA BAZAR BRANCH</t>
  </si>
  <si>
    <t>HATURIA_BAZAR_BRANCH</t>
  </si>
  <si>
    <t>1214 / 037</t>
  </si>
  <si>
    <t>HATURIA BAZAR, GOSAIRHAT, SHARIATPUR 8050</t>
  </si>
  <si>
    <t>017 30708890</t>
  </si>
  <si>
    <t>mgrhaturiabazar@krishibank.org.bd</t>
  </si>
  <si>
    <t>035860460</t>
  </si>
  <si>
    <t>KANESHWAR BAZAR BRANCH</t>
  </si>
  <si>
    <t>KANESHWAR_BAZAR_BRANCH</t>
  </si>
  <si>
    <t>1211 / 046</t>
  </si>
  <si>
    <t>KANESHWAR, DAMUDYA, SHARIATPUR 8040</t>
  </si>
  <si>
    <t>017 30708891</t>
  </si>
  <si>
    <t>mgrkaneshwarbazar@krishibank.org.bd</t>
  </si>
  <si>
    <t>035860402</t>
  </si>
  <si>
    <t>KARTIKPUR BAZAR BRANCH</t>
  </si>
  <si>
    <t>KARTIKPUR_BAZAR_BRANCH</t>
  </si>
  <si>
    <t>1215 / 040</t>
  </si>
  <si>
    <t>118 KARTIKPUR, BHEDARGANJ, SHARIATPUR</t>
  </si>
  <si>
    <t>mgrkartikpurbazar@krishibank.org.bd</t>
  </si>
  <si>
    <t>035860431</t>
  </si>
  <si>
    <t>KODALPUR BAZAR BRANCH</t>
  </si>
  <si>
    <t>KODALPUR_BAZAR_BRANCH</t>
  </si>
  <si>
    <t>1207 / 043</t>
  </si>
  <si>
    <t>KODALPUR, GOSAIRHAT, SHARIATPUR 8050</t>
  </si>
  <si>
    <t>017 30708893</t>
  </si>
  <si>
    <t>mgrkodalpurbazar@krishibank.org.bd</t>
  </si>
  <si>
    <t>035860499</t>
  </si>
  <si>
    <t>LAWKHOLA BRANCH</t>
  </si>
  <si>
    <t>LAWKHOLA_BRANCH</t>
  </si>
  <si>
    <t>1205 / 049</t>
  </si>
  <si>
    <t>LAWKHOLA, ZAJIRA, SHARIATPUR 8010</t>
  </si>
  <si>
    <t>017 30708894</t>
  </si>
  <si>
    <t>mgrlawkhola@krishibank.org.bd</t>
  </si>
  <si>
    <t>035860552</t>
  </si>
  <si>
    <t>NAGERPARA BAZAR BRANCH</t>
  </si>
  <si>
    <t>NAGERPARA_BAZAR_BRANCH</t>
  </si>
  <si>
    <t>1208 / 055</t>
  </si>
  <si>
    <t>NAGERPARA, GOSAIRHAT, SHARIATPUR 8050</t>
  </si>
  <si>
    <t>017 30708895</t>
  </si>
  <si>
    <t>mgrnagerparabazar@krishibank.org.bd</t>
  </si>
  <si>
    <t>035860581</t>
  </si>
  <si>
    <t>1202 / 058</t>
  </si>
  <si>
    <t>130 NARIA BAZAR, SHARIATPUR</t>
  </si>
  <si>
    <t>mgrnaria@krishibank.org.bd</t>
  </si>
  <si>
    <t>035860644</t>
  </si>
  <si>
    <t>SAKHIPUR BAZAR BRANCH</t>
  </si>
  <si>
    <t>SAKHIPUR_BAZAR_BRANCH</t>
  </si>
  <si>
    <t>1213 / 064</t>
  </si>
  <si>
    <t>SAKHIPUR, BHEDERGANJ, SHARIATPUR 8030</t>
  </si>
  <si>
    <t>017 30708897</t>
  </si>
  <si>
    <t>mgrsakhipurbazar@krishibank.org.bd</t>
  </si>
  <si>
    <t>035860673</t>
  </si>
  <si>
    <t>1201 / 067</t>
  </si>
  <si>
    <t>729 PALONG, SADAR ROAD, SHARIATPUR</t>
  </si>
  <si>
    <t>mgrshariatpur@krishibank.org.bd</t>
  </si>
  <si>
    <t>035860707</t>
  </si>
  <si>
    <t>ZAJIRA BRANCH</t>
  </si>
  <si>
    <t>ZAJIRA_BRANCH</t>
  </si>
  <si>
    <t>1204 / 070</t>
  </si>
  <si>
    <t>ZAJIRA, SHARIATPUR</t>
  </si>
  <si>
    <t>mgrzajira@krishibank.org.bd</t>
  </si>
  <si>
    <t>035890043</t>
  </si>
  <si>
    <t>BAZITKHILA BRANCH</t>
  </si>
  <si>
    <t>BAZITKHILA_BRANCH</t>
  </si>
  <si>
    <t>5102 / 004</t>
  </si>
  <si>
    <t>BAZITKHILA, SHERPUR SADAR, SHERPUR</t>
  </si>
  <si>
    <t>mgrbajitkhilabazar@krishibank.org.bd</t>
  </si>
  <si>
    <t>035890072</t>
  </si>
  <si>
    <t>BHAYADANGA BRANCH</t>
  </si>
  <si>
    <t>BHAYADANGA_BRANCH</t>
  </si>
  <si>
    <t>5109 / 007</t>
  </si>
  <si>
    <t>BHAYADANGA, SREEBORDI, SHERPUR 2130</t>
  </si>
  <si>
    <t>017 30708901</t>
  </si>
  <si>
    <t>mgrbhayadanga@krishibank.org.bd</t>
  </si>
  <si>
    <t>035890135</t>
  </si>
  <si>
    <t>GAZIR KHAMAR BRANCH</t>
  </si>
  <si>
    <t>GAZIR_KHAMAR_BRANCH</t>
  </si>
  <si>
    <t>5111 / 013</t>
  </si>
  <si>
    <t>GAZIR KHAMAR BAZAR, SHERPUR SADAR, SHERPUR 2100</t>
  </si>
  <si>
    <t>017 30708902</t>
  </si>
  <si>
    <t>mgrgazirkhamar@krishibank.org.bd</t>
  </si>
  <si>
    <t>035890164</t>
  </si>
  <si>
    <t>JHENAIGATI BRANCH</t>
  </si>
  <si>
    <t>JHENAIGATI_BRANCH</t>
  </si>
  <si>
    <t>5105 / 016</t>
  </si>
  <si>
    <t>JHENAIGATI, SHERPUR</t>
  </si>
  <si>
    <t>mgrjhenaigati@krishibank.org.bd</t>
  </si>
  <si>
    <t>035890180</t>
  </si>
  <si>
    <t>KAKORKANDI BRANCH</t>
  </si>
  <si>
    <t>KAKORKANDI_BRANCH</t>
  </si>
  <si>
    <t>5115 / 5115</t>
  </si>
  <si>
    <t>KAKORKANDI, NALITABARI, SHERPUR 2110</t>
  </si>
  <si>
    <t>mgrkakorkandi@krishibank.org.bd</t>
  </si>
  <si>
    <t>035890256</t>
  </si>
  <si>
    <t>KURUA BAZAR BRANCH</t>
  </si>
  <si>
    <t>KURUA_BAZAR_BRANCH</t>
  </si>
  <si>
    <t>5108 / 025</t>
  </si>
  <si>
    <t>KURUA BAZAR, SREEBORDI, SHERPUR 2130</t>
  </si>
  <si>
    <t>017 30708904</t>
  </si>
  <si>
    <t>mgrkuruabazar@krishibank.org.bd</t>
  </si>
  <si>
    <t>035890285</t>
  </si>
  <si>
    <t>KUSUMHATI BRANCH</t>
  </si>
  <si>
    <t>KUSUMHATI_BRANCH</t>
  </si>
  <si>
    <t>5110 / 028</t>
  </si>
  <si>
    <t>KUSUMHATI, SHERPUR SADAR, SHERPUR 2100</t>
  </si>
  <si>
    <t>017 30708905</t>
  </si>
  <si>
    <t>mgrkusumhati@krishibank.org.bd</t>
  </si>
  <si>
    <t>035890319</t>
  </si>
  <si>
    <t>NAKLA BRANCH</t>
  </si>
  <si>
    <t>NAKLA_BRANCH</t>
  </si>
  <si>
    <t>5106 / 031</t>
  </si>
  <si>
    <t>NAKLA, SHERPUR</t>
  </si>
  <si>
    <t>mgrnakla@krishibank.org.bd</t>
  </si>
  <si>
    <t>035890348</t>
  </si>
  <si>
    <t>5103 / 034</t>
  </si>
  <si>
    <t>NALITABARI, SHERPUR</t>
  </si>
  <si>
    <t>mgrnalitabari@krishibank.org.bd</t>
  </si>
  <si>
    <t>035890377</t>
  </si>
  <si>
    <t>NALJORA BAZAR BRANCH</t>
  </si>
  <si>
    <t>NALJORA_BAZAR_BRANCH</t>
  </si>
  <si>
    <t>5114 / 037</t>
  </si>
  <si>
    <t>NALJORA BAZAR, NALITABARI, SHERPUR 2110</t>
  </si>
  <si>
    <t>017 30708908</t>
  </si>
  <si>
    <t>mgrnaljorabazar@krishibank.org.bd</t>
  </si>
  <si>
    <t>035890498</t>
  </si>
  <si>
    <t>NAYABIL BAZAR BRANCH</t>
  </si>
  <si>
    <t>NAYABIL_BAZAR_BRANCH</t>
  </si>
  <si>
    <t>5112 / 049</t>
  </si>
  <si>
    <t>NAYABIL BAZAR, NALITABARI, SHERPUR 2110</t>
  </si>
  <si>
    <t>017 30708909</t>
  </si>
  <si>
    <t>mgrnayabilbazar@krishibank.org.bd</t>
  </si>
  <si>
    <t>035890522</t>
  </si>
  <si>
    <t>PATAKATA BAZAR BRANCH</t>
  </si>
  <si>
    <t>PATAKATA_BAZAR_BRANCH</t>
  </si>
  <si>
    <t>5113 / 052</t>
  </si>
  <si>
    <t>PATAKATA BAZAR, CHAWK PATHAKATA, NAKLA, SHERPUR 2150</t>
  </si>
  <si>
    <t>017 30708910</t>
  </si>
  <si>
    <t>mgrpatakatabazar@krishibank.org.bd</t>
  </si>
  <si>
    <t>035890551</t>
  </si>
  <si>
    <t>5101 / 055</t>
  </si>
  <si>
    <t>KHARAMPUR, SHERPUR SADAR, SHERPUR</t>
  </si>
  <si>
    <t>mgrsherpur@krishibank.org.bd</t>
  </si>
  <si>
    <t>035890643</t>
  </si>
  <si>
    <t>SREEBORDI BRANCH</t>
  </si>
  <si>
    <t>SREEBORDI_BRANCH</t>
  </si>
  <si>
    <t>5104 / 064</t>
  </si>
  <si>
    <t>SREEBORDI, SHERPUR</t>
  </si>
  <si>
    <t>mgrsreebordi@krishibank.org.bd</t>
  </si>
  <si>
    <t>035900070</t>
  </si>
  <si>
    <t>BADAGHAT BRANCH</t>
  </si>
  <si>
    <t>BADAGHAT_BRANCH</t>
  </si>
  <si>
    <t>3720 / 007</t>
  </si>
  <si>
    <t>BADAGHAT, TAHIRPUR, SUNAMGANJ</t>
  </si>
  <si>
    <t>mgrbadaghat@krishibank.org.bd</t>
  </si>
  <si>
    <t>035900104</t>
  </si>
  <si>
    <t>BANGLA BAZAR BRANCH</t>
  </si>
  <si>
    <t>BANGLA_BAZAR_BRANCH</t>
  </si>
  <si>
    <t>3724 / 010</t>
  </si>
  <si>
    <t>BANGLA BAZAR, CHHATAK, SUNAMGANJ</t>
  </si>
  <si>
    <t>mgrbanglabazarsunamgonj@krishibank.org.bd</t>
  </si>
  <si>
    <t>035900191</t>
  </si>
  <si>
    <t>BISHWAMBARPUR BRANCH</t>
  </si>
  <si>
    <t>BISHWAMBARPUR_BRANCH</t>
  </si>
  <si>
    <t>3707 / 019</t>
  </si>
  <si>
    <t>BISHWAMBARPUR, SUNAMGANJ</t>
  </si>
  <si>
    <t>mgrbishwambarpur@krishibank.org.bd</t>
  </si>
  <si>
    <t>035900054</t>
  </si>
  <si>
    <t>BOALIA BAZAR BRANCH</t>
  </si>
  <si>
    <t>BOALIA_BAZAR_BRANCH</t>
  </si>
  <si>
    <t>3727 / 3727</t>
  </si>
  <si>
    <t>BOALIA BAZAR, DERAI, SUNAMGANJ</t>
  </si>
  <si>
    <t>mgrboaliabazar@krishibank.org.bd</t>
  </si>
  <si>
    <t>035900225</t>
  </si>
  <si>
    <t>3702 / 022</t>
  </si>
  <si>
    <t>CHHATAK, SUNAMGANJ</t>
  </si>
  <si>
    <t>mgrchatak@krishibank.org.bd</t>
  </si>
  <si>
    <t>035900083</t>
  </si>
  <si>
    <t>DAWRAI BAZAR BRANCH</t>
  </si>
  <si>
    <t>DAWRAI_BAZAR_BRANCH</t>
  </si>
  <si>
    <t>3729 / 3729</t>
  </si>
  <si>
    <t>DAWRAI BAZAR, JAGANNATHPUR, SUNAMGANJ</t>
  </si>
  <si>
    <t>mgrdawraibazar@krishibank.org.bd</t>
  </si>
  <si>
    <t>035900254</t>
  </si>
  <si>
    <t>3711 / 025</t>
  </si>
  <si>
    <t>DERAI, SUNAMGANJ</t>
  </si>
  <si>
    <t>mgrderai@krishibank.org.bd</t>
  </si>
  <si>
    <t>035900283</t>
  </si>
  <si>
    <t>DHARMAPASHA BRANCH</t>
  </si>
  <si>
    <t>DHARMAPASHA_BRANCH</t>
  </si>
  <si>
    <t>3709 / 028</t>
  </si>
  <si>
    <t>DHARMAPASHA, SUNAMGANJ</t>
  </si>
  <si>
    <t>mgrdharampasha@krishibank.org.bd</t>
  </si>
  <si>
    <t>035900346</t>
  </si>
  <si>
    <t>DOWARABAZAR BRANCH</t>
  </si>
  <si>
    <t>DOWARABAZAR_BRANCH</t>
  </si>
  <si>
    <t>3706 / 034</t>
  </si>
  <si>
    <t>DOWARABAZAR, SUNAMGANJ</t>
  </si>
  <si>
    <t>mgrdoarabazar@krishibank.org.bd</t>
  </si>
  <si>
    <t>035900375</t>
  </si>
  <si>
    <t>DUNGRIA BRANCH</t>
  </si>
  <si>
    <t>DUNGRIA_BRANCH</t>
  </si>
  <si>
    <t>3723 / 037</t>
  </si>
  <si>
    <t>DUNGRIA, SUNAMGANJ SADAR, SUNAMGANJ</t>
  </si>
  <si>
    <t>mgrdungria@krishibank.org.bd</t>
  </si>
  <si>
    <t>035900438</t>
  </si>
  <si>
    <t>GOBINDAGANJ BRANCH</t>
  </si>
  <si>
    <t>GOBINDAGANJ_BRANCH</t>
  </si>
  <si>
    <t>3703 / 043</t>
  </si>
  <si>
    <t>GOBINDAGANJ, CHHATAK, SUNAMGANJ</t>
  </si>
  <si>
    <t>mgrgobindagonj@krishibank.org.bd</t>
  </si>
  <si>
    <t>035900467</t>
  </si>
  <si>
    <t>GOLAKPUR BAZAR BRANCH</t>
  </si>
  <si>
    <t>GOLAKPUR_BAZAR_BRANCH</t>
  </si>
  <si>
    <t>3719 / 046</t>
  </si>
  <si>
    <t>GOLAKPUR BAZAR, DHARMAPASHA, SUNAMGANJ</t>
  </si>
  <si>
    <t>mgrgolakpurbazar@krishibank.org.bd</t>
  </si>
  <si>
    <t>035900496</t>
  </si>
  <si>
    <t>3714 / 049</t>
  </si>
  <si>
    <t>JAGANNATHPUR, SUNAMGANJ</t>
  </si>
  <si>
    <t>mgrjagannathpursun@krishibank.org.bd</t>
  </si>
  <si>
    <t>035900559</t>
  </si>
  <si>
    <t>JAWA BAZAR BRANCH</t>
  </si>
  <si>
    <t>JAWA_BAZAR_BRANCH</t>
  </si>
  <si>
    <t>3704 / 055</t>
  </si>
  <si>
    <t>JAWA BAZAR, CHATTAK, SUNAMGANJ</t>
  </si>
  <si>
    <t>mgrjawabazar@krishibank.org.bd</t>
  </si>
  <si>
    <t>035900588</t>
  </si>
  <si>
    <t>JOYNAGAR BAZAR BRANCH</t>
  </si>
  <si>
    <t>JOYNAGAR_BAZAR_BRANCH</t>
  </si>
  <si>
    <t>3725 / 058</t>
  </si>
  <si>
    <t>JOYNAGAR BAZAR, SUNAMGANJ SADAR, SUNAMGANJ</t>
  </si>
  <si>
    <t>mgrjoynagarbazar@krishibank.org.bd</t>
  </si>
  <si>
    <t>035900641</t>
  </si>
  <si>
    <t>KALKALIA BRANCH</t>
  </si>
  <si>
    <t>KALKALIA_BRANCH</t>
  </si>
  <si>
    <t>3716 / 064</t>
  </si>
  <si>
    <t>KALKALIA, JAGANNATHPUR, SUNAMGANJ</t>
  </si>
  <si>
    <t>mgrkalkalia@krishibank.org.bd</t>
  </si>
  <si>
    <t>035900670</t>
  </si>
  <si>
    <t>MADHYANAGAR BRANCH</t>
  </si>
  <si>
    <t>MADHYANAGAR_BRANCH</t>
  </si>
  <si>
    <t>3710 / 067</t>
  </si>
  <si>
    <t>MADHYANAGAR, DHARAMPASHA, SUNAMGANJ</t>
  </si>
  <si>
    <t>mgrmadhyanagar@krishibank.org.bd</t>
  </si>
  <si>
    <t>035900717</t>
  </si>
  <si>
    <t>MANGALKATA BAZAR BRANCH</t>
  </si>
  <si>
    <t>MANGALKATA_BAZAR_BRANCH</t>
  </si>
  <si>
    <t>3726 / 3726</t>
  </si>
  <si>
    <t>MANGALKATA, SUNAMGANJ SADAR, SUNAMGANJ</t>
  </si>
  <si>
    <t>mgrmangalkatabazar@krishibank.org.bd</t>
  </si>
  <si>
    <t>035900704</t>
  </si>
  <si>
    <t>MINA BAZAR BRANCH</t>
  </si>
  <si>
    <t>MINA_BAZAR_BRANCH</t>
  </si>
  <si>
    <t>3722 / 070</t>
  </si>
  <si>
    <t>MINA BAZAR, SUNAMGANJ SADAR, SUNAMGANJ</t>
  </si>
  <si>
    <t>mgrminabazar@krishibank.org.bd</t>
  </si>
  <si>
    <t>035900762</t>
  </si>
  <si>
    <t>MOINPUR BAZAR BRANCH</t>
  </si>
  <si>
    <t>MOINPUR_BAZAR_BRANCH</t>
  </si>
  <si>
    <t>3705 / 076</t>
  </si>
  <si>
    <t>MOINPUR, CHHATAK, SUNAMGANJ</t>
  </si>
  <si>
    <t>mgrmoinpurbazar@krishibank.org.bd</t>
  </si>
  <si>
    <t>035900883</t>
  </si>
  <si>
    <t>PATHARIA BAZAR BRANCH</t>
  </si>
  <si>
    <t>PATHARIA_BAZAR_BRANCH</t>
  </si>
  <si>
    <t>3721 / 088</t>
  </si>
  <si>
    <t>PATHARIA BAZAR, SOUTH SUNAMGANJ, SUNAMGANJ</t>
  </si>
  <si>
    <t>mgrpathariabazar@krishibank.org.bd</t>
  </si>
  <si>
    <t>035900096</t>
  </si>
  <si>
    <t>RAFINAGAR BRANCH</t>
  </si>
  <si>
    <t>RAFINAGAR_BRANCH</t>
  </si>
  <si>
    <t>3728 / 3728</t>
  </si>
  <si>
    <t>RAFINAGAR, DERAI, SUNAMGANJ</t>
  </si>
  <si>
    <t>mgrrafinagar@krishibank.org.bd</t>
  </si>
  <si>
    <t>035900917</t>
  </si>
  <si>
    <t>RAJANIGANJ BAZAR BRANCH</t>
  </si>
  <si>
    <t>RAJANIGANJ_BAZAR_BRANCH</t>
  </si>
  <si>
    <t>3718 / 091</t>
  </si>
  <si>
    <t>RAJANIGANJ BAZAR, SUNAMGANJ</t>
  </si>
  <si>
    <t>Rajaniganj Bazar</t>
  </si>
  <si>
    <t>035900946</t>
  </si>
  <si>
    <t>3715 / 094</t>
  </si>
  <si>
    <t>RANIGANJ BAZAR, JAGANNATHPUR, SUNAMGANJ</t>
  </si>
  <si>
    <t>035901008</t>
  </si>
  <si>
    <t>SACHNA BAZAR BRANCH</t>
  </si>
  <si>
    <t>SACHNA_BAZAR_BRANCH</t>
  </si>
  <si>
    <t>3713 / 100</t>
  </si>
  <si>
    <t>SACHNA, JAMALGANJ, SUNAMGANJ</t>
  </si>
  <si>
    <t>mgrsachnabazar@krishibank.org.bd</t>
  </si>
  <si>
    <t>035901037</t>
  </si>
  <si>
    <t>SHALLA BRANCH</t>
  </si>
  <si>
    <t>SHALLA_BRANCH</t>
  </si>
  <si>
    <t>3717 / 103</t>
  </si>
  <si>
    <t>SHALLA, SUNAMGANJ</t>
  </si>
  <si>
    <t>mgrshalla@krishibank.org.bd</t>
  </si>
  <si>
    <t>035901066</t>
  </si>
  <si>
    <t>SHYAMARCHAR BRANCH</t>
  </si>
  <si>
    <t>SHYAMARCHAR_BRANCH</t>
  </si>
  <si>
    <t>3712 / 106</t>
  </si>
  <si>
    <t>SHYAMARCHAR, DERAI, SUNAMGANJ</t>
  </si>
  <si>
    <t>mgrshymarchar@krishibank.org.bd</t>
  </si>
  <si>
    <t>035901129</t>
  </si>
  <si>
    <t>3701 / 112</t>
  </si>
  <si>
    <t>PURABI MARKET, SUNAMGANJ 3000</t>
  </si>
  <si>
    <t>0871 61295</t>
  </si>
  <si>
    <t>mgrsunamgonj@krishibank.org.bd</t>
  </si>
  <si>
    <t>035901211</t>
  </si>
  <si>
    <t>TAHIRPUR BRANCH</t>
  </si>
  <si>
    <t>TAHIRPUR_BRANCH</t>
  </si>
  <si>
    <t>3708 / 121</t>
  </si>
  <si>
    <t>TAHIRPUR, SUNAMGANJ 3030</t>
  </si>
  <si>
    <t>mgrtahirpur@krishibank.org.bd</t>
  </si>
  <si>
    <t>035910044</t>
  </si>
  <si>
    <t>3619 / 004</t>
  </si>
  <si>
    <t>HOLDING NO 1137/1, BARKATIA SUPER MARKET, AMBARKHANA, SYLHET</t>
  </si>
  <si>
    <t>mgrambarkhana@krishibank.org.bd,</t>
  </si>
  <si>
    <t>035910165</t>
  </si>
  <si>
    <t>3617 / 016</t>
  </si>
  <si>
    <t>HOLDING NO 909, CANPUR, BALAGANJ, SYLHET</t>
  </si>
  <si>
    <t>mgrbalagonj@krishibank.org.bd</t>
  </si>
  <si>
    <t>035910194</t>
  </si>
  <si>
    <t>3603 / 019</t>
  </si>
  <si>
    <t>GULISTAN COMPLEX, LALDIGHIRPAR, BANDAR BAZAR, SYLHET 3100</t>
  </si>
  <si>
    <t>mgrbandarbazar@krishibank.org.bd</t>
  </si>
  <si>
    <t>035910310</t>
  </si>
  <si>
    <t>3616 / 031</t>
  </si>
  <si>
    <t>AZIZ MARKET, MAIN ROAD, BEANIBAZAR, SYLHET</t>
  </si>
  <si>
    <t>mgrbeanibazar@krishibank.org.bd</t>
  </si>
  <si>
    <t>035910349</t>
  </si>
  <si>
    <t>BHABANIGANJ BAZAR BRANCH</t>
  </si>
  <si>
    <t>BHABANIGANJ_BAZAR_BRANCH</t>
  </si>
  <si>
    <t>3623 / 034</t>
  </si>
  <si>
    <t>HOLDING NO 377, JUNAI, KANAIGHAT, SYLHET</t>
  </si>
  <si>
    <t>mgrbhabanigonjbazar@krishibank.org.bd</t>
  </si>
  <si>
    <t>035910431</t>
  </si>
  <si>
    <t>BISHWANATH BRANCH</t>
  </si>
  <si>
    <t>BISHWANATH_BRANCH</t>
  </si>
  <si>
    <t>3612 / 043</t>
  </si>
  <si>
    <t>HOLDING NO 1472, BISHWANATH, SYLHET</t>
  </si>
  <si>
    <t>mgrbiswanath@krishibank.org.bd</t>
  </si>
  <si>
    <t>035910707</t>
  </si>
  <si>
    <t>CHARKHAI BRANCH</t>
  </si>
  <si>
    <t>CHARKHAI_BRANCH</t>
  </si>
  <si>
    <t>3615 / 070</t>
  </si>
  <si>
    <t>HOLDING NO 96-98, CHARKHAI, BEANIBAZAR SYLHET 3175</t>
  </si>
  <si>
    <t>mgrcharkhai@krishibank.org.bd</t>
  </si>
  <si>
    <t>035910765</t>
  </si>
  <si>
    <t>CHOTUL BAZAR BRANCH</t>
  </si>
  <si>
    <t>CHOTUL_BAZAR_BRANCH</t>
  </si>
  <si>
    <t>3609 / 076</t>
  </si>
  <si>
    <t>CHOTUL BAZAR, KANAIGHAT, SYLHET</t>
  </si>
  <si>
    <t>mgrchatul@krishibank.org.bd</t>
  </si>
  <si>
    <t>035910910</t>
  </si>
  <si>
    <t>3607 / 091</t>
  </si>
  <si>
    <t>HOLDING NO 213/157, THANA BAZAR, COMPANIGANJ, SYLHET</t>
  </si>
  <si>
    <t>mgrcompanigonj@krishibank.org.bd</t>
  </si>
  <si>
    <t>035911122</t>
  </si>
  <si>
    <t>DARPA NAGAR BRANCH</t>
  </si>
  <si>
    <t>DARPA_NAGAR_BRANCH</t>
  </si>
  <si>
    <t>3624 / 112</t>
  </si>
  <si>
    <t>DARPA NAGAR, SARKER BAZAR, KANAIGHAT, SYLHET 3180</t>
  </si>
  <si>
    <t>017 30708947</t>
  </si>
  <si>
    <t>mgrdarpanagar@krishibank.org.bd</t>
  </si>
  <si>
    <t>035911272</t>
  </si>
  <si>
    <t>DEWAN BAZAR BRANCH</t>
  </si>
  <si>
    <t>DEWAN_BAZAR_BRANCH</t>
  </si>
  <si>
    <t>3618 / 127</t>
  </si>
  <si>
    <t>DEWAN BAZAR, GAHARPUR, BALAGANJ, SYLHET 3120</t>
  </si>
  <si>
    <t>017 30708949</t>
  </si>
  <si>
    <t>mgrdewanbazar@krishibank.org.bd</t>
  </si>
  <si>
    <t>035911319</t>
  </si>
  <si>
    <t>DOYAR BAZAR BRANCH</t>
  </si>
  <si>
    <t>DOYAR_BAZAR_BRANCH</t>
  </si>
  <si>
    <t>3625 / 3625</t>
  </si>
  <si>
    <t>DOYAR BAZAR, ISLAMPUR, COMPANIGANJ, SYLHET</t>
  </si>
  <si>
    <t>mgrdayarbazar@krishibank.org.bd</t>
  </si>
  <si>
    <t>035911335</t>
  </si>
  <si>
    <t>DUBAG BAZAR BRANCH</t>
  </si>
  <si>
    <t>DUBAG_BAZAR_BRANCH</t>
  </si>
  <si>
    <t>3621 / 133</t>
  </si>
  <si>
    <t>DUBAG BAZAR, BEANIBAZAR, SYLHET 3170</t>
  </si>
  <si>
    <t>017 30708950</t>
  </si>
  <si>
    <t>mgrdubagbazar@krishibank.org.bd</t>
  </si>
  <si>
    <t>035911364</t>
  </si>
  <si>
    <t>3611 / 136</t>
  </si>
  <si>
    <t>PURBA BAZAR, FENCHUGANJ, SYLHET</t>
  </si>
  <si>
    <t>mgrfenchugonj@krishibank.org.bd</t>
  </si>
  <si>
    <t>035911601</t>
  </si>
  <si>
    <t>3610 / 160</t>
  </si>
  <si>
    <t>GOLAPGANJ, SYLHET</t>
  </si>
  <si>
    <t>mgrgolapgonj@krishibank.org.bd</t>
  </si>
  <si>
    <t>035911669</t>
  </si>
  <si>
    <t>GOWAINGHAT BRANCH</t>
  </si>
  <si>
    <t>GOWAINGHAT_BRANCH</t>
  </si>
  <si>
    <t>3604 / 166</t>
  </si>
  <si>
    <t>GOWAINGHAT, SYLHET</t>
  </si>
  <si>
    <t>mgrgoainghat@krishibank.org.bd</t>
  </si>
  <si>
    <t>035911706</t>
  </si>
  <si>
    <t>HADARPAR BAZAR BRANCH</t>
  </si>
  <si>
    <t>HADARPAR_BAZAR_BRANCH</t>
  </si>
  <si>
    <t>3626 / 3626</t>
  </si>
  <si>
    <t>HADARPAR BAZAR, GOAINGHAT, SYLHET 3720</t>
  </si>
  <si>
    <t>017 17534116</t>
  </si>
  <si>
    <t>mgrhadarparbazar@krishibank.org.bd</t>
  </si>
  <si>
    <t>035911814</t>
  </si>
  <si>
    <t>JAINTIAPUR BRANCH</t>
  </si>
  <si>
    <t>JAINTIAPUR_BRANCH</t>
  </si>
  <si>
    <t>3606 / 181</t>
  </si>
  <si>
    <t>HOLDING NO 5, NIZPAT, JAINTIAPUR, SYLHET</t>
  </si>
  <si>
    <t>mgrjaintapur@krishibank.org.bd</t>
  </si>
  <si>
    <t>035912084</t>
  </si>
  <si>
    <t>KANAIGHAT BRANCH</t>
  </si>
  <si>
    <t>KANAIGHAT_BRANCH</t>
  </si>
  <si>
    <t>3608 / 208</t>
  </si>
  <si>
    <t>DALAICHAR, KANAIGHAT, SYLHET</t>
  </si>
  <si>
    <t>mgrkanaighat@krishibank.org.bd</t>
  </si>
  <si>
    <t>035912268</t>
  </si>
  <si>
    <t>KHAJANCHIGAON BRANCH</t>
  </si>
  <si>
    <t>KHAJANCHIGAON_BRANCH</t>
  </si>
  <si>
    <t>3613 / 226</t>
  </si>
  <si>
    <t>KHAJANCHIGAON, ISLAMABAD, BISHWANATH, SYLHET 3130</t>
  </si>
  <si>
    <t>017 30708956</t>
  </si>
  <si>
    <t>mgrkhajanchigaon@krishibank.org.bd</t>
  </si>
  <si>
    <t>035912684</t>
  </si>
  <si>
    <t>MOGLABAZAR BRANCH</t>
  </si>
  <si>
    <t>MOGLABAZAR_BRANCH</t>
  </si>
  <si>
    <t>3602 / 268</t>
  </si>
  <si>
    <t>SIDDIKA MARKET, MOGLABAZAR, SOUTH SURMA, SYLHET 3100</t>
  </si>
  <si>
    <t>017 30708957</t>
  </si>
  <si>
    <t>mgrmoglabazar@krishibank.org.bd,</t>
  </si>
  <si>
    <t>035913012</t>
  </si>
  <si>
    <t>RATANGANJ BAZAR BRANCH</t>
  </si>
  <si>
    <t>RATANGANJ_BAZAR_BRANCH</t>
  </si>
  <si>
    <t>3620 / 301</t>
  </si>
  <si>
    <t>RATANGONJ BAZAR, KALAUK, ZAKIGANJ, SYLHET 3190</t>
  </si>
  <si>
    <t>017 30708958</t>
  </si>
  <si>
    <t>mgrratangonjbazar@krishibank.org.bd</t>
  </si>
  <si>
    <t>035913104</t>
  </si>
  <si>
    <t>SALUTIKAR BRANCH</t>
  </si>
  <si>
    <t>SALUTIKAR_BRANCH</t>
  </si>
  <si>
    <t>3605 / 310</t>
  </si>
  <si>
    <t>HOLDING NO 139, SALUTIKAR, GOAINGHAT, SYLHET</t>
  </si>
  <si>
    <t>mgrshalutikar@krishibank.org.bd</t>
  </si>
  <si>
    <t>035913375</t>
  </si>
  <si>
    <t>SHIBER BAZAR BRANCH</t>
  </si>
  <si>
    <t>SHIBER_BAZAR_BRANCH</t>
  </si>
  <si>
    <t>3622 / 337</t>
  </si>
  <si>
    <t>SHIBER BAZAR, SYLHET SADAR, SYLHET 3100</t>
  </si>
  <si>
    <t>mgrshiberbazar@krishibank.org.bd</t>
  </si>
  <si>
    <t>035913559</t>
  </si>
  <si>
    <t>SYLHET CORPORATE BRANCH</t>
  </si>
  <si>
    <t>SYLHET_CORPORATE_BRANCH</t>
  </si>
  <si>
    <t>3601 / 355</t>
  </si>
  <si>
    <t>KRISHI BANK BHABAN, ZINDA BAZAR, SYLHET 3100</t>
  </si>
  <si>
    <t>0821 714464</t>
  </si>
  <si>
    <t>corpsylhet@krishibank.org.bd</t>
  </si>
  <si>
    <t>035913841</t>
  </si>
  <si>
    <t>TAJPUR BAZAR BRANCH</t>
  </si>
  <si>
    <t>TAJPUR_BAZAR_BRANCH</t>
  </si>
  <si>
    <t>3627 / 3627</t>
  </si>
  <si>
    <t>TAJPUR BAZAR, OSMANINAGAR, BALAGANJ, SYLHET</t>
  </si>
  <si>
    <t>mgrtajpurbazar@krishibank.org.bd</t>
  </si>
  <si>
    <t>035914129</t>
  </si>
  <si>
    <t>ZAKIGANJ BRANCH</t>
  </si>
  <si>
    <t>ZAKIGANJ_BRANCH</t>
  </si>
  <si>
    <t>3614 / 412</t>
  </si>
  <si>
    <t>HOLDING NO 61, PIRERCHAWK, ZAKIGANJ, SYLHET</t>
  </si>
  <si>
    <t>mgrzakigonj@krishibank.org.bd</t>
  </si>
  <si>
    <t>035930132</t>
  </si>
  <si>
    <t>5029 / 013</t>
  </si>
  <si>
    <t>ALOKDIA, MADHUPUR, TANGAIL 1996</t>
  </si>
  <si>
    <t>017 30708963</t>
  </si>
  <si>
    <t>mgralokdiatangail@krishibank.org.bd</t>
  </si>
  <si>
    <t>035930282</t>
  </si>
  <si>
    <t>AWLIABAD BRANCH</t>
  </si>
  <si>
    <t>AWLIABAD_BRANCH</t>
  </si>
  <si>
    <t>5024 / 028</t>
  </si>
  <si>
    <t>AWLIABAD, KALIHATI, TANGAIL 1978</t>
  </si>
  <si>
    <t>017 30708965</t>
  </si>
  <si>
    <t>mgrawliabad@krishibank.org.bd</t>
  </si>
  <si>
    <t>035930316</t>
  </si>
  <si>
    <t>BALLA BAZAR BRANCH</t>
  </si>
  <si>
    <t>BALLA_BAZAR_BRANCH</t>
  </si>
  <si>
    <t>5026 / 031</t>
  </si>
  <si>
    <t>BALLA BAZAR, KALIHATI, TANGAIL 1980</t>
  </si>
  <si>
    <t>mgrballabazar@krishibank.org.bd</t>
  </si>
  <si>
    <t>035930345</t>
  </si>
  <si>
    <t>BANGRA BRANCH</t>
  </si>
  <si>
    <t>BANGRA_BRANCH</t>
  </si>
  <si>
    <t>5023 / 034</t>
  </si>
  <si>
    <t>BANGRA, KALIHATI, TANGAIL 1970</t>
  </si>
  <si>
    <t>017 30708967</t>
  </si>
  <si>
    <t>mgrbangra@krishibank.org.bd</t>
  </si>
  <si>
    <t>035930374</t>
  </si>
  <si>
    <t>5014 / 037</t>
  </si>
  <si>
    <t>BASAIL BAZAR, TANGAIL</t>
  </si>
  <si>
    <t>mgrbashail@krishibank.org.bd</t>
  </si>
  <si>
    <t>035930129</t>
  </si>
  <si>
    <t>BATHOLISHADI BAZAR BRANCH</t>
  </si>
  <si>
    <t>BATHOLISHADI_BAZAR_BRANCH</t>
  </si>
  <si>
    <t>5601 / 5601</t>
  </si>
  <si>
    <t>BATHOLISHADI BAZAR, BASAIL, TANGAIL</t>
  </si>
  <si>
    <t>mgrbatholishadi@krishibank.org.bd</t>
  </si>
  <si>
    <t>035930408</t>
  </si>
  <si>
    <t>BHABKHANDA BAZAR BRANCH</t>
  </si>
  <si>
    <t>BHABKHANDA_BAZAR_BRANCH</t>
  </si>
  <si>
    <t>5032 / 040</t>
  </si>
  <si>
    <t>BHABKHANDA BAZAR, MIRZAPUR, TANGAIL 1940</t>
  </si>
  <si>
    <t>017 30708969</t>
  </si>
  <si>
    <t>mgrbkbazar@krishibank.org.bd</t>
  </si>
  <si>
    <t>035930437</t>
  </si>
  <si>
    <t>BHADRA BAZAR BRANCH</t>
  </si>
  <si>
    <t>BHADRA_BAZAR_BRANCH</t>
  </si>
  <si>
    <t>5007 / 043</t>
  </si>
  <si>
    <t>BHADRA BAZAR, NAGARPUR, TANGAIL 1937</t>
  </si>
  <si>
    <t>017 30708970</t>
  </si>
  <si>
    <t>mgrbhadrabazar@krishibank.org.bd</t>
  </si>
  <si>
    <t>035930466</t>
  </si>
  <si>
    <t>5015 / 046</t>
  </si>
  <si>
    <t>BUS STAND, BHUAPUR, TANGAIL</t>
  </si>
  <si>
    <t>mgrbhuapur@krishibank.org.bd</t>
  </si>
  <si>
    <t>035930529</t>
  </si>
  <si>
    <t>CHARPARA BAZAR BRANCH</t>
  </si>
  <si>
    <t>CHARPARA_BAZAR_BRANCH</t>
  </si>
  <si>
    <t>5031 / 052</t>
  </si>
  <si>
    <t>MERWAGHONA, DELDUAR, TANGAIL 1910</t>
  </si>
  <si>
    <t>017 30708972</t>
  </si>
  <si>
    <t>mgrcharparabazar@krishibank.org.bd</t>
  </si>
  <si>
    <t>035930587</t>
  </si>
  <si>
    <t>DELDUAR BRANCH</t>
  </si>
  <si>
    <t>DELDUAR_BRANCH</t>
  </si>
  <si>
    <t>5013 / 058</t>
  </si>
  <si>
    <t>DELDUAR, TANGAIL</t>
  </si>
  <si>
    <t>mgrdelduar@krishibank.org.bd</t>
  </si>
  <si>
    <t>035930679</t>
  </si>
  <si>
    <t>DHANBARI BRANCH</t>
  </si>
  <si>
    <t>DHANBARI_BRANCH</t>
  </si>
  <si>
    <t>5033 / 5033</t>
  </si>
  <si>
    <t>KENDUA ROAD, DHANBARI, TANGAIL</t>
  </si>
  <si>
    <t>mgrdhonbari@krishibank.org.bd</t>
  </si>
  <si>
    <t>035930824</t>
  </si>
  <si>
    <t>ELENGA BRANCH</t>
  </si>
  <si>
    <t>ELENGA_BRANCH</t>
  </si>
  <si>
    <t>5025 / 082</t>
  </si>
  <si>
    <t>ELENGA BAZAR, KALIHATI, TANGAIL</t>
  </si>
  <si>
    <t>mgrelenga@krishibank.org.bd</t>
  </si>
  <si>
    <t>035930916</t>
  </si>
  <si>
    <t>5020 / 091</t>
  </si>
  <si>
    <t>GHATAIL BAZAR, GHATAIL, TANGAIL</t>
  </si>
  <si>
    <t>09225 56062</t>
  </si>
  <si>
    <t>mgrghatail@krishibank.org.bd</t>
  </si>
  <si>
    <t>035931007</t>
  </si>
  <si>
    <t>5016 / 100</t>
  </si>
  <si>
    <t>BUS STAND, GOPALPUR, TANGAIL</t>
  </si>
  <si>
    <t>mgrgopalpur@krishibank.org.bd</t>
  </si>
  <si>
    <t>035931065</t>
  </si>
  <si>
    <t>GOYHATTA BAZAR BRANCH</t>
  </si>
  <si>
    <t>GOYHATTA_BAZAR_BRANCH</t>
  </si>
  <si>
    <t>5006 / 106</t>
  </si>
  <si>
    <t>GOYHATTA BAZAR, NAGARPUR, TANGAIL 1936</t>
  </si>
  <si>
    <t>017 30708977</t>
  </si>
  <si>
    <t>mgrgoyhattabazar@krishibank.org.bd</t>
  </si>
  <si>
    <t>035931128</t>
  </si>
  <si>
    <t>HATUBHANGA BRANCH</t>
  </si>
  <si>
    <t>HATUBHANGA_BRANCH</t>
  </si>
  <si>
    <t>5010 / 112</t>
  </si>
  <si>
    <t>HATUBHANGA, CHITESHWARI, MIRZAPUR, TANGAIL 1946</t>
  </si>
  <si>
    <t>017 30708978</t>
  </si>
  <si>
    <t>mgrhatubhanga@krishibank.org.bd</t>
  </si>
  <si>
    <t>035931210</t>
  </si>
  <si>
    <t>JHAWAIL BAZAR BRANCH</t>
  </si>
  <si>
    <t>JHAWAIL_BAZAR_BRANCH</t>
  </si>
  <si>
    <t>5019 / 121</t>
  </si>
  <si>
    <t>JHAWAIL BAZAR, GOPALPUR, GOPALPUR TANGAIL 1900</t>
  </si>
  <si>
    <t>mgrjhawail@krishibank.org.bd</t>
  </si>
  <si>
    <t>035931249</t>
  </si>
  <si>
    <t>5012 / 124</t>
  </si>
  <si>
    <t>KACHUA BAZAR, SAKHIPUR, TANGAIL 1951</t>
  </si>
  <si>
    <t>017 30708513</t>
  </si>
  <si>
    <t>035931278</t>
  </si>
  <si>
    <t>KAKRAID BRANCH</t>
  </si>
  <si>
    <t>KAKRAID_BRANCH</t>
  </si>
  <si>
    <t>5028 / 127</t>
  </si>
  <si>
    <t>KAKRAID, MADHUPUR, TANGAIL 1996</t>
  </si>
  <si>
    <t>017 30708981</t>
  </si>
  <si>
    <t>mgrkakraid@krishibank.org.bd</t>
  </si>
  <si>
    <t>035931302</t>
  </si>
  <si>
    <t>KALIHATI BRANCH</t>
  </si>
  <si>
    <t>KALIHATI_BRANCH</t>
  </si>
  <si>
    <t>5022 / 130</t>
  </si>
  <si>
    <t>KALIHATI BAZAR, TANGAIL</t>
  </si>
  <si>
    <t>mgrkalihati@krishibank.org.bd</t>
  </si>
  <si>
    <t>035931360</t>
  </si>
  <si>
    <t>5002 / 136</t>
  </si>
  <si>
    <t>KARATIA BAZAR, TANGAIL</t>
  </si>
  <si>
    <t>0921 62506</t>
  </si>
  <si>
    <t>mgrkarotia@krishibank.org.bd</t>
  </si>
  <si>
    <t>035931481</t>
  </si>
  <si>
    <t>5027 / 148</t>
  </si>
  <si>
    <t>MADHUPUR, TANGAIL</t>
  </si>
  <si>
    <t>mgrmodhopur@krishibank.org.bd</t>
  </si>
  <si>
    <t>035931515</t>
  </si>
  <si>
    <t>5009 / 151</t>
  </si>
  <si>
    <t>MIRZAPUR, TANGAIL</t>
  </si>
  <si>
    <t>mgrmirzapurtan@krishibank.org.bd</t>
  </si>
  <si>
    <t>035930082</t>
  </si>
  <si>
    <t>MOGRA BAZAR BRANCH</t>
  </si>
  <si>
    <t>MOGRA_BAZAR_BRANCH</t>
  </si>
  <si>
    <t>5034 / 5034</t>
  </si>
  <si>
    <t>MOGRA BAZAR, KALIHATI, TANGAIL 1900</t>
  </si>
  <si>
    <t>mgrmograbazar@krishibank.org.bd</t>
  </si>
  <si>
    <t>035931694</t>
  </si>
  <si>
    <t>5004 / 169</t>
  </si>
  <si>
    <t>NAGARPUR, TANGAIL</t>
  </si>
  <si>
    <t>mgrnagarpur@krishibank.org.bd</t>
  </si>
  <si>
    <t>035931728</t>
  </si>
  <si>
    <t>5030 / 172</t>
  </si>
  <si>
    <t>NALUA BAZAR, SAKHIPUR, TANGAIL 1950</t>
  </si>
  <si>
    <t>017 30708987</t>
  </si>
  <si>
    <t>mgrnaluabazar@krishibank.org.bd</t>
  </si>
  <si>
    <t>035931999</t>
  </si>
  <si>
    <t>PORABARI BRANCH</t>
  </si>
  <si>
    <t>PORABARI_BRANCH</t>
  </si>
  <si>
    <t>5003 / 199</t>
  </si>
  <si>
    <t>PLOT NO 315, KENDUA, PORABARI, TANGAIL</t>
  </si>
  <si>
    <t>mgrporabari@krishibank.org.bd</t>
  </si>
  <si>
    <t>035932080</t>
  </si>
  <si>
    <t>SAHABATPUR BAZAR BRANCH</t>
  </si>
  <si>
    <t>SAHABATPUR_BAZAR_BRANCH</t>
  </si>
  <si>
    <t>5005 / 208</t>
  </si>
  <si>
    <t>SAHABATPUR BAZAR, NAGARPUR, TANGAIL 1939</t>
  </si>
  <si>
    <t>017 30708989</t>
  </si>
  <si>
    <t>mgrsahabatpurbazar@krishibank.org.bd</t>
  </si>
  <si>
    <t>035932114</t>
  </si>
  <si>
    <t>SAJANPUR BRANCH</t>
  </si>
  <si>
    <t>SAJANPUR_BRANCH</t>
  </si>
  <si>
    <t>5017 / 211</t>
  </si>
  <si>
    <t>SAJANPUR, GOPALPUR, TANGAIL 1990</t>
  </si>
  <si>
    <t>017 30708990</t>
  </si>
  <si>
    <t>mgrsajapur@krishibank.org.bd</t>
  </si>
  <si>
    <t>035932206</t>
  </si>
  <si>
    <t>5011 / 220</t>
  </si>
  <si>
    <t>KACHUA ROAD, SAKHIPUR, TANGAIL</t>
  </si>
  <si>
    <t>mgrsakhipurtan@krishibank.org.bd</t>
  </si>
  <si>
    <t>035932235</t>
  </si>
  <si>
    <t>SHIMLA BAZAR BRANCH</t>
  </si>
  <si>
    <t>SHIMLA_BAZAR_BRANCH</t>
  </si>
  <si>
    <t>5018 / 223</t>
  </si>
  <si>
    <t>SHIMLA, GOPALPUR, TANGAIL 1993</t>
  </si>
  <si>
    <t>017 30708992</t>
  </si>
  <si>
    <t>mgrshimlabazar@krishibank.org.bd</t>
  </si>
  <si>
    <t>035930095</t>
  </si>
  <si>
    <t>SHOLAKURI BAZAR BRANCH</t>
  </si>
  <si>
    <t>SHOLAKURI_BAZAR_BRANCH</t>
  </si>
  <si>
    <t>5035 / 5035</t>
  </si>
  <si>
    <t>SHOLAKURI, MADHUPUR, TANGAIL</t>
  </si>
  <si>
    <t>mgrsholakuribazar@krishibank.org.bd</t>
  </si>
  <si>
    <t>035930190</t>
  </si>
  <si>
    <t>SINGURIA BAZAR BRANCH</t>
  </si>
  <si>
    <t>SINGURIA_BAZAR_BRANCH</t>
  </si>
  <si>
    <t>5021 / 019</t>
  </si>
  <si>
    <t>SINGURIA BAZAR, BHUAPUR, TANGAIL</t>
  </si>
  <si>
    <t>mgrsinguriabazar@krishibank.org.bd</t>
  </si>
  <si>
    <t>035930145</t>
  </si>
  <si>
    <t>TAKTERCHALA BAZAR BRANCH</t>
  </si>
  <si>
    <t>TAKTERCHALA_BAZAR_BRANCH</t>
  </si>
  <si>
    <t>5602 / 5602</t>
  </si>
  <si>
    <t>TAKTER CHALA, HATIBANDHA, SAKHIPUR, TANGAIL</t>
  </si>
  <si>
    <t>mgrtakterchala@krishibank.org.bd</t>
  </si>
  <si>
    <t>035932293</t>
  </si>
  <si>
    <t>5001 / 229</t>
  </si>
  <si>
    <t>PANCHANI BAZAR, TANGAIL 1900</t>
  </si>
  <si>
    <t>0921 53043</t>
  </si>
  <si>
    <t>mgrtangail@krishibank.org.bd</t>
  </si>
  <si>
    <t>BANGLADESH_SAMABAYA_BANK_LTD</t>
  </si>
  <si>
    <t>BANGLADESH SAMABAYA BANK LTD</t>
  </si>
  <si>
    <t>040271510</t>
  </si>
  <si>
    <t>040270003</t>
  </si>
  <si>
    <t>BANGLADESH_SMALL_INDUSTRIES_AND_COMMERCE_BANK_LIMITED</t>
  </si>
  <si>
    <t>BANGLADESH SMALL INDUSTRIES AND COMMERCE BANK LIMITED</t>
  </si>
  <si>
    <t>055060282</t>
  </si>
  <si>
    <t>BKSIBDDH</t>
  </si>
  <si>
    <t>102 CHAWKBAZAR ROAD, BARISAL</t>
  </si>
  <si>
    <t>0431 65022, 61022</t>
  </si>
  <si>
    <t>055100371</t>
  </si>
  <si>
    <t>BKSIBDDH012</t>
  </si>
  <si>
    <t>BHABANI SHACHIN BHABAN, HARI DASHI MARKET, 120 BARAGOLA, BOGRA 5800</t>
  </si>
  <si>
    <t>051 78793, 65672</t>
  </si>
  <si>
    <t>055150134</t>
  </si>
  <si>
    <t>BKSIBDDH008</t>
  </si>
  <si>
    <t>PINE VIEW, 100 AGRABAD C/A, CHITTAGONG 4100</t>
  </si>
  <si>
    <t>031 2520080, 725527, 814041</t>
  </si>
  <si>
    <t>055150589</t>
  </si>
  <si>
    <t>BKSIBDDH016</t>
  </si>
  <si>
    <t>MA SALAM MARKET, 774 ASADGANJ, CHITTAGONG 4100</t>
  </si>
  <si>
    <t>031 614569, 632112, 614942</t>
  </si>
  <si>
    <t>055151575</t>
  </si>
  <si>
    <t>CHITTAGONG EPZ BRANCH</t>
  </si>
  <si>
    <t>CHITTAGONG_EPZ_BRANCH</t>
  </si>
  <si>
    <t>MOON TOWER, EPZ GATE, SOUTH HALISHAHAR, CHITTAGONG 4100</t>
  </si>
  <si>
    <t>031 740094, 800512</t>
  </si>
  <si>
    <t>055152440</t>
  </si>
  <si>
    <t>4/B DT ROAD, POSTARPAR, DEWANHAT, CHITTAGONG 4100</t>
  </si>
  <si>
    <t>031 2512480-1</t>
  </si>
  <si>
    <t>055152561</t>
  </si>
  <si>
    <t>JANAKALYAN TOWER, MAIN RAOD,DOHAZARI, CHANDANAISH, CHITTAGONG</t>
  </si>
  <si>
    <t>044 39009133</t>
  </si>
  <si>
    <t>055153610</t>
  </si>
  <si>
    <t>JORARGANJ BRANCH</t>
  </si>
  <si>
    <t>JORARGANJ_BRANCH</t>
  </si>
  <si>
    <t>GOPINATHPUR, JORARGANJ, MIRERSHARAICHITTAGONG</t>
  </si>
  <si>
    <t>055153649</t>
  </si>
  <si>
    <t>BKSIBDDH013</t>
  </si>
  <si>
    <t>GR PLAZA, 5 JUBILEE ROAD, CHITTAGONG 4100</t>
  </si>
  <si>
    <t>031 634879, 638305</t>
  </si>
  <si>
    <t>055154277</t>
  </si>
  <si>
    <t>BKSIBDDH004</t>
  </si>
  <si>
    <t>193 KHATUNGANJ, CHITAGONG 4000</t>
  </si>
  <si>
    <t>031 614200, 614280</t>
  </si>
  <si>
    <t>055155926</t>
  </si>
  <si>
    <t>PLOT 9-10, BLOCK G, FIROZ SHAH HOUSING ESTATE, PAHARTOLI, CHITTAGONG</t>
  </si>
  <si>
    <t>031 2773449-50</t>
  </si>
  <si>
    <t>055156138</t>
  </si>
  <si>
    <t>IBRAHIM SOBAN TOWER, PATHERHAT, NOAPARA,RAOZAN, CHITTAGONG</t>
  </si>
  <si>
    <t>031 2573404, 2573406</t>
  </si>
  <si>
    <t>055157337</t>
  </si>
  <si>
    <t>733</t>
  </si>
  <si>
    <t>PROSKOV BHABAN, 110 CDA AVENUE, NASIRABAD, MURADPUR, CHITTAGONG</t>
  </si>
  <si>
    <t>031 651066, 650855</t>
  </si>
  <si>
    <t>055191151</t>
  </si>
  <si>
    <t>HOLDING 03, AMD COMPLEX MARKET, CHATIPATTY, RAJGANJ, COMILLA 3500</t>
  </si>
  <si>
    <t>081 65886</t>
  </si>
  <si>
    <t>055270551</t>
  </si>
  <si>
    <t>BABUBAZAR BRANCH</t>
  </si>
  <si>
    <t>BABUBAZAR_BRANCH</t>
  </si>
  <si>
    <t>BKSIBDDH023</t>
  </si>
  <si>
    <t>HAJEE YUSUF MANSION, 56 MITFORD ROAD, BABUBAZAR, DHAKA 1100</t>
  </si>
  <si>
    <t>02 7391335, 7393875</t>
  </si>
  <si>
    <t>055260437</t>
  </si>
  <si>
    <t>6 KEMAL ATATURK AVENUE, BANANI, DHAKA 1213</t>
  </si>
  <si>
    <t>02 8833402, 8833403, 8833407</t>
  </si>
  <si>
    <t>055270885</t>
  </si>
  <si>
    <t>BKSIBDDH006</t>
  </si>
  <si>
    <t>230 NORTH SOUTH ROAD, BANGSHAL, DHAKA 1100</t>
  </si>
  <si>
    <t>02 9563686, 9562615</t>
  </si>
  <si>
    <t>055260558</t>
  </si>
  <si>
    <t>PLOT 13, BLOCK A, MAIN ROAD, BASHUNDHARA R/A, DHAKA 1229</t>
  </si>
  <si>
    <t>02 8419650, 8419657, 8419658</t>
  </si>
  <si>
    <t>055260732</t>
  </si>
  <si>
    <t>DHAKA CANTONMENT BRANCH</t>
  </si>
  <si>
    <t>DHAKA_CANTONMENT_BRANCH</t>
  </si>
  <si>
    <t>CB 211/4, VIP ROAD, KOCHUKHET, BHASHANTEK,DHAKA CANTONMENT, DHAKA 1206</t>
  </si>
  <si>
    <t>02 8871159, 8871857</t>
  </si>
  <si>
    <t>055271905</t>
  </si>
  <si>
    <t>BKSIBDDH015</t>
  </si>
  <si>
    <t>14 DILKUSHA C/A, DHAKA 1000</t>
  </si>
  <si>
    <t>02 9563793-4</t>
  </si>
  <si>
    <t>055261728</t>
  </si>
  <si>
    <t>BKSIBDDH021</t>
  </si>
  <si>
    <t>RIDGE PARK, CRYSTAL PALACE, ROAD 140, GULSHAN SOUTH AVENUE, GULSHAN 1, DHAKA 1212</t>
  </si>
  <si>
    <t>02 9883501-2, 9862127</t>
  </si>
  <si>
    <t>055272988</t>
  </si>
  <si>
    <t>6-7 ISLAMPUR ROAD, DHAKA 1100</t>
  </si>
  <si>
    <t>02 57394422, 57394722</t>
  </si>
  <si>
    <t>055262530</t>
  </si>
  <si>
    <t>253</t>
  </si>
  <si>
    <t>LATIF TOWER, 47 KARWAN BAZAR, DHAKA 1215</t>
  </si>
  <si>
    <t>02 8180208, 9146294</t>
  </si>
  <si>
    <t>055273640</t>
  </si>
  <si>
    <t>CENTURY CITY COMPLEX, SHAHEED DELWAR HOSSAIN ROAD, EAST AGANAGAR, SOUTH KERANIGANJ, DHAKA</t>
  </si>
  <si>
    <t>02 7764283, 7764284</t>
  </si>
  <si>
    <t>055271789</t>
  </si>
  <si>
    <t>MAIN BRANCH</t>
  </si>
  <si>
    <t>MAIN_BRANCH</t>
  </si>
  <si>
    <t>BKSIBDDH002</t>
  </si>
  <si>
    <t>BANA SHILPA BHABAN, 73 MOTIJHEEL C/A, DHAKA 1000</t>
  </si>
  <si>
    <t>02 9563068, 9553322, 9570713</t>
  </si>
  <si>
    <t>055274007</t>
  </si>
  <si>
    <t>ASIATIC SHOPPING MALL COMPLEX, MOMINBAGHCHOWRASTA, MATUAIL, DEMRA, DHAKA</t>
  </si>
  <si>
    <t>02 7559797</t>
  </si>
  <si>
    <t>055262985</t>
  </si>
  <si>
    <t>BKSIBDDH022</t>
  </si>
  <si>
    <t>BSCIC ELECTRONICS COMPLEX, INDUSTRIAL PLOT 1/1, SECTION 7, AVENUE 4, ROAD 3, PALLABI, DHAKA 1221</t>
  </si>
  <si>
    <t>02 9006249-50</t>
  </si>
  <si>
    <t>055274423</t>
  </si>
  <si>
    <t>BKSIBDDH024</t>
  </si>
  <si>
    <t>GULBADAN MARKET, 4 MOULVIBAZAR, DHAKA 1211</t>
  </si>
  <si>
    <t>02 7315356, 7316991</t>
  </si>
  <si>
    <t>055264091</t>
  </si>
  <si>
    <t>SAVAR NEW MARKET, HOLDING 3, WARD 7, SAVAR, DHAKA 1340</t>
  </si>
  <si>
    <t>02 7745582</t>
  </si>
  <si>
    <t>055276342</t>
  </si>
  <si>
    <t>BKSIBDDH009</t>
  </si>
  <si>
    <t>CONCORD GRAND, 169/1 SHANTINAGAR ROAD, DHAKA 1217</t>
  </si>
  <si>
    <t>02 9337441, 8314057, 9348056, 9347547</t>
  </si>
  <si>
    <t>055264309</t>
  </si>
  <si>
    <t>HOUSE 24/1, BLOCK B, MOHAMMADPUR HOUSING ESTATE, RING ROAD, SHYAMOLI, DHAKA 1207</t>
  </si>
  <si>
    <t>02 9142412-13</t>
  </si>
  <si>
    <t>055264633</t>
  </si>
  <si>
    <t>PLOT 67/A, RABINDRA SARANI, SECTOR 7, UTTARA MODEL TOWN, DHAKA 1230</t>
  </si>
  <si>
    <t>02 8961032</t>
  </si>
  <si>
    <t>055330554</t>
  </si>
  <si>
    <t>GAZIPUR CHOWRASTA BRANCH</t>
  </si>
  <si>
    <t>GAZIPUR_CHOWRASTA_BRANCH</t>
  </si>
  <si>
    <t>NOOR PLAZA, GAZIPUR CHOWRASTA, MYMENSINGH ROAD, GAZIPUR</t>
  </si>
  <si>
    <t>02 9263115, 9263134</t>
  </si>
  <si>
    <t>055331003</t>
  </si>
  <si>
    <t>MAWNA BRANCH</t>
  </si>
  <si>
    <t>MAWNA_BRANCH</t>
  </si>
  <si>
    <t>HAMIDA COMPLEX, TELIHATI, SRIPUR, GAZIPUR 1741</t>
  </si>
  <si>
    <t>0682 551155</t>
  </si>
  <si>
    <t>055350671</t>
  </si>
  <si>
    <t>BANK BHABAN, SULTAN MARKET, GHAGORE BAZAR, KOTALIPARA, GOPALGANJ</t>
  </si>
  <si>
    <t>6651344, 6651343</t>
  </si>
  <si>
    <t>055351096</t>
  </si>
  <si>
    <t>220 POWRA SUPER MARKET, PATGATI BAZAR, TUNGIPARA, GOPALGANJ</t>
  </si>
  <si>
    <t>02 6656465</t>
  </si>
  <si>
    <t>055410940</t>
  </si>
  <si>
    <t>35 MK ROAD, JESSORE 7400</t>
  </si>
  <si>
    <t>0421 68586, 64288</t>
  </si>
  <si>
    <t>055411099</t>
  </si>
  <si>
    <t>SAMAD MARKET, KRISHNANAGAR, JHIKARGACHAJESSORE</t>
  </si>
  <si>
    <t>04225 71635, 71636</t>
  </si>
  <si>
    <t>055471400</t>
  </si>
  <si>
    <t>KDA AVENUE BRANCH</t>
  </si>
  <si>
    <t>KDA_AVENUE_BRANCH</t>
  </si>
  <si>
    <t>AL-MUMIN CENTRE, 58 KDA AVENUE, SONADANGA, KHULNA 9100</t>
  </si>
  <si>
    <t>041 2832920, 2832924</t>
  </si>
  <si>
    <t>055471547</t>
  </si>
  <si>
    <t>BKSIBDDH025</t>
  </si>
  <si>
    <t>107 SIR IQBAL ROAD, KHULNA 9100</t>
  </si>
  <si>
    <t>041 720361, 721672</t>
  </si>
  <si>
    <t>055580375</t>
  </si>
  <si>
    <t>CHOWMUHANA BRANCH</t>
  </si>
  <si>
    <t>CHOWMUHANA_BRANCH</t>
  </si>
  <si>
    <t>152 SHAMSERNAGAR ROAD, CHOWMUHANA, MOULVIBAZAR 3200</t>
  </si>
  <si>
    <t>0861 53238</t>
  </si>
  <si>
    <t>055671789</t>
  </si>
  <si>
    <t>BKSIBDDH014</t>
  </si>
  <si>
    <t>55/21 STS TOWER, SM MALEH ROAD, TANBAZAR, NARAYANGANJ 1400</t>
  </si>
  <si>
    <t>02 7631862, 7648601, 7646233</t>
  </si>
  <si>
    <t>055680688</t>
  </si>
  <si>
    <t>BANK PARA, MADHABDI BAZAR, NARSINGDI 1604</t>
  </si>
  <si>
    <t>9446984, 9446985</t>
  </si>
  <si>
    <t>055680859</t>
  </si>
  <si>
    <t>SUTAPATTI ROAD, NARSINGDI 1600</t>
  </si>
  <si>
    <t>9463145, 9452445</t>
  </si>
  <si>
    <t>055730796</t>
  </si>
  <si>
    <t>TR ROAD, SAIDPUR, NILPHAMARI 5310</t>
  </si>
  <si>
    <t>05526 72299, 72211</t>
  </si>
  <si>
    <t>055811936</t>
  </si>
  <si>
    <t>ANAM PLAZA, SHAHEB BAZAR, RAJSHAHI 6100</t>
  </si>
  <si>
    <t>0721 776278, 770976</t>
  </si>
  <si>
    <t>055851459</t>
  </si>
  <si>
    <t>97/1 CENTRAL POINT, CENTRAL ROAD,RANGPUR 5400</t>
  </si>
  <si>
    <t>0521 67811,67812</t>
  </si>
  <si>
    <t>055913450</t>
  </si>
  <si>
    <t>SONARPARA BRANCH</t>
  </si>
  <si>
    <t>SONARPARA_BRANCH</t>
  </si>
  <si>
    <t>61 MONSUF-ROWSHAN PLAZA, SYLHET-TAMABIL ROAD, RAYNAGAR, SONARPARA, SYLHET</t>
  </si>
  <si>
    <t>0821 728780, 728802</t>
  </si>
  <si>
    <t>055914154</t>
  </si>
  <si>
    <t>BKSIBDDH026</t>
  </si>
  <si>
    <t>WAHID VIEW, 5477 EAST ZINDABAZAR, SYLHET 3100</t>
  </si>
  <si>
    <t>0821 718462, 712548</t>
  </si>
  <si>
    <t>BANK_ALFALAH_LIMITED</t>
  </si>
  <si>
    <t>065</t>
  </si>
  <si>
    <t>BANK ALFALAH LIMITED</t>
  </si>
  <si>
    <t>065150137</t>
  </si>
  <si>
    <t>ALFHBDDH703</t>
  </si>
  <si>
    <t>AS-SALAM TOWER 57, AGRABAD C/A, CHITTAGONG</t>
  </si>
  <si>
    <t>031 2510481-8</t>
  </si>
  <si>
    <t>065261189</t>
  </si>
  <si>
    <t>ALFHBDDH</t>
  </si>
  <si>
    <t>HOUSE 81/A, ROAD 8/A,SATMASJID ROAD, DHANMONDI, DHAKA 1209</t>
  </si>
  <si>
    <t>02 9126237, 9123578</t>
  </si>
  <si>
    <t>065261721</t>
  </si>
  <si>
    <t>ALFHBDDH702</t>
  </si>
  <si>
    <t>168 GULSHAN AVENUE, DHAKA 1212</t>
  </si>
  <si>
    <t>02 8833112-4, 9855768</t>
  </si>
  <si>
    <t>065262988</t>
  </si>
  <si>
    <t>LAKEWOOD AVENUE PLOT 1, AVENUE 1, BLOCK D, SECTION 11, MIRPUR, DHAKA 1216</t>
  </si>
  <si>
    <t>02 9028451, 9028452</t>
  </si>
  <si>
    <t>065271782</t>
  </si>
  <si>
    <t>PRINTERS BUILDING, 5 RAJUK AVENUE, MOTIJHEEL, DHAKA 1000</t>
  </si>
  <si>
    <t>02 9587890-4</t>
  </si>
  <si>
    <t>065264636</t>
  </si>
  <si>
    <t>HOUSE 4, GARIB E NEWAZ AVENUE ROAD, SECTOR 11, UTTARA, DHAKA 1230</t>
  </si>
  <si>
    <t>02 8991619, 8991736</t>
  </si>
  <si>
    <t>065270004</t>
  </si>
  <si>
    <t>065913558</t>
  </si>
  <si>
    <t>JR TOWER, 23 ABASH, JAIL ROAD, NORTH BANDAR BAZAR, SYLHET</t>
  </si>
  <si>
    <t>0821 711487, 711268, 711796</t>
  </si>
  <si>
    <t>BANK_ASIA_LIMITED</t>
  </si>
  <si>
    <t>BANK ASIA LIMITED</t>
  </si>
  <si>
    <t>070100372</t>
  </si>
  <si>
    <t>BALBBDDH</t>
  </si>
  <si>
    <t>JAMIL SHOPPING CENTRE, BARAGOLA, BOGRA</t>
  </si>
  <si>
    <t>051 51642-4</t>
  </si>
  <si>
    <t>070150135</t>
  </si>
  <si>
    <t>BALBBDDH005</t>
  </si>
  <si>
    <t>69 AGRABAD C/ A, CHITTAGONG</t>
  </si>
  <si>
    <t>031 714665, 724876, 714703</t>
  </si>
  <si>
    <t>070150469</t>
  </si>
  <si>
    <t>BALBBDDH030</t>
  </si>
  <si>
    <t>184 JM SEN AVENUE, ANDERKILLA, CHITTAGONG</t>
  </si>
  <si>
    <t>031 2854882-3</t>
  </si>
  <si>
    <t>070150793</t>
  </si>
  <si>
    <t>BAHADDERHAT BRANCH</t>
  </si>
  <si>
    <t>BAHADDERHAT_BRANCH</t>
  </si>
  <si>
    <t>MAMTAZ TOWER, 4540 BAHADDERHAT, CHITTAGONG</t>
  </si>
  <si>
    <t>031 2553741-44</t>
  </si>
  <si>
    <t>070151213</t>
  </si>
  <si>
    <t>BHATIARY BRANCH</t>
  </si>
  <si>
    <t>BHATIARY_BRANCH</t>
  </si>
  <si>
    <t>BHATIARY, SHITAKUNDA, CHITTAGONG</t>
  </si>
  <si>
    <t>031 2781077-78, 044 36141076-78</t>
  </si>
  <si>
    <t>070151484</t>
  </si>
  <si>
    <t>BALBBDDH018</t>
  </si>
  <si>
    <t>665 CDA AVENUE, EAST NASIRABAD, CHITTAGONG</t>
  </si>
  <si>
    <t>031 2850091-92, 2863640</t>
  </si>
  <si>
    <t>070151763</t>
  </si>
  <si>
    <t>CHAKTAI SME</t>
  </si>
  <si>
    <t>CHAKTAI_SME</t>
  </si>
  <si>
    <t>176</t>
  </si>
  <si>
    <t>070151576</t>
  </si>
  <si>
    <t>CHITTAGONG EZP BRANCH</t>
  </si>
  <si>
    <t>CHITTAGONG_EZP_BRANCH</t>
  </si>
  <si>
    <t>BALBBDDH027</t>
  </si>
  <si>
    <t>ZONE SERVICE COMPLEX, CEPZ, CHITTAGONG</t>
  </si>
  <si>
    <t>031 800400, 8800406</t>
  </si>
  <si>
    <t>070152562</t>
  </si>
  <si>
    <t>SADEK TOWER, DOHAZARI, CHITTAGONG</t>
  </si>
  <si>
    <t>070153974</t>
  </si>
  <si>
    <t>397</t>
  </si>
  <si>
    <t>KABIR TOWER, KAMAL BAZAR MOHORA, KALUGHAT, CHITTAGONG</t>
  </si>
  <si>
    <t>031 2572871, 2572872, 2572873</t>
  </si>
  <si>
    <t>070154078</t>
  </si>
  <si>
    <t>KARNAPHULI EPZ BRANCH</t>
  </si>
  <si>
    <t>KARNAPHULI_EPZ_BRANCH</t>
  </si>
  <si>
    <t>KEPZ ZONE SERVICE COMPLEX, NORTH POTENGA, CHITTAGONG</t>
  </si>
  <si>
    <t>070154278</t>
  </si>
  <si>
    <t>BALBBDDH013</t>
  </si>
  <si>
    <t>273/268 KHATUNGANJ, CHITTAGONG</t>
  </si>
  <si>
    <t>031 610036, 638013</t>
  </si>
  <si>
    <t>070154636</t>
  </si>
  <si>
    <t>LICHUBAGAN BRANCH</t>
  </si>
  <si>
    <t>LICHUBAGAN_BRANCH</t>
  </si>
  <si>
    <t>AL-EMARAT COMPLEX, LICHUBAGAN, CHANDRAGHONA, RANGUNIA, CHITTAGONG</t>
  </si>
  <si>
    <t>070154665</t>
  </si>
  <si>
    <t>MOSTAFA CENTRE, LOHAGARA, CHITTAGONG</t>
  </si>
  <si>
    <t>03034 56304, 56640</t>
  </si>
  <si>
    <t>070154902</t>
  </si>
  <si>
    <t>MCB SK MUJIB ROAD BRANCH</t>
  </si>
  <si>
    <t>MCB_SK_MUJIB_ROAD_BRANCH</t>
  </si>
  <si>
    <t>490</t>
  </si>
  <si>
    <t>BALBBDDH009</t>
  </si>
  <si>
    <t>1269/B SK MUJIB ROAD, AGRABAD C/A, CHITTAGONG</t>
  </si>
  <si>
    <t>031 715125-7</t>
  </si>
  <si>
    <t>070155880</t>
  </si>
  <si>
    <t>OXYGEN MORE BRANCH</t>
  </si>
  <si>
    <t>OXYGEN_MORE_BRANCH</t>
  </si>
  <si>
    <t>588</t>
  </si>
  <si>
    <t>422 OXYZEN MORE, KULGAON, BIAZID, CHITTAGONG</t>
  </si>
  <si>
    <t>031 2583701-3</t>
  </si>
  <si>
    <t>070158140</t>
  </si>
  <si>
    <t>814</t>
  </si>
  <si>
    <t>IBRAHIM SOBHAR TOWER, PATHERHAT, NOAPARA, RAOZAN, CHITTAGONG</t>
  </si>
  <si>
    <t>031 2573111-2</t>
  </si>
  <si>
    <t>070157512</t>
  </si>
  <si>
    <t>751</t>
  </si>
  <si>
    <t>BALBBDDH022</t>
  </si>
  <si>
    <t>MOHIUDDIN MARKET, 170 STATION ROAD, CHITTAGONG</t>
  </si>
  <si>
    <t>031 2850934, 2850935, 6074487118</t>
  </si>
  <si>
    <t>070157570</t>
  </si>
  <si>
    <t>SA CHAMBER, 317 STRAND ROAD, MAJHIRGHAT, CHITTAGONG</t>
  </si>
  <si>
    <t>031 2513611-2</t>
  </si>
  <si>
    <t>070220252</t>
  </si>
  <si>
    <t>070270165</t>
  </si>
  <si>
    <t>AGLA BAZAR BRANCH</t>
  </si>
  <si>
    <t>AGLA_BAZAR_BRANCH</t>
  </si>
  <si>
    <t>SHAFI PLAZA, AGLABAZAR, NOWABGANJ, DHAKA</t>
  </si>
  <si>
    <t>070260225</t>
  </si>
  <si>
    <t>CHOWDHURY PLAZA, ZAMGARA BAZAR, ASHULIA, SAVAR, DHAKA</t>
  </si>
  <si>
    <t>02 7790447</t>
  </si>
  <si>
    <t>070260238</t>
  </si>
  <si>
    <t>ASHULIA SME BRANCH</t>
  </si>
  <si>
    <t>ASHULIA_SME_BRANCH</t>
  </si>
  <si>
    <t>023</t>
  </si>
  <si>
    <t>TANVIR SUPER MARKET, ASHULIA BAZAR BUS STAND, SAVAR, DHAKA</t>
  </si>
  <si>
    <t>02 7744979, 7744975-6</t>
  </si>
  <si>
    <t>070260559</t>
  </si>
  <si>
    <t>PLOT 25, BLOCK A, AVENUE ROAD, BASHUNDHARA R/A, DHAKA</t>
  </si>
  <si>
    <t>02 8835321, 8835322</t>
  </si>
  <si>
    <t>070260854</t>
  </si>
  <si>
    <t>CORPORATE BRANCH</t>
  </si>
  <si>
    <t>CORPORATE_BRANCH</t>
  </si>
  <si>
    <t>BALBBDDH002</t>
  </si>
  <si>
    <t>NOOR TOWER, 73 SONARGAON ROAD, DHAKA 1205</t>
  </si>
  <si>
    <t>02 9674501, 9674502</t>
  </si>
  <si>
    <t>070260917</t>
  </si>
  <si>
    <t>DAKSHINKHAN BRANCH</t>
  </si>
  <si>
    <t>DAKSHINKHAN_BRANCH</t>
  </si>
  <si>
    <t>KC PLAZA, NOAPARA, DAKSHINKHAN, UTTARA, DHAKA</t>
  </si>
  <si>
    <t>070261187</t>
  </si>
  <si>
    <t>MEHER PLAZA, HOUSE 13/A, ROAD 5, DHANMONDI, DHAKA 1205</t>
  </si>
  <si>
    <t>02 9675918, 8624874-5, 9668361, 8631710</t>
  </si>
  <si>
    <t>070271427</t>
  </si>
  <si>
    <t>DONIA BRANCH</t>
  </si>
  <si>
    <t>DONIA_BRANCH</t>
  </si>
  <si>
    <t>HOSSAIN TOWER, SHAMPUR, DHAKA 1236</t>
  </si>
  <si>
    <t>02 7540055,044 7675051-52</t>
  </si>
  <si>
    <t>070261332</t>
  </si>
  <si>
    <t>64 ELEPHANT ROAD, DHAKA</t>
  </si>
  <si>
    <t>02 9669351, 9669331</t>
  </si>
  <si>
    <t>070270215</t>
  </si>
  <si>
    <t>ESKATON GARDEN ROAD BRANCH</t>
  </si>
  <si>
    <t>ESKATON_GARDEN_ROAD_BRANCH</t>
  </si>
  <si>
    <t>1 ESKATON GARDEN ROAD, DHAKA</t>
  </si>
  <si>
    <t>070262052</t>
  </si>
  <si>
    <t>MOLLA MARKET, HEMAYETPUR BUS STAND, TETULTOLA, SAVAR, DHAKA</t>
  </si>
  <si>
    <t>070273438</t>
  </si>
  <si>
    <t>KALATIA BRANCH</t>
  </si>
  <si>
    <t>KALATIA_BRANCH</t>
  </si>
  <si>
    <t>KALATIA SHOPPING CENTRE, SHAMSERPUR, KERANIGANJ, DHAKA</t>
  </si>
  <si>
    <t>070262836</t>
  </si>
  <si>
    <t>LALMATIA BRANCH</t>
  </si>
  <si>
    <t>LALMATIA_BRANCH</t>
  </si>
  <si>
    <t>PLOT 4/3, BLOCK D, LALMATIA HOUSING ESTATE, DHAKA</t>
  </si>
  <si>
    <t>070274037</t>
  </si>
  <si>
    <t>MCB BANANI BRANCH</t>
  </si>
  <si>
    <t>MCB_BANANI_BRANCH</t>
  </si>
  <si>
    <t>BALBBDDH012</t>
  </si>
  <si>
    <t>AR TOWER, 24 KAMAL ATATURK ROAD, BANANI, DHAKA 1213</t>
  </si>
  <si>
    <t>02 9885610, 9899833</t>
  </si>
  <si>
    <t>070262928</t>
  </si>
  <si>
    <t>MCB DILKUSHA BRANCH</t>
  </si>
  <si>
    <t>MCB_DILKUSHA_BRANCH</t>
  </si>
  <si>
    <t>BALBBDDH008</t>
  </si>
  <si>
    <t>4 DILKUSHA C/A, DHAKA 1000</t>
  </si>
  <si>
    <t>02 9568871-3</t>
  </si>
  <si>
    <t>070262986</t>
  </si>
  <si>
    <t>NISHI PLAZA, PLOT 1, AVENUE 4, SECTION 6, BLOCK C, PALLABI, MIRPUR, DHAKA 1216</t>
  </si>
  <si>
    <t>02 9013814, 9013841, 9013844</t>
  </si>
  <si>
    <t>070274066</t>
  </si>
  <si>
    <t>MITFORD BRANCH</t>
  </si>
  <si>
    <t>MITFORD_BRANCH</t>
  </si>
  <si>
    <t>406</t>
  </si>
  <si>
    <t>BALBBDDH014</t>
  </si>
  <si>
    <t>BISMILLAH TOWER, 147/148 MITFORD ROAD, DHAKA 1100</t>
  </si>
  <si>
    <t>02 7320620-1</t>
  </si>
  <si>
    <t>070274187</t>
  </si>
  <si>
    <t>MOGHBAZAR BRANCH</t>
  </si>
  <si>
    <t>MOGHBAZAR_BRANCH</t>
  </si>
  <si>
    <t>TROPICAL ML POINT, 43 NEW CIRCULAR ROAD, MOGHBAZAR, DHAKA 1217</t>
  </si>
  <si>
    <t>02 8321245, 8321578, 044 74650725-26</t>
  </si>
  <si>
    <t>070263198</t>
  </si>
  <si>
    <t>BALBBDDH028</t>
  </si>
  <si>
    <t>82 MOHAKHALI C/A, DHAKA 1212</t>
  </si>
  <si>
    <t>02 9857236, 9857420, 9857429</t>
  </si>
  <si>
    <t>070263556</t>
  </si>
  <si>
    <t>BALBBDDH017</t>
  </si>
  <si>
    <t>89 SHAHEED SYED NAZRUL ISLAM SHARANI, NORTH SOUTH ROAD, DHAKA</t>
  </si>
  <si>
    <t>02 9563768-69</t>
  </si>
  <si>
    <t>070275207</t>
  </si>
  <si>
    <t>PALTAN BRANCH</t>
  </si>
  <si>
    <t>PALTAN_BRANCH</t>
  </si>
  <si>
    <t>520</t>
  </si>
  <si>
    <t>RANGS TOWER, 68 PURANA PALTAN, DHAKA 1000</t>
  </si>
  <si>
    <t>02 7113844, 7115594, 7115664, 7120488</t>
  </si>
  <si>
    <t>070270152</t>
  </si>
  <si>
    <t>PARAGRAM BAZAR BRANCH</t>
  </si>
  <si>
    <t>PARAGRAM_BAZAR_BRANCH</t>
  </si>
  <si>
    <t>MOMOTAJ TOWER, PARAGRAM BAZAR, KOILAIL, NAWABGANJ, DHAKA</t>
  </si>
  <si>
    <t>017 55624860, 017 77792161</t>
  </si>
  <si>
    <t>070270202</t>
  </si>
  <si>
    <t>PARIBAGH BRANCH</t>
  </si>
  <si>
    <t>PARIBAGH_BRANCH</t>
  </si>
  <si>
    <t>BANGABANDHU SHEIKH MUJIB MEDICAL UNIVERSITY, PARIBAGH, DHAKA</t>
  </si>
  <si>
    <t>070263701</t>
  </si>
  <si>
    <t>VENUS COMPLEX, KHA-199/2-199/4 PRAGOTI SARANI, BADDA, DHAKA</t>
  </si>
  <si>
    <t>02 8824653, 8824467, 8824687</t>
  </si>
  <si>
    <t>070275357</t>
  </si>
  <si>
    <t>PRINCIPAL OFFICE BRANCH</t>
  </si>
  <si>
    <t>PRINCIPAL_OFFICE_BRANCH</t>
  </si>
  <si>
    <t>BALBBDDH003</t>
  </si>
  <si>
    <t>111-113 MOTIJHEEL C/A DHAKA 1000</t>
  </si>
  <si>
    <t>02 9571450, 9571451</t>
  </si>
  <si>
    <t>070275836</t>
  </si>
  <si>
    <t>583</t>
  </si>
  <si>
    <t>RIMA PLAZA, ROHITPUR BOARDING, KERANIGONJ, DHAKA</t>
  </si>
  <si>
    <t>070264018</t>
  </si>
  <si>
    <t>RUPNAGAR BRANCH</t>
  </si>
  <si>
    <t>RUPNAGAR_BRANCH</t>
  </si>
  <si>
    <t>401</t>
  </si>
  <si>
    <t>PLOT 34, ROAD 16 RUPNAGAR, MIRPUR, DHAKA</t>
  </si>
  <si>
    <t>02 9016692-3</t>
  </si>
  <si>
    <t>070264034</t>
  </si>
  <si>
    <t>HOUSE 42, ROAD 2A DHANMONDI, DHAKA</t>
  </si>
  <si>
    <t>070264092</t>
  </si>
  <si>
    <t>B-70/1 BAZAR ROAD, SAVAR, DHAKA</t>
  </si>
  <si>
    <t>02 7744857, 7744889</t>
  </si>
  <si>
    <t>070276130</t>
  </si>
  <si>
    <t>SCOTIA BRANCH</t>
  </si>
  <si>
    <t>SCOTIA_BRANCH</t>
  </si>
  <si>
    <t>BALBBDDH007</t>
  </si>
  <si>
    <t>RANGS BHABAN, 117/A OLD AIRPORT ROAD, BIJAY SARANI, DHAKA</t>
  </si>
  <si>
    <t>02 9137512, 9137513, 9137514</t>
  </si>
  <si>
    <t>070276343</t>
  </si>
  <si>
    <t>TREASURE ISLAND, 42-43 SIDDESHWARI CIRCULAR ROAD, DHAKA 1217</t>
  </si>
  <si>
    <t>02 8333979, 044 76000273-276</t>
  </si>
  <si>
    <t>070264300</t>
  </si>
  <si>
    <t>23/4 KHILJEE ROAD, BLOCK B, SHYAMOLI, DHAKA</t>
  </si>
  <si>
    <t>02 9103565-66</t>
  </si>
  <si>
    <t>070260083</t>
  </si>
  <si>
    <t>CIRCLE WINDFLOWER, PLOT 30, SECTION 11, SONARGAON JANAPATH ROAD, UTTARA, DHAKA</t>
  </si>
  <si>
    <t>070264526</t>
  </si>
  <si>
    <t>TEJGAON LINK ROAD BRANCH</t>
  </si>
  <si>
    <t>TEJGAON_LINK_ROAD_BRANCH</t>
  </si>
  <si>
    <t>SHANTA WESTERN TOWER, 186 TEJGAON I/A, DHAKA</t>
  </si>
  <si>
    <t>02 8870081-4</t>
  </si>
  <si>
    <t>070264634</t>
  </si>
  <si>
    <t>BALBBDDH015</t>
  </si>
  <si>
    <t>HOUSE 79A, ROAD 07, UTTARA MODEL TOWN, DHAKA</t>
  </si>
  <si>
    <t>02 8957427-9</t>
  </si>
  <si>
    <t>070261729</t>
  </si>
  <si>
    <t>GULSHAN</t>
  </si>
  <si>
    <t>070270981</t>
  </si>
  <si>
    <t>BASHABOO SME</t>
  </si>
  <si>
    <t>BASHABOO_SME</t>
  </si>
  <si>
    <t>098</t>
  </si>
  <si>
    <t>070272684</t>
  </si>
  <si>
    <t>070273238</t>
  </si>
  <si>
    <t>JATRABARI SME</t>
  </si>
  <si>
    <t>JATRABARI_SME</t>
  </si>
  <si>
    <t>323</t>
  </si>
  <si>
    <t>070273320</t>
  </si>
  <si>
    <t>JURAIN SME</t>
  </si>
  <si>
    <t>JURAIN_SME</t>
  </si>
  <si>
    <t>332</t>
  </si>
  <si>
    <t>070270002</t>
  </si>
  <si>
    <t>070290529</t>
  </si>
  <si>
    <t>THANA ROAD, FARIDPUR</t>
  </si>
  <si>
    <t>0631 67206, 67207</t>
  </si>
  <si>
    <t>070330526</t>
  </si>
  <si>
    <t>AKBAR TRADE CENTER, SHIVBARI MORE, GAZIPUR</t>
  </si>
  <si>
    <t>070330942</t>
  </si>
  <si>
    <t>RUPJAN TOWER, NILNAGAR, KONABARI, GAZIPUR</t>
  </si>
  <si>
    <t>02 9298882-3</t>
  </si>
  <si>
    <t>070331633</t>
  </si>
  <si>
    <t>TONGI BAZAR BRANCH</t>
  </si>
  <si>
    <t>TONGI_BAZAR_BRANCH</t>
  </si>
  <si>
    <t>MARIOM TOWER, 13 ANARKOLI ROAD, TONGI BAZAR, GAZIPUR</t>
  </si>
  <si>
    <t>02 9816303-5</t>
  </si>
  <si>
    <t>070410941</t>
  </si>
  <si>
    <t>JESS TOWER, 39 MK ROAD, JESSORE</t>
  </si>
  <si>
    <t>0421 67728, 67748, 67783, 67784</t>
  </si>
  <si>
    <t>070471548</t>
  </si>
  <si>
    <t>AL-MASHAH COMPLEX, 44 MOJID SARANI, KDA AVENUE (SHIB BARI MORE), KHULNA</t>
  </si>
  <si>
    <t>041 2830134-7</t>
  </si>
  <si>
    <t>070472163</t>
  </si>
  <si>
    <t>PURATON BORO BAZAR SME</t>
  </si>
  <si>
    <t>PURATON_BORO_BAZAR_SME</t>
  </si>
  <si>
    <t>216</t>
  </si>
  <si>
    <t>070480197</t>
  </si>
  <si>
    <t>KALIBARI ROAD, BHAIRAB BAZAR, KISHOREGANJ</t>
  </si>
  <si>
    <t>09424 72328-31</t>
  </si>
  <si>
    <t>070481154</t>
  </si>
  <si>
    <t>TARAIL BAZAR, KISHOREGANJ</t>
  </si>
  <si>
    <t>09434 75099</t>
  </si>
  <si>
    <t>070510191</t>
  </si>
  <si>
    <t>CHANDRAGANJ BRANCH</t>
  </si>
  <si>
    <t>CHANDRAGANJ_BRANCH</t>
  </si>
  <si>
    <t>39 SHARIF PLAZA, MADDHO BAZAR, CHANDRAGANJ, LAKSHMIPUR</t>
  </si>
  <si>
    <t>070511037</t>
  </si>
  <si>
    <t>RAMGANJ SME BRANCH</t>
  </si>
  <si>
    <t>RAMGANJ_SME_BRANCH</t>
  </si>
  <si>
    <t>ANUPOM SUPER MARKET, BYPASS ROAD, RAMGANJ, LAKSHMIPUR</t>
  </si>
  <si>
    <t>03824 75080,75171</t>
  </si>
  <si>
    <t>070581188</t>
  </si>
  <si>
    <t>SHAH MOSTAFA GARDEN CITY, M SAIFUR RAHMAN ROAD, MOULVIBAZAR</t>
  </si>
  <si>
    <t>0861 63601, 63602</t>
  </si>
  <si>
    <t>070590153</t>
  </si>
  <si>
    <t>BALIGAON SME BRANCH</t>
  </si>
  <si>
    <t>BALIGAON_SME_BRANCH</t>
  </si>
  <si>
    <t>DEWAN SUPER MARKET, BALIGAON BAZAR, TONGIBARI, MUNSHIGANJ</t>
  </si>
  <si>
    <t>070590887</t>
  </si>
  <si>
    <t>MALKHANAGAR BRANCH</t>
  </si>
  <si>
    <t>MALKHANAGAR_BRANCH</t>
  </si>
  <si>
    <t>UNION PARISHAD BHABAN, TALTOLA BAZAR, MALKHANAGAR, MUNSHIGANJ</t>
  </si>
  <si>
    <t>017 11831040</t>
  </si>
  <si>
    <t>070591660</t>
  </si>
  <si>
    <t>NIMTALA BRANCH</t>
  </si>
  <si>
    <t>NIMTALA_BRANCH</t>
  </si>
  <si>
    <t>HEMANTA SHOPPING COMPLEX, NIMTALA, SIRAJDIKHAN, MUNSHIGANJ</t>
  </si>
  <si>
    <t>070591286</t>
  </si>
  <si>
    <t>SERAJDIKHAN SME BRANCH</t>
  </si>
  <si>
    <t>SERAJDIKHAN_SME_BRANCH</t>
  </si>
  <si>
    <t>128</t>
  </si>
  <si>
    <t>SIKDER MARKET, SERAJDIKHAN BAZAR, MUNSHIGANJ</t>
  </si>
  <si>
    <t>02 7628380, 7628364</t>
  </si>
  <si>
    <t>070670523</t>
  </si>
  <si>
    <t>SWISS POINT, FATULLAH, NARAYANGANJ</t>
  </si>
  <si>
    <t>070671180</t>
  </si>
  <si>
    <t>JAHAN PLAZA, 20 SIRAJUDDOWLA ROAD, FALPATTY, NARAYANGANJ</t>
  </si>
  <si>
    <t>070750580</t>
  </si>
  <si>
    <t>HOLDING 3147, KHILPARA ROAD, CHATKHIL BAZAR, NOAKHALI</t>
  </si>
  <si>
    <t>03222 75179, 75264</t>
  </si>
  <si>
    <t>070752238</t>
  </si>
  <si>
    <t>UNITED PLAZA, BANK ROAD, SONAIMURI BAZAR, NOAKHALI</t>
  </si>
  <si>
    <t>070761216</t>
  </si>
  <si>
    <t>KENDRIO JAME MASJID MARKET, STATION ROAD, ISHWARDI, PABNA</t>
  </si>
  <si>
    <t>070811937</t>
  </si>
  <si>
    <t>AHMED PLAZA, ALU PATTI, RAJSHAHI</t>
  </si>
  <si>
    <t>0721 812503-4</t>
  </si>
  <si>
    <t>070900493</t>
  </si>
  <si>
    <t>76 T&amp;amp;T ROAD, WARD 07, JAGANNATHPUR BAZAR, SUNAMGANJ</t>
  </si>
  <si>
    <t>070910317</t>
  </si>
  <si>
    <t>TAZMA SHOPPING CITY, BEANI BAZAR, SYLHET</t>
  </si>
  <si>
    <t>08223 56103-4</t>
  </si>
  <si>
    <t>070912502</t>
  </si>
  <si>
    <t>MAIN ROAD, LALDIGHIRPAR, SYLHET</t>
  </si>
  <si>
    <t>0821 719901, 719904</t>
  </si>
  <si>
    <t>070913035</t>
  </si>
  <si>
    <t>REKABIBAZAR SME</t>
  </si>
  <si>
    <t>REKABIBAZAR_SME</t>
  </si>
  <si>
    <t>303</t>
  </si>
  <si>
    <t>070913798</t>
  </si>
  <si>
    <t>379</t>
  </si>
  <si>
    <t>NILOY, 60 DARGAH GATE, SYLHET</t>
  </si>
  <si>
    <t>0821 722616, 712256</t>
  </si>
  <si>
    <t>070913730</t>
  </si>
  <si>
    <t>UPASHAHAR BRANCH</t>
  </si>
  <si>
    <t>UPASHAHAR_BRANCH</t>
  </si>
  <si>
    <t>373</t>
  </si>
  <si>
    <t>RAHIM TOWER, SUBHANIGHAT BISHWA ROAD, SYLHET</t>
  </si>
  <si>
    <t>0821 815844</t>
  </si>
  <si>
    <t>BASIC_BANK_LTD</t>
  </si>
  <si>
    <t>BASIC BANK LTD</t>
  </si>
  <si>
    <t>055102890</t>
  </si>
  <si>
    <t>SERAJGANJ</t>
  </si>
  <si>
    <t>055261186</t>
  </si>
  <si>
    <t>DHANMONDI</t>
  </si>
  <si>
    <t>055272683</t>
  </si>
  <si>
    <t>055270001</t>
  </si>
  <si>
    <t>BRAC_BANK_LIMITED</t>
  </si>
  <si>
    <t>060</t>
  </si>
  <si>
    <t>BRAC BANK LIMITED</t>
  </si>
  <si>
    <t>060010085</t>
  </si>
  <si>
    <t>BAGERHAT SME BRANCH</t>
  </si>
  <si>
    <t>BAGERHAT_SME_BRANCH</t>
  </si>
  <si>
    <t>008</t>
  </si>
  <si>
    <t>BRAKBDDH</t>
  </si>
  <si>
    <t>HOLDING 226, MAIN ROAD, RAHATER MORE, BAGERHAT</t>
  </si>
  <si>
    <t>060060280</t>
  </si>
  <si>
    <t>79 SADAR ROAD, F RAHMAN MARKET, BARISAL 8200</t>
  </si>
  <si>
    <t>0431 2176236-40</t>
  </si>
  <si>
    <t>060090100</t>
  </si>
  <si>
    <t>MAHBUBA MARKET, HOLDING 1331-1338, SADAR ROAD, BHOLA</t>
  </si>
  <si>
    <t>0491 61146-49</t>
  </si>
  <si>
    <t>060100379</t>
  </si>
  <si>
    <t>SHEIKH MANSION, 368/405 RANAPUR ROAD, BOGRA 5800</t>
  </si>
  <si>
    <t>051 78551, 78553, 78554</t>
  </si>
  <si>
    <t>060120438</t>
  </si>
  <si>
    <t>BRAHMANBARIA SME BRANCH</t>
  </si>
  <si>
    <t>BRAHMANBARIA_SME_BRANCH</t>
  </si>
  <si>
    <t>ALI PLAZA, 1122/354 COURT ROAD, BRAHMANBARIA</t>
  </si>
  <si>
    <t>060130310</t>
  </si>
  <si>
    <t>CHANDPUR SME BRANCH</t>
  </si>
  <si>
    <t>CHANDPUR_SME_BRANCH</t>
  </si>
  <si>
    <t>SADHONA PLAZA, 514/459, SHAHID MUKTIJODDHA SARAK, CHANDPUR</t>
  </si>
  <si>
    <t>060130886</t>
  </si>
  <si>
    <t>7/1 MAKIMABAD, HAJIGANJ, CHANDPUR</t>
  </si>
  <si>
    <t>75070, 75071, 75072</t>
  </si>
  <si>
    <t>060700261</t>
  </si>
  <si>
    <t>CHAPAI NAWABGANJ SME BRANCH</t>
  </si>
  <si>
    <t>CHAPAI_NAWABGANJ_SME_BRANCH</t>
  </si>
  <si>
    <t>ASHA SUPER MARKET, HOLDING 15, ISLAMPUR, WARD 15, CHAPAI NAWABGANJ</t>
  </si>
  <si>
    <t>060150132</t>
  </si>
  <si>
    <t>C&amp;amp;F TOWER, PROGOTI HOUSE, 1070 SEHEIKH MUJIB ROAD, AGRABAD, CHITTAGONG</t>
  </si>
  <si>
    <t>031 812087, 812089, 816134</t>
  </si>
  <si>
    <t>060150587</t>
  </si>
  <si>
    <t>ASAD GANJ</t>
  </si>
  <si>
    <t>ASAD_GANJ</t>
  </si>
  <si>
    <t>060150808</t>
  </si>
  <si>
    <t>BAHADDERHAT SME BRANCH</t>
  </si>
  <si>
    <t>BAHADDERHAT_SME_BRANCH</t>
  </si>
  <si>
    <t>080</t>
  </si>
  <si>
    <t>MOMTAZ TOWER, 4540 ARAKAN ROAD, BAHADDERHAT, CHANDGAON, CHITTAGONG</t>
  </si>
  <si>
    <t>060150945</t>
  </si>
  <si>
    <t>BANDARTILA</t>
  </si>
  <si>
    <t>060151481</t>
  </si>
  <si>
    <t>HOSNA KALAM COMPLEX, GEC PLOT 3439, NASIRABAD, CHITTAGONG</t>
  </si>
  <si>
    <t>031 2552612-4</t>
  </si>
  <si>
    <t>060151931</t>
  </si>
  <si>
    <t>AL MADINA TOWER, COLLEGE ROAD, CHAWKBAZAR, CHITTAGONG</t>
  </si>
  <si>
    <t>060155674</t>
  </si>
  <si>
    <t>CHITTAGONG NEW MARKET</t>
  </si>
  <si>
    <t>CHITTAGONG_NEW_MARKET</t>
  </si>
  <si>
    <t>567</t>
  </si>
  <si>
    <t>060153168</t>
  </si>
  <si>
    <t>HOUSE 1, LANE 1, ROAD 1, BLOCK L, HALISHAHAR HOUSING STATE, CHITTAGONG</t>
  </si>
  <si>
    <t>031 2512696-8</t>
  </si>
  <si>
    <t>060153234</t>
  </si>
  <si>
    <t>HATHAZARI SME</t>
  </si>
  <si>
    <t>HATHAZARI_SME</t>
  </si>
  <si>
    <t>060153742</t>
  </si>
  <si>
    <t>KADAMTOLI SME</t>
  </si>
  <si>
    <t>KADAMTOLI_SME</t>
  </si>
  <si>
    <t>060154154</t>
  </si>
  <si>
    <t>KAZIR DEWRI BRANCH</t>
  </si>
  <si>
    <t>KAZIR_DEWRI_BRANCH</t>
  </si>
  <si>
    <t>BRAC TARC, 18 SS KHALID ROAD, KAZIR DEURI, KHULSHI, CHITTAGONG</t>
  </si>
  <si>
    <t>060154675</t>
  </si>
  <si>
    <t>LOHAGARA SME BRANCH</t>
  </si>
  <si>
    <t>LOHAGARA_SME_BRANCH</t>
  </si>
  <si>
    <t>BEST CHOWDHURY PLAZA, AMIRABAD BUS STATION, LOHAGARA, CHITTAGONG</t>
  </si>
  <si>
    <t>060155261</t>
  </si>
  <si>
    <t>526</t>
  </si>
  <si>
    <t>2 MOMIN ROAD, JAMAL KHAN, CHITTAGONG</t>
  </si>
  <si>
    <t>031 614766, 618346</t>
  </si>
  <si>
    <t>060155324</t>
  </si>
  <si>
    <t>532</t>
  </si>
  <si>
    <t>RAMNA TRADE CENTER, 36/7 CDA AVENUE, MURADPUR, CHITTAGONG</t>
  </si>
  <si>
    <t>031 2556661, 2556662, 2556663</t>
  </si>
  <si>
    <t>060155658</t>
  </si>
  <si>
    <t>NEW MARKET</t>
  </si>
  <si>
    <t>NEW_MARKET</t>
  </si>
  <si>
    <t>060155937</t>
  </si>
  <si>
    <t>PAHARTALI SME</t>
  </si>
  <si>
    <t>PAHARTALI_SME</t>
  </si>
  <si>
    <t>593</t>
  </si>
  <si>
    <t>060156165</t>
  </si>
  <si>
    <t>HOLDING 1358/KHA, POTIA, CHITTAGONG</t>
  </si>
  <si>
    <t>03035 56151, 56150</t>
  </si>
  <si>
    <t>060156507</t>
  </si>
  <si>
    <t>RAOZAN SME</t>
  </si>
  <si>
    <t>RAOZAN_SME</t>
  </si>
  <si>
    <t>650</t>
  </si>
  <si>
    <t>060157393</t>
  </si>
  <si>
    <t>ALI MARKET, HOLDING 511, DT ROAD, SITAKUNDA, CHITTAGONG</t>
  </si>
  <si>
    <t>060180199</t>
  </si>
  <si>
    <t>CHUADANGA SME BRANCH</t>
  </si>
  <si>
    <t>CHUADANGA_SME_BRANCH</t>
  </si>
  <si>
    <t>4276 COURT ROAD, CHUADANGA</t>
  </si>
  <si>
    <t>060191162</t>
  </si>
  <si>
    <t>COMILLA SME BRANCH</t>
  </si>
  <si>
    <t>COMILLA_SME_BRANCH</t>
  </si>
  <si>
    <t>116</t>
  </si>
  <si>
    <t>MONEY SUPER MARKET, HOLDING 98, WARD 02, CHALKBAZAR, COMILLA</t>
  </si>
  <si>
    <t>060192129</t>
  </si>
  <si>
    <t>GOURIPUR SME BRANCH</t>
  </si>
  <si>
    <t>GOURIPUR_SME_BRANCH</t>
  </si>
  <si>
    <t>212</t>
  </si>
  <si>
    <t>MADONA GARDEN CITY, VULIR PAR, HOMNA ROAD, GOURIPUR BAZAR, DOUDKANDI, COMILLA</t>
  </si>
  <si>
    <t>060191159</t>
  </si>
  <si>
    <t>JHAOTALA BRANCH</t>
  </si>
  <si>
    <t>JHAOTALA_BRANCH</t>
  </si>
  <si>
    <t>682/615 JHAOTALA ROAD, COMILLA 3500</t>
  </si>
  <si>
    <t>060220167</t>
  </si>
  <si>
    <t>060220259</t>
  </si>
  <si>
    <t>060261184</t>
  </si>
  <si>
    <t>ASAD GATE BRANCH</t>
  </si>
  <si>
    <t>ASAD_GATE_BRANCH</t>
  </si>
  <si>
    <t>PLOT 1, ASAD GATE, MOHAMMADPUR, DHAKA</t>
  </si>
  <si>
    <t>02 9137155</t>
  </si>
  <si>
    <t>060260206</t>
  </si>
  <si>
    <t>ASHKONA BRANCH</t>
  </si>
  <si>
    <t>ASHKONA_BRANCH</t>
  </si>
  <si>
    <t>ASKONA COMMUNITY CENTER &amp;amp; DECORATOR, 567/1, ASKONA, DAKKHIN KHAN, DHAKA 1230</t>
  </si>
  <si>
    <t>02 7912750, 7911030</t>
  </si>
  <si>
    <t>060260435</t>
  </si>
  <si>
    <t>10 KEMAL ATATURK AVENUE, BANANI, DHAKA 1213</t>
  </si>
  <si>
    <t>02 9858798, 9822284</t>
  </si>
  <si>
    <t>060260727</t>
  </si>
  <si>
    <t>BANASREE BRANCH</t>
  </si>
  <si>
    <t>BANASREE_BRANCH</t>
  </si>
  <si>
    <t>PLOT 12, BLOCK C, MAIN ROAD, BANOSREE, RAMPURA, DHAKA</t>
  </si>
  <si>
    <t>02 8396587</t>
  </si>
  <si>
    <t>060260556</t>
  </si>
  <si>
    <t>BASUNDHARA BRANCH</t>
  </si>
  <si>
    <t>BASUNDHARA_BRANCH</t>
  </si>
  <si>
    <t>HOLDING 193, BLOCK B, SAFWAN ROAD, BASUNDHARA R/A, DHAKA 1229</t>
  </si>
  <si>
    <t>02 8845009, 8845030, 8845025</t>
  </si>
  <si>
    <t>060260914</t>
  </si>
  <si>
    <t>DAKKHIN KHAN BRANCH</t>
  </si>
  <si>
    <t>DAKKHIN_KHAN_BRANCH</t>
  </si>
  <si>
    <t>MAJID BAHABAN, PLOT 115, 10 SHAHID LATIF ROAD, DAKKHINKHAN, UTTARA, DHAKA</t>
  </si>
  <si>
    <t>02 8933587, 8931851, 8933490</t>
  </si>
  <si>
    <t>060271495</t>
  </si>
  <si>
    <t>DEMRA SME BRANCH</t>
  </si>
  <si>
    <t>DEMRA_SME_BRANCH</t>
  </si>
  <si>
    <t>149</t>
  </si>
  <si>
    <t>MEGNA PLAZA, KONAPARA PRODHAN SARAK, PARADOGAIR, MATUAIL, DHAKA 1362</t>
  </si>
  <si>
    <t>060272052</t>
  </si>
  <si>
    <t>67 ASHRAF ALI CHOWDHURY PLAZA, JOYPARA, DOHAR, DHAKA 1330</t>
  </si>
  <si>
    <t>06223 56049, 56050</t>
  </si>
  <si>
    <t>060271424</t>
  </si>
  <si>
    <t>342 DONIA BISHWA ROAD, JATRABARI, DHAKA</t>
  </si>
  <si>
    <t>02 7554441-43</t>
  </si>
  <si>
    <t>060261339</t>
  </si>
  <si>
    <t>334 ELEPHANT ROAD, FERDAUSI PLAZA, DHAKA 1205</t>
  </si>
  <si>
    <t>02 9612300, 9612301, 9612302</t>
  </si>
  <si>
    <t>060261397</t>
  </si>
  <si>
    <t>ESKATON BRANCH</t>
  </si>
  <si>
    <t>ESKATON_BRANCH</t>
  </si>
  <si>
    <t>23 NEW ESKATON ROAD, RAMNA, DHAKA 1000</t>
  </si>
  <si>
    <t>02 9359619, 9359643</t>
  </si>
  <si>
    <t>060272410</t>
  </si>
  <si>
    <t>GANAKBARI BRANCH</t>
  </si>
  <si>
    <t>GANAKBARI_BRANCH</t>
  </si>
  <si>
    <t>HASHEM PLAZA, EPZ GATE, GANAKBARI, SAVAR, DHAKA</t>
  </si>
  <si>
    <t>02 7790523-4</t>
  </si>
  <si>
    <t>060272531</t>
  </si>
  <si>
    <t>GRAPHICS BUILDING BRANCH</t>
  </si>
  <si>
    <t>GRAPHICS_BUILDING_BRANCH</t>
  </si>
  <si>
    <t>58 MOTIJHEEL C/A, DHAKA 1000</t>
  </si>
  <si>
    <t>02 7164271, 7160871, 7161152</t>
  </si>
  <si>
    <t>060261726</t>
  </si>
  <si>
    <t>HOUSE 50, ROAD 03, GULSHAN 1, DHAKA 1212</t>
  </si>
  <si>
    <t>060261876</t>
  </si>
  <si>
    <t>GULSHAN NORTH BRANCH</t>
  </si>
  <si>
    <t>GULSHAN_NORTH_BRANCH</t>
  </si>
  <si>
    <t>HOLDING 166 NE(K), GULSHAN AVENUE 2, DHAKA 1212</t>
  </si>
  <si>
    <t>02 9860948, 9861117, 9895524</t>
  </si>
  <si>
    <t>060261971</t>
  </si>
  <si>
    <t>HAZARIBAGH SME BRANCH</t>
  </si>
  <si>
    <t>HAZARIBAGH_SME_BRANCH</t>
  </si>
  <si>
    <t>197</t>
  </si>
  <si>
    <t>HOLDING 73, WARD 58, NILAMBOR SHAH ROAD, HAZARIBAGH, DHAKA 1205</t>
  </si>
  <si>
    <t>02 9611934</t>
  </si>
  <si>
    <t>060272807</t>
  </si>
  <si>
    <t>1 NANDA KUMAR DATTA ROAD, CHAWKBAZAR, LALBAGH, DHAKA</t>
  </si>
  <si>
    <t>060272986</t>
  </si>
  <si>
    <t>BISHAL HAFEZ SHARIF MARKET, 10 WAIZ GHAT ROAD, ISLAMPUR, DHAKA 1100</t>
  </si>
  <si>
    <t>060273648</t>
  </si>
  <si>
    <t>HAJI MOLLAH MANSION, EAST AGANAGAR MOSQUE ROAD, KERANIGANJ, DHAKA 1310</t>
  </si>
  <si>
    <t>02 7772662</t>
  </si>
  <si>
    <t>060262875</t>
  </si>
  <si>
    <t>HOLDING 96, MONKHA BAZAR, NORTH MANDA, DHAKA</t>
  </si>
  <si>
    <t>02 7273806, 7273804, 7273788</t>
  </si>
  <si>
    <t>060262983</t>
  </si>
  <si>
    <t>PLOT 3, ROAD 3, BLOCK A, SECTION 11, MIRPUR, DHAKA</t>
  </si>
  <si>
    <t>02 8059130</t>
  </si>
  <si>
    <t>060274184</t>
  </si>
  <si>
    <t>ARONG PLAZA, 211 MOGHBAZAR, DHAKA</t>
  </si>
  <si>
    <t>02 9355538, 9355539</t>
  </si>
  <si>
    <t>060274247</t>
  </si>
  <si>
    <t>107 MOTIJHEEL C/A, DHAKA 1000</t>
  </si>
  <si>
    <t>02 9550307, 9550382, 9562967</t>
  </si>
  <si>
    <t>060263429</t>
  </si>
  <si>
    <t>342</t>
  </si>
  <si>
    <t>MIAH BHAI PLAZA, 1020 NATUN BAZAR, DHAKA 1212</t>
  </si>
  <si>
    <t>02 8811082, 8811083, 8811575</t>
  </si>
  <si>
    <t>060274692</t>
  </si>
  <si>
    <t>NAWABGANJ  BRANCH</t>
  </si>
  <si>
    <t>NAWABGANJ__BRANCH</t>
  </si>
  <si>
    <t>ISAMOTI PLAZA, PLOT 415, DHAKA-BANDURA MAIN ROAD, NAWABGANJ, DHAKA</t>
  </si>
  <si>
    <t>0622 55206, 55207, 55208</t>
  </si>
  <si>
    <t>060274726</t>
  </si>
  <si>
    <t>NOWABPUR BRANCH</t>
  </si>
  <si>
    <t>NOWABPUR_BRANCH</t>
  </si>
  <si>
    <t>72 NOWABPUR ROAD, DHAKA 1100</t>
  </si>
  <si>
    <t>02 7125000, 7164406</t>
  </si>
  <si>
    <t>060275741</t>
  </si>
  <si>
    <t>KHAN TOWER, 359 DIT ROAD, EAST RAMPURA, DHAKA 1219</t>
  </si>
  <si>
    <t>02 8280389, 8280390, 8280406</t>
  </si>
  <si>
    <t>060260677</t>
  </si>
  <si>
    <t>ROKEYA SARANI BRANCH</t>
  </si>
  <si>
    <t>ROKEYA_SARANI_BRANCH</t>
  </si>
  <si>
    <t>HOLDING 129, WARD 14, SENPARA PARBATA, MIRPUR, DHAKA</t>
  </si>
  <si>
    <t>060276074</t>
  </si>
  <si>
    <t>607</t>
  </si>
  <si>
    <t>GREEN AKSHAY PLAZA, 59 SATMASJID ROAD, DHAKA</t>
  </si>
  <si>
    <t>02 9135722</t>
  </si>
  <si>
    <t>060264099</t>
  </si>
  <si>
    <t>AMIN TOWER, A/44 BAZAR ROAD, SAVAR, DHAKA</t>
  </si>
  <si>
    <t>02 7743506, 7743504</t>
  </si>
  <si>
    <t>060264307</t>
  </si>
  <si>
    <t>ADARSHO CHAYANEER, 19-20 RING ROAD, SHYAMOLI, DHAKA 1207</t>
  </si>
  <si>
    <t>060276537</t>
  </si>
  <si>
    <t>SHYAMPUR SME BRANCH</t>
  </si>
  <si>
    <t>SHYAMPUR_SME_BRANCH</t>
  </si>
  <si>
    <t>653</t>
  </si>
  <si>
    <t>16 SHYAMPUR BAZAR, KADAMTOLI, DHAKA 1204</t>
  </si>
  <si>
    <t>060264631</t>
  </si>
  <si>
    <t>HOUSE 01, ROAD 15, SECTOR 03, UTTARA, DHAKA 1230</t>
  </si>
  <si>
    <t>02 8951118, 8931672</t>
  </si>
  <si>
    <t>060277099</t>
  </si>
  <si>
    <t>MONA TRADE CITY, DAKPARA, ZINZIRA HIGH WAY, KERANIGANJ, DHAKA 1310</t>
  </si>
  <si>
    <t>02 7763205, 7763206, 7763207</t>
  </si>
  <si>
    <t>060260356</t>
  </si>
  <si>
    <t>BADDA SME</t>
  </si>
  <si>
    <t>BADDA_SME</t>
  </si>
  <si>
    <t>060261205</t>
  </si>
  <si>
    <t>120</t>
  </si>
  <si>
    <t>060261355</t>
  </si>
  <si>
    <t>ELEPHANT ROAD SME</t>
  </si>
  <si>
    <t>ELEPHANT_ROAD_SME</t>
  </si>
  <si>
    <t>135</t>
  </si>
  <si>
    <t>060262541</t>
  </si>
  <si>
    <t>KARWAN BAZAR SME</t>
  </si>
  <si>
    <t>KARWAN_BAZAR_SME</t>
  </si>
  <si>
    <t>254</t>
  </si>
  <si>
    <t>060261997</t>
  </si>
  <si>
    <t>MIRPUR SME</t>
  </si>
  <si>
    <t>MIRPUR_SME</t>
  </si>
  <si>
    <t>060263290</t>
  </si>
  <si>
    <t>MOHAMMADPUR SME</t>
  </si>
  <si>
    <t>MOHAMMADPUR_SME</t>
  </si>
  <si>
    <t>329</t>
  </si>
  <si>
    <t>060263629</t>
  </si>
  <si>
    <t>PANTHA PATH SME</t>
  </si>
  <si>
    <t>PANTHA_PATH_SME</t>
  </si>
  <si>
    <t>362</t>
  </si>
  <si>
    <t>060264644</t>
  </si>
  <si>
    <t>UTTARA SME</t>
  </si>
  <si>
    <t>UTTARA_SME</t>
  </si>
  <si>
    <t>464</t>
  </si>
  <si>
    <t>060270988</t>
  </si>
  <si>
    <t>060271103</t>
  </si>
  <si>
    <t>BIJOY NAGAR SME</t>
  </si>
  <si>
    <t>BIJOY_NAGAR_SME</t>
  </si>
  <si>
    <t>110</t>
  </si>
  <si>
    <t>060271840</t>
  </si>
  <si>
    <t>DHOLAIKHAL SME</t>
  </si>
  <si>
    <t>DHOLAIKHAL_SME</t>
  </si>
  <si>
    <t>060272544</t>
  </si>
  <si>
    <t>GULISTAN SME</t>
  </si>
  <si>
    <t>GULISTAN_SME</t>
  </si>
  <si>
    <t>060272681</t>
  </si>
  <si>
    <t>060273235</t>
  </si>
  <si>
    <t>060274289</t>
  </si>
  <si>
    <t>MOTIJHEEL SME</t>
  </si>
  <si>
    <t>MOTIJHEEL_SME</t>
  </si>
  <si>
    <t>428</t>
  </si>
  <si>
    <t>060276287</t>
  </si>
  <si>
    <t>SHAMBAZAR</t>
  </si>
  <si>
    <t>628</t>
  </si>
  <si>
    <t>060270009</t>
  </si>
  <si>
    <t>060280673</t>
  </si>
  <si>
    <t>DINAJPUR SME BRANCH</t>
  </si>
  <si>
    <t>DINAJPUR_SME_BRANCH</t>
  </si>
  <si>
    <t>MUNSHIPARA, DINAJPUR</t>
  </si>
  <si>
    <t>060290289</t>
  </si>
  <si>
    <t>BHANGA SME BRANCH</t>
  </si>
  <si>
    <t>BHANGA_SME_BRANCH</t>
  </si>
  <si>
    <t>BHUIYAN MARKET, 414 THANA ROAD, BHANGA BAZAR, FARIDPUR</t>
  </si>
  <si>
    <t>060290526</t>
  </si>
  <si>
    <t>FARIDPUR SME BRANCH</t>
  </si>
  <si>
    <t>FARIDPUR_SME_BRANCH</t>
  </si>
  <si>
    <t>SWARNAMOYEE PLAZA, 115 MUJIB SARAK, KOTWALI, FARIDPUR</t>
  </si>
  <si>
    <t>060300524</t>
  </si>
  <si>
    <t>FENI SME BRANCH</t>
  </si>
  <si>
    <t>FENI_SME_BRANCH</t>
  </si>
  <si>
    <t>KAZI CENTER, 105/106 SSK ROAD, FENI 3900</t>
  </si>
  <si>
    <t>060301486</t>
  </si>
  <si>
    <t>WEST BAZAR ISLAM &amp;amp; SONS BUILDING, MAIN ROAD, CHARGONESH, SONAGAZI, FENI</t>
  </si>
  <si>
    <t>03325 76188</t>
  </si>
  <si>
    <t>060320588</t>
  </si>
  <si>
    <t>GOBINDAGANJ SME BRANCH</t>
  </si>
  <si>
    <t>GOBINDAGANJ_SME_BRANCH</t>
  </si>
  <si>
    <t>JAWAD PLAZA, HOLDING 609, THANA MORE, CHARMATHA, GOBINDAGANJ, GAIBANDHA</t>
  </si>
  <si>
    <t>060330228</t>
  </si>
  <si>
    <t>HOLDING 142, KALAMESHWAR, DHAKA-MYMENSING ROAD, BOARD BAZAR, GAZIPUR 1704</t>
  </si>
  <si>
    <t>02 9293693, 9293692, 9293691</t>
  </si>
  <si>
    <t>060330523</t>
  </si>
  <si>
    <t>GAZIPUR SME BRANCH</t>
  </si>
  <si>
    <t>GAZIPUR_SME_BRANCH</t>
  </si>
  <si>
    <t>MANIK BHABAN, HOLDING 95, BLOCK G, WEST JOYDEBPUR, GAZIPUR 1700</t>
  </si>
  <si>
    <t>060330736</t>
  </si>
  <si>
    <t>RAHMAT TOWER, HOLDING 1034, OUTPARA, GAZIPUR</t>
  </si>
  <si>
    <t>02 9263663, 9263740, 9263801</t>
  </si>
  <si>
    <t>060330952</t>
  </si>
  <si>
    <t>KONABARI SME BRANCH</t>
  </si>
  <si>
    <t>KONABARI_SME_BRANCH</t>
  </si>
  <si>
    <t>095</t>
  </si>
  <si>
    <t>NOOR MANSION, DHAKA-TANGAIL ROAD, KONABARI, GAZIPUR</t>
  </si>
  <si>
    <t>060331630</t>
  </si>
  <si>
    <t>NASIRUDDIN SARKER TOWER, 2 MYMENSINGH ROAD, TONGI, GAZIPUR 1700</t>
  </si>
  <si>
    <t>060350374</t>
  </si>
  <si>
    <t>GOPALGANJ SME BRANCH</t>
  </si>
  <si>
    <t>GOPALGANJ_SME_BRANCH</t>
  </si>
  <si>
    <t>IBRAHIM PLAZA, 56/1 BATASHA POTTY, GOPALGANJ</t>
  </si>
  <si>
    <t>060360614</t>
  </si>
  <si>
    <t>PURAN MUNSEFI ROAD, HABIGANJ</t>
  </si>
  <si>
    <t>0831 63061, 63062, 63063</t>
  </si>
  <si>
    <t>060361097</t>
  </si>
  <si>
    <t>KHALEQUE MARKET, 79/3 HOSPITAL ROAD, SHANTIPARA, NABIGANJ, HABIGANJ</t>
  </si>
  <si>
    <t>08328 56221,56239, 56242</t>
  </si>
  <si>
    <t>060390855</t>
  </si>
  <si>
    <t>BEAUTY PLAZA, MEDICAL ROAD, JAMALPUR 2000</t>
  </si>
  <si>
    <t>0981 65215, 65216</t>
  </si>
  <si>
    <t>060410298</t>
  </si>
  <si>
    <t>BENAPOLE SME BRANCH</t>
  </si>
  <si>
    <t>BENAPOLE_SME_BRANCH</t>
  </si>
  <si>
    <t>029</t>
  </si>
  <si>
    <t>HOSUE 492, ANU BHABAN, BENAPOLE, JESSORE</t>
  </si>
  <si>
    <t>060410948</t>
  </si>
  <si>
    <t>1 HATKHOLA, MK ROAD, JESSORE 7400</t>
  </si>
  <si>
    <t>0421 69034-5</t>
  </si>
  <si>
    <t>060411639</t>
  </si>
  <si>
    <t>RAHIM TOWER, STATION BAZAR, JESSORE KHULNA ROAD, NOAPARA, JESSORE</t>
  </si>
  <si>
    <t>04222 71246, 71252, 71222</t>
  </si>
  <si>
    <t>060420325</t>
  </si>
  <si>
    <t>JHALAKATI SME BRANCH</t>
  </si>
  <si>
    <t>JHALAKATI_SME_BRANCH</t>
  </si>
  <si>
    <t>032</t>
  </si>
  <si>
    <t>HOLDING 67-68, MONOHORI POTTI ROAD, JHALAKATI</t>
  </si>
  <si>
    <t>060440642</t>
  </si>
  <si>
    <t>JHENAIDAH SME BRANCH</t>
  </si>
  <si>
    <t>JHENAIDAH_SME_BRANCH</t>
  </si>
  <si>
    <t>HOUSE 13, AGNIBINA SARAK, JHENAIDAH</t>
  </si>
  <si>
    <t>060380407</t>
  </si>
  <si>
    <t>JOYPURHAT SME BRANCH</t>
  </si>
  <si>
    <t>JOYPURHAT_SME_BRANCH</t>
  </si>
  <si>
    <t>SHAHJAHAN MANSION, SADAR ROAD, JOYPURHAT</t>
  </si>
  <si>
    <t>060470375</t>
  </si>
  <si>
    <t>BARABAZAR BRANCH</t>
  </si>
  <si>
    <t>BARABAZAR_BRANCH</t>
  </si>
  <si>
    <t>060471545</t>
  </si>
  <si>
    <t>THE DAILY PROBAHO BHABAN, PLOT 3, KDA AVENUE, KHULNA</t>
  </si>
  <si>
    <t>2831334, 2831335, 2831336, 2831337</t>
  </si>
  <si>
    <t>060480194</t>
  </si>
  <si>
    <t>JAHANARA MANSION, BHAIRAB, KISHOREGANJ</t>
  </si>
  <si>
    <t>0942 471863, 71864</t>
  </si>
  <si>
    <t>060480673</t>
  </si>
  <si>
    <t>KISHOREGANJ SME BRANCH</t>
  </si>
  <si>
    <t>KISHOREGANJ_SME_BRANCH</t>
  </si>
  <si>
    <t>ACHOL SUPER MARKET, 137 NEW MARKET, KISHOREGANJ</t>
  </si>
  <si>
    <t>060500940</t>
  </si>
  <si>
    <t>KUSHTIA SME BRANCH</t>
  </si>
  <si>
    <t>KUSHTIA_SME_BRANCH</t>
  </si>
  <si>
    <t>QUADERI SUPER MARKET, 14 RA KHAN CHOWDHURY ROAD, PANCH RASTAR MORE, SHAPLA CHATTAR, KUSHTIA</t>
  </si>
  <si>
    <t>060510730</t>
  </si>
  <si>
    <t>LAKSHMIPUR SME BRANCH</t>
  </si>
  <si>
    <t>LAKSHMIPUR_SME_BRANCH</t>
  </si>
  <si>
    <t>FK MANSION, 1128 GODOWN ROAD, LAKSHMIPUR</t>
  </si>
  <si>
    <t>060510972</t>
  </si>
  <si>
    <t>HAJI ALI AKBAR SHOPPING COMPLEX, HOLDING 384, RAIPUR, LAKSHMIPUR</t>
  </si>
  <si>
    <t>060540405</t>
  </si>
  <si>
    <t>MADARIPUR SME BRANCH</t>
  </si>
  <si>
    <t>MADARIPUR_SME_BRANCH</t>
  </si>
  <si>
    <t>KAZI ABDUR RASHID &amp;amp; KAZI ABDUL MAJID PLAZA, HOLDIND 1008, MAIN ROAD KAZIR MORE, PURAN BAZAR, MADARIPUR</t>
  </si>
  <si>
    <t>060550561</t>
  </si>
  <si>
    <t>MAGURA SME BRANCH</t>
  </si>
  <si>
    <t>MAGURA_SME_BRANCH</t>
  </si>
  <si>
    <t>056</t>
  </si>
  <si>
    <t>ALAM COMPLEX, 164 MR ROAD, MAGURA</t>
  </si>
  <si>
    <t>060560614</t>
  </si>
  <si>
    <t>CHANDI MARKET, HOLDING 194, SHAHID RAFIQ SARAK, MANIKGANJ 1800</t>
  </si>
  <si>
    <t>0651 62017-20</t>
  </si>
  <si>
    <t>060581185</t>
  </si>
  <si>
    <t>JULIA SHOPPING CITY, 111 SHANTIBAGH CENTRAL ROAD, MOULVIBAZAR</t>
  </si>
  <si>
    <t>0861 62817-19</t>
  </si>
  <si>
    <t>060591038</t>
  </si>
  <si>
    <t>AYUB ALI SUPER MARKET, 545 JAMIDAR PARA, MUNSHIGANJ</t>
  </si>
  <si>
    <t>0691 52075</t>
  </si>
  <si>
    <t>060611697</t>
  </si>
  <si>
    <t>MUKTAGACHA SME BRANCH</t>
  </si>
  <si>
    <t>MUKTAGACHA_SME_BRANCH</t>
  </si>
  <si>
    <t>HOUSE 62, PURATON BUS STAND, MAIN ROAD MUKTAGACHA, MYMENSINGH</t>
  </si>
  <si>
    <t>060611750</t>
  </si>
  <si>
    <t>8 SHYMACHARAN ROY ROAD, NOTUN BAZAR, MYMENSINGH 2200</t>
  </si>
  <si>
    <t>9167240-42</t>
  </si>
  <si>
    <t>060641191</t>
  </si>
  <si>
    <t>NAOGAON SME BRANCH</t>
  </si>
  <si>
    <t>NAOGAON_SME_BRANCH</t>
  </si>
  <si>
    <t>119</t>
  </si>
  <si>
    <t>JR SUPER MARKET, NAOGAON</t>
  </si>
  <si>
    <t>060670054</t>
  </si>
  <si>
    <t>ARAIHAZAR SME BRANCH</t>
  </si>
  <si>
    <t>ARAIHAZAR_SME_BRANCH</t>
  </si>
  <si>
    <t>HAJI ABBAS ALI MARKET, COLLEGE ROAD, ARAIHAZAR, NARAYANGANJ</t>
  </si>
  <si>
    <t>060670238</t>
  </si>
  <si>
    <t>BHULTA SME BRANCH</t>
  </si>
  <si>
    <t>BHULTA_SME_BRANCH</t>
  </si>
  <si>
    <t>HAZI SHOPPING COMPLEX, GULAKANDIAL, BHULTA, RUPGANJ, NARAYANGANJ</t>
  </si>
  <si>
    <t>060671187</t>
  </si>
  <si>
    <t>147 BB ROAD, NARAYANGANJ</t>
  </si>
  <si>
    <t>02 7612424, 7615999, 7615455</t>
  </si>
  <si>
    <t>060675459</t>
  </si>
  <si>
    <t>NETAIGANJ SME BRANCH</t>
  </si>
  <si>
    <t>NETAIGANJ_SME_BRANCH</t>
  </si>
  <si>
    <t>545</t>
  </si>
  <si>
    <t>19 RKD DAS ROAD, NETAIGANJ, NARAYANGANJ</t>
  </si>
  <si>
    <t>060671695</t>
  </si>
  <si>
    <t>SONARGAON SHOPPING COMPLEX, SONARGAON, NARAYANGANJ</t>
  </si>
  <si>
    <t>0672 356041-42</t>
  </si>
  <si>
    <t>060680499</t>
  </si>
  <si>
    <t>GORASHAL BRANCH</t>
  </si>
  <si>
    <t>GORASHAL_BRANCH</t>
  </si>
  <si>
    <t>HOLDING 223, DAKKHIN CHARPARA, HOSPITAL ROAD, PALASH, GORASHAL, NARSINGDI 1613</t>
  </si>
  <si>
    <t>74191, 74192, 74196</t>
  </si>
  <si>
    <t>060680673</t>
  </si>
  <si>
    <t>HOLDIN 236, MADHABDI, NARSINGDI</t>
  </si>
  <si>
    <t>9446147</t>
  </si>
  <si>
    <t>060680736</t>
  </si>
  <si>
    <t>HOLDING 30, SADAR HOSPITAL ROAD, MANOHARDI, NARSINGDI</t>
  </si>
  <si>
    <t>06253 56350, 56351</t>
  </si>
  <si>
    <t>060680857</t>
  </si>
  <si>
    <t>NARSINGDI SME BRANCH</t>
  </si>
  <si>
    <t>NARSINGDI_SME_BRANCH</t>
  </si>
  <si>
    <t>KAZI SUPER MARKET, 3, C&amp;amp;B ROAD, NARSINGDI</t>
  </si>
  <si>
    <t>060691091</t>
  </si>
  <si>
    <t>MOKBUL PLAZA, HOLDING 402, NATORE</t>
  </si>
  <si>
    <t>0771 66394 66294, 66274</t>
  </si>
  <si>
    <t>060720746</t>
  </si>
  <si>
    <t>NETROKONA SME BRANCH</t>
  </si>
  <si>
    <t>NETROKONA_SME_BRANCH</t>
  </si>
  <si>
    <t>422 TERI BAZAR, NETROKONA</t>
  </si>
  <si>
    <t>060730794</t>
  </si>
  <si>
    <t>SAYEDPUR PLAZA, 81 SHER-E- BANGLA ROAD, SYEDPUR, NILPHAMARI 5310</t>
  </si>
  <si>
    <t>05526 73241-42</t>
  </si>
  <si>
    <t>060750679</t>
  </si>
  <si>
    <t>RUPALI BHABAN, HOLDING 807, CHOWMUHANI, BEGUMGANJ, NOAKHALI 3821</t>
  </si>
  <si>
    <t>060571579</t>
  </si>
  <si>
    <t>MAIJDEE SME BRANCH</t>
  </si>
  <si>
    <t>MAIJDEE_SME_BRANCH</t>
  </si>
  <si>
    <t>MOFIZ PLAZA, 630-631 MAIN ROAD, MAIJDEE, NOAKHALI</t>
  </si>
  <si>
    <t>060761213</t>
  </si>
  <si>
    <t>MAHABUB KHAN PLAZA, STATION ROAD, ISHWARDI, PABNA</t>
  </si>
  <si>
    <t>07326 64459</t>
  </si>
  <si>
    <t>060761789</t>
  </si>
  <si>
    <t>PABNA SME BRANCH</t>
  </si>
  <si>
    <t>PABNA_SME_BRANCH</t>
  </si>
  <si>
    <t>48 ABDUL HAMID ROAD, PABNA</t>
  </si>
  <si>
    <t>060770567</t>
  </si>
  <si>
    <t>PANCHAGARH SME BRANCH</t>
  </si>
  <si>
    <t>PANCHAGARH_SME_BRANCH</t>
  </si>
  <si>
    <t>ALOCHAYA SUPER MARKET, HOUSE 644, NATUN BASTI, ALOCHAYA CINEMA ROAD, PANCHAGARH</t>
  </si>
  <si>
    <t>060781093</t>
  </si>
  <si>
    <t>TALUKDAR BHABAN, HOLDING 140, SADAR ROAD, PATUAKHALI 8600</t>
  </si>
  <si>
    <t>04416 3562</t>
  </si>
  <si>
    <t>060790776</t>
  </si>
  <si>
    <t>PIROJPUR SME BRANCH</t>
  </si>
  <si>
    <t>PIROJPUR_SME_BRANCH</t>
  </si>
  <si>
    <t>077</t>
  </si>
  <si>
    <t>CHADNI SUPER MARKET, 279 KAPURIAPOTTY, PIROJPUR</t>
  </si>
  <si>
    <t>060790989</t>
  </si>
  <si>
    <t>SWARUPKHATHI SME BRANCH</t>
  </si>
  <si>
    <t>SWARUPKHATHI_SME_BRANCH</t>
  </si>
  <si>
    <t>HAQUE MANSION, NUTON ROAD, MIARHAT, KOWRIKHARA NESARABAD, PIROJPUR</t>
  </si>
  <si>
    <t>060820738</t>
  </si>
  <si>
    <t>RAJBARI SME BRANCH</t>
  </si>
  <si>
    <t>RAJBARI_SME_BRANCH</t>
  </si>
  <si>
    <t>NAZAR MAWLA PLAZA, MAIN ROAD, RAJBARI</t>
  </si>
  <si>
    <t>060811934</t>
  </si>
  <si>
    <t>HOUSE F-695, KUMARPARA, GHORAMARA, BOALIA, RAJSHAHI 6100</t>
  </si>
  <si>
    <t>0721 812701-8</t>
  </si>
  <si>
    <t>060851457</t>
  </si>
  <si>
    <t>PLOT 4325, STATION ROAD, RANGPUR</t>
  </si>
  <si>
    <t>0521 51041, 51042, 51043</t>
  </si>
  <si>
    <t>060871095</t>
  </si>
  <si>
    <t>TUFAN COMPLEX, HOLDING 01, POLASHPOLE, SATKHIRA</t>
  </si>
  <si>
    <t>0471 4509, 4515</t>
  </si>
  <si>
    <t>060890555</t>
  </si>
  <si>
    <t>SHERPUR SME BRANCH</t>
  </si>
  <si>
    <t>SHERPUR_SME_BRANCH</t>
  </si>
  <si>
    <t>BHUIYAN PLAZA, 175 MUNSHI BAZAR ROAD, SHERPUR</t>
  </si>
  <si>
    <t>060880228</t>
  </si>
  <si>
    <t>SARKER MANSION, PLOT 551-552, WAPDA ROAD, CHALA, BELKUCHI, SIRAJGANJ</t>
  </si>
  <si>
    <t>060881906</t>
  </si>
  <si>
    <t>SHAHJADPUR SME BRANCH</t>
  </si>
  <si>
    <t>SHAHJADPUR_SME_BRANCH</t>
  </si>
  <si>
    <t>AZIZ MANSION, MONIRAMPUR BAZAR, SHAHJADPUR, SIRAJGANJ</t>
  </si>
  <si>
    <t>060881885</t>
  </si>
  <si>
    <t>SIRAJGANJ SME BRANCH</t>
  </si>
  <si>
    <t>SIRAJGANJ_SME_BRANCH</t>
  </si>
  <si>
    <t>188</t>
  </si>
  <si>
    <t>MH KHAN PLAZA, HOLDING 521-522, SS ROAD, SIRAJGANJ</t>
  </si>
  <si>
    <t>060910314</t>
  </si>
  <si>
    <t>HAJEE A SATTAR MARKET, BEANI BAZAR, SYLHET</t>
  </si>
  <si>
    <t>08223 87746</t>
  </si>
  <si>
    <t>060910435</t>
  </si>
  <si>
    <t>DIDAR SHOOPING COMPLEX, RAMPASHA ROAD, BISHWANATH, SYLHET</t>
  </si>
  <si>
    <t>08224 56088</t>
  </si>
  <si>
    <t>060911542</t>
  </si>
  <si>
    <t>ANWAR MANSION, HOLDING 93, WARD 7, NORTH GOALABAZAR, OASMANI NAGAR, SYLHET</t>
  </si>
  <si>
    <t>0824 256067, 256064</t>
  </si>
  <si>
    <t>060913508</t>
  </si>
  <si>
    <t>SOUTH SURMA SME BRANCH</t>
  </si>
  <si>
    <t>SOUTH_SURMA_SME_BRANCH</t>
  </si>
  <si>
    <t>350</t>
  </si>
  <si>
    <t>JAIGIRDAR PLAZA, VARTHAKHOLA, STATION ROAD, SOUTH SURMA, SYLHET</t>
  </si>
  <si>
    <t>060913566</t>
  </si>
  <si>
    <t>SYLHET BONDOR SME</t>
  </si>
  <si>
    <t>SYLHET_BONDOR_SME</t>
  </si>
  <si>
    <t>356</t>
  </si>
  <si>
    <t>060913553</t>
  </si>
  <si>
    <t>PALLABI TRADE CENTER, SUBIDBAZAR, SYLHET</t>
  </si>
  <si>
    <t>0821 2830608-9</t>
  </si>
  <si>
    <t>060913737</t>
  </si>
  <si>
    <t>UPOSHAHAR BRANCH</t>
  </si>
  <si>
    <t>UPOSHAHAR_BRANCH</t>
  </si>
  <si>
    <t>3/3 SHAHJALAL UPOSHAHAR, MAIN ROAD, BLOCK D, SYLHET</t>
  </si>
  <si>
    <t>0821 710857,710836, 710849</t>
  </si>
  <si>
    <t>060914152</t>
  </si>
  <si>
    <t>SYMPHONY HEIGHTS, BARUTKHANA ROAD, EAST ZINDABAZAR, SYLHET</t>
  </si>
  <si>
    <t>0821 814441, 814442</t>
  </si>
  <si>
    <t>060932297</t>
  </si>
  <si>
    <t>GHATAIL SME BRANCH</t>
  </si>
  <si>
    <t>GHATAIL_SME_BRANCH</t>
  </si>
  <si>
    <t>HOSSAIN TRADERS, MASJID ROAD, TANGAIL</t>
  </si>
  <si>
    <t>060932305</t>
  </si>
  <si>
    <t>230</t>
  </si>
  <si>
    <t>TANGAIL TOWER, HOLDING 541, 542 &amp;amp;544, MAIN ROAD, TANGAIL</t>
  </si>
  <si>
    <t>0921 51414-6</t>
  </si>
  <si>
    <t>060940997</t>
  </si>
  <si>
    <t>THAKURGAON SME BRANCH</t>
  </si>
  <si>
    <t>THAKURGAON_SME_BRANCH</t>
  </si>
  <si>
    <t>099</t>
  </si>
  <si>
    <t>NURJAHAN PLAZA, HOLDING 1322, SHAHID MOHAMMAD ALI SARAK, THAKURGAON</t>
  </si>
  <si>
    <t>CITIBANK_N.A</t>
  </si>
  <si>
    <t>075</t>
  </si>
  <si>
    <t>CITIBANK N.A</t>
  </si>
  <si>
    <t>075151968</t>
  </si>
  <si>
    <t>CITIBDDX</t>
  </si>
  <si>
    <t>NIB HOUSE, 32 AGRABAD C/A, CHITTAGONG 4000</t>
  </si>
  <si>
    <t>031 724830-1</t>
  </si>
  <si>
    <t>075261182</t>
  </si>
  <si>
    <t>PLOT NO 39/A, ROAD 14A, DHANMONDI, DHAKA 1209</t>
  </si>
  <si>
    <t>02 9111152</t>
  </si>
  <si>
    <t>075261724</t>
  </si>
  <si>
    <t>109 GULSHAN AVENUE, DHAKA 1212</t>
  </si>
  <si>
    <t>02 8855139-41</t>
  </si>
  <si>
    <t>075274245</t>
  </si>
  <si>
    <t>23 MOTIJHEEL C/A, DHAKA 1000</t>
  </si>
  <si>
    <t>02 9562236, 9570858</t>
  </si>
  <si>
    <t>075270007</t>
  </si>
  <si>
    <t>COMMERCIAL_BANK_OF_CEYLON_LIMITED</t>
  </si>
  <si>
    <t>COMMERCIAL BANK OF CEYLON LIMITED</t>
  </si>
  <si>
    <t>080151966</t>
  </si>
  <si>
    <t>CCEYBDDH</t>
  </si>
  <si>
    <t>1102/A AGRABAD C/A, CHITTAGONG</t>
  </si>
  <si>
    <t>031 713325-7</t>
  </si>
  <si>
    <t>031 710978</t>
  </si>
  <si>
    <t>080261180</t>
  </si>
  <si>
    <t>BEPZA COMPLEX, HOUSE 19/D, ROAD 6,DHANMONDI, DHAKA 1205</t>
  </si>
  <si>
    <t>02 9634261-2, 9676768</t>
  </si>
  <si>
    <t>02 9634285</t>
  </si>
  <si>
    <t>080261722</t>
  </si>
  <si>
    <t>49 GULSHAN AVENUE, DHAKA 1212</t>
  </si>
  <si>
    <t>02 8824275, 8813125</t>
  </si>
  <si>
    <t>02 8824147</t>
  </si>
  <si>
    <t>080262989</t>
  </si>
  <si>
    <t>PLOT NO 623-624, BEGUM ROKEYA SHARANI, KAZIPARA, MIRPUR, DHAKA 1216</t>
  </si>
  <si>
    <t>02 8035808</t>
  </si>
  <si>
    <t>080271512</t>
  </si>
  <si>
    <t>HADI MANSION, 2 DILKUSHA C/A,DHAKA 1000</t>
  </si>
  <si>
    <t>02 7114125</t>
  </si>
  <si>
    <t>02 47123483</t>
  </si>
  <si>
    <t>080263612</t>
  </si>
  <si>
    <t>ROYAL TOWER, 4 PANTHAPATH C/A, DHAKA 1205</t>
  </si>
  <si>
    <t>02 55013496, 9103430</t>
  </si>
  <si>
    <t>02 55013494</t>
  </si>
  <si>
    <t>080264482</t>
  </si>
  <si>
    <t>75 SHAHID TAJUDDIN AHMED SHARANI,TEJGAON INDUSTRIAL AREA, DHAKA 1208</t>
  </si>
  <si>
    <t>02 9831105, 9831106</t>
  </si>
  <si>
    <t>02 9831107</t>
  </si>
  <si>
    <t>080264637</t>
  </si>
  <si>
    <t>PLOT 12, ROAD 14C, SECTOR 4, UTTARA MODEL TOWN, DHAKA</t>
  </si>
  <si>
    <t>02 8954042, 8954864</t>
  </si>
  <si>
    <t>02 58954654</t>
  </si>
  <si>
    <t>080270005</t>
  </si>
  <si>
    <t>080671183</t>
  </si>
  <si>
    <t>MID TOWN COMPLEX, 79 BANGABANDHU ROAD, NARAYANGANJ</t>
  </si>
  <si>
    <t>02 7642288</t>
  </si>
  <si>
    <t>02 7641244</t>
  </si>
  <si>
    <t>080913670</t>
  </si>
  <si>
    <t>982 DARGAH GATE, SYLHET</t>
  </si>
  <si>
    <t>0821 728351-2</t>
  </si>
  <si>
    <t>0821 728353</t>
  </si>
  <si>
    <t>DHAKA_BANK_LIMITED</t>
  </si>
  <si>
    <t>DHAKA BANK LIMITED</t>
  </si>
  <si>
    <t>085060281</t>
  </si>
  <si>
    <t>DHBLBDDH</t>
  </si>
  <si>
    <t>TALUKDER MANSION, 86 SADAR ROAD, WARD 17, KOTWALI, BARISAL 8200</t>
  </si>
  <si>
    <t>0431 61772, 2177166</t>
  </si>
  <si>
    <t>barisal@dhakabank.com.bd</t>
  </si>
  <si>
    <t>0431 61644</t>
  </si>
  <si>
    <t>085100370</t>
  </si>
  <si>
    <t>712/789 KABI NAZRUL ISLAM ROAD, JHAWTOLA, BOGRA 5800</t>
  </si>
  <si>
    <t>051 69813-14</t>
  </si>
  <si>
    <t>bogra@dhakabank.com.bd</t>
  </si>
  <si>
    <t>051 69815</t>
  </si>
  <si>
    <t>085150133</t>
  </si>
  <si>
    <t>DHBLBDDH201</t>
  </si>
  <si>
    <t>WORLD TRADE CENTRE, 102-103 AGRABAD C/A, CHITTAGONG 4000</t>
  </si>
  <si>
    <t>031 2523420-22, 2524617</t>
  </si>
  <si>
    <t>agrabad@dhakabank.com.bd</t>
  </si>
  <si>
    <t>031 2524871</t>
  </si>
  <si>
    <t>085150467</t>
  </si>
  <si>
    <t>MOZAHAR BHABAN, 222-223 ABDUS SATTAR ROAD, ANDERKILLA, RAHMATGANJ, CHITTAGONG 4100</t>
  </si>
  <si>
    <t>031 2869712</t>
  </si>
  <si>
    <t>anderkilla@dhakabank.com.bd</t>
  </si>
  <si>
    <t>031 2869713</t>
  </si>
  <si>
    <t>085151482</t>
  </si>
  <si>
    <t>565/A CDA AVENUE, EAST NASIRABAD, CHITTAGONG 4000</t>
  </si>
  <si>
    <t>0312 850950, 850951-52</t>
  </si>
  <si>
    <t>cdaavenue@dhakabank.com.bd</t>
  </si>
  <si>
    <t>031 2850953</t>
  </si>
  <si>
    <t>085155659</t>
  </si>
  <si>
    <t>CHITTAGONG NEW MARKET BRANCH</t>
  </si>
  <si>
    <t>CHITTAGONG_NEW_MARKET_BRANCH</t>
  </si>
  <si>
    <t>AL-KARAN BIPONI BITAN CENTRE, HOUSE NO 388, KOTWALI, CHITTAGONG 4000</t>
  </si>
  <si>
    <t>031 621242</t>
  </si>
  <si>
    <t>newmarket.ctg@dhakabank.com.bd</t>
  </si>
  <si>
    <t>031 621244</t>
  </si>
  <si>
    <t>085152744</t>
  </si>
  <si>
    <t>COLLEGE GATE, FATIKCHHARI COLLEGE, CHITTAGONG 4350</t>
  </si>
  <si>
    <t>03022 56320</t>
  </si>
  <si>
    <t>fatickchori@dhakabank.com.bd</t>
  </si>
  <si>
    <t>085153019</t>
  </si>
  <si>
    <t>GOHIRA BRANCH</t>
  </si>
  <si>
    <t>GOHIRA_BRANCH</t>
  </si>
  <si>
    <t>CHOWMUHANI, GOHIRA, RAOZAN, CHITTAGONG 4343</t>
  </si>
  <si>
    <t>03026 56485, 56486</t>
  </si>
  <si>
    <t>gohira@dhakabank.com.bd</t>
  </si>
  <si>
    <t>03026 56487</t>
  </si>
  <si>
    <t>085153169</t>
  </si>
  <si>
    <t>HOUSE 14/A, BLOCK G, PORT CONNECTING ROAD, HALISHAHAR HOUSING ESTATE, CHITTAGONG 4216</t>
  </si>
  <si>
    <t>031 2518923-24</t>
  </si>
  <si>
    <t>halishahar@dhakabank.com.bd</t>
  </si>
  <si>
    <t>031 2518922</t>
  </si>
  <si>
    <t>085153222</t>
  </si>
  <si>
    <t>SOBHAN PLAZA, KACHARI ROAD, HATHAZARI, CHITTAGONG 4330</t>
  </si>
  <si>
    <t>0312 60 1528, 044 34493217</t>
  </si>
  <si>
    <t>hathazari@dhakabank.com.bd</t>
  </si>
  <si>
    <t>0312 601529</t>
  </si>
  <si>
    <t>085153464</t>
  </si>
  <si>
    <t>ISLAMIC BANKING MURADPUR BRANCH</t>
  </si>
  <si>
    <t>ISLAMIC_BANKING_MURADPUR_BRANCH</t>
  </si>
  <si>
    <t>AH PARAGON, 282 CDA AVENUE, MURADPUR, PANCHLIASH, CHITTAGONG 4203</t>
  </si>
  <si>
    <t>031 2558166, 654266</t>
  </si>
  <si>
    <t>ibb.agrabad@dhakabank.com.bd</t>
  </si>
  <si>
    <t>031 655766</t>
  </si>
  <si>
    <t>085153648</t>
  </si>
  <si>
    <t>DHBLBDDH203</t>
  </si>
  <si>
    <t>LIBERTY TOWER, 183 JUBILEE ROAD, CHITTAGONG 4000</t>
  </si>
  <si>
    <t>031 630184-85</t>
  </si>
  <si>
    <t>jubilee@dhakabank.com.bd</t>
  </si>
  <si>
    <t>031 630187</t>
  </si>
  <si>
    <t>085154276</t>
  </si>
  <si>
    <t>DHBLBDDH202</t>
  </si>
  <si>
    <t>291 KHATUNGANJ ROAD, KHATUNGANJ, CHITTAGONG 4100</t>
  </si>
  <si>
    <t>031 622132-33</t>
  </si>
  <si>
    <t>khatungonj@dhakabank.com.bd</t>
  </si>
  <si>
    <t>031 622130</t>
  </si>
  <si>
    <t>085156166</t>
  </si>
  <si>
    <t>AS RAHAT ALI HIGH SCHOOL MARKET, THANA ROAD, PATIYA, CHITTAGONG 4370</t>
  </si>
  <si>
    <t>0303 556449</t>
  </si>
  <si>
    <t>patiya@dhakabank.com.bd</t>
  </si>
  <si>
    <t>085191150</t>
  </si>
  <si>
    <t>20 KANDIRPAR MORE, COMILLA 3500</t>
  </si>
  <si>
    <t>081 61646</t>
  </si>
  <si>
    <t>comilla@dhakabank.com.bd</t>
  </si>
  <si>
    <t>081 61647</t>
  </si>
  <si>
    <t>085220168</t>
  </si>
  <si>
    <t>085220250</t>
  </si>
  <si>
    <t>085260131</t>
  </si>
  <si>
    <t>AMIN BAZAR BRANCH</t>
  </si>
  <si>
    <t>AMIN_BAZAR_BRANCH</t>
  </si>
  <si>
    <t>MARKET COMPLEX, AMIN BAZAR JAME MOSQUE, 780 BEGUN BARI UNION, AMIN BAZAR, SAVAR, DHAKA</t>
  </si>
  <si>
    <t>02 9008998</t>
  </si>
  <si>
    <t>aminbazar@dhakabank.com.bd</t>
  </si>
  <si>
    <t>02 9055118</t>
  </si>
  <si>
    <t>085260436</t>
  </si>
  <si>
    <t>DHBLBDDH103</t>
  </si>
  <si>
    <t>73/B KEMAL ATATURK AVENUE, BANANI, DHAKA</t>
  </si>
  <si>
    <t>02 9862942, 9881582, 9882324-25</t>
  </si>
  <si>
    <t>banani@dhakabank.com.bd</t>
  </si>
  <si>
    <t>02 8833481</t>
  </si>
  <si>
    <t>085260728</t>
  </si>
  <si>
    <t>NILACHAL, PLOT NO 14, BLOCK B, MAIN ROAD, BANASHREE, DHAKA 1219</t>
  </si>
  <si>
    <t>02 8396420, 8396421</t>
  </si>
  <si>
    <t>banashree@dhakabank.com.bd</t>
  </si>
  <si>
    <t>02 8396426</t>
  </si>
  <si>
    <t>085270884</t>
  </si>
  <si>
    <t>DHBLBDDH102</t>
  </si>
  <si>
    <t>88 SHAHID SYED NAZRUL ISLAM SARANI, DHAKA 1100</t>
  </si>
  <si>
    <t>02 7110463, 7113748, 7175275</t>
  </si>
  <si>
    <t>bangshal@dhakabank.com.bd</t>
  </si>
  <si>
    <t>02 9558451</t>
  </si>
  <si>
    <t>085260528</t>
  </si>
  <si>
    <t>BARIDHARA BRANCH</t>
  </si>
  <si>
    <t>BARIDHARA_BRANCH</t>
  </si>
  <si>
    <t>HOUSE 23, BLOCK K, SHAHID SHUHRAWARDI AVENUE, BARIDHARA, DHAKA 1229</t>
  </si>
  <si>
    <t>02 88320635</t>
  </si>
  <si>
    <t>baridhara@dhakabank.com.bd</t>
  </si>
  <si>
    <t>02 8832068</t>
  </si>
  <si>
    <t>085261093</t>
  </si>
  <si>
    <t>DEPZ BRANCH</t>
  </si>
  <si>
    <t>DEPZ_BRANCH</t>
  </si>
  <si>
    <t>ZONE SERVICE BUILDING, ROOM 48-51, DEPZ, GANAKBARI, SAVAR, DHAKA 1349</t>
  </si>
  <si>
    <t>02 7789671</t>
  </si>
  <si>
    <t>depz@dhakabank.com.bd</t>
  </si>
  <si>
    <t>02 7789672</t>
  </si>
  <si>
    <t>085261185</t>
  </si>
  <si>
    <t>DHBLBDDH109</t>
  </si>
  <si>
    <t>HOUSE 500, ROAD 7, DHANMONDI R/A, DHAKA 1205</t>
  </si>
  <si>
    <t>02 9111537, 9122278</t>
  </si>
  <si>
    <t>dhanmondi@dhakabank.com.bd</t>
  </si>
  <si>
    <t>02 8125481</t>
  </si>
  <si>
    <t>085261198</t>
  </si>
  <si>
    <t>DHANMONDI MODEL BRANCH</t>
  </si>
  <si>
    <t>DHANMONDI_MODEL_BRANCH</t>
  </si>
  <si>
    <t>PLOT 275/G, ROAD 27(OLD), SHAHID SHEKH KAMAL SARANI, DHANMONDI R/A, DHAKA 1205</t>
  </si>
  <si>
    <t>02 9103651, 9103652-53</t>
  </si>
  <si>
    <t>dhanmondi.model@dhakabank.com.bd</t>
  </si>
  <si>
    <t>02 9103654</t>
  </si>
  <si>
    <t>085261422</t>
  </si>
  <si>
    <t>FANTASY KINGDOM BRANCH</t>
  </si>
  <si>
    <t>FANTASY_KINGDOM_BRANCH</t>
  </si>
  <si>
    <t>CHOWDHURY PLAZA, JAMGARA, ASHULIA, SAVAR, DHAKA 1340</t>
  </si>
  <si>
    <t>02 7790711-12</t>
  </si>
  <si>
    <t>fantasy.kingdom@dhakabank.com.bd</t>
  </si>
  <si>
    <t>02 7790712</t>
  </si>
  <si>
    <t>085272329</t>
  </si>
  <si>
    <t>DHBLBDDH107</t>
  </si>
  <si>
    <t>BIMAN BHABAN, 100 MOTIJHEEL C/A, DHAKA 1000</t>
  </si>
  <si>
    <t>02 7111851, 7126065</t>
  </si>
  <si>
    <t>fex@dhakabank.com.bd</t>
  </si>
  <si>
    <t>02 7169328</t>
  </si>
  <si>
    <t>085261772</t>
  </si>
  <si>
    <t>GULSHAN 2 BRANCH</t>
  </si>
  <si>
    <t>GULSHAN_2_BRANCH</t>
  </si>
  <si>
    <t>PLOT 6, ROAD 46, GULSHAN AVENUE, WARD 19, GULSHAN 2, DHAKA 1212</t>
  </si>
  <si>
    <t>02 8836224, 8836225</t>
  </si>
  <si>
    <t>gulshan.circle2@dhakabank.com.bd</t>
  </si>
  <si>
    <t>02 8836241</t>
  </si>
  <si>
    <t>085261727</t>
  </si>
  <si>
    <t>DHBLBDDHGUL</t>
  </si>
  <si>
    <t>PLOT 7, BLOCK SE(D), 24 GULSHAN AVENUE, GULSHAN 1, DHAKA 1212</t>
  </si>
  <si>
    <t>02 8816442, 8825113, 9897431</t>
  </si>
  <si>
    <t>gulshan@dhakabank.com.bd</t>
  </si>
  <si>
    <t>02 9881026</t>
  </si>
  <si>
    <t>085272808</t>
  </si>
  <si>
    <t>DHBLBDDH104</t>
  </si>
  <si>
    <t>SARDAR MANSION, 1 IMAMGANJ LANE, IMAMGANJ BAZAR, DHAKA 1100</t>
  </si>
  <si>
    <t>02 7314032, 7314136, 7318031</t>
  </si>
  <si>
    <t>imamgonj@dhakabank.com.bd</t>
  </si>
  <si>
    <t>02 7314135</t>
  </si>
  <si>
    <t>085272987</t>
  </si>
  <si>
    <t>02 7392942, 7393980-81</t>
  </si>
  <si>
    <t>islampur@dhakabank.com.bd</t>
  </si>
  <si>
    <t>02 7392942</t>
  </si>
  <si>
    <t>085273223</t>
  </si>
  <si>
    <t>DAFFODIL HAQUE PLAZA, HOLDING 249/4, WARD 86, SOUTH JATRABARI, DHAKA 1204</t>
  </si>
  <si>
    <t>02 7547846, 7547856</t>
  </si>
  <si>
    <t>jatrabari@dhakabank.com.bd</t>
  </si>
  <si>
    <t>02 7547876</t>
  </si>
  <si>
    <t>085273281</t>
  </si>
  <si>
    <t>MUNSHI SUPER MARKET, 1083 JOYPARA, DOHAR, DHAKA 1330</t>
  </si>
  <si>
    <t>02 7768160</t>
  </si>
  <si>
    <t>joypara@dhakabank.com.bd</t>
  </si>
  <si>
    <t>30 NOVEMBER 2005</t>
  </si>
  <si>
    <t>085262539</t>
  </si>
  <si>
    <t>DHBLBDDH110</t>
  </si>
  <si>
    <t>SUMMIT CENTRE, 18 KARWAN BAZAR, DHAKA 1215</t>
  </si>
  <si>
    <t>02 9134323, 9118001</t>
  </si>
  <si>
    <t>karwanbazar@dhakabank.com.bd</t>
  </si>
  <si>
    <t>02 9101239</t>
  </si>
  <si>
    <t>085273649</t>
  </si>
  <si>
    <t>KHAN PLAZA, SHAHEED DELWAR HOSSAIN ROAD, EAST AGANAGAR, KERANIGANJ, DHAKA 1310</t>
  </si>
  <si>
    <t>02 7762250</t>
  </si>
  <si>
    <t>keranigonj@dhakabank.com.bd</t>
  </si>
  <si>
    <t>02 7762251</t>
  </si>
  <si>
    <t>085273678</t>
  </si>
  <si>
    <t>389/B KHILGAON, DHAKA 1219</t>
  </si>
  <si>
    <t>02 7215881-82</t>
  </si>
  <si>
    <t>khilgaon@dhakabank.com.bd</t>
  </si>
  <si>
    <t>02 7215883</t>
  </si>
  <si>
    <t>085273881</t>
  </si>
  <si>
    <t>LOCAL OFFICE BRANCH</t>
  </si>
  <si>
    <t>LOCAL_OFFICE_BRANCH</t>
  </si>
  <si>
    <t>388</t>
  </si>
  <si>
    <t>DHBLBDDH101</t>
  </si>
  <si>
    <t>ADAMJEE COURT, 115/120 MOTIJHEEL C/A, DHAKA 1000</t>
  </si>
  <si>
    <t>02 9556587, 9556592-93, 9571138</t>
  </si>
  <si>
    <t>local@dhakabank.com.bd</t>
  </si>
  <si>
    <t>02 9556583</t>
  </si>
  <si>
    <t>085262984</t>
  </si>
  <si>
    <t>PLOT 1, ROAD  5, BLOCK A, SECTION 10, MIRPUR, DHAKA 1216</t>
  </si>
  <si>
    <t>02 8051559-60</t>
  </si>
  <si>
    <t>mirpur@dhakabank.com.bd</t>
  </si>
  <si>
    <t>02 8051561</t>
  </si>
  <si>
    <t>085274185</t>
  </si>
  <si>
    <t>NAVANA HEIGHTS, 20 OUTER CIRCULAR ROAD, SHAHJAHANPUR, DHAKA 1217</t>
  </si>
  <si>
    <t>02 8331945-46</t>
  </si>
  <si>
    <t>shahjahanpur@dhakabank.com.bd</t>
  </si>
  <si>
    <t>02 8331948</t>
  </si>
  <si>
    <t>085263196</t>
  </si>
  <si>
    <t>100 MOHAKHALI, BIR UTTAM AK KHANDKAR ROAD, DHAKA 1212</t>
  </si>
  <si>
    <t>02 9882914-15, 9886376</t>
  </si>
  <si>
    <t>mohakhali@dhakabank.com.bd</t>
  </si>
  <si>
    <t>02 8828910</t>
  </si>
  <si>
    <t>085272682</t>
  </si>
  <si>
    <t>085272958</t>
  </si>
  <si>
    <t>MOTIJHEEL ISLAMI BANKING BRANCH</t>
  </si>
  <si>
    <t>MOTIJHEEL_ISLAMI_BANKING_BRANCH</t>
  </si>
  <si>
    <t>DHBLBDDHIB</t>
  </si>
  <si>
    <t>CHANNEL CINEMA LIMITED, HOLDING NO 159-160, MOTIJHEEL C/A, DHAKA 1000</t>
  </si>
  <si>
    <t>02 9584951, 9585751-52</t>
  </si>
  <si>
    <t>ibb.sara@dhakabank.com.bd</t>
  </si>
  <si>
    <t>02 9584951</t>
  </si>
  <si>
    <t>085264124</t>
  </si>
  <si>
    <t>SAVAR BAZAR BRANCH</t>
  </si>
  <si>
    <t>SAVAR_BAZAR_BRANCH</t>
  </si>
  <si>
    <t>412</t>
  </si>
  <si>
    <t>ALAM PLAZA, 122/3 JALESHWOR, SAVAR BAZAR BUS STAND, DHAKA 1340</t>
  </si>
  <si>
    <t>02 7743435</t>
  </si>
  <si>
    <t>savar@dhakabank.com.bd</t>
  </si>
  <si>
    <t>02 7743434</t>
  </si>
  <si>
    <t>085264632</t>
  </si>
  <si>
    <t>DHBLBDDH204</t>
  </si>
  <si>
    <t>HOUSE 1, ROAD 13, SECTOR 1, UTTARA, DHAKA 1230</t>
  </si>
  <si>
    <t>02 8919948, 8919742, 8951788</t>
  </si>
  <si>
    <t>uttara@dhakabank.com.bd</t>
  </si>
  <si>
    <t>02 8919742, 8951755</t>
  </si>
  <si>
    <t>085270000</t>
  </si>
  <si>
    <t>085300525</t>
  </si>
  <si>
    <t>CITY PLAZA, 132 SSK ROAD, FENI 3900</t>
  </si>
  <si>
    <t>0331 63541</t>
  </si>
  <si>
    <t>feni@dhakabank.com.bd</t>
  </si>
  <si>
    <t>0331 63542</t>
  </si>
  <si>
    <t>085330229</t>
  </si>
  <si>
    <t>BOARD BAZAR, GAZIPUR 1704</t>
  </si>
  <si>
    <t>02 9293595-96</t>
  </si>
  <si>
    <t>boardbazar@dhakabank.com.bd</t>
  </si>
  <si>
    <t>02 9293595</t>
  </si>
  <si>
    <t>085330940</t>
  </si>
  <si>
    <t>146/147 BSCIC, KONABARI, GAZIPUR 1704</t>
  </si>
  <si>
    <t>02 9298701</t>
  </si>
  <si>
    <t>konabari@dhakabank.com.bd</t>
  </si>
  <si>
    <t>085360615</t>
  </si>
  <si>
    <t>KHAZA GARDEN CITY, 3903 TOWN HALL ROAD, HABIGANJ 3300</t>
  </si>
  <si>
    <t>0831 62693</t>
  </si>
  <si>
    <t>hobigonj@dhakabank.com.bd</t>
  </si>
  <si>
    <t>0831 62694</t>
  </si>
  <si>
    <t>085410949</t>
  </si>
  <si>
    <t>RASHID CENTER, 7/A RN ROAD, JESSORE 7400</t>
  </si>
  <si>
    <t>0421 60301</t>
  </si>
  <si>
    <t>jessore@dhakabank.com.bd</t>
  </si>
  <si>
    <t>0421 68102</t>
  </si>
  <si>
    <t>085471175</t>
  </si>
  <si>
    <t>117</t>
  </si>
  <si>
    <t>2B KDA AVENUE, KHULNA 9100</t>
  </si>
  <si>
    <t>041 721437, 730075</t>
  </si>
  <si>
    <t>kdaavenue@dhakabank.com.bd</t>
  </si>
  <si>
    <t>041 2833987</t>
  </si>
  <si>
    <t>085480229</t>
  </si>
  <si>
    <t>166 KALIBARI ROAD, BHAIRAB BAZAR, KISHOREGANJ 2350</t>
  </si>
  <si>
    <t>02 9471337</t>
  </si>
  <si>
    <t>bhairab@dhakabank.com.bd</t>
  </si>
  <si>
    <t>02 9471339</t>
  </si>
  <si>
    <t>085480674</t>
  </si>
  <si>
    <t>CHARTTERJEE MARKET, 154 NATUN BAZAR, ISHAKHA ROAD, KISHOREGANJ</t>
  </si>
  <si>
    <t>0941 51008, 51010</t>
  </si>
  <si>
    <t>kishoregonj@dhakabank.com.bd</t>
  </si>
  <si>
    <t>0941 51009</t>
  </si>
  <si>
    <t>085581186</t>
  </si>
  <si>
    <t>SR PLAZA, 1151/3 M SAIFUR RAHMAN ROAD, PASCHIM BAZAR, MOULVIBAZAR 3200</t>
  </si>
  <si>
    <t>0861 62173-74</t>
  </si>
  <si>
    <t>moulvibazar@dhakabank.com.bd</t>
  </si>
  <si>
    <t>0861 62175</t>
  </si>
  <si>
    <t>085670042</t>
  </si>
  <si>
    <t>SHUPTASHA BHABAN, 1 THANA ROAD, ARAIHAZAR BAZAR, NARAYANGANJ</t>
  </si>
  <si>
    <t>02 7654145-46</t>
  </si>
  <si>
    <t>araihazar@dhakabank.com.bd</t>
  </si>
  <si>
    <t>02 7654147</t>
  </si>
  <si>
    <t>085670071</t>
  </si>
  <si>
    <t>BB ROAD BRANCH</t>
  </si>
  <si>
    <t>BB_ROAD_BRANCH</t>
  </si>
  <si>
    <t>127 BB ROAD, NARAYANGANJ 1400</t>
  </si>
  <si>
    <t>02 7646658, 7646668</t>
  </si>
  <si>
    <t>bbroad@dhakabank.com.bd</t>
  </si>
  <si>
    <t>02 7630017</t>
  </si>
  <si>
    <t>085670226</t>
  </si>
  <si>
    <t>NOOR MANSION MARKET, GOALAKANDI, BHULTA, RUPGANJ, NARAYANGANJ 1462</t>
  </si>
  <si>
    <t>018 19181963</t>
  </si>
  <si>
    <t>bhulta@dhakabank.com.bd</t>
  </si>
  <si>
    <t>23 DECEMBER 2009</t>
  </si>
  <si>
    <t>085671188</t>
  </si>
  <si>
    <t>DHBLBDDH105</t>
  </si>
  <si>
    <t>SATTAR TOWER, 50 SM MALEH ROAD, TANBAZAR, NARAYANGANJ 1400</t>
  </si>
  <si>
    <t>02 9750300, 7630427</t>
  </si>
  <si>
    <t>narayangonj@dhakabank.com.bd</t>
  </si>
  <si>
    <t>02 7631864</t>
  </si>
  <si>
    <t>085671333</t>
  </si>
  <si>
    <t>ALHAJ AFSAR KARIM BHABAN, PAGLA BAZAR, FATULLAH, NARAYANGANJ 1421</t>
  </si>
  <si>
    <t>02 7681299</t>
  </si>
  <si>
    <t>paglabazar@dhakabank.com.bd</t>
  </si>
  <si>
    <t>02 7681289</t>
  </si>
  <si>
    <t>085680674</t>
  </si>
  <si>
    <t>8 BANK ROAD, MADHABDI BAZAR, NARSINGDI 1604</t>
  </si>
  <si>
    <t>02 9446681</t>
  </si>
  <si>
    <t>madhabdi@dhakabank.com.bd</t>
  </si>
  <si>
    <t>02 9446680</t>
  </si>
  <si>
    <t>085730795</t>
  </si>
  <si>
    <t>GOURI PLAZA, SHAHEED DR ZIKRUL HAQUE ROAD, SAIDPUR, NILPHAMARI 5310</t>
  </si>
  <si>
    <t>0552 672952</t>
  </si>
  <si>
    <t>saidpur@dhakabank.com.bd</t>
  </si>
  <si>
    <t>085752236</t>
  </si>
  <si>
    <t>TOFAEL SHOPPING MALL, SONAIMURI BAZAR, NOAKHALI 3827</t>
  </si>
  <si>
    <t>0322 751132</t>
  </si>
  <si>
    <t>sonaimuri@dhakabank.com.bd</t>
  </si>
  <si>
    <t>0322 751142</t>
  </si>
  <si>
    <t>085811935</t>
  </si>
  <si>
    <t>73 GANAKPARA, RAJSHAHI 6100</t>
  </si>
  <si>
    <t>0721 812330-31</t>
  </si>
  <si>
    <t>rajshahi@dhakabank.com.bd</t>
  </si>
  <si>
    <t>0721 812331</t>
  </si>
  <si>
    <t>085851458</t>
  </si>
  <si>
    <t>BANGLADESH MUKTIJODDHA SANGSHAD, RANGPUR UNIT, SHAHID MOKTER-ELAHI SARANI, STATION ROAD, RANGPUR</t>
  </si>
  <si>
    <t>0521 61494</t>
  </si>
  <si>
    <t>rangpur@dhakabank.com.bd</t>
  </si>
  <si>
    <t>085871096</t>
  </si>
  <si>
    <t>PLOT 12266-8, BARA BAZAR, THANA ROAD, SATKHIRA 9400</t>
  </si>
  <si>
    <t>0471 63647</t>
  </si>
  <si>
    <t>satkhira@dhakabank.com.bd</t>
  </si>
  <si>
    <t>0471 63925</t>
  </si>
  <si>
    <t>085880229</t>
  </si>
  <si>
    <t>JAMUNA SHOPPING COMPLEX, MUKUNDAGANTI BAZAR, BELKUCHI, SIRAJGANJ 6740</t>
  </si>
  <si>
    <t>07522 56280, 56428</t>
  </si>
  <si>
    <t>belkuchi@dhakabank.com.bd</t>
  </si>
  <si>
    <t>07522 56280</t>
  </si>
  <si>
    <t>085880432</t>
  </si>
  <si>
    <t>HAPPY STORE BHABAN, CHANDAIKONA BAZAR, RAIGANJ, SIRAJGANJ</t>
  </si>
  <si>
    <t>07526 56250-51</t>
  </si>
  <si>
    <t>chandaikona@dhakabank.com.bd</t>
  </si>
  <si>
    <t>07526 52652</t>
  </si>
  <si>
    <t>085881907</t>
  </si>
  <si>
    <t>SHAHJADPUR BRANCH</t>
  </si>
  <si>
    <t>SHAHJADPUR_BRANCH</t>
  </si>
  <si>
    <t>HAMID MARKET, 38 DARIAPUR, SHAHJADPUR, SIRAJGANJ 6770</t>
  </si>
  <si>
    <t>07527 64074</t>
  </si>
  <si>
    <t>shahajadpur@dhakabank.com.bd</t>
  </si>
  <si>
    <t>07527 64075</t>
  </si>
  <si>
    <t>085881873</t>
  </si>
  <si>
    <t>CHAMBER HOUSE, PLOT NO 486, SS ROAD, SIRAJGANJ 6700</t>
  </si>
  <si>
    <t>0751 64508-09</t>
  </si>
  <si>
    <t>sirajgonj@dhakabank.com.bd</t>
  </si>
  <si>
    <t>0751 64508</t>
  </si>
  <si>
    <t>085911543</t>
  </si>
  <si>
    <t>RAHMAN COMPLEX, GOALABAZAR, OSMANINAGAR, SYLHET 3124</t>
  </si>
  <si>
    <t>08242 56707</t>
  </si>
  <si>
    <t>goalabazar@dhakabank.com.bd</t>
  </si>
  <si>
    <t>08242 56410</t>
  </si>
  <si>
    <t>085912500</t>
  </si>
  <si>
    <t>DHBLBDDH301</t>
  </si>
  <si>
    <t>960 LALDIGHIRPAR, SYLHET 3100</t>
  </si>
  <si>
    <t>0821 721116-19</t>
  </si>
  <si>
    <t>laldighirpar@dhakabank.com.bd</t>
  </si>
  <si>
    <t>0821 721120</t>
  </si>
  <si>
    <t>085912542</t>
  </si>
  <si>
    <t>MADINA MARKET BRANCH</t>
  </si>
  <si>
    <t>MADINA_MARKET_BRANCH</t>
  </si>
  <si>
    <t>MAHMUD COMPLEX, HOLDING NO 1400, MADINA MARKET, WEST PATHANTULA, SYLHET 3100</t>
  </si>
  <si>
    <t>0821 728471, 728472</t>
  </si>
  <si>
    <t>madina.market@dhakabank.com.bd</t>
  </si>
  <si>
    <t>0821 728473</t>
  </si>
  <si>
    <t>085914032</t>
  </si>
  <si>
    <t>HOUSE NO 10, ROAD 32, BLOCK D, UPASHAHAR,  SYLHET 3100</t>
  </si>
  <si>
    <t>0821 2831780</t>
  </si>
  <si>
    <t>uposhahar@dhakabank.com.bd</t>
  </si>
  <si>
    <t>0821 2831781</t>
  </si>
  <si>
    <t>DUTCH-BANGLA_BANK_LIMITED</t>
  </si>
  <si>
    <t>090</t>
  </si>
  <si>
    <t>DUTCH-BANGLA BANK LIMITED</t>
  </si>
  <si>
    <t>090060289</t>
  </si>
  <si>
    <t>127 / 028</t>
  </si>
  <si>
    <t>DBBLBDDH</t>
  </si>
  <si>
    <t>109 SADAR ROAD, BARISAL</t>
  </si>
  <si>
    <t>0431 2174489, 2174474, 017 13450734</t>
  </si>
  <si>
    <t>shahidul.islam@dutchbanglabank.com</t>
  </si>
  <si>
    <t>0431 2174489</t>
  </si>
  <si>
    <t>090100378</t>
  </si>
  <si>
    <t>125 / 037</t>
  </si>
  <si>
    <t>MODHU METRO TOWER, SATHMATA, BOGRA</t>
  </si>
  <si>
    <t>051 69820, 69830, 017 13201690</t>
  </si>
  <si>
    <t>fazlul.kabir@dutchbanglabank.com</t>
  </si>
  <si>
    <t>051 69830</t>
  </si>
  <si>
    <t>090150131</t>
  </si>
  <si>
    <t>102 / 013</t>
  </si>
  <si>
    <t>DBBLBDDH102</t>
  </si>
  <si>
    <t>75 AGRABAD COMMERCIAL AREA, CHITTAGONG 4100</t>
  </si>
  <si>
    <t>031 724781-82, 726571, 017 11728391</t>
  </si>
  <si>
    <t>mohammad.sohel@dutchbanglabank.com</t>
  </si>
  <si>
    <t>031 724976</t>
  </si>
  <si>
    <t>090151480</t>
  </si>
  <si>
    <t>129 / 148</t>
  </si>
  <si>
    <t>IPL ATLANTA TRADE CENTER, OR NIZAM ROAD, GOLPAHAR MORE, CHITTAGONG</t>
  </si>
  <si>
    <t>031 2855936-38, 017 13107249</t>
  </si>
  <si>
    <t>abm.maruf @dutchbanglabank.com</t>
  </si>
  <si>
    <t>031 2855939</t>
  </si>
  <si>
    <t>090152005</t>
  </si>
  <si>
    <t>188 / 200</t>
  </si>
  <si>
    <t>ISLAM MANSION, 6606 SOUTH HALISHAHAR, BONDOR, CHITTAGONG</t>
  </si>
  <si>
    <t>017 30703435</t>
  </si>
  <si>
    <t>mohaimanul.quader@dutchbanglabank.com</t>
  </si>
  <si>
    <t>031 741420</t>
  </si>
  <si>
    <t>090152742</t>
  </si>
  <si>
    <t>150 / 274</t>
  </si>
  <si>
    <t>NAZRUL SHOPPING COMPLEX, COLLEGE ROAD, CHITTAGONG</t>
  </si>
  <si>
    <t>03022 56235-36, 017 30077780</t>
  </si>
  <si>
    <t>03022 56235</t>
  </si>
  <si>
    <t>12 OCTOBER 2008</t>
  </si>
  <si>
    <t>090153167</t>
  </si>
  <si>
    <t>165 / 316</t>
  </si>
  <si>
    <t>HOLDING NO 12/A, ROAD 1, BLOCK G, PORT CONNECTING ROAD, HALISHAHAR HOUSING ESTATE, CHITTAGONG</t>
  </si>
  <si>
    <t>031 2518051-52, 017 30333630</t>
  </si>
  <si>
    <t>mahmudur.rahman@dutchbanglabank.com</t>
  </si>
  <si>
    <t>031 2518050</t>
  </si>
  <si>
    <t>090153220</t>
  </si>
  <si>
    <t>113 / 322</t>
  </si>
  <si>
    <t>SS TOWER, KACHARI ROAD, HATHAZARI, CHITTAGONG</t>
  </si>
  <si>
    <t>031 2601188, 2601176, 017 11728300</t>
  </si>
  <si>
    <t>feroz.alam@dutchbanglabank.com</t>
  </si>
  <si>
    <t>031 2601176</t>
  </si>
  <si>
    <t>090153646</t>
  </si>
  <si>
    <t>142 / 364</t>
  </si>
  <si>
    <t>QUADER TOWER, TINPOOL, 128 JUBILEE ROAD, CHITTAGONG</t>
  </si>
  <si>
    <t>031 2854491, 2854493, 017 13257361</t>
  </si>
  <si>
    <t>moinul.kabir@dutchbanglabank.com</t>
  </si>
  <si>
    <t>031 2854492</t>
  </si>
  <si>
    <t>090153738</t>
  </si>
  <si>
    <t>143 / 373</t>
  </si>
  <si>
    <t>RAHAT CENTER, 295 DT ROAD, KADAMTOLI, CHITTAGONG</t>
  </si>
  <si>
    <t>031 2514130, 2514116, 017 13257362</t>
  </si>
  <si>
    <t>km.ezaz@dutchbanglabank.com</t>
  </si>
  <si>
    <t>031 2514131</t>
  </si>
  <si>
    <t>090154274</t>
  </si>
  <si>
    <t>155 / 427</t>
  </si>
  <si>
    <t>DBBLBDDH155</t>
  </si>
  <si>
    <t>254 KHATUNGANJ, CHITTAGONG 4000</t>
  </si>
  <si>
    <t>031 2856781-82, 017 30088882</t>
  </si>
  <si>
    <t>hossain.abul@dutchbanglabank.com</t>
  </si>
  <si>
    <t>031 2856783</t>
  </si>
  <si>
    <t>090154661</t>
  </si>
  <si>
    <t>146 / 466</t>
  </si>
  <si>
    <t>MOSTOFA CITY, LOHAGARA, CHITTAGONG</t>
  </si>
  <si>
    <t>03034 56340-41, 017 30024090</t>
  </si>
  <si>
    <t>matthew.gonsalves@dutchbanglabank.com</t>
  </si>
  <si>
    <t>03034 56342</t>
  </si>
  <si>
    <t>090155323</t>
  </si>
  <si>
    <t>133 / 532</t>
  </si>
  <si>
    <t>AL KABIR TOWER, MURADPUR JUNCTION, PANCHLAISH, CHITTAGONG</t>
  </si>
  <si>
    <t>031 656012-13, 017 13060994</t>
  </si>
  <si>
    <t>ranjan.barua@dutchbanglabank.com</t>
  </si>
  <si>
    <t>031 656011</t>
  </si>
  <si>
    <t>090156135</t>
  </si>
  <si>
    <t>112 / 613</t>
  </si>
  <si>
    <t>BHARATESWARI PLAZA, NOAPARA, RAOZAN, CHITTAGONG</t>
  </si>
  <si>
    <t>031 2571263-64, 017 11728339</t>
  </si>
  <si>
    <t>arif.ahmad@dutchbanglabank.com</t>
  </si>
  <si>
    <t>031 2571263</t>
  </si>
  <si>
    <t>090156506</t>
  </si>
  <si>
    <t>RAOZAN SME BRANCH</t>
  </si>
  <si>
    <t>RAOZAN_SME_BRANCH</t>
  </si>
  <si>
    <t>192 / 650</t>
  </si>
  <si>
    <t>HAZI AHSAN MANSION, 256, THANA ROAD, FAKIRHAT, RAOZAN, CHITTAGONG</t>
  </si>
  <si>
    <t>0302 656258, 017 13481710</t>
  </si>
  <si>
    <t>asruth.chakraborty@dutchbanglabank.com</t>
  </si>
  <si>
    <t>0302 656258</t>
  </si>
  <si>
    <t>090191158</t>
  </si>
  <si>
    <t>141 / 115</t>
  </si>
  <si>
    <t>BANDHI SHAHI MARKET, CHAWKBAZAR, COMILLA</t>
  </si>
  <si>
    <t>081 61011-12, 017 13431444</t>
  </si>
  <si>
    <t>alamgir.humayun@dutchbanglabank.com</t>
  </si>
  <si>
    <t>081 61013</t>
  </si>
  <si>
    <t>090192115</t>
  </si>
  <si>
    <t>226 /</t>
  </si>
  <si>
    <t>MADONA TWIN TOWER, GOURIPUR BAZAR, DAUDKANDI, COMILLA 3517</t>
  </si>
  <si>
    <t>019 38801680</t>
  </si>
  <si>
    <t>razib.ahmed@dutchbanglabank.com</t>
  </si>
  <si>
    <t>26 DECEMBER 2012</t>
  </si>
  <si>
    <t>090191161</t>
  </si>
  <si>
    <t>JHAWTALA SME BRANCH</t>
  </si>
  <si>
    <t>JHAWTALA_SME_BRANCH</t>
  </si>
  <si>
    <t>194 / 116</t>
  </si>
  <si>
    <t>HOLDING 1040/2, JHAWTALA, COMILLA</t>
  </si>
  <si>
    <t>081 68618, 017 13481725</t>
  </si>
  <si>
    <t>shafiqur.rahman@dutchbanglabank.com</t>
  </si>
  <si>
    <t>26 DECEMBER 2010</t>
  </si>
  <si>
    <t>090192715</t>
  </si>
  <si>
    <t>210 /</t>
  </si>
  <si>
    <t>894 LAKSAM BAZAR, COMILLA</t>
  </si>
  <si>
    <t>08032 51032, 019 38801647</t>
  </si>
  <si>
    <t>jahangir.hossain@dutchbanglabank.com</t>
  </si>
  <si>
    <t>26 DECEMBER 2011</t>
  </si>
  <si>
    <t>090220258</t>
  </si>
  <si>
    <t>090270129</t>
  </si>
  <si>
    <t>ABDULLAHPUR BRANCH</t>
  </si>
  <si>
    <t>ABDULLAHPUR_BRANCH</t>
  </si>
  <si>
    <t>230 /</t>
  </si>
  <si>
    <t>ANWAR HOSSAIN PLAZA, ABDULLAHPUR BUS STAND, KOLAKANDI ROAD, KERANIGANJ, DHAKA</t>
  </si>
  <si>
    <t>019 38801698</t>
  </si>
  <si>
    <t>monsur.ahmed@dutchbanglabank.com</t>
  </si>
  <si>
    <t>29 SEPTEMBER 2013</t>
  </si>
  <si>
    <t>090260205</t>
  </si>
  <si>
    <t>202 /</t>
  </si>
  <si>
    <t>BHUIYAN SHOPPING COMPLEX, 301-631 ASHKONA, DHAKA</t>
  </si>
  <si>
    <t>02 7912494, 8915884, 019 38801625</t>
  </si>
  <si>
    <t>debabrata.paul@dutchbanglabank.com</t>
  </si>
  <si>
    <t>02 8915814</t>
  </si>
  <si>
    <t>090260221</t>
  </si>
  <si>
    <t>216 /</t>
  </si>
  <si>
    <t>DHAKA-ASHULIYA HIGHWAY, JAMGORA, ASHULIA, DHAKA</t>
  </si>
  <si>
    <t>019 38801656</t>
  </si>
  <si>
    <t>mahbubur.rahman@dutchbanglabank.com</t>
  </si>
  <si>
    <t>20 MAY 2012</t>
  </si>
  <si>
    <t>090270345</t>
  </si>
  <si>
    <t>222 /</t>
  </si>
  <si>
    <t>ATIBAZAR, KERANIGANJ, DHAKA</t>
  </si>
  <si>
    <t>019 38801676</t>
  </si>
  <si>
    <t>motiur.rahman@dutchbanglabank.com</t>
  </si>
  <si>
    <t>11 NOVEMBER 2012</t>
  </si>
  <si>
    <t>090260434</t>
  </si>
  <si>
    <t>103 / 043</t>
  </si>
  <si>
    <t>DBBLBDDH103</t>
  </si>
  <si>
    <t>PLOT 75, BLOCK B, KEMAL ATATURK AVENUE, BANANI, DHAKA 1213</t>
  </si>
  <si>
    <t>02 58815191-92, 55034190, 017 13069923</t>
  </si>
  <si>
    <t>farhad.khan@dutchbanglabank.com</t>
  </si>
  <si>
    <t>02 9887336</t>
  </si>
  <si>
    <t>090270640</t>
  </si>
  <si>
    <t>160 / 064</t>
  </si>
  <si>
    <t>SHEZAN MULTI SHOPPING MALL, BANDURA BAZAR, NAWABGANJ, DHAKA</t>
  </si>
  <si>
    <t>038 94684026, 017 13481746</t>
  </si>
  <si>
    <t>prodip.kumar@dutchbanglabank.com</t>
  </si>
  <si>
    <t>038 94684027</t>
  </si>
  <si>
    <t>090260555</t>
  </si>
  <si>
    <t>147 / 055</t>
  </si>
  <si>
    <t>K 3/1-C JAGONNATHPUR, BASHUNDHARA, DHAKA</t>
  </si>
  <si>
    <t>02 8413618-20, 017 30024092</t>
  </si>
  <si>
    <t>imran.quader@dutchbanglabank.com</t>
  </si>
  <si>
    <t>02 8413619-20 (Ext. 108)</t>
  </si>
  <si>
    <t>090271094</t>
  </si>
  <si>
    <t>191 / 109</t>
  </si>
  <si>
    <t>180-181 SHAHID SYED NAZRUL ISLAM SARANI, BIJOYNAGAR, DHAKA</t>
  </si>
  <si>
    <t>02 8391562, 8391563, 017 30703441</t>
  </si>
  <si>
    <t>kishore.jewel@dutchbanglabank.com</t>
  </si>
  <si>
    <t>02 8391561</t>
  </si>
  <si>
    <t>090260926</t>
  </si>
  <si>
    <t>DAKSHINKHAN SME BRANCH</t>
  </si>
  <si>
    <t>DAKSHINKHAN_SME_BRANCH</t>
  </si>
  <si>
    <t>183 / 092</t>
  </si>
  <si>
    <t>RAJOB ALI SUPER MARKET, 83 DAKSHINKHAN BAZAR, UTTARA, DHAKA</t>
  </si>
  <si>
    <t>02 8999669, 8999671, 017 30317194</t>
  </si>
  <si>
    <t>belal.hossain@dutchbanglabank.com</t>
  </si>
  <si>
    <t>11 AUGUST 2010</t>
  </si>
  <si>
    <t>090271423</t>
  </si>
  <si>
    <t>DANIA BRANCH</t>
  </si>
  <si>
    <t>DANIA_BRANCH</t>
  </si>
  <si>
    <t>119 / 142</t>
  </si>
  <si>
    <t>AYESHA MOSARRAF SHOPPING COMPLEX, DANIA, SHYAMPUR, DHAKA</t>
  </si>
  <si>
    <t>02 7552400, 7552501, 017 13010703</t>
  </si>
  <si>
    <t>arif.sharif@dutchbanglabank.com</t>
  </si>
  <si>
    <t>02 7552501</t>
  </si>
  <si>
    <t>090261091</t>
  </si>
  <si>
    <t>DHAKA EPZ BRANCH</t>
  </si>
  <si>
    <t>DHAKA_EPZ_BRANCH</t>
  </si>
  <si>
    <t>122 / 109</t>
  </si>
  <si>
    <t>DBBLBDDH122</t>
  </si>
  <si>
    <t>BAIPAIL, SAVAR, DHAKA</t>
  </si>
  <si>
    <t>02 7790668, 7788254, 017 13046290</t>
  </si>
  <si>
    <t>ibnul.hasan@dutchbanglabank.com</t>
  </si>
  <si>
    <t>02 7789265</t>
  </si>
  <si>
    <t>090261183</t>
  </si>
  <si>
    <t>110 / 118</t>
  </si>
  <si>
    <t>DBBLBDDH110</t>
  </si>
  <si>
    <t>HOUSE 500-A/1, ROAD 8, DHANMONDI R/A, DHAKA 1205</t>
  </si>
  <si>
    <t>02 58610963, 8628249, 017 11590289</t>
  </si>
  <si>
    <t>biswajit.das@dutchbanglabank.com</t>
  </si>
  <si>
    <t>02 58610963 (Ext. 108)</t>
  </si>
  <si>
    <t>090260368</t>
  </si>
  <si>
    <t>DUMNI BRANCH</t>
  </si>
  <si>
    <t>DUMNI_BRANCH</t>
  </si>
  <si>
    <t>236 /</t>
  </si>
  <si>
    <t>DUMNI BAZAR, KHILKHET, DHAKA</t>
  </si>
  <si>
    <t>019 38801704</t>
  </si>
  <si>
    <t>ismail.hossain@dutchbanglabank.com</t>
  </si>
  <si>
    <t>30 DECEMBER 2013</t>
  </si>
  <si>
    <t>090261338</t>
  </si>
  <si>
    <t>126 / 133</t>
  </si>
  <si>
    <t>118/3 DR KUDRAT-E-KHUDA ROAD, ELEPHANT ROAD, DHAKA 1205</t>
  </si>
  <si>
    <t>02 8631875, 9675498, 017 13049306</t>
  </si>
  <si>
    <t>ariful.hoque@dutchbanglabank.com</t>
  </si>
  <si>
    <t>02 8653545</t>
  </si>
  <si>
    <t>090274309</t>
  </si>
  <si>
    <t>105 / 430</t>
  </si>
  <si>
    <t>DBBLBDDH105</t>
  </si>
  <si>
    <t>ZERIN MANSION, 55 MOTIJHEEL COMMERCIAL AREA, DHAKA 1000</t>
  </si>
  <si>
    <t>02 9550769, 9550677, 017 11535664</t>
  </si>
  <si>
    <t>sirajul.islam@dutchbanglabank.com</t>
  </si>
  <si>
    <t>02 9550504</t>
  </si>
  <si>
    <t>090261725</t>
  </si>
  <si>
    <t>116 / 172</t>
  </si>
  <si>
    <t>DBBLBDDH116</t>
  </si>
  <si>
    <t>THE GRAND DELVISTAA, CES (A) 1/A, ROAD 113, GULSHAN AVENUE, DHAKA 1212</t>
  </si>
  <si>
    <t>02 9888436, 58812213, 017 11590396</t>
  </si>
  <si>
    <t>abdullah.masud@dutchbanglabank.com</t>
  </si>
  <si>
    <t>02 9888436 (Ext. 108)</t>
  </si>
  <si>
    <t>090262058</t>
  </si>
  <si>
    <t>223 /</t>
  </si>
  <si>
    <t>BEGUNBARI, AMINBAZAR, SAVAR, DHAKA</t>
  </si>
  <si>
    <t>019 38801677</t>
  </si>
  <si>
    <t>chan.mia@dutchbanglabank.com</t>
  </si>
  <si>
    <t>13 NOVEMBER 2012</t>
  </si>
  <si>
    <t>090272806</t>
  </si>
  <si>
    <t>139 / 280</t>
  </si>
  <si>
    <t>41 ROY ISWAR CHANDRA SHIL BAHADUR STREET, IMAMGANJ, DHAKA</t>
  </si>
  <si>
    <t>02 7341369, 7341370, 017 13060961</t>
  </si>
  <si>
    <t>faisal.hyder@dutchbanglabank.com</t>
  </si>
  <si>
    <t>02 7341344</t>
  </si>
  <si>
    <t>090272985</t>
  </si>
  <si>
    <t>118 / 298</t>
  </si>
  <si>
    <t>DBBLBDDH118</t>
  </si>
  <si>
    <t>JAHANGIR TOWER, 114-116 ISLAMPUR ROAD, DHAKA 1100</t>
  </si>
  <si>
    <t>02 57392944, 57395414, 017 11594508</t>
  </si>
  <si>
    <t>ekram.ullah@dutchbanglabank.com</t>
  </si>
  <si>
    <t>02 7396026</t>
  </si>
  <si>
    <t>090273289</t>
  </si>
  <si>
    <t>130 / 328</t>
  </si>
  <si>
    <t>MONOWARA MANSION, JOYPARA, LOTA KHOLA, DOHAR, DHAKA</t>
  </si>
  <si>
    <t>02 9134587, 018 94947734, 017 13201877</t>
  </si>
  <si>
    <t>abulkalam.azad@dutchbanglabank.com</t>
  </si>
  <si>
    <t>038 94680144</t>
  </si>
  <si>
    <t>090262445</t>
  </si>
  <si>
    <t>234 /</t>
  </si>
  <si>
    <t>KALAMPUR BAZAR, DHAMRAI, DHAKA</t>
  </si>
  <si>
    <t>019 38801703</t>
  </si>
  <si>
    <t>niamat.ullah@dutchbanglabank.com</t>
  </si>
  <si>
    <t>22 DECEMBER 2013</t>
  </si>
  <si>
    <t>090262537</t>
  </si>
  <si>
    <t>107 / 253</t>
  </si>
  <si>
    <t>DBBLBDDH107</t>
  </si>
  <si>
    <t>BSRS BHABAN, 12 KARWAN BAZAR, DHAKA 1215</t>
  </si>
  <si>
    <t>02 55011975-77, 017 11590395</t>
  </si>
  <si>
    <t>rezaul.karim@dutchbanglabank.com</t>
  </si>
  <si>
    <t>02 55011977</t>
  </si>
  <si>
    <t>090273647</t>
  </si>
  <si>
    <t>198 /</t>
  </si>
  <si>
    <t>JAHANARA PLAZA, SHAHID NAGAR, KERANIGANJ, DHAKA</t>
  </si>
  <si>
    <t>02 7763994, 019 38801615</t>
  </si>
  <si>
    <t>mustaque.ahmed@dutchbanglabank.com</t>
  </si>
  <si>
    <t>02 7763997</t>
  </si>
  <si>
    <t>090273889</t>
  </si>
  <si>
    <t>101 / 388</t>
  </si>
  <si>
    <t>DBBLBDDH101</t>
  </si>
  <si>
    <t>1 DILKUSHA COMMERCIAL AREA, DHAKA 1000</t>
  </si>
  <si>
    <t>02 9568539-41, 017 30031823</t>
  </si>
  <si>
    <t>istiaque.rafique@dutchbanglabank.com</t>
  </si>
  <si>
    <t>02 9568538</t>
  </si>
  <si>
    <t>090262874</t>
  </si>
  <si>
    <t>221 /</t>
  </si>
  <si>
    <t>MAIN ROAD, UTTAR MANDA, DHAKA</t>
  </si>
  <si>
    <t>02 7274429-30, 019 38801675</t>
  </si>
  <si>
    <t>faroque.ahammed@dutchbanglabank.com</t>
  </si>
  <si>
    <t>6 NOVEMBER 2012</t>
  </si>
  <si>
    <t>090274004</t>
  </si>
  <si>
    <t>197 /</t>
  </si>
  <si>
    <t>MEGHNA PLAZA, KONAPARA MAIN ROAD, MATUAIL, JATRABARI, DHAKA</t>
  </si>
  <si>
    <t>02 7559642, 7559644, 019 38801614</t>
  </si>
  <si>
    <t>k.zaman@dutchbanglabank.com</t>
  </si>
  <si>
    <t>02 7550642</t>
  </si>
  <si>
    <t>090274059</t>
  </si>
  <si>
    <t>MEGHULA SME BRANCH</t>
  </si>
  <si>
    <t>MEGHULA_SME_BRANCH</t>
  </si>
  <si>
    <t>405</t>
  </si>
  <si>
    <t>090263136</t>
  </si>
  <si>
    <t>164 / 313</t>
  </si>
  <si>
    <t>231 SENPARA PARBOTA, MIRPUR 10, DHAKA</t>
  </si>
  <si>
    <t>02 9015957, 9015975, 017 13247410</t>
  </si>
  <si>
    <t>shahriar.kabez@dutchbanglabank.com</t>
  </si>
  <si>
    <t>02 9015966</t>
  </si>
  <si>
    <t>090262982</t>
  </si>
  <si>
    <t>115 / 298</t>
  </si>
  <si>
    <t>8 DARUS SALAM ROAD, MIRPUR 1, DHAKA 1216</t>
  </si>
  <si>
    <t>02 9016841, 9016843, 017 11593280</t>
  </si>
  <si>
    <t>aslam.ferdous@dutchbanglabank.com</t>
  </si>
  <si>
    <t>02 8057237</t>
  </si>
  <si>
    <t>090263194</t>
  </si>
  <si>
    <t>114 / 319</t>
  </si>
  <si>
    <t>DBBLBDDH114</t>
  </si>
  <si>
    <t>HOTEL ZAKARIA, 35 GULSHAN ROAD, MOHAKHALI C/A, DHAKA 1212</t>
  </si>
  <si>
    <t>02 9891317, 9861939, 017 11593278</t>
  </si>
  <si>
    <t>abu.rashid@dutchbanglabank.com</t>
  </si>
  <si>
    <t>02 9891317 (Ext. 108)</t>
  </si>
  <si>
    <t>090274725</t>
  </si>
  <si>
    <t>104 / 472</t>
  </si>
  <si>
    <t>DBBLBDDH104</t>
  </si>
  <si>
    <t>65 NAWABPUR ROAD, DHAKA 1100</t>
  </si>
  <si>
    <t>02 7119282, 7175794, 017 11541738</t>
  </si>
  <si>
    <t>rahman.mizanur@dutchbanglabank.com</t>
  </si>
  <si>
    <t>02 7175794 (Ext. 110)</t>
  </si>
  <si>
    <t>090274817</t>
  </si>
  <si>
    <t>NAYABAZAR BRANCH</t>
  </si>
  <si>
    <t>NAYABAZAR_BRANCH</t>
  </si>
  <si>
    <t>136 / 481</t>
  </si>
  <si>
    <t>ENGLISH ROAD, TANTI BAZAR SQUARE, DHAKA</t>
  </si>
  <si>
    <t>02 7395523, 7394659, 017 13141986</t>
  </si>
  <si>
    <t>shafiul.azam@dutchbanglabank.com</t>
  </si>
  <si>
    <t>02 7394654</t>
  </si>
  <si>
    <t>090263581</t>
  </si>
  <si>
    <t>211 /</t>
  </si>
  <si>
    <t>NORTHERN KHAN HEIGHTS, PLOT NO 34, ROAD 3, BLOCK D, SECTION 11, PALLABI, MIRPUR, DHAKA</t>
  </si>
  <si>
    <t>02 9013446, 019 38801643</t>
  </si>
  <si>
    <t>waliur.rahman@dutchbanglabank.com</t>
  </si>
  <si>
    <t>28 DECEMBER 2011</t>
  </si>
  <si>
    <t>090263707</t>
  </si>
  <si>
    <t>193 / 370</t>
  </si>
  <si>
    <t>AZHAR COMFORT COMPLEX, GA-130/A PRAGATI SARANI, MIDDLE BADDA, DHAKA 1212</t>
  </si>
  <si>
    <t>02 8816800, 017 30703440</t>
  </si>
  <si>
    <t>shamal.saha@dutchbanglabank.com</t>
  </si>
  <si>
    <t>21 DECEMBER 2010</t>
  </si>
  <si>
    <t>090275740</t>
  </si>
  <si>
    <t>178 / 574</t>
  </si>
  <si>
    <t>2/1 EAST RAMPURA, DIT ROAD, RAMPURA, DHAKA</t>
  </si>
  <si>
    <t>02 9356453-54, 017 30317188</t>
  </si>
  <si>
    <t>shamim.kabir@dutchbanglabank.com</t>
  </si>
  <si>
    <t>02 9356200</t>
  </si>
  <si>
    <t>090263978</t>
  </si>
  <si>
    <t>RING ROAD BRANCH</t>
  </si>
  <si>
    <t>RING_ROAD_BRANCH</t>
  </si>
  <si>
    <t>148 / 397</t>
  </si>
  <si>
    <t>BAITUL AMAN TOWER, 840-841 RING ROAD, ADABAR, DHAKA</t>
  </si>
  <si>
    <t>02  8155256, 9129290, 017 30024096</t>
  </si>
  <si>
    <t>mohammad.abdullah@dutchbanglabank.com</t>
  </si>
  <si>
    <t>02 9129290</t>
  </si>
  <si>
    <t>090275832</t>
  </si>
  <si>
    <t>217 /</t>
  </si>
  <si>
    <t>KHOKON TOWER, BOARDING MARKET, RUHITPUR BAZAR, KERANIGANJ, DHAKA</t>
  </si>
  <si>
    <t>019 38801657</t>
  </si>
  <si>
    <t>golam.kibria@dutchbanglabank.com</t>
  </si>
  <si>
    <t>23 MAY 2012</t>
  </si>
  <si>
    <t>090264030</t>
  </si>
  <si>
    <t>171 / 403</t>
  </si>
  <si>
    <t>PLOT NO 47, ROAD 9/A, DHANMONDI R/A, DHAKA 1209</t>
  </si>
  <si>
    <t>02  8191162, 8191750, 017 13481709</t>
  </si>
  <si>
    <t>mostafa.ahmed@dutchbanglabank.com</t>
  </si>
  <si>
    <t>02 8191145</t>
  </si>
  <si>
    <t>090264122</t>
  </si>
  <si>
    <t>137 / 412</t>
  </si>
  <si>
    <t>A-38 SAVAR BAZAR ROAD, DHAKA</t>
  </si>
  <si>
    <t>02 7741522-23, 017 13141985</t>
  </si>
  <si>
    <t>md.shamsuzzaman@dutchbanglabank.com</t>
  </si>
  <si>
    <t>02 7741524</t>
  </si>
  <si>
    <t>090276349</t>
  </si>
  <si>
    <t>108 / 634</t>
  </si>
  <si>
    <t>GREEN PEACE, 41 CHAMELIBAGH, SHANTINAGAR, DHAKA 1217</t>
  </si>
  <si>
    <t>02 9336178, 9335963, 017 11541792</t>
  </si>
  <si>
    <t>azharul.islam@dutchbanglabank.com</t>
  </si>
  <si>
    <t>02 8314482</t>
  </si>
  <si>
    <t>090264656</t>
  </si>
  <si>
    <t>SONARGAON JANAPATH BRANCH</t>
  </si>
  <si>
    <t>SONARGAON_JANAPATH_BRANCH</t>
  </si>
  <si>
    <t>199 /</t>
  </si>
  <si>
    <t>PLOT NO 2, SONARGAON JANAPATH ROAD, SECTOR 11, UTTARA RESIDENTIAL AREA, DHAKA 1230</t>
  </si>
  <si>
    <t>02 8991718, 019 38801619</t>
  </si>
  <si>
    <t>shafiquzzaman.khan@dutchbanglabank.com</t>
  </si>
  <si>
    <t>02 8991719</t>
  </si>
  <si>
    <t>090264485</t>
  </si>
  <si>
    <t>227 /</t>
  </si>
  <si>
    <t>315/B SHAHID TAJUDDIN SARANI, TEJGAON I/A, DHAKA</t>
  </si>
  <si>
    <t>019 38801693</t>
  </si>
  <si>
    <t>masudur.rahman@dutchbanglabank.com</t>
  </si>
  <si>
    <t>7 MARCH 2013</t>
  </si>
  <si>
    <t>090264630</t>
  </si>
  <si>
    <t>117 / 463</t>
  </si>
  <si>
    <t>DBBLBDDH117</t>
  </si>
  <si>
    <t>PLOT 7, ROAD 7, SECTOR 4, UTTARA RESIDENTIAL AREA, UTTARA, DHAKA 1230</t>
  </si>
  <si>
    <t>02 58954739, 58954206, 58954617, 017 11593449</t>
  </si>
  <si>
    <t>sumon.rahman@dutchbanglabank.com</t>
  </si>
  <si>
    <t>02 58952004</t>
  </si>
  <si>
    <t>090264601</t>
  </si>
  <si>
    <t>UTTARKHAN BRANCH</t>
  </si>
  <si>
    <t>UTTARKHAN_BRANCH</t>
  </si>
  <si>
    <t>214 /</t>
  </si>
  <si>
    <t>KAZI TOWER, MASTER PARA, UTTARKHAN, DHAKA</t>
  </si>
  <si>
    <t>019 38801655</t>
  </si>
  <si>
    <t>shafiqul.islam@dutchbanglabank.com</t>
  </si>
  <si>
    <t>29 APRIL 2012</t>
  </si>
  <si>
    <t>090261804</t>
  </si>
  <si>
    <t>VATARA BRANCH</t>
  </si>
  <si>
    <t>VATARA_BRANCH</t>
  </si>
  <si>
    <t>208 /</t>
  </si>
  <si>
    <t>SAHIDA PLAZA, SOLMAID, VATARA, BADDA, DHAKA</t>
  </si>
  <si>
    <t>02 8402762, 019 38801642</t>
  </si>
  <si>
    <t>asifur.rahman@dutchbanglabank.com</t>
  </si>
  <si>
    <t>20 DECEMBER 2011</t>
  </si>
  <si>
    <t>090277001</t>
  </si>
  <si>
    <t>WARI BRANCH</t>
  </si>
  <si>
    <t>WARI_BRANCH</t>
  </si>
  <si>
    <t>224 /</t>
  </si>
  <si>
    <t>SBAL SHAHADAT BILASH, 25 RANKIN STREET, WARI, SUTRAPUR, DHAKA</t>
  </si>
  <si>
    <t>02 9573445, 019 38801678</t>
  </si>
  <si>
    <t>tarique.hossain@dutchbanglabank.com</t>
  </si>
  <si>
    <t>10 DECEMBER 2012</t>
  </si>
  <si>
    <t>090270008</t>
  </si>
  <si>
    <t>090280672</t>
  </si>
  <si>
    <t>172 / 067</t>
  </si>
  <si>
    <t>PALOK, MUNSHIPARA, LILLIR MORE, DINAJPUR</t>
  </si>
  <si>
    <t>0531 63960-61, 017 30331459</t>
  </si>
  <si>
    <t>jahangir.alam@dutchbanglabank.com</t>
  </si>
  <si>
    <t>0531 63962</t>
  </si>
  <si>
    <t>090290525</t>
  </si>
  <si>
    <t>189 / 052</t>
  </si>
  <si>
    <t>57 CHAWKBAZAR, FARIDPUR</t>
  </si>
  <si>
    <t>0631 67080, 017 30703437</t>
  </si>
  <si>
    <t>mdshahidul.islam@dutchbanglabank.com</t>
  </si>
  <si>
    <t>14 NOVEMBER 2010</t>
  </si>
  <si>
    <t>090300378</t>
  </si>
  <si>
    <t>174 / 037</t>
  </si>
  <si>
    <t>SULTAN TOWER, ZERO POINT, DAGONBHUIYAN, FENI</t>
  </si>
  <si>
    <t>03323 79397-98, 017 30351786</t>
  </si>
  <si>
    <t>zahirul.haque@dutchbanglabank.com</t>
  </si>
  <si>
    <t>03323 79425</t>
  </si>
  <si>
    <t>090300523</t>
  </si>
  <si>
    <t>140 / 052</t>
  </si>
  <si>
    <t>AZIZ SHOPPING CENTRE, SSK ROAD, FENI</t>
  </si>
  <si>
    <t>0331 63526-27, 74490, 017 13431443</t>
  </si>
  <si>
    <t>islam.nazrul@dutchbanglabank.com</t>
  </si>
  <si>
    <t>0331 63527</t>
  </si>
  <si>
    <t>090301485</t>
  </si>
  <si>
    <t>153 / 148</t>
  </si>
  <si>
    <t>CHAKLADER MARKET, 8 THANA ROAD, SONAGAZI, FENI</t>
  </si>
  <si>
    <t>03325 76581-82, 017 30077786</t>
  </si>
  <si>
    <t>anisur.rahaman@dutchbanglabank.com</t>
  </si>
  <si>
    <t>03325 76583</t>
  </si>
  <si>
    <t>090320587</t>
  </si>
  <si>
    <t>175 / 058</t>
  </si>
  <si>
    <t>219 BOGRA-RANGPUR HIGHWAY, GOBINDAGANJ, GAIBANDHA</t>
  </si>
  <si>
    <t>05423 75310, 75318, 017 13435864</t>
  </si>
  <si>
    <t>abdul.hamid@dutchbanglabank.com</t>
  </si>
  <si>
    <t>05423 75320</t>
  </si>
  <si>
    <t>090330227</t>
  </si>
  <si>
    <t>123 / 022</t>
  </si>
  <si>
    <t>MONSUR PLAZA, NATIONAL UNIVSERSITY, JOYDEBPUR, GAZIPUR</t>
  </si>
  <si>
    <t>02 9293433-35, 017 13060712</t>
  </si>
  <si>
    <t>shameem.ahmed@dutchbanglabank.com</t>
  </si>
  <si>
    <t>02 9293433 (Ext. 101)</t>
  </si>
  <si>
    <t>090330522</t>
  </si>
  <si>
    <t>229 /</t>
  </si>
  <si>
    <t>ASIAN TOWER, PLOT NO J-80, BUS STAND BAZAR ROAD, JOYDEBPUR, GAZIPUR</t>
  </si>
  <si>
    <t>019 38801695</t>
  </si>
  <si>
    <t>monzurul.kadir@dutchbanglabank.com</t>
  </si>
  <si>
    <t>7 SEPTEMBER 2013</t>
  </si>
  <si>
    <t>090330551</t>
  </si>
  <si>
    <t>090330885</t>
  </si>
  <si>
    <t>237 /</t>
  </si>
  <si>
    <t>MOLLAH MANSION, BANAR HAWLA, KAPASIA, GAZIPUR</t>
  </si>
  <si>
    <t>019 38801711</t>
  </si>
  <si>
    <t>maruful.haque@dutchbanglabank.com</t>
  </si>
  <si>
    <t>8 OCTOBER 2014</t>
  </si>
  <si>
    <t>090330948</t>
  </si>
  <si>
    <t>151 / 094</t>
  </si>
  <si>
    <t>143-144 BSIC INDUSTRIAL AREA, KONABARI, GAZIPUR</t>
  </si>
  <si>
    <t>02 9298841-43, 017 30077784</t>
  </si>
  <si>
    <t>showkat.ali@dutchbanglabank.com</t>
  </si>
  <si>
    <t>02 9298841</t>
  </si>
  <si>
    <t>090331000</t>
  </si>
  <si>
    <t>213 /</t>
  </si>
  <si>
    <t>HAZI AMIR COMPLEX, SREEPUR ROAD, MAWNA CHOWRASTA, SREEPUR, GAZIPUR</t>
  </si>
  <si>
    <t>06825 51207, 51209, 019 38801651</t>
  </si>
  <si>
    <t>md.moniruzzaman@dutchbanglabank.com</t>
  </si>
  <si>
    <t>28 MARCH 2012</t>
  </si>
  <si>
    <t>090330056</t>
  </si>
  <si>
    <t>MIRER BAZAR BRANCH</t>
  </si>
  <si>
    <t>MIRER_BAZAR_BRANCH</t>
  </si>
  <si>
    <t>215 /</t>
  </si>
  <si>
    <t>FOUZIA SARKER COMMERCIAL COMPLEX, MIRER BAZAR, PUBAIL, GAZIPUR</t>
  </si>
  <si>
    <t>019 38801654</t>
  </si>
  <si>
    <t>mohiuddin.noon@dutchbanglabank.com</t>
  </si>
  <si>
    <t>13 MAY 2012</t>
  </si>
  <si>
    <t>090331468</t>
  </si>
  <si>
    <t>SHAFIPUR SME BRANCH</t>
  </si>
  <si>
    <t>SHAFIPUR_SME_BRANCH</t>
  </si>
  <si>
    <t>182 / 146</t>
  </si>
  <si>
    <t>ISHADI TOWER, SHAFIPUR BAZAR, KALIAKAIR, GAZIPUR</t>
  </si>
  <si>
    <t>06822 51192, 017 30317192</t>
  </si>
  <si>
    <t>mohsin.sheikh@dutchbanglabank.com</t>
  </si>
  <si>
    <t>06822 51148</t>
  </si>
  <si>
    <t>090331639</t>
  </si>
  <si>
    <t>179 / 163</t>
  </si>
  <si>
    <t>RAZZAK PLAZA, 8/2 ANARKOLI ROAD, TONGI BAZAR, GAZIPUR</t>
  </si>
  <si>
    <t>02 9816801-02, 017 30317190</t>
  </si>
  <si>
    <t>mahmud.sazzad@dutchbanglabank.com</t>
  </si>
  <si>
    <t>02 9816803</t>
  </si>
  <si>
    <t>090360613</t>
  </si>
  <si>
    <t>187 / 061</t>
  </si>
  <si>
    <t>HABIGANJ REGENCY, KALIBARI ROAD, HABIGANJ</t>
  </si>
  <si>
    <t>017 30703433</t>
  </si>
  <si>
    <t>kais.shami@dutchbanglabank.com</t>
  </si>
  <si>
    <t>0831 63152</t>
  </si>
  <si>
    <t>090410947</t>
  </si>
  <si>
    <t>163 / 094</t>
  </si>
  <si>
    <t>11/A RN ROAD, JESSORE</t>
  </si>
  <si>
    <t>0421 68314-15, 017 13431347</t>
  </si>
  <si>
    <t>md.motaharuzzaman@dutchbanglabank.com</t>
  </si>
  <si>
    <t>0421 68313</t>
  </si>
  <si>
    <t>090471544</t>
  </si>
  <si>
    <t>120 / 154</t>
  </si>
  <si>
    <t>SENA KALYAN BHABAN, 1 KDA AVENUE, KHULNA</t>
  </si>
  <si>
    <t>041 813782-84, 017 13400582</t>
  </si>
  <si>
    <t>akbar.ali@dutchbanglabank.com</t>
  </si>
  <si>
    <t>041 813784</t>
  </si>
  <si>
    <t>090480193</t>
  </si>
  <si>
    <t>173 / 019</t>
  </si>
  <si>
    <t>261-262 CHAR RASTAR MORE, BOTTALA ROAD, BHAIRAB BAZAR, KISHOREGANJ</t>
  </si>
  <si>
    <t>09424 71255-56, 017 30333773</t>
  </si>
  <si>
    <t>09424 71257</t>
  </si>
  <si>
    <t>29 JULY 2009</t>
  </si>
  <si>
    <t>090480672</t>
  </si>
  <si>
    <t>231 /</t>
  </si>
  <si>
    <t>NIRALA SHOPPING COMPLEX, ISHAKHAN ROAD, KISHOREGANJ</t>
  </si>
  <si>
    <t>019 38801699</t>
  </si>
  <si>
    <t>monsur.rahman@dutchbanglabank.com</t>
  </si>
  <si>
    <t>2 DECEMBER 2013</t>
  </si>
  <si>
    <t>090500949</t>
  </si>
  <si>
    <t>168 / 094</t>
  </si>
  <si>
    <t>164 NS ROAD, BORO BAZAR, KUSHTIA</t>
  </si>
  <si>
    <t>071 71729, 71730, 017 30333634</t>
  </si>
  <si>
    <t>dibakar.bit@dutchbanglabank.com</t>
  </si>
  <si>
    <t>071 71728</t>
  </si>
  <si>
    <t>090540404</t>
  </si>
  <si>
    <t>181 / 040</t>
  </si>
  <si>
    <t>MELBORNE PLAZA, HOLDING 1055/1, PURAN BAZAR, WARD 2, MADARIPUR</t>
  </si>
  <si>
    <t>0661 62005-06, 61873, 017 13248799</t>
  </si>
  <si>
    <t>shahinur.rahman@dutchbanglabank.com</t>
  </si>
  <si>
    <t>0661 61874</t>
  </si>
  <si>
    <t>090560613</t>
  </si>
  <si>
    <t>149 / 061</t>
  </si>
  <si>
    <t>SANDHANI PLAZA, 69/1 SAHID RAFIK SARAK, MANIKGANJ</t>
  </si>
  <si>
    <t>0651 51020-21, 51149, 017 30024094</t>
  </si>
  <si>
    <t>kalam.azad@dutchbanglabank.com</t>
  </si>
  <si>
    <t>0651 51021</t>
  </si>
  <si>
    <t>090580101</t>
  </si>
  <si>
    <t>203 /</t>
  </si>
  <si>
    <t>HAZI MOSHUD ALI TRADE CENTER, BAROIGRAM, BARLEKHA BAZAR, MOULVIBAZAR</t>
  </si>
  <si>
    <t>08622 56703, 019 38801634</t>
  </si>
  <si>
    <t>md.shahajahan@dutchbanglabank.com</t>
  </si>
  <si>
    <t>08622 56706</t>
  </si>
  <si>
    <t>090581184</t>
  </si>
  <si>
    <t>132 / 118</t>
  </si>
  <si>
    <t>SANAUR COMPLEX, SAIFUR RAHMAN ROAD, POSCHIM BAZAR, MOULVIBAZAR</t>
  </si>
  <si>
    <t>0861 62850-51, 017 13201879</t>
  </si>
  <si>
    <t>saleh.shamim@dutchbanglabank.com</t>
  </si>
  <si>
    <t>0861 62851</t>
  </si>
  <si>
    <t>090581726</t>
  </si>
  <si>
    <t>167 / 172</t>
  </si>
  <si>
    <t>AFZAL PLAZA, MOULVIBAZAR ROAD, SREEMANGAL, MOULVIBAZAR</t>
  </si>
  <si>
    <t>08626 72078-79, 017 30333632</t>
  </si>
  <si>
    <t>mokaddus.ali@dutchbanglabank.com</t>
  </si>
  <si>
    <t>08626 72080</t>
  </si>
  <si>
    <t>090591037</t>
  </si>
  <si>
    <t>186 / 103</t>
  </si>
  <si>
    <t>DEWAN PLAZA, HOLDING NO 76, BAZAR ROAD, MUNSHIGANJ</t>
  </si>
  <si>
    <t>02 7620099, 017 30703431</t>
  </si>
  <si>
    <t>syed.zakaria@dutchbanglabank.com</t>
  </si>
  <si>
    <t>29 SEPTEMBER 2010</t>
  </si>
  <si>
    <t>090611759</t>
  </si>
  <si>
    <t>156 / 175</t>
  </si>
  <si>
    <t>MAMATASHI EMPORIUM, 8 &amp;amp; 12 GKMC SAHA ROAD, CHOTTO BAZAR, MYMENSINGH</t>
  </si>
  <si>
    <t>091 67908, 52081-82, 017 30088883</t>
  </si>
  <si>
    <t>anwar.khan@dutchbanglabank.com</t>
  </si>
  <si>
    <t>091 67908</t>
  </si>
  <si>
    <t>090670079</t>
  </si>
  <si>
    <t>111 / 007</t>
  </si>
  <si>
    <t>DBBLBDDH111</t>
  </si>
  <si>
    <t>60 BB ROAD, NARAYANGANJ</t>
  </si>
  <si>
    <t>02 7642860-61, 7642862, 017 11541739</t>
  </si>
  <si>
    <t>quazi.shahidul@dutchbanglabank.com</t>
  </si>
  <si>
    <t>02 7642862</t>
  </si>
  <si>
    <t>090670224</t>
  </si>
  <si>
    <t>176 / 022</t>
  </si>
  <si>
    <t>HAZI ABDUL HAQUE SUPER MARKET, BHULTA, GOLAKANDAIL, RUPGANJ, NARAYANGANJ</t>
  </si>
  <si>
    <t>017 30313995</t>
  </si>
  <si>
    <t>monirul.hasan@dutchbanglabank.com</t>
  </si>
  <si>
    <t>15 NOVEMBER 2009</t>
  </si>
  <si>
    <t>090671186</t>
  </si>
  <si>
    <t>106 / 118</t>
  </si>
  <si>
    <t>DBBLBDDH106</t>
  </si>
  <si>
    <t>45 SM MALEH ROAD, TANBAZAR, NARAYANGANJ 1400</t>
  </si>
  <si>
    <t>02 7631134, 7643828, 017 13032551</t>
  </si>
  <si>
    <t>khalid.taimur@dutchbanglabank.com</t>
  </si>
  <si>
    <t>02 7640752</t>
  </si>
  <si>
    <t>090670237</t>
  </si>
  <si>
    <t>NARAYANGANJ BSCIC BRANCH</t>
  </si>
  <si>
    <t>NARAYANGANJ_BSCIC_BRANCH</t>
  </si>
  <si>
    <t>177 / 023</t>
  </si>
  <si>
    <t>PLOT A55, BLOCK A, BSCIC INDUSTRIAL AREA, SASONGAON, ANAYETNAGAR, FATULLAH, NARAYANGANJ</t>
  </si>
  <si>
    <t>02 7671609-10, 017 30313997</t>
  </si>
  <si>
    <t>ibrahim.khan@dutchbanglabank.com</t>
  </si>
  <si>
    <t>02 7671611</t>
  </si>
  <si>
    <t>090274996</t>
  </si>
  <si>
    <t>NETAIGANJ BRANCH</t>
  </si>
  <si>
    <t>NETAIGANJ_BRANCH</t>
  </si>
  <si>
    <t>124 / 499</t>
  </si>
  <si>
    <t>21 RK DAS ROAD, NETAIGANJ, NARAYANGANJ</t>
  </si>
  <si>
    <t>02 7646099, 9752200, 017 13060713</t>
  </si>
  <si>
    <t>javed.aziz@dutchbanglabank.com</t>
  </si>
  <si>
    <t>02 9752200</t>
  </si>
  <si>
    <t>090671302</t>
  </si>
  <si>
    <t>205 /</t>
  </si>
  <si>
    <t>AL-HAJ AFSAR KARIM BHABAN, PAGLA, FATULLAH, NARAYANGANJ</t>
  </si>
  <si>
    <t>02 7682955, 7682154, 019 38801640</t>
  </si>
  <si>
    <t>bashir.hayat@dutchbanglabank.com</t>
  </si>
  <si>
    <t>29 NOVEMBER 2011</t>
  </si>
  <si>
    <t>090671573</t>
  </si>
  <si>
    <t>SHIMRAIL BRANCH</t>
  </si>
  <si>
    <t>SHIMRAIL_BRANCH</t>
  </si>
  <si>
    <t>128 / 157</t>
  </si>
  <si>
    <t>HAJEE IBRAHIM KHALIL SHOPPING COMPIEX, PLOT NO 218, SHIMRAIL, SHIDDHIRGANJ, NARAYANGANJ</t>
  </si>
  <si>
    <t>02 7693465, 017 13047804</t>
  </si>
  <si>
    <t>mdmizanur.rahman@dutchbanglabank.com</t>
  </si>
  <si>
    <t>02 7691072</t>
  </si>
  <si>
    <t>090671694</t>
  </si>
  <si>
    <t>225 /</t>
  </si>
  <si>
    <t>AMBIA PLAZA, MOGRAPARA CHOWRASTA, SONARGAON, NARAYANGANJ</t>
  </si>
  <si>
    <t>019 38801679</t>
  </si>
  <si>
    <t>bulbul.kabir@dutchbanglabank.com</t>
  </si>
  <si>
    <t>090680106</t>
  </si>
  <si>
    <t>109 / 010</t>
  </si>
  <si>
    <t>DBBLBDDH109</t>
  </si>
  <si>
    <t>BABURHAT, MADHABDI BAZAR, NARSINGDI</t>
  </si>
  <si>
    <t>02 9446922, 017 11541734</t>
  </si>
  <si>
    <t>rahman.anisur@dutchbanglabank.com</t>
  </si>
  <si>
    <t>02 9446921</t>
  </si>
  <si>
    <t>090680735</t>
  </si>
  <si>
    <t>235 /</t>
  </si>
  <si>
    <t>LAKE CITY, MONOHARDI, NARSINGDI</t>
  </si>
  <si>
    <t>019 38801701</t>
  </si>
  <si>
    <t>ranjan.saha@dutchbanglabank.com</t>
  </si>
  <si>
    <t>090680885</t>
  </si>
  <si>
    <t>170 / 088</t>
  </si>
  <si>
    <t>217 DESH PRIYO ROAD, NARSINGDI BAZAR, NARSINGDI</t>
  </si>
  <si>
    <t>9464460, 9464470, 017 13481704</t>
  </si>
  <si>
    <t>anirban.sarker@dutchbanglabank.com</t>
  </si>
  <si>
    <t>02 9464466</t>
  </si>
  <si>
    <t>090730793</t>
  </si>
  <si>
    <t>161 / 079</t>
  </si>
  <si>
    <t>BISMILLAH MARKET, 25 SHAHEED DR ZIKRUL HAQUE ROAD, SAIDPUR, NILPHAMARI</t>
  </si>
  <si>
    <t>05526 73130, 73133, 017 13431337</t>
  </si>
  <si>
    <t>rahman.mdmahbub@dutchbanglabank.com</t>
  </si>
  <si>
    <t>05526 73131</t>
  </si>
  <si>
    <t>090750252</t>
  </si>
  <si>
    <t>166 / 025</t>
  </si>
  <si>
    <t>TANHA BHABAN, COLLEGE ROAD, BASHURHAT, COMPANIGANJ, NOAKHALI</t>
  </si>
  <si>
    <t>03223 56015-16, 017 30333631</t>
  </si>
  <si>
    <t>syed.mannan@dutchbanglabank.com</t>
  </si>
  <si>
    <t>03223 56010</t>
  </si>
  <si>
    <t>090750678</t>
  </si>
  <si>
    <t>152 / 067</t>
  </si>
  <si>
    <t>NSS BHABAN, FENI ROAD, CHOWMUHANI, NOAKHALI</t>
  </si>
  <si>
    <t>0321 53631-33, 017 30077785</t>
  </si>
  <si>
    <t>niaz.uddin@dutchbanglabank.com</t>
  </si>
  <si>
    <t>0321 53631</t>
  </si>
  <si>
    <t>090761333</t>
  </si>
  <si>
    <t>KASHINATHPUR BRANCH</t>
  </si>
  <si>
    <t>KASHINATHPUR_BRANCH</t>
  </si>
  <si>
    <t>233 /</t>
  </si>
  <si>
    <t>KASHINATHPUR BAZAR, SHATHIA, PABNA</t>
  </si>
  <si>
    <t>019 38801702</t>
  </si>
  <si>
    <t>rashed.mamun@dutchbanglabank.com</t>
  </si>
  <si>
    <t>15 DECEMBER 2013</t>
  </si>
  <si>
    <t>090761788</t>
  </si>
  <si>
    <t>169 / 178</t>
  </si>
  <si>
    <t>HAQUE SUPER MARKET, ABDUL HAMID ROAD, PABNA</t>
  </si>
  <si>
    <t>0731 64478, 63246, 017 30333635</t>
  </si>
  <si>
    <t>mamunur.rashid@dutchbanglabank.com</t>
  </si>
  <si>
    <t>0731 63623</t>
  </si>
  <si>
    <t>090811933</t>
  </si>
  <si>
    <t>135 / 193</t>
  </si>
  <si>
    <t>RAJSHAHI ASSOCIATION BHABAN, HOLDING NO 317, ALOKAR MORE, STATION ROAD, RAJSHAHI</t>
  </si>
  <si>
    <t>0721 812593-95, 017 13455551</t>
  </si>
  <si>
    <t>nazrul.islam@dutchbanglabank.com</t>
  </si>
  <si>
    <t>0721 812595</t>
  </si>
  <si>
    <t>090851456</t>
  </si>
  <si>
    <t>162 / 145</t>
  </si>
  <si>
    <t>AZHAR PLAZA, NAWABGANJ, DEWANBARI ROAD, RANGPUR</t>
  </si>
  <si>
    <t>0521 67426-67, 017 13431319</t>
  </si>
  <si>
    <t>apurba.roy@dutchbanglabank.com</t>
  </si>
  <si>
    <t>0521 67406</t>
  </si>
  <si>
    <t>090871094</t>
  </si>
  <si>
    <t>180 / 109</t>
  </si>
  <si>
    <t>MEHERUN PLAZA, BORO BAZAR ROAD, SATKHIRA</t>
  </si>
  <si>
    <t>0471 65799, 65801, 017 13186891</t>
  </si>
  <si>
    <t>mdrafiqul.islam@dutchbanglabank.com</t>
  </si>
  <si>
    <t>0471 65813</t>
  </si>
  <si>
    <t>090881905</t>
  </si>
  <si>
    <t>157 / 190</t>
  </si>
  <si>
    <t>NUR SUPER MARKET, MONIRAMPUR BAZAR, SHAHJADPUR, SIRAJGANJ</t>
  </si>
  <si>
    <t>07527 64001, 64003, 017 13481701</t>
  </si>
  <si>
    <t>uzzal.hossain@dutchbanglabank.com</t>
  </si>
  <si>
    <t>07527 64002</t>
  </si>
  <si>
    <t>090881871</t>
  </si>
  <si>
    <t>232 /</t>
  </si>
  <si>
    <t>APORUPA COMPLEX, SS ROAD, SIRAJGANJ</t>
  </si>
  <si>
    <t>0751 62711, 019 38801700</t>
  </si>
  <si>
    <t>mdrashidul.hassan@dutchbanglabank.com</t>
  </si>
  <si>
    <t>0751 62753</t>
  </si>
  <si>
    <t>090900228</t>
  </si>
  <si>
    <t>159 / 022</t>
  </si>
  <si>
    <t>MEHETAJ SHOPPING CITY, 82 GIRLS SCHOOL ROAD, CHATTAK, SUNAMGANJ</t>
  </si>
  <si>
    <t>08723 56446, 56356, 017 13481707</t>
  </si>
  <si>
    <t>ratish.debnath@dutchbanglabank.com</t>
  </si>
  <si>
    <t>08723 56439</t>
  </si>
  <si>
    <t>090900444</t>
  </si>
  <si>
    <t>195 / 044</t>
  </si>
  <si>
    <t>RELATION TOWER, GOBINDAGANJ POINT, CHHATAK, SUNAMGANJ</t>
  </si>
  <si>
    <t>017 13481748</t>
  </si>
  <si>
    <t>afaz.uddin@dutchbanglabank.com</t>
  </si>
  <si>
    <t>27 DECEMBER 2010</t>
  </si>
  <si>
    <t>090901122</t>
  </si>
  <si>
    <t>204 /</t>
  </si>
  <si>
    <t>JOAHER RAZA TRADE CENTER, MAJOR IQBAL HOSSAIN ROAD, SUNAMGANJ</t>
  </si>
  <si>
    <t>0871 61262, 019 38801639</t>
  </si>
  <si>
    <t>jyotilal.goswami@dutchbanglabank.com</t>
  </si>
  <si>
    <t>27 NOVEMBER 2011</t>
  </si>
  <si>
    <t>090910047</t>
  </si>
  <si>
    <t>201 /</t>
  </si>
  <si>
    <t>LAIS SUPER MARKET, AMBERKHANA, SYLHET</t>
  </si>
  <si>
    <t>0821 710416, 720178, 019 38801621</t>
  </si>
  <si>
    <t>kalam.parvez@dutchbanglabank.com</t>
  </si>
  <si>
    <t>0821 717497</t>
  </si>
  <si>
    <t>090910313</t>
  </si>
  <si>
    <t>BEANI BAZAR</t>
  </si>
  <si>
    <t>BEANI_BAZAR</t>
  </si>
  <si>
    <t>138 / 031</t>
  </si>
  <si>
    <t>RIAZ TOWER, GAZIPUR CHOWRASTA, GAZIPUR</t>
  </si>
  <si>
    <t>02 9262001, 9262167, 017 13141987</t>
  </si>
  <si>
    <t>anwar.sadat@dutchbanglabank.com</t>
  </si>
  <si>
    <t>02 9262067</t>
  </si>
  <si>
    <t>090910434</t>
  </si>
  <si>
    <t>131 / 043</t>
  </si>
  <si>
    <t>HAZI AFIZ ALI COMPLEX, JAGANNATHPUR ROAD, BISHWANATH, SYLHET</t>
  </si>
  <si>
    <t>08224 56009, 017 13080234</t>
  </si>
  <si>
    <t>sanjib.sinha@dutchbanglabank.com</t>
  </si>
  <si>
    <t>08224 56010</t>
  </si>
  <si>
    <t>090911309</t>
  </si>
  <si>
    <t>DHAKADAKSHIN SME BRANCH</t>
  </si>
  <si>
    <t>DHAKADAKSHIN_SME_BRANCH</t>
  </si>
  <si>
    <t>184 / 130</t>
  </si>
  <si>
    <t>DHAKADAKSHIN, GOLAPGANJ, SYLHET</t>
  </si>
  <si>
    <t>08227 56523, 56527, 017 13481740</t>
  </si>
  <si>
    <t>azad.kalam@dutchbanglabank.com</t>
  </si>
  <si>
    <t>30 AUGUST 2010</t>
  </si>
  <si>
    <t>090911541</t>
  </si>
  <si>
    <t>HAZI ABDUL GAFUR &amp;amp; SONS SHOPPING COMPLEX, SOUTH GOALABAZAR, SYLHET</t>
  </si>
  <si>
    <t>08242 56767-68, 017 30077787</t>
  </si>
  <si>
    <t>zahir.chowdhury@dutchbanglabank.com</t>
  </si>
  <si>
    <t>08242 56769</t>
  </si>
  <si>
    <t>090911604</t>
  </si>
  <si>
    <t>134 / 160</t>
  </si>
  <si>
    <t>NOOR MANSION, PHULBARI, GOLAPGANJ CHOWMOHANA, SYLHET</t>
  </si>
  <si>
    <t>08227 56379, 017 13060998</t>
  </si>
  <si>
    <t>08227 56378</t>
  </si>
  <si>
    <t>26 NOVEMBER 2006</t>
  </si>
  <si>
    <t>090913257</t>
  </si>
  <si>
    <t>SHAHJALAL UPASHAHAR BRANCH</t>
  </si>
  <si>
    <t>SHAHJALAL_UPASHAHAR_BRANCH</t>
  </si>
  <si>
    <t>190 / 325</t>
  </si>
  <si>
    <t>HOLDING 536, MAIN ROAD, SHAHJALAL UPASHAHAR, SYLHET</t>
  </si>
  <si>
    <t>0821 721553, 017 30703439</t>
  </si>
  <si>
    <t>nozmul.haque@dutchbanglabank.com</t>
  </si>
  <si>
    <t>12 DECEMBER 2010</t>
  </si>
  <si>
    <t>090913552</t>
  </si>
  <si>
    <t>121 / 355</t>
  </si>
  <si>
    <t>358 EAST ZINDA BAZAR, SYLHET 3100</t>
  </si>
  <si>
    <t>0821 712637, 712623, 017 11923159</t>
  </si>
  <si>
    <t>tahmid.chowdhury@dutchbanglabank.com</t>
  </si>
  <si>
    <t>0821 815299</t>
  </si>
  <si>
    <t>090931518</t>
  </si>
  <si>
    <t>144 / 151</t>
  </si>
  <si>
    <t>AS KABIR BIPONI BITAN, MIRZAPUR, TANGAIL</t>
  </si>
  <si>
    <t>09229 56226-27, 017 13257363</t>
  </si>
  <si>
    <t>shazzadur.rahman@dutchbanglabank.com</t>
  </si>
  <si>
    <t>09229 56228</t>
  </si>
  <si>
    <t>090932296</t>
  </si>
  <si>
    <t>196 / 229</t>
  </si>
  <si>
    <t>TANGAIL TOWER, MAIN ROAD, TANGAIL</t>
  </si>
  <si>
    <t>0921 61307, 017 30703442</t>
  </si>
  <si>
    <t>habibur.rahman@dutchbanglabank.com</t>
  </si>
  <si>
    <t>28 DECEMBER 2010</t>
  </si>
  <si>
    <t>EASTERN_BANK_LIMITED</t>
  </si>
  <si>
    <t>EASTERN BANK LIMITED</t>
  </si>
  <si>
    <t>095100373</t>
  </si>
  <si>
    <t>EBLDBDDH018</t>
  </si>
  <si>
    <t>SATANI MEGA CENTRE, 1020/1092 SHERPUR ROAD, BOGRA 5800</t>
  </si>
  <si>
    <t>051 78887</t>
  </si>
  <si>
    <t>bogra@ebl-bd.com</t>
  </si>
  <si>
    <t>051 63892</t>
  </si>
  <si>
    <t>095150136</t>
  </si>
  <si>
    <t>EBLDBDDH003</t>
  </si>
  <si>
    <t>33 AGRABAD C/A, CHITTAGONG</t>
  </si>
  <si>
    <t>031 720755-59</t>
  </si>
  <si>
    <t>agrabad@ebl-bd.com</t>
  </si>
  <si>
    <t>031 710262</t>
  </si>
  <si>
    <t>095151214</t>
  </si>
  <si>
    <t>EBLDBDDH</t>
  </si>
  <si>
    <t>SAJEDA BHABAN, H AKBAR ALI ROAD, BHATIARY, CHITTAGONG</t>
  </si>
  <si>
    <t>044 38000567-68</t>
  </si>
  <si>
    <t>bhatiary@ebl-bd.com</t>
  </si>
  <si>
    <t>095151485</t>
  </si>
  <si>
    <t>CHANDGAON BRANCH</t>
  </si>
  <si>
    <t>CHANDGAON_BRANCH</t>
  </si>
  <si>
    <t>HOUSE 16, ROAD 1, BLOCK A, CHANDGAON, CHITTAGONG 4000</t>
  </si>
  <si>
    <t>031 2571204</t>
  </si>
  <si>
    <t>chandgaon@ebl-bd.com</t>
  </si>
  <si>
    <t>095151577</t>
  </si>
  <si>
    <t>1279/A SALEH COMPLEX, CEPZ GATE, BANDAR, CHITTAGONG</t>
  </si>
  <si>
    <t>031 742195, 742196, 742197</t>
  </si>
  <si>
    <t>cepz@ebl-bd.com</t>
  </si>
  <si>
    <t>095152563</t>
  </si>
  <si>
    <t>HAZARI TOWER, DOHAZARI, CHANDANAISH, CHITTAGONG</t>
  </si>
  <si>
    <t>09666777325</t>
  </si>
  <si>
    <t>dohazari@ebl-bd.com</t>
  </si>
  <si>
    <t>095153162</t>
  </si>
  <si>
    <t>HOUSE 1, ROAD 1, BLOCK L, HALISHAHAR HOUSING ESTATE, CHITTAGONG</t>
  </si>
  <si>
    <t>031 2513895, 2513896-97</t>
  </si>
  <si>
    <t>halishahar@ebl-bd.com</t>
  </si>
  <si>
    <t>031 3213895</t>
  </si>
  <si>
    <t>095153225</t>
  </si>
  <si>
    <t>HAJI SULTAN MARKET, HATHAZARI BUS STAND, CHITTAGONG</t>
  </si>
  <si>
    <t>031 2601956, 2601957</t>
  </si>
  <si>
    <t>hathazari@ebl-bd.com</t>
  </si>
  <si>
    <t>031 2601958</t>
  </si>
  <si>
    <t>095150178</t>
  </si>
  <si>
    <t>JAMAL KHAN BRANCH</t>
  </si>
  <si>
    <t>JAMAL_KHAN_BRANCH</t>
  </si>
  <si>
    <t>CPDL AM MAJESTA, 84 JAMAL KHAN ROAD, CHITTAGONG</t>
  </si>
  <si>
    <t>031 2866603-04</t>
  </si>
  <si>
    <t>jamalkhan@ebl-bd.com</t>
  </si>
  <si>
    <t>031 2866605</t>
  </si>
  <si>
    <t>095153641</t>
  </si>
  <si>
    <t>EBLDBDDH012</t>
  </si>
  <si>
    <t>MANNAN BHABAN, 156 NUR AHMED SARAK, JUBILEE ROAD, CHITTAGONG</t>
  </si>
  <si>
    <t>031 614442, 621480, 2858471</t>
  </si>
  <si>
    <t>jubileeroad@ebl-bd.com</t>
  </si>
  <si>
    <t>031 615594</t>
  </si>
  <si>
    <t>095154279</t>
  </si>
  <si>
    <t>EBLDBDDH006</t>
  </si>
  <si>
    <t>BADSHA MARKET, 173 KHATUNGANJ, CHITTAGONG</t>
  </si>
  <si>
    <t>031 621316, 630229, 635153</t>
  </si>
  <si>
    <t>khatunganj@ebl-bd.com</t>
  </si>
  <si>
    <t>031 638743</t>
  </si>
  <si>
    <t>095154666</t>
  </si>
  <si>
    <t>MK SHOPPING COMPLEX, BOTTOLI MAIN ROAD, LOHAGARA, CHITTAGONG</t>
  </si>
  <si>
    <t>0303 456681, 456682</t>
  </si>
  <si>
    <t>lohagora@ebl-bd.com</t>
  </si>
  <si>
    <t>0303 456682</t>
  </si>
  <si>
    <t>095154961</t>
  </si>
  <si>
    <t>MEHDIBAGH BRANCH</t>
  </si>
  <si>
    <t>MEHDIBAGH_BRANCH</t>
  </si>
  <si>
    <t>EPIC EMDAD HEIGHTS, 38 CHATTESHWARI CIRCLE, MEHDIBAGH, CHITTAGONG</t>
  </si>
  <si>
    <t>095155599</t>
  </si>
  <si>
    <t>ZARIA COMMUNITY CENTER, ADJACENT TO DARBAR GATE, NAZIRHAT, FATIKCHHARI, CHITTAGONG</t>
  </si>
  <si>
    <t>044 38000504-05 (Ext: 101)</t>
  </si>
  <si>
    <t>095155807</t>
  </si>
  <si>
    <t>EBLDBDDH019</t>
  </si>
  <si>
    <t>AVENUE CENTRE, 787 CDA AVENUE, CHITTAGONG</t>
  </si>
  <si>
    <t>031 617082-83, 2853251</t>
  </si>
  <si>
    <t>ornizamroad@ebl-bd.com</t>
  </si>
  <si>
    <t>031 617083</t>
  </si>
  <si>
    <t>095156048</t>
  </si>
  <si>
    <t>PANCHLAISH BRANCH</t>
  </si>
  <si>
    <t>PANCHLAISH_BRANCH</t>
  </si>
  <si>
    <t>604</t>
  </si>
  <si>
    <t>AL-HAKIM PLAZA, 14 PANCHLAISH R/A, CHITTAGONG 4203</t>
  </si>
  <si>
    <t>031 2552691, 2553556</t>
  </si>
  <si>
    <t>panchlaish@ebl-bd.com</t>
  </si>
  <si>
    <t>031 2552692</t>
  </si>
  <si>
    <t>095156493</t>
  </si>
  <si>
    <t>BHARETOSHOWRI MARKET, KAPTAI ROAD, RAOZAN, CHITTAGONG 4346</t>
  </si>
  <si>
    <t>031 2571207</t>
  </si>
  <si>
    <t>raozan@ebl-bd.com</t>
  </si>
  <si>
    <t>031 2571206</t>
  </si>
  <si>
    <t>095157368</t>
  </si>
  <si>
    <t>SIRAJUDDOWLA ROAD BRANCH</t>
  </si>
  <si>
    <t>SIRAJUDDOWLA_ROAD_BRANCH</t>
  </si>
  <si>
    <t>736</t>
  </si>
  <si>
    <t>94 SIRAJ-UD-DOWLA ROAD, DEWAN BAZAAR, CHANDANPURA, CHITTAGONG</t>
  </si>
  <si>
    <t>031 2865261, 2865263-64</t>
  </si>
  <si>
    <t>095157513</t>
  </si>
  <si>
    <t>STATION ROAD</t>
  </si>
  <si>
    <t>STATION_ROAD</t>
  </si>
  <si>
    <t>095220253</t>
  </si>
  <si>
    <t>095270379</t>
  </si>
  <si>
    <t>AZIMPUR BRANCH</t>
  </si>
  <si>
    <t>AZIMPUR_BRANCH</t>
  </si>
  <si>
    <t>TULIP FEROZA DREAM, 104 AZIMPUR ROAD, HAZARIBAGH, DHAKA</t>
  </si>
  <si>
    <t>02 55152059, 55152061</t>
  </si>
  <si>
    <t>azimpur@ebl-bd.com</t>
  </si>
  <si>
    <t>02 55152060</t>
  </si>
  <si>
    <t>095260439</t>
  </si>
  <si>
    <t>SKYLARK MARK, HOUSE 84, ROAD 11, BLOCK D, BANANI MODEL TOWN, DHAKA 1213</t>
  </si>
  <si>
    <t>02 9862669, 9862572, 9860476</t>
  </si>
  <si>
    <t>banani@ebl-bd.com</t>
  </si>
  <si>
    <t>02 9862903</t>
  </si>
  <si>
    <t>095260721</t>
  </si>
  <si>
    <t>072</t>
  </si>
  <si>
    <t>PLOT C-10, BLOCK C, EASTERN HOUSING PROJECT, BANASREE MAIN ROAD, RAMPURA, DHAKA</t>
  </si>
  <si>
    <t>02 7286266</t>
  </si>
  <si>
    <t>044 76651959</t>
  </si>
  <si>
    <t>095260550</t>
  </si>
  <si>
    <t>PLOT 15, BLOCK A, BASHUNDHARA R/A, DHAKA 1219</t>
  </si>
  <si>
    <t>02 8845391-92</t>
  </si>
  <si>
    <t>bashundhara@ebl-bd.com</t>
  </si>
  <si>
    <t>02 8845390</t>
  </si>
  <si>
    <t>095271307</t>
  </si>
  <si>
    <t>CHAWK MUGHULTULY BRANCH</t>
  </si>
  <si>
    <t>CHAWK_MUGHULTULY_BRANCH</t>
  </si>
  <si>
    <t>EBLDBDDH013</t>
  </si>
  <si>
    <t>150 CHAWK MUGHULTULY, DHAKA</t>
  </si>
  <si>
    <t>02 57314364, 57343433</t>
  </si>
  <si>
    <t>chawkmughultuly@ebl-bd.com</t>
  </si>
  <si>
    <t>02 57314369</t>
  </si>
  <si>
    <t>095260918</t>
  </si>
  <si>
    <t>GOLAM SHARIF MARKET, 27 ASHKONA, DAKSHINKHAN, UTTARA, DHAKA 1230</t>
  </si>
  <si>
    <t>02 7914609, 7914619</t>
  </si>
  <si>
    <t>ashkona@ebl-bd.com</t>
  </si>
  <si>
    <t>02 7914622</t>
  </si>
  <si>
    <t>095263007</t>
  </si>
  <si>
    <t>DAR-US-SALAM BRANCH</t>
  </si>
  <si>
    <t>DAR-US-SALAM_BRANCH</t>
  </si>
  <si>
    <t>300</t>
  </si>
  <si>
    <t>CHAND PLAZA, HOLDING 10, DAR-US-SALAM ROAD, MIRPUR 01, DHAKA</t>
  </si>
  <si>
    <t>02 9003465, 9003449</t>
  </si>
  <si>
    <t>darussalam@ebl-bd.com</t>
  </si>
  <si>
    <t>095261096</t>
  </si>
  <si>
    <t>MAZID TOWER, GAZIR CHAT, ASHULIA, BAIPAIL, SAVAR, DHAKA</t>
  </si>
  <si>
    <t>02 7790926</t>
  </si>
  <si>
    <t>depz@ebl-bd.com</t>
  </si>
  <si>
    <t>02 7790927</t>
  </si>
  <si>
    <t>095261188</t>
  </si>
  <si>
    <t>EBLDBDDH017</t>
  </si>
  <si>
    <t>HOUSE 21, ROAD 8, DHANMONDI R/A, DHAKA 1205</t>
  </si>
  <si>
    <t>02 9128469, 9126141</t>
  </si>
  <si>
    <t>dhanmondi@ebl-bd.com</t>
  </si>
  <si>
    <t>02 8144154</t>
  </si>
  <si>
    <t>095272056</t>
  </si>
  <si>
    <t>ASHRAF ALI CHOWDHURY PLAZA, 83 COLLEGE ROAD, JOYPARA, DOHAR, DHAKA</t>
  </si>
  <si>
    <t>06223 56211, 56209, 56208</t>
  </si>
  <si>
    <t>dohar@ebl-bd.com</t>
  </si>
  <si>
    <t>095272148</t>
  </si>
  <si>
    <t>ENGLISH ROAD BRANCH</t>
  </si>
  <si>
    <t>ENGLISH_ROAD_BRANCH</t>
  </si>
  <si>
    <t>EBLDBDDH007</t>
  </si>
  <si>
    <t>68 NORTH SOUTH ROAD, SHAHID SAYED NAZRUL ISLAM SARANI, DHAKA</t>
  </si>
  <si>
    <t>02 7125269, 7116019</t>
  </si>
  <si>
    <t>englishroad@ebl-bd.com</t>
  </si>
  <si>
    <t>02 7122413</t>
  </si>
  <si>
    <t>095264693</t>
  </si>
  <si>
    <t>GHARIB-E-NEWAZ BRANCH</t>
  </si>
  <si>
    <t>GHARIB-E-NEWAZ_BRANCH</t>
  </si>
  <si>
    <t>PLOT NO 15, GARIB-E-NEWAZ AVENUE, SECTOR 11, UTTARA MODEL TOWN, UTTARA, DHAKA 1230</t>
  </si>
  <si>
    <t>02 8915457, 8915447</t>
  </si>
  <si>
    <t>garibenewaz@ebl-bd.com</t>
  </si>
  <si>
    <t>095261720</t>
  </si>
  <si>
    <t>EBLDBDDH011</t>
  </si>
  <si>
    <t>CONCORD RICHMOND, 68 GULSHAN AVENUE, PLOT 8A, BLOCK CES(F), GULSHAN 1, DHAKA 1212</t>
  </si>
  <si>
    <t>096 66777325</t>
  </si>
  <si>
    <t>gulshan@ebl-bd.com</t>
  </si>
  <si>
    <t>02 9897703</t>
  </si>
  <si>
    <t>095261904</t>
  </si>
  <si>
    <t>KALPANA HOUSE, 169 GULSHAN AVENUE, GULSHAN NORTH, DHAKA 1212</t>
  </si>
  <si>
    <t>02 9896073, 9896038, 9896316</t>
  </si>
  <si>
    <t>095260271</t>
  </si>
  <si>
    <t>JASHIM UDDIN ROAD BRANCH</t>
  </si>
  <si>
    <t>JASHIM_UDDIN_ROAD_BRANCH</t>
  </si>
  <si>
    <t>GIANT BUSINESS TOWER, PLOT 3 &amp;amp; 3/A, SECTOR 3, UTTARA, DHAKA</t>
  </si>
  <si>
    <t>02 8961486, 8961481, 8961472</t>
  </si>
  <si>
    <t>jashimuddin@ebl-bd.com</t>
  </si>
  <si>
    <t>095273642</t>
  </si>
  <si>
    <t>JAHANARA PLAZA, BONDH DAKPARA, JINJIRA, KERANIGANJ, DHAKA</t>
  </si>
  <si>
    <t>02 7762236-37</t>
  </si>
  <si>
    <t>keraniganj@ebl-bd.com</t>
  </si>
  <si>
    <t>02 7762238</t>
  </si>
  <si>
    <t>095273655</t>
  </si>
  <si>
    <t>KERANIGANJ SME BRANCH</t>
  </si>
  <si>
    <t>KERANIGANJ_SME_BRANCH</t>
  </si>
  <si>
    <t>365</t>
  </si>
  <si>
    <t>GREEN TOWER, AGANAGAR UNION PARISHAD, SOUTH KERANIGANJ, DHAKA</t>
  </si>
  <si>
    <t>02 7763725-27</t>
  </si>
  <si>
    <t>keraniganjsme@ebl-bd.com</t>
  </si>
  <si>
    <t>095262987</t>
  </si>
  <si>
    <t>EBLDBDDH021</t>
  </si>
  <si>
    <t>PLOT 14, MAIN ROAD 3, BLOCK A, SECTION 11, MIRPUR, DHAKA</t>
  </si>
  <si>
    <t>02 9008115, 9010478</t>
  </si>
  <si>
    <t>mirpur@ebl-bd.com</t>
  </si>
  <si>
    <t>02 9010478</t>
  </si>
  <si>
    <t>095274188</t>
  </si>
  <si>
    <t>SHAFI COMPLEX, 1/A WEST MOGHBAZAR, NEW CIRCULAR ROAD, RAMNA, DHAKA</t>
  </si>
  <si>
    <t>02 9361756, 9360115</t>
  </si>
  <si>
    <t>moghbazar@ebl-bd.com</t>
  </si>
  <si>
    <t>02 9348570</t>
  </si>
  <si>
    <t>095274241</t>
  </si>
  <si>
    <t>EBLDBDDH005</t>
  </si>
  <si>
    <t>88 MOTIJHEEL C/A, DHAKA 1000</t>
  </si>
  <si>
    <t>02 9559655, 9565073-74</t>
  </si>
  <si>
    <t>motijheel@ebl-bd.com</t>
  </si>
  <si>
    <t>02 9565074</t>
  </si>
  <si>
    <t>095274696</t>
  </si>
  <si>
    <t>HOSSAIN PLAZA, KOLAKOPA UNION PARISHAD, 281 NAWABGANJ, DHAKA</t>
  </si>
  <si>
    <t>0622 556264-66</t>
  </si>
  <si>
    <t>nawabgonj@ebl-bd.com</t>
  </si>
  <si>
    <t>095263702</t>
  </si>
  <si>
    <t>AZAHAR COMFORT COMPLEX, 130/A PRAGOTI SARANI, MIDDLE BADDA, GULSHAN, DHAKA</t>
  </si>
  <si>
    <t>02 8826796, 8825357, 8824963</t>
  </si>
  <si>
    <t>095275358</t>
  </si>
  <si>
    <t>EBLDBDDH002</t>
  </si>
  <si>
    <t>JIBAN BIMA BHABAN, 10 DILKUSHA C/A, DHAKA 1000</t>
  </si>
  <si>
    <t>02 9558392, 9565696, 9571262</t>
  </si>
  <si>
    <t>principal@ebl-bd.com</t>
  </si>
  <si>
    <t>02 7160747</t>
  </si>
  <si>
    <t>095264035</t>
  </si>
  <si>
    <t>48 SATMASJID ROAD, GROUND FLOOR OF OLYMPIA CHINESE RESTAURANT, DHANMONDI, DAHKA 1205</t>
  </si>
  <si>
    <t>02 9144603</t>
  </si>
  <si>
    <t>02 7744759</t>
  </si>
  <si>
    <t>095264093</t>
  </si>
  <si>
    <t>E/3 TALA BAGH, THANA ROAD, SAVAR, DHAKA</t>
  </si>
  <si>
    <t>02 7744757-58</t>
  </si>
  <si>
    <t>095276344</t>
  </si>
  <si>
    <t>IRIS NOORJEHAN, PLOT 104, KAKRAIL ROAD, SHANTINAGAR, DHAKA 1217</t>
  </si>
  <si>
    <t>02 8300012, 8300013, 8300028</t>
  </si>
  <si>
    <t>shantinagar@ebl-bd.com</t>
  </si>
  <si>
    <t>02 8300053</t>
  </si>
  <si>
    <t>095264301</t>
  </si>
  <si>
    <t>PLOT 16-A/5, RING ROAD, BLOCK F, MOHAMMADPUR HOUSING ESTATE, DHAKA 1207</t>
  </si>
  <si>
    <t>02 8116015, 9132497, 9133165</t>
  </si>
  <si>
    <t>shamoly@ebl-bd.com</t>
  </si>
  <si>
    <t>02 8116329</t>
  </si>
  <si>
    <t>095276586</t>
  </si>
  <si>
    <t>SONARGAON ROAD BRANCH</t>
  </si>
  <si>
    <t>SONARGAON_ROAD_BRANCH</t>
  </si>
  <si>
    <t>658</t>
  </si>
  <si>
    <t>EBLDBDDH014</t>
  </si>
  <si>
    <t>AHN TOWER, 13 &amp;amp; 15 BIR UTTAM CR DATTA ROAD (SONARGAON ROAD), BIPONON C/A, BANGLA MOTOR, RAMNA, DHAKA</t>
  </si>
  <si>
    <t>02 9667477</t>
  </si>
  <si>
    <t>sonargaonroad@ebl-bd.com</t>
  </si>
  <si>
    <t>02 9666681</t>
  </si>
  <si>
    <t>095264635</t>
  </si>
  <si>
    <t>EBLDBDDH022</t>
  </si>
  <si>
    <t>HOUSE NO 1, ROAD 5, SECTOR 4, UTTARA MODEL TOWN, DHAKA 1230</t>
  </si>
  <si>
    <t>02 58956051, 58953816, 58957370</t>
  </si>
  <si>
    <t>uttara@ebl-bd.com</t>
  </si>
  <si>
    <t>095277006</t>
  </si>
  <si>
    <t>40/1 RANKIN STREET, WARI, DHAKA</t>
  </si>
  <si>
    <t>02 7110137, 7110947, 7112175</t>
  </si>
  <si>
    <t>wari@ebl-bd.com</t>
  </si>
  <si>
    <t>095270003</t>
  </si>
  <si>
    <t>095300531</t>
  </si>
  <si>
    <t>053</t>
  </si>
  <si>
    <t>KAZI ALAMGIR CENTER, 26 SSK ROAD, FENI</t>
  </si>
  <si>
    <t>0331 73562, 73563, 73564</t>
  </si>
  <si>
    <t>feni@ebl-bd.com</t>
  </si>
  <si>
    <t>095330222</t>
  </si>
  <si>
    <t>OMAR ALI PLAZA, HOUSE 1, BLOCK C, BOARD BAZAR, GAZIPUR</t>
  </si>
  <si>
    <t>02 9293895-96</t>
  </si>
  <si>
    <t>boardbazar@ebl-bd.com</t>
  </si>
  <si>
    <t>02 9293897</t>
  </si>
  <si>
    <t>095410942</t>
  </si>
  <si>
    <t>EBLDBDDH010</t>
  </si>
  <si>
    <t>25/A RN ROAD, JESSORE</t>
  </si>
  <si>
    <t>0421 68842-43, 64533</t>
  </si>
  <si>
    <t>jessore@ebl-bd.com</t>
  </si>
  <si>
    <t>0421 68843</t>
  </si>
  <si>
    <t>095470858</t>
  </si>
  <si>
    <t>FULBARI GATE BRANCH</t>
  </si>
  <si>
    <t>FULBARI_GATE_BRANCH</t>
  </si>
  <si>
    <t>ALTAF PLAZA, JOGIPOLE, FULBARI GATE, KHAN JAHAN ALI, KHULNA</t>
  </si>
  <si>
    <t>041 775080, 775082</t>
  </si>
  <si>
    <t>fulbarigate@ebl-bd.com</t>
  </si>
  <si>
    <t>041 775083</t>
  </si>
  <si>
    <t>095471549</t>
  </si>
  <si>
    <t>EBLDBDDH004</t>
  </si>
  <si>
    <t>TAYMUN CENTRE &amp;amp; PROPERTIES, 181 KHAN A SABUR ROAD, SHIB BARI MORE, KHULNA</t>
  </si>
  <si>
    <t>041 723506, 721069, 720041-42</t>
  </si>
  <si>
    <t>khulna@ebl-bd.com</t>
  </si>
  <si>
    <t>041 721740</t>
  </si>
  <si>
    <t>095480206</t>
  </si>
  <si>
    <t>BHAIRAB SME BRANCH</t>
  </si>
  <si>
    <t>BHAIRAB_SME_BRANCH</t>
  </si>
  <si>
    <t>161 KALIBARI ROAD, BHAIRAB BAZAR, KISHOREGANJ</t>
  </si>
  <si>
    <t>09424 72307, 72308, 72309</t>
  </si>
  <si>
    <t>bhairab@ebl-bd.com</t>
  </si>
  <si>
    <t>095581189</t>
  </si>
  <si>
    <t>EBLDBDDH009</t>
  </si>
  <si>
    <t>26 SYLHET TRUNK ROAD, MOULVIBAZAR</t>
  </si>
  <si>
    <t>0861 52034, 52226</t>
  </si>
  <si>
    <t>moulvibazar@ebl-bd.com</t>
  </si>
  <si>
    <t>0861 52226</t>
  </si>
  <si>
    <t>095611770</t>
  </si>
  <si>
    <t>MYMENSINGH SME BRANCH</t>
  </si>
  <si>
    <t>MYMENSINGH_SME_BRANCH</t>
  </si>
  <si>
    <t>177</t>
  </si>
  <si>
    <t>HAMIDA MARKET, 45 CHOTO BAZAAR, KOTWALY, MYMENSINGH</t>
  </si>
  <si>
    <t>091 63831, 63861, 63841</t>
  </si>
  <si>
    <t>mymensingh@ebl-bd.com</t>
  </si>
  <si>
    <t>095671181</t>
  </si>
  <si>
    <t>ISLAM PLAZA, 64 BB ROAD, NARAYANGANJ</t>
  </si>
  <si>
    <t>02 7648557, 7648558, 7648683</t>
  </si>
  <si>
    <t>narayangonj@ebl-bd.com</t>
  </si>
  <si>
    <t>095671202</t>
  </si>
  <si>
    <t>NARAYANGANJ SME BRANCH</t>
  </si>
  <si>
    <t>NARAYANGANJ_SME_BRANCH</t>
  </si>
  <si>
    <t>SS TOWER, 30/14 LOYAL TANK ROAD, TANBAZAR, NARAYANGANJ</t>
  </si>
  <si>
    <t>02 7644048, 7644480</t>
  </si>
  <si>
    <t>narayangonjsme@ebl-bd.com</t>
  </si>
  <si>
    <t>02 7644077</t>
  </si>
  <si>
    <t>095671381</t>
  </si>
  <si>
    <t>PANCHABATI BRANCH</t>
  </si>
  <si>
    <t>PANCHABATI_BRANCH</t>
  </si>
  <si>
    <t>101-102 PANCHOBOTIR MORE, FATULLAH, NARAYANGANJ</t>
  </si>
  <si>
    <t>02 7672837, 7672853</t>
  </si>
  <si>
    <t>095750673</t>
  </si>
  <si>
    <t>KIRON IMPERIAL, 1460 KARIMPUR ROAD, CHOWMUHANI , BEGUMGANJ, NOAKHALI</t>
  </si>
  <si>
    <t>0321 56495-97</t>
  </si>
  <si>
    <t>095750060</t>
  </si>
  <si>
    <t>MAIJDEE BRANCH</t>
  </si>
  <si>
    <t>MAIJDEE_BRANCH</t>
  </si>
  <si>
    <t>ALIF PLAZA, MAIN ROAD, MAIJDEE, NOAKHALI</t>
  </si>
  <si>
    <t>0321 71115, 71116, 71137</t>
  </si>
  <si>
    <t>maijdee@ebl-bd.com</t>
  </si>
  <si>
    <t>095811938</t>
  </si>
  <si>
    <t>EBLDBDDH016</t>
  </si>
  <si>
    <t>DOINIK BARTA COMPLEX, ALUPOTTI, NATORE ROAD, RAJSHAHI 6000</t>
  </si>
  <si>
    <t>0721 772372, 772356</t>
  </si>
  <si>
    <t>rajshahi@ebl-bd.com</t>
  </si>
  <si>
    <t>0721 772356</t>
  </si>
  <si>
    <t>095910439</t>
  </si>
  <si>
    <t>KHURSHID ALI SHOPPING COMPLEX, NOTUN BAZAR, BISHWANATH, SYLHET 3100</t>
  </si>
  <si>
    <t>08224 56005</t>
  </si>
  <si>
    <t>bishwanath@ebl-bd.com</t>
  </si>
  <si>
    <t>08224 56006</t>
  </si>
  <si>
    <t>095910855</t>
  </si>
  <si>
    <t>CHOWHATTA BRANCH</t>
  </si>
  <si>
    <t>CHOWHATTA_BRANCH</t>
  </si>
  <si>
    <t>EBLDBDDH020</t>
  </si>
  <si>
    <t>TEA BOARD BUILDING, PLOT NO 1, ZINDABAZAR ROAD, CHOWHATTA POINT, SYLHET</t>
  </si>
  <si>
    <t>0821 723242, 721386</t>
  </si>
  <si>
    <t>chouhatta@ebl-bd.com</t>
  </si>
  <si>
    <t>0821 717545</t>
  </si>
  <si>
    <t>095911362</t>
  </si>
  <si>
    <t>TUTA MIA MANSION, FENCHUGANJ BAZAR, SYLHET</t>
  </si>
  <si>
    <t>08226 56411, 56412, 56413</t>
  </si>
  <si>
    <t>fenchuganj@ebl-bd.com</t>
  </si>
  <si>
    <t>095913731</t>
  </si>
  <si>
    <t>UPASAHAR BRANCH</t>
  </si>
  <si>
    <t>UPASAHAR_BRANCH</t>
  </si>
  <si>
    <t>GAS BHABAN, MEHEDIBAGH, SYLHET</t>
  </si>
  <si>
    <t>0821 719573</t>
  </si>
  <si>
    <t>upashahar@ebl-bd.com</t>
  </si>
  <si>
    <t>0821 719584</t>
  </si>
  <si>
    <t>095932291</t>
  </si>
  <si>
    <t>RAHMAN CENTER, 55 VICTORIA ROAD, TANGAIL</t>
  </si>
  <si>
    <t>0921 62437, 62438, 62439</t>
  </si>
  <si>
    <t>tangail@ebl-bd.com</t>
  </si>
  <si>
    <t>EXIM_BANK_LTD</t>
  </si>
  <si>
    <t>EXIM BANK LTD</t>
  </si>
  <si>
    <t>100272688</t>
  </si>
  <si>
    <t>100270006</t>
  </si>
  <si>
    <t>EXPORT_IMPORT_BANK_OF_BANGLADESH_LIMITED</t>
  </si>
  <si>
    <t>EXPORT IMPORT BANK OF BANGLADESH LIMITED</t>
  </si>
  <si>
    <t>100060287</t>
  </si>
  <si>
    <t>EXBKBDDH</t>
  </si>
  <si>
    <t>105 NASIM BISWASH LANE, SADAR ROAD, BARISAL</t>
  </si>
  <si>
    <t>0431 2177080, 2177081, 017 14178882</t>
  </si>
  <si>
    <t>barisal@eximbankbd.com</t>
  </si>
  <si>
    <t>0431 63767</t>
  </si>
  <si>
    <t>100100376</t>
  </si>
  <si>
    <t>SHEIKH MANSION, HOLDING NO 405-01, RANGPUR ROAD , BARAGOLA, BOGRA</t>
  </si>
  <si>
    <t>051 60702, 60703, 60705</t>
  </si>
  <si>
    <t>bogra@eximbankbd.com</t>
  </si>
  <si>
    <t>051 60704</t>
  </si>
  <si>
    <t>100120101</t>
  </si>
  <si>
    <t>HAJI ZAHIRUL HAQUE MUNSHI SHOPING COMPLEX, ASHUGANJ, BRAHMANBARIA</t>
  </si>
  <si>
    <t>08528 74140, 017 13063433</t>
  </si>
  <si>
    <t>ashugonj@eximbankbd.com</t>
  </si>
  <si>
    <t>08528 74456</t>
  </si>
  <si>
    <t>100132344</t>
  </si>
  <si>
    <t>THAKUR BAZAR SME BRANCH</t>
  </si>
  <si>
    <t>THAKUR_BAZAR_SME_BRANCH</t>
  </si>
  <si>
    <t>234</t>
  </si>
  <si>
    <t>TOFFAZAL HOSSAIN CHOWDHURY MARKET, HOLDING NO 60/1, SHAHRASTI GATE, THAKUR BAZAR, SHAHRASTI, CHANDPUR 3620</t>
  </si>
  <si>
    <t>08427 56273, 56278, 017 55536784</t>
  </si>
  <si>
    <t>thakurbazar@eximbankbd.com</t>
  </si>
  <si>
    <t>08427 56274</t>
  </si>
  <si>
    <t>100150139</t>
  </si>
  <si>
    <t>WORLD TRADE CENTER, 102-103 AGRABAD C/A, CHITTAGONG</t>
  </si>
  <si>
    <t>031 2511264 , 727658, 2510733</t>
  </si>
  <si>
    <t>agrabad@eximbankbd.com</t>
  </si>
  <si>
    <t>031 715796</t>
  </si>
  <si>
    <t>100150797</t>
  </si>
  <si>
    <t>KHAZA SUPER MARKET, 680/A ARAKAN ROAD, BAHADDARHAT, CHITTAGONG</t>
  </si>
  <si>
    <t>031 2555056, 2555058, 017 30031489</t>
  </si>
  <si>
    <t>bahaddarhat@eximbankbd.com</t>
  </si>
  <si>
    <t>031 2555057</t>
  </si>
  <si>
    <t>100151488</t>
  </si>
  <si>
    <t>COMMERCE VIEW COMPLEX, 191 EAST NASIRABAD, CHITTAGONG</t>
  </si>
  <si>
    <t>031 652074, 2551101, 017 13396538</t>
  </si>
  <si>
    <t>cdaavenue@eximbankbd.com</t>
  </si>
  <si>
    <t>031 653026</t>
  </si>
  <si>
    <t>100152566</t>
  </si>
  <si>
    <t>HAZARI TOWER, ARAKAN ROAD, DOHAZARI, CHANDANAISH, CHITTAGONG 4382</t>
  </si>
  <si>
    <t>017 55643216, 018 47148555</t>
  </si>
  <si>
    <t>dohazari@eximbankbd.com</t>
  </si>
  <si>
    <t>100153644</t>
  </si>
  <si>
    <t>HOLDING NO 63-64 JUBILEE ROAD, ENAYET BAZAR, CHITTAGONG</t>
  </si>
  <si>
    <t>031 611170, 2863638, 017 13333472</t>
  </si>
  <si>
    <t>jubileeroad@eximbankbd.com</t>
  </si>
  <si>
    <t>031 2854217</t>
  </si>
  <si>
    <t>100154272</t>
  </si>
  <si>
    <t>AMAAN-USMAAN PLAZA, HOLDING NO 1078, RAMJOY MAHAJAN LANE, KHATUNGANJ, CHITTAGONG 4000</t>
  </si>
  <si>
    <t>031 615544, 610711, 017 11898223</t>
  </si>
  <si>
    <t>khatungonj@eximbankbd.com</t>
  </si>
  <si>
    <t>031 639080</t>
  </si>
  <si>
    <t>100154364</t>
  </si>
  <si>
    <t>BGMEA BHABAN, JHAUTOLA ROAD, KHULSHI, CHITTAGONG</t>
  </si>
  <si>
    <t>031 2869602, 2869600, 2869601</t>
  </si>
  <si>
    <t>khulshi@eximbankbd.com</t>
  </si>
  <si>
    <t>100155592</t>
  </si>
  <si>
    <t>JAMIA SHOPPING COMPLEX, NAZIRHAT, CHITTAGONG</t>
  </si>
  <si>
    <t>017 55621521</t>
  </si>
  <si>
    <t>najirhat@eximbankbd.com</t>
  </si>
  <si>
    <t>100155921</t>
  </si>
  <si>
    <t>NOOR JAHAN TOWER, HOLDING NO 800/A/801, DT ROAD, ALANKER MORE, PAHARTOLI, CHITTAGONG</t>
  </si>
  <si>
    <t>031 2771695, 2771696, 017 14166966</t>
  </si>
  <si>
    <t>pahartali@eximbankbd.com</t>
  </si>
  <si>
    <t>031 750065</t>
  </si>
  <si>
    <t>100156917</t>
  </si>
  <si>
    <t>SURMA PLAZA, PLOT 2407-2408, GUPTACHARA ROAD, HARAMIA, SHENER HAT, SANDWIP, CHITTAGONG</t>
  </si>
  <si>
    <t>030 2756039, 017 30781274</t>
  </si>
  <si>
    <t>sandwip@eximbankbd.com</t>
  </si>
  <si>
    <t>100152445</t>
  </si>
  <si>
    <t>SHEIKH MUJIB ROAD BRANCH</t>
  </si>
  <si>
    <t>SHEIKH_MUJIB_ROAD_BRANCH</t>
  </si>
  <si>
    <t>MAWLA CHAMBER, 6 AGRABAD C/A, CHITTAGONG</t>
  </si>
  <si>
    <t>031 726901, 726902, 726903</t>
  </si>
  <si>
    <t>skmujibroad@eximbankbd.com</t>
  </si>
  <si>
    <t>031 726905</t>
  </si>
  <si>
    <t>100157390</t>
  </si>
  <si>
    <t>KDS LOGISTICS BHABAN, GHORAMARA, SONAICHARI, KUMIRA, SITAKUNDA, CHITTAGONG</t>
  </si>
  <si>
    <t>03042 51093, 017 13229338</t>
  </si>
  <si>
    <t>shitakunda@eximbankbd.com</t>
  </si>
  <si>
    <t>031 2528900</t>
  </si>
  <si>
    <t>100190173</t>
  </si>
  <si>
    <t>BAGMARA BRANCH</t>
  </si>
  <si>
    <t>BAGMARA_BRANCH</t>
  </si>
  <si>
    <t>TALUKDER TOWER, BAGMARA BAZAR, SADAR DAKSHIN, COMILLA</t>
  </si>
  <si>
    <t>08045 59011, 017 66665997, 017 55515175</t>
  </si>
  <si>
    <t>bagmara@eximbankbd.com</t>
  </si>
  <si>
    <t>08045 59012</t>
  </si>
  <si>
    <t>100191156</t>
  </si>
  <si>
    <t>GONI BHUIYAN MENSION, HOLDING NO 368/325/365/KHA, AK FAZLUL HAQUE ROAD, MANOHARPUR, COMILLA</t>
  </si>
  <si>
    <t>081 61850, 61722, 017 13396537</t>
  </si>
  <si>
    <t>comilla@eximbankbd.com</t>
  </si>
  <si>
    <t>081 61722</t>
  </si>
  <si>
    <t>100192113</t>
  </si>
  <si>
    <t>RIAZ TOWER, KATHPATTY ROAD, GOURIPUR BAZAR, DAUDKANDI, COMILLA</t>
  </si>
  <si>
    <t>017 30781273</t>
  </si>
  <si>
    <t>gouripur@eximbankbd.com</t>
  </si>
  <si>
    <t>100192713</t>
  </si>
  <si>
    <t>SUFIA COMPLEX, HOLDING NO 1602, DOULATGANJ BAZAR, LAKSAM, COMILLA</t>
  </si>
  <si>
    <t>08032 51333, 51978, 51977</t>
  </si>
  <si>
    <t>laksham@eximbankbd.com</t>
  </si>
  <si>
    <t>08032 51252</t>
  </si>
  <si>
    <t>100193138</t>
  </si>
  <si>
    <t>MODAFFARGANJ BRANCH</t>
  </si>
  <si>
    <t>MODAFFARGANJ_BRANCH</t>
  </si>
  <si>
    <t>ALAM HIGHWAY SUPERMARKET, MUDAFFARGANJ, LAKSHAM, COMILLA</t>
  </si>
  <si>
    <t>017 30061455, 017 30061456</t>
  </si>
  <si>
    <t>mudaffargonj@eximbankbd.com</t>
  </si>
  <si>
    <t>100260229</t>
  </si>
  <si>
    <t>RIFAT SQUARE PLAZA, JAMGORA, ASHULIA, DHAKA</t>
  </si>
  <si>
    <t>02 7789978, 017 30061461</t>
  </si>
  <si>
    <t>ashulia@eximbankbd.com</t>
  </si>
  <si>
    <t>02 7789480</t>
  </si>
  <si>
    <t>100260616</t>
  </si>
  <si>
    <t>BASHUNDHARA ROAD BRANCH</t>
  </si>
  <si>
    <t>BASHUNDHARA_ROAD_BRANCH</t>
  </si>
  <si>
    <t>MOZID TOWER, HOUSE NO KA-24, PRAGATI SARANI, KURIL, VATARA, DHAKA 1229</t>
  </si>
  <si>
    <t>02 8415155, 8415154, 8413461</t>
  </si>
  <si>
    <t>bashundhara@eximbankbd.com</t>
  </si>
  <si>
    <t>02 8413883</t>
  </si>
  <si>
    <t>100271421</t>
  </si>
  <si>
    <t>HOLDIND NO 436, MASJID ROAD, NAYAPARA, DANIA, KADAMTOLI, DHAKA</t>
  </si>
  <si>
    <t>02 7549115, 7549105, 7549110</t>
  </si>
  <si>
    <t>dania@eximbankbd.com</t>
  </si>
  <si>
    <t>100261181</t>
  </si>
  <si>
    <t>HOUSE 4/A, PLOT 4, ROAD 16 (OLD-27), DHANMONDI, DHAKA</t>
  </si>
  <si>
    <t>02 58156216, 58156319, 017 55637199</t>
  </si>
  <si>
    <t>dhanmondi@eximbankbd.com</t>
  </si>
  <si>
    <t>02 58155970</t>
  </si>
  <si>
    <t>100261336</t>
  </si>
  <si>
    <t>HOLDING NO 218, DR KUDRAT-E-KHUDA ROAD, BATA SIGNAL ELEPHANT ROAD, DHAKA 1205</t>
  </si>
  <si>
    <t>02 9667097, 9667098, 017 14021767</t>
  </si>
  <si>
    <t>elephantroad@eximbankbd.com</t>
  </si>
  <si>
    <t>02 9667267</t>
  </si>
  <si>
    <t>100260111</t>
  </si>
  <si>
    <t>GARIB-E-NEWAZ BRANCH</t>
  </si>
  <si>
    <t>GARIB-E-NEWAZ_BRANCH</t>
  </si>
  <si>
    <t>PLOT 29, GARIB-E-NEWAZ AVENUE, SECTOR 11, UTTARA, DHAKA</t>
  </si>
  <si>
    <t>02 48951936, 48959759, 48959754</t>
  </si>
  <si>
    <t>garibenewaz@eximbankbd.com</t>
  </si>
  <si>
    <t>02 48959754</t>
  </si>
  <si>
    <t>100261723</t>
  </si>
  <si>
    <t>DELTA LIFE TOWER, PLOT 37, ROAD 45 &amp;amp; 90, NORTH GULSHAN C/A, GULSHAN 2, DHAKA</t>
  </si>
  <si>
    <t>02 9862262, 9886296, 8819711</t>
  </si>
  <si>
    <t>gulshan@eximbankbd.com</t>
  </si>
  <si>
    <t>02 8818703</t>
  </si>
  <si>
    <t>100272691</t>
  </si>
  <si>
    <t>HEAD OFFICE CORPORATE BRANCH</t>
  </si>
  <si>
    <t>HEAD_OFFICE_CORPORATE_BRANCH</t>
  </si>
  <si>
    <t>269</t>
  </si>
  <si>
    <t>SYMPHONY, PLOT SE(F):9, ROAD 142, GULSHAN AVENUE, DHAKA</t>
  </si>
  <si>
    <t>02 8828985, 9884753, 9889567</t>
  </si>
  <si>
    <t>corporategulshan@eximbankbd.com</t>
  </si>
  <si>
    <t>02 8828962</t>
  </si>
  <si>
    <t>100262056</t>
  </si>
  <si>
    <t>HAZI ASHRAF SHOPPING COMPLEX &amp;amp; TOWER, PLOT 251, JADUR CHAR WEST PARA, TETULJHORA, SAVAR, DHAKA</t>
  </si>
  <si>
    <t>017 55625693, 019 55545478</t>
  </si>
  <si>
    <t>hemayetpur@eximbankbd.com</t>
  </si>
  <si>
    <t>02 44065020</t>
  </si>
  <si>
    <t>100272804</t>
  </si>
  <si>
    <t>NURANI CENTER, 16-17 IMAMGANJ, CHALKBAZAR, DHAKA</t>
  </si>
  <si>
    <t>02 57315528, 57315529, 57342155</t>
  </si>
  <si>
    <t>imamgonj@eximbankbd.com</t>
  </si>
  <si>
    <t>02 7315530</t>
  </si>
  <si>
    <t>100262535</t>
  </si>
  <si>
    <t>BGMEA COMPLEX, 23/1 PANTHAPATH LINK ROAD, KARWAN BAZAR, DHAKA</t>
  </si>
  <si>
    <t>02 8140204, 8140205, 8140206</t>
  </si>
  <si>
    <t>karwanbazar@eximbankbd.com</t>
  </si>
  <si>
    <t>02 8140200</t>
  </si>
  <si>
    <t>100273658</t>
  </si>
  <si>
    <t>RASHED IRON MARKET, BOND DAKPARA, ZINZIRA HIGHWAY ROAD, KERANIGANJ, DHAKA</t>
  </si>
  <si>
    <t>02 7763691, 7763692, 017 30706768</t>
  </si>
  <si>
    <t>keranigonj@eximbankbd.com</t>
  </si>
  <si>
    <t>02 7763692</t>
  </si>
  <si>
    <t>100273940</t>
  </si>
  <si>
    <t>HOLDING NO 484, DIT ROAD, MALIBAGH, DHAKA 1217</t>
  </si>
  <si>
    <t>02 9340444, 9338578, 8319076</t>
  </si>
  <si>
    <t>malibagh@eximbankbd.com</t>
  </si>
  <si>
    <t>02 9357057</t>
  </si>
  <si>
    <t>100262980</t>
  </si>
  <si>
    <t>SREYOSHI TOWER, PLOT 7,  MAIN ROAD 3, ROKEYA SWARANI, MIRPUR 10, DHAKA 1216</t>
  </si>
  <si>
    <t>02 8033801, 9024209, 9031010</t>
  </si>
  <si>
    <t>mirpur@eximbankbd.com</t>
  </si>
  <si>
    <t>02 8035668</t>
  </si>
  <si>
    <t>100274244</t>
  </si>
  <si>
    <t>SHARIF MANSION, 56-57 MOTIJHEEL C/A, DHAKA 1000</t>
  </si>
  <si>
    <t>02 9553778, 9568534, 9552800</t>
  </si>
  <si>
    <t>motijheel@eximbankbd.com</t>
  </si>
  <si>
    <t>02 9569983</t>
  </si>
  <si>
    <t>100274723</t>
  </si>
  <si>
    <t>198/1 NAWABPUR ROAD, DHAKA 1100</t>
  </si>
  <si>
    <t>02 7125306, 7125307, 017 11424031</t>
  </si>
  <si>
    <t>nawabpur@eximbankbd.com</t>
  </si>
  <si>
    <t>02 7125308</t>
  </si>
  <si>
    <t>100263468</t>
  </si>
  <si>
    <t>NAYARHAT BRANCH</t>
  </si>
  <si>
    <t>NAYARHAT_BRANCH</t>
  </si>
  <si>
    <t>MOFIZ UDDIN SUPER MARKET, NAYARHAT BAZAAR, ASHULIA, SAVAR, DHAKA</t>
  </si>
  <si>
    <t>02 7792714, 7792719, 017 66695360</t>
  </si>
  <si>
    <t>nayarhat@eximbankbd.com</t>
  </si>
  <si>
    <t>02 7792715</t>
  </si>
  <si>
    <t>100275027</t>
  </si>
  <si>
    <t>NEW ESKATON BRANCH</t>
  </si>
  <si>
    <t>NEW_ESKATON_BRANCH</t>
  </si>
  <si>
    <t>STANDARD CENTER, HOLDING NO 27/1, NEW ESKATON ROAD, DHAKA</t>
  </si>
  <si>
    <t>02 48314159, 48314435, 017 09639942</t>
  </si>
  <si>
    <t>neweskaton@eximbankbd.com</t>
  </si>
  <si>
    <t>02 9349196</t>
  </si>
  <si>
    <t>100275201</t>
  </si>
  <si>
    <t>BM TOWER, 209/A SHAHEED SAYED NAZRUL ISLAM SARANI, BIJOY NAGAR, PURANA PALTAN, DHAKA 1000</t>
  </si>
  <si>
    <t>02 55112401, 55112528-29</t>
  </si>
  <si>
    <t>paltan@eximbankbd.com</t>
  </si>
  <si>
    <t>100263613</t>
  </si>
  <si>
    <t>UNION HEIGHTS, PLOT NO 55-2, WEST PANTHAPATH, DHANMONDI, DHAKA 1205</t>
  </si>
  <si>
    <t>02 8124261, 9145911, 8141764</t>
  </si>
  <si>
    <t>panthapath@eximbankbd.com</t>
  </si>
  <si>
    <t>02 8126191</t>
  </si>
  <si>
    <t>100275593</t>
  </si>
  <si>
    <t>RAJUK AVENUE BRANCH</t>
  </si>
  <si>
    <t>RAJUK_AVENUE_BRANCH</t>
  </si>
  <si>
    <t>ALI BHABAN, 9 DIT AVENUE, MOTIJHEEL C/A, DHAKA 1000</t>
  </si>
  <si>
    <t>02 9556884, 9565397, 9567115</t>
  </si>
  <si>
    <t>rajukavenue@eximbankbd.com</t>
  </si>
  <si>
    <t>02 9555132</t>
  </si>
  <si>
    <t>100263976</t>
  </si>
  <si>
    <t>RING TOWER, PLOT NO 6/A, RING ROAD, MOHAMMADPUR, DHAKA</t>
  </si>
  <si>
    <t>02 9129421, 9129504, 017 77763407</t>
  </si>
  <si>
    <t>ringroad@eximbankbd.com</t>
  </si>
  <si>
    <t>02 9129341</t>
  </si>
  <si>
    <t>100264025</t>
  </si>
  <si>
    <t>SATARKUL BRANCH</t>
  </si>
  <si>
    <t>SATARKUL_BRANCH</t>
  </si>
  <si>
    <t>MUSTAFAS DREAM, PLOT 233, SATARKUL ROAD, UTTAR BADDA, DHAKA 1212</t>
  </si>
  <si>
    <t>02 9840217, 017 5562569</t>
  </si>
  <si>
    <t>satarkul@eximbankbd.com</t>
  </si>
  <si>
    <t>02 984018</t>
  </si>
  <si>
    <t>100264038</t>
  </si>
  <si>
    <t>GREEN ROWSHANARA TOWER, HOLDING NO 755, ROAD 12/A, SATMASJID ROAD, DHANMONDI, DHAKA 1209</t>
  </si>
  <si>
    <t>02 8118680, 9142073, 8141249</t>
  </si>
  <si>
    <t>satmasjid@eximbankbd.com</t>
  </si>
  <si>
    <t>02 8142232</t>
  </si>
  <si>
    <t>100264096</t>
  </si>
  <si>
    <t>AMIN TOWER, 44/A SAVAR BAZAR ROAD, SAVAR, DHAKA</t>
  </si>
  <si>
    <t>02 7742883, 017 55575408</t>
  </si>
  <si>
    <t>savar@eximbankbd.com</t>
  </si>
  <si>
    <t>02 7742882</t>
  </si>
  <si>
    <t>100264638</t>
  </si>
  <si>
    <t>HOUSE 61/A, ROAD 7, SECTOR 4, UTTARA MODEL TOWN, DHAKA</t>
  </si>
  <si>
    <t>02 58957537, 58955785, 58950646</t>
  </si>
  <si>
    <t>uttara@eximbankbd.com</t>
  </si>
  <si>
    <t>02 8952838</t>
  </si>
  <si>
    <t>100280670</t>
  </si>
  <si>
    <t>NORTHERN PLAZA, HOLDING NO 1017/985, GONESHTOLA, DINAJPUR 5200</t>
  </si>
  <si>
    <t>0531 61880, 017 30001243</t>
  </si>
  <si>
    <t>dinajpur@eximbankbd.com</t>
  </si>
  <si>
    <t>0531 61770</t>
  </si>
  <si>
    <t>100290523</t>
  </si>
  <si>
    <t>FARIDPUR PLAZA, HOLDING NO 108/5, THANA ROAD, MOYRAPOTTY, FARIDPUR 7800</t>
  </si>
  <si>
    <t>0631 61128, 61170, 61174</t>
  </si>
  <si>
    <t>faridpur@eximbankbd.com</t>
  </si>
  <si>
    <t>0631 61182</t>
  </si>
  <si>
    <t>100300318</t>
  </si>
  <si>
    <t>HS PLAZA, HOLDING NO 827, MAIN ROAD, BANSHPARA, CHHAGALNAIYA, FENI 3910</t>
  </si>
  <si>
    <t>03322 78018, 017 30001242</t>
  </si>
  <si>
    <t>chhagalnaiya@eximbankbd.com</t>
  </si>
  <si>
    <t>03322 78188</t>
  </si>
  <si>
    <t>100300521</t>
  </si>
  <si>
    <t>CHISTIYA TRADE CENTER, 308-310 SSK ROAD, FENI</t>
  </si>
  <si>
    <t>0331 74060-61, 017 09639946, 017 09639955</t>
  </si>
  <si>
    <t>feni@eximbankbd.com</t>
  </si>
  <si>
    <t>0331 74062</t>
  </si>
  <si>
    <t>100330225</t>
  </si>
  <si>
    <t>HAZI FAZLUL HAQUE PLAZA, BOARD BAZAR, NATIONAL UNIVERSITY, GAZIPUR</t>
  </si>
  <si>
    <t>02 9293053, 017 13229344</t>
  </si>
  <si>
    <t>boardbazar@eximbankbd.com</t>
  </si>
  <si>
    <t>02 9293054</t>
  </si>
  <si>
    <t>100330559</t>
  </si>
  <si>
    <t>MAS SQUARE, PLOT NO 727, BLOCK C, DHAKA ROAD, CHANDONA CHOWRASTA, GAZIPUR 1702</t>
  </si>
  <si>
    <t>02 49292443, 49263537, 017 13145498</t>
  </si>
  <si>
    <t>gazipur@eximbankbd.com</t>
  </si>
  <si>
    <t>02 49262443</t>
  </si>
  <si>
    <t>100330975</t>
  </si>
  <si>
    <t>KITAB ALI PLAZA, MAWNA CHOWRASTA, SREEPUR, GAZIPUR</t>
  </si>
  <si>
    <t>017 13099837, 017 13361833</t>
  </si>
  <si>
    <t>mawna@eximbankbd.com</t>
  </si>
  <si>
    <t>06825 52359</t>
  </si>
  <si>
    <t>100330120</t>
  </si>
  <si>
    <t>SIDDIQUE SHOPPING COMPLEX, HOLDING NO RS-1763, DHAKA-TANGAIL HIGHWAY, MOUCHAK, KALIAKOIR, GAZIPUR 1751</t>
  </si>
  <si>
    <t>02 9297513, 9297526, 9297527</t>
  </si>
  <si>
    <t>mouchak@eximbankbd.com</t>
  </si>
  <si>
    <t>02 9297527</t>
  </si>
  <si>
    <t>100361094</t>
  </si>
  <si>
    <t>BANGLA TOWER, SHERPUR ROAD, NABIGANJ, HABIGANJ 3370</t>
  </si>
  <si>
    <t>08328 56524, 56526, 017 30001240</t>
  </si>
  <si>
    <t>nobigonj@eximbankbd.com</t>
  </si>
  <si>
    <t>08328 56528</t>
  </si>
  <si>
    <t>100410945</t>
  </si>
  <si>
    <t>HOLDING NO 37, MK ROAD, JESSORE 7400</t>
  </si>
  <si>
    <t>0421 67980-82, 017 13400273</t>
  </si>
  <si>
    <t>jessore@eximbankbd.com</t>
  </si>
  <si>
    <t>0421 67983</t>
  </si>
  <si>
    <t>100471542</t>
  </si>
  <si>
    <t>041 2831470-72, 017 30018183</t>
  </si>
  <si>
    <t>khulna@eximbankbd.com</t>
  </si>
  <si>
    <t>041 2831473</t>
  </si>
  <si>
    <t>100500947</t>
  </si>
  <si>
    <t>RAJOB ALI MARKET, 152 NS ROAD, KUSHTIA</t>
  </si>
  <si>
    <t>071 71625, 73866, 71526</t>
  </si>
  <si>
    <t>kushtia@eximbankbd.com</t>
  </si>
  <si>
    <t>071 61158</t>
  </si>
  <si>
    <t>100581182</t>
  </si>
  <si>
    <t>AL-AKSHA SHOPPING CENTRE, HOLDING NO 1164, DHAKA-SYLHET ROAD, KUSUMBAGH, MOULVIBAZAR 3200</t>
  </si>
  <si>
    <t>0861 63007, 63008, 017 14167459</t>
  </si>
  <si>
    <t>moulvibazar@eximbankbd.com</t>
  </si>
  <si>
    <t>0861 63009</t>
  </si>
  <si>
    <t>100671184</t>
  </si>
  <si>
    <t>SATTAR TOWER, 50 SM MALEH ROAD, TANBAZAR, NARAYANGANJ</t>
  </si>
  <si>
    <t>02 7640213, 7640214, 017 11439385</t>
  </si>
  <si>
    <t>narayangonj@eximbankbd.com</t>
  </si>
  <si>
    <t>02 7644414</t>
  </si>
  <si>
    <t>100671384</t>
  </si>
  <si>
    <t>138</t>
  </si>
  <si>
    <t>ATLANTA PLAZA, PANCHABOTI, FATULLAH, NARAYANGANJ</t>
  </si>
  <si>
    <t>02 47670607, 47670806, 017 30001241</t>
  </si>
  <si>
    <t>panchaboti@eximbankbd.com</t>
  </si>
  <si>
    <t>02 47670806</t>
  </si>
  <si>
    <t>100671571</t>
  </si>
  <si>
    <t>HAJI AHASANULLAH SUPER MARKET, CHITTAGNONG ROAD, SIDDIRGANJ, NARAYANGANJ 1430</t>
  </si>
  <si>
    <t>02 7694672, 7694673, 018 19253283</t>
  </si>
  <si>
    <t>shimrail@eximbankbd.com</t>
  </si>
  <si>
    <t>02 7694268</t>
  </si>
  <si>
    <t>100671700</t>
  </si>
  <si>
    <t>ZOHRA MANSION, COLLEGE ROAD, MOGRAPARA, SONARGAON, NARAYANGANJ</t>
  </si>
  <si>
    <t>02 7656103, 7656236, 017 55584938</t>
  </si>
  <si>
    <t>sonargaon@eximbankbd.com</t>
  </si>
  <si>
    <t>02 7656155</t>
  </si>
  <si>
    <t>100750250</t>
  </si>
  <si>
    <t>HR CITY COMPLEX, ZERO POINT, BASURHAT, COMPANYGANJ, NOAKHALI</t>
  </si>
  <si>
    <t>03223 56060, 56073, 017 55594105, 017 55594112</t>
  </si>
  <si>
    <t>basurhat@eximbankbd.com</t>
  </si>
  <si>
    <t>100750676</t>
  </si>
  <si>
    <t>HOLDING NO 60/231 DB ROAD, CHOWMUHANI, BEGUMGANJ, NOAKHALI</t>
  </si>
  <si>
    <t>0321 52700, 51034, 017 14084311</t>
  </si>
  <si>
    <t>chowmuhuni@eximbankbd.com</t>
  </si>
  <si>
    <t>0321 51034</t>
  </si>
  <si>
    <t>100752232</t>
  </si>
  <si>
    <t>EMA PLAZA, ASHAQUE MEAH SARAK, SONAIMURI BAZAR, NOAKHALI</t>
  </si>
  <si>
    <t>03227 51057-58, 017 11750610, 017 11885754</t>
  </si>
  <si>
    <t>sonaimuri@eximbankbd.com</t>
  </si>
  <si>
    <t>03227 51059</t>
  </si>
  <si>
    <t>100811931</t>
  </si>
  <si>
    <t>CHAMBER BUILDING, HOLDING NO 76, STATION ROAD, BOALIA , RAJSHAHI 6100</t>
  </si>
  <si>
    <t>0721 772004, 772005, 775227</t>
  </si>
  <si>
    <t>rajshahi@eximbankbd.com</t>
  </si>
  <si>
    <t>0721 772004</t>
  </si>
  <si>
    <t>100851454</t>
  </si>
  <si>
    <t>SHAH AMANAT SHOPPING COMPLEX, 268 JAHAJ COMPANY MORE, STATION ROAD, RANGPUR 5400</t>
  </si>
  <si>
    <t>0521 61214-15, 017 55633863</t>
  </si>
  <si>
    <t>rangpur@eximbankbd.com</t>
  </si>
  <si>
    <t>0521 61214</t>
  </si>
  <si>
    <t>100860582</t>
  </si>
  <si>
    <t>JANAKALYAN BIPONY, NARIA BAZAR, SHARIATPUR 8020</t>
  </si>
  <si>
    <t>0601 59135, 59136, 017 30018970</t>
  </si>
  <si>
    <t>naria@eximbankbd.com</t>
  </si>
  <si>
    <t>0601 59124</t>
  </si>
  <si>
    <t>100910311</t>
  </si>
  <si>
    <t>ZAMAN PLAZA, HOLDING NO 6, MAIN ROAD, BEANIBAZAR, SYLHET 3170</t>
  </si>
  <si>
    <t>08223 56108, 56109, 017 30452002</t>
  </si>
  <si>
    <t>beanibazar@eximbankbd.com</t>
  </si>
  <si>
    <t>08223 56110</t>
  </si>
  <si>
    <t>100910432</t>
  </si>
  <si>
    <t>AL MADINA COMPLEX, PURAN BAZAR, JAGANNATHPUR ROAD, BISWANATH, SYLHET</t>
  </si>
  <si>
    <t>08224 56219, 56218, 017 77763409</t>
  </si>
  <si>
    <t>biswanath@eximbankbd.com</t>
  </si>
  <si>
    <t>08224 56217</t>
  </si>
  <si>
    <t>100910058</t>
  </si>
  <si>
    <t>DHOPADIGHIR PAR BRANCH</t>
  </si>
  <si>
    <t>DHOPADIGHIR_PAR_BRANCH</t>
  </si>
  <si>
    <t>MAHMUD COMPLEX, HOLDING NO 15, MAIN ROAD, EAST DHOPADIGHIR PAR, KOTWALI, SYLHET 3100</t>
  </si>
  <si>
    <t>0821 728601, 728602, 017 30735341</t>
  </si>
  <si>
    <t>dhopadighirpar@eximbankbd.com</t>
  </si>
  <si>
    <t>0821 728603</t>
  </si>
  <si>
    <t>100911365</t>
  </si>
  <si>
    <t>SAMAD PLAZA, POSCHIM BAZAR, FENCHUGANJ, SYLHET 3116</t>
  </si>
  <si>
    <t>08226 56290, 56163, 017 13396544</t>
  </si>
  <si>
    <t>fenchugonj@eximbankbd.com</t>
  </si>
  <si>
    <t>08226 56162</t>
  </si>
  <si>
    <t>100911549</t>
  </si>
  <si>
    <t>ABDUL KARIM MANSION, DHAKA-SYLHET HIGHWAY, SOUTH GOALABAZAR, OSMANINAGAR, SYLHET 2431</t>
  </si>
  <si>
    <t>08242 56255, 56256, 017 55646710</t>
  </si>
  <si>
    <t>goalabazar@eximbankbd.com</t>
  </si>
  <si>
    <t>08242 56254</t>
  </si>
  <si>
    <t>100911602</t>
  </si>
  <si>
    <t>NOOR MANSION, HOLDING NO 334, SYLHET-ZAKIGANJ ROAD, CHOWMUHANI, GOLAPGANJ, SYLHET 3160</t>
  </si>
  <si>
    <t>08227 56461, 56462, 017 30097268</t>
  </si>
  <si>
    <t>golapgonj@eximbankbd.com</t>
  </si>
  <si>
    <t>08227 56463</t>
  </si>
  <si>
    <t>100913550</t>
  </si>
  <si>
    <t>MUJTABA TOWER, ZINDA BAZAR, SYLHET</t>
  </si>
  <si>
    <t>0821 724413, 719832, 728173</t>
  </si>
  <si>
    <t>sylhet@eximbankbd.com</t>
  </si>
  <si>
    <t>0821 725070</t>
  </si>
  <si>
    <t>FIRST_SECURITY_ISLAMI_BANK_LIMITED</t>
  </si>
  <si>
    <t>105</t>
  </si>
  <si>
    <t>FIRST SECURITY ISLAMI BANK LIMITED</t>
  </si>
  <si>
    <t>105060282</t>
  </si>
  <si>
    <t>163 / 028</t>
  </si>
  <si>
    <t>FSEBBDDH</t>
  </si>
  <si>
    <t>HOLDING 463-464, HEMAYET UDDIN ROAD, WARD 9, KOTWALI, BARISAL</t>
  </si>
  <si>
    <t>0431 2177278-80, 019 92044163, 017 08160163</t>
  </si>
  <si>
    <t>barisal@fsiblbd.com</t>
  </si>
  <si>
    <t>26 OCTOBER 2010</t>
  </si>
  <si>
    <t>105062293</t>
  </si>
  <si>
    <t>209 /</t>
  </si>
  <si>
    <t>MALIKANDI, BORAKOTHA, UZIRPUR, BARISAL</t>
  </si>
  <si>
    <t>019 38886138,  019 92044209, 017 08160209</t>
  </si>
  <si>
    <t>uzirpur@fsiblbd.com</t>
  </si>
  <si>
    <t>17 SEPTEMBER 2013</t>
  </si>
  <si>
    <t>105100371</t>
  </si>
  <si>
    <t>BARAGALA BRANCH</t>
  </si>
  <si>
    <t>BARAGALA_BRANCH</t>
  </si>
  <si>
    <t>130 / 037</t>
  </si>
  <si>
    <t>1717 SANTAHAR ROAD, BARAGALA, TINPATTI,  BOGRA</t>
  </si>
  <si>
    <t>051 65933, 019 92044130, 017 08160130</t>
  </si>
  <si>
    <t>bogra@fsiblbd.com</t>
  </si>
  <si>
    <t>23 MARCH 2009</t>
  </si>
  <si>
    <t>105150134</t>
  </si>
  <si>
    <t>104 / 013</t>
  </si>
  <si>
    <t>FSEBBDDHAGR</t>
  </si>
  <si>
    <t>HOSSEN COURT, 75 AGRABAD C/A, CHITTAGONG</t>
  </si>
  <si>
    <t>031 2522099, 019 92044104, 017 08160104</t>
  </si>
  <si>
    <t>agrabad@fsiblbd.com</t>
  </si>
  <si>
    <t>031 716828</t>
  </si>
  <si>
    <t>105150468</t>
  </si>
  <si>
    <t>134 / 046</t>
  </si>
  <si>
    <t>FAHIM MANSION, HOUSE 10, ANDERKILLAH ROAD, KOTWALI, CHITTAGONG</t>
  </si>
  <si>
    <t>031 2868143, 019 92044134, 017 08160134</t>
  </si>
  <si>
    <t>andorkillah@fsiblbd.com</t>
  </si>
  <si>
    <t>105150792</t>
  </si>
  <si>
    <t>123 / 079</t>
  </si>
  <si>
    <t>BISMILLAH COMPLEX, 4070/4523 CHANDGAON, CHITTAGONG</t>
  </si>
  <si>
    <t>031 2571532, 019 92044123, 017 08160123</t>
  </si>
  <si>
    <t>bahaddarhat@fsiblbd.com</t>
  </si>
  <si>
    <t>031 2571531</t>
  </si>
  <si>
    <t>105150947</t>
  </si>
  <si>
    <t>BANDARTILA BRANCH</t>
  </si>
  <si>
    <t>BANDARTILA_BRANCH</t>
  </si>
  <si>
    <t>184 /</t>
  </si>
  <si>
    <t>MALEQUE PLAZA, HOLDING 560-561, BANDAR TILA, SOUTH HALISHAHAR, CHITTAGONG</t>
  </si>
  <si>
    <t>031 742175-6, 019 92044184, 017 08160184</t>
  </si>
  <si>
    <t>bandartila@fsiblbd.com</t>
  </si>
  <si>
    <t>031 742172</t>
  </si>
  <si>
    <t>105150976</t>
  </si>
  <si>
    <t>187 /</t>
  </si>
  <si>
    <t>HAZI RAWSHAN MONJIL, NORTH JALDI, BANSHKHALI, CHITTAGONG</t>
  </si>
  <si>
    <t>0303 756008, 019 92044187, 017 08160187</t>
  </si>
  <si>
    <t>banskhali@fsiblbd.com</t>
  </si>
  <si>
    <t>0303 756013</t>
  </si>
  <si>
    <t>105151959</t>
  </si>
  <si>
    <t>166 / 195</t>
  </si>
  <si>
    <t>BK TOWER, 182/183 LALCHAND ROAD, CHAWKBAZAR, CHITTAGONG</t>
  </si>
  <si>
    <t>031 2867442, 019 92044166, 017 08160166</t>
  </si>
  <si>
    <t>chawkbazar@fsiblbd.com</t>
  </si>
  <si>
    <t>105152161</t>
  </si>
  <si>
    <t>CHOCORIA</t>
  </si>
  <si>
    <t>105152574</t>
  </si>
  <si>
    <t>DOBASHI BAZAR BRANCH</t>
  </si>
  <si>
    <t>DOBASHI_BAZAR_BRANCH</t>
  </si>
  <si>
    <t>124 / 257</t>
  </si>
  <si>
    <t>ALAM MARKET COMPLEX, DOBASHI BAZAR, RANGUNIA, CHITTAGONG</t>
  </si>
  <si>
    <t>017 13375074, 017 17332116, 017 08160124</t>
  </si>
  <si>
    <t>dovashibazar@fsiblbd.com</t>
  </si>
  <si>
    <t>28 AUGUST 2008</t>
  </si>
  <si>
    <t>105152637</t>
  </si>
  <si>
    <t>263</t>
  </si>
  <si>
    <t>105153160</t>
  </si>
  <si>
    <t>185 /</t>
  </si>
  <si>
    <t>PLOT 6, BLOCK K, PORT CONNECTING ROAD, HALISHAHAR HOUSING ESTATE, WARD 24, CHITTAGONG</t>
  </si>
  <si>
    <t>031 727407, 019 92044185, 017 08160185</t>
  </si>
  <si>
    <t>halishahar@fsiblbd.com</t>
  </si>
  <si>
    <t>031 727409</t>
  </si>
  <si>
    <t>105153223</t>
  </si>
  <si>
    <t>137 / 322</t>
  </si>
  <si>
    <t>?SOLAIMAN TOWER, HATHAZARI, CHITTAGONG</t>
  </si>
  <si>
    <t>031 2601361-2, 019 92044137, 017 08160137</t>
  </si>
  <si>
    <t>hathazari@fsiblbd.com</t>
  </si>
  <si>
    <t>031 2601361</t>
  </si>
  <si>
    <t>105153649</t>
  </si>
  <si>
    <t>107 / 364</t>
  </si>
  <si>
    <t>FSEBBDDHJUB</t>
  </si>
  <si>
    <t>365 JUBILEE ROAD, CHITTAGONG 4000</t>
  </si>
  <si>
    <t>031 635664, 019 92044107, 017 08160107</t>
  </si>
  <si>
    <t>jubilee@fsiblbd.com</t>
  </si>
  <si>
    <t>031 627024</t>
  </si>
  <si>
    <t>105153731</t>
  </si>
  <si>
    <t>212 /</t>
  </si>
  <si>
    <t>NUR HOSSAIN MARKET BHABAN, PLOT 835/863, DT ROAD, KADAMTALI, CHITTAGONG</t>
  </si>
  <si>
    <t>031 2522160, 019 92044212, 017 08160212</t>
  </si>
  <si>
    <t>kadamtali@fsiblbd.com</t>
  </si>
  <si>
    <t>7 NOVEMBER 2013</t>
  </si>
  <si>
    <t>105154127</t>
  </si>
  <si>
    <t>206 /</t>
  </si>
  <si>
    <t>?2 NO DHOLOI UNION PARISHAD, WEST DHOLOI, HATHAZARI, CHITTAGONG</t>
  </si>
  <si>
    <t>03036 56566, 018 19339798, 017 08160206</t>
  </si>
  <si>
    <t>katirhat@fsiblbd.com</t>
  </si>
  <si>
    <t>13 JUNE 2013</t>
  </si>
  <si>
    <t>105154185</t>
  </si>
  <si>
    <t>110 / 418</t>
  </si>
  <si>
    <t>HAJI YOUNUS PLAZA, KERANIHAT, SATKANIA, CHITTAGONG</t>
  </si>
  <si>
    <t>03036 56565, 019 92044110, 017 08160110</t>
  </si>
  <si>
    <t>keranihat@fsiblbd.com</t>
  </si>
  <si>
    <t>03036 56566</t>
  </si>
  <si>
    <t>105154277</t>
  </si>
  <si>
    <t>102 / 427</t>
  </si>
  <si>
    <t>FSEBBDDHKTG</t>
  </si>
  <si>
    <t>MS TRADE CENTRE, HOLDING NO 263/284, KHATUNGANJ ROAD, KHATUNGANJ, CHITTAGONG 4000</t>
  </si>
  <si>
    <t>031 616850, 019 92044102, 017 08160102</t>
  </si>
  <si>
    <t>khatungonj@fsiblbd.com</t>
  </si>
  <si>
    <t>031 622702</t>
  </si>
  <si>
    <t>105154451</t>
  </si>
  <si>
    <t>193 /</t>
  </si>
  <si>
    <t>BISMILLAH SHOPPING COMPLEX, CHOTO KUMIRA, MASJIDDA, SHITAKUND, CHITTAGONG</t>
  </si>
  <si>
    <t>0304 251321, 019 92044193, 017 08160193</t>
  </si>
  <si>
    <t>kumira@fsiblbd.com</t>
  </si>
  <si>
    <t>?0304 251323</t>
  </si>
  <si>
    <t>105154664</t>
  </si>
  <si>
    <t>LOHA GARA</t>
  </si>
  <si>
    <t>LOHA_GARA</t>
  </si>
  <si>
    <t>147 / 466</t>
  </si>
  <si>
    <t>KARNAFULI CITY COMPLEX, LOHAGARA, CHITTAGONG 4396</t>
  </si>
  <si>
    <t>03034 56591, 019 92044147, 017 08160147</t>
  </si>
  <si>
    <t>lohagara@fsiblbd.com</t>
  </si>
  <si>
    <t>03034 56592</t>
  </si>
  <si>
    <t>105155089</t>
  </si>
  <si>
    <t>218 /</t>
  </si>
  <si>
    <t>ISHAK BHABAN, BANGLA BAZAR, MIRZAKHIL SONAKANIA, SATKANIA, CHITTAGONG</t>
  </si>
  <si>
    <t>019 38886151, 019 92044218, 017 08160218</t>
  </si>
  <si>
    <t>mirzakhil@fsiblbd.com</t>
  </si>
  <si>
    <t>24 APRIL 2014</t>
  </si>
  <si>
    <t>105155247</t>
  </si>
  <si>
    <t>MOHILA BRANCH</t>
  </si>
  <si>
    <t>MOHILA_BRANCH</t>
  </si>
  <si>
    <t>167 /</t>
  </si>
  <si>
    <t>63 SS KHALED ROAD, KAZIR DEWRI, CHITTAGONG</t>
  </si>
  <si>
    <t>031 2868210-11, 019 92044167, 017 08160167</t>
  </si>
  <si>
    <t>ladiesbranch@fsiblbd.com</t>
  </si>
  <si>
    <t>?031 2868231</t>
  </si>
  <si>
    <t>105151238</t>
  </si>
  <si>
    <t>MOHRA SME BRANCH</t>
  </si>
  <si>
    <t>MOHRA_SME_BRANCH</t>
  </si>
  <si>
    <t>161 / 123</t>
  </si>
  <si>
    <t>HOSAIN BUILDING, KAPTAI RASTAR MATHA, MOHRA, CHANDGAON, CHITTAGONG</t>
  </si>
  <si>
    <t>0312 572008, 019 92044161, 017 08160161</t>
  </si>
  <si>
    <t>mohra@fsiblbd.com</t>
  </si>
  <si>
    <t>0312 572007</t>
  </si>
  <si>
    <t>105155605</t>
  </si>
  <si>
    <t>164 / 560</t>
  </si>
  <si>
    <t>2589 DAWLATPUR, FATIKCHHORI, CHITTAGONG</t>
  </si>
  <si>
    <t>017 20060872, 019 92044164, 017 08160164</t>
  </si>
  <si>
    <t>nazirhat@fsiblbd.com</t>
  </si>
  <si>
    <t>11 NOVEMBER 2010</t>
  </si>
  <si>
    <t>105155621</t>
  </si>
  <si>
    <t>NAZU MIAH HAT BRANCH</t>
  </si>
  <si>
    <t>NAZU_MIAH_HAT_BRANCH</t>
  </si>
  <si>
    <t>114 / 562</t>
  </si>
  <si>
    <t>NUR ALI BARI, NAZU MIAH HAT, HATHAZARI, CHITTAGONG</t>
  </si>
  <si>
    <t>0312 570823, 019 92044114, 017 08160114</t>
  </si>
  <si>
    <t>nazumeah@fsiblbd.com</t>
  </si>
  <si>
    <t>0312 570825</t>
  </si>
  <si>
    <t>105155926</t>
  </si>
  <si>
    <t>159 / 592</t>
  </si>
  <si>
    <t>TORAB ARCHED, 440/504 DT ROAD, DOUBLE MOORING, CHITTAGONG</t>
  </si>
  <si>
    <t>031 2773041-42, 019 92044159, 017 08160159</t>
  </si>
  <si>
    <t>pahartoli@fsiblbd.com</t>
  </si>
  <si>
    <t>031 2773043?</t>
  </si>
  <si>
    <t>105150068</t>
  </si>
  <si>
    <t>196 /</t>
  </si>
  <si>
    <t>GREEN ROAD, CHOWMUHANI, PAHARTALI, RAOZAN, CHITTAGONG</t>
  </si>
  <si>
    <t>019 38886119, 019 11754616, 018 15601662</t>
  </si>
  <si>
    <t>pahartoli-raozan@fsiblbd.com</t>
  </si>
  <si>
    <t>5 DECEMBER 2012</t>
  </si>
  <si>
    <t>105156138</t>
  </si>
  <si>
    <t>145 / 613</t>
  </si>
  <si>
    <t>KHAYEZ AHAMMAD SHOPPING CENTRE, NOAPARA, PATHERHAT, RAOZAN, CHITTAGONG</t>
  </si>
  <si>
    <t>03125 72441-42, 019 92044145, 017 08160145</t>
  </si>
  <si>
    <t>patherhat@fsiblbd.com</t>
  </si>
  <si>
    <t>03125 72443</t>
  </si>
  <si>
    <t>105156167</t>
  </si>
  <si>
    <t>152 / 616</t>
  </si>
  <si>
    <t>NJ COMPLEX, 1280 SHAHID SABUR ROAD, PATIYA, CHITTAGONG</t>
  </si>
  <si>
    <t>03035 56695-96, 019 92044152, 017 08160152</t>
  </si>
  <si>
    <t>patiya@fsiblbd.com</t>
  </si>
  <si>
    <t>03035 56697</t>
  </si>
  <si>
    <t>105156183</t>
  </si>
  <si>
    <t>PATIYA MOHILA BRANCH</t>
  </si>
  <si>
    <t>PATIYA_MOHILA_BRANCH</t>
  </si>
  <si>
    <t>182 /</t>
  </si>
  <si>
    <t>ITCL AFTAB CENTER, COLLEGE ROAD, PATIYA, CHITTAGONG 4370</t>
  </si>
  <si>
    <t>03035 56716-17, 019 92044182, 017 08160182</t>
  </si>
  <si>
    <t>patiyamohila@fsiblbd.com</t>
  </si>
  <si>
    <t>03035 56584</t>
  </si>
  <si>
    <t>105151391</t>
  </si>
  <si>
    <t>PRABARTAK MORE BRANCH</t>
  </si>
  <si>
    <t>PRABARTAK_MORE_BRANCH</t>
  </si>
  <si>
    <t>119 / 139</t>
  </si>
  <si>
    <t>EQUITY POINT, HOLDING NO 135, KB FAZLUL KADER ROAD, PRABARTAK MORE, PANCHLAISH, CHITTAGONG 4210</t>
  </si>
  <si>
    <t>031 2552296, 019 92044119, 017 08160119</t>
  </si>
  <si>
    <t>probortak@fsiblbd.com</t>
  </si>
  <si>
    <t>105156475</t>
  </si>
  <si>
    <t>RANIRHAT BRANCH</t>
  </si>
  <si>
    <t>RANIRHAT_BRANCH</t>
  </si>
  <si>
    <t>156 / 647</t>
  </si>
  <si>
    <t>AMIRUZZAMAN SAWDAGOR MARKET, RANIRHAT, RANGUNIA, CHITTAGONG</t>
  </si>
  <si>
    <t>017 44655655, 019 92044156, 017 08160156</t>
  </si>
  <si>
    <t>ranirhat@fsiblbd.com</t>
  </si>
  <si>
    <t>29 JULY 2010</t>
  </si>
  <si>
    <t>105191151</t>
  </si>
  <si>
    <t>150 / 115</t>
  </si>
  <si>
    <t>AIYUB MANSON, CHAWKBAZAR, KOTWALI, COMILLA</t>
  </si>
  <si>
    <t>081 64899, 019 92044150, 017 08160150</t>
  </si>
  <si>
    <t>comilla@fsiblbd.com</t>
  </si>
  <si>
    <t>081 73291</t>
  </si>
  <si>
    <t>105220222</t>
  </si>
  <si>
    <t>COURT BAZAR</t>
  </si>
  <si>
    <t>COURT_BAZAR</t>
  </si>
  <si>
    <t>105220251</t>
  </si>
  <si>
    <t>105260437</t>
  </si>
  <si>
    <t>115 / 043</t>
  </si>
  <si>
    <t>FSEBBDDHBAN</t>
  </si>
  <si>
    <t>PRASSAD TRADE CENTRE, MEZZANINE FLOOR, HOUSE NO 6, KAMAL ATATURK AVENUE, BANANI, DHAKA 1213</t>
  </si>
  <si>
    <t>02 9861190, 019 92044115, 017 08160115</t>
  </si>
  <si>
    <t>banani@fsiblbd.com</t>
  </si>
  <si>
    <t>02 8851140</t>
  </si>
  <si>
    <t>105260729</t>
  </si>
  <si>
    <t>138 / 072</t>
  </si>
  <si>
    <t>ROAD 2, BLOCK C, ESTRAN HOUSING BANASREE PROJECT, RAMPURA, DHAKA</t>
  </si>
  <si>
    <t>02 8399689, 019 92044138, 017 08160138</t>
  </si>
  <si>
    <t>bonosree@fsiblbd.com</t>
  </si>
  <si>
    <t>02 7287394</t>
  </si>
  <si>
    <t>105270885</t>
  </si>
  <si>
    <t>106 / 088</t>
  </si>
  <si>
    <t>FSEBBDDHBNG</t>
  </si>
  <si>
    <t>121/2 LUTFAR RAHMAN LANE, NORTH SOUTH ROAD, DHAKA 1100</t>
  </si>
  <si>
    <t>02 7176746-47, 019 92044106, 017 08160106</t>
  </si>
  <si>
    <t>banghal@fsiblbd.com</t>
  </si>
  <si>
    <t>02 7176745</t>
  </si>
  <si>
    <t>105260558</t>
  </si>
  <si>
    <t>177 /</t>
  </si>
  <si>
    <t>ADVANCE EXCLUCIVE, PLOT 12, MAIN ROAD, BLOCK A, BASHUNDHARA R/A, DHAKA 1229</t>
  </si>
  <si>
    <t>02 8402605-08, 019 92044177, 017 08160177</t>
  </si>
  <si>
    <t>bashundhara@fsiblbd.com</t>
  </si>
  <si>
    <t>02 8402608</t>
  </si>
  <si>
    <t>105271121</t>
  </si>
  <si>
    <t>BISHWA ROAD BRANCH</t>
  </si>
  <si>
    <t>BISHWA_ROAD_BRANCH</t>
  </si>
  <si>
    <t>120 / 112</t>
  </si>
  <si>
    <t>TROPICAL SALEH TOWER, 27 ATISH DIPANKAR ROAD, SHABUJBAGH, DHAKA</t>
  </si>
  <si>
    <t>02 7218021, 019 92044120, 017 08160120</t>
  </si>
  <si>
    <t>biswaroad@fsiblbd.com</t>
  </si>
  <si>
    <t>02 7274077</t>
  </si>
  <si>
    <t>105260808</t>
  </si>
  <si>
    <t>CITY UNIVERSITY BRANCH</t>
  </si>
  <si>
    <t>CITY_UNIVERSITY_BRANCH</t>
  </si>
  <si>
    <t>178 /</t>
  </si>
  <si>
    <t>CITY UNIVERSITY CAMPUS, 69 BIRULIA, KHAGAN, SAVAR, DHAKA</t>
  </si>
  <si>
    <t>02 7747585, 019 92044178, 017 08160178</t>
  </si>
  <si>
    <t>cityuni@fsiblbd.com</t>
  </si>
  <si>
    <t>02 7747586</t>
  </si>
  <si>
    <t>105271426</t>
  </si>
  <si>
    <t>121 / 142</t>
  </si>
  <si>
    <t>PLOT NO 454, NAYAPARA, DONIA, SHYAMPUR, DHAKA</t>
  </si>
  <si>
    <t>02 7543436, 019 92044121, 017 08160121</t>
  </si>
  <si>
    <t>donia@fsiblbd.com</t>
  </si>
  <si>
    <t>02  7553800</t>
  </si>
  <si>
    <t>105261186</t>
  </si>
  <si>
    <t>108 / 118</t>
  </si>
  <si>
    <t>FSEBBDDHDHA</t>
  </si>
  <si>
    <t>HOUSE 38/1, ROAD 02, OPPOSITE OF RIFLE SQUARE, DHANMONDI R/A, DHAKA 1205</t>
  </si>
  <si>
    <t>02 9670976-77, 019 92044108, 017 08160108</t>
  </si>
  <si>
    <t>dhanmondi@fsiblbd.com</t>
  </si>
  <si>
    <t>02 9670975</t>
  </si>
  <si>
    <t>105271905</t>
  </si>
  <si>
    <t>101 / 190</t>
  </si>
  <si>
    <t>FSEBBDDHDIL</t>
  </si>
  <si>
    <t>23 DILKUSHA COMMERCIAL AREA, MOTIJHEEL, DHAKA 1000</t>
  </si>
  <si>
    <t>02 9560229, 019 92044101, 017 08160101</t>
  </si>
  <si>
    <t>dilkusha@fsiblbd.com</t>
  </si>
  <si>
    <t>02 9572307</t>
  </si>
  <si>
    <t>105261252</t>
  </si>
  <si>
    <t>DOKKHINKHAN BRANCH</t>
  </si>
  <si>
    <t>DOKKHINKHAN_BRANCH</t>
  </si>
  <si>
    <t>140 / 125</t>
  </si>
  <si>
    <t>PANNA PLAZA, AJAMPUR SUPER MARKET, 65 MUKTIJODDA ROAD, DAKSHINKHAN, UTTARA, DHAKA</t>
  </si>
  <si>
    <t>02 7911307-08, 019 92044140, 017 08160140</t>
  </si>
  <si>
    <t>azampur@fsiblbd.com</t>
  </si>
  <si>
    <t>02  7911309</t>
  </si>
  <si>
    <t>105261728</t>
  </si>
  <si>
    <t>112 / 172</t>
  </si>
  <si>
    <t>FSEBBDDHGUL</t>
  </si>
  <si>
    <t>122 GULSHAN AVENUE, GULSHAN 2, DHAKA 1212</t>
  </si>
  <si>
    <t>02 9895381, 019 92044112, 017 08160112</t>
  </si>
  <si>
    <t>gulshan@fsiblbd.com</t>
  </si>
  <si>
    <t>02 9887932</t>
  </si>
  <si>
    <t>105272988</t>
  </si>
  <si>
    <t>155 / 298</t>
  </si>
  <si>
    <t>MABUD TOWER, 105 ISLAMPUR ROAD, DHAKA</t>
  </si>
  <si>
    <t>02 7392464, 017 11679805,  017 08160155</t>
  </si>
  <si>
    <t>islampur@fsiblbd.com</t>
  </si>
  <si>
    <t>02 7390474</t>
  </si>
  <si>
    <t>105262530</t>
  </si>
  <si>
    <t>176 /</t>
  </si>
  <si>
    <t>40 KAZI NAZRUL ISLAM AVENUE, KARWAN BAZAR, DHAKA</t>
  </si>
  <si>
    <t>02 8189779, 019 92044176, 017 08160176</t>
  </si>
  <si>
    <t>karwanbazar@fsiblbd.com</t>
  </si>
  <si>
    <t>02 9104453</t>
  </si>
  <si>
    <t>105270098</t>
  </si>
  <si>
    <t>207 /</t>
  </si>
  <si>
    <t>ABDUL HAMID BHABAN, BEGUN BARI, SHUBADDA, SOUTH KERANIGANJ, DHAKA</t>
  </si>
  <si>
    <t>02 7764386, 019 92044207, 017 08160207</t>
  </si>
  <si>
    <t>keraniganj@fsiblbd.com</t>
  </si>
  <si>
    <t>16 JUNE 2013</t>
  </si>
  <si>
    <t>105273745</t>
  </si>
  <si>
    <t>190 /</t>
  </si>
  <si>
    <t>JL-31, PARADOGAR, KONAPARA, MATUAIL, DAMRA, DHAKA</t>
  </si>
  <si>
    <t>02 7549164, 019 92044190, 017 08160190</t>
  </si>
  <si>
    <t>konapara@fsiblbd.com</t>
  </si>
  <si>
    <t>02 7550407</t>
  </si>
  <si>
    <t>105273945</t>
  </si>
  <si>
    <t>174 /</t>
  </si>
  <si>
    <t>UNION CAPITAL MARKET, 86 NEW CIRCULAR ROAD, MALIBAGH, DHAKA</t>
  </si>
  <si>
    <t>02 9349763, 019 92044174, 017 08160174</t>
  </si>
  <si>
    <t>malibag@fsiblbd.com</t>
  </si>
  <si>
    <t>02 9349753</t>
  </si>
  <si>
    <t>105262985</t>
  </si>
  <si>
    <t>113 / 298</t>
  </si>
  <si>
    <t>HOUSE 793, KAZI PARA, BEGUM ROKEYA SARANI, MIRPUR, DHAKA</t>
  </si>
  <si>
    <t>02 8034282, 019 92044113, 017 08160113</t>
  </si>
  <si>
    <t>mirpur@fsiblbd.com</t>
  </si>
  <si>
    <t>02 8033664</t>
  </si>
  <si>
    <t>105263197</t>
  </si>
  <si>
    <t>103 / 319</t>
  </si>
  <si>
    <t>FSEBBDDHMKH</t>
  </si>
  <si>
    <t>95 MOHAKHALI C/A, DHAKA</t>
  </si>
  <si>
    <t>02 9888046, 019 92044103, 017 08160103</t>
  </si>
  <si>
    <t>mohakhali@fsiblbd.com</t>
  </si>
  <si>
    <t>02 9886334</t>
  </si>
  <si>
    <t>105263289</t>
  </si>
  <si>
    <t>186 /</t>
  </si>
  <si>
    <t>14/26 SHAHJAHAN ROAD, MOHAMMADPUR, DHAKA</t>
  </si>
  <si>
    <t>02 9132150, 019 92044186, 017 08160186</t>
  </si>
  <si>
    <t>mohammadpur@fsiblbd.com</t>
  </si>
  <si>
    <t>28 MAY 2012</t>
  </si>
  <si>
    <t>105274249</t>
  </si>
  <si>
    <t>129 / 424</t>
  </si>
  <si>
    <t>FSEBBDDHMOT</t>
  </si>
  <si>
    <t>PLOT 9/1, MOTIJHEEL COMMERCIAL AREA, DHAKA 1000</t>
  </si>
  <si>
    <t>02 9570423, 019 92044129, 017 08160129</t>
  </si>
  <si>
    <t>motijheel@fsiblbd.com</t>
  </si>
  <si>
    <t>02 9572261</t>
  </si>
  <si>
    <t>105274481</t>
  </si>
  <si>
    <t>127 / 448</t>
  </si>
  <si>
    <t>TANSHIR PADMA LAKE CITY, FULTOLA BAZAR, MUKSUDPUR, DOHAR, DHAKA 1333</t>
  </si>
  <si>
    <t>017 67796901, 019 92044127, 017 08160127</t>
  </si>
  <si>
    <t>muksudpur@fsiblbd.com</t>
  </si>
  <si>
    <t>03 894450400</t>
  </si>
  <si>
    <t>105275327</t>
  </si>
  <si>
    <t>POSTOGOLA BRANCH</t>
  </si>
  <si>
    <t>POSTOGOLA_BRANCH</t>
  </si>
  <si>
    <t>KADER TOWER, 22/1 KARIMBAGH, POSTOGOLA NCG ROAD, SHYAMPUR, DHAKA</t>
  </si>
  <si>
    <t>02 7446141, 019 92044225, 017 08160225</t>
  </si>
  <si>
    <t>postagola@fsiblbd.com</t>
  </si>
  <si>
    <t>105260482</t>
  </si>
  <si>
    <t>RANABHOLA BRANCH</t>
  </si>
  <si>
    <t>RANABHOLA_BRANCH</t>
  </si>
  <si>
    <t>228 /</t>
  </si>
  <si>
    <t>SHEIKH VILLA, RANABHOLA, HORIRAMPUR, TURAG, DHAKA</t>
  </si>
  <si>
    <t>019 38886165, 019 92044228, 017 08160228</t>
  </si>
  <si>
    <t>ranabhola@fsiblbd.com</t>
  </si>
  <si>
    <t>105263971</t>
  </si>
  <si>
    <t>133 / 397</t>
  </si>
  <si>
    <t>HOLDING NO 16/A/3, BLOCK F, MOHAMMADPUR HOUSING ESTATE, RING ROAD, MOHAMMADPUR, DHAKA</t>
  </si>
  <si>
    <t>02 8142556, 019 92044133, 017 08160133</t>
  </si>
  <si>
    <t>ringroad@fsiblbd.com</t>
  </si>
  <si>
    <t>02 8142555</t>
  </si>
  <si>
    <t>105264017</t>
  </si>
  <si>
    <t>ARAMBAGH BHABAN, E/7 ARAMBAG HOUSING, MAIN ROAD, RUPNAGAR, MIRPUR, DHAKA</t>
  </si>
  <si>
    <t>019 38886156, 019 92044223, 017 08160223</t>
  </si>
  <si>
    <t>rupnagar@fsiblbd.com</t>
  </si>
  <si>
    <t>105264091</t>
  </si>
  <si>
    <t>149 / 409</t>
  </si>
  <si>
    <t>SAVER CITY CENTRE, SAVAR, DHAKA</t>
  </si>
  <si>
    <t>02 7744657-58, 019 92044149, 017 08160149</t>
  </si>
  <si>
    <t>savar@fsiblbd.com</t>
  </si>
  <si>
    <t>02 7744658</t>
  </si>
  <si>
    <t>105264196</t>
  </si>
  <si>
    <t>SENANIBASH BRANCH</t>
  </si>
  <si>
    <t>SENANIBASH_BRANCH</t>
  </si>
  <si>
    <t>126 / 419</t>
  </si>
  <si>
    <t>234/6 KACHUKHET, KAFRUL, DHAKA 1206</t>
  </si>
  <si>
    <t>02 8714614-15, 019 92044126, 017 08160126</t>
  </si>
  <si>
    <t>senanibash@fsiblbd.com</t>
  </si>
  <si>
    <t>02 8714614</t>
  </si>
  <si>
    <t>105276739</t>
  </si>
  <si>
    <t>TOPKHANA ROAD BRANCH</t>
  </si>
  <si>
    <t>TOPKHANA_ROAD_BRANCH</t>
  </si>
  <si>
    <t>118 / 673</t>
  </si>
  <si>
    <t>BENGAL CENTRE, 28 TOPKHANA ROAD, DHAKA</t>
  </si>
  <si>
    <t>02 9575420, 019 92044118, 017 08160118</t>
  </si>
  <si>
    <t>topkhana@fsiblbd.com</t>
  </si>
  <si>
    <t>02 7161905</t>
  </si>
  <si>
    <t>105264633</t>
  </si>
  <si>
    <t>158 / 463</t>
  </si>
  <si>
    <t>PLOT 10, GARIB-E-NEWAZ AVENUE, SECTOR 13, UTTARA MODEL TOWN, DHAKA</t>
  </si>
  <si>
    <t>02 8953807, 019 92044158, 017 08160158</t>
  </si>
  <si>
    <t>uttara@fsiblbd.com</t>
  </si>
  <si>
    <t>02 8953719</t>
  </si>
  <si>
    <t>105264817</t>
  </si>
  <si>
    <t>ZIRABO BRANCH</t>
  </si>
  <si>
    <t>ZIRABO_BRANCH</t>
  </si>
  <si>
    <t>148 / 481</t>
  </si>
  <si>
    <t>ZIRABO, YEARPUR, ASHULIA, DHAKA</t>
  </si>
  <si>
    <t>02 7792369-70, 019 92044148, 017 08160148</t>
  </si>
  <si>
    <t>zirabo@fsiblbd.com</t>
  </si>
  <si>
    <t>02 7792368</t>
  </si>
  <si>
    <t>105270001</t>
  </si>
  <si>
    <t>105290528</t>
  </si>
  <si>
    <t>162 / 052</t>
  </si>
  <si>
    <t>HOLDING NO 15/A, MUJIB ROAD, WARD 4, KOTWALI, FARIDPUR</t>
  </si>
  <si>
    <t>0631 67166, 019 92044162, 017 08160162</t>
  </si>
  <si>
    <t>faridpur@fsiblbd.com</t>
  </si>
  <si>
    <t>0631 67165</t>
  </si>
  <si>
    <t>105300526</t>
  </si>
  <si>
    <t>165 / 052</t>
  </si>
  <si>
    <t>322 SSK ROAD, WARD 10, FENI 3900</t>
  </si>
  <si>
    <t>0331 73934, 017 11123436,  017 11123436</t>
  </si>
  <si>
    <t>feni@fsiblbd.com</t>
  </si>
  <si>
    <t>0331 73935</t>
  </si>
  <si>
    <t>105330417</t>
  </si>
  <si>
    <t>125 / 041</t>
  </si>
  <si>
    <t>AUCHAPARA, COLLEGE GATE, TONGI, GAZIPUR</t>
  </si>
  <si>
    <t>02 9816211, 019 92044125, 017 08160125</t>
  </si>
  <si>
    <t>collegegate@fsiblbd.com</t>
  </si>
  <si>
    <t>02 9816211</t>
  </si>
  <si>
    <t>105330554</t>
  </si>
  <si>
    <t>HAZRAT SHAHJALAL MANSION, GAZIPUR CHOWRASTA, GAZIPUR</t>
  </si>
  <si>
    <t>02 9261893, 019 92044214, 017 08160214</t>
  </si>
  <si>
    <t>gazipurchowrasta@fsiblbd.com</t>
  </si>
  <si>
    <t>30 NOVEMBER 2013</t>
  </si>
  <si>
    <t>105331429</t>
  </si>
  <si>
    <t>117 / 142</t>
  </si>
  <si>
    <t>KZ TOWER, HOLDING NO 70/1, SHAFIPUR BAZAR, KALIAKOIR, GAZIPUR</t>
  </si>
  <si>
    <t>06822 52133, 019 92044117, 017 08160117</t>
  </si>
  <si>
    <t>shafipur@fsiblbd.com</t>
  </si>
  <si>
    <t>06822 52133</t>
  </si>
  <si>
    <t>105331487</t>
  </si>
  <si>
    <t>143 / 148</t>
  </si>
  <si>
    <t>017 26202329, 019 92044143, 017 08160143</t>
  </si>
  <si>
    <t>sreepur@fsiblbd.com</t>
  </si>
  <si>
    <t>06825 51769</t>
  </si>
  <si>
    <t>105410108</t>
  </si>
  <si>
    <t>BAGACHRA BRANCH</t>
  </si>
  <si>
    <t>BAGACHRA_BRANCH</t>
  </si>
  <si>
    <t>ALHAJ ABU SIDDIQUE SUPER MARKET, BAGACHRA BAZAR, SHARSHA, JESSORE</t>
  </si>
  <si>
    <t>042 3251180, 019 38886132, 017 08160213</t>
  </si>
  <si>
    <t>bagachra@fsiblbd.com</t>
  </si>
  <si>
    <t>042 3251480</t>
  </si>
  <si>
    <t>105410940</t>
  </si>
  <si>
    <t>141 / 094</t>
  </si>
  <si>
    <t>MORSHED CENTER, 39 MK ROAD, JESSORE</t>
  </si>
  <si>
    <t>0421 51954-5, 019 92044141, 017 08160141</t>
  </si>
  <si>
    <t>jessore@fsiblbd.com</t>
  </si>
  <si>
    <t>0421 51954</t>
  </si>
  <si>
    <t>105411215</t>
  </si>
  <si>
    <t>188 /</t>
  </si>
  <si>
    <t>ANKHI PLAZA, TRIMOHONI MORE, KESHABPUR, JESSORE</t>
  </si>
  <si>
    <t>0422 656302, 019 92044188, 017 08160188</t>
  </si>
  <si>
    <t>keshabpur@fsiblbd.com</t>
  </si>
  <si>
    <t>0422 656301</t>
  </si>
  <si>
    <t>105411257</t>
  </si>
  <si>
    <t>KHAJURA BAZAR BRANCH</t>
  </si>
  <si>
    <t>KHAJURA_BAZAR_BRANCH</t>
  </si>
  <si>
    <t>220 /</t>
  </si>
  <si>
    <t>NURJAHAN MAHAL, KHAJURA BAZAR, BAGHARPARA, JESSORE</t>
  </si>
  <si>
    <t>019 92044220, 017 08160220</t>
  </si>
  <si>
    <t>khajurabazar@fsiblbd.com</t>
  </si>
  <si>
    <t>105411602</t>
  </si>
  <si>
    <t>RASHID SUPER MARKET, NAVARON, SHARSHA, JESSORE</t>
  </si>
  <si>
    <t>04228 76345, 017 16716125, 019 38886108</t>
  </si>
  <si>
    <t>navaron@fsiblbd.com</t>
  </si>
  <si>
    <t>04228 75102</t>
  </si>
  <si>
    <t>105470872</t>
  </si>
  <si>
    <t>JANANI SUPER MARKET, DAMUDOR, FULTALA, KHULNA</t>
  </si>
  <si>
    <t>019 38886155, 019 92044222, 017 08160222</t>
  </si>
  <si>
    <t>fultola@fsiblbd.com</t>
  </si>
  <si>
    <t>8 JUNE 2014</t>
  </si>
  <si>
    <t>105471271</t>
  </si>
  <si>
    <t>MOFAZZAL &amp;amp; REZINA HOSSEN SHOPING COMPLEX, KAPILMUNI BAZAR, PAIKGACHA, KHULNA</t>
  </si>
  <si>
    <t>019 38886131, 019 92044208, 017 08160208</t>
  </si>
  <si>
    <t>kapilmuni@fsiblbd.com</t>
  </si>
  <si>
    <t>29 JUNE 2013</t>
  </si>
  <si>
    <t>105471547</t>
  </si>
  <si>
    <t>116 / 154</t>
  </si>
  <si>
    <t>CITY TRADE CENTRE, 75 KDA AVENUE, KHULNA?</t>
  </si>
  <si>
    <t>041 2830433-4, 019 92044116, 017 08160116</t>
  </si>
  <si>
    <t>khulna@fsiblbd.com</t>
  </si>
  <si>
    <t>041 2830435</t>
  </si>
  <si>
    <t>105511036</t>
  </si>
  <si>
    <t>131 / 103</t>
  </si>
  <si>
    <t>JANNAT PLAZA, RATANPUR, RAMGANJ, LAKSHMIPUR</t>
  </si>
  <si>
    <t>03824 75115, 019 92044131, 017 08160131</t>
  </si>
  <si>
    <t>ramgonj@fsiblbd.com</t>
  </si>
  <si>
    <t>105581187</t>
  </si>
  <si>
    <t>122 / 118</t>
  </si>
  <si>
    <t>61 CENTRAL ROAD (SAIFUR RAHMAN ROAD), MOULVIBAZAR</t>
  </si>
  <si>
    <t>0861 63095-6, 019 92044122, 017 08160122</t>
  </si>
  <si>
    <t>moulvibazar@fsiblbd.com</t>
  </si>
  <si>
    <t>0861 63096</t>
  </si>
  <si>
    <t>105610311</t>
  </si>
  <si>
    <t>BHALUKA SME BRANCH</t>
  </si>
  <si>
    <t>BHALUKA_SME_BRANCH</t>
  </si>
  <si>
    <t>168 /</t>
  </si>
  <si>
    <t>HIRDOY SUPER MARKET, HOLDING 89, WARD 2, BHALUKA, MYMENSINGH</t>
  </si>
  <si>
    <t>09022 56063, 019 92044168, 017 08160168</t>
  </si>
  <si>
    <t>bhaluka@fsiblbd.com</t>
  </si>
  <si>
    <t>09022 56067</t>
  </si>
  <si>
    <t>105611460</t>
  </si>
  <si>
    <t>MASTERBARI BRANCH</t>
  </si>
  <si>
    <t>MASTERBARI_BRANCH</t>
  </si>
  <si>
    <t>183 /</t>
  </si>
  <si>
    <t>HAZI ABDUS SATTER MATER PLAZA, JAMIRDIA, HOBIRBARI, BHALUKA, MYMENSINGH</t>
  </si>
  <si>
    <t>019 92044183, 017 08160183</t>
  </si>
  <si>
    <t>masterbari@fsiblbd.com</t>
  </si>
  <si>
    <t>105611752</t>
  </si>
  <si>
    <t>160 / 175</t>
  </si>
  <si>
    <t>BROJARAJ NIKETAN, HOLDING NO 62, CHATTO BAZAR, WARD 8, KOTWALI, MYMENSINGH</t>
  </si>
  <si>
    <t>091 64043, 019 92044160, 017 08160160</t>
  </si>
  <si>
    <t>mymensingh@fsiblbd.com</t>
  </si>
  <si>
    <t>091 64033</t>
  </si>
  <si>
    <t>105680688</t>
  </si>
  <si>
    <t>MADHABDI SME BRANCH</t>
  </si>
  <si>
    <t>MADHABDI_SME_BRANCH</t>
  </si>
  <si>
    <t>154 / 068</t>
  </si>
  <si>
    <t>HOLDING NO 606, WARD 8, MADHABDI, NARSINGDI</t>
  </si>
  <si>
    <t>02 9446878-79, 019 92044154, 017 08160154</t>
  </si>
  <si>
    <t>madhabdi@fsiblbd.com</t>
  </si>
  <si>
    <t>02 9446880</t>
  </si>
  <si>
    <t>105780191</t>
  </si>
  <si>
    <t>MRIDHA BHABAN, BAUPHAL HIGH SCHOOL ROAD, PATUAKHALI</t>
  </si>
  <si>
    <t>019 92044230, 017 08160230</t>
  </si>
  <si>
    <t>bauphal@fsiblbd.com</t>
  </si>
  <si>
    <t>105780496</t>
  </si>
  <si>
    <t>194 /</t>
  </si>
  <si>
    <t>JAMAL TALUKDAR VILLA, 262 SAMUDABAD ROAD, GALACHIPA, PATUAKHALI</t>
  </si>
  <si>
    <t>019 38886117, 019 92044194, 017 08160194</t>
  </si>
  <si>
    <t>golachipa@fsiblbd.com</t>
  </si>
  <si>
    <t>105781095</t>
  </si>
  <si>
    <t>144 / 109</t>
  </si>
  <si>
    <t>NATUN BAZAR, SADAR ROAD, PATUAKHALI</t>
  </si>
  <si>
    <t>0441 64287, 64290, 017 08160144</t>
  </si>
  <si>
    <t>patuakhali@fsiblbd.com</t>
  </si>
  <si>
    <t>0441 64290</t>
  </si>
  <si>
    <t>105811936</t>
  </si>
  <si>
    <t>136 / 193</t>
  </si>
  <si>
    <t>99 SHAHEB BAZAR, ZERO POINT, GHORAMARA, BOYALIA, RAJSHAHI</t>
  </si>
  <si>
    <t>0721 775653-4, 019 92044136, 017 08160136</t>
  </si>
  <si>
    <t>rajshahi@fsiblbd.com</t>
  </si>
  <si>
    <t>0721 775647</t>
  </si>
  <si>
    <t>105851459</t>
  </si>
  <si>
    <t>109 / 145</t>
  </si>
  <si>
    <t>AZIZ SUPPER MARKET, STATION ROAD, RANGPUR</t>
  </si>
  <si>
    <t>0521 61736, 019 92044109, 017 08160109</t>
  </si>
  <si>
    <t>rangpur@fsiblbd.com</t>
  </si>
  <si>
    <t>0521 61735</t>
  </si>
  <si>
    <t>105870614</t>
  </si>
  <si>
    <t>MM PALACE, BAZAR GRAM, KUSHULIA, KALIGANJ, SATKHIRA</t>
  </si>
  <si>
    <t>019 92044224, 017 08160224</t>
  </si>
  <si>
    <t>kaliganj@fsiblbd.com</t>
  </si>
  <si>
    <t>8 JULY 2014</t>
  </si>
  <si>
    <t>105871097</t>
  </si>
  <si>
    <t>146 / 109</t>
  </si>
  <si>
    <t>KASHEM PLAZA, ABUL KASHEM ROAD, SATKHIRA</t>
  </si>
  <si>
    <t>0471 65648, 019 92044146, 017 08160146</t>
  </si>
  <si>
    <t>satkhira@fsiblbd.com</t>
  </si>
  <si>
    <t>0471 65679</t>
  </si>
  <si>
    <t>105871213</t>
  </si>
  <si>
    <t>JAMAL COMMERCIAL COMPLEX, SHYAMNAGAR, SATKHIRA</t>
  </si>
  <si>
    <t>017 13375019, 019 92044205, 017 08160205</t>
  </si>
  <si>
    <t>shyamnagar@fsiblbd.com</t>
  </si>
  <si>
    <t>16 APRIL 2013</t>
  </si>
  <si>
    <t>105900434</t>
  </si>
  <si>
    <t>132 / 043</t>
  </si>
  <si>
    <t>HAZI ABDUS SALAM MARKET, ??GOBINDAGANJ, CHATAK, SUNAMGANJ</t>
  </si>
  <si>
    <t>019 92044132, 017 08160132</t>
  </si>
  <si>
    <t>gobindagonj@fsiblbd.com</t>
  </si>
  <si>
    <t>105910079</t>
  </si>
  <si>
    <t>128 / 007</t>
  </si>
  <si>
    <t>MOYEN COMPLEX, HOLDING 640-641, ?WAYEBS B88, WEST AMBARKHANA, SYLHET 3100</t>
  </si>
  <si>
    <t>0821 728202, 019 92044128, 017 08160128</t>
  </si>
  <si>
    <t>amborkhana@fsiblbd.com?</t>
  </si>
  <si>
    <t>0821 2832238</t>
  </si>
  <si>
    <t>105910316</t>
  </si>
  <si>
    <t>175 /</t>
  </si>
  <si>
    <t>HOLDING 1858, MAIN ROAD, WARD 6, ?BEANIBAZAR, SYLHET</t>
  </si>
  <si>
    <t>08223 56303, 019 92044175, 017 08160175</t>
  </si>
  <si>
    <t>beanibazar@fsiblbd.com</t>
  </si>
  <si>
    <t>08223 56302</t>
  </si>
  <si>
    <t>105910437</t>
  </si>
  <si>
    <t>105 / 043</t>
  </si>
  <si>
    <t>HAJI ABDUL KHALIQUE SUPER MARKET, NATUN BAZAR, ??RAMPASHA ROAD, BISWANATH, SYLHET?</t>
  </si>
  <si>
    <t>08224 56014, 017 13375081, 017 08160105</t>
  </si>
  <si>
    <t>biswanath@fsiblbd.com</t>
  </si>
  <si>
    <t>08224 56014</t>
  </si>
  <si>
    <t>105913555</t>
  </si>
  <si>
    <t>111 / 355</t>
  </si>
  <si>
    <t>FSEBBDDHSYL</t>
  </si>
  <si>
    <t>SALIM MANSION, MENDIBAGH C/A, BISHWA ROAD, ASIAN HIGHWAY, SYLHET</t>
  </si>
  <si>
    <t>0821 717430, 019 92044111, 017 08160111</t>
  </si>
  <si>
    <t>sylhet@fsiblbd.com</t>
  </si>
  <si>
    <t>0821 2833600</t>
  </si>
  <si>
    <t>105913850</t>
  </si>
  <si>
    <t>TALTOLA BRANCH</t>
  </si>
  <si>
    <t>TALTOLA_BRANCH</t>
  </si>
  <si>
    <t>153 / 385</t>
  </si>
  <si>
    <t>PROBAHA 17, TALTOLA, SYLHET 3100</t>
  </si>
  <si>
    <t>0821 723136, 019 92044153, 017 08160153</t>
  </si>
  <si>
    <t>taltola@fsiblbd.com</t>
  </si>
  <si>
    <t>0821 723145?</t>
  </si>
  <si>
    <t>HABIB_BANK_LIMITED</t>
  </si>
  <si>
    <t>HABIB BANK LIMITED</t>
  </si>
  <si>
    <t>110154541</t>
  </si>
  <si>
    <t>CHITTAGONG BRANCH</t>
  </si>
  <si>
    <t>CHITTAGONG_BRANCH</t>
  </si>
  <si>
    <t>HABBBDDH0CH</t>
  </si>
  <si>
    <t>1209 LALDIGHI EAST, CHITTAGONG</t>
  </si>
  <si>
    <t>031 634111, 611394, 611408</t>
  </si>
  <si>
    <t>hblchittagong@hbl.com</t>
  </si>
  <si>
    <t>031 2517963</t>
  </si>
  <si>
    <t>110261726</t>
  </si>
  <si>
    <t>HABBBDDH</t>
  </si>
  <si>
    <t>SOUTH AVENUE TOWER, 7 GULSHAN AVENUE, ROAD 3, GULSHAN 1, DHAKA 1212</t>
  </si>
  <si>
    <t>02 9883505, 9888492, 9884954</t>
  </si>
  <si>
    <t>hblgulshan@hbl.com</t>
  </si>
  <si>
    <t>02 9883064</t>
  </si>
  <si>
    <t>110262538</t>
  </si>
  <si>
    <t>SUMONA GANI TRADE CENTER, 2 PANTHOPATH, DHAKA 1215</t>
  </si>
  <si>
    <t>02 9140799, 9140822, 9140966</t>
  </si>
  <si>
    <t>hblkarwanbazar@hbl.com</t>
  </si>
  <si>
    <t>02 9141366</t>
  </si>
  <si>
    <t>110274247</t>
  </si>
  <si>
    <t>65 DILKUSHA C/A, DHAKA 1000</t>
  </si>
  <si>
    <t>02 9563043-45, 9555092</t>
  </si>
  <si>
    <t>hblmotijheel@hbl.com</t>
  </si>
  <si>
    <t>02 9561784</t>
  </si>
  <si>
    <t>110274818</t>
  </si>
  <si>
    <t>2/1 ANANDA MOHAN BASHAK LANE, NAYABAZAR, DHAKA 1100</t>
  </si>
  <si>
    <t>02 7393165, 7392788</t>
  </si>
  <si>
    <t>hblnayabazar@hbl.com</t>
  </si>
  <si>
    <t>110264631</t>
  </si>
  <si>
    <t>PLOT 8, SECTOR 11, SONARGAON JANAPATH, UTTARA, DHAKA 1230</t>
  </si>
  <si>
    <t>02 8991463, 8991461, 8991465</t>
  </si>
  <si>
    <t>hbluttara@hbl.com</t>
  </si>
  <si>
    <t>02 8991467</t>
  </si>
  <si>
    <t>110270009</t>
  </si>
  <si>
    <t>110913553</t>
  </si>
  <si>
    <t>NEW GOLDEN CITY COMPLEX, 683 EAST ZINDABAZAR ROAD, SYLHET 3100</t>
  </si>
  <si>
    <t>0821 718685, 715013, 2830580</t>
  </si>
  <si>
    <t>hblsylhet@hbl.com</t>
  </si>
  <si>
    <t>0821 2830579</t>
  </si>
  <si>
    <t>HONGKONG_AND_SHANGHAI_BANKING_CORP</t>
  </si>
  <si>
    <t>HONGKONG AND SHANGHAI BANKING CORP</t>
  </si>
  <si>
    <t>115150137</t>
  </si>
  <si>
    <t>AGRABAD</t>
  </si>
  <si>
    <t>115260106</t>
  </si>
  <si>
    <t>AMANAH</t>
  </si>
  <si>
    <t>115262988</t>
  </si>
  <si>
    <t>MIRPUR</t>
  </si>
  <si>
    <t>115271274</t>
  </si>
  <si>
    <t>CHAWK BAZAR</t>
  </si>
  <si>
    <t>CHAWK_BAZAR</t>
  </si>
  <si>
    <t>115270004</t>
  </si>
  <si>
    <t>ICB_ISLAMIC_BANK_LIMITED</t>
  </si>
  <si>
    <t>ICB ISLAMIC BANK LIMITED</t>
  </si>
  <si>
    <t>230060281</t>
  </si>
  <si>
    <t>BBSHBDDH</t>
  </si>
  <si>
    <t>67/65 KATPATTI ROAD, BARISAL</t>
  </si>
  <si>
    <t>01811408282, 0431 54141, 62474</t>
  </si>
  <si>
    <t>230150133</t>
  </si>
  <si>
    <t>013 / 013</t>
  </si>
  <si>
    <t>BBSHBDDH003</t>
  </si>
  <si>
    <t>BASHER SQUARE, 108 AGRABAD C/A, CHITTAGONG</t>
  </si>
  <si>
    <t>01819343494, 031 710511, 715967</t>
  </si>
  <si>
    <t>230153648</t>
  </si>
  <si>
    <t>364 / 364</t>
  </si>
  <si>
    <t>829 JUBILEE ROAD, CHITTAGONG</t>
  </si>
  <si>
    <t>01811408270, 031 615499</t>
  </si>
  <si>
    <t>230154276</t>
  </si>
  <si>
    <t>BBSHBDDH005</t>
  </si>
  <si>
    <t>CHOWDHURY MARKET, 276 KHATUNGANJ, CHITTAGONG</t>
  </si>
  <si>
    <t>01811408269, 031 637227</t>
  </si>
  <si>
    <t>230155354</t>
  </si>
  <si>
    <t>535 / 535</t>
  </si>
  <si>
    <t>RAJAMINA MARKET, 93 MURADPUR CDA AVENUE, CHITTAGONG</t>
  </si>
  <si>
    <t>01811408271, 031 652071</t>
  </si>
  <si>
    <t>230270550</t>
  </si>
  <si>
    <t>055 / 055</t>
  </si>
  <si>
    <t>BBSHBDDH029</t>
  </si>
  <si>
    <t>21 ARMANIAN STREET, BABUBAZAR, DHAKA</t>
  </si>
  <si>
    <t>01833327722, 02 7316579, 7316574</t>
  </si>
  <si>
    <t>230260436</t>
  </si>
  <si>
    <t>043 / 043</t>
  </si>
  <si>
    <t>AWAL CENTRE, 34 KEMAL ATARTURK AVENUE, DHAKA</t>
  </si>
  <si>
    <t>01811408258, 02 9884176, 9884137</t>
  </si>
  <si>
    <t>230270884</t>
  </si>
  <si>
    <t>088 / 088</t>
  </si>
  <si>
    <t>40 ABDULLAH SARKER LANE, NORTH SOUTH ROAD, DHAKA</t>
  </si>
  <si>
    <t>01811408259, 02 9562999, 9563007</t>
  </si>
  <si>
    <t>230261185</t>
  </si>
  <si>
    <t>118 / 118</t>
  </si>
  <si>
    <t>24/C SHEIKH KAMAL SARANI, ROAD OLD 27 (NEW 16), DHANMONDI, DHAKA 1209</t>
  </si>
  <si>
    <t>01811408261, 02 9134914, 9126059</t>
  </si>
  <si>
    <t>230261727</t>
  </si>
  <si>
    <t>BBSHBDDH025</t>
  </si>
  <si>
    <t>48 SOUTH AVENUE, GULSHAN, DHAKA</t>
  </si>
  <si>
    <t>01811418401, 02 8828296, 8821277</t>
  </si>
  <si>
    <t>230262142</t>
  </si>
  <si>
    <t>IDB BHABAN BRANCH</t>
  </si>
  <si>
    <t>IDB_BHABAN_BRANCH</t>
  </si>
  <si>
    <t>214 / 214</t>
  </si>
  <si>
    <t>AGARGOAN, BEGUM ROKEYA SARANI, DHAKA</t>
  </si>
  <si>
    <t>01811408263, 02 9183159, 9183160</t>
  </si>
  <si>
    <t>230272808</t>
  </si>
  <si>
    <t>280 / 280</t>
  </si>
  <si>
    <t>4,4/5,5, GULBADAN SUPER MARKETMOULVIBAZAR, DHAKA</t>
  </si>
  <si>
    <t>01811408258, 02 7310339, 7313707</t>
  </si>
  <si>
    <t>230272987</t>
  </si>
  <si>
    <t>298 / 298</t>
  </si>
  <si>
    <t>9 ISLAMPUR ROAD, DHAKA</t>
  </si>
  <si>
    <t>01811408260, 02 7390342, 57391485</t>
  </si>
  <si>
    <t>230262539</t>
  </si>
  <si>
    <t>253 / 253</t>
  </si>
  <si>
    <t>10 KAZI NAZRUL ISLAM AVENUE, KARWAN BAZAR, DHAKA</t>
  </si>
  <si>
    <t>01811418397, 02 812922, 8130394</t>
  </si>
  <si>
    <t>230263075</t>
  </si>
  <si>
    <t>MIRPUR ROAD BRANCH</t>
  </si>
  <si>
    <t>MIRPUR_ROAD_BRANCH</t>
  </si>
  <si>
    <t>307 / 307</t>
  </si>
  <si>
    <t>33 MIRPUR ROAD, DHAKA</t>
  </si>
  <si>
    <t>01811408257, 02 8614105, 8613475</t>
  </si>
  <si>
    <t>230274756</t>
  </si>
  <si>
    <t>475 / 475</t>
  </si>
  <si>
    <t>BBSHBDDH030</t>
  </si>
  <si>
    <t>223 NAWABPUR ROAD, DHAKA</t>
  </si>
  <si>
    <t>01811408262, 02 9562790, 7167143</t>
  </si>
  <si>
    <t>230275355</t>
  </si>
  <si>
    <t>BBSHBDDH002</t>
  </si>
  <si>
    <t>17 MOTIJHEEL COMMERCIAL AREA, DHAKA 1000</t>
  </si>
  <si>
    <t>02 9566464, 9560940, 01811408251</t>
  </si>
  <si>
    <t>230276859</t>
  </si>
  <si>
    <t>685 / 685</t>
  </si>
  <si>
    <t>BBSHBDDH006</t>
  </si>
  <si>
    <t>35/C NAYA PALTAN, VIP ROAD, DHAKA 1000</t>
  </si>
  <si>
    <t>01811418396, 02 9352863, 8314486</t>
  </si>
  <si>
    <t>230264632</t>
  </si>
  <si>
    <t>UTTARA</t>
  </si>
  <si>
    <t>230270000</t>
  </si>
  <si>
    <t>230300525</t>
  </si>
  <si>
    <t>83/1 PANCHGACHIA ROAD, FENI</t>
  </si>
  <si>
    <t>01811408272, 0331 74065</t>
  </si>
  <si>
    <t>230360615</t>
  </si>
  <si>
    <t>061 / 061</t>
  </si>
  <si>
    <t>ENEM PLAZA, KALIBARI ROAD, HABIGANJ</t>
  </si>
  <si>
    <t>01811408277, 0831 61557</t>
  </si>
  <si>
    <t>230410310</t>
  </si>
  <si>
    <t>BENAPOLE BAZAR</t>
  </si>
  <si>
    <t>BENAPOLE_BAZAR</t>
  </si>
  <si>
    <t>230410949</t>
  </si>
  <si>
    <t>094 / 094</t>
  </si>
  <si>
    <t>25 RN ROAD, JESSORE</t>
  </si>
  <si>
    <t>01811408279, 0421 68529, 67653</t>
  </si>
  <si>
    <t>230411630</t>
  </si>
  <si>
    <t>163 / 163</t>
  </si>
  <si>
    <t>NOAPARA BAZAR, JESSORE</t>
  </si>
  <si>
    <t>01811408280, 0422 2394</t>
  </si>
  <si>
    <t>230471546</t>
  </si>
  <si>
    <t>BBSHBDDH015</t>
  </si>
  <si>
    <t>TAYAMUN CENTRE, 181 KHAN-E-SABUR ROAD, KHULNA</t>
  </si>
  <si>
    <t>01811408278, 041 720043, 722046</t>
  </si>
  <si>
    <t>230581186</t>
  </si>
  <si>
    <t>10 COURT ROAD, CHOWMUHANI, MOULVIBAZAR</t>
  </si>
  <si>
    <t>01811408274, 0861 53153, 62128</t>
  </si>
  <si>
    <t>230641189</t>
  </si>
  <si>
    <t>KR RAHMAN SUPER MARKET, NAOGAON</t>
  </si>
  <si>
    <t>01811408284, 0741 62774</t>
  </si>
  <si>
    <t>230671188</t>
  </si>
  <si>
    <t>BBSHBDDH008</t>
  </si>
  <si>
    <t>15 SM MALEH ROAD, NARAYANGANJ</t>
  </si>
  <si>
    <t>01811408266, 02 7630477, 7630276</t>
  </si>
  <si>
    <t>230680858</t>
  </si>
  <si>
    <t>085 / 085</t>
  </si>
  <si>
    <t>SHARIF MANSION, 163/3 C &amp;amp; B ROAD, NARSINGDI</t>
  </si>
  <si>
    <t>01811408267, 0628 62194</t>
  </si>
  <si>
    <t>230811935</t>
  </si>
  <si>
    <t>120 NATORE ROAD, SHAHEB BAZAR, RAJSHAHI</t>
  </si>
  <si>
    <t>01811408283, 0721 774346, 774599</t>
  </si>
  <si>
    <t>230910315</t>
  </si>
  <si>
    <t>031 / 031</t>
  </si>
  <si>
    <t>NATIONAL MARKET, MAIN ROAD, BEANIBAZAR, SYLHET</t>
  </si>
  <si>
    <t>01811408275, 08223 56152</t>
  </si>
  <si>
    <t>230910465</t>
  </si>
  <si>
    <t>046 / 046</t>
  </si>
  <si>
    <t>PLOT 9545, BISWANATH BAZAR, SYLHET</t>
  </si>
  <si>
    <t>01811408276, 08224 56204</t>
  </si>
  <si>
    <t>230913554</t>
  </si>
  <si>
    <t>BBSHBDDH007</t>
  </si>
  <si>
    <t>SYLHET COLLECTORATE MOSJID BUILDING, PLOT NO 7769 &amp;amp; 5741, ZINDABAZAR, SYLHET 3100</t>
  </si>
  <si>
    <t>01811408273, 0821 713469, 714197</t>
  </si>
  <si>
    <t>INTERNATIONAL_FINANCE_INVEST_AND_COMMERCE_BANK_LIMITED</t>
  </si>
  <si>
    <t>INTERNATIONAL FINANCE INVEST AND COMMERCE BANK LIMITED</t>
  </si>
  <si>
    <t>120060283</t>
  </si>
  <si>
    <t>IFICBDDH</t>
  </si>
  <si>
    <t>95 SADAR ROAD, BARISAL 8200</t>
  </si>
  <si>
    <t>0431 64013, 017 14067409, 016 78010224</t>
  </si>
  <si>
    <t>0431 64305</t>
  </si>
  <si>
    <t>21 NOVEMBER 1991</t>
  </si>
  <si>
    <t>120100372</t>
  </si>
  <si>
    <t>IFICBDDH082</t>
  </si>
  <si>
    <t>MADHU METRO TOWER, 56/64 SATMATHA, KAZI NAZRUL ISLAM SARAK, BOGRA</t>
  </si>
  <si>
    <t>051 66080, 017 13229850, 016 78010213</t>
  </si>
  <si>
    <t>051 66080</t>
  </si>
  <si>
    <t>1 AUGUST 1986</t>
  </si>
  <si>
    <t>120120107</t>
  </si>
  <si>
    <t>SHERIA SAYED TOWER, POST OFFICE ROAD, ASHUGANJ BAZAR, BRAHMANBARIA</t>
  </si>
  <si>
    <t>08528 74621, 017 30709794, 017 55520716</t>
  </si>
  <si>
    <t>08528 74623</t>
  </si>
  <si>
    <t>29 DECEMBER 2010</t>
  </si>
  <si>
    <t>120120431</t>
  </si>
  <si>
    <t>4 COURT ROAD, BRAHMANBARIA</t>
  </si>
  <si>
    <t>0851 58655, 017 11439720, 016 78010096</t>
  </si>
  <si>
    <t>0851 58552</t>
  </si>
  <si>
    <t>3 JUNE 1986</t>
  </si>
  <si>
    <t>120700251</t>
  </si>
  <si>
    <t>21 DAUDPUR MADRASHA ROAD, CHAPAI NAWABGANJ</t>
  </si>
  <si>
    <t>0781 52081, 017 13202488, 016 78010214</t>
  </si>
  <si>
    <t>0781 52081</t>
  </si>
  <si>
    <t>9 APRIL 1997</t>
  </si>
  <si>
    <t>120150135</t>
  </si>
  <si>
    <t>IFICBDDH030</t>
  </si>
  <si>
    <t>30 AGRABAD C/A, CHITTAGONG</t>
  </si>
  <si>
    <t>031 710531, 712347, 016 78010085</t>
  </si>
  <si>
    <t>031 710078</t>
  </si>
  <si>
    <t>21 JULY 1984</t>
  </si>
  <si>
    <t>120150148</t>
  </si>
  <si>
    <t>ALANKAR MORE BRANCH</t>
  </si>
  <si>
    <t>ALANKAR_MORE_BRANCH</t>
  </si>
  <si>
    <t>014</t>
  </si>
  <si>
    <t>ALANKAR MORE, PAHARTALI, CHITTAGONG</t>
  </si>
  <si>
    <t>031 2773116, 017 30709795, 017 55520715</t>
  </si>
  <si>
    <t>031 2773117</t>
  </si>
  <si>
    <t>120151484</t>
  </si>
  <si>
    <t>1005/2/1872 CDA AVENUE, EAST NASIRABAD, CHITTAGONG</t>
  </si>
  <si>
    <t>031 2555919, 017 30329087, 016 78018365</t>
  </si>
  <si>
    <t>031 2555918</t>
  </si>
  <si>
    <t>13 DECEMBER 2009</t>
  </si>
  <si>
    <t>120151934</t>
  </si>
  <si>
    <t>SHAHZADA MARKET, 68 COLLEGE ROAD, CHAWKBAZAR, CHITTAGONG</t>
  </si>
  <si>
    <t>031 621160, 017 13229844, 016 78010091</t>
  </si>
  <si>
    <t>031 611177</t>
  </si>
  <si>
    <t>26 OCTOBER 1991</t>
  </si>
  <si>
    <t>120152746</t>
  </si>
  <si>
    <t>HAQUE MARKET, COLLEGE ROAD, FATIKCHHARI, CHITTAGONG</t>
  </si>
  <si>
    <t>03022 56202, 017 13423765, 016 78010094</t>
  </si>
  <si>
    <t>03022 56203</t>
  </si>
  <si>
    <t>120153224</t>
  </si>
  <si>
    <t>POPULAR SUPER MARKET, HATHAZARI, CHITTAGONG</t>
  </si>
  <si>
    <t>031 2601430, 017 13229843, 016 78010090</t>
  </si>
  <si>
    <t>031 2601193</t>
  </si>
  <si>
    <t>27 DECEMBER 1988</t>
  </si>
  <si>
    <t>120154278</t>
  </si>
  <si>
    <t>IFICBDDH031</t>
  </si>
  <si>
    <t>249-250 KHATUNGANJ ROAD, CHITTAGONG</t>
  </si>
  <si>
    <t>031 612904, 619809, 613056, 632288</t>
  </si>
  <si>
    <t>9 DECEMBER 1983</t>
  </si>
  <si>
    <t>120154694</t>
  </si>
  <si>
    <t>MADAM BIBIR HAT BRANCH</t>
  </si>
  <si>
    <t>MADAM_BIBIR_HAT_BRANCH</t>
  </si>
  <si>
    <t>MADAM BIBIR HAT, BHATIARY, SHITAKUNDU, CHITTAGONG</t>
  </si>
  <si>
    <t>031 2780919, 017 30317373, 016 78018366</t>
  </si>
  <si>
    <t>031 2780921</t>
  </si>
  <si>
    <t>120157154</t>
  </si>
  <si>
    <t>SHAH AMANAT MARKET BRANCH</t>
  </si>
  <si>
    <t>SHAH_AMANAT_MARKET_BRANCH</t>
  </si>
  <si>
    <t>715</t>
  </si>
  <si>
    <t>SHAH AMANAT MUNICIPAL SUPER MARKET, 624/A REAZUDDIN BAZAR, CHITTAGONG</t>
  </si>
  <si>
    <t>031 614244, 017 13229845, 016 78010092</t>
  </si>
  <si>
    <t>031 614244</t>
  </si>
  <si>
    <t>13 DECEMBER 1992</t>
  </si>
  <si>
    <t>120157275</t>
  </si>
  <si>
    <t>SHEIKH MARKET</t>
  </si>
  <si>
    <t>SHEIKH_MARKET</t>
  </si>
  <si>
    <t>727</t>
  </si>
  <si>
    <t>120157420</t>
  </si>
  <si>
    <t>AZMAL ARCADE, 1806 SK MUJIB ROAD, PATHANTULY, CHITTAGONG</t>
  </si>
  <si>
    <t>031 713981, 017 14031228, 016 78010093</t>
  </si>
  <si>
    <t>031 713981</t>
  </si>
  <si>
    <t>28 NOVEMBER 1994</t>
  </si>
  <si>
    <t>120157633</t>
  </si>
  <si>
    <t>TERRI BAZAR</t>
  </si>
  <si>
    <t>TERRI_BAZAR</t>
  </si>
  <si>
    <t>763</t>
  </si>
  <si>
    <t>120190887</t>
  </si>
  <si>
    <t>AZIZ PLAZA, NABIABAD, CHANDINA BAZAR, COMILLA</t>
  </si>
  <si>
    <t>08022 56440, 017 55543504</t>
  </si>
  <si>
    <t>08022 56441</t>
  </si>
  <si>
    <t>28 NOVEMBER 2011</t>
  </si>
  <si>
    <t>120191152</t>
  </si>
  <si>
    <t>190-193 RAJGANJ CROSSING, CHATIPATTY, COMILLA</t>
  </si>
  <si>
    <t>081 68662, 017 13229812, 016 78010097</t>
  </si>
  <si>
    <t>081 71402</t>
  </si>
  <si>
    <t>4 AUGUST 1986</t>
  </si>
  <si>
    <t>120191428</t>
  </si>
  <si>
    <t>15 WEST NABIPUR, COMPANIGANJ, MURADNAGAR, COMILLA</t>
  </si>
  <si>
    <t>0802 659123, 017 14080176, 016 78010098</t>
  </si>
  <si>
    <t>0802 659037</t>
  </si>
  <si>
    <t>20 NOVEMBER 2003</t>
  </si>
  <si>
    <t>120192148</t>
  </si>
  <si>
    <t>SURUZZAMAN TOWER, GOURIPUR BAZAR, COMILLA</t>
  </si>
  <si>
    <t>017 55658705</t>
  </si>
  <si>
    <t>31 MARCH 2013</t>
  </si>
  <si>
    <t>120194120</t>
  </si>
  <si>
    <t>MIAH BAZAR BRANCH</t>
  </si>
  <si>
    <t>MIAH_BAZAR_BRANCH</t>
  </si>
  <si>
    <t>WAHAB MARKET, JOGOMOHONPUR, UJIRPUR, MIAH BAZAR, CHAUDDAGRAM, COMILLA</t>
  </si>
  <si>
    <t>017 66667605, 017 66667596</t>
  </si>
  <si>
    <t>21 DECEMBER 2013</t>
  </si>
  <si>
    <t>120220252</t>
  </si>
  <si>
    <t>120260225</t>
  </si>
  <si>
    <t>RIFAT SQUARE PLAZA, JAMGORA, GAZIR CHAT ASHULIA, SAVAR, DHAKA</t>
  </si>
  <si>
    <t>02 7788411, 017 13423767, 016 78010069</t>
  </si>
  <si>
    <t>02 7788412</t>
  </si>
  <si>
    <t>26 NOVEMBER 2007</t>
  </si>
  <si>
    <t>120260438</t>
  </si>
  <si>
    <t>GLOWING STONE, HOUSE 54, ROAD 11, BLOCK CBANANI, DHAKA 1213</t>
  </si>
  <si>
    <t>02 9821757, 017 30019781, 016 78010070</t>
  </si>
  <si>
    <t>02 9821756</t>
  </si>
  <si>
    <t>26 FEBRUARY 2008</t>
  </si>
  <si>
    <t>120270886</t>
  </si>
  <si>
    <t>IFICBDDH011</t>
  </si>
  <si>
    <t>29/1 NAZIRA BAZAR LANE, BANGSHAL, DHAKA</t>
  </si>
  <si>
    <t>02 9563679, 017 13229830, 016 78010058</t>
  </si>
  <si>
    <t>02 9580438</t>
  </si>
  <si>
    <t>27 NOVEMBER 1988</t>
  </si>
  <si>
    <t>120260559</t>
  </si>
  <si>
    <t>HOUSE NO 160, ROAD 8, BLOCK F, BASHUNDHARA R/A, DHAKA</t>
  </si>
  <si>
    <t>02 8417767, 017 55543548, 016 78010046</t>
  </si>
  <si>
    <t>02 8417766</t>
  </si>
  <si>
    <t>31 JULY 2011</t>
  </si>
  <si>
    <t>120261158</t>
  </si>
  <si>
    <t>DHAMRAI SME BRANCH</t>
  </si>
  <si>
    <t>DHAMRAI_SME_BRANCH</t>
  </si>
  <si>
    <t>HAJI MONIR PLAZA, HOLDING 24, DHAMRAI BAZAR, DHAKA</t>
  </si>
  <si>
    <t>02 7730935, 017 30709797, 016 78018369</t>
  </si>
  <si>
    <t>02 7730935</t>
  </si>
  <si>
    <t>9 DECEMBER 2010</t>
  </si>
  <si>
    <t>120261187</t>
  </si>
  <si>
    <t>IFICBDDH006</t>
  </si>
  <si>
    <t>ROYAL PLAZA, HOUSE 8A, ROAD 4, MIRPUR ROAD, DHANMONDI, DHAKA 1205</t>
  </si>
  <si>
    <t>02 8628381, 8628379, 9660320</t>
  </si>
  <si>
    <t>02 9615861</t>
  </si>
  <si>
    <t>11 OCTOBER 1986</t>
  </si>
  <si>
    <t>120271843</t>
  </si>
  <si>
    <t>AL-NOOR STEEL MARKET, 25 GOALGHAT LANE, DHOLAIKHAL NEW ROAD, DHAKA</t>
  </si>
  <si>
    <t>02 9556004, 9515043, 017 30318278</t>
  </si>
  <si>
    <t>22 JULY 2013</t>
  </si>
  <si>
    <t>120271427</t>
  </si>
  <si>
    <t>AL-MADINA SHOPPING COMPLEX, GOBINDAPUR BAZAR, DANIA, JATRABARI, DHAKA</t>
  </si>
  <si>
    <t>02 7546268, 017 30332034, 016 78018352</t>
  </si>
  <si>
    <t>02 7546218</t>
  </si>
  <si>
    <t>28 DECEMBER 2008</t>
  </si>
  <si>
    <t>120261332</t>
  </si>
  <si>
    <t>IFICBDDH014</t>
  </si>
  <si>
    <t>73/1 ELEPHANT ROAD, DHAKA</t>
  </si>
  <si>
    <t>02 9676151-2, 017 11431981, 016 78010059</t>
  </si>
  <si>
    <t>02 8613361</t>
  </si>
  <si>
    <t>30 NOVEMBER 1989</t>
  </si>
  <si>
    <t>120272297</t>
  </si>
  <si>
    <t>FEDERATION BRANCH</t>
  </si>
  <si>
    <t>FEDERATION_BRANCH</t>
  </si>
  <si>
    <t>IFICBDDH008</t>
  </si>
  <si>
    <t>FBCCI BUILDING, 60 MOTIJHEEL C/A, DHAKA 1000</t>
  </si>
  <si>
    <t>02 9561141-3, 017 55642263, 016 78010051</t>
  </si>
  <si>
    <t>02 9567488</t>
  </si>
  <si>
    <t>28 AUGUST 1987</t>
  </si>
  <si>
    <t>120260120</t>
  </si>
  <si>
    <t>GABTOLI BRANCH</t>
  </si>
  <si>
    <t>GABTOLI_BRANCH</t>
  </si>
  <si>
    <t>259 BAGBARI, GABTOLI, DARUS SALAM, DHAKA</t>
  </si>
  <si>
    <t>02 902736, 017 55620829</t>
  </si>
  <si>
    <t>02 902737</t>
  </si>
  <si>
    <t>26 NOVEMBER 2012</t>
  </si>
  <si>
    <t>120261640</t>
  </si>
  <si>
    <t>PLOT 10, GARIB-E-NEWAZ AVENUE, SECTOR 11, UTTARA, DHAKA</t>
  </si>
  <si>
    <t>02 8991306, 017 66667609</t>
  </si>
  <si>
    <t>31 AUGUST 2014</t>
  </si>
  <si>
    <t>120261729</t>
  </si>
  <si>
    <t>IFICBDDH002</t>
  </si>
  <si>
    <t>02 8814912, 018 19203934, 016 78010056</t>
  </si>
  <si>
    <t>02 8826682</t>
  </si>
  <si>
    <t>27 JANUARY 1986</t>
  </si>
  <si>
    <t>120272989</t>
  </si>
  <si>
    <t>IFICBDDH005</t>
  </si>
  <si>
    <t>PARADISE COMPLEX, 104 ISLAMPUR ROAD, DHAKA</t>
  </si>
  <si>
    <t>02 57391607, 017 13229829, 016 78010057</t>
  </si>
  <si>
    <t>02 57391240</t>
  </si>
  <si>
    <t>26 DECEMBER 1984</t>
  </si>
  <si>
    <t>120262531</t>
  </si>
  <si>
    <t>IFICBDDH017</t>
  </si>
  <si>
    <t>PETRO CENTRE BUILDING, 3 KARWAN BAZAR, DHAKA</t>
  </si>
  <si>
    <t>02 8115435</t>
  </si>
  <si>
    <t>120273641</t>
  </si>
  <si>
    <t>BIKRAMPUR PLAZA, SHAHID DELWAR HOSSAIN ROAD, PURBA AGANAGAR, KERANIGANJ, DHAKA</t>
  </si>
  <si>
    <t>02 7762738, 017 30019788, 016 78018354</t>
  </si>
  <si>
    <t>02 7762736</t>
  </si>
  <si>
    <t>30 NOVEMBER 2008</t>
  </si>
  <si>
    <t>120273746</t>
  </si>
  <si>
    <t>FR TOWER, KONAPARA, MATUAIL, DEMRA, DHAKA</t>
  </si>
  <si>
    <t>02 7550481, 017 55658701, 017 66667598</t>
  </si>
  <si>
    <t>17 DECEMBER 2012</t>
  </si>
  <si>
    <t>120262836</t>
  </si>
  <si>
    <t>HOUSE 405E, ROAD 16(NEW) 27(OLD), DHANMONDI R/A, DHAKA</t>
  </si>
  <si>
    <t>02 9103830, 017 30097279, 016 78010064</t>
  </si>
  <si>
    <t>02 8150801</t>
  </si>
  <si>
    <t>12 JANUARY 2002</t>
  </si>
  <si>
    <t>120273946</t>
  </si>
  <si>
    <t>1 MALIBAGH CHOWDHURY PARA, DIT ROAD, DHAKA</t>
  </si>
  <si>
    <t>02 9343796, 017 13011054, 016 78010062</t>
  </si>
  <si>
    <t>02 9362737</t>
  </si>
  <si>
    <t>7 DECEMBER 1992</t>
  </si>
  <si>
    <t>120274040</t>
  </si>
  <si>
    <t>MEGHOLA BAZAR BRANCH</t>
  </si>
  <si>
    <t>MEGHOLA_BAZAR_BRANCH</t>
  </si>
  <si>
    <t>AFSAR PLAZA, MEGHOLA BAZAR, DOHAR, DHAKA</t>
  </si>
  <si>
    <t>017 66667604</t>
  </si>
  <si>
    <t>23 NOVEMBER 2013</t>
  </si>
  <si>
    <t>120262986</t>
  </si>
  <si>
    <t>EZAZ TOWER, HOLDING NO 145, BEGUM ROKEYA SARANI, MIRPUR, DHAKA</t>
  </si>
  <si>
    <t>02 8031790, 017 13109105, 016 78018355</t>
  </si>
  <si>
    <t>120263198</t>
  </si>
  <si>
    <t>SIDDIQUE TOWER, HOLDING NO 49, AK KHANDAKER SARAK, GULSHAN, DHAKA</t>
  </si>
  <si>
    <t>02 9899503, 017 30332033, 016 78018356</t>
  </si>
  <si>
    <t>02 9899503</t>
  </si>
  <si>
    <t>120263280</t>
  </si>
  <si>
    <t>RING TOWER, PLOT NO 16/B, BLOCK F, PROBAL HOUSING, RING ROAD, ADABOR, DHAKA 1207</t>
  </si>
  <si>
    <t>02 9104472, 017 55543540</t>
  </si>
  <si>
    <t>02 9104473</t>
  </si>
  <si>
    <t>5 DECEMBER 2011</t>
  </si>
  <si>
    <t>120274240</t>
  </si>
  <si>
    <t>IFICBDDH001</t>
  </si>
  <si>
    <t>ISLAM CHAMBER, 125/A MOTIJHEEL C/A, DHAKA 1000</t>
  </si>
  <si>
    <t>02 9565215-8, 7111934, 7111923-26</t>
  </si>
  <si>
    <t>120274424</t>
  </si>
  <si>
    <t>IFICBDDH004</t>
  </si>
  <si>
    <t>6/1, MOKIM KATRA, MOULVIBAZAR, DHAKA</t>
  </si>
  <si>
    <t>02 7316891, 017 13038736, 016 78010052</t>
  </si>
  <si>
    <t>02 7315934</t>
  </si>
  <si>
    <t>8 MARCH 1984</t>
  </si>
  <si>
    <t>120274703</t>
  </si>
  <si>
    <t>NAWABGANJ SME BRANCH</t>
  </si>
  <si>
    <t>NAWABGANJ_SME_BRANCH</t>
  </si>
  <si>
    <t>470</t>
  </si>
  <si>
    <t>NAWABGANJ ADHUNIK BANIJJIK BIPONI, KOLAKOPA, NAWABGANJ, DHAKA</t>
  </si>
  <si>
    <t>02 7765230, 017 30338570</t>
  </si>
  <si>
    <t>02 7765229</t>
  </si>
  <si>
    <t>14 JUNE 2010</t>
  </si>
  <si>
    <t>120274758</t>
  </si>
  <si>
    <t>475</t>
  </si>
  <si>
    <t>IFICBDDH029</t>
  </si>
  <si>
    <t>BAREK PLAZA, 63 NAWABPUR ROAD, SUTRAPUR, DHAKA</t>
  </si>
  <si>
    <t>02 9561036, 017 13064289, 017 13229826</t>
  </si>
  <si>
    <t>02 7125268</t>
  </si>
  <si>
    <t>28 NOVEMBER 2005</t>
  </si>
  <si>
    <t>120274879</t>
  </si>
  <si>
    <t>NAYA PALTAN BRANCH</t>
  </si>
  <si>
    <t>NAYA_PALTAN_BRANCH</t>
  </si>
  <si>
    <t>487</t>
  </si>
  <si>
    <t>ORCHARD FARUQUE TOWER, 72 NAYA PALTAN, DHAKA 1000</t>
  </si>
  <si>
    <t>02 8189991, 017 13229832, 016 78010061</t>
  </si>
  <si>
    <t>02 8317263</t>
  </si>
  <si>
    <t>22 OCTOBER 1991</t>
  </si>
  <si>
    <t>120275052</t>
  </si>
  <si>
    <t>NORTH BROOK HALL BRANCH</t>
  </si>
  <si>
    <t>NORTH_BROOK_HALL_BRANCH</t>
  </si>
  <si>
    <t>505</t>
  </si>
  <si>
    <t>58-60 NORTH BROOK HALL ROAD, SUTRAPUR, DHAKA 1100</t>
  </si>
  <si>
    <t>02 958113, 017 13011719, 016 78010067</t>
  </si>
  <si>
    <t>02 9580748</t>
  </si>
  <si>
    <t>17 DECEMBER 2003</t>
  </si>
  <si>
    <t>120263585</t>
  </si>
  <si>
    <t>KASHEM CHAMBER, COMMERCIAL PLOT 11, MAIN ROAD 3, SECTION 7, PALLABI, DHAKA</t>
  </si>
  <si>
    <t>02 9016441, 017 13035111, 016 78010065</t>
  </si>
  <si>
    <t>02 9001276</t>
  </si>
  <si>
    <t>10 DECEMBER 2003</t>
  </si>
  <si>
    <t>120263701</t>
  </si>
  <si>
    <t>AJ HEIGHTS BUILDING, CHA-72/1/D, PRAGATI SARANI, UTTARA BADDA, DHAKA 1212</t>
  </si>
  <si>
    <t>02 8835408, 017 55629823, 016 78018364</t>
  </si>
  <si>
    <t>02 8822743</t>
  </si>
  <si>
    <t>120264126</t>
  </si>
  <si>
    <t>SAVAR BAZAR, SAVAR, DHAKA</t>
  </si>
  <si>
    <t>02 7744809, 017 30003599, 016 78018363</t>
  </si>
  <si>
    <t>02 7744808</t>
  </si>
  <si>
    <t>26 OCTOBER 2009</t>
  </si>
  <si>
    <t>120276343</t>
  </si>
  <si>
    <t>24,SHANTINAGAR, CHAMELIBAGH, DHAKA 1217</t>
  </si>
  <si>
    <t>02 8317839, 017 13229827, 016 78010054</t>
  </si>
  <si>
    <t>02 9353759</t>
  </si>
  <si>
    <t>29 NOVEMBER 1986</t>
  </si>
  <si>
    <t>120271706</t>
  </si>
  <si>
    <t>STOCK EXCHANGE BRANCH</t>
  </si>
  <si>
    <t>STOCK_EXCHANGE_BRANCH</t>
  </si>
  <si>
    <t>170</t>
  </si>
  <si>
    <t>16 MOTIJHEEL C/A, DHAKA 1000</t>
  </si>
  <si>
    <t>02 9515791-3, 017 87668294, 016 78018361</t>
  </si>
  <si>
    <t>02 9515794</t>
  </si>
  <si>
    <t>7 OCTOBER 2009</t>
  </si>
  <si>
    <t>120261929</t>
  </si>
  <si>
    <t>TEJGAON-GULSHAN LINK ROAD BRANCH</t>
  </si>
  <si>
    <t>TEJGAON-GULSHAN_LINK_ROAD_BRANCH</t>
  </si>
  <si>
    <t>IMPETUS CENTER, PLOT NO 242/B, GULSHAN TEJGAON LINK ROAD, TEJGAON, DHAKA 1208</t>
  </si>
  <si>
    <t>019 14828429, 017 42554780, 017 55620821</t>
  </si>
  <si>
    <t>02 9854465</t>
  </si>
  <si>
    <t>24 JUNE 2012</t>
  </si>
  <si>
    <t>120264634</t>
  </si>
  <si>
    <t>IFICBDDH024</t>
  </si>
  <si>
    <t>ABC HERITAGE, PLOT 2 &amp;amp; 4, JASHIMUDDIN AVENUE, SECTOR 3, UTTARA COMMERCIAL AREA, DHAKA 1230</t>
  </si>
  <si>
    <t>02 58957883, 017 55620824, 016 78010063</t>
  </si>
  <si>
    <t>02 8950224</t>
  </si>
  <si>
    <t>10 JANUARY 2002</t>
  </si>
  <si>
    <t>120270002</t>
  </si>
  <si>
    <t>120280050</t>
  </si>
  <si>
    <t>BIROL BAZAR BRANCH</t>
  </si>
  <si>
    <t>BIROL_BAZAR_BRANCH</t>
  </si>
  <si>
    <t>BIROL BAZAR, BIROL, DINAJPUR</t>
  </si>
  <si>
    <t>05324 56212, 017 55658703</t>
  </si>
  <si>
    <t>05324 56213</t>
  </si>
  <si>
    <t>120280676</t>
  </si>
  <si>
    <t>534/506 MALDAHPATTY, DINAJPUR</t>
  </si>
  <si>
    <t>0531 65680, 017 13229849, 016 78010212</t>
  </si>
  <si>
    <t>0531 51632</t>
  </si>
  <si>
    <t>21 JULY 1986</t>
  </si>
  <si>
    <t>120282195</t>
  </si>
  <si>
    <t>SETABGANJ SME BRANCH</t>
  </si>
  <si>
    <t>SETABGANJ_SME_BRANCH</t>
  </si>
  <si>
    <t>219</t>
  </si>
  <si>
    <t>SCHOOL ROAD, MURSHIDHAT, SETABGANJ, BOCHAGANJ, DINAJPUR</t>
  </si>
  <si>
    <t>05325 73202, 017 30729872</t>
  </si>
  <si>
    <t>05325 73203</t>
  </si>
  <si>
    <t>15 DECEMBER 2010</t>
  </si>
  <si>
    <t>120290529</t>
  </si>
  <si>
    <t>ORIENTAL PROPERTY, 118 THANA ROAD, FARIDPUR</t>
  </si>
  <si>
    <t>0631 62101, 017 11434947, 016 78010082</t>
  </si>
  <si>
    <t>0631 64051</t>
  </si>
  <si>
    <t>5 APRIL 1997</t>
  </si>
  <si>
    <t>120300527</t>
  </si>
  <si>
    <t>99 ISLAMPUR ROAD, FENI</t>
  </si>
  <si>
    <t>0331 73179, 017 13229847, 016 78010201</t>
  </si>
  <si>
    <t>0331 73150</t>
  </si>
  <si>
    <t>15 JANUARY 1992</t>
  </si>
  <si>
    <t>120330221</t>
  </si>
  <si>
    <t>KAMALESHWAR, BOARD BAZAR, GAZIPUR</t>
  </si>
  <si>
    <t>02 9293274, 017 30709793</t>
  </si>
  <si>
    <t>02 9293276</t>
  </si>
  <si>
    <t>9 NOVEMBER 2010</t>
  </si>
  <si>
    <t>120330063</t>
  </si>
  <si>
    <t>CHANDRA SME BRANCH</t>
  </si>
  <si>
    <t>CHANDRA_SME_BRANCH</t>
  </si>
  <si>
    <t>SUBARNA IBRAHIM GENERAL HOSPITAL, NAYARHAT-CHANDRA SARAK, BHATARIA, CHANDRA, KALIAKOIR, GAZIPUR</t>
  </si>
  <si>
    <t>06822 52058, 017 55620822</t>
  </si>
  <si>
    <t>06822 52058</t>
  </si>
  <si>
    <t>27 SEPTEMBER 2012</t>
  </si>
  <si>
    <t>120330942</t>
  </si>
  <si>
    <t>KONABARI PLAZA, KONABARI, GAZIPUR</t>
  </si>
  <si>
    <t>02 9297133, 017 11436078, 016 78010074</t>
  </si>
  <si>
    <t>02 9298727</t>
  </si>
  <si>
    <t>2 FEBRUARY 1993</t>
  </si>
  <si>
    <t>120331659</t>
  </si>
  <si>
    <t>TONGI SME BRANCH</t>
  </si>
  <si>
    <t>TONGI_SME_BRANCH</t>
  </si>
  <si>
    <t>165</t>
  </si>
  <si>
    <t>29 TONGI BAZAR ROAD, TONGI, GAZIPUR</t>
  </si>
  <si>
    <t>02 9816354, 017 30332035</t>
  </si>
  <si>
    <t>120410288</t>
  </si>
  <si>
    <t>BANDAR COMPLEX, BENAPOLE, JESSORE</t>
  </si>
  <si>
    <t>04228 75001-2, 017 13229810, 016 78010219</t>
  </si>
  <si>
    <t>04228 75002</t>
  </si>
  <si>
    <t>26 DECEMBER 2002</t>
  </si>
  <si>
    <t>120410941</t>
  </si>
  <si>
    <t>IFICBDDH061</t>
  </si>
  <si>
    <t>59 NSC ROAD (GARIKHANA ROAD), JESSORE</t>
  </si>
  <si>
    <t>0421 68762, 017 13403300, 016 78010218</t>
  </si>
  <si>
    <t>0421 68763</t>
  </si>
  <si>
    <t>30 APRIL 1986</t>
  </si>
  <si>
    <t>120411632</t>
  </si>
  <si>
    <t>IFICBDDH063</t>
  </si>
  <si>
    <t>97 KHULNA-JESSORE ROAD, NOAPARA BAZAR, JESSORE</t>
  </si>
  <si>
    <t>04222 71397, 017 13400537, 016 78010221</t>
  </si>
  <si>
    <t>26 DECEMBER 1990</t>
  </si>
  <si>
    <t>120440803</t>
  </si>
  <si>
    <t>KALIGANJ SME BRANCH</t>
  </si>
  <si>
    <t>KALIGANJ_SME_BRANCH</t>
  </si>
  <si>
    <t>SHEIKH SUPER MARKET, NIMTALA BARA BAZAR, NOLDANGA, KALIGANJ, JHENAIDAH</t>
  </si>
  <si>
    <t>04523 56697, 017 30318277</t>
  </si>
  <si>
    <t>04523 56698</t>
  </si>
  <si>
    <t>21 JUNE 2010</t>
  </si>
  <si>
    <t>120380400</t>
  </si>
  <si>
    <t>HOLDING NO 138, 138/1 &amp;amp; 138/2, SADAR ROAD, JOYPURHAT</t>
  </si>
  <si>
    <t>0571 51163, 017 30709796, 017 55520714</t>
  </si>
  <si>
    <t>0571 51165</t>
  </si>
  <si>
    <t>23 DECEMBER 2010</t>
  </si>
  <si>
    <t>120470378</t>
  </si>
  <si>
    <t>PLOT 1, SIR IQBAL ROAD, KALIBARI, KHULNA</t>
  </si>
  <si>
    <t>041 812099, 017 13229852 016 78010217</t>
  </si>
  <si>
    <t>041 81209</t>
  </si>
  <si>
    <t>2 NOVEMBER 2003</t>
  </si>
  <si>
    <t>120471548</t>
  </si>
  <si>
    <t>IFICBDDH060</t>
  </si>
  <si>
    <t>FATEMA BUILDING, 81 LOWER JESSORE ROAD, KHULNA</t>
  </si>
  <si>
    <t>041 720396-7, 812199, 732600, 732601</t>
  </si>
  <si>
    <t>041 720399</t>
  </si>
  <si>
    <t>25 JANUARY 1986</t>
  </si>
  <si>
    <t>120480100</t>
  </si>
  <si>
    <t>215 BAJITPUR BAZAR, KISHOREGANJ</t>
  </si>
  <si>
    <t>09423 64014, 017 13229839, 016 78010080</t>
  </si>
  <si>
    <t>09423 64329</t>
  </si>
  <si>
    <t>12 DECEMBER 1988</t>
  </si>
  <si>
    <t>120500943</t>
  </si>
  <si>
    <t>ABDUL HAMID MARKET, 2 SIRAJ-UD-DOWLA ROAD, KUSHTIA</t>
  </si>
  <si>
    <t>071 62550, 017 13400380, 016 78010223</t>
  </si>
  <si>
    <t>071 61895</t>
  </si>
  <si>
    <t>20 MAY 1986</t>
  </si>
  <si>
    <t>120501368</t>
  </si>
  <si>
    <t>PORADAH BRANCH</t>
  </si>
  <si>
    <t>PORADAH_BRANCH</t>
  </si>
  <si>
    <t>KHAN SUPER MARKET, KHATADA, PORADAH, MIRPUR, KUSHTIA</t>
  </si>
  <si>
    <t>017 30709791, 017 55520712</t>
  </si>
  <si>
    <t>11 OCTOBER 2010</t>
  </si>
  <si>
    <t>120540761</t>
  </si>
  <si>
    <t>TAKERHAT, KHALIA, RAJOIR, MADARIPUR</t>
  </si>
  <si>
    <t>06623 56248, 017 13010614, 016 78010083</t>
  </si>
  <si>
    <t>30 NOVEMBER 2003</t>
  </si>
  <si>
    <t>120581188</t>
  </si>
  <si>
    <t>69/1 CENTRAL ROAD, PASCHIM BAZAR, MOULVIBAZAR</t>
  </si>
  <si>
    <t>0861 52392, 017 11435687, 016 78010230</t>
  </si>
  <si>
    <t>0861 52363</t>
  </si>
  <si>
    <t>27 NOVEMBER 1994</t>
  </si>
  <si>
    <t>120581720</t>
  </si>
  <si>
    <t>RAZZAQUE COSMOLITAN SUPER MARKET, DHAKA-SYLHET HIGHWAY, SREEMANGAL, MOULVIBAZAR</t>
  </si>
  <si>
    <t>08626 71924, 017 11401728</t>
  </si>
  <si>
    <t>08626 71924</t>
  </si>
  <si>
    <t>21 DECEMBER 2002</t>
  </si>
  <si>
    <t>120591002</t>
  </si>
  <si>
    <t>MUKTARPUR, PANCHASAR, MUNSHIGANJ</t>
  </si>
  <si>
    <t>02 7611390, 017 13229835, 016 78010075</t>
  </si>
  <si>
    <t>0691 62390</t>
  </si>
  <si>
    <t>29 DECEMBER 1990</t>
  </si>
  <si>
    <t>120611753</t>
  </si>
  <si>
    <t>52 CHOTO BAZAR, MYMENSINGH</t>
  </si>
  <si>
    <t>091 66883, 66873, 016 78010081</t>
  </si>
  <si>
    <t>091 66883</t>
  </si>
  <si>
    <t>23 DECEMBER 1994</t>
  </si>
  <si>
    <t>120641181</t>
  </si>
  <si>
    <t>THAKUR MANSION, 263 MAIN ROAD, NAOGAON</t>
  </si>
  <si>
    <t>0741 62769, 017 13229848, 016 78010208</t>
  </si>
  <si>
    <t>0741 62867</t>
  </si>
  <si>
    <t>4 DECEMBER 1993</t>
  </si>
  <si>
    <t>120671180</t>
  </si>
  <si>
    <t>IFICBDDH003</t>
  </si>
  <si>
    <t>66/1 BANGABANDHU ROAD, NARAYANGANJ</t>
  </si>
  <si>
    <t>02 7645000-3, 017 3229808, 016 78010071</t>
  </si>
  <si>
    <t>02 7633485</t>
  </si>
  <si>
    <t>25 NOVEMBER 1983</t>
  </si>
  <si>
    <t>120671272</t>
  </si>
  <si>
    <t>28 RK DAS ROAD, NARAYANGANJ</t>
  </si>
  <si>
    <t>02 7632464, 017 13229834, 016 78010072</t>
  </si>
  <si>
    <t>02 7632943</t>
  </si>
  <si>
    <t>9 MAY 1991</t>
  </si>
  <si>
    <t>120671380</t>
  </si>
  <si>
    <t>GAFUR SUPER COMPLEX, PANCHABATI MORE, FATULLAH, NARAYANGANJ</t>
  </si>
  <si>
    <t>02 7670032, 017 30330896, 016 78018362</t>
  </si>
  <si>
    <t>02 7670032</t>
  </si>
  <si>
    <t>18 NOVEMBER 2009</t>
  </si>
  <si>
    <t>120671456</t>
  </si>
  <si>
    <t>MANIK VILLA, TARABO BAZAR, RUPGANJ, NARAYANGANJ</t>
  </si>
  <si>
    <t>017 14166955, 016 78010073</t>
  </si>
  <si>
    <t>28 NOVEMBER 2007</t>
  </si>
  <si>
    <t>120671780</t>
  </si>
  <si>
    <t>AMIN MARKET, 7 SM MALEH ROAD, TANBAZAR, NARAYANGANJ</t>
  </si>
  <si>
    <t>02 7630891, 017 30003591, 016 78018360</t>
  </si>
  <si>
    <t>02 7630892</t>
  </si>
  <si>
    <t>2 SEPTEMBER 2009</t>
  </si>
  <si>
    <t>120680492</t>
  </si>
  <si>
    <t>GHORASHAL BAZAR, PALASH, NARSINGDI</t>
  </si>
  <si>
    <t>02 9466301, 017 13229837, 016 78010078</t>
  </si>
  <si>
    <t>02 9466301</t>
  </si>
  <si>
    <t>4 JANUARY 1988</t>
  </si>
  <si>
    <t>120680676</t>
  </si>
  <si>
    <t>MITALI BUILDING, 35 MADHABDI BAZAR, NARSINGDI</t>
  </si>
  <si>
    <t>02 9446498, 017 11436624, 016 78010079</t>
  </si>
  <si>
    <t>02 9446498</t>
  </si>
  <si>
    <t>28 OCTOBER 1991</t>
  </si>
  <si>
    <t>120680850</t>
  </si>
  <si>
    <t>NAYAN TARA PLAZA, 137/1 C &amp;amp; B ROAD, NARSINGDI</t>
  </si>
  <si>
    <t>02 9462617, 017 13229836, 016 78010076</t>
  </si>
  <si>
    <t>02 9462985</t>
  </si>
  <si>
    <t>5 JANUARY 1988</t>
  </si>
  <si>
    <t>120750672</t>
  </si>
  <si>
    <t>667/785 DAKKHIN BAZAR ROAD, CHOWMUHANI, BEGUMGANJ, NOAKHALI</t>
  </si>
  <si>
    <t>0321 52778, 017 13107230, 016 78010205</t>
  </si>
  <si>
    <t>0321 52778</t>
  </si>
  <si>
    <t>24 OCTOBER 2005</t>
  </si>
  <si>
    <t>120761340</t>
  </si>
  <si>
    <t>KASHINATHPUR SME BRANCH</t>
  </si>
  <si>
    <t>KASHINATHPUR_SME_BRANCH</t>
  </si>
  <si>
    <t>134</t>
  </si>
  <si>
    <t>HARIDEBPUR, KASHINATHPUR, BERA, PABNA</t>
  </si>
  <si>
    <t>07332 54411, 017 30705100, 017 55520719</t>
  </si>
  <si>
    <t>120761782</t>
  </si>
  <si>
    <t>CHAMBER BUILDING, BENAI PATTY, PABNA</t>
  </si>
  <si>
    <t>0731 63436, 017 13200818, 016 78010219</t>
  </si>
  <si>
    <t>0731 64122</t>
  </si>
  <si>
    <t>11 MAY 1991</t>
  </si>
  <si>
    <t>120810220</t>
  </si>
  <si>
    <t>BANESHWAR BRANCH</t>
  </si>
  <si>
    <t>BANESHWAR_BRANCH</t>
  </si>
  <si>
    <t>BANESHWAR ISLAMI HIGH SCHOOL MARKET, BANESHWAR, PUTHIA, RAJSHAHI</t>
  </si>
  <si>
    <t>017 13201692, 016 78010215</t>
  </si>
  <si>
    <t>22 NOVEMBER 2005</t>
  </si>
  <si>
    <t>120811937</t>
  </si>
  <si>
    <t>IFICBDDH080</t>
  </si>
  <si>
    <t>3 SHAHEB BAZAR, GHORAMARA, RAJSHAHI</t>
  </si>
  <si>
    <t>0721 774586, 017 11405660, 016 78010206</t>
  </si>
  <si>
    <t>0721 774566</t>
  </si>
  <si>
    <t>12 MAY 1985</t>
  </si>
  <si>
    <t>120812323</t>
  </si>
  <si>
    <t>TAHERPUR BRANCH</t>
  </si>
  <si>
    <t>TAHERPUR_BRANCH</t>
  </si>
  <si>
    <t>MRIDHA PLAZA, MAIN ROAD, WARD 3, TAHERPUR, RAJSHAHI</t>
  </si>
  <si>
    <t>07236 53331, 017 66667607</t>
  </si>
  <si>
    <t>28 DECEMBER 2013</t>
  </si>
  <si>
    <t>120851450</t>
  </si>
  <si>
    <t>SARKER SUPER MARKET, 41/42 DEWAN BARI ROAD, BETPATTY, RANGPUR</t>
  </si>
  <si>
    <t>0521 63453, 017 13229811, 016 78010211</t>
  </si>
  <si>
    <t>0521 62607</t>
  </si>
  <si>
    <t>21 SEPTEMBER 1985</t>
  </si>
  <si>
    <t>120871098</t>
  </si>
  <si>
    <t>IFICBDDH065</t>
  </si>
  <si>
    <t>MOJAHAR ALI COMPLEX, SHAHEED KAZAL SARANI, PALASHPOLE, KALIGANJ, SATKHIRA</t>
  </si>
  <si>
    <t>0471 62602, 017 13400254, 016 78010220</t>
  </si>
  <si>
    <t>0471 63319</t>
  </si>
  <si>
    <t>14 SEPTEMBER 1994</t>
  </si>
  <si>
    <t>120860670</t>
  </si>
  <si>
    <t>469 SADAR ROAD, TULASAR, PALONG, SHARIATPUR</t>
  </si>
  <si>
    <t>0601 61496, 017 30332032, 016 78018357</t>
  </si>
  <si>
    <t>0601 61497</t>
  </si>
  <si>
    <t>24 DECEMBER 2008</t>
  </si>
  <si>
    <t>120880221</t>
  </si>
  <si>
    <t>BHUIYAN PLAZA, MUKONDOGANTI BAZAR, BELKUCHI, SIRAJGANJ</t>
  </si>
  <si>
    <t>07522 56446, 017 30019787, 016 78018359</t>
  </si>
  <si>
    <t>07522 56437</t>
  </si>
  <si>
    <t>12 OCTOBER 2009</t>
  </si>
  <si>
    <t>120910317</t>
  </si>
  <si>
    <t>ZAMAN PLAZA, PLOT 1040/1082, BEANI BAZAR, SYLHET</t>
  </si>
  <si>
    <t>08223 56179, 017 11922493, 016 78010226</t>
  </si>
  <si>
    <t>18 DECEMBER 1988</t>
  </si>
  <si>
    <t>120911545</t>
  </si>
  <si>
    <t>HAJI NASIBULLAH MARKET, GOALABAZAR, BALAGANJ, SYLHET</t>
  </si>
  <si>
    <t>08242 56404, 017 13257277, 016 78010233</t>
  </si>
  <si>
    <t>08242 56044</t>
  </si>
  <si>
    <t>4 DECEMBER 2007</t>
  </si>
  <si>
    <t>120913493</t>
  </si>
  <si>
    <t>SUBIDBAZAR BRANCH</t>
  </si>
  <si>
    <t>SUBIDBAZAR_BRANCH</t>
  </si>
  <si>
    <t>HANNAN SHOPPING CENTRE, SUNAMGANJ ROAD, SUBIDBAZAR, SYLHET</t>
  </si>
  <si>
    <t>0821 712898, 017 13229838, 016 78010228</t>
  </si>
  <si>
    <t>0821 712898</t>
  </si>
  <si>
    <t>24 APRIL 1994</t>
  </si>
  <si>
    <t>120913556</t>
  </si>
  <si>
    <t>IFICBDDH033</t>
  </si>
  <si>
    <t>963 LALDHIRPAR, SYLHET</t>
  </si>
  <si>
    <t>0821 715489, 017 11438372, 016 78010225</t>
  </si>
  <si>
    <t>0821 722022</t>
  </si>
  <si>
    <t>17 NOVEMBER 1984</t>
  </si>
  <si>
    <t>120913972</t>
  </si>
  <si>
    <t>TULTIKAR</t>
  </si>
  <si>
    <t>120914034</t>
  </si>
  <si>
    <t>NOSIR MANSION, MEHENDIBAG C/A, UPASHAHAR,SYLHET</t>
  </si>
  <si>
    <t>0821 727224, 017 13300202, 016 78010229</t>
  </si>
  <si>
    <t>0821 727109</t>
  </si>
  <si>
    <t>28 DECEMBER 2003</t>
  </si>
  <si>
    <t>120932290</t>
  </si>
  <si>
    <t>LASO PLAZA, HOLDING NO 59, KHALPAR ROAD, TANGAIL</t>
  </si>
  <si>
    <t>0921 51435, 017 30709792</t>
  </si>
  <si>
    <t>0921 51434</t>
  </si>
  <si>
    <t>ISLAMI_BANK_BANGLADESH_LIMITED</t>
  </si>
  <si>
    <t>125</t>
  </si>
  <si>
    <t>ISLAMI BANK BANGLADESH LIMITED</t>
  </si>
  <si>
    <t>125010070</t>
  </si>
  <si>
    <t>IBBLBDDH</t>
  </si>
  <si>
    <t>HAJEE SHAMSUDDIN PLAZA, KAZI NAZRUL ISLAM ROAD, BAGERHAT</t>
  </si>
  <si>
    <t>0468 63127, 63451, 017 11889920</t>
  </si>
  <si>
    <t>bagerhat@islamibankbd.com</t>
  </si>
  <si>
    <t>0468 63127</t>
  </si>
  <si>
    <t>125010946</t>
  </si>
  <si>
    <t>1/3 MAIN ROAD, MONGLA, BAGERHAT</t>
  </si>
  <si>
    <t>04658 73340, 017 11889922, 017 30303073</t>
  </si>
  <si>
    <t>mongla@islamibankbd.com</t>
  </si>
  <si>
    <t>04658 73340</t>
  </si>
  <si>
    <t>125011037</t>
  </si>
  <si>
    <t>MORRELGANJ BAZAR, BAGERHAT</t>
  </si>
  <si>
    <t>04656 56107, 017 14016406, 017 30061467</t>
  </si>
  <si>
    <t>morelgonj@islamibankbd.com</t>
  </si>
  <si>
    <t>04656 56107</t>
  </si>
  <si>
    <t>125030139</t>
  </si>
  <si>
    <t>CENTRAL MOSQUE ROAD, BANDARBAN SADAR, BANDARBAN</t>
  </si>
  <si>
    <t>0361 63411, 017 30034872</t>
  </si>
  <si>
    <t>bandarban@islamibankbd.com</t>
  </si>
  <si>
    <t>125040132</t>
  </si>
  <si>
    <t>9 NAZRUL ISLAM SARAK, BARGUNA</t>
  </si>
  <si>
    <t>0448 62088, 017 14009230, 017 55646356</t>
  </si>
  <si>
    <t>barguna@islamibankbd.com</t>
  </si>
  <si>
    <t>0448 63451</t>
  </si>
  <si>
    <t>125060288</t>
  </si>
  <si>
    <t>IBBLBDDH111</t>
  </si>
  <si>
    <t>SAJRINI SUPER MARKET, 132/121 EAST BOGRA ROAD, BARISAL 8200</t>
  </si>
  <si>
    <t>0431 64524, 2173016, 017 11889913</t>
  </si>
  <si>
    <t>barisal@islamibankbd.com</t>
  </si>
  <si>
    <t>0431 2173022</t>
  </si>
  <si>
    <t>125062602</t>
  </si>
  <si>
    <t>HATKHOLA CHAWKBAZAR BRANCH</t>
  </si>
  <si>
    <t>HATKHOLA_CHAWKBAZAR_BRANCH</t>
  </si>
  <si>
    <t>260</t>
  </si>
  <si>
    <t>SIKDER MONZIL, HOLDING NO 762-763, CHAWKBAZAR ROAD, KOTWALI, BARISAL</t>
  </si>
  <si>
    <t>0431 2177234, 017 30701214</t>
  </si>
  <si>
    <t>hatkhola@islamibankbd.com</t>
  </si>
  <si>
    <t>0431 2177233</t>
  </si>
  <si>
    <t>125062202</t>
  </si>
  <si>
    <t>TORKI BRANCH</t>
  </si>
  <si>
    <t>TORKI_BRANCH</t>
  </si>
  <si>
    <t>MASJID MARKET, TORKI BANDA, GOURNADI, BARISAL</t>
  </si>
  <si>
    <t>04322 56534, 017 14097886</t>
  </si>
  <si>
    <t>torki@islamibankbd.com</t>
  </si>
  <si>
    <t>04322 56534</t>
  </si>
  <si>
    <t>125090108</t>
  </si>
  <si>
    <t>KARNOFULY COMPLEX, 3373 SADAR ROAD, BHOLA 8300</t>
  </si>
  <si>
    <t>0491 61774, 62774, 017 11889919</t>
  </si>
  <si>
    <t>bhola@islamibankbd.com</t>
  </si>
  <si>
    <t>0491 62774</t>
  </si>
  <si>
    <t>125090203</t>
  </si>
  <si>
    <t>BORHANUDDIN SME BRANCH</t>
  </si>
  <si>
    <t>BORHANUDDIN_SME_BRANCH</t>
  </si>
  <si>
    <t>HAZI BADSHA MIA SUPER MARKET, 26 RANIGANJ ROAD, BORHANUDDIN BAZAR, BHOLA</t>
  </si>
  <si>
    <t>(04922) 56161, 017 30326105, 017 17044904</t>
  </si>
  <si>
    <t>borhanuddin@islamibankbd.com</t>
  </si>
  <si>
    <t>125090229</t>
  </si>
  <si>
    <t>CHAR FASSON BRANCH</t>
  </si>
  <si>
    <t>CHAR_FASSON_BRANCH</t>
  </si>
  <si>
    <t>TAZ PLAZA, SADAR ROAD, CHAR FASSON, BHOLA 8340</t>
  </si>
  <si>
    <t>04923 74225, 017 55629465, 017 09646401</t>
  </si>
  <si>
    <t>charfashion@islamibankbd.com</t>
  </si>
  <si>
    <t>125090708</t>
  </si>
  <si>
    <t>MAHBUB PLAZA, HAFIZUDDIN AVENUE, LALMOHAN, BHOLA 8330</t>
  </si>
  <si>
    <t>04925 75918, 017 66665985, 017 08150603</t>
  </si>
  <si>
    <t>lalmohan@islamibankbd.com</t>
  </si>
  <si>
    <t>125100377</t>
  </si>
  <si>
    <t>IBBLBDDH112</t>
  </si>
  <si>
    <t>801 THANA ROAD, BOGRA</t>
  </si>
  <si>
    <t>051 73320, 65494, 66795, 017 13439067</t>
  </si>
  <si>
    <t>bogra@islamibankbd.com</t>
  </si>
  <si>
    <t>051 73611</t>
  </si>
  <si>
    <t>125100498</t>
  </si>
  <si>
    <t>BOROGOLA BRANCH</t>
  </si>
  <si>
    <t>BOROGOLA_BRANCH</t>
  </si>
  <si>
    <t>BOGRA TRADE CENTRE, HOLDING NO 766, RANGPUR ROAD, BARAGOLA, BOGRA</t>
  </si>
  <si>
    <t>051 66450, 017 30338559</t>
  </si>
  <si>
    <t>baragola@islamibankbd.com</t>
  </si>
  <si>
    <t>051 66370</t>
  </si>
  <si>
    <t>125100919</t>
  </si>
  <si>
    <t>DUPCHANCHIA BRANCH</t>
  </si>
  <si>
    <t>DUPCHANCHIA_BRANCH</t>
  </si>
  <si>
    <t>NEW MARKET, DUPCHANCHIA, BOGRA</t>
  </si>
  <si>
    <t>05024 51046, 017 14025932</t>
  </si>
  <si>
    <t>dupchanchia@islamibankbd.com</t>
  </si>
  <si>
    <t>05024 51046</t>
  </si>
  <si>
    <t>125101550</t>
  </si>
  <si>
    <t>KAHALU SME BRANCH</t>
  </si>
  <si>
    <t>KAHALU_SME_BRANCH</t>
  </si>
  <si>
    <t>155</t>
  </si>
  <si>
    <t>BARNA BHABAN, 193/1 UPAZILLA ROAD, KAHALU, BOGRA</t>
  </si>
  <si>
    <t>05026 56049, 017 30326101</t>
  </si>
  <si>
    <t>kahalu@islamibankbd.com</t>
  </si>
  <si>
    <t>125101792</t>
  </si>
  <si>
    <t>MAHASTHANGARH SME BRANCH</t>
  </si>
  <si>
    <t>MAHASTHANGARH_SME_BRANCH</t>
  </si>
  <si>
    <t>179</t>
  </si>
  <si>
    <t>SHAKHAWAT MANSION, RANGPUR ROAD, MAHASTHAN BAZAR, SHIBGANJ, BOGRA</t>
  </si>
  <si>
    <t>017 30037286, 017 30785768, 017 18561571</t>
  </si>
  <si>
    <t>mohastangor@islamibankbd.com</t>
  </si>
  <si>
    <t>125102038</t>
  </si>
  <si>
    <t>NANDIGRAM SME BRANCH</t>
  </si>
  <si>
    <t>NANDIGRAM_SME_BRANCH</t>
  </si>
  <si>
    <t>ALHAJ MOJIBOR RAHMAN SUPER MARKET, BOGRA-NATORE ROAD, NANDIGRAM, BOGRA</t>
  </si>
  <si>
    <t>05027 76085, 017 30703855</t>
  </si>
  <si>
    <t>nandigram@islamibankbd.com</t>
  </si>
  <si>
    <t>125102425</t>
  </si>
  <si>
    <t>SHANTAHAR SME BRANCH</t>
  </si>
  <si>
    <t>SHANTAHAR_SME_BRANCH</t>
  </si>
  <si>
    <t>242</t>
  </si>
  <si>
    <t>MILON PLAZA, DAILY BAZAR ROAD, SHANTAHAR, BOGRA</t>
  </si>
  <si>
    <t>0741 69611, 017 13438502, 017 55548024</t>
  </si>
  <si>
    <t>shantahar@islamibankbd.com</t>
  </si>
  <si>
    <t>125101392</t>
  </si>
  <si>
    <t>SHERPUR HIGHWAY BRANCH</t>
  </si>
  <si>
    <t>SHERPUR_HIGHWAY_BRANCH</t>
  </si>
  <si>
    <t>125120052</t>
  </si>
  <si>
    <t>NOORJAHAN MANJEEL, AKHAURA-CHANDURA ROAD, AKHAURA, BRAHMANBARIA</t>
  </si>
  <si>
    <t>08522 56190, 017 30326104, 017 55581587</t>
  </si>
  <si>
    <t>akhaura@islamibankbd. com</t>
  </si>
  <si>
    <t>125120102</t>
  </si>
  <si>
    <t>HAJEE ZAHIRUL HAQUE MUNSHI SHOPPING COMPLEX, STATION ROAD, ASHUGANJ, BRAHMANBARIA</t>
  </si>
  <si>
    <t>08528 74233, 017 11889948, 017 55545514</t>
  </si>
  <si>
    <t>ashugonj@islamibankbd.com</t>
  </si>
  <si>
    <t>0383 4080017</t>
  </si>
  <si>
    <t>125120252</t>
  </si>
  <si>
    <t>08523 56027, 017 14098018, 017 55645326</t>
  </si>
  <si>
    <t>bancharampur@islamibankbd.com</t>
  </si>
  <si>
    <t>08523 56027</t>
  </si>
  <si>
    <t>125120436</t>
  </si>
  <si>
    <t>COURT BAZAR ROAD, BRAHMANBARIA</t>
  </si>
  <si>
    <t>0851 59456, 017 11889942, 017 30061499</t>
  </si>
  <si>
    <t>bbaria@islamibankbd.com</t>
  </si>
  <si>
    <t>0851 59456</t>
  </si>
  <si>
    <t>125121035</t>
  </si>
  <si>
    <t>SHIMANTA COMPLEX, HOLDING NO 103, PURAN BAZAR, KASBA, BRAHMANBARIA 3460</t>
  </si>
  <si>
    <t>08524 73152, 017 55554481, 017 09634367</t>
  </si>
  <si>
    <t>kosba@islamibankbd.com</t>
  </si>
  <si>
    <t>125121369</t>
  </si>
  <si>
    <t>KHAZA SUPER MARKET, SADAR ROAD, NABINAGAR, BRAHMANBARIA</t>
  </si>
  <si>
    <t>08525 75502, 017 30700062, 017 13141981</t>
  </si>
  <si>
    <t>nabinagar@islamibankbd.com</t>
  </si>
  <si>
    <t>125130318</t>
  </si>
  <si>
    <t>MIR SHOPPING COMPLEX, JM SEN GUPTA ROAD, CHANDPUR 3600</t>
  </si>
  <si>
    <t>0841 67491, 017 11889965, 017 30303581</t>
  </si>
  <si>
    <t>chandpur@islamibankbd.com</t>
  </si>
  <si>
    <t>(0841) 67491</t>
  </si>
  <si>
    <t>125130671</t>
  </si>
  <si>
    <t>KALABAGAN BAZAR, FARIDGANJ, CHANDPUR</t>
  </si>
  <si>
    <t>08422 64236, 017 14037940, 017 13425911</t>
  </si>
  <si>
    <t>faridgonj@islamibankbd.com</t>
  </si>
  <si>
    <t>125130884</t>
  </si>
  <si>
    <t>MAKIMABAD BARA MASJID COMPLEX, MADDYA BAZAR, HAJIGANJ, CHANDPUR</t>
  </si>
  <si>
    <t>08424 75281, 017 11889963, 017 30028363</t>
  </si>
  <si>
    <t>hajigonj@islamibankbd.com</t>
  </si>
  <si>
    <t>125131188</t>
  </si>
  <si>
    <t>MATLAB BRANCH</t>
  </si>
  <si>
    <t>MATLAB_BRANCH</t>
  </si>
  <si>
    <t>SOMOBAI &amp;amp; MA AMENA TOWER, MATLAB BAZAR, MATLAB SOUTH, CHANDPUR 3640</t>
  </si>
  <si>
    <t>08426 56052, 017 13258792, 017 55550094</t>
  </si>
  <si>
    <t>matlab@islamibankbd.com</t>
  </si>
  <si>
    <t>125130118</t>
  </si>
  <si>
    <t>SACHAR BRANCH</t>
  </si>
  <si>
    <t>SACHAR_BRANCH</t>
  </si>
  <si>
    <t>KAMAL TOWER, SACHAR BAZAR, KACHUA, CHANDPUR</t>
  </si>
  <si>
    <t>017 66665976, 017 55629053</t>
  </si>
  <si>
    <t>sachar@islamibankbd.com</t>
  </si>
  <si>
    <t>125700256</t>
  </si>
  <si>
    <t>IBBLBDDH132</t>
  </si>
  <si>
    <t>MOHIUDDIN MANSION, HOLDING NO 134, GODAGARI ROAD, CHAPAI NAWABGANJ</t>
  </si>
  <si>
    <t>0781 55348, 61138, 017 11438342</t>
  </si>
  <si>
    <t>cnganj@islamibankbd.com</t>
  </si>
  <si>
    <t>(0781) 61138</t>
  </si>
  <si>
    <t>125700885</t>
  </si>
  <si>
    <t>STATION ROAD, ROHANPUR, CHAPAI NAWABGANJ</t>
  </si>
  <si>
    <t>07823 74246, 017 14082119, 017 13438511</t>
  </si>
  <si>
    <t>rohanpur@islamibankbd.com</t>
  </si>
  <si>
    <t>07823 74246</t>
  </si>
  <si>
    <t>125700948</t>
  </si>
  <si>
    <t>MAIN ROAD, SHIBGANJ, CHAPAI NAWABGANJ</t>
  </si>
  <si>
    <t>07825 75107, 017 11438346, 017 30061468</t>
  </si>
  <si>
    <t>shibgonj@islamibankbd.com</t>
  </si>
  <si>
    <t>125150130</t>
  </si>
  <si>
    <t>IBBLBDDH103</t>
  </si>
  <si>
    <t>3 SHEIKH MUJIB ROAD, AGRABAD C/A, CHITTAGONG</t>
  </si>
  <si>
    <t>031 716286, 716195, 017 11889901</t>
  </si>
  <si>
    <t>agrabad@islamibankbd.com</t>
  </si>
  <si>
    <t>031 2511381</t>
  </si>
  <si>
    <t>125150464</t>
  </si>
  <si>
    <t>IBBLBDDH124</t>
  </si>
  <si>
    <t>GA BHABAN, NAZIR AHMED CHY ROAD, ANDERKILLA, CHITTAGONG</t>
  </si>
  <si>
    <t>031 613390, 638119, 017 11889904</t>
  </si>
  <si>
    <t>anderkilla@islamibankbd.com</t>
  </si>
  <si>
    <t>125150527</t>
  </si>
  <si>
    <t>HAJI ABDUL LATIF MARKET, CHATOREE CHOWMUHANI, ANWARA, CHITTAGONG 4376</t>
  </si>
  <si>
    <t>03029 56062, 017 66665984, 019 98707003</t>
  </si>
  <si>
    <t>anwara@islamibankbd.com</t>
  </si>
  <si>
    <t>125150798</t>
  </si>
  <si>
    <t>MANILA PLAZA, BAHADDARHAT MORE, ARAKAN ROAD, CHANDGAON, CHITTAGONG 4212</t>
  </si>
  <si>
    <t>031 657881-82, 017 55629460</t>
  </si>
  <si>
    <t>bahaddarhat@islamibankbd.com</t>
  </si>
  <si>
    <t>125150943</t>
  </si>
  <si>
    <t>SADAR PLAZA, BANDARTILA, CHITTAGONG</t>
  </si>
  <si>
    <t>031 741747, 017 14009231, 018 33320941</t>
  </si>
  <si>
    <t>bandartila@islamibankbd.com</t>
  </si>
  <si>
    <t>125150972</t>
  </si>
  <si>
    <t>SHEIKH TOWER, JALDI, BANSHKHALI, CHITTAGONG 4390</t>
  </si>
  <si>
    <t>03037 56250-51, 017 30736026</t>
  </si>
  <si>
    <t>banshkhali@isllamibankbd.com</t>
  </si>
  <si>
    <t>125151092</t>
  </si>
  <si>
    <t>BARAIYARHAT BRANCH</t>
  </si>
  <si>
    <t>BARAIYARHAT_BRANCH</t>
  </si>
  <si>
    <t>MIAZI MARKET, DHAKA-CHATTOGRAM HIGHWAY, JORARGANJ, BARAIYARHAT, MIRSARAI, CHITTAGONG</t>
  </si>
  <si>
    <t>017 30061463, 017 14041436, 017 13189899</t>
  </si>
  <si>
    <t>bariyarhat@islamibankbd.com</t>
  </si>
  <si>
    <t>125151139</t>
  </si>
  <si>
    <t>BARO DAROGARHAT SME BRANCH</t>
  </si>
  <si>
    <t>BARO_DAROGARHAT_SME_BRANCH</t>
  </si>
  <si>
    <t>113</t>
  </si>
  <si>
    <t>IRANI VOLA MARKET, SITAKUNDA, CHITTAGONG 4310</t>
  </si>
  <si>
    <t>017 30326103, 017 55548036</t>
  </si>
  <si>
    <t>borodarogarhat@islamibankbd.com</t>
  </si>
  <si>
    <t>125151489</t>
  </si>
  <si>
    <t>224/329 CDA AVENUE, MURADPUR, CHITTAGONG</t>
  </si>
  <si>
    <t>031 2551599, 017 30032363</t>
  </si>
  <si>
    <t>cdaavenue@islamibankbd.com</t>
  </si>
  <si>
    <t>125151755</t>
  </si>
  <si>
    <t>MIAKHAN BHABAN, 327/357 NEW CHAKTAI CHALPATTY, BAKALIA, CHITTAGONG</t>
  </si>
  <si>
    <t>031 634453, 017 13258797, 017 30785993</t>
  </si>
  <si>
    <t>chaktai@islamibankbd.com</t>
  </si>
  <si>
    <t>125151939</t>
  </si>
  <si>
    <t>FAYEJ MANSION, 191-192 LALCHAND ROAD, CHAWKBAZAR, CHITTAGONG</t>
  </si>
  <si>
    <t>031 618169, 611244, 017 11889908</t>
  </si>
  <si>
    <t>chawkbazar@islamibankbd.com</t>
  </si>
  <si>
    <t>125152446</t>
  </si>
  <si>
    <t>SK KAMAL COMPLEX, 257 DT ROAD, DEWANHAT, CHITTAGONG</t>
  </si>
  <si>
    <t>031 2514083, 017 13425934, 017 30785994</t>
  </si>
  <si>
    <t>dewanhat@islamibankbd.com</t>
  </si>
  <si>
    <t>031 2514082</t>
  </si>
  <si>
    <t>125152741</t>
  </si>
  <si>
    <t>AMANAT MARKET, BIBIRHAT, FATIKCHHARI, CHITTAGONG</t>
  </si>
  <si>
    <t>03022 56176, 017 11404452</t>
  </si>
  <si>
    <t>fatikchari@islamibankbd.com</t>
  </si>
  <si>
    <t>03022 56176</t>
  </si>
  <si>
    <t>125153166</t>
  </si>
  <si>
    <t>ISABELA TOWER, ROAD 7, BLOCK G, HALISHAHAR HOUSING ESTATE, CHITTAGONG 4100</t>
  </si>
  <si>
    <t>031 2524333, 2520022, 017 55580981</t>
  </si>
  <si>
    <t>halishahar@islamibankbd.com</t>
  </si>
  <si>
    <t>125153229</t>
  </si>
  <si>
    <t>SOLAIMAN BUILDING, HATHAZARI, CHITTAGONG</t>
  </si>
  <si>
    <t>031 2601437, 018 19318327, 017 30358022</t>
  </si>
  <si>
    <t>hathazari@islamibankbd.com</t>
  </si>
  <si>
    <t>031 2601522</t>
  </si>
  <si>
    <t>125153645</t>
  </si>
  <si>
    <t>IBBLBDDH137</t>
  </si>
  <si>
    <t>IPL IKLAS COMPLEX, HOLDING NO 525(OLD) 852(NEW), JUBILEE ROAD, KOTWALI, CHITTAGONG 4000</t>
  </si>
  <si>
    <t>031 612617, 2854747, 017 11889907</t>
  </si>
  <si>
    <t>jubileeroad@islamibankbd.com</t>
  </si>
  <si>
    <t>031 635148</t>
  </si>
  <si>
    <t>125153737</t>
  </si>
  <si>
    <t>RAHAT CENTER, HOLDING NO 295, DT ROAD, DOUBLE MOORING, CHITTAGONG</t>
  </si>
  <si>
    <t>031 2527993-94, 017 66665978</t>
  </si>
  <si>
    <t>kadamtoli@islamibankbd.com</t>
  </si>
  <si>
    <t>125154181</t>
  </si>
  <si>
    <t>KERANIHAT, SATKANIA, CHITTAGONG</t>
  </si>
  <si>
    <t>03036 56002, 017 30034901</t>
  </si>
  <si>
    <t>keranihat@islamibankbd.com</t>
  </si>
  <si>
    <t>125154273</t>
  </si>
  <si>
    <t>IBBLBDDH106</t>
  </si>
  <si>
    <t>AZIM MARKET, 82 KHATUNGANJ, CHITTAGONG</t>
  </si>
  <si>
    <t>031 620744, 634323, 017 11889903, 017 77756550</t>
  </si>
  <si>
    <t>khatunganj@islamibankbd.com</t>
  </si>
  <si>
    <t>031 622748</t>
  </si>
  <si>
    <t>125154660</t>
  </si>
  <si>
    <t>M RAHMAN MARKET, LOHAGARA, CHITTAGONG</t>
  </si>
  <si>
    <t>03034 56159, 011 99790078, 017 30032238</t>
  </si>
  <si>
    <t>lohagara@islamibankbd.com</t>
  </si>
  <si>
    <t>125155069</t>
  </si>
  <si>
    <t>MIRSHARAI SME BRANCH</t>
  </si>
  <si>
    <t>MIRSHARAI_SME_BRANCH</t>
  </si>
  <si>
    <t>506</t>
  </si>
  <si>
    <t>MAA TOWER, MIRSHARAI, CHITTAGONG</t>
  </si>
  <si>
    <t>03024 56273, 017 30709283, 017 55636212</t>
  </si>
  <si>
    <t>mirerswarai@islamibankbd.com</t>
  </si>
  <si>
    <t>125155627</t>
  </si>
  <si>
    <t>NAZUMIAH HAT BRANCH</t>
  </si>
  <si>
    <t>NAZUMIAH_HAT_BRANCH</t>
  </si>
  <si>
    <t>ALI SHOPPING SENTER, KAPTAI ROAD, HATHAZARI, CHITTAGONG</t>
  </si>
  <si>
    <t>031 2571533, 017 30599054, 017 30034940</t>
  </si>
  <si>
    <t>nazumeahhat@islamibankbd.com</t>
  </si>
  <si>
    <t>125155801</t>
  </si>
  <si>
    <t>MM TOWER, 1105 ASIAN HIGHWAY, PANCHLAISH, CHITTAGONG 4000</t>
  </si>
  <si>
    <t>031 2555309, 017 13258791, 017 30785992</t>
  </si>
  <si>
    <t>ornizamroad@islamibankbd.com</t>
  </si>
  <si>
    <t>031 2557447</t>
  </si>
  <si>
    <t>125155922</t>
  </si>
  <si>
    <t>IBBLBDDH202</t>
  </si>
  <si>
    <t>BANDAR BITAN MARKET, CUSTOMS ACADEMY, CHITTAGONG 4219</t>
  </si>
  <si>
    <t>031 2772599, 017 11889910, 017 30739983</t>
  </si>
  <si>
    <t>pahartali@islamibankbd.com</t>
  </si>
  <si>
    <t>031 2771032, 752599</t>
  </si>
  <si>
    <t>125156163</t>
  </si>
  <si>
    <t>ALAM PLAZA, SHAHID A SABUR ROAD, PATIYA, CHITTAGONG</t>
  </si>
  <si>
    <t>03035 56560,  017 11889967, 017 13188931</t>
  </si>
  <si>
    <t>patiya@islamibankbd.com</t>
  </si>
  <si>
    <t>125156497</t>
  </si>
  <si>
    <t>CHOWDHURY MARKET, FAKIRHAT, RAOZAN, CHITTAGONG 4340</t>
  </si>
  <si>
    <t>03026 56434, 017 30338558</t>
  </si>
  <si>
    <t>raozan@islamibankbd.com</t>
  </si>
  <si>
    <t>125156918</t>
  </si>
  <si>
    <t>691</t>
  </si>
  <si>
    <t>NEW UPAZILA COMPLEX, SANDWIP, CHITTAGONG</t>
  </si>
  <si>
    <t>017 14098451, 017 30048037, 017 30739980</t>
  </si>
  <si>
    <t>sandwip@islamibankbd.com</t>
  </si>
  <si>
    <t>125157391</t>
  </si>
  <si>
    <t>MADRASAH MARKET, DT ROAD, SITAKUNDA, CHITTAGONG</t>
  </si>
  <si>
    <t>03028 56419, 017 11439096, 017 13190775</t>
  </si>
  <si>
    <t>sitakundu@islamibankbd.com</t>
  </si>
  <si>
    <t>03028 56276</t>
  </si>
  <si>
    <t>125157517</t>
  </si>
  <si>
    <t>IBBLBDDH167</t>
  </si>
  <si>
    <t>GHOSAL QUARTER, 526 STATION ROAD, CHITTAGONG</t>
  </si>
  <si>
    <t>031 615353, 017 11889906</t>
  </si>
  <si>
    <t>stationroad@islamibankbd.com</t>
  </si>
  <si>
    <t>031 617768</t>
  </si>
  <si>
    <t>125180197</t>
  </si>
  <si>
    <t>THANA ROAD, CHUADANGA</t>
  </si>
  <si>
    <t>0761 64200, 64300, 017 11432089</t>
  </si>
  <si>
    <t>chuadanga@islamibankbd.com</t>
  </si>
  <si>
    <t>0761 64200</t>
  </si>
  <si>
    <t>125180584</t>
  </si>
  <si>
    <t>JIBANNAGAR SME BRANCH</t>
  </si>
  <si>
    <t>JIBANNAGAR_SME_BRANCH</t>
  </si>
  <si>
    <t>MUNSHI BARI, MUKTIJODDHA MORE, JIBANNAGAR, CHUADANGA</t>
  </si>
  <si>
    <t>07624 75570, 017 30703854, 017 55649519</t>
  </si>
  <si>
    <t>jibonnagar@islamibankbd.com</t>
  </si>
  <si>
    <t>125190408</t>
  </si>
  <si>
    <t>SHIKOR COMMERCIAL COMPLEX, BANGODDA BAZAR, NANGALKOT, COMILLA 3550</t>
  </si>
  <si>
    <t>017 55554482, , 017 09634364</t>
  </si>
  <si>
    <t>bangodda@islamibankbd.com</t>
  </si>
  <si>
    <t>125190824</t>
  </si>
  <si>
    <t>BURICHANG SME BRANCH</t>
  </si>
  <si>
    <t>BURICHANG_SME_BRANCH</t>
  </si>
  <si>
    <t>FAZLUR RAHMAN MEMORIAL TRUST BHABAN, MA GANI ROAD, BURICHANG BAZAR, COMILLA 3520</t>
  </si>
  <si>
    <t>(08029) 56017, 017 30700063, 017 30376710</t>
  </si>
  <si>
    <t>burichong@islamibankbd.com</t>
  </si>
  <si>
    <t>125190882</t>
  </si>
  <si>
    <t>HAJI ALI MANSION, CHANDINA BAZAR, CHANDINA, COMILLA</t>
  </si>
  <si>
    <t>08022 56371, 017 30338560, 017 55630474</t>
  </si>
  <si>
    <t>chandina@islamibankbd.com</t>
  </si>
  <si>
    <t>125191065</t>
  </si>
  <si>
    <t>ABDUL JALIL SHOPING MALL, HOLDING NO 216, MAIN ROAD, CHAUDDAGRAM BAZAR, COMILLA 3550</t>
  </si>
  <si>
    <t>08020 56194, 017 30032368, 017 14004855</t>
  </si>
  <si>
    <t>chauddagram@islamibankbd.com</t>
  </si>
  <si>
    <t>125191157</t>
  </si>
  <si>
    <t>IBBLBDDH121</t>
  </si>
  <si>
    <t>BM THAKANA TOWER, 77/71-78/72 KANDIRPAR, LAKSHAM ROAD, KATWALI, COMILLA</t>
  </si>
  <si>
    <t>081 65935, 72615, 73362, 66633</t>
  </si>
  <si>
    <t>comilla@islamibankbd.com</t>
  </si>
  <si>
    <t>081 66633</t>
  </si>
  <si>
    <t>125191423</t>
  </si>
  <si>
    <t>COMPANIGANJ BAZAR, MURADNAGAR, COMILLA</t>
  </si>
  <si>
    <t>08026 59099, 017 14048906, 017 13257368</t>
  </si>
  <si>
    <t>companigonj@islamibankbd.com</t>
  </si>
  <si>
    <t>125191528</t>
  </si>
  <si>
    <t>DAUDKANDI SME BRANCH</t>
  </si>
  <si>
    <t>DAUDKANDI_SME_BRANCH</t>
  </si>
  <si>
    <t>152</t>
  </si>
  <si>
    <t>AHMADIA PLAZA, DAUDKANDI BAZAR, COMILLA</t>
  </si>
  <si>
    <t>08023 55535, 017 30326100, 017 13438500</t>
  </si>
  <si>
    <t>daudkandi@islamibankbd.com</t>
  </si>
  <si>
    <t>125192114</t>
  </si>
  <si>
    <t>SHAMIHA PLAZA, GOURIPUR BAZAR, DAUDKANDI, COMILLA</t>
  </si>
  <si>
    <t>08023 55491, 017 14089573, 017 13384480</t>
  </si>
  <si>
    <t>gouripur@islamibankbd.com</t>
  </si>
  <si>
    <t>125192714</t>
  </si>
  <si>
    <t>ALHAJ CHAN MIA TOWER, DAULATGANJ BAZAR, LAKSAM, COMILLA</t>
  </si>
  <si>
    <t>08032 51332, 017 11889945, 017 13164491</t>
  </si>
  <si>
    <t>laksham@islamibankbd.com</t>
  </si>
  <si>
    <t>08032 51137</t>
  </si>
  <si>
    <t>125197643</t>
  </si>
  <si>
    <t>TERRY PATTY BRANCH</t>
  </si>
  <si>
    <t>TERRY_PATTY_BRANCH</t>
  </si>
  <si>
    <t>MM PLAZA, 17/15 &amp;amp; 13/13 TERRY PATTY POLICE PHARI ROAD, KOTWALI, COMILLA 3500</t>
  </si>
  <si>
    <t>081-72686, 017 55551141, 017 77718572</t>
  </si>
  <si>
    <t>terrypotti@islamibankbd.com</t>
  </si>
  <si>
    <t>125220194</t>
  </si>
  <si>
    <t>125220231</t>
  </si>
  <si>
    <t>COURT BAZAR SME</t>
  </si>
  <si>
    <t>COURT_BAZAR_SME</t>
  </si>
  <si>
    <t>125220257</t>
  </si>
  <si>
    <t>125220402</t>
  </si>
  <si>
    <t>125220778</t>
  </si>
  <si>
    <t>MOHESHKHALI SME</t>
  </si>
  <si>
    <t>MOHESHKHALI_SME</t>
  </si>
  <si>
    <t>125220910</t>
  </si>
  <si>
    <t>125260138</t>
  </si>
  <si>
    <t>AMINBAZAR BRANCH</t>
  </si>
  <si>
    <t>AMINBAZAR_BRANCH</t>
  </si>
  <si>
    <t>755 BEGUN BARI, AMINBAZAR, SAVAR, DHAKA</t>
  </si>
  <si>
    <t>017 11693932, 017 13164484, 017 30701201,017 30340660</t>
  </si>
  <si>
    <t>aminbazar@islamibankbd.com</t>
  </si>
  <si>
    <t>02 8050987</t>
  </si>
  <si>
    <t>125260341</t>
  </si>
  <si>
    <t>KHA/194 PRAGATI SARANI, MADDHYA BADDA, DHAKA 1212</t>
  </si>
  <si>
    <t>02 8813242, 017 30328873, 017 55582281</t>
  </si>
  <si>
    <t>badda@islamibankbd.com</t>
  </si>
  <si>
    <t>02 8813242</t>
  </si>
  <si>
    <t>125270652</t>
  </si>
  <si>
    <t>BANDURA SME BRANCH</t>
  </si>
  <si>
    <t>BANDURA_SME_BRANCH</t>
  </si>
  <si>
    <t>BANDURA BAZAR, HASNABAD, NAWABGANJ, DHAKA</t>
  </si>
  <si>
    <t>017 30097281, 017 55548028, 017 08483915</t>
  </si>
  <si>
    <t>bandura@islamibankbd.com</t>
  </si>
  <si>
    <t>125270881</t>
  </si>
  <si>
    <t>IBBLBDDH179</t>
  </si>
  <si>
    <t>222 BANGSHAL ROAD, DHAKA</t>
  </si>
  <si>
    <t>02 9556826, 9568017017 111693916, 017 30785764</t>
  </si>
  <si>
    <t>bangshal@islamibankbd.com</t>
  </si>
  <si>
    <t>02 7175792</t>
  </si>
  <si>
    <t>125260525</t>
  </si>
  <si>
    <t>ABED ALI TOWER, KA/59 PRAGATI SARANI (OPOSIT TO BASUNDHARA GATE), GULSHAN, DHAKA 1212</t>
  </si>
  <si>
    <t>02 8417444, 8417445, 017 55551138</t>
  </si>
  <si>
    <t>baridhara@islamibankbd.com</t>
  </si>
  <si>
    <t>125271301</t>
  </si>
  <si>
    <t>CHAWK MUGALTULLY BRANCH</t>
  </si>
  <si>
    <t>CHAWK_MUGALTULLY_BRANCH</t>
  </si>
  <si>
    <t>IBBLBDDH105</t>
  </si>
  <si>
    <t>93 CHAWK MUGALTULLY, DHAKA</t>
  </si>
  <si>
    <t>02 7318013, 7313508, 7318486, 017 11693939</t>
  </si>
  <si>
    <t>cmb@islamibankbd.com</t>
  </si>
  <si>
    <t>125260738</t>
  </si>
  <si>
    <t>MAMOTA SHOPPING COMPLEX, 24 NORTH KAFRUL, DHAKA CANTONMENT, DHAKA 1206</t>
  </si>
  <si>
    <t>02 9872397, 8712098, 017 11693934</t>
  </si>
  <si>
    <t>cantonment@islamibankbd.com</t>
  </si>
  <si>
    <t>02 8712098</t>
  </si>
  <si>
    <t>125263522</t>
  </si>
  <si>
    <t>IBBLBDDH129</t>
  </si>
  <si>
    <t>DOZA MANSION, 23 MIRPUR ROAD, DHAKA</t>
  </si>
  <si>
    <t>02 58617101, 017 11693910, 017 55534593</t>
  </si>
  <si>
    <t>newmarket@islamibankbd.com</t>
  </si>
  <si>
    <t>02 8618045</t>
  </si>
  <si>
    <t>125261182</t>
  </si>
  <si>
    <t>IBBLBDDH205</t>
  </si>
  <si>
    <t>RANGS NILU SQUARE, HOUSE NO 75, ROAD 5/A, SATMASJID ROAD, DHANMONDI R/A, DHAKA 1209</t>
  </si>
  <si>
    <t>02 9125316, 9129333, 017 11693937</t>
  </si>
  <si>
    <t>dhanmondi@islamibankbd.com</t>
  </si>
  <si>
    <t>02 9122785</t>
  </si>
  <si>
    <t>125272050</t>
  </si>
  <si>
    <t>WEAVERS CO-OPERATIVE SUPER MARKET 2, MAIN ROAD, DOHAR, DHAKA</t>
  </si>
  <si>
    <t>02 7768170, 017 30034852, 017 30319799</t>
  </si>
  <si>
    <t>dohar@islamibankbd.com</t>
  </si>
  <si>
    <t>06223 56105</t>
  </si>
  <si>
    <t>125261337</t>
  </si>
  <si>
    <t>IBBLBDDH215</t>
  </si>
  <si>
    <t>CHOWRANGI BHABAN, 124/A ELEPHANT ROAD, DHAKA 1205</t>
  </si>
  <si>
    <t>02 9676984, 58610032, 58610036, 017 11693640</t>
  </si>
  <si>
    <t>elephantroad@islamibankbd.com</t>
  </si>
  <si>
    <t>02 9670801</t>
  </si>
  <si>
    <t>125261458</t>
  </si>
  <si>
    <t>FARMGATE BRANCH</t>
  </si>
  <si>
    <t>FARMGATE_BRANCH</t>
  </si>
  <si>
    <t>IBBLBDDH136</t>
  </si>
  <si>
    <t>MALEK TOWER, 31 TEJKUNIPARA, FARMGATE, DHAKA</t>
  </si>
  <si>
    <t>02 8115103, 9121114, 017 11693912</t>
  </si>
  <si>
    <t>farmgate@islamibankbd.com</t>
  </si>
  <si>
    <t>02 8115103</t>
  </si>
  <si>
    <t>125272326</t>
  </si>
  <si>
    <t>IBBLBDDH109</t>
  </si>
  <si>
    <t>AKIJ CHAMBER, 73, DILKUSHA C/A, DHAKA 1000</t>
  </si>
  <si>
    <t>02 9559272, 9553638, 017 13164490, 017 55646358</t>
  </si>
  <si>
    <t>feb@islamibankbd.com</t>
  </si>
  <si>
    <t>02 9552444</t>
  </si>
  <si>
    <t>125261632</t>
  </si>
  <si>
    <t>NIYAT CHALIM PLAZA, BALIVADRA BAZAR, GANAKBARI, SAVAR, DHAKA</t>
  </si>
  <si>
    <t>02 7788300, 017 13425966, 017 13190759</t>
  </si>
  <si>
    <t>ganakbari@islamibankbd.com</t>
  </si>
  <si>
    <t>02 7788300</t>
  </si>
  <si>
    <t>125272447</t>
  </si>
  <si>
    <t>GANDARIA BRANCH</t>
  </si>
  <si>
    <t>GANDARIA_BRANCH</t>
  </si>
  <si>
    <t>95/5/D DISTRILARY ROAD, DAYAGANJ CHOWRASTA, SUTRAPUR, DHAKA 1204</t>
  </si>
  <si>
    <t>02 7454022, 017 55580980, 017 30783830</t>
  </si>
  <si>
    <t>gandaria@islamibankbd.com</t>
  </si>
  <si>
    <t>125261753</t>
  </si>
  <si>
    <t>GULSHAN 1 BRANCH</t>
  </si>
  <si>
    <t>GULSHAN_1_BRANCH</t>
  </si>
  <si>
    <t>IBBLBDDH276</t>
  </si>
  <si>
    <t>BASATY ARISTOCRATS, GULSHAN AVENUE, GULSHAN 1, DHAKA 1212</t>
  </si>
  <si>
    <t>02 8850352, 8834705, 017 13141980</t>
  </si>
  <si>
    <t>gulshan1@islamibankbd.com</t>
  </si>
  <si>
    <t>02 8850352</t>
  </si>
  <si>
    <t>125261724</t>
  </si>
  <si>
    <t>IBBLBDDH177</t>
  </si>
  <si>
    <t>PBL TOWER, 17 NORTH GULSHAN, DHAKA 1212</t>
  </si>
  <si>
    <t>02 8825424, 8837131, 8835396, 017 11693915</t>
  </si>
  <si>
    <t>gulshan@islamibankbd.com</t>
  </si>
  <si>
    <t>02 8825424</t>
  </si>
  <si>
    <t>125261995</t>
  </si>
  <si>
    <t>HAJI CAMP BRANCH</t>
  </si>
  <si>
    <t>HAJI_CAMP_BRANCH</t>
  </si>
  <si>
    <t>HAJJI CAMP, ASHKONA, UTTARA, DHAKA</t>
  </si>
  <si>
    <t>02 8919293, 017 11693944, 017 30001887</t>
  </si>
  <si>
    <t>hajicamp@islamibankbd.com</t>
  </si>
  <si>
    <t>02 7912827</t>
  </si>
  <si>
    <t>125272689</t>
  </si>
  <si>
    <t>HEAD OFFICE BRANCH</t>
  </si>
  <si>
    <t>HEAD_OFFICE_BRANCH</t>
  </si>
  <si>
    <t>IBBLBDDH213</t>
  </si>
  <si>
    <t>ISLAMI BANK TOWER, 40 DILKUSHA C/A, DHAKA 1000</t>
  </si>
  <si>
    <t>02 9570910, 9570911, 017 11693908, 017 14034155</t>
  </si>
  <si>
    <t>hocc@islamibankbd.com</t>
  </si>
  <si>
    <t>02 9564532</t>
  </si>
  <si>
    <t>125262149</t>
  </si>
  <si>
    <t>125272984</t>
  </si>
  <si>
    <t>IBBLBDDH110</t>
  </si>
  <si>
    <t>ADEL COMPLEX, 41-42 ISLAMPUR ROAD, DHAKA</t>
  </si>
  <si>
    <t>02 57390383, 57393918, 017 11693909, 017 14037765</t>
  </si>
  <si>
    <t>islampur@islamibankbd.com</t>
  </si>
  <si>
    <t>02 57392324</t>
  </si>
  <si>
    <t>125273220</t>
  </si>
  <si>
    <t>TONY TOWER SHOPPING COMPLEX, 33 SHAHID FARUQUE SARAK, SOUTH JATRABARI, DHAKA</t>
  </si>
  <si>
    <t>02 7541083, 7546200, 017 11693935</t>
  </si>
  <si>
    <t>jatrabari@islamibankbd.com</t>
  </si>
  <si>
    <t>02 7546200</t>
  </si>
  <si>
    <t>125262457</t>
  </si>
  <si>
    <t>KALAMPUR SME BRANCH</t>
  </si>
  <si>
    <t>KALAMPUR_SME_BRANCH</t>
  </si>
  <si>
    <t>245</t>
  </si>
  <si>
    <t>KALAMPUR BAZAR MASJID MARKET, KALAMPUR, DHAMRAI, DHAKA</t>
  </si>
  <si>
    <t>017 30326102, 017 13278171, 017 87694352</t>
  </si>
  <si>
    <t>kalampur@islamibankbd.com</t>
  </si>
  <si>
    <t>125273583</t>
  </si>
  <si>
    <t>KING CITY SHOPING CENTER, HOLDING NO 48, ASHRAFABAD MAIN ROAD, KAMRANGIRCHAR, DHAKA 1211</t>
  </si>
  <si>
    <t>02 7342265, 017 66665982, 017 77735437</t>
  </si>
  <si>
    <t>kamrangirchar@islamibankbd.com</t>
  </si>
  <si>
    <t>125262536</t>
  </si>
  <si>
    <t>IBBLBDDH222</t>
  </si>
  <si>
    <t>TK BHABAN, 13, KAZI NAZRUL ISLAM AVENUE, KARWAN BAZAR, DHAKA</t>
  </si>
  <si>
    <t>02 9137571, 9125759, 017 11439094, 017 13438523</t>
  </si>
  <si>
    <t>kawran@islamibankbd.com</t>
  </si>
  <si>
    <t>02 8117587</t>
  </si>
  <si>
    <t>125273675</t>
  </si>
  <si>
    <t>KHILGAON PAKA MASJID MARKET COMPLEX, HOLDING NO 729, BLOCK C, KHILGAON, DHAKA 1219</t>
  </si>
  <si>
    <t>02 7216464, 017 14015532, 017 55545516</t>
  </si>
  <si>
    <t>khilgaon@islamibankbd.com</t>
  </si>
  <si>
    <t>02 7212761</t>
  </si>
  <si>
    <t>125273820</t>
  </si>
  <si>
    <t>LALBAGH BRANCH</t>
  </si>
  <si>
    <t>LALBAGH_BRANCH</t>
  </si>
  <si>
    <t>APEX BUILDING, 39-40/A HARONATH GHOSH ROAD, LALBAGH, DHAKA 1211</t>
  </si>
  <si>
    <t>02 9615341, 017 30703856</t>
  </si>
  <si>
    <t>lalbag@islamibankbd.com</t>
  </si>
  <si>
    <t>02 9611535</t>
  </si>
  <si>
    <t>125273888</t>
  </si>
  <si>
    <t>IBBLBDDH102</t>
  </si>
  <si>
    <t>75 MOTIJHEEL COMMERICAL AREA, DHAKA 1000</t>
  </si>
  <si>
    <t>02 9571201-02, 017 11694317, 017 11693901-03</t>
  </si>
  <si>
    <t>logb@islamibankbd.com</t>
  </si>
  <si>
    <t>02 9561105, 9561995</t>
  </si>
  <si>
    <t>125263106</t>
  </si>
  <si>
    <t>MIRPUR 1 BRANCH</t>
  </si>
  <si>
    <t>MIRPUR_1_BRANCH</t>
  </si>
  <si>
    <t>IBBLBDDH210</t>
  </si>
  <si>
    <t>MADINA TOWER, HOLDING NO 2, DARUS SALAM ROAD, SECTION 02, MIRPUR 1, DHAKA 1216</t>
  </si>
  <si>
    <t>02 8058252, 017 11693938, 017 14093289</t>
  </si>
  <si>
    <t>darussalam@islamibankbd.com</t>
  </si>
  <si>
    <t>02 9014295</t>
  </si>
  <si>
    <t>125262981</t>
  </si>
  <si>
    <t>IBBLBDDH131</t>
  </si>
  <si>
    <t>ROAD NO 1, SECTION 6, MIRPUR, DHAKA</t>
  </si>
  <si>
    <t>02 8011287, 017 11693911, 017 30034903</t>
  </si>
  <si>
    <t>mirpur@islamibankbd.com</t>
  </si>
  <si>
    <t>02 9015817</t>
  </si>
  <si>
    <t>125274182</t>
  </si>
  <si>
    <t>WAQF BHABAN, 4 NEW ESKATON ROAD, MOGHBAZAR, DHAKA 1000</t>
  </si>
  <si>
    <t>02 8317910, 017 30727389,  017 87670964</t>
  </si>
  <si>
    <t>mogbazar@islamibankbd.com</t>
  </si>
  <si>
    <t>02 8317923</t>
  </si>
  <si>
    <t>125263193</t>
  </si>
  <si>
    <t>IBBLBDDH191</t>
  </si>
  <si>
    <t>MASTER PRINTING &amp;amp; PAKAGING BHABAN, 89 MOHAKHALI C/A, DHAKA 1212</t>
  </si>
  <si>
    <t>02 9883346, 8829400, 017 11693917</t>
  </si>
  <si>
    <t>mohakhali@islamibankbd.com</t>
  </si>
  <si>
    <t>02 9883346</t>
  </si>
  <si>
    <t>125263377</t>
  </si>
  <si>
    <t>PLOT 16/B, BLOCK F, PRABAL HOUSING, RING ROAD, ADABOR, MOHAMMADPUR, DHAKA 1207</t>
  </si>
  <si>
    <t>02 9142403, 8142833, 017 14036080</t>
  </si>
  <si>
    <t>krishimarket@islamibankbd.com</t>
  </si>
  <si>
    <t>02 8142833</t>
  </si>
  <si>
    <t>125274245</t>
  </si>
  <si>
    <t>IBBLBDDH311</t>
  </si>
  <si>
    <t>SWANTEX COURT BHABAN, 9/1 MOTIJHEEL, DHAKA 1000</t>
  </si>
  <si>
    <t>02 9514979-80, 017 13164489, 017 30001226</t>
  </si>
  <si>
    <t>motijheel@islamibankbd.com</t>
  </si>
  <si>
    <t>02 7110531</t>
  </si>
  <si>
    <t>125274395</t>
  </si>
  <si>
    <t>IBBLBDDH145</t>
  </si>
  <si>
    <t>HOSAF TOWER, 257-259 MALIBAGH, DHAKA 1217</t>
  </si>
  <si>
    <t>02 9361845, 017 11693913, 017 14093294</t>
  </si>
  <si>
    <t>mouchak@islamibankbd.com</t>
  </si>
  <si>
    <t>02 9355625</t>
  </si>
  <si>
    <t>125274690</t>
  </si>
  <si>
    <t>THANA ROAD, NAWABGANJ, DHAKA</t>
  </si>
  <si>
    <t>02 7765235, 017 11435708, 017 30333625</t>
  </si>
  <si>
    <t>nawabgonj@islamibankbd.com</t>
  </si>
  <si>
    <t>06225 56235</t>
  </si>
  <si>
    <t>125274753</t>
  </si>
  <si>
    <t>IBBLBDDH118</t>
  </si>
  <si>
    <t>210-211 NAWABPUR ROAD, DHAKA</t>
  </si>
  <si>
    <t>02 9557258, 017 11693907, 017 11693868</t>
  </si>
  <si>
    <t>nawabpur@islamibankbd.com</t>
  </si>
  <si>
    <t>02 9556748</t>
  </si>
  <si>
    <t>125263580</t>
  </si>
  <si>
    <t>HYPERION ROSE, HOLDING NO 61/1-2, BLOCK B, ROAD 04, SECTION 12, PALLABI, DHAKA</t>
  </si>
  <si>
    <t>02 8034754, 9004697, 017 13067777</t>
  </si>
  <si>
    <t>pallabi@islamibankbd.com</t>
  </si>
  <si>
    <t>02 9004796</t>
  </si>
  <si>
    <t>125275202</t>
  </si>
  <si>
    <t>IBBLBDDH206</t>
  </si>
  <si>
    <t>DARUS SALAM AARKED, 14 PURANA PALTAN, DHAKA 1000</t>
  </si>
  <si>
    <t>02 9564860, 017 11622474, 017 55636220</t>
  </si>
  <si>
    <t>paltan@islamibankbd.com</t>
  </si>
  <si>
    <t>02 9559506</t>
  </si>
  <si>
    <t>125263614</t>
  </si>
  <si>
    <t>TRIDHARA TOWER, 67 LAKE CIRCUS, WEST PANTHAPATH, DHAKA</t>
  </si>
  <si>
    <t>02 8141962, 017 30034850, 017 55646354</t>
  </si>
  <si>
    <t>panthapath@islamibankbd.com</t>
  </si>
  <si>
    <t>02 9122084</t>
  </si>
  <si>
    <t>125275686</t>
  </si>
  <si>
    <t>IBBLBDDH157</t>
  </si>
  <si>
    <t>DAWN PLAZA, 9 BANGA BANDHU AVENUE, DHAKA 1000</t>
  </si>
  <si>
    <t>02 9568584, 017 13229924, 017 30700061</t>
  </si>
  <si>
    <t>ramna@islamibankbd.com</t>
  </si>
  <si>
    <t>02 9563437</t>
  </si>
  <si>
    <t>125275749</t>
  </si>
  <si>
    <t>IBBLBDDH226</t>
  </si>
  <si>
    <t>394 DIT ROAD, WEST RAMPURA, DHAKA 1219</t>
  </si>
  <si>
    <t>02 8359475, 017 11431277, 017 13141501</t>
  </si>
  <si>
    <t>rampura@islamibankbd.com</t>
  </si>
  <si>
    <t>02 9359465</t>
  </si>
  <si>
    <t>125275923</t>
  </si>
  <si>
    <t>IBBLBDDH197</t>
  </si>
  <si>
    <t>MOLLICK TOWER, CHITTARANJAN AVENUE, SUTRAPUR, DHAKA</t>
  </si>
  <si>
    <t>02 9533361-62, 017 11693918, 017 55649505</t>
  </si>
  <si>
    <t>sadarghat@islamibankbd.com</t>
  </si>
  <si>
    <t>02 7113194</t>
  </si>
  <si>
    <t>125264097</t>
  </si>
  <si>
    <t>SAVAR CITY CENTER, B-37/1 JALESHAR BAZAR BUS STAND, SAVAR, DHAKA</t>
  </si>
  <si>
    <t>02 7710777, 017 11693928, 017 55645326</t>
  </si>
  <si>
    <t>savar@islamibankbd.com</t>
  </si>
  <si>
    <t>02 7742525</t>
  </si>
  <si>
    <t>125264305</t>
  </si>
  <si>
    <t>IBBLBDDH209</t>
  </si>
  <si>
    <t>15/4 MIRPUR ROAD, SHYAMOLI, MOHAMMADPUR, DHAKA</t>
  </si>
  <si>
    <t>02 9123527, 017 11693945, 017 55521992</t>
  </si>
  <si>
    <t>shyamali@islamibankbd.com</t>
  </si>
  <si>
    <t>02 9139221</t>
  </si>
  <si>
    <t>125276522</t>
  </si>
  <si>
    <t>SHYAMPUR BRANCH</t>
  </si>
  <si>
    <t>SHYAMPUR_BRANCH</t>
  </si>
  <si>
    <t>227/3 KARIMULLARBAGH, POSTAGOLA, SHYAMPUR, DHAKA</t>
  </si>
  <si>
    <t>02 7446699, 7646729, 017 30328442</t>
  </si>
  <si>
    <t>shyampur@islamibankbd.com</t>
  </si>
  <si>
    <t>02 7452165</t>
  </si>
  <si>
    <t>125264639</t>
  </si>
  <si>
    <t>IBBLBDDH207</t>
  </si>
  <si>
    <t>KUSHAL CENTRE, UTTARA MODEL TOWN, UTTARA, DHAKA 1230</t>
  </si>
  <si>
    <t>02 58952055, 017 11693936, 019 98707006</t>
  </si>
  <si>
    <t>uttara@islamibankbd.com</t>
  </si>
  <si>
    <t>02 8923976</t>
  </si>
  <si>
    <t>125276856</t>
  </si>
  <si>
    <t>IBBLBDDH223</t>
  </si>
  <si>
    <t>ISLAMI BANK HOSPITAL BHABAN, 30 VIP ROAD, KAKRAIL, DHAKA 1000</t>
  </si>
  <si>
    <t>02 9354147, 017 11439095, 017 30730169</t>
  </si>
  <si>
    <t>viproad@islamibankbd.com</t>
  </si>
  <si>
    <t>02 9359442</t>
  </si>
  <si>
    <t>125277042</t>
  </si>
  <si>
    <t>WISEGHAT BRANCH</t>
  </si>
  <si>
    <t>WISEGHAT_BRANCH</t>
  </si>
  <si>
    <t>WISEGHAT ROAD, KOTWALI, DHAKA 1100</t>
  </si>
  <si>
    <t>02 57396315, 017 46134431, 017 55629464</t>
  </si>
  <si>
    <t>wiseghat@islamibankbd.com</t>
  </si>
  <si>
    <t>125277097</t>
  </si>
  <si>
    <t>THANA ROAD, ZINZIRA, KERANIGANJ, DHAKA</t>
  </si>
  <si>
    <t>02 7761287, 017 11693931</t>
  </si>
  <si>
    <t>zinzira@islamibankbd.com</t>
  </si>
  <si>
    <t>02 7762452</t>
  </si>
  <si>
    <t>125264826</t>
  </si>
  <si>
    <t>ZIRANI BAZAR SME BRANCH</t>
  </si>
  <si>
    <t>ZIRANI_BAZAR_SME_BRANCH</t>
  </si>
  <si>
    <t>482</t>
  </si>
  <si>
    <t>RS PLAZA, ZIRANI BAZAR, ASHULIA, DHAKA 1349</t>
  </si>
  <si>
    <t>02 7772871, 017 30097289, 017 11693931</t>
  </si>
  <si>
    <t>ziranibazar@islamibankbd.com</t>
  </si>
  <si>
    <t>125270007</t>
  </si>
  <si>
    <t>125280347</t>
  </si>
  <si>
    <t>MAIN ROAD, BIRAMPUR, DINAJPUR</t>
  </si>
  <si>
    <t>05322 56540, 017 14013395, 017 55646350</t>
  </si>
  <si>
    <t>birampur@islamibankbd.com</t>
  </si>
  <si>
    <t>125280671</t>
  </si>
  <si>
    <t>IBBLBDDH138</t>
  </si>
  <si>
    <t>JAVED SUPER MARKET, STATION ROAD, DINAJPUR</t>
  </si>
  <si>
    <t>0531 63215, 51633, 017 11438341</t>
  </si>
  <si>
    <t>dinajpur@islamibankbd.com</t>
  </si>
  <si>
    <t>125282174</t>
  </si>
  <si>
    <t>TOWN PLAZA, HOLDING NO 419-423, SETABGANJ CHOWRASTA, BOCHAGANJ, DINAJPUR 5325</t>
  </si>
  <si>
    <t>05325 73055, 017 55554478</t>
  </si>
  <si>
    <t>setabganj@islamibankbd.com</t>
  </si>
  <si>
    <t>125290290</t>
  </si>
  <si>
    <t>FAZILATUNNESSA TOWER, HOLDING NO 75, KAPORIA PATTY ROAD, BHANGA, FARIDPUR 7830</t>
  </si>
  <si>
    <t>06323 56331, 017 30706796, 017 12297754</t>
  </si>
  <si>
    <t>bhanga@islamibankbd.com</t>
  </si>
  <si>
    <t>125290524</t>
  </si>
  <si>
    <t>HOLDING NO 94/87, MUJIB SARAK, WARD 04, KOTWALI, FARIDPUR</t>
  </si>
  <si>
    <t>0631 63081, 65592, 017 11693921</t>
  </si>
  <si>
    <t>faridpur@islamibankbd.com</t>
  </si>
  <si>
    <t>0631 66035</t>
  </si>
  <si>
    <t>125300319</t>
  </si>
  <si>
    <t>NEW MARKET, HOLDING NO 1407-1410, DHAKA-CHITTAGONG OLD TRUNK ROAD, CHHAGALNAIYA, FENI</t>
  </si>
  <si>
    <t>03322 78478, 017 13425932, 017 55532371</t>
  </si>
  <si>
    <t>chagalnaiya@islamibankbd.com</t>
  </si>
  <si>
    <t>125300348</t>
  </si>
  <si>
    <t>COLLEGE ROAD BRANCH</t>
  </si>
  <si>
    <t>COLLEGE_ROAD_BRANCH</t>
  </si>
  <si>
    <t>GAFUR PLAZA, 597 COLLEGE ROAD, FENI 3900</t>
  </si>
  <si>
    <t>0331 61537, 74534, 017 55551140</t>
  </si>
  <si>
    <t>collegeroad@islamibankbd.com</t>
  </si>
  <si>
    <t>125300377</t>
  </si>
  <si>
    <t>ISHAQUE SHOPPING COMPLEX, FENI ROAD, DAGANBHUIYAN, FENI</t>
  </si>
  <si>
    <t>03323 79479, 79481, 017 30034871</t>
  </si>
  <si>
    <t>dagunbhuiyan@islamibankbd.com</t>
  </si>
  <si>
    <t>125300522</t>
  </si>
  <si>
    <t>248-249 SSK ROAD, FENI</t>
  </si>
  <si>
    <t>0331 73175, 74548, 017 13190692, 017 13141508</t>
  </si>
  <si>
    <t>feni@islamibankbd.com</t>
  </si>
  <si>
    <t>0331 74548</t>
  </si>
  <si>
    <t>125301284</t>
  </si>
  <si>
    <t>PARSHURAM SME BRANCH</t>
  </si>
  <si>
    <t>PARSHURAM_SME_BRANCH</t>
  </si>
  <si>
    <t>HAJI KALIM UDDIN PLAZA, 385 THANA ROAD, PARSHURAM BAZAR, FENI 3940</t>
  </si>
  <si>
    <t>017 30341042, , 017 13425908, 017 55548045</t>
  </si>
  <si>
    <t>parshuram@islamibankbd.com</t>
  </si>
  <si>
    <t>125301484</t>
  </si>
  <si>
    <t>RAKIB PLAZA, HOLDING NO 7, FENI ROAD, SONAGAZI, FENI</t>
  </si>
  <si>
    <t>03325 76086, 017 14036536, 017 30333627</t>
  </si>
  <si>
    <t>sonagazi@islamibankbd.com</t>
  </si>
  <si>
    <t>125320528</t>
  </si>
  <si>
    <t>PARK VIEW SUPER MARKET, PARK ROAD, GAIBANDHA</t>
  </si>
  <si>
    <t>0541 61722, 017 11438344</t>
  </si>
  <si>
    <t>gaibandha@islamibankbd.com</t>
  </si>
  <si>
    <t>125320586</t>
  </si>
  <si>
    <t>ZAHIR COMPLEX, BISHWA ROAD, GOBINDAGANJ, GAIBANDHA</t>
  </si>
  <si>
    <t>05423 88092, 75254, 017 11889957</t>
  </si>
  <si>
    <t>gobindagonj@islamibankbd.com</t>
  </si>
  <si>
    <t>125321301</t>
  </si>
  <si>
    <t>JANATA MARKET, 116 COLLEGE ROAD, SUNDARGANJ, GAIBANDHA</t>
  </si>
  <si>
    <t>05427 64216, 017 30333623</t>
  </si>
  <si>
    <t>sundargonj@islamibankbd.com</t>
  </si>
  <si>
    <t>05427 64216</t>
  </si>
  <si>
    <t>125330226</t>
  </si>
  <si>
    <t>CHAIRMAN PLAZA, DHAKA-MYMENSINGH MAIN ROAD, BOARD BAZAR, GAZIPUR</t>
  </si>
  <si>
    <t>02 9292942, 9292943, 017 30703852</t>
  </si>
  <si>
    <t>boardbazar@islamibankbd.com</t>
  </si>
  <si>
    <t>02 9292943</t>
  </si>
  <si>
    <t>125330592</t>
  </si>
  <si>
    <t>SHIBBARI MORE, BIDC ROAD, JOYDEVPUR, GAZIPUR 1700</t>
  </si>
  <si>
    <t>02 9263578, 017 55629468, 017 55645310</t>
  </si>
  <si>
    <t>gazipursadar@islamibankbd.com</t>
  </si>
  <si>
    <t>125330550</t>
  </si>
  <si>
    <t>ANUPAM SUPER MARKET, CHANDANA, GAZIPUR</t>
  </si>
  <si>
    <t>02 9252204, 9261589, 017 13246700</t>
  </si>
  <si>
    <t>gazipur@islamibankbd.com</t>
  </si>
  <si>
    <t>125330947</t>
  </si>
  <si>
    <t>RANU SUPER MARKET, NILNAGAR, KONABARI, GAZIPUR 1346</t>
  </si>
  <si>
    <t>02 9297479, 9297480, 017 55580984</t>
  </si>
  <si>
    <t>konabari@islamibankbd.com</t>
  </si>
  <si>
    <t>125331038</t>
  </si>
  <si>
    <t>MAWNA CHOWRASTA BRANCH</t>
  </si>
  <si>
    <t>MAWNA_CHOWRASTA_BRANCH</t>
  </si>
  <si>
    <t>LK TOWER, DHAKA-MYMENSINGH ROAD, SREEPUR, GAZIPUR</t>
  </si>
  <si>
    <t>06825 52763, 51570, 017 30034874</t>
  </si>
  <si>
    <t>mawna@islamibankbd.com</t>
  </si>
  <si>
    <t>125331638</t>
  </si>
  <si>
    <t>19 MAIN ROAD, TONGI, GAZIPUR</t>
  </si>
  <si>
    <t>02 9804166, 017 11693946, 017 30785987</t>
  </si>
  <si>
    <t>tongi@islamibankbd.com</t>
  </si>
  <si>
    <t>125350372</t>
  </si>
  <si>
    <t>NAZRUL CENTRE, HOLDING NO 16, CHOWRANGHI ROAD, GOPALGANJ 8100</t>
  </si>
  <si>
    <t>0668 61610, 017 11693941</t>
  </si>
  <si>
    <t>gopalgonj@islamibankbd.com</t>
  </si>
  <si>
    <t>0668 61610</t>
  </si>
  <si>
    <t>125360612</t>
  </si>
  <si>
    <t>KALIBARI ROAD, HABIGANJ</t>
  </si>
  <si>
    <t>0831 52611, 017 32724484, 017 55619929</t>
  </si>
  <si>
    <t>habigonj@islamibankbd.com</t>
  </si>
  <si>
    <t>0831 61211</t>
  </si>
  <si>
    <t>125361103</t>
  </si>
  <si>
    <t>NABIGANJ SME BRANCH</t>
  </si>
  <si>
    <t>NABIGANJ_SME_BRANCH</t>
  </si>
  <si>
    <t>HEKIM NIKETON, NABIGANJ, HABIGANJ</t>
  </si>
  <si>
    <t>08328 56121, 56122, 017 30736025</t>
  </si>
  <si>
    <t>nabiganj@islamibankbd.com</t>
  </si>
  <si>
    <t>08328 56122</t>
  </si>
  <si>
    <t>125361408</t>
  </si>
  <si>
    <t>SHAYESTAGANJ SME BRANCH</t>
  </si>
  <si>
    <t>SHAYESTAGANJ_SME_BRANCH</t>
  </si>
  <si>
    <t>140</t>
  </si>
  <si>
    <t>SHAYESTAGANJ PLAZA, STATION ROAD, SHAYESTAGANJ, HABIGANJ</t>
  </si>
  <si>
    <t>08332 56800, 017 30097288, 017 13190885</t>
  </si>
  <si>
    <t>shayestagonj@islamibankbd.com</t>
  </si>
  <si>
    <t>08332 56800</t>
  </si>
  <si>
    <t>125390103</t>
  </si>
  <si>
    <t>HAJI SONAULLAH MANSION, BAKSIGANJ, JAMALPUR</t>
  </si>
  <si>
    <t>0982 256011, 017 55649502, 017 30727391</t>
  </si>
  <si>
    <t>bakshigonj@islamibankbd.com</t>
  </si>
  <si>
    <t>125390853</t>
  </si>
  <si>
    <t>JAM-E MASJID ROAD, JAMALPUR</t>
  </si>
  <si>
    <t>0981 63356, 017 11693922, 017 30031829</t>
  </si>
  <si>
    <t>jamalpur@islamibankbd.com</t>
  </si>
  <si>
    <t>0981 65316</t>
  </si>
  <si>
    <t>125391694</t>
  </si>
  <si>
    <t>JAMUNA FERTILIZER COMPANY LIMITED, TARAKANDI, SARISHABARI, JAMALPUR</t>
  </si>
  <si>
    <t>09827 87019, 017 11693947, 017 55551376</t>
  </si>
  <si>
    <t>tarakandi@islamibankbd.com</t>
  </si>
  <si>
    <t>125410283</t>
  </si>
  <si>
    <t>IBBLBDDH164</t>
  </si>
  <si>
    <t>SS SUPER MARKET, BENAPOLE PORT, JESSORE</t>
  </si>
  <si>
    <t>04228 75704, 017 11889923, 017 30034904</t>
  </si>
  <si>
    <t>benapole@islamibankbd.com</t>
  </si>
  <si>
    <t>04228 76121</t>
  </si>
  <si>
    <t>125410559</t>
  </si>
  <si>
    <t>KAPOTAKKA CENTRE, MADRASAH ROAD, CHOWGACHA, JESSORE</t>
  </si>
  <si>
    <t>04224 56021, 017 13335786, 017 30792102</t>
  </si>
  <si>
    <t>chowgacha@islamibankbd.com</t>
  </si>
  <si>
    <t>125410946</t>
  </si>
  <si>
    <t>IBBLBDDH125</t>
  </si>
  <si>
    <t>7-8 RAIL ROAD, JESSORE 7400</t>
  </si>
  <si>
    <t>0421 62521, 72506, 66609, 017 11889914-15</t>
  </si>
  <si>
    <t>jessore@islamibankbd.com</t>
  </si>
  <si>
    <t>0421 68829</t>
  </si>
  <si>
    <t>125411095</t>
  </si>
  <si>
    <t>HANIF SUPER MARKET, JHIKARGACHHA, JESSORE</t>
  </si>
  <si>
    <t>04225 71353, 017 11889958, 017 13425920</t>
  </si>
  <si>
    <t>jhikorgacha@islamibankbd.com</t>
  </si>
  <si>
    <t>04225 71712</t>
  </si>
  <si>
    <t>125411637</t>
  </si>
  <si>
    <t>IBBLBDDH135</t>
  </si>
  <si>
    <t>04222 71301, 017 11400350, 017 13439069</t>
  </si>
  <si>
    <t>noapara@islamibankbd.com</t>
  </si>
  <si>
    <t>04222 71770</t>
  </si>
  <si>
    <t>125420310</t>
  </si>
  <si>
    <t>14 BATASHA PATTY ROAD, JHALAKATI</t>
  </si>
  <si>
    <t>0498 62716, 017 11889921, 017 30034942</t>
  </si>
  <si>
    <t>jhalokathi@islamibankbd.com</t>
  </si>
  <si>
    <t>0498 63094</t>
  </si>
  <si>
    <t>125440358</t>
  </si>
  <si>
    <t>DAK BANGLA SME BRANCH</t>
  </si>
  <si>
    <t>DAK_BANGLA_SME_BRANCH</t>
  </si>
  <si>
    <t>DAK BANGLA BAZAR, JHENAIDAH SADAR, JHENAIDAH</t>
  </si>
  <si>
    <t>04532 51010, 017 30097282, 017 66668142</t>
  </si>
  <si>
    <t>remit.dakbangla@islamibankbd.com</t>
  </si>
  <si>
    <t>125440640</t>
  </si>
  <si>
    <t>HOSSAIN SHAHID SOHRAWARDI ROAD, JHENAIDAH</t>
  </si>
  <si>
    <t>0451 62757, 017 11889918, 017 30032239</t>
  </si>
  <si>
    <t>jhenidah@islamibankbd.com</t>
  </si>
  <si>
    <t>0451 63777</t>
  </si>
  <si>
    <t>125440790</t>
  </si>
  <si>
    <t>OSMAN RASHIDA TOWER, BAZAR ROAD, KALIGANJ, JHENIDAH</t>
  </si>
  <si>
    <t>04523 56035, 017 13425933, 017 55532605</t>
  </si>
  <si>
    <t>kaligonj@islamibankbd.com</t>
  </si>
  <si>
    <t>04523 56035</t>
  </si>
  <si>
    <t>125441007</t>
  </si>
  <si>
    <t>KOTCHANDPUR BAZAR, KOTCHANDPUR, JHENAIDAH</t>
  </si>
  <si>
    <t>0495 70911, 017 30333622, 017 55542876</t>
  </si>
  <si>
    <t>kotchandpur@islamibankbd.com</t>
  </si>
  <si>
    <t>125380405</t>
  </si>
  <si>
    <t>TAHERA COMPLEX, HOLDING NO 306, SADAR ROAD, JOYPURHAT 5900</t>
  </si>
  <si>
    <t>0571 62962, 017 11889952</t>
  </si>
  <si>
    <t>joypurhat@islamibankbd.com</t>
  </si>
  <si>
    <t>125460075</t>
  </si>
  <si>
    <t>MINI SUPER MARKET, BAZAR SHAHI ZAME MASJID ROAD, KHAGRACHHARI</t>
  </si>
  <si>
    <t>0371 62030, 017 30333621</t>
  </si>
  <si>
    <t>khagrachory@islamibankbd.com</t>
  </si>
  <si>
    <t>0371 62030</t>
  </si>
  <si>
    <t>125470702</t>
  </si>
  <si>
    <t>271 KHAN A SABUR ROAD, DAULATPUR, KHULNA</t>
  </si>
  <si>
    <t>041 760414, 762929, 017 11889912</t>
  </si>
  <si>
    <t>daulatpur@islamibankbd.com</t>
  </si>
  <si>
    <t>125472155</t>
  </si>
  <si>
    <t>FULTALA BAZAR SME BRANCH</t>
  </si>
  <si>
    <t>FULTALA_BAZAR_SME_BRANCH</t>
  </si>
  <si>
    <t>215</t>
  </si>
  <si>
    <t>FULTALA BAZAR, FULTALA, KHULNA</t>
  </si>
  <si>
    <t>041 701518, 017 13438545</t>
  </si>
  <si>
    <t>fultala@islamibankbd.com</t>
  </si>
  <si>
    <t>125471406</t>
  </si>
  <si>
    <t>TAYAMUN CENTRE, 181 KHAN A SABUR ROAD, SHIBBARI MORE, KDA AVENUE, KHULNA</t>
  </si>
  <si>
    <t>041 733633, 733555, 017 13185038</t>
  </si>
  <si>
    <t>kdaavenue@islamibankbd.com</t>
  </si>
  <si>
    <t>041 733555</t>
  </si>
  <si>
    <t>125471543</t>
  </si>
  <si>
    <t>IBBLBDDH107</t>
  </si>
  <si>
    <t>KHULNA SHOPPING COMPLEX, 4 OLD JESSORE ROAD, KHULNA</t>
  </si>
  <si>
    <t>041 720688, 730531, 017 11889911, 017 11807622</t>
  </si>
  <si>
    <t>khulna@islamibankbd.com</t>
  </si>
  <si>
    <t>041 720386</t>
  </si>
  <si>
    <t>125472089</t>
  </si>
  <si>
    <t>MONDAL MANSION, HOLDING NO 19, WARD 7, MAIN ROAD, PAIKGACHHA, KHULNA 9280</t>
  </si>
  <si>
    <t>04027 56057, 017 11432104, 017 55636205</t>
  </si>
  <si>
    <t>paikgacha@islamibankbd.com</t>
  </si>
  <si>
    <t>04027 56057</t>
  </si>
  <si>
    <t>125480192</t>
  </si>
  <si>
    <t>82-84 MISTY PATTY, BHAIRAB, KISHOREGANJ</t>
  </si>
  <si>
    <t>09424 71289, 017 11431278, 017 55547944</t>
  </si>
  <si>
    <t>bhairab@islamibankbd.com</t>
  </si>
  <si>
    <t>125480589</t>
  </si>
  <si>
    <t>AL-HAJ MUJIBUR RAHMAN BHUIYAN COMPLEX, HOLDING NO 2473, KATIADI HOSPITAL ROAD, KISHOREGANJ 2330</t>
  </si>
  <si>
    <t>090428 56079, 017 55554479, 017 30031867</t>
  </si>
  <si>
    <t>kotiadi@islamibankbd.com</t>
  </si>
  <si>
    <t>125480671</t>
  </si>
  <si>
    <t>JOMSHED TRADE CENTER, HOLDING NO 648, KISHOREGANJ</t>
  </si>
  <si>
    <t>0941 62441, 017 13190737, 017 13438506</t>
  </si>
  <si>
    <t>kishoreganj@islamibankbd.com</t>
  </si>
  <si>
    <t>0941 61675</t>
  </si>
  <si>
    <t>125490108</t>
  </si>
  <si>
    <t>KASHEM MARKET, BAZAR ROAD, BHURUNGAMARI, KURIGRAM 5670</t>
  </si>
  <si>
    <t>05822 56080, 017 55629467</t>
  </si>
  <si>
    <t>bhurungamari@islamibankbd.com</t>
  </si>
  <si>
    <t>125490403</t>
  </si>
  <si>
    <t>16 BAZAR ROAD, KURIGRAM</t>
  </si>
  <si>
    <t>0581 61722, 017 13246701, 017 11435012</t>
  </si>
  <si>
    <t>kurigram@islamibankbd.com</t>
  </si>
  <si>
    <t>125490645</t>
  </si>
  <si>
    <t>ROWMARI BRANCH</t>
  </si>
  <si>
    <t>ROWMARI_BRANCH</t>
  </si>
  <si>
    <t>ASAD MARKET, ROWMARI BAZAR, KURIGRAM 5640</t>
  </si>
  <si>
    <t>0582 856046, 017 66665979, 017 55513693</t>
  </si>
  <si>
    <t>roumari@islamibankbd.com</t>
  </si>
  <si>
    <t>125500885</t>
  </si>
  <si>
    <t>FAYEZ KHAN TOWER, SONABANDHU SARAK, KUMARKHALI, KUSHTIA 7010</t>
  </si>
  <si>
    <t>07025 76681, 017 14004856</t>
  </si>
  <si>
    <t>ibblkumar@islamibankbd.com</t>
  </si>
  <si>
    <t>07025 76681</t>
  </si>
  <si>
    <t>125500948</t>
  </si>
  <si>
    <t>IBBLBDDH133</t>
  </si>
  <si>
    <t>LOVELY TOWER, 55/1 NAWAB SIRAJUDDULA ROAD, KUSHTIA</t>
  </si>
  <si>
    <t>071 62244, 61313, 017 11889916</t>
  </si>
  <si>
    <t>ibblkushtia@yahoo.com</t>
  </si>
  <si>
    <t>071 73488</t>
  </si>
  <si>
    <t>125501363</t>
  </si>
  <si>
    <t>PORADAH BAZAR, KUSHTIA</t>
  </si>
  <si>
    <t>071 65010, 017 14098450</t>
  </si>
  <si>
    <t>poradah@islamibankbd.com</t>
  </si>
  <si>
    <t>125510196</t>
  </si>
  <si>
    <t>CHANDRAGANJ NEW MARKET, CHANDRAGANJ, LAKSHMIPUR 3708</t>
  </si>
  <si>
    <t>03825 81144, 81155, 017 55551139, 017 30032235</t>
  </si>
  <si>
    <t>chandraganj@islamibankbd.com</t>
  </si>
  <si>
    <t>125510738</t>
  </si>
  <si>
    <t>CHAWK BAZAR JAME MOSQUE MARKET, MAIN ROAD, LAKSHMIPUR</t>
  </si>
  <si>
    <t>0381 55680, 017 13190744, 017 11889943</t>
  </si>
  <si>
    <t>laxmipur@islamibankbd.com</t>
  </si>
  <si>
    <t>125510970</t>
  </si>
  <si>
    <t>MIAJEE SUPER MARKET, 842 UPAZILA PARISHAD ROAD, RAIPUR, LAKSHMIPUR</t>
  </si>
  <si>
    <t>03822 56288, 017 30032367, 017 55646353</t>
  </si>
  <si>
    <t>raipur@islamibankbd.com</t>
  </si>
  <si>
    <t>03822 56477</t>
  </si>
  <si>
    <t>125511032</t>
  </si>
  <si>
    <t>CHAND SUPER MARKET, KALA BARIA, RAMGANJ, LAKSHMIPUR</t>
  </si>
  <si>
    <t>03824 75488, 017 14037943, 017 55538500</t>
  </si>
  <si>
    <t>ramgonj@islamibankbd.com</t>
  </si>
  <si>
    <t>03824 75488</t>
  </si>
  <si>
    <t>125520465</t>
  </si>
  <si>
    <t>MOGALHAT RAIL GATE, PURAN BAZAR ROAD, LALMONIRHAT</t>
  </si>
  <si>
    <t>0591 61006, 017 14040449</t>
  </si>
  <si>
    <t>lalmonirhat@islamibankbd.com</t>
  </si>
  <si>
    <t>125520599</t>
  </si>
  <si>
    <t>PATGRAM SME BRANCH</t>
  </si>
  <si>
    <t>PATGRAM_SME_BRANCH</t>
  </si>
  <si>
    <t>059</t>
  </si>
  <si>
    <t>ASIR PLAZA, MAIN ROAD, PATGRAM, LALMONIRHAT</t>
  </si>
  <si>
    <t>05925 56147, 017 30703851</t>
  </si>
  <si>
    <t>patgram@islamibankbd.com</t>
  </si>
  <si>
    <t>125540140</t>
  </si>
  <si>
    <t>CHARMUGURIA SME BRANCH</t>
  </si>
  <si>
    <t>CHARMUGURIA_SME_BRANCH</t>
  </si>
  <si>
    <t>ITALIAN PLAZA, HOLDING NO 194, ROAD NO 1, CHARMUGURIA, WARD 08, MADARIPUR</t>
  </si>
  <si>
    <t>0661 61139, 017 30097285, 017 13438516</t>
  </si>
  <si>
    <t>chormuguria@islamibankbd.com</t>
  </si>
  <si>
    <t>0661 61139</t>
  </si>
  <si>
    <t>125540403</t>
  </si>
  <si>
    <t>MELBOURNE PLAZA, PURAN BAZAR, MADARIPUR 7900</t>
  </si>
  <si>
    <t>0661 56074, 017 14010473, 017 30783831</t>
  </si>
  <si>
    <t>madaripur@islamibankbd.com</t>
  </si>
  <si>
    <t>0661 62437</t>
  </si>
  <si>
    <t>125540766</t>
  </si>
  <si>
    <t>TAKERHAT DAKSHINPAR, RAJOIR, MADARIPUR</t>
  </si>
  <si>
    <t>06623 56277, 017 30032366</t>
  </si>
  <si>
    <t>takerhat@islamibankbd.com</t>
  </si>
  <si>
    <t>06623 56277</t>
  </si>
  <si>
    <t>125550556</t>
  </si>
  <si>
    <t>SAYED ATAR ALI ROAD, MAGURA</t>
  </si>
  <si>
    <t>0488 63305, 017 14025934, 017 55636214</t>
  </si>
  <si>
    <t>magura@islamibankbd.com</t>
  </si>
  <si>
    <t>0488 63305</t>
  </si>
  <si>
    <t>125560612</t>
  </si>
  <si>
    <t>SYED MARKET, 60 SHAHEED RAFIQ SARAK, MANIKGANJ</t>
  </si>
  <si>
    <t>02 7710618, 017 11693926, 017 30739982</t>
  </si>
  <si>
    <t>manikgonj@islamibankbd.com</t>
  </si>
  <si>
    <t>0651 62513</t>
  </si>
  <si>
    <t>125570378</t>
  </si>
  <si>
    <t>RIPON TOWER, HOTEL BAZAR, MAIN ROAD, MEHERPUR 7100</t>
  </si>
  <si>
    <t>0791 63112, 017 14082126, 017 55537088</t>
  </si>
  <si>
    <t>meherpur@islamibankbd.com</t>
  </si>
  <si>
    <t>0791 63112</t>
  </si>
  <si>
    <t>125580100</t>
  </si>
  <si>
    <t>HAJI ABDUL ALI TRADE CENTRE, DAKSHIN HAJIGANJ BAZAR, BARLEKHA, MOULVIBAZAR</t>
  </si>
  <si>
    <t>08622 56492, 017 13425931, 017 55551786</t>
  </si>
  <si>
    <t>barolekha@islamibankbd.com</t>
  </si>
  <si>
    <t>08622 56669</t>
  </si>
  <si>
    <t>125580942</t>
  </si>
  <si>
    <t>SA SHOPPING CENTER, DAKSHIN BAZAR, KULAURA, MOULVIBAZAR</t>
  </si>
  <si>
    <t>08624 56634, 017 14037945</t>
  </si>
  <si>
    <t>kulaura@islamibankbd.com</t>
  </si>
  <si>
    <t>08624 56289</t>
  </si>
  <si>
    <t>125581183</t>
  </si>
  <si>
    <t>SR PLAZA, 1151/3 M SAIFUR RAHMAN ROAD, MOULVIBAZAR 3200</t>
  </si>
  <si>
    <t>0861 52680, 62987, 017 30032362</t>
  </si>
  <si>
    <t>moulvibazar@islamibankbd.com</t>
  </si>
  <si>
    <t>0861 52680</t>
  </si>
  <si>
    <t>125581725</t>
  </si>
  <si>
    <t>MIDAD SHOPPING CITY, MOULVIBAZAR ROAD, SREEMANGAL, MOULVIBAZAR</t>
  </si>
  <si>
    <t>08626 71120, 017 11889950, 017 09647373</t>
  </si>
  <si>
    <t>sreemongol@islamibankbd.com</t>
  </si>
  <si>
    <t>08626 71120</t>
  </si>
  <si>
    <t>125591036</t>
  </si>
  <si>
    <t>JAM JAM TOWER, 480 SADAR ROAD, HAT-LAKSHMIGANJ, MUNSHIGANJ 1500</t>
  </si>
  <si>
    <t>02 7620722, 017 11693925, 017 13249358</t>
  </si>
  <si>
    <t>munshigonj@islamibankbd.com</t>
  </si>
  <si>
    <t>02 7620722</t>
  </si>
  <si>
    <t>125591423</t>
  </si>
  <si>
    <t>SHEIKH MARKET, JHUMUR CINEMA HALL ROAD, SREENAGAR, MUNSHIGANJ 1550</t>
  </si>
  <si>
    <t>02 7627350, 017 13258794</t>
  </si>
  <si>
    <t>sreenagar@islamibankbd.com</t>
  </si>
  <si>
    <t>02 7627299</t>
  </si>
  <si>
    <t>125610946</t>
  </si>
  <si>
    <t>HAJI IBRAHIM SUPER MARKET, MAIN ROAD, FULBARIA, MYMENSINGH</t>
  </si>
  <si>
    <t>09023 73204, 017 30333624, 017 55645322</t>
  </si>
  <si>
    <t>fulbaria@islamibankbd.com</t>
  </si>
  <si>
    <t>125611703</t>
  </si>
  <si>
    <t>BARA MASJID SUPER MARKET, MUKTAGACHA, MYMENSINGH</t>
  </si>
  <si>
    <t>09028 75160, 017 13425923, 017 30783832</t>
  </si>
  <si>
    <t>muktagacha@islamibankbd.com</t>
  </si>
  <si>
    <t>125611758</t>
  </si>
  <si>
    <t>IBBLBDDH140</t>
  </si>
  <si>
    <t>76/A CHOTTO BAZAR, MYMENSINGH</t>
  </si>
  <si>
    <t>091 67255, 017 11693923, 017 55551779</t>
  </si>
  <si>
    <t>mymensingh@islamibankbd.com</t>
  </si>
  <si>
    <t>091 65725</t>
  </si>
  <si>
    <t>125612357</t>
  </si>
  <si>
    <t>HAJI JOYNAL ABEDIN PLAZA, ZAM-E MASJID ROAD, HOLDING NO 2059, TRISHAL, MYMENSINGH 2220</t>
  </si>
  <si>
    <t>09032 56128, 017 55554480, 017 55636204</t>
  </si>
  <si>
    <t>trishal@islamibankbd.com</t>
  </si>
  <si>
    <t>09032 56128</t>
  </si>
  <si>
    <t>125641094</t>
  </si>
  <si>
    <t>KISMAT PLAZA, UPAZILLA ROAD, MOHADEVPUR, NAOGAON</t>
  </si>
  <si>
    <t>07426 75235, 017 30328870</t>
  </si>
  <si>
    <t>mohadevpur@islamibankbd.com</t>
  </si>
  <si>
    <t>125641186</t>
  </si>
  <si>
    <t>CHANDIPUR TOWER, OLD HOSPITAL ROAD, NAOGAON 6500</t>
  </si>
  <si>
    <t>0741 62393, 61973, 017 13141510</t>
  </si>
  <si>
    <t>naogaon@islamibankbd.com</t>
  </si>
  <si>
    <t>125641249</t>
  </si>
  <si>
    <t>NAZIPUR BRANCH</t>
  </si>
  <si>
    <t>NAZIPUR_BRANCH</t>
  </si>
  <si>
    <t>NAZIPUR BUS STAND, PATNITOLA, NAOGAON</t>
  </si>
  <si>
    <t>0741 52030, 52040, 017 11889936, 017 14037763</t>
  </si>
  <si>
    <t>nazipur@islamibankbd.com</t>
  </si>
  <si>
    <t>125641757</t>
  </si>
  <si>
    <t>NEW MARKET, SAPAHAR, NAOGAON 6560</t>
  </si>
  <si>
    <t>07432 74315, 017 55629461</t>
  </si>
  <si>
    <t>shapahar@islamibankbd.com</t>
  </si>
  <si>
    <t>125650643</t>
  </si>
  <si>
    <t>JAM-E-MASJID MARKET, RUPGANJ BAZAR, NARAIL</t>
  </si>
  <si>
    <t>0481 62111, 017 14085771, 017 55521677</t>
  </si>
  <si>
    <t>narail@islamibankbd.com</t>
  </si>
  <si>
    <t>0481 62111</t>
  </si>
  <si>
    <t>125670049</t>
  </si>
  <si>
    <t>BAZAR MASJID ROAD, ARAIHAZAR BAZAR, NARAYANGANJ 1450</t>
  </si>
  <si>
    <t>02 7654177, 017 55629462, 017 12027770</t>
  </si>
  <si>
    <t>araihazar@islamibankbd.com</t>
  </si>
  <si>
    <t>125670223</t>
  </si>
  <si>
    <t>HAJI SHOPING COMPLEX, GOLAKANDAIL, BHULTA, RUPGANJ, NARAYANGANJ</t>
  </si>
  <si>
    <t>03895 787027, 017 13425963, 017 77718577</t>
  </si>
  <si>
    <t>bhulta@islamibankbd.com</t>
  </si>
  <si>
    <t>125670528</t>
  </si>
  <si>
    <t>FATULLAH BRANCH</t>
  </si>
  <si>
    <t>FATULLAH_BRANCH</t>
  </si>
  <si>
    <t>ABDUL GAFUR SUPER COMPLEX, PANCHABATI, FATULLAH, NARAYANGANJ</t>
  </si>
  <si>
    <t>02 7672120, 7768170, 017 66665980</t>
  </si>
  <si>
    <t>fatulla@islamibankbd.com</t>
  </si>
  <si>
    <t>125670823</t>
  </si>
  <si>
    <t>KANCHPUR BRANCH</t>
  </si>
  <si>
    <t>KANCHPUR_BRANCH</t>
  </si>
  <si>
    <t>HAJI AHSAN ULLAH SUPER MARKET, HOLDING NO A/10, CHITTAGONG ROAD, SANARPAR, SIDDIRGANJ, NARAYANGANJ</t>
  </si>
  <si>
    <t>02 7691556, 017 30034870</t>
  </si>
  <si>
    <t>kanchpur@islamibannkbd.com</t>
  </si>
  <si>
    <t>02 7692158</t>
  </si>
  <si>
    <t>125671185</t>
  </si>
  <si>
    <t>IBBLBDDH108</t>
  </si>
  <si>
    <t>79 BANGABANDHU ROAD, NARAYANGANJ</t>
  </si>
  <si>
    <t>02 7630400, 7630176, 017 11693943</t>
  </si>
  <si>
    <t>narayanganj@islamibankbd.com</t>
  </si>
  <si>
    <t>02 7613511</t>
  </si>
  <si>
    <t>125671277</t>
  </si>
  <si>
    <t>1 RK DASH ROAD, NETAIGANJ, NARAYANGANJ 1400</t>
  </si>
  <si>
    <t>02 7646729, 017 55551142, 019 23454027</t>
  </si>
  <si>
    <t>nitaiganj@islamibankbd.com</t>
  </si>
  <si>
    <t>125671701</t>
  </si>
  <si>
    <t>SONARGAON SME BRANCH</t>
  </si>
  <si>
    <t>SONARGAON_SME_BRANCH</t>
  </si>
  <si>
    <t>SHAHABUDDIN SUPER MARKET, MOGRAPARA, SONARGAON, NARAYANGANJ 1440</t>
  </si>
  <si>
    <t>02 7656295, 017 30326860</t>
  </si>
  <si>
    <t>sonargaon@islamibankbd.com</t>
  </si>
  <si>
    <t>125680671</t>
  </si>
  <si>
    <t>IBBLBDDH171</t>
  </si>
  <si>
    <t>MADHABDI BAZAR, NARSINGDI</t>
  </si>
  <si>
    <t>02 9446497, 017 11693933, 017 13249357</t>
  </si>
  <si>
    <t>madhabdi@islamibankbd.com</t>
  </si>
  <si>
    <t>02 9446804</t>
  </si>
  <si>
    <t>125680855</t>
  </si>
  <si>
    <t>IBBLBDDH119</t>
  </si>
  <si>
    <t>139 SUTAPATTY, NARSINGDI SADAR, NARSINGDI 1600</t>
  </si>
  <si>
    <t>02 9462313, 017 11693919, 017 14048005</t>
  </si>
  <si>
    <t>narsingdi@islamibankbd.com</t>
  </si>
  <si>
    <t>02 9462318</t>
  </si>
  <si>
    <t>125680918</t>
  </si>
  <si>
    <t>CHOWDHURY COMPLEX, SHAR KARKHANA GATE, PALASH, NARSINGDI</t>
  </si>
  <si>
    <t>02 9466009, 017 30032360</t>
  </si>
  <si>
    <t>palash@islamibankbd.com</t>
  </si>
  <si>
    <t>125690311</t>
  </si>
  <si>
    <t>CHANCHAKOIR BRANCH</t>
  </si>
  <si>
    <t>CHANCHAKOIR_BRANCH</t>
  </si>
  <si>
    <t>CHANCKOIR, GURUDASPUR, NATORE</t>
  </si>
  <si>
    <t>07724 74038, 017 13425935, 017 55649506</t>
  </si>
  <si>
    <t>chanchkoir@islamibankbd.com</t>
  </si>
  <si>
    <t>125691099</t>
  </si>
  <si>
    <t>AL-FALAH SUPER MARKET, 240-241 RAJSHAHI-DHAKA ROAD, NATORE</t>
  </si>
  <si>
    <t>07428 63040, 017 13249356,  017 11889932</t>
  </si>
  <si>
    <t>natore@islamibankbd.com</t>
  </si>
  <si>
    <t>0771 62631</t>
  </si>
  <si>
    <t>125720731</t>
  </si>
  <si>
    <t>HASHEM PLAZA, 166 CHHOTTA BAZAR, NETROKONA</t>
  </si>
  <si>
    <t>0951 62557, 017 14038570, 017 14038570</t>
  </si>
  <si>
    <t>netrokona@islamibankbd.com</t>
  </si>
  <si>
    <t>125730468</t>
  </si>
  <si>
    <t>JALDHAKA BRANCH</t>
  </si>
  <si>
    <t>JALDHAKA_BRANCH</t>
  </si>
  <si>
    <t>DALIA ROAD, JALDHAKA, NILPHAMARI</t>
  </si>
  <si>
    <t>05524 64046, 017 14037946</t>
  </si>
  <si>
    <t>jaldhaka@islamibankbd.com</t>
  </si>
  <si>
    <t>125730734</t>
  </si>
  <si>
    <t>HOLDING NO 3710, MAIN ROAD, NILPHAMARI</t>
  </si>
  <si>
    <t>0551 61619, 017 11438345</t>
  </si>
  <si>
    <t>nilphamari@islamibankbd.com</t>
  </si>
  <si>
    <t>125730792</t>
  </si>
  <si>
    <t>IBBLBDDH152</t>
  </si>
  <si>
    <t>DINAJPUR ROAD, SAIDPUR, NILPHAMARI</t>
  </si>
  <si>
    <t>05526 72529, 88098, 017 11438340</t>
  </si>
  <si>
    <t>saidpur@islamibankbd.com</t>
  </si>
  <si>
    <t>05526 73122</t>
  </si>
  <si>
    <t>125750222</t>
  </si>
  <si>
    <t>BANK ROAD BRANCH</t>
  </si>
  <si>
    <t>BANK_ROAD_BRANCH</t>
  </si>
  <si>
    <t>RUBI PLAZA, SOUTH BAZAR, CHOWMUHANI, NOAKHALI</t>
  </si>
  <si>
    <t>0321 53509, 53251, 017 14089574</t>
  </si>
  <si>
    <t>bankroad@islamibankbd.com</t>
  </si>
  <si>
    <t>0321 51228</t>
  </si>
  <si>
    <t>125750251</t>
  </si>
  <si>
    <t>JAHANARA SUPER MARKET, UTTAR BAZAR, MAIN RAOD, BASURHAT, COMPANIGANJ, NOAKHALI</t>
  </si>
  <si>
    <t>03223 56383, 017 11889951</t>
  </si>
  <si>
    <t>bashurhat@islamibankbd.com</t>
  </si>
  <si>
    <t>(03223) 56058</t>
  </si>
  <si>
    <t>125750448</t>
  </si>
  <si>
    <t>CHAPRASHIRHAT SME BRANCH</t>
  </si>
  <si>
    <t>CHAPRASHIRHAT_SME_BRANCH</t>
  </si>
  <si>
    <t>044</t>
  </si>
  <si>
    <t>CHAPRASHIRHAT NEW MARKET, CHAPRASHIRHAT, KABIRHAT, NOAKHALI</t>
  </si>
  <si>
    <t>03232 53266, 017 30097283, 019 98707015</t>
  </si>
  <si>
    <t>chaprashirhat@islamibankbd.com</t>
  </si>
  <si>
    <t>125750585</t>
  </si>
  <si>
    <t>CHATKHIL KAMIL MADRSHA SUPER MARKET, HOLDING NO 4829, CHATKHIL, NOAKHALI</t>
  </si>
  <si>
    <t>03222 75178, 017 13885785, 017 30303079</t>
  </si>
  <si>
    <t>chatkhil@islamibankbd.com</t>
  </si>
  <si>
    <t>125750677</t>
  </si>
  <si>
    <t>IBBLBDDH126</t>
  </si>
  <si>
    <t>856 FENI ROAD, CHOWMUHANI, NOAKHALI</t>
  </si>
  <si>
    <t>0321 51537, 52027, 017 11889944</t>
  </si>
  <si>
    <t>chowmuhani@islamibankbd.com</t>
  </si>
  <si>
    <t>(0321) 520274</t>
  </si>
  <si>
    <t>125751571</t>
  </si>
  <si>
    <t>SUFIA SHOPPING CENTER, MAIN ROAD, MAIJDEE COURT, NOAKHALI</t>
  </si>
  <si>
    <t>0321 61885, 017 11431275, 017 30028361</t>
  </si>
  <si>
    <t>maijdeecourt@islamibankbd.com</t>
  </si>
  <si>
    <t>125752088</t>
  </si>
  <si>
    <t>BHUIYAN SUPER MARKET, HAJI MANSION, 134 COLLAGE ROAD, PURBA BAZAR, SENBAGH, NOAKHALI</t>
  </si>
  <si>
    <t>03225 56014, 017 30034851, 017 11668831</t>
  </si>
  <si>
    <t>senbagh@islamibankbd.com</t>
  </si>
  <si>
    <t>125752233</t>
  </si>
  <si>
    <t>SHAHIDA SATTAR COMPLEX, HOLDING NO 66/1, BANK ROAD, SONAIMURI, NOAKHALI</t>
  </si>
  <si>
    <t>03227 51201, 017 66665977, 017 09654409</t>
  </si>
  <si>
    <t>sonaimuri@islamibankbd.com</t>
  </si>
  <si>
    <t>125752354</t>
  </si>
  <si>
    <t>SUBARNA CHAR BRANCH</t>
  </si>
  <si>
    <t>SUBARNA_CHAR_BRANCH</t>
  </si>
  <si>
    <t>UPAKUL SUPER MARKET, SUBARNA CHAR, CHAR JABBAR, NOAKHALI 3812</t>
  </si>
  <si>
    <t>03228 52175, 017 55629466, 017 13277765</t>
  </si>
  <si>
    <t>subarnachar@islamibankbd.com</t>
  </si>
  <si>
    <t>125761211</t>
  </si>
  <si>
    <t>NASIMA TOWER, HOLDING NO 981/917, WARD 7, STATION ROAD, ISHWARDI, PABNA</t>
  </si>
  <si>
    <t>07326 63511, 017 11438348, 017 09652248</t>
  </si>
  <si>
    <t>ishwardi@islamibankbd.com</t>
  </si>
  <si>
    <t>125761332</t>
  </si>
  <si>
    <t>KASHINATHPUR BAZAR, SANTHIA, PABNA</t>
  </si>
  <si>
    <t>07332 54104, 017 11889934, 017 14093295</t>
  </si>
  <si>
    <t>kashinathpur@islamibankbd.com</t>
  </si>
  <si>
    <t>07332 54104</t>
  </si>
  <si>
    <t>125761787</t>
  </si>
  <si>
    <t>IBBLBDDH115</t>
  </si>
  <si>
    <t>SONAPATTY, PABNA</t>
  </si>
  <si>
    <t>0731 65621, 017 14048003, 017 55551778</t>
  </si>
  <si>
    <t>pabna@islamibankbd.com</t>
  </si>
  <si>
    <t>0731 66324</t>
  </si>
  <si>
    <t>125762052</t>
  </si>
  <si>
    <t>SANTHIA BRANCH</t>
  </si>
  <si>
    <t>SANTHIA_BRANCH</t>
  </si>
  <si>
    <t>TANIA SUPAR MARKET, SANTHIA, PABNA</t>
  </si>
  <si>
    <t>07327 56211, 017 14035554, 017 13438524</t>
  </si>
  <si>
    <t>santhia@islamibankbd.com</t>
  </si>
  <si>
    <t>125762265</t>
  </si>
  <si>
    <t>SUJANAGAR SME BRANCH</t>
  </si>
  <si>
    <t>SUJANAGAR_SME_BRANCH</t>
  </si>
  <si>
    <t>JOARDER COMPLEX, SUJANAGAR, PABNA</t>
  </si>
  <si>
    <t>07329 56318, 017 13015450, 017 55548026</t>
  </si>
  <si>
    <t>sujanagar@islamibankbd.com</t>
  </si>
  <si>
    <t>125770552</t>
  </si>
  <si>
    <t>MOSQUE MARKET, TENTULIA ROAD, PANCHAGARH</t>
  </si>
  <si>
    <t>0568 61890, 017 14016298</t>
  </si>
  <si>
    <t>panchagar@islamibankbd.com</t>
  </si>
  <si>
    <t>125781091</t>
  </si>
  <si>
    <t>BIG JAME MOSQUE COMPLEX, 73 SADAR ROAD, ADALAT PARA, PATUAKHALI</t>
  </si>
  <si>
    <t>0441 62283, 017 11431218, 017 30076152</t>
  </si>
  <si>
    <t>patuakhali@islamibankbd.com</t>
  </si>
  <si>
    <t>0441 63681</t>
  </si>
  <si>
    <t>125790132</t>
  </si>
  <si>
    <t>HAWLADER MARKET, BHANDARIA, PIROJPUR 8550</t>
  </si>
  <si>
    <t>04623 56360, 017 12577981, 017 55581585</t>
  </si>
  <si>
    <t>bhandaria@islamibankbd.com</t>
  </si>
  <si>
    <t>04623 56400</t>
  </si>
  <si>
    <t>125790611</t>
  </si>
  <si>
    <t>MIARHAT BRANCH</t>
  </si>
  <si>
    <t>MIARHAT_BRANCH</t>
  </si>
  <si>
    <t>MIARHAT, NESARABAD, PIROJPUR</t>
  </si>
  <si>
    <t>017 13425965, 017 87679176, 017 30792104</t>
  </si>
  <si>
    <t>miarhat@islamibankbd.com</t>
  </si>
  <si>
    <t>125790761</t>
  </si>
  <si>
    <t>SADAR ROAD, PIROJPUR</t>
  </si>
  <si>
    <t>0461 62571, 017 13439068, 017 11889966</t>
  </si>
  <si>
    <t>pirojpur@islamibankbd.com</t>
  </si>
  <si>
    <t>125820736</t>
  </si>
  <si>
    <t>MUKTIJODDHA COMPLEX, MAIN ROAD , RAJBARI</t>
  </si>
  <si>
    <t>0641 66311, 017 14016407</t>
  </si>
  <si>
    <t>rajbari@islamibankbd.com</t>
  </si>
  <si>
    <t>125810225</t>
  </si>
  <si>
    <t>HAQUE MARKET, BANESWAR BAZAR, PUTHIA, RAJSHAHI 6260</t>
  </si>
  <si>
    <t>017 30700064, 017 55646357</t>
  </si>
  <si>
    <t>baneswar@islamibankbd.com</t>
  </si>
  <si>
    <t>125811079</t>
  </si>
  <si>
    <t>KISHOREHAT SME BRANCH</t>
  </si>
  <si>
    <t>KISHOREHAT_SME_BRANCH</t>
  </si>
  <si>
    <t>107</t>
  </si>
  <si>
    <t>EAKRAM PLAZA, KISHOREHAT, MOHANPUR, RAJSHAHI</t>
  </si>
  <si>
    <t>07823 74246, 017 30097287, 017 09652234</t>
  </si>
  <si>
    <t>keshorehat@islamibankbd.com</t>
  </si>
  <si>
    <t>125811932</t>
  </si>
  <si>
    <t>IBBLBDDH113</t>
  </si>
  <si>
    <t>119/123 SHAHEB BAZAR, RAJSHAHI</t>
  </si>
  <si>
    <t>0721 774767, 017 11889926, 017 55532491</t>
  </si>
  <si>
    <t>rajshahi@islamibankbd.com</t>
  </si>
  <si>
    <t>0721 774139</t>
  </si>
  <si>
    <t>125811637</t>
  </si>
  <si>
    <t>356 BOALIA, RAJSHAHI</t>
  </si>
  <si>
    <t>0721 775691, 017 13378938, 017 55636219</t>
  </si>
  <si>
    <t>newmarketraj@islamibankbd.com</t>
  </si>
  <si>
    <t>125840529</t>
  </si>
  <si>
    <t>0351 63312, 017 09652235, 017 55606203</t>
  </si>
  <si>
    <t>rangamati@islamibankbd.com</t>
  </si>
  <si>
    <t>0351 63255</t>
  </si>
  <si>
    <t>125850522</t>
  </si>
  <si>
    <t>DHAP BRANCH</t>
  </si>
  <si>
    <t>DHAP_BRANCH</t>
  </si>
  <si>
    <t>ALMI BARI, HOLDING NO 30, JAIL ROAD, DHAP, KOTWALI, RANGPUR 5400</t>
  </si>
  <si>
    <t>0521 55182, 017 55580983</t>
  </si>
  <si>
    <t>dhap@islamibankbd.com</t>
  </si>
  <si>
    <t>125851455</t>
  </si>
  <si>
    <t>MOTAHAR COMMERCIAL COMPLEX, RANGPUR</t>
  </si>
  <si>
    <t>0521 63576, 017 11438343,  017 55645327</t>
  </si>
  <si>
    <t>rangpur@islamibankbd.com</t>
  </si>
  <si>
    <t>125870586</t>
  </si>
  <si>
    <t>HOLDDING NO 384-385, BUS STAND MORE, JESSORE SATKHARA HIGHWAY, KALAROA BAZAR, SATKHIRA 9410</t>
  </si>
  <si>
    <t>04724 75357, 017 11889959, 017 30034943</t>
  </si>
  <si>
    <t>kalaroa@islamibankbd.com</t>
  </si>
  <si>
    <t>04724 75357</t>
  </si>
  <si>
    <t>125870610</t>
  </si>
  <si>
    <t>04725 56221, 017 30032361, 017 30702522</t>
  </si>
  <si>
    <t>kaliganj@islamibankbd.com</t>
  </si>
  <si>
    <t>04725 56100</t>
  </si>
  <si>
    <t>125871093</t>
  </si>
  <si>
    <t>BARA BAZAR ROAD, SATKHIRA</t>
  </si>
  <si>
    <t>0471 63287, 017 11889917, 017 14038778</t>
  </si>
  <si>
    <t>satkhira@islamibankbd.com</t>
  </si>
  <si>
    <t>0471 63086</t>
  </si>
  <si>
    <t>125871219</t>
  </si>
  <si>
    <t>MM PLAZA, NOKIPUR, SHYAMNAGAR, SATKHIRA 9450</t>
  </si>
  <si>
    <t>04726 44186, 44169, 017 55580982</t>
  </si>
  <si>
    <t>shyamnagar@islamibankbd.com</t>
  </si>
  <si>
    <t>125860196</t>
  </si>
  <si>
    <t>SK ALI ASHARAF COMPLEX, DAMODYA, SHARIATPUR</t>
  </si>
  <si>
    <t>06023 56332, 56179, 017 13425964</t>
  </si>
  <si>
    <t>damodya@islamibankbd.com</t>
  </si>
  <si>
    <t>06023 56179</t>
  </si>
  <si>
    <t>125860675</t>
  </si>
  <si>
    <t>DUBAI PLAZA, 241-242 SADAR ROAD, PALANG, SHARIATPUR</t>
  </si>
  <si>
    <t>0601 61418, 017 14041437</t>
  </si>
  <si>
    <t>shariatpur@islamibankbd.com</t>
  </si>
  <si>
    <t>0601 61418</t>
  </si>
  <si>
    <t>125890553</t>
  </si>
  <si>
    <t>SHAH JAMAL MORIOM COMPLEX, RAGUNATH BAZAR, SHERPUR</t>
  </si>
  <si>
    <t>0931 61618, 017 11693927, 017 55542877</t>
  </si>
  <si>
    <t>sherpur@islamibankbd.com</t>
  </si>
  <si>
    <t>0931 61688</t>
  </si>
  <si>
    <t>125880226</t>
  </si>
  <si>
    <t>ALTAF PLAZA, MUKUNDAGANJ BAZAR, BELKUCHI, SIRAJGANJ</t>
  </si>
  <si>
    <t>07522 56330, 017 13141982, 017 55630475</t>
  </si>
  <si>
    <t>belkuchi@islamibankbd.com</t>
  </si>
  <si>
    <t>07522 56330</t>
  </si>
  <si>
    <t>125881904</t>
  </si>
  <si>
    <t>DARIAPUR BAZAR, SHAHJADPUR, SIRAJGANJ</t>
  </si>
  <si>
    <t>07527 64142, 017 11889933</t>
  </si>
  <si>
    <t>shahjadpur@islamibankbd.com</t>
  </si>
  <si>
    <t>125881870</t>
  </si>
  <si>
    <t>AB SUPER MARKET, 791 SS ROAD, SIRAJGANJ</t>
  </si>
  <si>
    <t>0751 62435, 017 11889931, 017 14037764</t>
  </si>
  <si>
    <t>sirajganj@islamibankbd.com</t>
  </si>
  <si>
    <t>0751 64336</t>
  </si>
  <si>
    <t>125882237</t>
  </si>
  <si>
    <t>GOLAM AMBIA ALAM MARKET, GULISTHAN MORE, ULLAPARA BAZAR, ULLAPARA, SIRAJGANJ 6760</t>
  </si>
  <si>
    <t>07529 56134, 017 30341040</t>
  </si>
  <si>
    <t>ullapara@islamibankbd.com</t>
  </si>
  <si>
    <t>125900227</t>
  </si>
  <si>
    <t>SA CHOWDHURY SHOPPING COMPLEX, CHHATAK, SUNAMGANJ</t>
  </si>
  <si>
    <t>08723 56388, 017 11432105</t>
  </si>
  <si>
    <t>chatak@islamibankbd.com</t>
  </si>
  <si>
    <t>(08723) 56388</t>
  </si>
  <si>
    <t>125900498</t>
  </si>
  <si>
    <t>AL-JANNAT PLAZA, T&amp;amp;T ROAD, JAGANNATHPUR, SUNAMGANJ</t>
  </si>
  <si>
    <t>08727 56010, 017 13335778, 017 30739981</t>
  </si>
  <si>
    <t>jagannathpur@islamibankbd.com</t>
  </si>
  <si>
    <t>08727 56010</t>
  </si>
  <si>
    <t>125901121</t>
  </si>
  <si>
    <t>IBBLBDDH293</t>
  </si>
  <si>
    <t>LONDON PLAZA, HOLDING NO 723/1, MUKTERPARA ROAD, LONDON PLAZA HOLDING NO723/1 MUKTERPARA ROAD , SUNAMGONJ SADOR, SUNAMGANJ 3000</t>
  </si>
  <si>
    <t>0871 61685, 017 30034873</t>
  </si>
  <si>
    <t>sunamganj@islamibankbd.com</t>
  </si>
  <si>
    <t>0871 61685</t>
  </si>
  <si>
    <t>125910046</t>
  </si>
  <si>
    <t>ESTERN PLAZA, HOLDING NO 1281-01, AIRPORT ROAD, WARD 05, AMBARKHANA, SYLHET</t>
  </si>
  <si>
    <t>0821 712102, 017 11889938</t>
  </si>
  <si>
    <t>amberkhana@islamibankbd.com</t>
  </si>
  <si>
    <t>0821 2830239</t>
  </si>
  <si>
    <t>125910312</t>
  </si>
  <si>
    <t>HAJI NURUDDIN MANSION, MAIN ROAD, SOUTH BEANIBAZAR, SYLHET</t>
  </si>
  <si>
    <t>03799 288658, 017 30032364</t>
  </si>
  <si>
    <t>beanibazar@islamibankbd.com</t>
  </si>
  <si>
    <t>03799 288405</t>
  </si>
  <si>
    <t>125910433</t>
  </si>
  <si>
    <t>PURAN BAZAR, BISHWANATH, SYLHET</t>
  </si>
  <si>
    <t>08224 56209, 017 11889947, 017 30061464</t>
  </si>
  <si>
    <t>biswanath@islamibankbd.com</t>
  </si>
  <si>
    <t>08224 56210</t>
  </si>
  <si>
    <t>125910954</t>
  </si>
  <si>
    <t>DAKSHIN SURMA BRANCH</t>
  </si>
  <si>
    <t>DAKSHIN_SURMA_BRANCH</t>
  </si>
  <si>
    <t>NEWA KORNER, 779 HUMAYUN RASHID CHATTAR, SOUTH SURMA, SYLHET</t>
  </si>
  <si>
    <t>0821 841909, 017 30703853, 017 30785995</t>
  </si>
  <si>
    <t>southsurma@islamibankbd. com</t>
  </si>
  <si>
    <t>0821 841910</t>
  </si>
  <si>
    <t>125911540</t>
  </si>
  <si>
    <t>GOALABAZAR, BALAGANJ, SYLHET</t>
  </si>
  <si>
    <t>08242 56320, 017 11889964, 017 55532662</t>
  </si>
  <si>
    <t>goalabazar@islamibankbd.com</t>
  </si>
  <si>
    <t>08242 56320</t>
  </si>
  <si>
    <t>125911603</t>
  </si>
  <si>
    <t>NOOR MANSION, SYLHET-ZAKIGANJ ROAD, GOLAPGANJ, SYLHET 3160</t>
  </si>
  <si>
    <t>08227 56218, 017 66665983, 017 55657355</t>
  </si>
  <si>
    <t>golapgonj@islamibankbd.com</t>
  </si>
  <si>
    <t>125912086</t>
  </si>
  <si>
    <t>KANAIGHAT BAZAR, KANAIGHAT, SYLHET</t>
  </si>
  <si>
    <t>08233 56062, 017 14048905</t>
  </si>
  <si>
    <t>kanaighat@islamibankbd.com</t>
  </si>
  <si>
    <t>08233 56062</t>
  </si>
  <si>
    <t>125912507</t>
  </si>
  <si>
    <t>AL-KARIM PLAZA, LALDIGHIRPAR, SYLHET</t>
  </si>
  <si>
    <t>0821 714436, 017 11889954, 017 13425926</t>
  </si>
  <si>
    <t>laldighirpar@islamibankbd.com</t>
  </si>
  <si>
    <t>125913551</t>
  </si>
  <si>
    <t>IBBLBDDH104</t>
  </si>
  <si>
    <t>288 TALTOLA, SYLHET</t>
  </si>
  <si>
    <t>0821 715502, 017 11889939, 017 11889962</t>
  </si>
  <si>
    <t>sylhet@islamibankbd.com</t>
  </si>
  <si>
    <t>0821 2831336</t>
  </si>
  <si>
    <t>125914150</t>
  </si>
  <si>
    <t>GALLARIA SHOPPING COMPLEX, JALLARPAR ROAD, ZINDABAZAR, SYLHET 3100</t>
  </si>
  <si>
    <t>0821 2832422, 017 30328872, 017 07079739</t>
  </si>
  <si>
    <t>zindabazar@islamibankbd.com</t>
  </si>
  <si>
    <t>0821 723925</t>
  </si>
  <si>
    <t>125930118</t>
  </si>
  <si>
    <t>011</t>
  </si>
  <si>
    <t>IBRAHIM BHABAN, ELENGA, KALIHATI, TANGAIL</t>
  </si>
  <si>
    <t>017 30097280, 017 30739985, 017 55548030</t>
  </si>
  <si>
    <t>alanga@islamibankbd.com</t>
  </si>
  <si>
    <t>125931483</t>
  </si>
  <si>
    <t>PILOT SUPER MARKET, MYMENSINGH ROAD, MADHUPUR, TANGAIL</t>
  </si>
  <si>
    <t>09228 56337, 017 14036535, 017 55649504</t>
  </si>
  <si>
    <t>madhupur@islamibankbd.com</t>
  </si>
  <si>
    <t>125932295</t>
  </si>
  <si>
    <t>301-307 PAR DIGHULIA, TANGAIL</t>
  </si>
  <si>
    <t>0921 64361, 017 11693924</t>
  </si>
  <si>
    <t>tangail@islamibankbd.com</t>
  </si>
  <si>
    <t>0921 51608</t>
  </si>
  <si>
    <t>125940979</t>
  </si>
  <si>
    <t>AL AMIN SHOPPING COMPLEX CUM RESIDENTIAL HOTEL, HOLDING  NO 731, BANGABHANDU ROAD, THAKURGAON</t>
  </si>
  <si>
    <t>0561 53467, 017 13141504, 017 11814535</t>
  </si>
  <si>
    <t>thakurgaon@islamibankbd.com</t>
  </si>
  <si>
    <t>0561 61278</t>
  </si>
  <si>
    <t>JAMUNA_BANK_LIMITED</t>
  </si>
  <si>
    <t>JAMUNA BANK LIMITED</t>
  </si>
  <si>
    <t>130060286</t>
  </si>
  <si>
    <t>JAMUBDDH</t>
  </si>
  <si>
    <t>NASIR COMPLEX, HOLDING NO 105, SADAR ROAD, BARISAL</t>
  </si>
  <si>
    <t>0431 2176977</t>
  </si>
  <si>
    <t>manager.barishal@jamunabank.com.bd</t>
  </si>
  <si>
    <t>130100375</t>
  </si>
  <si>
    <t>898 KABI NAZRUL ISLAM SARAK, BOROGOLA, BOGRA</t>
  </si>
  <si>
    <t>051 69834, 69835</t>
  </si>
  <si>
    <t>manager.bogra@jamunabank.com.bd</t>
  </si>
  <si>
    <t>130102744</t>
  </si>
  <si>
    <t>AL-HAJ SONAULLAH COMPLEX, HOLDING NO 66, WARD 8, SHERPUR BUS STAND, BOGRA</t>
  </si>
  <si>
    <t>05029 77325, 77326</t>
  </si>
  <si>
    <t>manager.sherpur-sme@jamunabank.com.bd</t>
  </si>
  <si>
    <t>130700267</t>
  </si>
  <si>
    <t>12/13 ZHILIM ROAD, BORO INDIRA, CHAPAI NAWABGANJ</t>
  </si>
  <si>
    <t>0781 51553, 51554</t>
  </si>
  <si>
    <t>manager.chapai-sme@jamunabank.com.bd</t>
  </si>
  <si>
    <t>130150138</t>
  </si>
  <si>
    <t>JAMUBDDH038</t>
  </si>
  <si>
    <t>FROX TOWER, 40 AGRABAD COMMERCIAL AREA, CHITTAGONG</t>
  </si>
  <si>
    <t>031 727727, 2523272, 2528792</t>
  </si>
  <si>
    <t>manager.agrabad@jamunabank.com.bd</t>
  </si>
  <si>
    <t>031 2523271</t>
  </si>
  <si>
    <t>130150462</t>
  </si>
  <si>
    <t>ANDARKILLA BRANCH</t>
  </si>
  <si>
    <t>ANDARKILLA_BRANCH</t>
  </si>
  <si>
    <t>BASHAR CHAMBER, HOLDING NO 479/510, ANDERKILLA, KOTWALI, CHITTAGONG</t>
  </si>
  <si>
    <t>031 617524-25</t>
  </si>
  <si>
    <t>manager.anderkilla@jamunabank.com.bd</t>
  </si>
  <si>
    <t>130150738</t>
  </si>
  <si>
    <t>NOZIR MARKET, AZADI BAZAR, 18 DHARMAPUR UNION, FATIKCHHARI, CHITTAGONG 4358</t>
  </si>
  <si>
    <t>017 30084063</t>
  </si>
  <si>
    <t>manager.azadibazar@jamunabank.com.bd</t>
  </si>
  <si>
    <t>130150796</t>
  </si>
  <si>
    <t>RAHMAN CENTRE, 1070 BAHADDERHAT MORE, CHITTAGONG</t>
  </si>
  <si>
    <t>031 657773, 657774, 657768-69</t>
  </si>
  <si>
    <t>manager.bahaddarhat@jamunabank.com.bd</t>
  </si>
  <si>
    <t>130151216</t>
  </si>
  <si>
    <t>JAMUBDDH055</t>
  </si>
  <si>
    <t>NEWAZ MARKET, BHATIARY UTTAR BAZAR, SITAKUNDA, CHITTAGONG 4310</t>
  </si>
  <si>
    <t>031 2780025, 2781244, 2780365</t>
  </si>
  <si>
    <t>manager.bhatiary@jamunabank.com.bd</t>
  </si>
  <si>
    <t>031 2783464</t>
  </si>
  <si>
    <t>130152444</t>
  </si>
  <si>
    <t>HAZI JAMIR AMBIA PLAZA, 230/250 DT ROAD, DEWANHAT, CHITTAGONG</t>
  </si>
  <si>
    <t>031 2529714-16</t>
  </si>
  <si>
    <t>manager.dewanhat@jamunabank.com.bd</t>
  </si>
  <si>
    <t>130153672</t>
  </si>
  <si>
    <t>JAMUBDDH049</t>
  </si>
  <si>
    <t>MODINA TOWER, 57 JUBILEE ROAD, KOTWALI, CHITTAGONG</t>
  </si>
  <si>
    <t>031 616266, 632486</t>
  </si>
  <si>
    <t>manager.jubileeroad@jamunabank.com.bd</t>
  </si>
  <si>
    <t>130153735</t>
  </si>
  <si>
    <t>KHAKEQUE MANSION, 1167 DT ROAD, KADAMTALI, CHITTAGONG</t>
  </si>
  <si>
    <t>031 2514178, 713757</t>
  </si>
  <si>
    <t>manager.kadamtoli@jamunabank.com.bd</t>
  </si>
  <si>
    <t>130154271</t>
  </si>
  <si>
    <t>JAMUBDDH042</t>
  </si>
  <si>
    <t>MUKTA MARKET, 268 KHATUNGANJ, CHITTAGONG</t>
  </si>
  <si>
    <t>031 2863410, 625454, 2852195</t>
  </si>
  <si>
    <t>manager.khatungonj@jamunabank.com.bd</t>
  </si>
  <si>
    <t>130154668</t>
  </si>
  <si>
    <t>BEST CHOWDHURY PLAZA, HOLDING NO RS-691, AMIRABAD, WARD 01, LOHAGARA, CHITTAGONG</t>
  </si>
  <si>
    <t>03034 56061-63</t>
  </si>
  <si>
    <t>manager.lohagara@jamunabank.com.bd</t>
  </si>
  <si>
    <t>130155533</t>
  </si>
  <si>
    <t>NASIRABAD BRANCH</t>
  </si>
  <si>
    <t>NASIRABAD_BRANCH</t>
  </si>
  <si>
    <t>553</t>
  </si>
  <si>
    <t>BAKHTIAR CENTER, PLOT NO 10, BAYAZID BOSTAMI ROAD, EAST NASIRABAD, PANCHLAISH, CHITTAGONG</t>
  </si>
  <si>
    <t>031 2583670, 2583672-73</t>
  </si>
  <si>
    <t>manager.nasirabad@jamunabank.com.bd</t>
  </si>
  <si>
    <t>130190493</t>
  </si>
  <si>
    <t>AKNUR BHUIYAN COMPLEX, HOLDING NO F/322, BARURA BAZAR, WARD 03, BARURA, COMILLA</t>
  </si>
  <si>
    <t>08027 52500, 52490</t>
  </si>
  <si>
    <t>manager.barura@jamunabank.com.bd</t>
  </si>
  <si>
    <t>130190701</t>
  </si>
  <si>
    <t>ALAMGIR COMPLEX, BIZRA BAZAR, LAKSHAM, COMILLA</t>
  </si>
  <si>
    <t>018 12672562</t>
  </si>
  <si>
    <t>manager.bizrabazar@jamunabank.com.bd</t>
  </si>
  <si>
    <t>130191155</t>
  </si>
  <si>
    <t>TRICAL TOWER, 634/581 SOUTH THAKUR PARA, LAKSHAM ROAD, COMILLA</t>
  </si>
  <si>
    <t>081 69235, 68007</t>
  </si>
  <si>
    <t>manager.comilla@jamunabank.com.bd</t>
  </si>
  <si>
    <t>130192112</t>
  </si>
  <si>
    <t>SAMIHA PLAZA, GOURIPUR, WARD 03, DAUDKANDI, COMILLA</t>
  </si>
  <si>
    <t>017 13329433</t>
  </si>
  <si>
    <t>manager.gouripur@jamunabank.com.bd</t>
  </si>
  <si>
    <t>130192712</t>
  </si>
  <si>
    <t>AB PLAZA, 967 CHOUL BAZAR, LAKSHAM, COMILLA</t>
  </si>
  <si>
    <t>08032 51305</t>
  </si>
  <si>
    <t>manager.laksham@jamunabank.com.bd</t>
  </si>
  <si>
    <t>130193311</t>
  </si>
  <si>
    <t>MA HASHEM PLAZA, NATHERPETUA, MANOHARGANJ, COMILLA</t>
  </si>
  <si>
    <t>017 27377727</t>
  </si>
  <si>
    <t>manager.natherpetua@jamunabank.com.bd</t>
  </si>
  <si>
    <t>130270139</t>
  </si>
  <si>
    <t>AGANAGAR BRANCH</t>
  </si>
  <si>
    <t>AGANAGAR_BRANCH</t>
  </si>
  <si>
    <t>ISLAM PLAZA, SHAHID DELWAR HOSSAIN ROAD, EAST AGANAGAR, SOUTH KERANIGANJ, DHAKA</t>
  </si>
  <si>
    <t>02 7762295-98</t>
  </si>
  <si>
    <t>manager.aganagar@jamunabank.com.bd</t>
  </si>
  <si>
    <t>130260228</t>
  </si>
  <si>
    <t>NIGAR PLAZA &amp;amp; HAKIM PLAZA, 1159 JAMGHARA, ASHULIA, SAVAR, DHAKA</t>
  </si>
  <si>
    <t>02 7788493, 7788437</t>
  </si>
  <si>
    <t>manager.ashulia@jamunabank.com.bd</t>
  </si>
  <si>
    <t>130260431</t>
  </si>
  <si>
    <t>JAMUBDDH053</t>
  </si>
  <si>
    <t>GREEN GRANDEUR, BLOCK E, KAMAL ATATURK AVENUE, BANANI, DHAKA</t>
  </si>
  <si>
    <t>02 9822107, 9822108</t>
  </si>
  <si>
    <t>manager.banani@jamunabank.com.bd</t>
  </si>
  <si>
    <t>130260794</t>
  </si>
  <si>
    <t>CHISTIA MARKET BRANCH</t>
  </si>
  <si>
    <t>CHISTIA_MARKET_BRANCH</t>
  </si>
  <si>
    <t>CHISTIA MARKET, 393/B ELEPHANT ROAD, DHANMONDI, DHAKA</t>
  </si>
  <si>
    <t>02 9673742, 9670135</t>
  </si>
  <si>
    <t>manager.chistia@jamunabank.com.bd</t>
  </si>
  <si>
    <t>130260910</t>
  </si>
  <si>
    <t>SS TOWER, HOLDING NO 663, HAJI CAMP SARAK, DAKSHINKHAN, DHAKA</t>
  </si>
  <si>
    <t>02 8957526, 8956594</t>
  </si>
  <si>
    <t>manager.dakshinkhan@jamunabank.com.bd</t>
  </si>
  <si>
    <t>02 8956740</t>
  </si>
  <si>
    <t>130261180</t>
  </si>
  <si>
    <t>JAMUBDDH048</t>
  </si>
  <si>
    <t>HOUSE 17/A, ROAD 6, DHANMONDI R/A, DHAKA</t>
  </si>
  <si>
    <t>02 8613920, 8626044, 9676553</t>
  </si>
  <si>
    <t>manager.dhanmondi@jamunabank.com.bd</t>
  </si>
  <si>
    <t>130271846</t>
  </si>
  <si>
    <t>JAMUBDDH052</t>
  </si>
  <si>
    <t>119/B/1 NEW DISTILLARY ROAD, SUTRAPUR, DHAKA</t>
  </si>
  <si>
    <t>02 47441705, 47441706, 47440457</t>
  </si>
  <si>
    <t>bm.dholaikhal@jamunabank.com.bd</t>
  </si>
  <si>
    <t>130271909</t>
  </si>
  <si>
    <t>JAMUBDDH037</t>
  </si>
  <si>
    <t>33 DILKUSHA COMMERCIAL AREA, DHAKA 1000</t>
  </si>
  <si>
    <t>02 9565608, 9551419, 9555795</t>
  </si>
  <si>
    <t>manager.dilkusha@jamunabank.com.bd</t>
  </si>
  <si>
    <t>130272324</t>
  </si>
  <si>
    <t>JAMUBDDH045</t>
  </si>
  <si>
    <t>64 MOTIJHEEL COMMERCIAL AREA, DHAKA 1000</t>
  </si>
  <si>
    <t>02 9571365, 9561330, 9564258</t>
  </si>
  <si>
    <t>manager.forex@jamunabank.com.bd</t>
  </si>
  <si>
    <t>130261722</t>
  </si>
  <si>
    <t>JAMUBDDH043</t>
  </si>
  <si>
    <t>116 GULSHAN AVENUE, GULSHAN 2, DHAKA 1212</t>
  </si>
  <si>
    <t>02 9840350, 9859425, 9841281</t>
  </si>
  <si>
    <t>manager.gulshan@jamunabank.com.bd</t>
  </si>
  <si>
    <t>130272982</t>
  </si>
  <si>
    <t>KHALES MANSION, 108/A ISLAMPUR ROAD, DHAKA</t>
  </si>
  <si>
    <t>02 57395978, 57393317, 57393324</t>
  </si>
  <si>
    <t>manager.islampur@jamunabank.com.bd</t>
  </si>
  <si>
    <t>02 57391370</t>
  </si>
  <si>
    <t>130273323</t>
  </si>
  <si>
    <t>JURAIN SME BRANCH</t>
  </si>
  <si>
    <t>JURAIN_SME_BRANCH</t>
  </si>
  <si>
    <t>SETU MARKET, 16/2 JURAIN, KADAMTOLI, DHAKA</t>
  </si>
  <si>
    <t>02 47442851, 47442854</t>
  </si>
  <si>
    <t>manager.jurain-sme@jamunabank.com.bd</t>
  </si>
  <si>
    <t>02 47442852</t>
  </si>
  <si>
    <t>130262442</t>
  </si>
  <si>
    <t>KALU GAZI SUPER MARKET, 46/3 SATURIA-BALIA ROAD, KALAMPUR BAZAR, DHAMRAI, DHAKA</t>
  </si>
  <si>
    <t>019 63602038</t>
  </si>
  <si>
    <t>manager.kalampur@jamunabank.com.bd</t>
  </si>
  <si>
    <t>130262839</t>
  </si>
  <si>
    <t>MIDUS CENTER, HOLDING NO 5, ROAD 16, DHANMONDI, DHAKA</t>
  </si>
  <si>
    <t>02 9142407, 018 67877371</t>
  </si>
  <si>
    <t>manager.lalmatia@jamunabank.com.bd</t>
  </si>
  <si>
    <t>130273949</t>
  </si>
  <si>
    <t>67 KHILGAON CHOWDHURY PARA, DIT ROAD, DHAKA 1219</t>
  </si>
  <si>
    <t>02 9338251, 8319595</t>
  </si>
  <si>
    <t>manager.malibagh@jamunabank.com.bd</t>
  </si>
  <si>
    <t>130263104</t>
  </si>
  <si>
    <t>APON AUNGINA, MIRPUR CITY CENTER, HOLDING 3/A, DARUS SALAM ROAD, MIRPUR 1, DHAKA</t>
  </si>
  <si>
    <t>02 9026156, 9026157</t>
  </si>
  <si>
    <t>manager.mirpur1@jamunabank.com.bd</t>
  </si>
  <si>
    <t>02 9026158</t>
  </si>
  <si>
    <t>130262989</t>
  </si>
  <si>
    <t>JAMUBDDH056</t>
  </si>
  <si>
    <t>203/A, 203/1 SENPARA PARBATA, MIRPUR 10, DHAKA 1216</t>
  </si>
  <si>
    <t>02 9034833, 9034866</t>
  </si>
  <si>
    <t>manager.mirpur@jamunabank.com.bd</t>
  </si>
  <si>
    <t>02 9024744</t>
  </si>
  <si>
    <t>130263191</t>
  </si>
  <si>
    <t>JAMUBDDH035</t>
  </si>
  <si>
    <t>ALTAF TOWER, 34 BIR UTTAM AK KHANDAKAR ROAD, MOHAKHALI C/A, DHAKA 1212</t>
  </si>
  <si>
    <t>02 9887269, 9899455, 9889273-4</t>
  </si>
  <si>
    <t>manager.mohakhali@jamunabank.com.bd</t>
  </si>
  <si>
    <t>130274243</t>
  </si>
  <si>
    <t>JAMUBDDH051</t>
  </si>
  <si>
    <t>02 9554474, 9551606</t>
  </si>
  <si>
    <t>manager.motijheel@jamunabank.com.bd</t>
  </si>
  <si>
    <t>130274427</t>
  </si>
  <si>
    <t>JAMUBDDH036</t>
  </si>
  <si>
    <t>MOSTAKIM MANSION, 77/3 MOULVIBAZAR, DHAKA</t>
  </si>
  <si>
    <t>02 7315026, 7315974-75</t>
  </si>
  <si>
    <t>manager.moulvibazar@jamunabank.com.bd</t>
  </si>
  <si>
    <t>130274843</t>
  </si>
  <si>
    <t>484</t>
  </si>
  <si>
    <t>JAMUBDDH040</t>
  </si>
  <si>
    <t>10/3 MALITOLA, NORTH SOUTH ROAD, DHAKA 1100</t>
  </si>
  <si>
    <t>02 9571685, 9553977, 9554472</t>
  </si>
  <si>
    <t>manager.nayabazar@jamunabank.com.bd</t>
  </si>
  <si>
    <t>130263704</t>
  </si>
  <si>
    <t>HAZI AHMED PLAZA, HOLDING NO KA-70, KURIL, PRAGATI SARANI, BADDA, DHAKA</t>
  </si>
  <si>
    <t>02 8416318-19</t>
  </si>
  <si>
    <t>manager.progatisarani@jamunabank.com.bd</t>
  </si>
  <si>
    <t>130263959</t>
  </si>
  <si>
    <t>RAYERBAGH BRANCH</t>
  </si>
  <si>
    <t>RAYERBAGH_BRANCH</t>
  </si>
  <si>
    <t>395</t>
  </si>
  <si>
    <t>HOLDING NO 1296, RAYERBAGH, SHYAMPUR, DHAKA</t>
  </si>
  <si>
    <t>02 7552012, 7552014, 7552017</t>
  </si>
  <si>
    <t>manager.rayerbag@jamunabank.com.bd</t>
  </si>
  <si>
    <t>130263975</t>
  </si>
  <si>
    <t>RAHBAR TOWER, JANATA HOUSING, HOLDING NO 75-76, ADABAR, DHAKA</t>
  </si>
  <si>
    <t>02 9103121</t>
  </si>
  <si>
    <t>manager.ringroad@jamunabank.com.bd</t>
  </si>
  <si>
    <t>130264095</t>
  </si>
  <si>
    <t>HOLDING NO A-40, SAVAR BAZAR ROAD, SAVAR, DHAKA</t>
  </si>
  <si>
    <t>02 7744883, 7744884</t>
  </si>
  <si>
    <t>manager.savar@jamunabank.com.bd</t>
  </si>
  <si>
    <t>130276346</t>
  </si>
  <si>
    <t>JAMUBDDH041</t>
  </si>
  <si>
    <t>GREEN CITY EDGE, HOLDING NO 89, KAKRAIL, DHAKA 1217</t>
  </si>
  <si>
    <t>02 58315179, 9358194, 8301012</t>
  </si>
  <si>
    <t>manager.shantinagar@jamunabank.com.bd</t>
  </si>
  <si>
    <t>02 58315649</t>
  </si>
  <si>
    <t>130276588</t>
  </si>
  <si>
    <t>JAMUBDDH039</t>
  </si>
  <si>
    <t>NATIONAL PLAZA, 109 BIR UTTAM CR DATTA ROAD, SONARGAON ROAD, DHAKA</t>
  </si>
  <si>
    <t>02 9670655, 9677050</t>
  </si>
  <si>
    <t>manager.sonargaon@jamunabank.com.bd</t>
  </si>
  <si>
    <t>130264637</t>
  </si>
  <si>
    <t>JAMUBDDH054</t>
  </si>
  <si>
    <t>GIANT BUSINESS TOWER, PLOT NO 3 &amp;amp; 3A, SECTOR 3, UTTARA, DHAKA</t>
  </si>
  <si>
    <t>02 8933059, 48959346, 48950701</t>
  </si>
  <si>
    <t>manager.uttara@jamunabank.com.bd</t>
  </si>
  <si>
    <t>130270005</t>
  </si>
  <si>
    <t>130280679</t>
  </si>
  <si>
    <t>562/533 &amp;amp; 563/534 NIMTALA, DINAJPUR</t>
  </si>
  <si>
    <t>0531 51849</t>
  </si>
  <si>
    <t>manager.dinajpur@jamunabank.com.bd</t>
  </si>
  <si>
    <t>130282172</t>
  </si>
  <si>
    <t>SETABGANJ CHOURASTA, BOCHAGANJ, DINAJPUR</t>
  </si>
  <si>
    <t>05325 73152</t>
  </si>
  <si>
    <t>manager.setabgonj@jamunabank.com.bd</t>
  </si>
  <si>
    <t>130300520</t>
  </si>
  <si>
    <t>HOLDING NO 952, JAGANNATH BARI ROAD (SSK ROAD), FENI</t>
  </si>
  <si>
    <t>0331 62435, 62437</t>
  </si>
  <si>
    <t>manager.feni@jamunabank.com.bd</t>
  </si>
  <si>
    <t>130330408</t>
  </si>
  <si>
    <t>NASRIN COMPLEX, GAZIPUR-TANGAIL HIGHWAY, CHANDRA, KALIAKAIR, GAZIPUR</t>
  </si>
  <si>
    <t>06822 51842-43</t>
  </si>
  <si>
    <t>manager.chandra@jamunabank.com.bd</t>
  </si>
  <si>
    <t>06822 51844</t>
  </si>
  <si>
    <t>130330558</t>
  </si>
  <si>
    <t>1428 CHANDANA CHOWRASTA, JOYDEVPUR, GAZIPUR</t>
  </si>
  <si>
    <t>02 9262174, 9262138</t>
  </si>
  <si>
    <t>130330945</t>
  </si>
  <si>
    <t>PLOT S-66(WEST), BSCIC SHILPA AREA, KONABARI, GAZIPUR</t>
  </si>
  <si>
    <t>02 9297182, 9297183</t>
  </si>
  <si>
    <t>manager.konabari@jamunabank.com.bd</t>
  </si>
  <si>
    <t>130331007</t>
  </si>
  <si>
    <t>HAZI JONAB ALI TOWER, HOLDING NO 276, DHAKA-MYMENSINGH ROAD, MAWNA CHOWRASTA, SREEPUR, GAZIPUR</t>
  </si>
  <si>
    <t>06825 51336, 52200</t>
  </si>
  <si>
    <t>manager.mawna@jamunabank.com.bd</t>
  </si>
  <si>
    <t>130331636</t>
  </si>
  <si>
    <t>BEPARI MARKET, HOLDING NO 12/2, CHAIRMAN BARI ROAD, TONGI COLLEGE GATE, TONGI, GAZIPUR</t>
  </si>
  <si>
    <t>02 9817464</t>
  </si>
  <si>
    <t>manager.tongi@jamunabank.com.bd</t>
  </si>
  <si>
    <t>130410944</t>
  </si>
  <si>
    <t>CHOPOLA COMPLEX, HOLDING NO 9, RN ROAD, KOTWALI, JESSORE</t>
  </si>
  <si>
    <t>0421 51154, 51153</t>
  </si>
  <si>
    <t>manager.jessore@jamunabank.com.bd</t>
  </si>
  <si>
    <t>130500946</t>
  </si>
  <si>
    <t>MH BHABAN, 21-22 NS ROAD, ROXY MORE, KUSHTIA</t>
  </si>
  <si>
    <t>071 73729</t>
  </si>
  <si>
    <t>manager.kushtia@jamunabank.com.bd</t>
  </si>
  <si>
    <t>130540414</t>
  </si>
  <si>
    <t>041</t>
  </si>
  <si>
    <t>NEW MARKET COMPLEX, HOLDING NO 676, PURAN BAZAR, MADARIPUR</t>
  </si>
  <si>
    <t>0661 61342</t>
  </si>
  <si>
    <t>manager.madaripur-sme@jamunabank.com.bd</t>
  </si>
  <si>
    <t>130590101</t>
  </si>
  <si>
    <t>AZIZ PLAZA, BALIGAON BAZAR, TONGIBARI, MUNSHIGANJ</t>
  </si>
  <si>
    <t>02 7617076-77</t>
  </si>
  <si>
    <t>manager.baligaon@jamunabank.com.bd</t>
  </si>
  <si>
    <t>130590280</t>
  </si>
  <si>
    <t>BHOBERCHAR BRANCH</t>
  </si>
  <si>
    <t>BHOBERCHAR_BRANCH</t>
  </si>
  <si>
    <t>MOHAMMAD ALI PRADHAN PLAZA, BHABERCHAR BUS STAND, GAZARIA, MUNSHIGANJ</t>
  </si>
  <si>
    <t>019 11663341</t>
  </si>
  <si>
    <t>manager.bhaborchar@jamunabank.com.bd</t>
  </si>
  <si>
    <t>130591047</t>
  </si>
  <si>
    <t>MUNSHIGANJ SME BRANCH</t>
  </si>
  <si>
    <t>MUNSHIGANJ_SME_BRANCH</t>
  </si>
  <si>
    <t>104</t>
  </si>
  <si>
    <t>JH CITY CENTER, 223 JUBILEE ROAD, MUNSHIGANJ</t>
  </si>
  <si>
    <t>02 7620220, 7620221</t>
  </si>
  <si>
    <t>manager.munshigonj-sme@jamunabank.com.bd</t>
  </si>
  <si>
    <t>130591542</t>
  </si>
  <si>
    <t>TONGIBARI SME BRANCH</t>
  </si>
  <si>
    <t>TONGIBARI_SME_BRANCH</t>
  </si>
  <si>
    <t>TALUKDER SUPER MARKET, COLLEGE ROAD, TONGIBARI, MUNSHIGANJ</t>
  </si>
  <si>
    <t>0691 74119, 74126</t>
  </si>
  <si>
    <t>manager.tongibari@jamunabank.com.bd</t>
  </si>
  <si>
    <t>130611756</t>
  </si>
  <si>
    <t>HOLDING NO 12-01, WARD 8, SWADESHI BAZAR, KOTWALI, MYMENSINGH</t>
  </si>
  <si>
    <t>091 63963</t>
  </si>
  <si>
    <t>manager.mymensingh@jamunabank.com.bd</t>
  </si>
  <si>
    <t>091 63962</t>
  </si>
  <si>
    <t>130641092</t>
  </si>
  <si>
    <t>MAHADEBPUR BRANCH</t>
  </si>
  <si>
    <t>MAHADEBPUR_BRANCH</t>
  </si>
  <si>
    <t>CHARMATHA, MAHADEVPUR, NAOGAON</t>
  </si>
  <si>
    <t>07426 75137</t>
  </si>
  <si>
    <t>manager.mohadevpur@jamunabank.com.bd</t>
  </si>
  <si>
    <t>130641184</t>
  </si>
  <si>
    <t>JAMUBDDH044</t>
  </si>
  <si>
    <t>GITANJALI SHOPPING CENTER, HOLDING NO, 321, MAIN ROAD, NAOGAON</t>
  </si>
  <si>
    <t>0741 61840</t>
  </si>
  <si>
    <t>manager.naogaon@jamunabank.com.bd</t>
  </si>
  <si>
    <t>130670221</t>
  </si>
  <si>
    <t>NUR MANSION MARKET, GAWSIA, RUPGANJ, NARAYANGANJ</t>
  </si>
  <si>
    <t>017 13329304</t>
  </si>
  <si>
    <t>manager.bhulta@jamunabank.com.bd</t>
  </si>
  <si>
    <t>130670821</t>
  </si>
  <si>
    <t>RAHMAN PLAZA, KANCHPUR, SONARGAON, NARAYANGANJ</t>
  </si>
  <si>
    <t>019 66448400</t>
  </si>
  <si>
    <t>manager.kanchpur@jamunabank.com.bd</t>
  </si>
  <si>
    <t>130671183</t>
  </si>
  <si>
    <t>JAMUBDDH047</t>
  </si>
  <si>
    <t>HOLDING NO137 (NEW 207), BB ROAD, CHASHARA, NARAYANGANJ</t>
  </si>
  <si>
    <t>02 7635166, 7630900</t>
  </si>
  <si>
    <t>manager.narayanganj@jamunabank.com.bd</t>
  </si>
  <si>
    <t>130671459</t>
  </si>
  <si>
    <t>SAYJUDDIN VILLA, DAKKHIN NABAGRAM, RUPGANJ, NARAYANGANJ</t>
  </si>
  <si>
    <t>017 11739913</t>
  </si>
  <si>
    <t>manager.rupgonj@jamunabank.com.bd</t>
  </si>
  <si>
    <t>130674485</t>
  </si>
  <si>
    <t>RUPSHI BRANCH</t>
  </si>
  <si>
    <t>RUPSHI_BRANCH</t>
  </si>
  <si>
    <t>448</t>
  </si>
  <si>
    <t>HAJI JULHAS BHUYAN SHOPPING COMPLEX, HOLDING NO 413, RUPSHI BUS STAND, NARAYANGANJ</t>
  </si>
  <si>
    <t>017 13329302, 019 15482172</t>
  </si>
  <si>
    <t>manager.rupshi@jamunabank.com.bd</t>
  </si>
  <si>
    <t>130671783</t>
  </si>
  <si>
    <t>HASHEM TRADE CENTER, HOLDING NO 55/40, SM MALEH ROAD, WARD 15, TANBAZAR, NARAYANGANJ</t>
  </si>
  <si>
    <t>02 7630533-34, 017 77743609</t>
  </si>
  <si>
    <t>manager.tanbazar@jamunabank.com.bd</t>
  </si>
  <si>
    <t>130750259</t>
  </si>
  <si>
    <t>BASURHAT BAZAR, COMPANIGANJ, NOAKHALI</t>
  </si>
  <si>
    <t>0322 356031-32</t>
  </si>
  <si>
    <t>manager.bashurhat@jamunabank.com.bd</t>
  </si>
  <si>
    <t>130750341</t>
  </si>
  <si>
    <t>COLLEGE ROAD, CHOWMUHANI, BEGUMGANJ, NOAKHALI</t>
  </si>
  <si>
    <t>0321 51247, 51245, 017 66679967</t>
  </si>
  <si>
    <t>manager.chowmuhuni@jamunabank.com.bd</t>
  </si>
  <si>
    <t>0321 51254</t>
  </si>
  <si>
    <t>130761785</t>
  </si>
  <si>
    <t>HOLDING NO 790, A HAMID ROAD, PABNA</t>
  </si>
  <si>
    <t>0731 64274, 64201</t>
  </si>
  <si>
    <t>manager.pabna@jamunabank.com.bd</t>
  </si>
  <si>
    <t>130811930</t>
  </si>
  <si>
    <t>JAMUBDDH050</t>
  </si>
  <si>
    <t>SWOSCHO TOWER, 189 SHEKHERCHALK, ALUPATTY, GHORAMARA, BOALIA, RAJSHAHI</t>
  </si>
  <si>
    <t>0721 776077, 812568-69</t>
  </si>
  <si>
    <t>manager.rajshahi@jamunabank.com.bd</t>
  </si>
  <si>
    <t>130851453</t>
  </si>
  <si>
    <t>MAJEDA COMPLEX, HOLDING NO 23-01/02, STATION ROAD, KOTWALI, RANGPUR</t>
  </si>
  <si>
    <t>0521 53773, 53844</t>
  </si>
  <si>
    <t>manager.rangpur@jamunabank.com.bd</t>
  </si>
  <si>
    <t>130881094</t>
  </si>
  <si>
    <t>KAZIPUR SME BRANCH</t>
  </si>
  <si>
    <t>KAZIPUR_SME_BRANCH</t>
  </si>
  <si>
    <t>WARD 4, KAZIPUR POURASHAVA, KAZIPUR, SIRAJGANJ</t>
  </si>
  <si>
    <t>07525 56234, 56233</t>
  </si>
  <si>
    <t>manager.kazipur-sme@jamunabank.com.bd</t>
  </si>
  <si>
    <t>130881878</t>
  </si>
  <si>
    <t>HOSSAIN PLAZA, 973-975 SS ROAD, SIRAJGANJ 6700</t>
  </si>
  <si>
    <t>0751 64377-78</t>
  </si>
  <si>
    <t>manager.sirajganj@jamunabank.com.bd</t>
  </si>
  <si>
    <t>130910310</t>
  </si>
  <si>
    <t>CITY CENTRE, SOUTH BEANIBAZAR, SYLHET</t>
  </si>
  <si>
    <t>08223 56132</t>
  </si>
  <si>
    <t>manager.beanibazar@jamunabank.com.bd</t>
  </si>
  <si>
    <t>130911548</t>
  </si>
  <si>
    <t>NEW PLAZA, GOALABAZAR, OSMANINAGAR, BALAGANJ, SYLHET</t>
  </si>
  <si>
    <t>08242 56118, 56122</t>
  </si>
  <si>
    <t>manager.goalabazar@jamunabank.com.bd</t>
  </si>
  <si>
    <t>130913559</t>
  </si>
  <si>
    <t>MODHUBAN SUPER MARKET, PLOT NO 7774, WARD 15, KOTWALI, SYLHET</t>
  </si>
  <si>
    <t>0821 725409, 725239</t>
  </si>
  <si>
    <t>manager.sylhet@jamunabank.com.bd</t>
  </si>
  <si>
    <t>130940977</t>
  </si>
  <si>
    <t>MASUD HEIGHTS, SHAHID MOHAMMAD ALI ROAD, THAKURGAON 5100</t>
  </si>
  <si>
    <t>0561 52585, 52617</t>
  </si>
  <si>
    <t>manager.thakurgaon@jamunabank.com.bd</t>
  </si>
  <si>
    <t>JANATA_BANK_LIMITED</t>
  </si>
  <si>
    <t>JANATA BANK LIMITED</t>
  </si>
  <si>
    <t>135010107</t>
  </si>
  <si>
    <t>JANBBDDH</t>
  </si>
  <si>
    <t>BAGERHAT SADAR, BAGERHAT 9300</t>
  </si>
  <si>
    <t>0468 62245</t>
  </si>
  <si>
    <t>135010402</t>
  </si>
  <si>
    <t>DIGRAJ BRANCH</t>
  </si>
  <si>
    <t>DIGRAJ_BRANCH</t>
  </si>
  <si>
    <t>DIGRAJ, MANGLA, BAGERHAT 9350</t>
  </si>
  <si>
    <t>04662 75339</t>
  </si>
  <si>
    <t>135010431</t>
  </si>
  <si>
    <t>FOYLAHAT BRANCH</t>
  </si>
  <si>
    <t>FOYLAHAT_BRANCH</t>
  </si>
  <si>
    <t>FOYLAHAT, RAMPAL, BAGERHAT 9341</t>
  </si>
  <si>
    <t>017 30009568</t>
  </si>
  <si>
    <t>135010828</t>
  </si>
  <si>
    <t>LOKHPUR BRANCH</t>
  </si>
  <si>
    <t>LOKHPUR_BRANCH</t>
  </si>
  <si>
    <t>LOKHPUR, FAKIRHAT, BAGERHAT 9370</t>
  </si>
  <si>
    <t>017 30009567</t>
  </si>
  <si>
    <t>135011001</t>
  </si>
  <si>
    <t>MONGLA PORT COMPOUND BRANCH</t>
  </si>
  <si>
    <t>MONGLA_PORT_COMPOUND_BRANCH</t>
  </si>
  <si>
    <t>MONGLA PORT, BAGERHAT 9351</t>
  </si>
  <si>
    <t>04662 75303</t>
  </si>
  <si>
    <t>135011151</t>
  </si>
  <si>
    <t>PUTIKHALI BRANCH</t>
  </si>
  <si>
    <t>PUTIKHALI_BRANCH</t>
  </si>
  <si>
    <t>PUTIKHALI, MORELGANJ, BAGERHAT 9300</t>
  </si>
  <si>
    <t>017 30009565</t>
  </si>
  <si>
    <t>135011180</t>
  </si>
  <si>
    <t>RAIL ROAD BRANCH</t>
  </si>
  <si>
    <t>RAIL_ROAD_BRANCH</t>
  </si>
  <si>
    <t>RAIL ROAD, BAGERHAT 9300</t>
  </si>
  <si>
    <t>0468 62361</t>
  </si>
  <si>
    <t>135011214</t>
  </si>
  <si>
    <t>RAMPAL, BAGERHAT 9340</t>
  </si>
  <si>
    <t>04657 56009</t>
  </si>
  <si>
    <t>135011306</t>
  </si>
  <si>
    <t>SHARANKHOLA BRANCH</t>
  </si>
  <si>
    <t>SHARANKHOLA_BRANCH</t>
  </si>
  <si>
    <t>RAYANDA BAZAR, SHARANKHOLA, BAGERHAT 9330</t>
  </si>
  <si>
    <t>04659 56014</t>
  </si>
  <si>
    <t>135030132</t>
  </si>
  <si>
    <t>BANDARBAN SADAR, BANDARBAN 4600</t>
  </si>
  <si>
    <t>0361 62346</t>
  </si>
  <si>
    <t>135030190</t>
  </si>
  <si>
    <t>LAMA, BANDARBAN 4640</t>
  </si>
  <si>
    <t>015 53605515</t>
  </si>
  <si>
    <t>135030224</t>
  </si>
  <si>
    <t>NAIKHANGCHHARI BRANCH</t>
  </si>
  <si>
    <t>NAIKHANGCHHARI_BRANCH</t>
  </si>
  <si>
    <t>NAIKHANGCHHARI, BANDARBAN 4660</t>
  </si>
  <si>
    <t>018 15382399</t>
  </si>
  <si>
    <t>135040043</t>
  </si>
  <si>
    <t>AMTALI, BARGUNA 8710</t>
  </si>
  <si>
    <t>04452 56077</t>
  </si>
  <si>
    <t>135040193</t>
  </si>
  <si>
    <t>BARGUNA SADAR, BARGUNA 8700</t>
  </si>
  <si>
    <t>0448 62539</t>
  </si>
  <si>
    <t>135060078</t>
  </si>
  <si>
    <t>AGAILJHARA, BARISAL 8240</t>
  </si>
  <si>
    <t>04323 56550</t>
  </si>
  <si>
    <t>135060102</t>
  </si>
  <si>
    <t>ALEKANDA BANGLA BAZAR BRANCH</t>
  </si>
  <si>
    <t>ALEKANDA_BANGLA_BAZAR_BRANCH</t>
  </si>
  <si>
    <t>ALEKANDA BANGLA BAZAR, BARISAL 8200</t>
  </si>
  <si>
    <t>0431 64236</t>
  </si>
  <si>
    <t>135060223</t>
  </si>
  <si>
    <t>RANGASREE, BAKERGANJ, BARISAL 8280</t>
  </si>
  <si>
    <t>04328 74073</t>
  </si>
  <si>
    <t>135060344</t>
  </si>
  <si>
    <t>JANBBDDHBSL</t>
  </si>
  <si>
    <t>MUNICIPAL SUPER MARKET, SADAR ROAD, BARISAL 8200</t>
  </si>
  <si>
    <t>0431 63675,64516</t>
  </si>
  <si>
    <t>135061330</t>
  </si>
  <si>
    <t>BARISAL MEDICAL COLLEGE BRANCH</t>
  </si>
  <si>
    <t>BARISAL_MEDICAL_COLLEGE_BRANCH</t>
  </si>
  <si>
    <t>BARISAL MEDICAL COLLEGE, BARISAL SADAR, BARISAL 8200</t>
  </si>
  <si>
    <t>0431 71647</t>
  </si>
  <si>
    <t>135060407</t>
  </si>
  <si>
    <t>BAZAR ROAD BRANCH</t>
  </si>
  <si>
    <t>BAZAR_ROAD_BRANCH</t>
  </si>
  <si>
    <t>BAZAR ROAD, BARISAL 8200</t>
  </si>
  <si>
    <t>0431 63834</t>
  </si>
  <si>
    <t>135060494</t>
  </si>
  <si>
    <t>BHURGHATA BRANCH</t>
  </si>
  <si>
    <t>BHURGHATA_BRANCH</t>
  </si>
  <si>
    <t>BHURGHATA, GOURNADI, BARISAL 8231</t>
  </si>
  <si>
    <t>135060702</t>
  </si>
  <si>
    <t>CHAWKBAZAR, BARISAL SADAR, BARISAL 8200</t>
  </si>
  <si>
    <t>0431 64203</t>
  </si>
  <si>
    <t>135067776</t>
  </si>
  <si>
    <t>KAKARDHA BRANCH</t>
  </si>
  <si>
    <t>KAKARDHA_BRANCH</t>
  </si>
  <si>
    <t>KAKARDHA, BAKERGANJ, BARISAL 8280</t>
  </si>
  <si>
    <t>017 30009594</t>
  </si>
  <si>
    <t>135061064</t>
  </si>
  <si>
    <t>KALASHKATHI BRANCH</t>
  </si>
  <si>
    <t>KALASHKATHI_BRANCH</t>
  </si>
  <si>
    <t>KALASHKATHI, BAKERGANJ, BARISAL 8284</t>
  </si>
  <si>
    <t>017 30009595</t>
  </si>
  <si>
    <t>135061930</t>
  </si>
  <si>
    <t>KASHIPUR BRANCH</t>
  </si>
  <si>
    <t>KASHIPUR_BRANCH</t>
  </si>
  <si>
    <t>GONI BHABAN, NATULLABAD, BARISAL 8205</t>
  </si>
  <si>
    <t>0431 61042</t>
  </si>
  <si>
    <t>135061219</t>
  </si>
  <si>
    <t>MULADI, BARISAL 8250</t>
  </si>
  <si>
    <t>04326 75271</t>
  </si>
  <si>
    <t>135061543</t>
  </si>
  <si>
    <t>NATUN BAZAR, BARISAL 8200</t>
  </si>
  <si>
    <t>0431 64938</t>
  </si>
  <si>
    <t>135061572</t>
  </si>
  <si>
    <t>PADRISHIBPUR BRANCH</t>
  </si>
  <si>
    <t>PADRISHIBPUR_BRANCH</t>
  </si>
  <si>
    <t>PADRISHIBPUR, BAKERGANJ, BARISAL 8282</t>
  </si>
  <si>
    <t>04328 74046</t>
  </si>
  <si>
    <t>135061635</t>
  </si>
  <si>
    <t>PATERHAT BRANCH</t>
  </si>
  <si>
    <t>PATERHAT_BRANCH</t>
  </si>
  <si>
    <t>PATERHAT, MEHENDIGANJ, BARISAL 8270</t>
  </si>
  <si>
    <t>04325 56001</t>
  </si>
  <si>
    <t>135061664</t>
  </si>
  <si>
    <t>PORT ROAD BRANCH</t>
  </si>
  <si>
    <t>PORT_ROAD_BRANCH</t>
  </si>
  <si>
    <t>PORT ROAD, BARISAL 8200</t>
  </si>
  <si>
    <t>0431 64323</t>
  </si>
  <si>
    <t>135062021</t>
  </si>
  <si>
    <t>SARIKAL BRANCH</t>
  </si>
  <si>
    <t>SARIKAL_BRANCH</t>
  </si>
  <si>
    <t>SARIKAL, GOURNADI, BARISAL 8233</t>
  </si>
  <si>
    <t>017 30009596</t>
  </si>
  <si>
    <t>135062205</t>
  </si>
  <si>
    <t>TORKI BANDAR, GAURNADI, BARISAL 8231</t>
  </si>
  <si>
    <t>04322 56134</t>
  </si>
  <si>
    <t>135090048</t>
  </si>
  <si>
    <t>ALINAGAR BRANCH</t>
  </si>
  <si>
    <t>ALINAGAR_BRANCH</t>
  </si>
  <si>
    <t>JUGIRGHOL, COLLEGE ROAD, BHOLA 8300</t>
  </si>
  <si>
    <t>0491 62575</t>
  </si>
  <si>
    <t>135090130</t>
  </si>
  <si>
    <t>0491 62412</t>
  </si>
  <si>
    <t>135090198</t>
  </si>
  <si>
    <t>04922 56105</t>
  </si>
  <si>
    <t>135090222</t>
  </si>
  <si>
    <t>CHAR FASSON, BHOLA 8340</t>
  </si>
  <si>
    <t>04923 74006</t>
  </si>
  <si>
    <t>135090343</t>
  </si>
  <si>
    <t>DARUN BAZAR BRANCH</t>
  </si>
  <si>
    <t>DARUN_BAZAR_BRANCH</t>
  </si>
  <si>
    <t>DARUN BAZAR, BORHANUDDIN, BHOLA 8320</t>
  </si>
  <si>
    <t>019 35760992</t>
  </si>
  <si>
    <t>135090648</t>
  </si>
  <si>
    <t>KUNJERHAT BAZAR BRANCH</t>
  </si>
  <si>
    <t>KUNJERHAT_BAZAR_BRANCH</t>
  </si>
  <si>
    <t>KUNJERHAT, BORHANUDDIN, BHOLA 8320</t>
  </si>
  <si>
    <t>017 30009599</t>
  </si>
  <si>
    <t>135090701</t>
  </si>
  <si>
    <t>ALAM BHABAN, HOLDING NO 523, HAFIZUDDIN AVENUE, LALMOHAN, BHOLA 8320</t>
  </si>
  <si>
    <t>019 14440077</t>
  </si>
  <si>
    <t>135090914</t>
  </si>
  <si>
    <t>MUNSHIR HAT</t>
  </si>
  <si>
    <t>MUNSHIR_HAT</t>
  </si>
  <si>
    <t>135100046</t>
  </si>
  <si>
    <t>ADAMDIGHI BRANCH</t>
  </si>
  <si>
    <t>ADAMDIGHI_BRANCH</t>
  </si>
  <si>
    <t>ADAMDIGHI, BOGRA 5890</t>
  </si>
  <si>
    <t>0741 69228</t>
  </si>
  <si>
    <t>135100462</t>
  </si>
  <si>
    <t>JANBBDDHBOG</t>
  </si>
  <si>
    <t>BARAGOLA, BOGRA 5800</t>
  </si>
  <si>
    <t>051 66773, 63578</t>
  </si>
  <si>
    <t>135100525</t>
  </si>
  <si>
    <t>BSCIC INDUSTRIAL ESTATE BRANCH</t>
  </si>
  <si>
    <t>BSCIC_INDUSTRIAL_ESTATE_BRANCH</t>
  </si>
  <si>
    <t>BSCIC INDUSTRIAL ESTATE, BOGRA 5800</t>
  </si>
  <si>
    <t>051 66356</t>
  </si>
  <si>
    <t>135100675</t>
  </si>
  <si>
    <t>CHANDAIKONA, SHERPUR, BOGRA 5841</t>
  </si>
  <si>
    <t>017 30009675</t>
  </si>
  <si>
    <t>135100709</t>
  </si>
  <si>
    <t>CHANDAN BAISHYA BRANCH</t>
  </si>
  <si>
    <t>CHANDAN_BAISHYA_BRANCH</t>
  </si>
  <si>
    <t>CHANDAN BAISHYA, SARIAKANDI, BOGRA 5831</t>
  </si>
  <si>
    <t>017 30009674</t>
  </si>
  <si>
    <t>135100738</t>
  </si>
  <si>
    <t>CHANDNI BAZAR BRANCH</t>
  </si>
  <si>
    <t>CHANDNI_BAZAR_BRANCH</t>
  </si>
  <si>
    <t>HELAL MUKUL COMPLEX, BOGRA 5800</t>
  </si>
  <si>
    <t>051 66719</t>
  </si>
  <si>
    <t>135101003</t>
  </si>
  <si>
    <t>FULDIGHI BRANCH</t>
  </si>
  <si>
    <t>FULDIGHI_BRANCH</t>
  </si>
  <si>
    <t>FULDIGHI, SHAHJAHANPUR, BOGRA 5800</t>
  </si>
  <si>
    <t>051 65527</t>
  </si>
  <si>
    <t>135101124</t>
  </si>
  <si>
    <t>GODARPARA BRANCH</t>
  </si>
  <si>
    <t>GODARPARA_BRANCH</t>
  </si>
  <si>
    <t>GODARPARA, ERULIA, BOGRA 5800</t>
  </si>
  <si>
    <t>051 64731</t>
  </si>
  <si>
    <t>135101579</t>
  </si>
  <si>
    <t>KATNARPARA BRANCH</t>
  </si>
  <si>
    <t>KATNARPARA_BRANCH</t>
  </si>
  <si>
    <t>KATNARPARA, BOGRA 5800</t>
  </si>
  <si>
    <t>051 66491</t>
  </si>
  <si>
    <t>135101661</t>
  </si>
  <si>
    <t>KUNDAGRAM BRANCH</t>
  </si>
  <si>
    <t>KUNDAGRAM_BRANCH</t>
  </si>
  <si>
    <t>KUNDAGRAM, ADAMDIGHI, BOGRA 5881</t>
  </si>
  <si>
    <t>017 30009676</t>
  </si>
  <si>
    <t>135102381</t>
  </si>
  <si>
    <t>PALLI UNNAYAN ACADEMY BRANCH</t>
  </si>
  <si>
    <t>PALLI_UNNAYAN_ACADEMY_BRANCH</t>
  </si>
  <si>
    <t>PALLI UNNAYAN ACADEMY, SHERPUR, BOGRA 5842</t>
  </si>
  <si>
    <t>017 30009678</t>
  </si>
  <si>
    <t>135102352</t>
  </si>
  <si>
    <t>RANIRHAT, SHAHJAHANPUR, BOGRA 5801</t>
  </si>
  <si>
    <t>051 68065</t>
  </si>
  <si>
    <t>135102415</t>
  </si>
  <si>
    <t>SANTAHAR BRANCH</t>
  </si>
  <si>
    <t>SANTAHAR_BRANCH</t>
  </si>
  <si>
    <t>SHANTAHAR, ADAMDIGHI, BOGRA 5891</t>
  </si>
  <si>
    <t>0741 69428</t>
  </si>
  <si>
    <t>135102444</t>
  </si>
  <si>
    <t>SHATABDI MARKET BRANCH</t>
  </si>
  <si>
    <t>SHATABDI_MARKET_BRANCH</t>
  </si>
  <si>
    <t>ARAFAT COMPLEX, BRTC MARKET, SATMATHA, BOGRA 5800</t>
  </si>
  <si>
    <t>051 66758, 63635</t>
  </si>
  <si>
    <t>135102749</t>
  </si>
  <si>
    <t>05029 77125</t>
  </si>
  <si>
    <t>135102802</t>
  </si>
  <si>
    <t>SHIBGANJ, BOGRA 5810</t>
  </si>
  <si>
    <t>05033 69005</t>
  </si>
  <si>
    <t>135102981</t>
  </si>
  <si>
    <t>SONATOLA BRANCH</t>
  </si>
  <si>
    <t>SONATOLA_BRANCH</t>
  </si>
  <si>
    <t>SONATOLA, BOGRA 5826</t>
  </si>
  <si>
    <t>05032 79026</t>
  </si>
  <si>
    <t>135120042</t>
  </si>
  <si>
    <t>AKHAUARA BRANCH</t>
  </si>
  <si>
    <t>AKHAUARA_BRANCH</t>
  </si>
  <si>
    <t>AKHAUARA, BRAHMANBARIA 3450</t>
  </si>
  <si>
    <t>08522 56020</t>
  </si>
  <si>
    <t>135120071</t>
  </si>
  <si>
    <t>ARUAIL BRANCH</t>
  </si>
  <si>
    <t>ARUAIL_BRANCH</t>
  </si>
  <si>
    <t>ARUAIL, SARAIL, BRAHMANBARIA 3430</t>
  </si>
  <si>
    <t>017 13107058</t>
  </si>
  <si>
    <t>135120105</t>
  </si>
  <si>
    <t>ASHUGANJ, BRAHMANBARIA 3402</t>
  </si>
  <si>
    <t>08528 74230</t>
  </si>
  <si>
    <t>135120255</t>
  </si>
  <si>
    <t>BANCHHARAMPUR BRANCH</t>
  </si>
  <si>
    <t>BANCHHARAMPUR_BRANCH</t>
  </si>
  <si>
    <t>BANCHHARAMPUR, BRAHMANBARIA 3420</t>
  </si>
  <si>
    <t>08523 56005</t>
  </si>
  <si>
    <t>135120318</t>
  </si>
  <si>
    <t>BAYEK BRANCH</t>
  </si>
  <si>
    <t>BAYEK_BRANCH</t>
  </si>
  <si>
    <t>SALDANADI, KASBA, BRAHMANBARIA 3460</t>
  </si>
  <si>
    <t>017 13107059</t>
  </si>
  <si>
    <t>135120347</t>
  </si>
  <si>
    <t>BHOLACHANG BAZAR BRANCH</t>
  </si>
  <si>
    <t>BHOLACHANG_BAZAR_BRANCH</t>
  </si>
  <si>
    <t>BHOLACHANG, NABINAGAR, BRAHMANBARIA 3410</t>
  </si>
  <si>
    <t>08525 75666, 019 40762707</t>
  </si>
  <si>
    <t>135120376</t>
  </si>
  <si>
    <t>BIDDYAKUT BRANCH</t>
  </si>
  <si>
    <t>BIDDYAKUT_BRANCH</t>
  </si>
  <si>
    <t>BIDDYAKUT, NABINAGAR, BRAHMANBARIA 3410</t>
  </si>
  <si>
    <t>017 30009605</t>
  </si>
  <si>
    <t>135120468</t>
  </si>
  <si>
    <t>BRAHMANBARIA SADAR, BRAHMANBARIA 3400</t>
  </si>
  <si>
    <t>0851 58425,58138</t>
  </si>
  <si>
    <t>135120192</t>
  </si>
  <si>
    <t>BRAHMANBARIA COOPERATIVE BRANCH</t>
  </si>
  <si>
    <t>BRAHMANBARIA_COOPERATIVE_BRANCH</t>
  </si>
  <si>
    <t>0851 58319</t>
  </si>
  <si>
    <t>135120992</t>
  </si>
  <si>
    <t>CHINAIR BAZAR BRANCH</t>
  </si>
  <si>
    <t>CHINAIR_BAZAR_BRANCH</t>
  </si>
  <si>
    <t>MASIHATA, BHATSHALA, BRAHMANBARIA 3450</t>
  </si>
  <si>
    <t>017 16681501</t>
  </si>
  <si>
    <t>135120705</t>
  </si>
  <si>
    <t>CHUNTA BRANCH</t>
  </si>
  <si>
    <t>CHUNTA_BRANCH</t>
  </si>
  <si>
    <t>CHUNTA, SARAIL, BRAHMANBARIA 3430</t>
  </si>
  <si>
    <t>017 30009607</t>
  </si>
  <si>
    <t>135121038</t>
  </si>
  <si>
    <t>KASBA, BRAHMANBARIA 3260</t>
  </si>
  <si>
    <t>08524 73007</t>
  </si>
  <si>
    <t>135120734</t>
  </si>
  <si>
    <t>KRISHNA NAGAR BRANCH</t>
  </si>
  <si>
    <t>KRISHNA_NAGAR_BRANCH</t>
  </si>
  <si>
    <t>KRISHNA NAGAR, NABINAGAR, BRAHMANBARIA 3410</t>
  </si>
  <si>
    <t>019 44414313</t>
  </si>
  <si>
    <t>135121067</t>
  </si>
  <si>
    <t>KUTI BRANCH</t>
  </si>
  <si>
    <t>KUTI_BRANCH</t>
  </si>
  <si>
    <t>KUTI, KASBA, BRAHMANBARIA 3461</t>
  </si>
  <si>
    <t>017 13107061</t>
  </si>
  <si>
    <t>135121333</t>
  </si>
  <si>
    <t>GONGASAGAR, AKHAURA, BRAHMANBARIA 3452</t>
  </si>
  <si>
    <t>017 13107057</t>
  </si>
  <si>
    <t>135121362</t>
  </si>
  <si>
    <t>08525 75202</t>
  </si>
  <si>
    <t>135121454</t>
  </si>
  <si>
    <t>NIAZ PARK BRANCH</t>
  </si>
  <si>
    <t>NIAZ_PARK_BRANCH</t>
  </si>
  <si>
    <t>NIAZ PARK, BRAHMANBARIA 3400</t>
  </si>
  <si>
    <t>0851 59012</t>
  </si>
  <si>
    <t>135121533</t>
  </si>
  <si>
    <t>RUPASHDI BRANCH</t>
  </si>
  <si>
    <t>RUPASHDI_BRANCH</t>
  </si>
  <si>
    <t>DAKSHIN RUPASHDI, BANCHHARAMPUR, BRAHMANBARIA 3420</t>
  </si>
  <si>
    <t>019 12015831</t>
  </si>
  <si>
    <t>135121638</t>
  </si>
  <si>
    <t>SARAIL COOPERATIVE BRANCH</t>
  </si>
  <si>
    <t>SARAIL_COOPERATIVE_BRANCH</t>
  </si>
  <si>
    <t>KUTTAPARA, SARAIL, BRAHMANBARIA 3430</t>
  </si>
  <si>
    <t>08527 56005</t>
  </si>
  <si>
    <t>135121759</t>
  </si>
  <si>
    <t>SHUHILPUR BRANCH</t>
  </si>
  <si>
    <t>SHUHILPUR_BRANCH</t>
  </si>
  <si>
    <t>SHUHILPUR, BRAHMANBARIA 3400</t>
  </si>
  <si>
    <t>0851 57525</t>
  </si>
  <si>
    <t>135121870</t>
  </si>
  <si>
    <t>TANBAZAR, BRAHMANBARIA 3400</t>
  </si>
  <si>
    <t>0851 58494</t>
  </si>
  <si>
    <t>135121904</t>
  </si>
  <si>
    <t>UJANCHAR BAZAR BRANCH</t>
  </si>
  <si>
    <t>UJANCHAR_BAZAR_BRANCH</t>
  </si>
  <si>
    <t>UJANCHAR BAZAR, BANCHHARAMPUR, BRAHMANBARIA 3420</t>
  </si>
  <si>
    <t>017 13107060</t>
  </si>
  <si>
    <t>135121933</t>
  </si>
  <si>
    <t>ZIA SARKARKHANA</t>
  </si>
  <si>
    <t>ZIA_SARKARKHANA</t>
  </si>
  <si>
    <t>135130087</t>
  </si>
  <si>
    <t>BALITHOBA BAZAR BRANCH</t>
  </si>
  <si>
    <t>BALITHOBA_BAZAR_BRANCH</t>
  </si>
  <si>
    <t>BALITHOBA BAZAR, EAST BALITHOBA, FARIDGANG, CHANDPUR</t>
  </si>
  <si>
    <t>017 21277092</t>
  </si>
  <si>
    <t>135130258</t>
  </si>
  <si>
    <t>BEPANIBAGH BRANCH</t>
  </si>
  <si>
    <t>BEPANIBAGH_BRANCH</t>
  </si>
  <si>
    <t>BEPANIBAG, CHANDPUR 3600</t>
  </si>
  <si>
    <t>0841 63267</t>
  </si>
  <si>
    <t>135130340</t>
  </si>
  <si>
    <t>CHANDPUR COOPERATIVE BRANCH</t>
  </si>
  <si>
    <t>CHANDPUR_COOPERATIVE_BRANCH</t>
  </si>
  <si>
    <t>CHAIRMAN GHAT, SHOLAGHAR, CHANDPUR 3600</t>
  </si>
  <si>
    <t>0841 63560</t>
  </si>
  <si>
    <t>135130403</t>
  </si>
  <si>
    <t>CHANDPUR PURAN BAZAR BRANCH</t>
  </si>
  <si>
    <t>CHANDPUR_PURAN_BAZAR_BRANCH</t>
  </si>
  <si>
    <t>PURAN BAZAR, CHANDPUR 3601</t>
  </si>
  <si>
    <t>0841 64227, 65433</t>
  </si>
  <si>
    <t>135130674</t>
  </si>
  <si>
    <t>FARIDGANJ, CHANDPUR 3650</t>
  </si>
  <si>
    <t>08422 -64002</t>
  </si>
  <si>
    <t>135130737</t>
  </si>
  <si>
    <t>GALLAK BAZAR BRANCH</t>
  </si>
  <si>
    <t>GALLAK_BAZAR_BRANCH</t>
  </si>
  <si>
    <t>GALLAK BAZAR, FARIDGANJ, CHANDPUR 3611</t>
  </si>
  <si>
    <t>017 13107054</t>
  </si>
  <si>
    <t>135130887</t>
  </si>
  <si>
    <t>HAJIGANJ, CHANDPUR 3610</t>
  </si>
  <si>
    <t>08424 75233</t>
  </si>
  <si>
    <t>135130911</t>
  </si>
  <si>
    <t>KACHUA, CHANDPUR 3630</t>
  </si>
  <si>
    <t>08425 56043</t>
  </si>
  <si>
    <t>135130979</t>
  </si>
  <si>
    <t>KALIPUR BAZAR BRANCH</t>
  </si>
  <si>
    <t>KALIPUR_BAZAR_BRANCH</t>
  </si>
  <si>
    <t>KALIPUR BAZAR, MATLAB NORTH, CHANDPUR 3642</t>
  </si>
  <si>
    <t>017 13107053</t>
  </si>
  <si>
    <t>135131181</t>
  </si>
  <si>
    <t>MATLABGANJ, MATLAB SOUTH, CHANDPUR 3640</t>
  </si>
  <si>
    <t>08426 56088</t>
  </si>
  <si>
    <t>135131307</t>
  </si>
  <si>
    <t>MOHANPUR BRANCH</t>
  </si>
  <si>
    <t>MOHANPUR_BRANCH</t>
  </si>
  <si>
    <t>MOHANPUR, MATLAB NORTH, CHANDPUR 3641</t>
  </si>
  <si>
    <t>017 13107052</t>
  </si>
  <si>
    <t>135131486</t>
  </si>
  <si>
    <t>0841 63467</t>
  </si>
  <si>
    <t>135131602</t>
  </si>
  <si>
    <t>PALAKHAL BRANCH</t>
  </si>
  <si>
    <t>PALAKHAL_BRANCH</t>
  </si>
  <si>
    <t>PALAKHAL, KACHUA, CHANDPUR 3633</t>
  </si>
  <si>
    <t>017 13107051</t>
  </si>
  <si>
    <t>135131844</t>
  </si>
  <si>
    <t>SATBARIA BRANCH</t>
  </si>
  <si>
    <t>SATBARIA_BRANCH</t>
  </si>
  <si>
    <t>RAHIMA NAGAR, KACHUA, CHANDPUR 3632</t>
  </si>
  <si>
    <t>017 13107050</t>
  </si>
  <si>
    <t>135131907</t>
  </si>
  <si>
    <t>SENGARCHAR BRANCH</t>
  </si>
  <si>
    <t>SENGARCHAR_BRANCH</t>
  </si>
  <si>
    <t>SENGARCHAR, MATLAB NORTH, CHANDPUR 3643</t>
  </si>
  <si>
    <t>08428 51080, 017 13107056</t>
  </si>
  <si>
    <t>135132119</t>
  </si>
  <si>
    <t>SUCHIPARA BRANCH</t>
  </si>
  <si>
    <t>SUCHIPARA_BRANCH</t>
  </si>
  <si>
    <t>SUCHIPARA, SHAHRASTI, CHANDPUR 3620</t>
  </si>
  <si>
    <t>017 13107055</t>
  </si>
  <si>
    <t>135131428</t>
  </si>
  <si>
    <t>SUJATPUR BAZAR, MATLAB NORTH, CHANDPUR 3640</t>
  </si>
  <si>
    <t>017 55555669</t>
  </si>
  <si>
    <t>135700259</t>
  </si>
  <si>
    <t>GODAGARI ROAD, CHAPAI NAWABGANJ 6300</t>
  </si>
  <si>
    <t>0781 52375, 52236</t>
  </si>
  <si>
    <t>135700288</t>
  </si>
  <si>
    <t>CHATRA BRANCH</t>
  </si>
  <si>
    <t>CHATRA_BRANCH</t>
  </si>
  <si>
    <t>CHATRA, SHIBGANJ, CHAPAI NAWABGANJ 6341</t>
  </si>
  <si>
    <t>017 30009633</t>
  </si>
  <si>
    <t>135700370</t>
  </si>
  <si>
    <t>DEWPARA BRANCH</t>
  </si>
  <si>
    <t>DEWPARA_BRANCH</t>
  </si>
  <si>
    <t>DEWPURA, GOMASTAPUR, CHAPAI NAWABGANJ 6320</t>
  </si>
  <si>
    <t>071 30009634</t>
  </si>
  <si>
    <t>135700525</t>
  </si>
  <si>
    <t>KANSAT BRANCH</t>
  </si>
  <si>
    <t>KANSAT_BRANCH</t>
  </si>
  <si>
    <t>KANSAT, SHIBGANJ, CHAPAI NAWABGANJ 6341</t>
  </si>
  <si>
    <t>017 13082801</t>
  </si>
  <si>
    <t>135700675</t>
  </si>
  <si>
    <t>MALLIKPUR BRANCH</t>
  </si>
  <si>
    <t>MALLIKPUR_BRANCH</t>
  </si>
  <si>
    <t>MALLIKPUR, NACHOLE, CHAPAI NAWABGANJ 6310</t>
  </si>
  <si>
    <t>017 30009632</t>
  </si>
  <si>
    <t>135700738</t>
  </si>
  <si>
    <t>NACHOLE BRANCH</t>
  </si>
  <si>
    <t>NACHOLE_BRANCH</t>
  </si>
  <si>
    <t>NACHOLE, CHAPAI NAWABGANJ 6310</t>
  </si>
  <si>
    <t>07824 56008</t>
  </si>
  <si>
    <t>135700859</t>
  </si>
  <si>
    <t>RANIHATI BRANCH</t>
  </si>
  <si>
    <t>RANIHATI_BRANCH</t>
  </si>
  <si>
    <t>RANIHATI, SHIBGANJ, CHAPAI NAWABGANJ 6340</t>
  </si>
  <si>
    <t>017 30009635</t>
  </si>
  <si>
    <t>135700888</t>
  </si>
  <si>
    <t>ROHANPUR, GOMASTAPUR, CHAPAI NAWABGANJ 6320</t>
  </si>
  <si>
    <t>07823 74006</t>
  </si>
  <si>
    <t>135700941</t>
  </si>
  <si>
    <t>07825 75106</t>
  </si>
  <si>
    <t>135150317</t>
  </si>
  <si>
    <t>AMBAGAN BRANCH</t>
  </si>
  <si>
    <t>AMBAGAN_BRANCH</t>
  </si>
  <si>
    <t>TIGERPASS ROAD, AMBAGAN, KHULSI, CHITTAGONG 4000</t>
  </si>
  <si>
    <t>031 614555</t>
  </si>
  <si>
    <t>135150375</t>
  </si>
  <si>
    <t>AMIR MARKET BRANCH</t>
  </si>
  <si>
    <t>AMIR_MARKET_BRANCH</t>
  </si>
  <si>
    <t>KHATUNGANJ, LAMA BAZAR, KOTWALI, CHITTAGONG 4000</t>
  </si>
  <si>
    <t>031 631491, 637647</t>
  </si>
  <si>
    <t>135150612</t>
  </si>
  <si>
    <t>JANBBDDHADG</t>
  </si>
  <si>
    <t>NGS CHAMBAR, KOTWALI, CHITTAGONG 4000</t>
  </si>
  <si>
    <t>031 632648, 611926</t>
  </si>
  <si>
    <t>135150641</t>
  </si>
  <si>
    <t>ASHRAF ALI ROAD BRANCH</t>
  </si>
  <si>
    <t>ASHRAF_ALI_ROAD_BRANCH</t>
  </si>
  <si>
    <t>MARIUM MARKET, 1 ASHRAF ALI ROAD, KOTWALI, CHITTAGONG 4000</t>
  </si>
  <si>
    <t>031 621140</t>
  </si>
  <si>
    <t>135150704</t>
  </si>
  <si>
    <t>ATURAR DEPO BRANCH</t>
  </si>
  <si>
    <t>ATURAR_DEPO_BRANCH</t>
  </si>
  <si>
    <t>ATURAR DEPO, HATHAZARI ROAD, AMIN JUTE MILLS, PANCHLAISH, CHITTAGONG 4211</t>
  </si>
  <si>
    <t>031 683507</t>
  </si>
  <si>
    <t>135154397</t>
  </si>
  <si>
    <t>BAKALIA BRANCH</t>
  </si>
  <si>
    <t>BAKALIA_BRANCH</t>
  </si>
  <si>
    <t>HAZI TOWER, KALAMEAH BAZAR, BAKALIA, CHITTAGONG 4000</t>
  </si>
  <si>
    <t>031 630993</t>
  </si>
  <si>
    <t>135150854</t>
  </si>
  <si>
    <t>BALUCHARA BRANCH</t>
  </si>
  <si>
    <t>BALUCHARA_BRANCH</t>
  </si>
  <si>
    <t>JALALABAD, BAYAZID BOSTAMI, CHITTAGONG 4214</t>
  </si>
  <si>
    <t>031 683682</t>
  </si>
  <si>
    <t>135151037</t>
  </si>
  <si>
    <t>BARABKUNDA BRANCH</t>
  </si>
  <si>
    <t>BARABKUNDA_BRANCH</t>
  </si>
  <si>
    <t>BARABKUNDA BAZAR, SITAKUNDA, CHITTAGONG 4312</t>
  </si>
  <si>
    <t>03028 56108</t>
  </si>
  <si>
    <t>135150825</t>
  </si>
  <si>
    <t>BAYAZID BOSTAMI BRANCH</t>
  </si>
  <si>
    <t>BAYAZID_BOSTAMI_BRANCH</t>
  </si>
  <si>
    <t>BANGLADESH OXYGEN, HATHAZARI ROAD, BAYAZID BOSTAMI, CHITTAGONG 4210</t>
  </si>
  <si>
    <t>031 683592</t>
  </si>
  <si>
    <t>135151332</t>
  </si>
  <si>
    <t>BAZALIA, SATKANIA, CHITTAGONG 4388</t>
  </si>
  <si>
    <t>017 13107084</t>
  </si>
  <si>
    <t>135151453</t>
  </si>
  <si>
    <t>BURISHCHAR BRANCH</t>
  </si>
  <si>
    <t>BURISHCHAR_BRANCH</t>
  </si>
  <si>
    <t>NURALIBARI, HATHAZARI, CHITTAGONG 4337</t>
  </si>
  <si>
    <t>031 670914, 017 13107085</t>
  </si>
  <si>
    <t>135151758</t>
  </si>
  <si>
    <t>62/263 NUTUN CHAKTAI, BAKALIA, CHITTAGONG 4000</t>
  </si>
  <si>
    <t>031 622323</t>
  </si>
  <si>
    <t>135151729</t>
  </si>
  <si>
    <t>RAHMAN MARKET, CHAWKBAZAR, KOTWALI, CHITTAGONG 4203</t>
  </si>
  <si>
    <t>031 616764</t>
  </si>
  <si>
    <t>135151990</t>
  </si>
  <si>
    <t>CHITTAGONG CANTONMENT BRANCH</t>
  </si>
  <si>
    <t>CHITTAGONG_CANTONMENT_BRANCH</t>
  </si>
  <si>
    <t>CHITTAGONG CANTONMENT, BAYAZID BOSTAMI, CHITTAGONG 4210</t>
  </si>
  <si>
    <t>031 683655</t>
  </si>
  <si>
    <t>135151574</t>
  </si>
  <si>
    <t>CHITTAGONG CPZ BRANCH</t>
  </si>
  <si>
    <t>CHITTAGONG_CPZ_BRANCH</t>
  </si>
  <si>
    <t>6606(P) ISLAM MANSION, AIRPORT ROAD, BANDAR, CHITTAGONG 4223</t>
  </si>
  <si>
    <t>031 740980</t>
  </si>
  <si>
    <t>135152836</t>
  </si>
  <si>
    <t>CHITTAGONG FOREIGN EXCHANGE BRANCH</t>
  </si>
  <si>
    <t>CHITTAGONG_FOREIGN_EXCHANGE_BRANCH</t>
  </si>
  <si>
    <t>JANBBDDHCDA</t>
  </si>
  <si>
    <t>CDA ANNEX BUILDING, KOTWALI, CHITTAGONG 4000</t>
  </si>
  <si>
    <t>031 620608, 630829</t>
  </si>
  <si>
    <t>135154489</t>
  </si>
  <si>
    <t>CHITTAGONG LADIES BRANCH</t>
  </si>
  <si>
    <t>CHITTAGONG_LADIES_BRANCH</t>
  </si>
  <si>
    <t>943 OR NIZAM ROAD, PANCHLAISH, CHITTAGONG 4000</t>
  </si>
  <si>
    <t>031 654363</t>
  </si>
  <si>
    <t>135156287</t>
  </si>
  <si>
    <t>BSC BHABAN, BANDAR, CHITTAGONG 4100</t>
  </si>
  <si>
    <t>031 710196, 2520252</t>
  </si>
  <si>
    <t>135152081</t>
  </si>
  <si>
    <t>CHITTAGONG UNIVERSITY CAMPUS, HATHAZARI, CHITTAGONG 4331</t>
  </si>
  <si>
    <t>017 13107091, 031 726311-14</t>
  </si>
  <si>
    <t>135157752</t>
  </si>
  <si>
    <t>CHITTAGONG WASA BRANCH</t>
  </si>
  <si>
    <t>CHITTAGONG_WASA_BRANCH</t>
  </si>
  <si>
    <t>775</t>
  </si>
  <si>
    <t>WASA BUILDING, CDA AVENUE, DAMPARA, CHITTAGONG 4000</t>
  </si>
  <si>
    <t>031 613073</t>
  </si>
  <si>
    <t>135155659</t>
  </si>
  <si>
    <t>CHOTTAGONG NEW MARKET BRANCH</t>
  </si>
  <si>
    <t>CHOTTAGONG_NEW_MARKET_BRANCH</t>
  </si>
  <si>
    <t>38 CDA NEW MARKET, KOTWALI, CHITTAGONG 4000</t>
  </si>
  <si>
    <t>031 634904, 630446</t>
  </si>
  <si>
    <t>135152173</t>
  </si>
  <si>
    <t>FATEHABAD, HATHAZARI ROAD, HATHAZARI, CHITTAGONG 4330</t>
  </si>
  <si>
    <t>031 683556</t>
  </si>
  <si>
    <t>135152207</t>
  </si>
  <si>
    <t>CITY CORPORATION BRANCH</t>
  </si>
  <si>
    <t>CITY_CORPORATION_BRANCH</t>
  </si>
  <si>
    <t>CITY CORPORATION BHABAN, KOTWALI, CHITTAGONG 4000</t>
  </si>
  <si>
    <t>031 612686</t>
  </si>
  <si>
    <t>135152294</t>
  </si>
  <si>
    <t>COLONELHAT BRANCH</t>
  </si>
  <si>
    <t>COLONELHAT_BRANCH</t>
  </si>
  <si>
    <t>COLONELHAT, UTTAR KATTALI, PAHARTALI, CHITTAGONG 4217</t>
  </si>
  <si>
    <t>031 751522</t>
  </si>
  <si>
    <t>135151637</t>
  </si>
  <si>
    <t>CUFL BRANCH</t>
  </si>
  <si>
    <t>CUFL_BRANCH</t>
  </si>
  <si>
    <t>CUFL, ANWARA, CHITTAGONG 4376</t>
  </si>
  <si>
    <t>031 622301</t>
  </si>
  <si>
    <t>135152449</t>
  </si>
  <si>
    <t>FAZIA MARKET, DEWANHAT, SHEIK MUJIB ROAD, PATHANTULI, DOUBLE MOORING, CHITTAGONG 4000</t>
  </si>
  <si>
    <t>031 716223</t>
  </si>
  <si>
    <t>135152560</t>
  </si>
  <si>
    <t>DOHAZARI, CHANDANAISH, CHITTAGONG 4382</t>
  </si>
  <si>
    <t>031 635022</t>
  </si>
  <si>
    <t>135152599</t>
  </si>
  <si>
    <t>DRY DOCK BRANCH</t>
  </si>
  <si>
    <t>DRY_DOCK_BRANCH</t>
  </si>
  <si>
    <t>BIMAN BANDAR ROAD, EAST POTENGA, CHITTAGONG 4205</t>
  </si>
  <si>
    <t>031 2500849</t>
  </si>
  <si>
    <t>135152652</t>
  </si>
  <si>
    <t>FAIZIA BAZAR BRANCH</t>
  </si>
  <si>
    <t>FAIZIA_BAZAR_BRANCH</t>
  </si>
  <si>
    <t>FAIZIA BAZAR, RAHIMPUR, HATHAZARI, CHITTAGONG 4330</t>
  </si>
  <si>
    <t>017 13107092</t>
  </si>
  <si>
    <t>135152744</t>
  </si>
  <si>
    <t>FATIKCHHARI, CHITTAGONG 4350</t>
  </si>
  <si>
    <t>017 13107095, 031 637001</t>
  </si>
  <si>
    <t>135152807</t>
  </si>
  <si>
    <t>800 FIRINGI BAZAR, BRIDGE GHAT, KOTWALI, CHITTAGONG</t>
  </si>
  <si>
    <t>031 630330</t>
  </si>
  <si>
    <t>135153019</t>
  </si>
  <si>
    <t>GOHIRA, RAOZAN, CHITTAGONG 4343</t>
  </si>
  <si>
    <t>017 13107093</t>
  </si>
  <si>
    <t>135153222</t>
  </si>
  <si>
    <t>HATHAZARI, CHITTAGONG 4330</t>
  </si>
  <si>
    <t>017 13107098, 031 620126</t>
  </si>
  <si>
    <t>135153101</t>
  </si>
  <si>
    <t>HSS ROAD</t>
  </si>
  <si>
    <t>HSS_ROAD</t>
  </si>
  <si>
    <t>135153556</t>
  </si>
  <si>
    <t>JALILNAGAR BRANCH</t>
  </si>
  <si>
    <t>JALILNAGAR_BRANCH</t>
  </si>
  <si>
    <t>JALIL NAGAR, RAOZAN, CHITTAGONG 4340</t>
  </si>
  <si>
    <t>017 13107094</t>
  </si>
  <si>
    <t>135153619</t>
  </si>
  <si>
    <t>JORARGANJ, MIRSHARAI, CHITTAGONG 4324</t>
  </si>
  <si>
    <t>017 13107089</t>
  </si>
  <si>
    <t>135153648</t>
  </si>
  <si>
    <t>TAZ MACHINERY MARKET, 234 JUBILEE ROAD, CHITTAGONG 4000</t>
  </si>
  <si>
    <t>031 614516</t>
  </si>
  <si>
    <t>135153730</t>
  </si>
  <si>
    <t>BAITUL SHARAF MARKET, KADAMTALI, DOUBLE MOORING, CHITTAGONG 4204</t>
  </si>
  <si>
    <t>031 710279</t>
  </si>
  <si>
    <t>135153914</t>
  </si>
  <si>
    <t>KALURGHAT BRANCH</t>
  </si>
  <si>
    <t>KALURGHAT_BRANCH</t>
  </si>
  <si>
    <t>391</t>
  </si>
  <si>
    <t>MOHARA, CHANDGAON, CHITTAGONG 4208</t>
  </si>
  <si>
    <t>031 670574</t>
  </si>
  <si>
    <t>135154005</t>
  </si>
  <si>
    <t>KAMAR ALI BAZAR BRANCH</t>
  </si>
  <si>
    <t>KAMAR_ALI_BAZAR_BRANCH</t>
  </si>
  <si>
    <t>KAMAR ALI, MIRSHARAI, CHITTAGONG 4320</t>
  </si>
  <si>
    <t>017 13107088</t>
  </si>
  <si>
    <t>135154063</t>
  </si>
  <si>
    <t>KARERHAT BRANCH</t>
  </si>
  <si>
    <t>KARERHAT_BRANCH</t>
  </si>
  <si>
    <t>KARERHAT, MIRERSHARAI, CHITTAGONG 4327</t>
  </si>
  <si>
    <t>017 13107090</t>
  </si>
  <si>
    <t>135154092</t>
  </si>
  <si>
    <t>KATGHAR BRANCH</t>
  </si>
  <si>
    <t>KATGHAR_BRANCH</t>
  </si>
  <si>
    <t>POTENGA, CHITTAGONG 4204</t>
  </si>
  <si>
    <t>031 2500096</t>
  </si>
  <si>
    <t>135154155</t>
  </si>
  <si>
    <t>120 NUR AHMED ROAD, KAZIR DEWRI, CHITTAGONG 4000</t>
  </si>
  <si>
    <t>031 618309</t>
  </si>
  <si>
    <t>135154300</t>
  </si>
  <si>
    <t>JANBBDDHJKG</t>
  </si>
  <si>
    <t>265 KHATUNGANJ, KOTWALI, CHITTAGONG 4000</t>
  </si>
  <si>
    <t>031 630480, 611301, 2861193</t>
  </si>
  <si>
    <t>135154450</t>
  </si>
  <si>
    <t>445</t>
  </si>
  <si>
    <t>KUMIRA, SITAKUNDA, CHITTAGONG 4314</t>
  </si>
  <si>
    <t>03042 51002</t>
  </si>
  <si>
    <t>135154542</t>
  </si>
  <si>
    <t>JANBBDDHLDE</t>
  </si>
  <si>
    <t>BANK SQUARE, LALDIGHI EAST, CHITTAGONG 4000</t>
  </si>
  <si>
    <t>031 611375, 611556, 610115</t>
  </si>
  <si>
    <t>135154663</t>
  </si>
  <si>
    <t>LOHAGARA, CHITTAGONG 4396</t>
  </si>
  <si>
    <t>03034 56180</t>
  </si>
  <si>
    <t>135154997</t>
  </si>
  <si>
    <t>MIMI SUPER MARKET BRANCH</t>
  </si>
  <si>
    <t>MIMI_SUPER_MARKET_BRANCH</t>
  </si>
  <si>
    <t>499</t>
  </si>
  <si>
    <t>MIMI SUPER MARKET, 1/B BAYAZID BOSTAMI ROAD, PANCHLAISH, CHITTAGONG 4210</t>
  </si>
  <si>
    <t>031 654902</t>
  </si>
  <si>
    <t>135155059</t>
  </si>
  <si>
    <t>MIRSHARAI BRANCH</t>
  </si>
  <si>
    <t>MIRSHARAI_BRANCH</t>
  </si>
  <si>
    <t>MIRSHARAI, CHITTAGONG 4320</t>
  </si>
  <si>
    <t>03024 56017</t>
  </si>
  <si>
    <t>135155233</t>
  </si>
  <si>
    <t>523</t>
  </si>
  <si>
    <t>SIRAJ SHOPPING COMPLEX, 85 MURADPUR, PACHLAISH, CHITTAGONG 4203</t>
  </si>
  <si>
    <t>031 652870</t>
  </si>
  <si>
    <t>135155325</t>
  </si>
  <si>
    <t>SK FARID MARKET, MURADPUR, PANCHLAISH, CHITTAGONG 4203</t>
  </si>
  <si>
    <t>031 654118</t>
  </si>
  <si>
    <t>135155596</t>
  </si>
  <si>
    <t>NAZIRHAT, HATHAZARI, CHITTAGONG 4353</t>
  </si>
  <si>
    <t>017 13107096, 031 635033</t>
  </si>
  <si>
    <t>135155891</t>
  </si>
  <si>
    <t>PADUA BRANCH</t>
  </si>
  <si>
    <t>PADUA_BRANCH</t>
  </si>
  <si>
    <t>PADUA, LOHAGARA, CHITTAGONG 4397</t>
  </si>
  <si>
    <t>03034 56038, 017 13107083</t>
  </si>
  <si>
    <t>135155925</t>
  </si>
  <si>
    <t>2192/3008 DT ROAD, PAHARTALI, CHITTAGONG 4202</t>
  </si>
  <si>
    <t>031 751339</t>
  </si>
  <si>
    <t>135156311</t>
  </si>
  <si>
    <t>PATENGA ROAD BRANCH</t>
  </si>
  <si>
    <t>PATENGA_ROAD_BRANCH</t>
  </si>
  <si>
    <t>631</t>
  </si>
  <si>
    <t>PATENGA ROAD, PATENGA, CHITTAGONG 4204</t>
  </si>
  <si>
    <t>031 2500022</t>
  </si>
  <si>
    <t>135156166</t>
  </si>
  <si>
    <t>03035 56238</t>
  </si>
  <si>
    <t>135156195</t>
  </si>
  <si>
    <t>POMRA</t>
  </si>
  <si>
    <t>619</t>
  </si>
  <si>
    <t>135156524</t>
  </si>
  <si>
    <t>REAZUDDIN BAZAR BRANCH</t>
  </si>
  <si>
    <t>REAZUDDIN_BAZAR_BRANCH</t>
  </si>
  <si>
    <t>RAHMAN CENTRE, 582-587 REAZ UDDIN BAZAR, CHITTAGONG 4000</t>
  </si>
  <si>
    <t>031 613424</t>
  </si>
  <si>
    <t>135156737</t>
  </si>
  <si>
    <t>SADARGHAT ROAD BRANCH</t>
  </si>
  <si>
    <t>SADARGHAT_ROAD_BRANCH</t>
  </si>
  <si>
    <t>AZIM PLAZA, 45 DAROGAHAT ROAD, KOTWALI, CHITTAGONG 4000</t>
  </si>
  <si>
    <t>031 618617</t>
  </si>
  <si>
    <t>135156708</t>
  </si>
  <si>
    <t>SADHARAN BIMA BHABAN BRANCH</t>
  </si>
  <si>
    <t>SADHARAN_BIMA_BHABAN_BRANCH</t>
  </si>
  <si>
    <t>670</t>
  </si>
  <si>
    <t>JANBBDDHSBB</t>
  </si>
  <si>
    <t>SADHARAN BIMA BHABAN, PATHANTULY, DOUBLE MOORING, CHITTAGONG 4000</t>
  </si>
  <si>
    <t>031 714111, 2519394</t>
  </si>
  <si>
    <t>135156858</t>
  </si>
  <si>
    <t>SALIMPUR BRANCH</t>
  </si>
  <si>
    <t>SALIMPUR_BRANCH</t>
  </si>
  <si>
    <t>JAFRABAD, SITAKUNDA, CHITTAGONG 4317</t>
  </si>
  <si>
    <t>031 751644</t>
  </si>
  <si>
    <t>135157002</t>
  </si>
  <si>
    <t>SARKERHAT BRANCH</t>
  </si>
  <si>
    <t>SARKERHAT_BRANCH</t>
  </si>
  <si>
    <t>700</t>
  </si>
  <si>
    <t>MIRZAPUR, HATHAZARI, CHITTAGONG 4334</t>
  </si>
  <si>
    <t>017 13107097</t>
  </si>
  <si>
    <t>135156645</t>
  </si>
  <si>
    <t>664</t>
  </si>
  <si>
    <t>SATKANIA, CHITTAGONG 4386</t>
  </si>
  <si>
    <t>03036 56317</t>
  </si>
  <si>
    <t>135157181</t>
  </si>
  <si>
    <t>SHAHERKHALI BRANCH</t>
  </si>
  <si>
    <t>SHAHERKHALI_BRANCH</t>
  </si>
  <si>
    <t>718</t>
  </si>
  <si>
    <t>SHAHERKHALI, MIRSHARAI, CHITTAGONG 4321</t>
  </si>
  <si>
    <t>017 13107087</t>
  </si>
  <si>
    <t>135157394</t>
  </si>
  <si>
    <t>SITAKUNDA, CHITTAGONG 4310</t>
  </si>
  <si>
    <t>03028 56112</t>
  </si>
  <si>
    <t>135157457</t>
  </si>
  <si>
    <t>SK MUJIB ROAD BRANCH</t>
  </si>
  <si>
    <t>SK_MUJIB_ROAD_BRANCH</t>
  </si>
  <si>
    <t>745</t>
  </si>
  <si>
    <t>JANBBDDHSMS</t>
  </si>
  <si>
    <t>27 SK MUJIB ROAD, AGRABAD C/A, CHITTAGONG 4000</t>
  </si>
  <si>
    <t>031 720742, 716349, 2520434</t>
  </si>
  <si>
    <t>135157578</t>
  </si>
  <si>
    <t>KULSUMA BUILDING, 100 STRAND ROAD, BANGLA BAZAR, DOUBLE MOORING, CHITTAGONG 4000</t>
  </si>
  <si>
    <t>031 712495</t>
  </si>
  <si>
    <t>135157631</t>
  </si>
  <si>
    <t>TERRI BAZAR BRANCH</t>
  </si>
  <si>
    <t>TERRI_BAZAR_BRANCH</t>
  </si>
  <si>
    <t>SYED AHMED CHOWDHURY MARKET, TERRI BAZAR, KOTWALI, CHITTAGONG 4000</t>
  </si>
  <si>
    <t>031 638959</t>
  </si>
  <si>
    <t>135180040</t>
  </si>
  <si>
    <t>ALAMDANGA, CHUADANGA 7210</t>
  </si>
  <si>
    <t>07622 56348</t>
  </si>
  <si>
    <t>135180253</t>
  </si>
  <si>
    <t>0761 62474</t>
  </si>
  <si>
    <t>135180316</t>
  </si>
  <si>
    <t>DARSHANA, DAMURHUDA, CHUADANGA 7221</t>
  </si>
  <si>
    <t>0763 251004</t>
  </si>
  <si>
    <t>135180466</t>
  </si>
  <si>
    <t>HASHADAH BRANCH</t>
  </si>
  <si>
    <t>HASHADAH_BRANCH</t>
  </si>
  <si>
    <t>HASHADAH JIBAN NAGAR, CHUADANGA 7330</t>
  </si>
  <si>
    <t>07624 75502</t>
  </si>
  <si>
    <t>135180587</t>
  </si>
  <si>
    <t>DAULATGANJ, JIBAN NAGAR, CHUADANGA 7230</t>
  </si>
  <si>
    <t>07624 75503</t>
  </si>
  <si>
    <t>135180679</t>
  </si>
  <si>
    <t>KAPASHDANGA BRANCH</t>
  </si>
  <si>
    <t>KAPASHDANGA_BRANCH</t>
  </si>
  <si>
    <t>KAPASHDANGA, DAMURHUDA, CHUADANGA 7221</t>
  </si>
  <si>
    <t>017 79146889</t>
  </si>
  <si>
    <t>135180224</t>
  </si>
  <si>
    <t>0761 62511</t>
  </si>
  <si>
    <t>135190043</t>
  </si>
  <si>
    <t>AK FAZLUL HAQUE ROAD BRANCH</t>
  </si>
  <si>
    <t>AK_FAZLUL_HAQUE_ROAD_BRANCH</t>
  </si>
  <si>
    <t>AK FAZLUL HAQUE ROAD, MANOHARPUR, COMILLA 3500</t>
  </si>
  <si>
    <t>081 68440, 76980</t>
  </si>
  <si>
    <t>135190106</t>
  </si>
  <si>
    <t>ALKARA BRANCH</t>
  </si>
  <si>
    <t>ALKARA_BRANCH</t>
  </si>
  <si>
    <t>ALKARA, CHAUDDAGRAM, COMILLA 3583</t>
  </si>
  <si>
    <t>017 13107068</t>
  </si>
  <si>
    <t>135190348</t>
  </si>
  <si>
    <t>BAIRA BRANCH</t>
  </si>
  <si>
    <t>BAIRA_BRANCH</t>
  </si>
  <si>
    <t>BAIRA, MURADNAGAR, COMILLA 3542</t>
  </si>
  <si>
    <t>017 30009613</t>
  </si>
  <si>
    <t>135190498</t>
  </si>
  <si>
    <t>BARURA, COMILLA 3560</t>
  </si>
  <si>
    <t>08027 52027</t>
  </si>
  <si>
    <t>135190522</t>
  </si>
  <si>
    <t>BATAKANDI BAZAR BRANCH</t>
  </si>
  <si>
    <t>BATAKANDI_BAZAR_BRANCH</t>
  </si>
  <si>
    <t>BATAKANDI, TITAS, COMILLA 3547</t>
  </si>
  <si>
    <t>017 13107067</t>
  </si>
  <si>
    <t>135190614</t>
  </si>
  <si>
    <t>BHARASHAR BAZAR BRANCH</t>
  </si>
  <si>
    <t>BHARASHAR_BAZAR_BRANCH</t>
  </si>
  <si>
    <t>ISAPURA, BURICHANG, COMILLA 3520</t>
  </si>
  <si>
    <t>017 12900397</t>
  </si>
  <si>
    <t>135190580</t>
  </si>
  <si>
    <t>BHOWKSHER BAZAR BRANCH</t>
  </si>
  <si>
    <t>BHOWKSHER_BAZAR_BRANCH</t>
  </si>
  <si>
    <t>BHOWKSHER BAZAR, BARURA, COMILLA 3561</t>
  </si>
  <si>
    <t>017 13107072</t>
  </si>
  <si>
    <t>135190793</t>
  </si>
  <si>
    <t>BHULAIN BAZAR BRANCH</t>
  </si>
  <si>
    <t>BHULAIN_BAZAR_BRANCH</t>
  </si>
  <si>
    <t>BHULAIN BAZAR, NANGALKOT, COMILLA 3580</t>
  </si>
  <si>
    <t>017 13107069, 017 11666406</t>
  </si>
  <si>
    <t>135190827</t>
  </si>
  <si>
    <t>BURICHANG BRANCH</t>
  </si>
  <si>
    <t>BURICHANG_BRANCH</t>
  </si>
  <si>
    <t>BURICHANG, COMILLA 3520</t>
  </si>
  <si>
    <t>08029 56104</t>
  </si>
  <si>
    <t>135190919</t>
  </si>
  <si>
    <t>CHANDINA SAMABAY BRANCH</t>
  </si>
  <si>
    <t>CHANDINA_SAMABAY_BRANCH</t>
  </si>
  <si>
    <t>08022 56102</t>
  </si>
  <si>
    <t>135191068</t>
  </si>
  <si>
    <t>CHAUDDAGRAM, COMILLA 3550</t>
  </si>
  <si>
    <t>08020 56162</t>
  </si>
  <si>
    <t>135190977</t>
  </si>
  <si>
    <t>CHAWKBAZAR, COMILLA ADARSHA SADAR, COMILLA 3500</t>
  </si>
  <si>
    <t>081 65216</t>
  </si>
  <si>
    <t>135191271</t>
  </si>
  <si>
    <t>JANBBDDHCCN</t>
  </si>
  <si>
    <t>CHHATIPOTTI, RAJGANJ ROAD, COMILLA 3500</t>
  </si>
  <si>
    <t>081 76440, 76154, 65717</t>
  </si>
  <si>
    <t>135191189</t>
  </si>
  <si>
    <t>COMILLA CADET COLLEGE BRANCH</t>
  </si>
  <si>
    <t>COMILLA_CADET_COLLEGE_BRANCH</t>
  </si>
  <si>
    <t>KOTBARI, COMILLA SADAR SOUTH, COMILLA 3503</t>
  </si>
  <si>
    <t>081 68295</t>
  </si>
  <si>
    <t>135191242</t>
  </si>
  <si>
    <t>COMILLA COOPERATIVE BRANCH</t>
  </si>
  <si>
    <t>COMILLA_COOPERATIVE_BRANCH</t>
  </si>
  <si>
    <t>HOUSE NO 9, BLOCK A, SECTION 1, HOUSING STATE, COMILLA 3500</t>
  </si>
  <si>
    <t>081 68309</t>
  </si>
  <si>
    <t>135191305</t>
  </si>
  <si>
    <t>COMILLA EPZ BRANCH</t>
  </si>
  <si>
    <t>COMILLA_EPZ_BRANCH</t>
  </si>
  <si>
    <t>EPZ, COMILLA SADAR SOUTH, COMILLA 3500</t>
  </si>
  <si>
    <t>081 71099</t>
  </si>
  <si>
    <t>135191176</t>
  </si>
  <si>
    <t>COMILLA UNIVERSITY BRANCH</t>
  </si>
  <si>
    <t>COMILLA_UNIVERSITY_BRANCH</t>
  </si>
  <si>
    <t>KOTBARI, COMILLA UNIVERSITY CAMPUS, COMILLA SADAR SOUTH, COMILLA 3503</t>
  </si>
  <si>
    <t>018 18713936</t>
  </si>
  <si>
    <t>135191426</t>
  </si>
  <si>
    <t>COMPANIGANJ, MURADNAGAR, COMILLA 3542</t>
  </si>
  <si>
    <t>08026 59002, 017 13107062</t>
  </si>
  <si>
    <t>135191518</t>
  </si>
  <si>
    <t>DAUDKANDI, COMILLA 3516</t>
  </si>
  <si>
    <t>081 65634, 017 58884532</t>
  </si>
  <si>
    <t>135191639</t>
  </si>
  <si>
    <t>DEBIDWAR NEW MARKET BRANCH</t>
  </si>
  <si>
    <t>DEBIDWAR_NEW_MARKET_BRANCH</t>
  </si>
  <si>
    <t>DEBIDWAR, COMILLA 3530</t>
  </si>
  <si>
    <t>08024 53027</t>
  </si>
  <si>
    <t>135191750</t>
  </si>
  <si>
    <t>DHARMAPUR BRANCH</t>
  </si>
  <si>
    <t>DHARMAPUR_BRANCH</t>
  </si>
  <si>
    <t>DHARMAPUR, COMILLA ADARSHA SADAR, COMILLA 3500</t>
  </si>
  <si>
    <t>081 76549</t>
  </si>
  <si>
    <t>135191871</t>
  </si>
  <si>
    <t>DULALPUR BAZAR BRANCH</t>
  </si>
  <si>
    <t>DULALPUR_BAZAR_BRANCH</t>
  </si>
  <si>
    <t>DULALPUR, HOMNA, COMILLA 3546</t>
  </si>
  <si>
    <t>017 30009611</t>
  </si>
  <si>
    <t>135190243</t>
  </si>
  <si>
    <t>ELAHABAD BAZAR BRANCH</t>
  </si>
  <si>
    <t>ELAHABAD_BAZAR_BRANCH</t>
  </si>
  <si>
    <t>ELAHABAD BAZAR, DEBIDWAR, COMILLA</t>
  </si>
  <si>
    <t>018 18035975</t>
  </si>
  <si>
    <t>135191934</t>
  </si>
  <si>
    <t>FAKIRBAZAR BRANCH</t>
  </si>
  <si>
    <t>FAKIRBAZAR_BRANCH</t>
  </si>
  <si>
    <t>FAKIR BAZAR, BURICHANG, COMILLA 3520</t>
  </si>
  <si>
    <t>017 30009614</t>
  </si>
  <si>
    <t>135192054</t>
  </si>
  <si>
    <t>GANDAMATI BAZAR BRANCH</t>
  </si>
  <si>
    <t>GANDAMATI_BAZAR_BRANCH</t>
  </si>
  <si>
    <t>081 65906</t>
  </si>
  <si>
    <t>135192146</t>
  </si>
  <si>
    <t>GOURIPUR BAZAR BRANCH</t>
  </si>
  <si>
    <t>GOURIPUR_BAZAR_BRANCH</t>
  </si>
  <si>
    <t>GOURIPUR BAZAR, DAUDKANDI, COMILLA 3517</t>
  </si>
  <si>
    <t>018 22001333</t>
  </si>
  <si>
    <t>135192175</t>
  </si>
  <si>
    <t>GUNABATI BRANCH</t>
  </si>
  <si>
    <t>GUNABATI_BRANCH</t>
  </si>
  <si>
    <t>GUNABATI, CHAUDDAGRAM, COMILLA 3583</t>
  </si>
  <si>
    <t>017 13107074</t>
  </si>
  <si>
    <t>135192238</t>
  </si>
  <si>
    <t>08025 54023</t>
  </si>
  <si>
    <t>135192320</t>
  </si>
  <si>
    <t>JAFARGANJ BRANCH</t>
  </si>
  <si>
    <t>JAFARGANJ_BRANCH</t>
  </si>
  <si>
    <t>GANGAMANDAL, DEBIDWAR, COMILLA 3531</t>
  </si>
  <si>
    <t>017 13107066</t>
  </si>
  <si>
    <t>135192470</t>
  </si>
  <si>
    <t>KAMALLA BRANCH</t>
  </si>
  <si>
    <t>KAMALLA_BRANCH</t>
  </si>
  <si>
    <t>KAMALLA, MURADNAGAR, COMILLA 3540</t>
  </si>
  <si>
    <t>017 30009617</t>
  </si>
  <si>
    <t>135192504</t>
  </si>
  <si>
    <t>KANDIRPAR BRANCH</t>
  </si>
  <si>
    <t>KANDIRPAR_BRANCH</t>
  </si>
  <si>
    <t>KANDIRPAR, COMILLA 3500</t>
  </si>
  <si>
    <t>081 65373</t>
  </si>
  <si>
    <t>135192717</t>
  </si>
  <si>
    <t>LAKSAM, COMILLA 3570</t>
  </si>
  <si>
    <t>08032 51593</t>
  </si>
  <si>
    <t>135192988</t>
  </si>
  <si>
    <t>MOHANPUR BAZAR BRANCH</t>
  </si>
  <si>
    <t>MOHANPUR_BAZAR_BRANCH</t>
  </si>
  <si>
    <t>MOHANPUR BAZAR, DEBIDWAR, COMILLA 3510</t>
  </si>
  <si>
    <t>017 30009612</t>
  </si>
  <si>
    <t>135193224</t>
  </si>
  <si>
    <t>NALGHAR BAZAR BRANCH</t>
  </si>
  <si>
    <t>NALGHAR_BAZAR_BRANCH</t>
  </si>
  <si>
    <t>NALGHAR BAZAR, CHAUDDAGRAM, COMILLA 3550</t>
  </si>
  <si>
    <t>017 13107073, 018 14432664</t>
  </si>
  <si>
    <t>135193253</t>
  </si>
  <si>
    <t>NANGALKOT, COMILLA 3580</t>
  </si>
  <si>
    <t>08033 66138</t>
  </si>
  <si>
    <t>135193495</t>
  </si>
  <si>
    <t>PAYERKHOLA BRANCH</t>
  </si>
  <si>
    <t>PAYERKHOLA_BRANCH</t>
  </si>
  <si>
    <t>BARDAIN, CHAUDDAGRAM, COMILLA 3583</t>
  </si>
  <si>
    <t>017 13107071, 018 40453126</t>
  </si>
  <si>
    <t>135193640</t>
  </si>
  <si>
    <t>RAMCHANDRAPUR BRANCH</t>
  </si>
  <si>
    <t>RAMCHANDRAPUR_BRANCH</t>
  </si>
  <si>
    <t>RAMCHANDRAPUR, MURADNAGAR, COMILLA 3541</t>
  </si>
  <si>
    <t>017 13107063</t>
  </si>
  <si>
    <t>135193679</t>
  </si>
  <si>
    <t>RAMKRISHNAPUR BRANCH</t>
  </si>
  <si>
    <t>RAMKRISHNAPUR_BRANCH</t>
  </si>
  <si>
    <t>RAMKRISHNAPUR, HOMNA, COMILLA 3546</t>
  </si>
  <si>
    <t>017 13107065</t>
  </si>
  <si>
    <t>135193790</t>
  </si>
  <si>
    <t>SHAHEBABAD BAZAR BRANCH</t>
  </si>
  <si>
    <t>SHAHEBABAD_BAZAR_BRANCH</t>
  </si>
  <si>
    <t>SHAHEBABAD BAZAR, BRAHMANPARA, COMILLA 3526</t>
  </si>
  <si>
    <t>08028 56041</t>
  </si>
  <si>
    <t>135193853</t>
  </si>
  <si>
    <t>SHASANGACHHA BRANCH</t>
  </si>
  <si>
    <t>SHASANGACHHA_BRANCH</t>
  </si>
  <si>
    <t>385</t>
  </si>
  <si>
    <t>SHASHANGACHHA, COMILLA ADARSHA SADAR, COMILLA 3500</t>
  </si>
  <si>
    <t>081 65634</t>
  </si>
  <si>
    <t>135193882</t>
  </si>
  <si>
    <t>SHASHIDAL BAZAR BRANCH</t>
  </si>
  <si>
    <t>SHASHIDAL_BAZAR_BRANCH</t>
  </si>
  <si>
    <t>SHASHIDAL BAZAR, BRAHMANPARA, COMILLA 3526</t>
  </si>
  <si>
    <t>017 30009615</t>
  </si>
  <si>
    <t>135190230</t>
  </si>
  <si>
    <t>SHUAGANJ BAZAR BRANCH</t>
  </si>
  <si>
    <t>SHUAGANJ_BAZAR_BRANCH</t>
  </si>
  <si>
    <t>SHUAGANJ BAZAR, COMILLA SADAR SOUTH, COMILLA</t>
  </si>
  <si>
    <t>135194065</t>
  </si>
  <si>
    <t>SUNDALPUR BRANCH</t>
  </si>
  <si>
    <t>SUNDALPUR_BRANCH</t>
  </si>
  <si>
    <t>DASHPARA, DAUDKANDI, COMILLA 3518</t>
  </si>
  <si>
    <t>017 30009610</t>
  </si>
  <si>
    <t>135220168</t>
  </si>
  <si>
    <t>135220313</t>
  </si>
  <si>
    <t>COXS BAZAR MAIN</t>
  </si>
  <si>
    <t>COXS_BAZAR_MAIN</t>
  </si>
  <si>
    <t>135220676</t>
  </si>
  <si>
    <t>135220821</t>
  </si>
  <si>
    <t>135220850</t>
  </si>
  <si>
    <t>135220913</t>
  </si>
  <si>
    <t>135270042</t>
  </si>
  <si>
    <t>ABDUL GANI ROAD BRANCH</t>
  </si>
  <si>
    <t>ABDUL_GANI_ROAD_BRANCH</t>
  </si>
  <si>
    <t>BIDDUT BHABAN, 1 ABDUL GANI ROAD, SHANTINAGAR, DHAKA 1217</t>
  </si>
  <si>
    <t>02 9557963, 9566414</t>
  </si>
  <si>
    <t>135270071</t>
  </si>
  <si>
    <t>ABUL HASNAT ROAD BRANCH</t>
  </si>
  <si>
    <t>ABUL_HASNAT_ROAD_BRANCH</t>
  </si>
  <si>
    <t>17 NCC ROAD, MAHUTHTULY, BANGSHAL, DHAKA 1100</t>
  </si>
  <si>
    <t>02 7314857</t>
  </si>
  <si>
    <t>135270226</t>
  </si>
  <si>
    <t>ALUBAZAR BRANCH</t>
  </si>
  <si>
    <t>ALUBAZAR_BRANCH</t>
  </si>
  <si>
    <t>32 SIDDIK BAZAR, NORTH SOUTH ROAD, BANGSHAL, DHAKA</t>
  </si>
  <si>
    <t>02 7126234, 7116323</t>
  </si>
  <si>
    <t>135260131</t>
  </si>
  <si>
    <t>PARBAT CINEMA COMPLEX, GABTALI, MIRPUR, DHAKA 1216</t>
  </si>
  <si>
    <t>02 9001599</t>
  </si>
  <si>
    <t>135271188</t>
  </si>
  <si>
    <t>ARAMBAGH BRANCH</t>
  </si>
  <si>
    <t>ARAMBAGH_BRANCH</t>
  </si>
  <si>
    <t>HOTEL AL-HELAL BUILDING, 186 INNAR CIRCULAR ROAD, MOTIJHEEL, DHAKA 1000</t>
  </si>
  <si>
    <t>02 7192204, 7192277</t>
  </si>
  <si>
    <t>135270318</t>
  </si>
  <si>
    <t>ARMANITOLA BRANCH</t>
  </si>
  <si>
    <t>ARMANITOLA_BRANCH</t>
  </si>
  <si>
    <t>10-11 SYED HASAN ALI LANE, ARMANITOLA, KOTWALI, DHAKA 1100</t>
  </si>
  <si>
    <t>02 7391903, 7392701</t>
  </si>
  <si>
    <t>135270068</t>
  </si>
  <si>
    <t>ASHRAFABAD ROAD BRANCH</t>
  </si>
  <si>
    <t>ASHRAFABAD_ROAD_BRANCH</t>
  </si>
  <si>
    <t>SULTANGANJ, KAMRANGIR CHAR, DHAKA</t>
  </si>
  <si>
    <t>02 7341162</t>
  </si>
  <si>
    <t>135260344</t>
  </si>
  <si>
    <t>CHA-74 HOSSAIN MARKET, BADDA, DHAKA 1212</t>
  </si>
  <si>
    <t>02 8816678</t>
  </si>
  <si>
    <t>135263583</t>
  </si>
  <si>
    <t>BALUGHAT BAZAR BRANCH</t>
  </si>
  <si>
    <t>BALUGHAT_BAZAR_BRANCH</t>
  </si>
  <si>
    <t>1/1 BARONTEK, BALUGHAT, PALLABI, DHAKA 1206</t>
  </si>
  <si>
    <t>02 8752810</t>
  </si>
  <si>
    <t>135260436</t>
  </si>
  <si>
    <t>HOUSE 79/1, BLOCK 1, BIR UTTAM ZIAUR RAHMAN SARAK, CHAIRMAN BARI, BANANI, DHAKA 1213</t>
  </si>
  <si>
    <t>02 9895642</t>
  </si>
  <si>
    <t>135270855</t>
  </si>
  <si>
    <t>BANGLA MOTOR BRANCH</t>
  </si>
  <si>
    <t>BANGLA_MOTOR_BRANCH</t>
  </si>
  <si>
    <t>110 KAZI NAZRUL ISLAM AVENUE, BANGLA MOTOR, DHAKA 1215</t>
  </si>
  <si>
    <t>02 9333619</t>
  </si>
  <si>
    <t>135270884</t>
  </si>
  <si>
    <t>BANGSHAL ROAD BRANCH</t>
  </si>
  <si>
    <t>BANGSHAL_ROAD_BRANCH</t>
  </si>
  <si>
    <t>215 BANGSHAL ROAD, BANGSHAL, DHAKA 1000</t>
  </si>
  <si>
    <t>02 7126270</t>
  </si>
  <si>
    <t>135260678</t>
  </si>
  <si>
    <t>BEGUM ROKEYA SARANI BRANCH</t>
  </si>
  <si>
    <t>BEGUM_ROKEYA_SARANI_BRANCH</t>
  </si>
  <si>
    <t>218 BEGUM ROKEYA SARANI, WEST KAFRUL, MOHAMMADPUR HOUSING, SHER-E-BANGLA NAGAR, DHAKA 1207</t>
  </si>
  <si>
    <t>02 -9135744</t>
  </si>
  <si>
    <t>135271241</t>
  </si>
  <si>
    <t>CHAMPATALI LANE BRANCH</t>
  </si>
  <si>
    <t>CHAMPATALI_LANE_BRANCH</t>
  </si>
  <si>
    <t>11 CHAMPATALI LANE, CHAWK BAZAR, DHAKA 1100</t>
  </si>
  <si>
    <t>02 7317464</t>
  </si>
  <si>
    <t>135271270</t>
  </si>
  <si>
    <t>CHAWAKBAZAR BRANCH</t>
  </si>
  <si>
    <t>CHAWAKBAZAR_BRANCH</t>
  </si>
  <si>
    <t>200-201 WATER WORKS ROAD, CHAWAKBAZAR, DHAKA 1100</t>
  </si>
  <si>
    <t>02 7313954, 7342349</t>
  </si>
  <si>
    <t>135260915</t>
  </si>
  <si>
    <t>AD PLAZA, DAKSHINKHAN, DHAKA 1230</t>
  </si>
  <si>
    <t>02 8914445</t>
  </si>
  <si>
    <t>135261064</t>
  </si>
  <si>
    <t>DHAKA COLLEGE GATE BRANCH</t>
  </si>
  <si>
    <t>DHAKA_COLLEGE_GATE_BRANCH</t>
  </si>
  <si>
    <t>30 MIRPUR ROAD, NEW MARKET, DHAKA 1205</t>
  </si>
  <si>
    <t>02 8625010</t>
  </si>
  <si>
    <t>135272358</t>
  </si>
  <si>
    <t>DHAKA FOREIGN EXCHANGE BRANCH</t>
  </si>
  <si>
    <t>DHAKA_FOREIGN_EXCHANGE_BRANCH</t>
  </si>
  <si>
    <t>JANBBDDHFEC</t>
  </si>
  <si>
    <t>57 PURANA PALTAN, DHAKA 1000</t>
  </si>
  <si>
    <t>02 9558047, 9567631-32, 9567630, 9566504</t>
  </si>
  <si>
    <t>135263525</t>
  </si>
  <si>
    <t>JANBBDDHNMD</t>
  </si>
  <si>
    <t>55/2-55/3 NEW MARKET, DHAKA 1205</t>
  </si>
  <si>
    <t>02 9675094, 8625856</t>
  </si>
  <si>
    <t>135271759</t>
  </si>
  <si>
    <t>DHAKA UNIVERSITY CAMPUS BRANCH</t>
  </si>
  <si>
    <t>DHAKA_UNIVERSITY_CAMPUS_BRANCH</t>
  </si>
  <si>
    <t>TSC BHABAN, DHAKA UNIVERSITY CAMPUS, SHAHBAGH, DHAKA 1000</t>
  </si>
  <si>
    <t>02 8628509, 8629470</t>
  </si>
  <si>
    <t>135271812</t>
  </si>
  <si>
    <t>DHAKESHWARI ROAD BRANCH</t>
  </si>
  <si>
    <t>DHAKESHWARI_ROAD_BRANCH</t>
  </si>
  <si>
    <t>22/6 DHAKESHWARI ROAD, CHAWKBAZAR, DHAKA 1205</t>
  </si>
  <si>
    <t>02 8625920</t>
  </si>
  <si>
    <t>135261156</t>
  </si>
  <si>
    <t>HOLDING NO B/250, WARD 3, DHAMRAI, DHAKA 1350</t>
  </si>
  <si>
    <t>02 7730016</t>
  </si>
  <si>
    <t>135261185</t>
  </si>
  <si>
    <t>ENA TOWER DE-OLIO, 57/3/4/5 PANTHAPATH, KALABAGAN, DHAKA 1205</t>
  </si>
  <si>
    <t>02 9115731, 8119497</t>
  </si>
  <si>
    <t>135271933</t>
  </si>
  <si>
    <t>JANBBDDHDCB</t>
  </si>
  <si>
    <t>RAJ BHABAN, 29 DILKUSHA C/A, MOTIJHEEL, DHAKA 1223</t>
  </si>
  <si>
    <t>02 9551653, 9560058-59, 9551648</t>
  </si>
  <si>
    <t>135272024</t>
  </si>
  <si>
    <t>DMCH BRANCH</t>
  </si>
  <si>
    <t>DMCH_BRANCH</t>
  </si>
  <si>
    <t>DHAKA MEDICAL COLLEGE HOSPITAL, SHAHBAGH, DHAKA 1000</t>
  </si>
  <si>
    <t>02 9634850</t>
  </si>
  <si>
    <t>135261369</t>
  </si>
  <si>
    <t>JANBBDDHELE</t>
  </si>
  <si>
    <t>272 ELEPHANT ROAD, DHANMONDI, DHAKA 1205</t>
  </si>
  <si>
    <t>02 9667384, 8625629</t>
  </si>
  <si>
    <t>135272145</t>
  </si>
  <si>
    <t>32/KA JOHNNSON ROAD, SUTRAPUR, DHAKA 1100</t>
  </si>
  <si>
    <t>02 7120934</t>
  </si>
  <si>
    <t>135272174</t>
  </si>
  <si>
    <t>FAKIRAPOOL BRANCH</t>
  </si>
  <si>
    <t>FAKIRAPOOL_BRANCH</t>
  </si>
  <si>
    <t>4 INNER CIRCULAR ROAD, MOTIJHEEL, DHAKA 1000</t>
  </si>
  <si>
    <t>02 7191438</t>
  </si>
  <si>
    <t>135272237</t>
  </si>
  <si>
    <t>17/B FARASHGANJ, SUTRAPUR, DHAKA 1100</t>
  </si>
  <si>
    <t>02 7119317, 7116355</t>
  </si>
  <si>
    <t>135261480</t>
  </si>
  <si>
    <t>JANBBDDHFGD</t>
  </si>
  <si>
    <t>14 TEJKUNI PARA, FARMGATE,DHAKA 1215</t>
  </si>
  <si>
    <t>02 9114410, 9114621</t>
  </si>
  <si>
    <t>135272387</t>
  </si>
  <si>
    <t>178-179 SIDDIQUE BAZAR, FULBARIA, BANGSHAL, DHAKA 1000</t>
  </si>
  <si>
    <t>02 9557319</t>
  </si>
  <si>
    <t>135272008</t>
  </si>
  <si>
    <t>GALIMPUR BRANCH</t>
  </si>
  <si>
    <t>GALIMPUR_BRANCH</t>
  </si>
  <si>
    <t>GALIMPUR BAZAR, AGLA, NAWABGANJ, DHAKA 1323</t>
  </si>
  <si>
    <t>017 16127308</t>
  </si>
  <si>
    <t>135261664</t>
  </si>
  <si>
    <t>GANASHASTHA KENDRA BRANCH</t>
  </si>
  <si>
    <t>GANASHASTHA_KENDRA_BRANCH</t>
  </si>
  <si>
    <t>GANASHASTHA BHABAN, MIRZANAGAR, ASHULIA, DHAKA 1344</t>
  </si>
  <si>
    <t>02 7792188</t>
  </si>
  <si>
    <t>135272440</t>
  </si>
  <si>
    <t>JANBBDDHGRB</t>
  </si>
  <si>
    <t>110 DISTILLERY ROAD, GANDARIA, SUTRAPUR, DHAKA 1204</t>
  </si>
  <si>
    <t>02 7440061</t>
  </si>
  <si>
    <t>135261693</t>
  </si>
  <si>
    <t>GREEN SUPER MARKET, 139-140 GREEN ROAD, DHAKA 1215</t>
  </si>
  <si>
    <t>02 9113064</t>
  </si>
  <si>
    <t>135261756</t>
  </si>
  <si>
    <t>GULSHAN CIRCLE 1 BRANCH</t>
  </si>
  <si>
    <t>GULSHAN_CIRCLE_1_BRANCH</t>
  </si>
  <si>
    <t>HABIB SUPER MARKET, 50 SOUTH GULSHAN, GULSHAN 1, DHAKA 1212</t>
  </si>
  <si>
    <t>02 9894802, 8817418</t>
  </si>
  <si>
    <t>135261785</t>
  </si>
  <si>
    <t>GULSHAN CIRCLE 2 BRANCH</t>
  </si>
  <si>
    <t>GULSHAN_CIRCLE_2_BRANCH</t>
  </si>
  <si>
    <t>BARUN BHABAN, 15 NORTH GULSHAN C/A, DHAKA 1212</t>
  </si>
  <si>
    <t>02 9890001, 9896377</t>
  </si>
  <si>
    <t>135272624</t>
  </si>
  <si>
    <t>HATKHOLA ROAD LADIES BRANCH</t>
  </si>
  <si>
    <t>HATKHOLA_ROAD_LADIES_BRANCH</t>
  </si>
  <si>
    <t>42/4 HATKHOLA ROAD, TIKATULI, WARI, DHAKA 1203</t>
  </si>
  <si>
    <t>02 7126078</t>
  </si>
  <si>
    <t>135261969</t>
  </si>
  <si>
    <t>GAZ MAHAL, PLOT 1, WARD 48, HAZARIBAGH, DHAKA 1209</t>
  </si>
  <si>
    <t>02 9614114</t>
  </si>
  <si>
    <t>135272774</t>
  </si>
  <si>
    <t>ICMH BRANCH</t>
  </si>
  <si>
    <t>ICMH_BRANCH</t>
  </si>
  <si>
    <t>TUSHER DHARA, ICMH BHABAN, MATUAIL, KADAMTALI, DHAKA 1362</t>
  </si>
  <si>
    <t>02 7545858</t>
  </si>
  <si>
    <t>135272837</t>
  </si>
  <si>
    <t>JANBBDDHIMA</t>
  </si>
  <si>
    <t>20 IMAMGANJ, CHAWAKBAZAR, DHAKA 1211</t>
  </si>
  <si>
    <t>02 7314333, 7316086, 7316082-83</t>
  </si>
  <si>
    <t>135273010</t>
  </si>
  <si>
    <t>ISLAMPUR ROAD BRANCH</t>
  </si>
  <si>
    <t>ISLAMPUR_ROAD_BRANCH</t>
  </si>
  <si>
    <t>SHARFUDDIN MANSION, 74-75 ISLAMPUR ROAD, KOTWALI, DHAKA 1100</t>
  </si>
  <si>
    <t>02 7391602, 7392585</t>
  </si>
  <si>
    <t>135273078</t>
  </si>
  <si>
    <t>IWTA BRANCH</t>
  </si>
  <si>
    <t>IWTA_BRANCH</t>
  </si>
  <si>
    <t>IWTA TERMINAL BUILDING, SADARGHAT, KOTWALI, DHAKA 1100</t>
  </si>
  <si>
    <t>02 7113197, 7118199</t>
  </si>
  <si>
    <t>135260331</t>
  </si>
  <si>
    <t>JAMUNA FUTURE PARK BRANCH</t>
  </si>
  <si>
    <t>JAMUNA_FUTURE_PARK_BRANCH</t>
  </si>
  <si>
    <t>STORE NO 6, BLOCK C, KA-244, PRAGRATI SARANI, BADDA, DHAKA</t>
  </si>
  <si>
    <t>02 9823025, 9823031</t>
  </si>
  <si>
    <t>135273131</t>
  </si>
  <si>
    <t>JANATA BHABAN BRANCH</t>
  </si>
  <si>
    <t>JANATA_BHABAN_BRANCH</t>
  </si>
  <si>
    <t>JANBBDDHJBC</t>
  </si>
  <si>
    <t>110 MOTIJHEEL C/A, DHAKA 1000</t>
  </si>
  <si>
    <t>02 9556216, 9553347</t>
  </si>
  <si>
    <t>135273315</t>
  </si>
  <si>
    <t>34-35 DIT INDISTRIAL AREA, GANDARIA, SHYAMPUR, DHAKA 1204</t>
  </si>
  <si>
    <t>02 7440871</t>
  </si>
  <si>
    <t>135273528</t>
  </si>
  <si>
    <t>KAMALAPUR BAZAR BRANCH</t>
  </si>
  <si>
    <t>KAMALAPUR_BAZAR_BRANCH</t>
  </si>
  <si>
    <t>RAZZAQ TOWER, 22 KAMALAPUR BAZAR, MOTIJHEEL, DHAKA 1217</t>
  </si>
  <si>
    <t>02 9333417</t>
  </si>
  <si>
    <t>135273610</t>
  </si>
  <si>
    <t>KAPTAN BAZAR BRANCH</t>
  </si>
  <si>
    <t>KAPTAN_BAZAR_BRANCH</t>
  </si>
  <si>
    <t>HAMIDUNESSA ELECTRIC MARKET, HOLDING NO 144/2/A, NAWABPUR ROAD, SUTRAPUR, DHAKA 1203</t>
  </si>
  <si>
    <t>02 7122518</t>
  </si>
  <si>
    <t>135262568</t>
  </si>
  <si>
    <t>JANBBDDHKRN</t>
  </si>
  <si>
    <t>WASA BHABAN, 98 KAZI NAZRUL ISLAM AVENUE, KARWAN BAZAR, TEJGAON, DHAKA 1215</t>
  </si>
  <si>
    <t>02 9111254, 9113778</t>
  </si>
  <si>
    <t>135262500</t>
  </si>
  <si>
    <t>KEMAL ATATURK AVENUE BRANCH</t>
  </si>
  <si>
    <t>KEMAL_ATATURK_AVENUE_BRANCH</t>
  </si>
  <si>
    <t>JANBBDDHKAC</t>
  </si>
  <si>
    <t>SOFURA TOWER, 20 KEMAL ATATURK AVENUE, BANANI, DHAKA 1213</t>
  </si>
  <si>
    <t>02 9896123, 9853881, 9853887, 9853006</t>
  </si>
  <si>
    <t>135273678</t>
  </si>
  <si>
    <t>KHILGAON ROAD BRANCH</t>
  </si>
  <si>
    <t>KHILGAON_ROAD_BRANCH</t>
  </si>
  <si>
    <t>62/B KHILGAON, DHAKA 1219</t>
  </si>
  <si>
    <t>02 9330528</t>
  </si>
  <si>
    <t>135273852</t>
  </si>
  <si>
    <t>LAKSHMIBAZAR BRANCH</t>
  </si>
  <si>
    <t>LAKSHMIBAZAR_BRANCH</t>
  </si>
  <si>
    <t>15 LAKSHMI BAZAR, SUTRAPUR, DHAKA 1100</t>
  </si>
  <si>
    <t>02 7115017</t>
  </si>
  <si>
    <t>135273881</t>
  </si>
  <si>
    <t>JANBBDDHJBD</t>
  </si>
  <si>
    <t>1 DILKUSHA C/A, MOTIJHEEL, DHAKA 1000</t>
  </si>
  <si>
    <t>02 9556242-44, 9553106</t>
  </si>
  <si>
    <t>135263138</t>
  </si>
  <si>
    <t>PLOT 34, BLOCK KHA, CIRCLE 10, MIRPUR, DHAKA 1218</t>
  </si>
  <si>
    <t>02 9002815</t>
  </si>
  <si>
    <t>135263109</t>
  </si>
  <si>
    <t>PLOT NO 333/35, ROAD 9, BLOCK D, MIRPUR SECTION 1, SHAH ALI, DHAKA 1218</t>
  </si>
  <si>
    <t>02 8034947, 9002943</t>
  </si>
  <si>
    <t>135274127</t>
  </si>
  <si>
    <t>MITFORD ROAD BRANCH</t>
  </si>
  <si>
    <t>MITFORD_ROAD_BRANCH</t>
  </si>
  <si>
    <t>162/A BIREN BOSH STREET, MITFORD ROAD, CHAWAKBAZAR, DHAKA 1100</t>
  </si>
  <si>
    <t>02 7316126, 7310965</t>
  </si>
  <si>
    <t>135274185</t>
  </si>
  <si>
    <t>JANBBDDHMGB</t>
  </si>
  <si>
    <t>63/A BARA MOGHBAZAR, DHAKA 1217</t>
  </si>
  <si>
    <t>02 8322922, 9356770</t>
  </si>
  <si>
    <t>135263220</t>
  </si>
  <si>
    <t>19 MOHAKHALI C/A, DHAKA 1213</t>
  </si>
  <si>
    <t>02 9898756, 9860175</t>
  </si>
  <si>
    <t>135263341</t>
  </si>
  <si>
    <t>JANBBDDHMPD</t>
  </si>
  <si>
    <t>77/C ASAD AVENUE, MOHAMMADPUR, DHAKA 1207</t>
  </si>
  <si>
    <t>02 9115258, 9113509</t>
  </si>
  <si>
    <t>135274219</t>
  </si>
  <si>
    <t>MOKIMKATRA BRANCH</t>
  </si>
  <si>
    <t>MOKIMKATRA_BRANCH</t>
  </si>
  <si>
    <t>48 MOKIMKATRA, MOULVIBAZAR, CHAWAKBAZAR, DHAKA 1100</t>
  </si>
  <si>
    <t>02 7313501</t>
  </si>
  <si>
    <t>135274277</t>
  </si>
  <si>
    <t>JANBBDDHMCA</t>
  </si>
  <si>
    <t>48 MOTIJHEEL C/A, DHAKA 1000</t>
  </si>
  <si>
    <t>02 9551474, 9560913</t>
  </si>
  <si>
    <t>135274398</t>
  </si>
  <si>
    <t>MOUCHAK MARKET BRANCH</t>
  </si>
  <si>
    <t>MOUCHAK_MARKET_BRANCH</t>
  </si>
  <si>
    <t>GOLDEN PLAZA, 95 SIDDHSHWARI ROAD, DHAKA 1217</t>
  </si>
  <si>
    <t>02 9331141, 9352347</t>
  </si>
  <si>
    <t>135274451</t>
  </si>
  <si>
    <t>MUGDAPARA BRANCH</t>
  </si>
  <si>
    <t>MUGDAPARA_BRANCH</t>
  </si>
  <si>
    <t>SKY VIEW PLAZA, HOLDING NO 3/2, SOUTH MUGDAPARA, DHAKA</t>
  </si>
  <si>
    <t>02 7272755</t>
  </si>
  <si>
    <t>135274572</t>
  </si>
  <si>
    <t>NAGAR BHABAN BRANCH</t>
  </si>
  <si>
    <t>NAGAR_BHABAN_BRANCH</t>
  </si>
  <si>
    <t>5 PHOENIX ROAD, FULBARIA, DHAKA 1000</t>
  </si>
  <si>
    <t>02 9567633, 9555239</t>
  </si>
  <si>
    <t>135274635</t>
  </si>
  <si>
    <t>NARINDA ROAD BRANCH</t>
  </si>
  <si>
    <t>NARINDA_ROAD_BRANCH</t>
  </si>
  <si>
    <t>73/A LALMOHAN SAHA STREET, WARI, DHAKA 1203</t>
  </si>
  <si>
    <t>02 7116101</t>
  </si>
  <si>
    <t>135274693</t>
  </si>
  <si>
    <t>49-51 NAWABGANJ ROAD, POSTA, LALBAGH, DHAKA 1211</t>
  </si>
  <si>
    <t>02 8628716</t>
  </si>
  <si>
    <t>135274785</t>
  </si>
  <si>
    <t>JANBBDDHJNB</t>
  </si>
  <si>
    <t>90 NAWABPUR ROAD, WARI, DHAKA 1100</t>
  </si>
  <si>
    <t>02 7118967, 7118972</t>
  </si>
  <si>
    <t>135263462</t>
  </si>
  <si>
    <t>NAYARHAT BUS STAND, ASHULIA, DHAKA 1350</t>
  </si>
  <si>
    <t>02 7792818</t>
  </si>
  <si>
    <t>135274930</t>
  </si>
  <si>
    <t>NAZIMUDDIN ROAD BRANCH</t>
  </si>
  <si>
    <t>NAZIMUDDIN_ROAD_BRANCH</t>
  </si>
  <si>
    <t>137 ABUL HASNAT ROAD, BANGSHAL, DHAKA 1100</t>
  </si>
  <si>
    <t>02 7316403</t>
  </si>
  <si>
    <t>135275126</t>
  </si>
  <si>
    <t>NRB CORPORATE BRANCH</t>
  </si>
  <si>
    <t>NRB_CORPORATE_BRANCH</t>
  </si>
  <si>
    <t>512</t>
  </si>
  <si>
    <t>48 MOTIJHEEL C/A, MOTIJHEEL, DHAKA 1000</t>
  </si>
  <si>
    <t>02 7122632, 7118221</t>
  </si>
  <si>
    <t>135275326</t>
  </si>
  <si>
    <t>POSTAGOLA BRANCH</t>
  </si>
  <si>
    <t>POSTAGOLA_BRANCH</t>
  </si>
  <si>
    <t>54/1 NABIN CHANDRA GOSHWAMI ROAD, FARIDABAD, SHYAMPUR, DHAKA 1204</t>
  </si>
  <si>
    <t>02 7441112</t>
  </si>
  <si>
    <t>135275292</t>
  </si>
  <si>
    <t>JANBBDDHPBD</t>
  </si>
  <si>
    <t>93 WATER WORKS ROAD, POSTA, CHAWKBAZAR, DHAKA 1211</t>
  </si>
  <si>
    <t>02 7314114, 7317900</t>
  </si>
  <si>
    <t>135275384</t>
  </si>
  <si>
    <t>HBFC BUILDING, 22 PURANA PALTAN, DHAKA 1000</t>
  </si>
  <si>
    <t>02 9562531, 9555990</t>
  </si>
  <si>
    <t>135263888</t>
  </si>
  <si>
    <t>RAJANIGANDHA SUPER MARKET BRANCH</t>
  </si>
  <si>
    <t>RAJANIGANDHA_SUPER_MARKET_BRANCH</t>
  </si>
  <si>
    <t>KOCHUKHET, DHAKA CANTONMENT, KAFRUL, DHAKA 1206</t>
  </si>
  <si>
    <t>02 9871111, 9860708</t>
  </si>
  <si>
    <t>135275568</t>
  </si>
  <si>
    <t>RAJARBAGH BRANCH</t>
  </si>
  <si>
    <t>RAJARBAGH_BRANCH</t>
  </si>
  <si>
    <t>556</t>
  </si>
  <si>
    <t>12 OUTER CIRCULAR ROAD, RAJARBAGH, DHAKA 1217</t>
  </si>
  <si>
    <t>02 9342434, 9333309</t>
  </si>
  <si>
    <t>135263859</t>
  </si>
  <si>
    <t>RAJFULBARIA BRANCH</t>
  </si>
  <si>
    <t>RAJFULBARIA_BRANCH</t>
  </si>
  <si>
    <t>723 NAGARCHAR, RAJFULBARIA BAZAR, SAVAR, DHAKA 1347</t>
  </si>
  <si>
    <t>02 7741309</t>
  </si>
  <si>
    <t>135275650</t>
  </si>
  <si>
    <t>JANBBDDHRBC</t>
  </si>
  <si>
    <t>RAJUK BHABAN, MOTIJHEEL, DHAKA 1223</t>
  </si>
  <si>
    <t>02 9566433, 9552139</t>
  </si>
  <si>
    <t>135275713</t>
  </si>
  <si>
    <t>571</t>
  </si>
  <si>
    <t>JANBBDDHJRD</t>
  </si>
  <si>
    <t>15 BANGABANDHU AVENUE, DHAKA 1000</t>
  </si>
  <si>
    <t>02 9551572, 9566208</t>
  </si>
  <si>
    <t>135275742</t>
  </si>
  <si>
    <t>1 HAZIPARA, DIT ROAD, RAMPURA, DHAKA 1219</t>
  </si>
  <si>
    <t>02 9333365</t>
  </si>
  <si>
    <t>135263941</t>
  </si>
  <si>
    <t>RAYERBAZAR BRANCH</t>
  </si>
  <si>
    <t>RAYERBAZAR_BRANCH</t>
  </si>
  <si>
    <t>112/H EAST RAYER BAZAR, ZIGATALA, DHAKA 1209</t>
  </si>
  <si>
    <t>02 9118856</t>
  </si>
  <si>
    <t>135263675</t>
  </si>
  <si>
    <t>REB CORPORATE BRANCH</t>
  </si>
  <si>
    <t>REB_CORPORATE_BRANCH</t>
  </si>
  <si>
    <t>PALLI BIDDUTAYAN BOARD, HEAD QUARTER, NIKUNJA 2, KHILKHET, DHAKA 1229</t>
  </si>
  <si>
    <t>02 8911224, 8900522</t>
  </si>
  <si>
    <t>135264016</t>
  </si>
  <si>
    <t>PLOT 36, ROAD 18, RUPNAGAR R/A, MIRPUR, PALLABI, DHAKA 1218</t>
  </si>
  <si>
    <t>02 8056425</t>
  </si>
  <si>
    <t>135271667</t>
  </si>
  <si>
    <t>RUPOSHI BANGLA HOTEL BRANCH</t>
  </si>
  <si>
    <t>RUPOSHI_BANGLA_HOTEL_BRANCH</t>
  </si>
  <si>
    <t>1 MINTO ROAD, RAMNA, DHAKA 1000</t>
  </si>
  <si>
    <t>02 8330133, 8330001 (Ext 4461)</t>
  </si>
  <si>
    <t>135275926</t>
  </si>
  <si>
    <t>71-72 PATUATULY, KOTWALI, DHAKA 1100</t>
  </si>
  <si>
    <t>02 7391002, 7394018</t>
  </si>
  <si>
    <t>135276046</t>
  </si>
  <si>
    <t>SARULIA BRANCH</t>
  </si>
  <si>
    <t>SARULIA_BRANCH</t>
  </si>
  <si>
    <t>RANI MOHAL COMPLEX, SARULIA, DEMRA, DHAKA 1361</t>
  </si>
  <si>
    <t>02 7500061</t>
  </si>
  <si>
    <t>135264061</t>
  </si>
  <si>
    <t>21/B ZIGATALA, DHANMONDI R/A, DHAKA 1209</t>
  </si>
  <si>
    <t>02 8631626, 9675164</t>
  </si>
  <si>
    <t>135264090</t>
  </si>
  <si>
    <t>A/143 SAVAR BAZAR, DHAKA 1340</t>
  </si>
  <si>
    <t>02 7745712</t>
  </si>
  <si>
    <t>135276370</t>
  </si>
  <si>
    <t>637</t>
  </si>
  <si>
    <t>JANBBDDHSNB</t>
  </si>
  <si>
    <t>14/1 KAKRAIL ROAD, SHANTINAGAR, DHAKA 1217</t>
  </si>
  <si>
    <t>02 9331482, 9330412</t>
  </si>
  <si>
    <t>135264245</t>
  </si>
  <si>
    <t>SHER-E-BANGLA NAGAR BRANCH</t>
  </si>
  <si>
    <t>SHER-E-BANGLA_NAGAR_BRANCH</t>
  </si>
  <si>
    <t>PLANNING COMMISSION, BLOCK 13, SHER-E-BANGLA NAGAR, DHAKA 1215</t>
  </si>
  <si>
    <t>02 9113349</t>
  </si>
  <si>
    <t>135264308</t>
  </si>
  <si>
    <t>24 SHYAMOLI, MIRPUR ROAD, MOHAMMADPUR HOUSING, MOHAMMADPUR, DHAKA 1207</t>
  </si>
  <si>
    <t>02 9115817</t>
  </si>
  <si>
    <t>135276525</t>
  </si>
  <si>
    <t>FARIDABAD, SHYAMPUR, DHAKA 1204</t>
  </si>
  <si>
    <t>02 7445161</t>
  </si>
  <si>
    <t>135276583</t>
  </si>
  <si>
    <t>DK TOWER, 94 BIR UTTAM CR DATTA ROAD, SHAHBAGH, DHAKA 1205</t>
  </si>
  <si>
    <t>02 8628713, 9613525</t>
  </si>
  <si>
    <t>135264511</t>
  </si>
  <si>
    <t>TEJGAON INDUSTRIAL AREA BRANCH</t>
  </si>
  <si>
    <t>TEJGAON_INDUSTRIAL_AREA_BRANCH</t>
  </si>
  <si>
    <t>7/I-A BFDC ROAD, TEJGAON INDUSTRIAL AREA, TEJGAON SHILPANCHAL, DHAKA 1208</t>
  </si>
  <si>
    <t>02 8121651</t>
  </si>
  <si>
    <t>135276675</t>
  </si>
  <si>
    <t>ZAKARIA COMPLEX, 11-12 THATARI BAZAR, WARI, DHAKA 1203</t>
  </si>
  <si>
    <t>02 7116725</t>
  </si>
  <si>
    <t>135276709</t>
  </si>
  <si>
    <t>TIPU SULTAN ROAD BRANCH</t>
  </si>
  <si>
    <t>TIPU_SULTAN_ROAD_BRANCH</t>
  </si>
  <si>
    <t>59/1 TIPU SULTAN ROAD, WARI, DHAKA 1100</t>
  </si>
  <si>
    <t>02 7120630</t>
  </si>
  <si>
    <t>135276738</t>
  </si>
  <si>
    <t>JANBBDDHTKD</t>
  </si>
  <si>
    <t>MEHERBA PLAZA, 33 TOPKHANA ROAD, DHAKA 1000</t>
  </si>
  <si>
    <t>02 9557862, 9570988, 9554848</t>
  </si>
  <si>
    <t>135264579</t>
  </si>
  <si>
    <t>UGC BHABAN BRANCH</t>
  </si>
  <si>
    <t>UGC_BHABAN_BRANCH</t>
  </si>
  <si>
    <t>UNIVERSITY GRANTS COMMISSION BHABAN, PLOT E-18, AGARGAON, SHER-E-BANGLA NAGAR, DHAKA 1206</t>
  </si>
  <si>
    <t>02 9127235</t>
  </si>
  <si>
    <t>135276796</t>
  </si>
  <si>
    <t>URDU ROAD BRANCH</t>
  </si>
  <si>
    <t>URDU_ROAD_BRANCH</t>
  </si>
  <si>
    <t>679</t>
  </si>
  <si>
    <t>26 URDU ROAD, POSTA, CHAWKBAZAR, DHAKA 1211</t>
  </si>
  <si>
    <t>02 7315711</t>
  </si>
  <si>
    <t>135264690</t>
  </si>
  <si>
    <t>JANBBDDHUMC</t>
  </si>
  <si>
    <t>HOUSE NO 23, ROAD 7, SECTOR 4, UTTARA MODEL TOWN, DHAKA 1230</t>
  </si>
  <si>
    <t>02 8914232, 8922582, 8931196</t>
  </si>
  <si>
    <t>135264603</t>
  </si>
  <si>
    <t>KANCHKURA, UTTARKHAN, DHAKA 1230</t>
  </si>
  <si>
    <t>02 8922507</t>
  </si>
  <si>
    <t>135276820</t>
  </si>
  <si>
    <t>VICTORIA PARK BRANCH</t>
  </si>
  <si>
    <t>VICTORIA_PARK_BRANCH</t>
  </si>
  <si>
    <t>682</t>
  </si>
  <si>
    <t>MANNAN MANSON, 50 NORTH BROOK HALL ROAD, WARD 43, SUTRAPUR, DHAKA 1100</t>
  </si>
  <si>
    <t>02 7117108</t>
  </si>
  <si>
    <t>135276941</t>
  </si>
  <si>
    <t>WAPDA CORPORATE BRANCH</t>
  </si>
  <si>
    <t>WAPDA_CORPORATE_BRANCH</t>
  </si>
  <si>
    <t>WAPDA BHABAN, 9 MOTIJHEEL C/A, DHAKA 1000</t>
  </si>
  <si>
    <t>02 9552294, 7160127</t>
  </si>
  <si>
    <t>135275142</t>
  </si>
  <si>
    <t>ZERO POINT BRANCH</t>
  </si>
  <si>
    <t>ZERO_POINT_BRANCH</t>
  </si>
  <si>
    <t>514</t>
  </si>
  <si>
    <t>38 BANGABANDHU AVENUE, DHAKA GPO, PALTAN, DHAKA 1000</t>
  </si>
  <si>
    <t>02 9556106</t>
  </si>
  <si>
    <t>135277090</t>
  </si>
  <si>
    <t>TIN PATTY, ZINZIRA BAZAR, KERANIGANJ, DHAKA 1310</t>
  </si>
  <si>
    <t>02 7771821</t>
  </si>
  <si>
    <t>135272116</t>
  </si>
  <si>
    <t>EMPLOYMENT EXCHANGE</t>
  </si>
  <si>
    <t>EMPLOYMENT_EXCHANGE</t>
  </si>
  <si>
    <t>135272682</t>
  </si>
  <si>
    <t>135270000</t>
  </si>
  <si>
    <t>135277032</t>
  </si>
  <si>
    <t>WASA CORPORATE</t>
  </si>
  <si>
    <t>WASA_CORPORATE</t>
  </si>
  <si>
    <t>135280045</t>
  </si>
  <si>
    <t>AFTABGANJ BRANCH</t>
  </si>
  <si>
    <t>AFTABGANJ_BRANCH</t>
  </si>
  <si>
    <t>KUSHDOH, NABABGANJ, DINAJPUR</t>
  </si>
  <si>
    <t>017 27373704</t>
  </si>
  <si>
    <t>135280108</t>
  </si>
  <si>
    <t>BAHADUR BAZAR BRANCH</t>
  </si>
  <si>
    <t>BAHADUR_BAZAR_BRANCH</t>
  </si>
  <si>
    <t>BAHADUR BAZAR, DINAJPUR SADAR, DINAJPUR 5200</t>
  </si>
  <si>
    <t>0531 65164</t>
  </si>
  <si>
    <t>135280195</t>
  </si>
  <si>
    <t>BARA BANDAR BRANCH</t>
  </si>
  <si>
    <t>BARA_BANDAR_BRANCH</t>
  </si>
  <si>
    <t>BARA BANDAR, DINAJPUR SADAR, DINAJPUR 5200</t>
  </si>
  <si>
    <t>0531 64646</t>
  </si>
  <si>
    <t>135280340</t>
  </si>
  <si>
    <t>BIRAMPUR, DINAJPUR 5266</t>
  </si>
  <si>
    <t>05322 56418</t>
  </si>
  <si>
    <t>135280524</t>
  </si>
  <si>
    <t>CHIRIR BANDAR BRANCH</t>
  </si>
  <si>
    <t>CHIRIR_BANDAR_BRANCH</t>
  </si>
  <si>
    <t>CHIRIR BANDAR, DINAJPUR 5240</t>
  </si>
  <si>
    <t>05326 56102</t>
  </si>
  <si>
    <t>135282148</t>
  </si>
  <si>
    <t>DASHMAIL MORE BRANCH</t>
  </si>
  <si>
    <t>DASHMAIL_MORE_BRANCH</t>
  </si>
  <si>
    <t>DASHMAIL MORE, KAHARUL, DINAJPUR 5200</t>
  </si>
  <si>
    <t>0531 61855</t>
  </si>
  <si>
    <t>135280708</t>
  </si>
  <si>
    <t>JANBBDDHDNJ</t>
  </si>
  <si>
    <t>GANESHTALA, KOTWALI, DINAJPUR 5200</t>
  </si>
  <si>
    <t>0531 63293, 64214</t>
  </si>
  <si>
    <t>135280737</t>
  </si>
  <si>
    <t>DINAJPUR MEDICAL COLLEGE ROAD BRANCH</t>
  </si>
  <si>
    <t>DINAJPUR_MEDICAL_COLLEGE_ROAD_BRANCH</t>
  </si>
  <si>
    <t>MEDICAL COLLEGE ROAD, DINAJPUR 5200</t>
  </si>
  <si>
    <t>0531 63852</t>
  </si>
  <si>
    <t>135281907</t>
  </si>
  <si>
    <t>FULBARI BAZAR BRANCH</t>
  </si>
  <si>
    <t>FULBARI_BAZAR_BRANCH</t>
  </si>
  <si>
    <t>FULBARI BAZAR, FULBARI, DINAJPUR 5260</t>
  </si>
  <si>
    <t>05327 56362</t>
  </si>
  <si>
    <t>135282027</t>
  </si>
  <si>
    <t>HILI STHALA BANDAR BRANCH</t>
  </si>
  <si>
    <t>HILI_STHALA_BANDAR_BRANCH</t>
  </si>
  <si>
    <t>HILI STHALA BANDAR, BANGLA HILI, HAKIMPUR, DINAJPUR 5270</t>
  </si>
  <si>
    <t>05329 75389</t>
  </si>
  <si>
    <t>135281031</t>
  </si>
  <si>
    <t>KABIRAJHAT BRANCH</t>
  </si>
  <si>
    <t>KABIRAJHAT_BRANCH</t>
  </si>
  <si>
    <t>KABIRAJ HAT, BHABKI, BIRGANJ, DINAJPUR 5220</t>
  </si>
  <si>
    <t>017 30009695</t>
  </si>
  <si>
    <t>135281510</t>
  </si>
  <si>
    <t>MONMATHPUR</t>
  </si>
  <si>
    <t>135281602</t>
  </si>
  <si>
    <t>NARABARI BRANCH</t>
  </si>
  <si>
    <t>NARABARI_BRANCH</t>
  </si>
  <si>
    <t>AKARGRAM, BIRAL, DINAJPUR 5210</t>
  </si>
  <si>
    <t>017 30009696</t>
  </si>
  <si>
    <t>135281815</t>
  </si>
  <si>
    <t>05334 74353</t>
  </si>
  <si>
    <t>135281936</t>
  </si>
  <si>
    <t>PULHAT, DINAJPUR 5200</t>
  </si>
  <si>
    <t>0531 63348</t>
  </si>
  <si>
    <t>135282177</t>
  </si>
  <si>
    <t>SETABGANJ, BOCHAGANJ, DINAJPUR 5216</t>
  </si>
  <si>
    <t>05325 73199</t>
  </si>
  <si>
    <t>135290280</t>
  </si>
  <si>
    <t>BHANGA, FARIDPUR 7830</t>
  </si>
  <si>
    <t>06323 56219</t>
  </si>
  <si>
    <t>135291300</t>
  </si>
  <si>
    <t>06324 56450, 017 19019997</t>
  </si>
  <si>
    <t>135290556</t>
  </si>
  <si>
    <t>JANBBDDHFAR</t>
  </si>
  <si>
    <t>MUJIB SARAK, NILTULY, KOTWALI, FARIDPUR 7800</t>
  </si>
  <si>
    <t>0631 63509, 66000, 62609</t>
  </si>
  <si>
    <t>135290619</t>
  </si>
  <si>
    <t>GOALCHAMAT BRANCH</t>
  </si>
  <si>
    <t>GOALCHAMAT_BRANCH</t>
  </si>
  <si>
    <t>BHANGA RASTAR MORE, GOALCHAMAT, FARIDPUR 7800</t>
  </si>
  <si>
    <t>0631 62550</t>
  </si>
  <si>
    <t>135290851</t>
  </si>
  <si>
    <t>KALAMRIDHA BRANCH</t>
  </si>
  <si>
    <t>KALAMRIDHA_BRANCH</t>
  </si>
  <si>
    <t>KALA MRIDHA, BHANGA, FARIDPUR 7830</t>
  </si>
  <si>
    <t>017 30009560</t>
  </si>
  <si>
    <t>135291397</t>
  </si>
  <si>
    <t>STATION ROAD, FARIDPUR 7800</t>
  </si>
  <si>
    <t>0631 63282</t>
  </si>
  <si>
    <t>135291489</t>
  </si>
  <si>
    <t>TITUMIR MARKET BRANCH</t>
  </si>
  <si>
    <t>TITUMIR_MARKET_BRANCH</t>
  </si>
  <si>
    <t>A R BHABAN, BADAM PATTY, CHAWKBAZAR, FARIDPUR 7800</t>
  </si>
  <si>
    <t>0631 62437</t>
  </si>
  <si>
    <t>135300167</t>
  </si>
  <si>
    <t>BAKERBAZAR BRANCH</t>
  </si>
  <si>
    <t>BAKERBAZAR_BRANCH</t>
  </si>
  <si>
    <t>BAKERBAZAR, DAGONBHUIA, FENI 3922</t>
  </si>
  <si>
    <t>03323 79454, 017 13107078</t>
  </si>
  <si>
    <t>135300312</t>
  </si>
  <si>
    <t>CHHAGALNAIYA, FENI 3910</t>
  </si>
  <si>
    <t>03322 78035</t>
  </si>
  <si>
    <t>135300341</t>
  </si>
  <si>
    <t>RAIL GATE, FENI SADAR, FENI 3900</t>
  </si>
  <si>
    <t>0331 73375</t>
  </si>
  <si>
    <t>135300370</t>
  </si>
  <si>
    <t>DAGANBHUIYAN, FENI 3920</t>
  </si>
  <si>
    <t>03323 79012</t>
  </si>
  <si>
    <t>135300433</t>
  </si>
  <si>
    <t>DUDHMUKHA BRANCH</t>
  </si>
  <si>
    <t>DUDHMUKHA_BRANCH</t>
  </si>
  <si>
    <t>DUDHMUKHA, DAGANBHUIYAN, FENI 3921</t>
  </si>
  <si>
    <t>03223 56465, 017 13107076</t>
  </si>
  <si>
    <t>135300583</t>
  </si>
  <si>
    <t>TRANK ROAD, FENI SADAR, FENI 3900</t>
  </si>
  <si>
    <t>0331 74335, 74706</t>
  </si>
  <si>
    <t>135300617</t>
  </si>
  <si>
    <t>FULGAZI, FENI 3942</t>
  </si>
  <si>
    <t>03326 77008, 017 30009608</t>
  </si>
  <si>
    <t>135300709</t>
  </si>
  <si>
    <t>HAZIR BAZAR BRANCH</t>
  </si>
  <si>
    <t>HAZIR_BAZAR_BRANCH</t>
  </si>
  <si>
    <t>HAZIR BAZAR, FENI SADAR, FENI 3900</t>
  </si>
  <si>
    <t>017 13107079</t>
  </si>
  <si>
    <t>135301061</t>
  </si>
  <si>
    <t>MOHIPAL BRANCH</t>
  </si>
  <si>
    <t>MOHIPAL_BRANCH</t>
  </si>
  <si>
    <t>MOHIPAL, FENI SADAR, FENI 3900</t>
  </si>
  <si>
    <t>0331 74366</t>
  </si>
  <si>
    <t>135301090</t>
  </si>
  <si>
    <t>MOHURIGANJ BRANCH</t>
  </si>
  <si>
    <t>MOHURIGANJ_BRANCH</t>
  </si>
  <si>
    <t>DAULATPUR, CHHAGALNAIYA, FENI 3910</t>
  </si>
  <si>
    <t>017 13107077</t>
  </si>
  <si>
    <t>135301124</t>
  </si>
  <si>
    <t>MOTIGANJ BRANCH</t>
  </si>
  <si>
    <t>MOTIGANJ_BRANCH</t>
  </si>
  <si>
    <t>MOTIGANJ, SONAGAZI, FENI 3931</t>
  </si>
  <si>
    <t>017 13107080</t>
  </si>
  <si>
    <t>135301153</t>
  </si>
  <si>
    <t>MUNSHIRHAT, FULGAZI, FENI 3943</t>
  </si>
  <si>
    <t>03326 77208, 017 30009609</t>
  </si>
  <si>
    <t>135301216</t>
  </si>
  <si>
    <t>OLAMA BAZAR BRANCH</t>
  </si>
  <si>
    <t>OLAMA_BAZAR_BRANCH</t>
  </si>
  <si>
    <t>OLAMA BAZAR, SONAGAZI, FENI 3930</t>
  </si>
  <si>
    <t>03325 76065</t>
  </si>
  <si>
    <t>135301274</t>
  </si>
  <si>
    <t>PARSHURAM, FENI 3940</t>
  </si>
  <si>
    <t>03324 56043</t>
  </si>
  <si>
    <t>135301308</t>
  </si>
  <si>
    <t>RAJAPUR, DAGANBHUIYAN, FENI 3923</t>
  </si>
  <si>
    <t>017 13107075</t>
  </si>
  <si>
    <t>135301487</t>
  </si>
  <si>
    <t>SONAGAZI, FENI 3930</t>
  </si>
  <si>
    <t>03325 76195, 017 13107081</t>
  </si>
  <si>
    <t>135320105</t>
  </si>
  <si>
    <t>BAMANDANGA BRANCH</t>
  </si>
  <si>
    <t>BAMANDANGA_BRANCH</t>
  </si>
  <si>
    <t>BAMANDANGA, SUNDARGANJ, GAIBANDHA 5721</t>
  </si>
  <si>
    <t>017 30009687</t>
  </si>
  <si>
    <t>135320255</t>
  </si>
  <si>
    <t>BRIDGE ROAD BRANCH</t>
  </si>
  <si>
    <t>BRIDGE_ROAD_BRANCH</t>
  </si>
  <si>
    <t>BRIDGE ROAD, GAIBANDHA SADAR, GAIBANDHA 5700</t>
  </si>
  <si>
    <t>0541 61380</t>
  </si>
  <si>
    <t>135320550</t>
  </si>
  <si>
    <t>DB ROAD, GAIBANDHA 5700</t>
  </si>
  <si>
    <t>0541 51166, 61344</t>
  </si>
  <si>
    <t>135320589</t>
  </si>
  <si>
    <t>GOBINDAGANJ, GAIBANDHA 5740</t>
  </si>
  <si>
    <t>05423 75019</t>
  </si>
  <si>
    <t>135320613</t>
  </si>
  <si>
    <t>HAT LAKSHMIPUR BRANCH</t>
  </si>
  <si>
    <t>HAT_LAKSHMIPUR_BRANCH</t>
  </si>
  <si>
    <t>HAT LAKSHMIPUR, GAIBANDHA 5700</t>
  </si>
  <si>
    <t>017 30009688</t>
  </si>
  <si>
    <t>135320055</t>
  </si>
  <si>
    <t>SALUA, UDAKHALI, FULCHHARI, GAIBANDHA</t>
  </si>
  <si>
    <t>05422 56109, 017 16480349</t>
  </si>
  <si>
    <t>135320947</t>
  </si>
  <si>
    <t>MIRGANJ BAZAR BRANCH</t>
  </si>
  <si>
    <t>MIRGANJ_BAZAR_BRANCH</t>
  </si>
  <si>
    <t>05427 64076</t>
  </si>
  <si>
    <t>135321096</t>
  </si>
  <si>
    <t>PALASHBARI BRANCH</t>
  </si>
  <si>
    <t>PALASHBARI_BRANCH</t>
  </si>
  <si>
    <t>PALASHBARI, GAIBANDHA 5730</t>
  </si>
  <si>
    <t>05424 56030</t>
  </si>
  <si>
    <t>135321333</t>
  </si>
  <si>
    <t>TULSHIGHAT BRANCH</t>
  </si>
  <si>
    <t>TULSHIGHAT_BRANCH</t>
  </si>
  <si>
    <t>TULSHIGHAT, GAIBANDHA 5700</t>
  </si>
  <si>
    <t>017 30009689</t>
  </si>
  <si>
    <t>135331181</t>
  </si>
  <si>
    <t>BOU CAMPUS BRANCH</t>
  </si>
  <si>
    <t>BOU_CAMPUS_BRANCH</t>
  </si>
  <si>
    <t>BANGLADESH OPEN UNIVERSITY CAMPUS, NATIONAL UNIVERSITY, GAZIPUR 1704</t>
  </si>
  <si>
    <t>02 9291410</t>
  </si>
  <si>
    <t>135330524</t>
  </si>
  <si>
    <t>TANVIR PLAZA, BUS STAND ROAD, JOYDEBPUR, GAZIPUR 1700</t>
  </si>
  <si>
    <t>02 9252214</t>
  </si>
  <si>
    <t>135330795</t>
  </si>
  <si>
    <t>KALIAKOIR BAZAR, GAZIPUR 1750</t>
  </si>
  <si>
    <t>06822 51013</t>
  </si>
  <si>
    <t>135331099</t>
  </si>
  <si>
    <t>MOUCHAK SCOUT CAMP BRANCH</t>
  </si>
  <si>
    <t>MOUCHAK_SCOUT_CAMP_BRANCH</t>
  </si>
  <si>
    <t>MOUCHAK SCOUT CAMP, KALIAKOIR, GAZIPUR 1750</t>
  </si>
  <si>
    <t>02 9298656</t>
  </si>
  <si>
    <t>135331244</t>
  </si>
  <si>
    <t>PORABARI BAZAR BRANCH</t>
  </si>
  <si>
    <t>PORABARI_BAZAR_BRANCH</t>
  </si>
  <si>
    <t>IPSHA, GAZIPUR SADAR, GAZIPUR 1706</t>
  </si>
  <si>
    <t>02 9204168</t>
  </si>
  <si>
    <t>135331631</t>
  </si>
  <si>
    <t>172 MYMENSINGH ROAD, TONGI, GAZIPUR 1710</t>
  </si>
  <si>
    <t>02 9821091, 9817376</t>
  </si>
  <si>
    <t>135350409</t>
  </si>
  <si>
    <t>FATEMA PLAZA, 119 CHOWRANGI ROAD, GOPALGANJ 8100</t>
  </si>
  <si>
    <t>0668 5334</t>
  </si>
  <si>
    <t>135350670</t>
  </si>
  <si>
    <t>0665 1205</t>
  </si>
  <si>
    <t>135350733</t>
  </si>
  <si>
    <t>GOPINATHPUR, MUKSUDPUR, GOPALGANJ</t>
  </si>
  <si>
    <t>019 18254927</t>
  </si>
  <si>
    <t>135350917</t>
  </si>
  <si>
    <t>RAGDHI BRANCH</t>
  </si>
  <si>
    <t>RAGDHI_BRANCH</t>
  </si>
  <si>
    <t>KHALIYA, MUKSUDPUR, GOPALGANJ 8140</t>
  </si>
  <si>
    <t>017 30009563</t>
  </si>
  <si>
    <t>135351066</t>
  </si>
  <si>
    <t>SATPAR BRANCH</t>
  </si>
  <si>
    <t>SATPAR_BRANCH</t>
  </si>
  <si>
    <t>SATPAR, GOPALGANJ 8100</t>
  </si>
  <si>
    <t>017 30009562</t>
  </si>
  <si>
    <t>135351095</t>
  </si>
  <si>
    <t>0665 6346</t>
  </si>
  <si>
    <t>135360136</t>
  </si>
  <si>
    <t>BAHUBAL, HABIGANJ 3310</t>
  </si>
  <si>
    <t>08323 56015</t>
  </si>
  <si>
    <t>135360228</t>
  </si>
  <si>
    <t>BULLA BAZAR BRANCH</t>
  </si>
  <si>
    <t>BULLA_BAZAR_BRANCH</t>
  </si>
  <si>
    <t>BULLA BAZAR, LAKHAI, HABIGANJ 3340</t>
  </si>
  <si>
    <t>017 30009601</t>
  </si>
  <si>
    <t>135360257</t>
  </si>
  <si>
    <t>CHHATIAN BAZAR BRANCH</t>
  </si>
  <si>
    <t>CHHATIAN_BAZAR_BRANCH</t>
  </si>
  <si>
    <t>CHHATIAN BAZAR, MADHABPUR, HABIGANJ 3332</t>
  </si>
  <si>
    <t>017 14868738</t>
  </si>
  <si>
    <t>135360349</t>
  </si>
  <si>
    <t>CHUNARUGHAT, HABIGANJ 3320</t>
  </si>
  <si>
    <t>08325 56287, 017 30009604</t>
  </si>
  <si>
    <t>135360552</t>
  </si>
  <si>
    <t>GOPLAR BAZAR, NABIGANJ, HABIGANJ 3371</t>
  </si>
  <si>
    <t>017 11922437</t>
  </si>
  <si>
    <t>135360644</t>
  </si>
  <si>
    <t>HABIGANJ SADAR, HABIGANJ 3300</t>
  </si>
  <si>
    <t>0831 52352, 62356</t>
  </si>
  <si>
    <t>135360886</t>
  </si>
  <si>
    <t>MADHABPUR, HABIGANJ 3330</t>
  </si>
  <si>
    <t>08327 56011</t>
  </si>
  <si>
    <t>135360949</t>
  </si>
  <si>
    <t>MARKULI BRANCH</t>
  </si>
  <si>
    <t>MARKULI_BRANCH</t>
  </si>
  <si>
    <t>KADIRGANJ, BANIACHANG, HABIGANJ 3352</t>
  </si>
  <si>
    <t>017 11922438</t>
  </si>
  <si>
    <t>135361030</t>
  </si>
  <si>
    <t>MONTALA BRANCH</t>
  </si>
  <si>
    <t>MONTALA_BRANCH</t>
  </si>
  <si>
    <t>MONTALA, MADHABPUR, HABIGANJ 3330</t>
  </si>
  <si>
    <t>017 30009603</t>
  </si>
  <si>
    <t>135361098</t>
  </si>
  <si>
    <t>NABIGANJ, HABIGANJ 3370</t>
  </si>
  <si>
    <t>08328 56005</t>
  </si>
  <si>
    <t>135361214</t>
  </si>
  <si>
    <t>NAYAPARA BRANCH</t>
  </si>
  <si>
    <t>NAYAPARA_BRANCH</t>
  </si>
  <si>
    <t>NAYAPARA, MADHABPUR, HABIGANJ 3333</t>
  </si>
  <si>
    <t>03796 001049, 017 13188909</t>
  </si>
  <si>
    <t>135361393</t>
  </si>
  <si>
    <t>SHAYESTAGANJ BRANCH</t>
  </si>
  <si>
    <t>SHAYESTAGANJ_BRANCH</t>
  </si>
  <si>
    <t>SHAISTAGANJ, HABIGANJ 3301</t>
  </si>
  <si>
    <t>08332 56878</t>
  </si>
  <si>
    <t>135390135</t>
  </si>
  <si>
    <t>BAKSHIGANJ BAZAR BRANCH</t>
  </si>
  <si>
    <t>BAKSHIGANJ_BAZAR_BRANCH</t>
  </si>
  <si>
    <t>BAKSHIGANJ, JAMALPUR 2140</t>
  </si>
  <si>
    <t>09822-56013</t>
  </si>
  <si>
    <t>135390193</t>
  </si>
  <si>
    <t>BALIAJURI BAZAR BRANCH</t>
  </si>
  <si>
    <t>BALIAJURI_BAZAR_BRANCH</t>
  </si>
  <si>
    <t>09825 56009</t>
  </si>
  <si>
    <t>135390469</t>
  </si>
  <si>
    <t>DEWANGANJ BAZAR BRANCH</t>
  </si>
  <si>
    <t>DEWANGANJ_BAZAR_BRANCH</t>
  </si>
  <si>
    <t>DEWANGANJ, JAMALPUR 2030</t>
  </si>
  <si>
    <t>09823 75014</t>
  </si>
  <si>
    <t>135390551</t>
  </si>
  <si>
    <t>DHANUA KAMALPUR BRANCH</t>
  </si>
  <si>
    <t>DHANUA_KAMALPUR_BRANCH</t>
  </si>
  <si>
    <t>DHANUA KAMALPUR, BAKSHIGANJ, JAMALPUR 2140</t>
  </si>
  <si>
    <t>017 30009546</t>
  </si>
  <si>
    <t>135390643</t>
  </si>
  <si>
    <t>GUNARITALA BAZAR</t>
  </si>
  <si>
    <t>GUNARITALA_BAZAR</t>
  </si>
  <si>
    <t>135390764</t>
  </si>
  <si>
    <t>ISLAMPUR, JAMALPUR 2020</t>
  </si>
  <si>
    <t>09824 74006</t>
  </si>
  <si>
    <t>135390919</t>
  </si>
  <si>
    <t>JAMALPUR SADAR, JAMALPUR 2000</t>
  </si>
  <si>
    <t>0981 63029, 63127</t>
  </si>
  <si>
    <t>135391000</t>
  </si>
  <si>
    <t>JAMUNA SAR KARKHANA BRANCH</t>
  </si>
  <si>
    <t>JAMUNA_SAR_KARKHANA_BRANCH</t>
  </si>
  <si>
    <t>TARAKANDI, SHARISHABARI, JAMALPUR 2055</t>
  </si>
  <si>
    <t>038976 87011</t>
  </si>
  <si>
    <t>135391039</t>
  </si>
  <si>
    <t>JHAGGRARCHAR BAZAR</t>
  </si>
  <si>
    <t>JHAGGRARCHAR_BAZAR</t>
  </si>
  <si>
    <t>135391271</t>
  </si>
  <si>
    <t>HIGH SCHOOL ROAD, MELANDAH, JAMALPUR 2010</t>
  </si>
  <si>
    <t>09826 56349</t>
  </si>
  <si>
    <t>135391305</t>
  </si>
  <si>
    <t>NANDINA, JAMALPUR 2001</t>
  </si>
  <si>
    <t>017 19530018</t>
  </si>
  <si>
    <t>135391484</t>
  </si>
  <si>
    <t>SARISHABARI, JAMALPUR 2050</t>
  </si>
  <si>
    <t>09827 56026</t>
  </si>
  <si>
    <t>135391668</t>
  </si>
  <si>
    <t>0981 63032</t>
  </si>
  <si>
    <t>135390056</t>
  </si>
  <si>
    <t>ZONAIL BAZAR BRANCH</t>
  </si>
  <si>
    <t>ZONAIL_BAZAR_BRANCH</t>
  </si>
  <si>
    <t>WARD 9, ZONAIL, MADARGANJ, JAMALPUR</t>
  </si>
  <si>
    <t>09825 56243, 017 16481427</t>
  </si>
  <si>
    <t>135410165</t>
  </si>
  <si>
    <t>BAKRA BRANCH</t>
  </si>
  <si>
    <t>BAKRA_BRANCH</t>
  </si>
  <si>
    <t>BAKRA, JHIKARGACHAA, JESSORE 7420</t>
  </si>
  <si>
    <t>017 18404907</t>
  </si>
  <si>
    <t>135410286</t>
  </si>
  <si>
    <t>BENAPOLE, SARSHA, JESSORE 7431</t>
  </si>
  <si>
    <t>04228 75392</t>
  </si>
  <si>
    <t>135410431</t>
  </si>
  <si>
    <t>CHANCHRA BRANCH</t>
  </si>
  <si>
    <t>CHANCHRA_BRANCH</t>
  </si>
  <si>
    <t>CHANCHRA, JESSORE SADAR, JESSORE 7402</t>
  </si>
  <si>
    <t>0421 66245</t>
  </si>
  <si>
    <t>135410499</t>
  </si>
  <si>
    <t>CHATIANTOLA BRANCH</t>
  </si>
  <si>
    <t>CHATIANTOLA_BRANCH</t>
  </si>
  <si>
    <t>CHATIANTOLA, BAGHARPARA, JESSORE 7470</t>
  </si>
  <si>
    <t>017 30009576</t>
  </si>
  <si>
    <t>135410794</t>
  </si>
  <si>
    <t>H M M ROAD, JESSORE SADAR, JESSORE 7400</t>
  </si>
  <si>
    <t>0421 68594</t>
  </si>
  <si>
    <t>135411098</t>
  </si>
  <si>
    <t>04225 71218</t>
  </si>
  <si>
    <t>135411214</t>
  </si>
  <si>
    <t>04226 56516</t>
  </si>
  <si>
    <t>135411335</t>
  </si>
  <si>
    <t>LADIES BRANCH</t>
  </si>
  <si>
    <t>LADIES_BRANCH</t>
  </si>
  <si>
    <t>4 RN ROAD, JESSORE 7400</t>
  </si>
  <si>
    <t>0421 66007</t>
  </si>
  <si>
    <t>135411456</t>
  </si>
  <si>
    <t>MAHAKAL BRANCH</t>
  </si>
  <si>
    <t>MAHAKAL_BRANCH</t>
  </si>
  <si>
    <t>CHANGUTIA BAZAR, ABHAYNAGAR, JESSORE 7460</t>
  </si>
  <si>
    <t>017 30009577</t>
  </si>
  <si>
    <t>135411427</t>
  </si>
  <si>
    <t>MK ROAD BRANCH</t>
  </si>
  <si>
    <t>MK_ROAD_BRANCH</t>
  </si>
  <si>
    <t>JANBBDDHJMK</t>
  </si>
  <si>
    <t>JES TOWER, MK ROAD, JESSORE 7400</t>
  </si>
  <si>
    <t>0421 68591, 65082</t>
  </si>
  <si>
    <t>135411519</t>
  </si>
  <si>
    <t>MONIRAMPUR BRANCH</t>
  </si>
  <si>
    <t>MONIRAMPUR_BRANCH</t>
  </si>
  <si>
    <t>MONIRAMPUR, JESSORE 7440</t>
  </si>
  <si>
    <t>04227 78214</t>
  </si>
  <si>
    <t>135411601</t>
  </si>
  <si>
    <t>NAVARAN BRANCH</t>
  </si>
  <si>
    <t>NAVARAN_BRANCH</t>
  </si>
  <si>
    <t>JADABPUR, JHIKARGACHHA, JESSORE 7432</t>
  </si>
  <si>
    <t>04228 75292</t>
  </si>
  <si>
    <t>135411630</t>
  </si>
  <si>
    <t>JANBBDDHNPJ</t>
  </si>
  <si>
    <t>YASIN PLAZA, NOAPARA BAZAR, ABHAYNAGAR, JESSORE 7460</t>
  </si>
  <si>
    <t>04222 71430, 71204</t>
  </si>
  <si>
    <t>135412297</t>
  </si>
  <si>
    <t>UPASHAHAR, JESSORE 7401</t>
  </si>
  <si>
    <t>0421 66093</t>
  </si>
  <si>
    <t>135420313</t>
  </si>
  <si>
    <t>JHALAKATI SADAR, JHALAKATI 8400</t>
  </si>
  <si>
    <t>0498 63342</t>
  </si>
  <si>
    <t>135420647</t>
  </si>
  <si>
    <t>STATION ROAD,  JHALAKATI 8400</t>
  </si>
  <si>
    <t>0498 63171</t>
  </si>
  <si>
    <t>135440348</t>
  </si>
  <si>
    <t>BHATAI BAZAR BRANCH</t>
  </si>
  <si>
    <t>BHATAI_BAZAR_BRANCH</t>
  </si>
  <si>
    <t>BHATAI, SHAILAKUPA, JHENAIDAH 7320</t>
  </si>
  <si>
    <t>017 30009584</t>
  </si>
  <si>
    <t>135440227</t>
  </si>
  <si>
    <t>BHAWANIPUR BRANCH</t>
  </si>
  <si>
    <t>BHAWANIPUR_BRANCH</t>
  </si>
  <si>
    <t>SADHUGANJ, HARINAKUNDA, JHENAIDAH 7310</t>
  </si>
  <si>
    <t>017 30009581</t>
  </si>
  <si>
    <t>135440256</t>
  </si>
  <si>
    <t>BISHAYKHALI BRANCH</t>
  </si>
  <si>
    <t>BISHAYKHALI_BRANCH</t>
  </si>
  <si>
    <t>KHARIKHALI, JHENAIDAH 7300</t>
  </si>
  <si>
    <t>017 30009583</t>
  </si>
  <si>
    <t>135440377</t>
  </si>
  <si>
    <t>GANNA BAZAR BRANCH</t>
  </si>
  <si>
    <t>GANNA_BAZAR_BRANCH</t>
  </si>
  <si>
    <t>GANNA BAZAR, JENAIDAH SADAR, JHENAIDAH 7300</t>
  </si>
  <si>
    <t>017 30009585</t>
  </si>
  <si>
    <t>135440498</t>
  </si>
  <si>
    <t>HARINAKUNDU BRANCH</t>
  </si>
  <si>
    <t>HARINAKUNDU_BRANCH</t>
  </si>
  <si>
    <t>HARINAKUNDU, JHENAIDAH 7310</t>
  </si>
  <si>
    <t>04522 74018</t>
  </si>
  <si>
    <t>135440522</t>
  </si>
  <si>
    <t>HATFAZILPUR BRANCH</t>
  </si>
  <si>
    <t>HATFAZILPUR_BRANCH</t>
  </si>
  <si>
    <t>KUMIRADAHA, SHAILKUPA, JHENAIDAH 7321</t>
  </si>
  <si>
    <t>017 30009587</t>
  </si>
  <si>
    <t>135440643</t>
  </si>
  <si>
    <t>JHENAIDAH SADAR, JHENAIDAH 7300</t>
  </si>
  <si>
    <t>0451 62713</t>
  </si>
  <si>
    <t>135440706</t>
  </si>
  <si>
    <t>JORADAH BRANCH</t>
  </si>
  <si>
    <t>JORADAH_BRANCH</t>
  </si>
  <si>
    <t>JORADAH, HARINAKUNDA, JHENAIDAH 7310</t>
  </si>
  <si>
    <t>017 30009588</t>
  </si>
  <si>
    <t>135440793</t>
  </si>
  <si>
    <t>NALDANGA, KALIGANJ, JHENAIDAH 7350</t>
  </si>
  <si>
    <t>135440919</t>
  </si>
  <si>
    <t>KATLAGARI BAZAR BRANCH</t>
  </si>
  <si>
    <t>KATLAGARI_BAZAR_BRANCH</t>
  </si>
  <si>
    <t>KATLAGARI, SHAILKUPA, JHENAIDAH 7320</t>
  </si>
  <si>
    <t>017 30009589</t>
  </si>
  <si>
    <t>135441000</t>
  </si>
  <si>
    <t>KOTCHANDPUR, JHENAIDAH 7330</t>
  </si>
  <si>
    <t>04524 65103</t>
  </si>
  <si>
    <t>135441097</t>
  </si>
  <si>
    <t>04525 56065</t>
  </si>
  <si>
    <t>135441189</t>
  </si>
  <si>
    <t>SHAILKUPA, JHENAIDAH 7320</t>
  </si>
  <si>
    <t>04526 56016</t>
  </si>
  <si>
    <t>135380374</t>
  </si>
  <si>
    <t>JAMALGANJ BRANCH</t>
  </si>
  <si>
    <t>JAMALGANJ_BRANCH</t>
  </si>
  <si>
    <t>JAMALGANJ, AKKELPUR, JOYPURHAT 5941</t>
  </si>
  <si>
    <t>0571 62923</t>
  </si>
  <si>
    <t>135380408</t>
  </si>
  <si>
    <t>JOYPURHAT SADAR, JOYPURHAT 5900</t>
  </si>
  <si>
    <t>0571 62254</t>
  </si>
  <si>
    <t>135380679</t>
  </si>
  <si>
    <t>05724 75050</t>
  </si>
  <si>
    <t>135380824</t>
  </si>
  <si>
    <t>TILAKPUR BRANCH</t>
  </si>
  <si>
    <t>TILAKPUR_BRANCH</t>
  </si>
  <si>
    <t>TILAKPUR, AKKELPUR, JOYPURHAT 5942</t>
  </si>
  <si>
    <t>017 30009677</t>
  </si>
  <si>
    <t>135460102</t>
  </si>
  <si>
    <t>KHAGRACHHARI SADAR, KHAGRACHHARI 4400</t>
  </si>
  <si>
    <t>0371 61813</t>
  </si>
  <si>
    <t>135470042</t>
  </si>
  <si>
    <t>KHALISHPUR, KHULNA 9000</t>
  </si>
  <si>
    <t>041 761545</t>
  </si>
  <si>
    <t>135470439</t>
  </si>
  <si>
    <t>BISIC INDUSTRIAL ESTATE BRANCH</t>
  </si>
  <si>
    <t>BISIC_INDUSTRIAL_ESTATE_BRANCH</t>
  </si>
  <si>
    <t>PHULTALA, SHIROMONI, KHAN JAHAN ALI, KHULNA 9204</t>
  </si>
  <si>
    <t>041 785554</t>
  </si>
  <si>
    <t>135470705</t>
  </si>
  <si>
    <t>DAULATPUR, KHULNA 9202</t>
  </si>
  <si>
    <t>041 761550</t>
  </si>
  <si>
    <t>135470884</t>
  </si>
  <si>
    <t>SHER-E-BANGLA ROAD, NIRALA MORE, KHULNA 9100</t>
  </si>
  <si>
    <t>041 723294</t>
  </si>
  <si>
    <t>135470976</t>
  </si>
  <si>
    <t>HAZI MOHSIN ROAD BRANCH</t>
  </si>
  <si>
    <t>HAZI_MOHSIN_ROAD_BRANCH</t>
  </si>
  <si>
    <t>98 HAZI MOHSIN ROAD, KHULNA 9100</t>
  </si>
  <si>
    <t>041 723919</t>
  </si>
  <si>
    <t>135471009</t>
  </si>
  <si>
    <t>HELATALA ROAD BRANCH</t>
  </si>
  <si>
    <t>HELATALA_ROAD_BRANCH</t>
  </si>
  <si>
    <t>HELATALA ROAD, KHULNA 9100</t>
  </si>
  <si>
    <t>041 725728, 720599</t>
  </si>
  <si>
    <t>135471304</t>
  </si>
  <si>
    <t>KAPILMUNI BAZAR BRANCH</t>
  </si>
  <si>
    <t>KAPILMUNI_BAZAR_BRANCH</t>
  </si>
  <si>
    <t>KAPILMUNI, PAIKGACHHA, KHULNA 9282</t>
  </si>
  <si>
    <t>01558 328345, 019 22668210</t>
  </si>
  <si>
    <t>135471188</t>
  </si>
  <si>
    <t>KDA BUILDING BRANCH</t>
  </si>
  <si>
    <t>KDA_BUILDING_BRANCH</t>
  </si>
  <si>
    <t>JANBBDDHKDA</t>
  </si>
  <si>
    <t>KDA BUILDING, KHULNA 9100</t>
  </si>
  <si>
    <t>041 720120</t>
  </si>
  <si>
    <t>135471454</t>
  </si>
  <si>
    <t>041 761095</t>
  </si>
  <si>
    <t>135471517</t>
  </si>
  <si>
    <t>KHAN A SABUR ROAD BRANCH</t>
  </si>
  <si>
    <t>KHAN_A_SABUR_ROAD_BRANCH</t>
  </si>
  <si>
    <t>JANBBDDHKSR</t>
  </si>
  <si>
    <t>JANATA BANK BHABAN, 8 KDA C/A, KHULNA 9100</t>
  </si>
  <si>
    <t>041 720921, 810718</t>
  </si>
  <si>
    <t>135471483</t>
  </si>
  <si>
    <t>KHAN JAHAN ALI ROAD, KHULNA 9100</t>
  </si>
  <si>
    <t>041 724649, 723730</t>
  </si>
  <si>
    <t>135471759</t>
  </si>
  <si>
    <t>76 LOWER JESSORE ROAD, KHULNA 9100</t>
  </si>
  <si>
    <t>041 722412, 2830328, 721003</t>
  </si>
  <si>
    <t>135471575</t>
  </si>
  <si>
    <t>KHULNA CANTONMENT</t>
  </si>
  <si>
    <t>KHULNA_CANTONMENT</t>
  </si>
  <si>
    <t>135471241</t>
  </si>
  <si>
    <t>KUET BRANCH</t>
  </si>
  <si>
    <t>KUET_BRANCH</t>
  </si>
  <si>
    <t>KUET, BIT, KHAN JAHAN ALI, KHULNA 9203</t>
  </si>
  <si>
    <t>041 774890</t>
  </si>
  <si>
    <t>135471870</t>
  </si>
  <si>
    <t>MIRERDANGA BRANCH</t>
  </si>
  <si>
    <t>MIRERDANGA_BRANCH</t>
  </si>
  <si>
    <t>MIRERDANGA, FULBARI GATE, KHAN JAHAN ALI, KHULNA 9206</t>
  </si>
  <si>
    <t>041 774465</t>
  </si>
  <si>
    <t>135472024</t>
  </si>
  <si>
    <t>NOORNAGAR BRANCH</t>
  </si>
  <si>
    <t>NOORNAGAR_BRANCH</t>
  </si>
  <si>
    <t>041 761013</t>
  </si>
  <si>
    <t>135472082</t>
  </si>
  <si>
    <t>PAIKGACHHA, KHULNA 9280</t>
  </si>
  <si>
    <t>04027 56285, 017 15334237</t>
  </si>
  <si>
    <t>135472208</t>
  </si>
  <si>
    <t>ROOSEVELT JETTY BRANCH</t>
  </si>
  <si>
    <t>ROOSEVELT_JETTY_BRANCH</t>
  </si>
  <si>
    <t>ROOSVELT JETTY, CUSTOM HOUSE, KHALISHPUR, KHULNA 9000</t>
  </si>
  <si>
    <t>041 761580</t>
  </si>
  <si>
    <t>135472237</t>
  </si>
  <si>
    <t>RUPSHA BRANCH</t>
  </si>
  <si>
    <t>RUPSHA_BRANCH</t>
  </si>
  <si>
    <t>RUPSHA, NUTUN BAZAR, KHULNA 9100</t>
  </si>
  <si>
    <t>041 724492</t>
  </si>
  <si>
    <t>135472266</t>
  </si>
  <si>
    <t>RUPSHA EAST BRANCH</t>
  </si>
  <si>
    <t>RUPSHA_EAST_BRANCH</t>
  </si>
  <si>
    <t>RUPSHA EAST, RUPSA, KHULNA 9241</t>
  </si>
  <si>
    <t>041 800378</t>
  </si>
  <si>
    <t>135472532</t>
  </si>
  <si>
    <t>SHALUA BAZAR BRANCH</t>
  </si>
  <si>
    <t>SHALUA_BAZAR_BRANCH</t>
  </si>
  <si>
    <t>SHALUA BAZAR, RANGPUR KALI BARI, DOMURIA, KHULNA 9202</t>
  </si>
  <si>
    <t>017 30009566</t>
  </si>
  <si>
    <t>135472479</t>
  </si>
  <si>
    <t>SHEIKPARA BAZAR BRANCH</t>
  </si>
  <si>
    <t>SHEIKPARA_BAZAR_BRANCH</t>
  </si>
  <si>
    <t>SHEIK PARA BAZAR, BK ROY ROAD, KHULNA 9100</t>
  </si>
  <si>
    <t>041 723026</t>
  </si>
  <si>
    <t>135480108</t>
  </si>
  <si>
    <t>BAJITPUR, KISHOREGANJ 2336</t>
  </si>
  <si>
    <t>09423 64382</t>
  </si>
  <si>
    <t>135480137</t>
  </si>
  <si>
    <t>BANGALPARA BRANCH</t>
  </si>
  <si>
    <t>BANGALPARA_BRANCH</t>
  </si>
  <si>
    <t>BANGAL PARA, AUSTAGRAM, KISHOREGANJ 2380</t>
  </si>
  <si>
    <t>017 30009552</t>
  </si>
  <si>
    <t>135480229</t>
  </si>
  <si>
    <t>PURAN THANA ROAD, BHAIRAB BAZAR, KISHOREGANJ 2350</t>
  </si>
  <si>
    <t>09424 71487</t>
  </si>
  <si>
    <t>135480058</t>
  </si>
  <si>
    <t>BHAIRAB BUS STAND BRANCH</t>
  </si>
  <si>
    <t>BHAIRAB_BUS_STAND_BRANCH</t>
  </si>
  <si>
    <t>WARD 2, BHAIRAB, KISHOREGANJ</t>
  </si>
  <si>
    <t>09424 71489</t>
  </si>
  <si>
    <t>135480337</t>
  </si>
  <si>
    <t>GHAGRA BAZAR BRANCH</t>
  </si>
  <si>
    <t>GHAGRA_BAZAR_BRANCH</t>
  </si>
  <si>
    <t>GHAGRA, MITHAMOIN, KISHOREGANJ 2370</t>
  </si>
  <si>
    <t>019 40508453</t>
  </si>
  <si>
    <t>135480432</t>
  </si>
  <si>
    <t>ITNA, KISHOREGANJ 2390</t>
  </si>
  <si>
    <t>017 48906407</t>
  </si>
  <si>
    <t>135480582</t>
  </si>
  <si>
    <t>KATIADI, KISHOREGANJ 2330</t>
  </si>
  <si>
    <t>09428 56010, 017 16613560</t>
  </si>
  <si>
    <t>135480645</t>
  </si>
  <si>
    <t>KATKHAL BAZAR BRANCH</t>
  </si>
  <si>
    <t>KATKHAL_BAZAR_BRANCH</t>
  </si>
  <si>
    <t>KATKHAL BAZAR, MITHAMOIN, KISHOREGANJ 2371</t>
  </si>
  <si>
    <t>017 30009553</t>
  </si>
  <si>
    <t>135480708</t>
  </si>
  <si>
    <t>0941 62458</t>
  </si>
  <si>
    <t>135480737</t>
  </si>
  <si>
    <t>KULIARCHAR, KISHOREGANJ 2340</t>
  </si>
  <si>
    <t>09429 56004</t>
  </si>
  <si>
    <t>135480795</t>
  </si>
  <si>
    <t>LAXMIPUR BAZAR BRANCH</t>
  </si>
  <si>
    <t>LAXMIPUR_BAZAR_BRANCH</t>
  </si>
  <si>
    <t>LAXMIPUR BAZAR, GOBRIA ABDULLAPUR, KULIARCHAR, KISHOREGANJ 2338</t>
  </si>
  <si>
    <t>017 30009555</t>
  </si>
  <si>
    <t>135480829</t>
  </si>
  <si>
    <t>MANIKHALI BAZAR BRANCH</t>
  </si>
  <si>
    <t>MANIKHALI_BAZAR_BRANCH</t>
  </si>
  <si>
    <t>MANIKHALI BAZAR, KATIADI, KISHOREGANJ 2331</t>
  </si>
  <si>
    <t>017 30009554</t>
  </si>
  <si>
    <t>135480940</t>
  </si>
  <si>
    <t>MITHAMOIN BRANCH</t>
  </si>
  <si>
    <t>MITHAMOIN_BRANCH</t>
  </si>
  <si>
    <t>MITHAMOIN, KISHOREGANJ 2370</t>
  </si>
  <si>
    <t>019 11944980</t>
  </si>
  <si>
    <t>135481099</t>
  </si>
  <si>
    <t>017 30009551</t>
  </si>
  <si>
    <t>135490101</t>
  </si>
  <si>
    <t>BHURUNGAMARI, KURIGRAM 5670</t>
  </si>
  <si>
    <t>05822 56028</t>
  </si>
  <si>
    <t>135490343</t>
  </si>
  <si>
    <t>DURGAPUR HIGH SCHOOL, DURGAPUR, ULIPUR, KURIGRAM</t>
  </si>
  <si>
    <t>135490406</t>
  </si>
  <si>
    <t>0581 61445, 51355</t>
  </si>
  <si>
    <t>135490464</t>
  </si>
  <si>
    <t>WEST NAGESHWARI, NAGESHWARI, KURIGRAM 5660</t>
  </si>
  <si>
    <t>05826 56092</t>
  </si>
  <si>
    <t>135490556</t>
  </si>
  <si>
    <t>NAGAR BANDH, NAGESHWARI, KURIGRAM 5660</t>
  </si>
  <si>
    <t>017 30009693</t>
  </si>
  <si>
    <t>135490169</t>
  </si>
  <si>
    <t>TRIMOHANI BAZAR BRANCH</t>
  </si>
  <si>
    <t>TRIMOHANI_BAZAR_BRANCH</t>
  </si>
  <si>
    <t>BELGACHHA, KHALILGANJ, KURIGRAM SADAR, KURIGRAM 5600</t>
  </si>
  <si>
    <t>0581 61120</t>
  </si>
  <si>
    <t>135490701</t>
  </si>
  <si>
    <t>ULIPUR, KURIGRAM 5620</t>
  </si>
  <si>
    <t>05829 56027</t>
  </si>
  <si>
    <t>135500075</t>
  </si>
  <si>
    <t>ALLARDARGAH, DAULATHPUR, KUSHTIA 7042</t>
  </si>
  <si>
    <t>07023 75337</t>
  </si>
  <si>
    <t>135500138</t>
  </si>
  <si>
    <t>BAGULAT BRANCH</t>
  </si>
  <si>
    <t>BAGULAT_BRANCH</t>
  </si>
  <si>
    <t>DURBACHARA, KUMARKHALI, KUSHTIA 7010</t>
  </si>
  <si>
    <t>017 30009579</t>
  </si>
  <si>
    <t>135500259</t>
  </si>
  <si>
    <t>BARAKHADA BRANCH</t>
  </si>
  <si>
    <t>BARAKHADA_BRANCH</t>
  </si>
  <si>
    <t>BARAKHADA, KUSHTIA SADAR, KUSHTIA 7000</t>
  </si>
  <si>
    <t>071 62155</t>
  </si>
  <si>
    <t>135500288</t>
  </si>
  <si>
    <t>07022 71388</t>
  </si>
  <si>
    <t>135500341</t>
  </si>
  <si>
    <t>CHOWRHAS BAZAR BRANCH</t>
  </si>
  <si>
    <t>CHOWRHAS_BAZAR_BRANCH</t>
  </si>
  <si>
    <t>CHOWRHAS BAZAR, JAGATI, KUSHTIA 7002</t>
  </si>
  <si>
    <t>071 62117</t>
  </si>
  <si>
    <t>135500433</t>
  </si>
  <si>
    <t>KHASHMATHURAPUR, DAULATPUR, KUSHTIA 7052</t>
  </si>
  <si>
    <t>017 30009580</t>
  </si>
  <si>
    <t>135500804</t>
  </si>
  <si>
    <t>KHAJANAGAR BRANCH</t>
  </si>
  <si>
    <t>KHAJANAGAR_BRANCH</t>
  </si>
  <si>
    <t>KHAJA NAGAR BAZAR, JAGATI, KUSHTIA 7002</t>
  </si>
  <si>
    <t>017 30373734</t>
  </si>
  <si>
    <t>135500820</t>
  </si>
  <si>
    <t>KHOKSA BAZAR, KHOKSA, KUSHTIA 7021</t>
  </si>
  <si>
    <t>07024 56494</t>
  </si>
  <si>
    <t>135500888</t>
  </si>
  <si>
    <t>07025 76445</t>
  </si>
  <si>
    <t>135500970</t>
  </si>
  <si>
    <t>146 NS ROAD, KUSHTIA 7000</t>
  </si>
  <si>
    <t>071 61930, 62245</t>
  </si>
  <si>
    <t>135501429</t>
  </si>
  <si>
    <t>RAJAR HAT, MOHINI MILLS, KUSHTIA 7001</t>
  </si>
  <si>
    <t>071 62594</t>
  </si>
  <si>
    <t>135501458</t>
  </si>
  <si>
    <t>RAMCANDRA ROY STREET BRANCH</t>
  </si>
  <si>
    <t>RAMCANDRA_ROY_STREET_BRANCH</t>
  </si>
  <si>
    <t>RAM CHANDRA ROY STREET, KUSHTIA SADAR, KUSHTIA 7000</t>
  </si>
  <si>
    <t>071 62010</t>
  </si>
  <si>
    <t>135501603</t>
  </si>
  <si>
    <t>SUKANTA BIPANI BRANCH</t>
  </si>
  <si>
    <t>SUKANTA_BIPANI_BRANCH</t>
  </si>
  <si>
    <t>SUKANTA BIPANI, KUSHTIA 7000</t>
  </si>
  <si>
    <t>071 62482</t>
  </si>
  <si>
    <t>135510131</t>
  </si>
  <si>
    <t>BHATRA BAZAR BRANCH</t>
  </si>
  <si>
    <t>BHATRA_BAZAR_BRANCH</t>
  </si>
  <si>
    <t>BHATRA BAZAR, RAMGANJ, LAKSHMIPUR 3720</t>
  </si>
  <si>
    <t>017 67402696</t>
  </si>
  <si>
    <t>135510081</t>
  </si>
  <si>
    <t>CHARSHAHI BASURHAT BRANCH</t>
  </si>
  <si>
    <t>CHARSHAHI_BASURHAT_BRANCH</t>
  </si>
  <si>
    <t>MOTIN SUPER MARKET, CHARSHAHI, LAKSHMIPUR SADAR, LAKSHMIPUR</t>
  </si>
  <si>
    <t>018 17751676</t>
  </si>
  <si>
    <t>135510223</t>
  </si>
  <si>
    <t>CHAR ALEXANDER BRANCH</t>
  </si>
  <si>
    <t>CHAR_ALEXANDER_BRANCH</t>
  </si>
  <si>
    <t>CHAR ALEXANDER, RAMGATI, LAKSHMIPUR 3730</t>
  </si>
  <si>
    <t>03823 56261</t>
  </si>
  <si>
    <t>135510407</t>
  </si>
  <si>
    <t>DALAL BAZAR, LAKSHIPUR SADAR, LAKSHMIPUR 3701</t>
  </si>
  <si>
    <t>017 13107099</t>
  </si>
  <si>
    <t>135510531</t>
  </si>
  <si>
    <t>HAIDERGANJ BRANCH</t>
  </si>
  <si>
    <t>HAIDERGANJ_BRANCH</t>
  </si>
  <si>
    <t>HAIDERGANJ, RAIPUR, LAKSHMIPUR 3713</t>
  </si>
  <si>
    <t>017 11713847</t>
  </si>
  <si>
    <t>135510760</t>
  </si>
  <si>
    <t>0381 55563</t>
  </si>
  <si>
    <t>135510823</t>
  </si>
  <si>
    <t>017 55555674</t>
  </si>
  <si>
    <t>135510973</t>
  </si>
  <si>
    <t>03822 56002</t>
  </si>
  <si>
    <t>135511035</t>
  </si>
  <si>
    <t>135520042</t>
  </si>
  <si>
    <t>ADITMARI BRANCH</t>
  </si>
  <si>
    <t>ADITMARI_BRANCH</t>
  </si>
  <si>
    <t>ADITMARI, LALMONIRHAT 5510</t>
  </si>
  <si>
    <t>017 30009694</t>
  </si>
  <si>
    <t>135520134</t>
  </si>
  <si>
    <t>BAURA BRANCH</t>
  </si>
  <si>
    <t>BAURA_BRANCH</t>
  </si>
  <si>
    <t>BAURA, PATGRAM, LALMONIRHAT 5541</t>
  </si>
  <si>
    <t>017 30009691</t>
  </si>
  <si>
    <t>135520163</t>
  </si>
  <si>
    <t>BHOTEMARI BRANCH</t>
  </si>
  <si>
    <t>BHOTEMARI_BRANCH</t>
  </si>
  <si>
    <t>BHOTEMARI, KALIGANJ, LALMONIRHAT 5520</t>
  </si>
  <si>
    <t>017 30009692</t>
  </si>
  <si>
    <t>135520192</t>
  </si>
  <si>
    <t>BURIMARI BRANCH</t>
  </si>
  <si>
    <t>BURIMARI_BRANCH</t>
  </si>
  <si>
    <t>BURIMARI, PATGRAM, LALMONIRHAT 5542</t>
  </si>
  <si>
    <t>05932 51125, 017 30009690</t>
  </si>
  <si>
    <t>135520400</t>
  </si>
  <si>
    <t>HATIBANDA BRANCH</t>
  </si>
  <si>
    <t>HATIBANDA_BRANCH</t>
  </si>
  <si>
    <t>HATIBANDA, LALMONIRHAT 5530</t>
  </si>
  <si>
    <t>05923 56004</t>
  </si>
  <si>
    <t>135520439</t>
  </si>
  <si>
    <t>KARIMPUR, KALIGANJ, LALMONIRHAT 5520</t>
  </si>
  <si>
    <t>05924 56020</t>
  </si>
  <si>
    <t>135520468</t>
  </si>
  <si>
    <t>0591 61257, 61273</t>
  </si>
  <si>
    <t>135520589</t>
  </si>
  <si>
    <t>PATGRAM BRANCH</t>
  </si>
  <si>
    <t>PATGRAM_BRANCH</t>
  </si>
  <si>
    <t>PATGRAM, LALMONIRHAT 5540</t>
  </si>
  <si>
    <t>017 32691458</t>
  </si>
  <si>
    <t>135540130</t>
  </si>
  <si>
    <t>CHARMUGURIA BRANCH</t>
  </si>
  <si>
    <t>CHARMUGURIA_BRANCH</t>
  </si>
  <si>
    <t>CHARMUGURIA, MADARIPUR SADAR, MADARIPUR 7901</t>
  </si>
  <si>
    <t>0661 61520</t>
  </si>
  <si>
    <t>135540280</t>
  </si>
  <si>
    <t>KALKINI, MADARIPUR 7920</t>
  </si>
  <si>
    <t>06622 56106</t>
  </si>
  <si>
    <t>135540464</t>
  </si>
  <si>
    <t>NUTUN SHAHAR, MAIN SARAK, MADARIPUR 7900</t>
  </si>
  <si>
    <t>0661 61527</t>
  </si>
  <si>
    <t>135540556</t>
  </si>
  <si>
    <t>MOSTAFAPUR, MADARIPUR 7904</t>
  </si>
  <si>
    <t>0661 61064</t>
  </si>
  <si>
    <t>135540435</t>
  </si>
  <si>
    <t>PURAN BAZAR, MADARIPUR SADAR, MADARIPUR 7900</t>
  </si>
  <si>
    <t>0661 61525</t>
  </si>
  <si>
    <t>135540701</t>
  </si>
  <si>
    <t>HAKIM PLAZA, SHIBCHAR, MADARIPUR 7930</t>
  </si>
  <si>
    <t>06624 56317</t>
  </si>
  <si>
    <t>135550133</t>
  </si>
  <si>
    <t>04853 56004</t>
  </si>
  <si>
    <t>135550225</t>
  </si>
  <si>
    <t>017 30009582</t>
  </si>
  <si>
    <t>135550346</t>
  </si>
  <si>
    <t>GANGARAMPUR BRANCH</t>
  </si>
  <si>
    <t>GANGARAMPUR_BRANCH</t>
  </si>
  <si>
    <t>HARITALA, SHALIKHA, MAGURA 7620</t>
  </si>
  <si>
    <t>017 30009586</t>
  </si>
  <si>
    <t>135550467</t>
  </si>
  <si>
    <t>KHAMARPARA BRANCH</t>
  </si>
  <si>
    <t>KHAMARPARA_BRANCH</t>
  </si>
  <si>
    <t>KHAMARPARA, SREEPUR, MAGURA 7610</t>
  </si>
  <si>
    <t>04854 56114</t>
  </si>
  <si>
    <t>135550520</t>
  </si>
  <si>
    <t>LANGALBANDH BRANCH</t>
  </si>
  <si>
    <t>LANGALBANDH_BRANCH</t>
  </si>
  <si>
    <t>LANGALBANDH, SREEPUR, MAGURA 7611</t>
  </si>
  <si>
    <t>017 30009590</t>
  </si>
  <si>
    <t>135550588</t>
  </si>
  <si>
    <t>0488 62414</t>
  </si>
  <si>
    <t>135550612</t>
  </si>
  <si>
    <t>MOHAMMADPUR, MAGURA 7630</t>
  </si>
  <si>
    <t>04852 75004</t>
  </si>
  <si>
    <t>135550670</t>
  </si>
  <si>
    <t>NAKOLE BRANCH</t>
  </si>
  <si>
    <t>NAKOLE_BRANCH</t>
  </si>
  <si>
    <t>NAKOLE, SREEPUR, MAGURA 7612</t>
  </si>
  <si>
    <t>017 30009591</t>
  </si>
  <si>
    <t>135550733</t>
  </si>
  <si>
    <t>NAOHATA BRANCH</t>
  </si>
  <si>
    <t>NAOHATA_BRANCH</t>
  </si>
  <si>
    <t>NAOHATA, MOHAMMADPUR, MAGURA 7632</t>
  </si>
  <si>
    <t>017 17060937</t>
  </si>
  <si>
    <t>135550791</t>
  </si>
  <si>
    <t>RAJBANGRAM, MOHAMMADPUR, MAGURA 7632</t>
  </si>
  <si>
    <t>017 17317300</t>
  </si>
  <si>
    <t>135550917</t>
  </si>
  <si>
    <t>SHIMAKHALI BRANCH</t>
  </si>
  <si>
    <t>SHIMAKHALI_BRANCH</t>
  </si>
  <si>
    <t>SHIMAKHALI, SHALIKHA, MAGURA 7620</t>
  </si>
  <si>
    <t>017 30009592</t>
  </si>
  <si>
    <t>135550946</t>
  </si>
  <si>
    <t>SINGRA BAZAR BRANCH</t>
  </si>
  <si>
    <t>SINGRA_BAZAR_BRANCH</t>
  </si>
  <si>
    <t>SINGRA BAZAR, SHALIKHA, MAGURA 7620</t>
  </si>
  <si>
    <t>017 30009593</t>
  </si>
  <si>
    <t>135560615</t>
  </si>
  <si>
    <t>76-77 SHAHID RAFIQ SARAK, MANIKGANJ 1800</t>
  </si>
  <si>
    <t>02 7710422, 7710211</t>
  </si>
  <si>
    <t>135560857</t>
  </si>
  <si>
    <t>SOUTH JAMSHAHAT BRANCH</t>
  </si>
  <si>
    <t>SOUTH_JAMSHAHAT_BRANCH</t>
  </si>
  <si>
    <t>SOUTH JAMSHA HIGH SCHOOL BHABAN, SINGAIR, MANIKGANJ 1820</t>
  </si>
  <si>
    <t>017 30009530</t>
  </si>
  <si>
    <t>135570100</t>
  </si>
  <si>
    <t>BAMUNDI BAZAR BRANCH</t>
  </si>
  <si>
    <t>BAMUNDI_BAZAR_BRANCH</t>
  </si>
  <si>
    <t>BAMUNDI, GANGNI, MEHERPUR 7110</t>
  </si>
  <si>
    <t>07922 75414</t>
  </si>
  <si>
    <t>135570434</t>
  </si>
  <si>
    <t>0791 62402</t>
  </si>
  <si>
    <t>135580495</t>
  </si>
  <si>
    <t>AKATONA BRANCH</t>
  </si>
  <si>
    <t>AKATONA_BRANCH</t>
  </si>
  <si>
    <t>BARAKAPAN, MOULVIBAZAR SADAR, MOULVIBAZAR 3201</t>
  </si>
  <si>
    <t>0861 53706</t>
  </si>
  <si>
    <t>135580103</t>
  </si>
  <si>
    <t>BARALEKHA BRANCH</t>
  </si>
  <si>
    <t>BARALEKHA_BRANCH</t>
  </si>
  <si>
    <t>BARALEKHA, MOULVIBAZAR 3250</t>
  </si>
  <si>
    <t>08622 56082</t>
  </si>
  <si>
    <t>135580190</t>
  </si>
  <si>
    <t>BHANUGACH BRANCH</t>
  </si>
  <si>
    <t>BHANUGACH_BRANCH</t>
  </si>
  <si>
    <t>KARAMATNAGAR, KAMALGANJ, MOULVIBAZAR 2321</t>
  </si>
  <si>
    <t>0862 356034</t>
  </si>
  <si>
    <t>135580611</t>
  </si>
  <si>
    <t>GARARAI BAZAR BRANCH</t>
  </si>
  <si>
    <t>GARARAI_BAZAR_BRANCH</t>
  </si>
  <si>
    <t>GARARAI BAZAR, MOULVIBAZAR 3200</t>
  </si>
  <si>
    <t>017 11922435</t>
  </si>
  <si>
    <t>135580640</t>
  </si>
  <si>
    <t>JAIFARNAGAR BRANCH</t>
  </si>
  <si>
    <t>JAIFARNAGAR_BRANCH</t>
  </si>
  <si>
    <t>JAIFAR NAGAR, JURI, MOULVIBAZAR 3251</t>
  </si>
  <si>
    <t>017 11922434</t>
  </si>
  <si>
    <t>135580679</t>
  </si>
  <si>
    <t>JURI, MOULVIBAZAR 3251</t>
  </si>
  <si>
    <t>0862 757097</t>
  </si>
  <si>
    <t>135581128</t>
  </si>
  <si>
    <t>KAZIR BAZAR, MOULVIBAZAR 3200</t>
  </si>
  <si>
    <t>017 11922436</t>
  </si>
  <si>
    <t>135580945</t>
  </si>
  <si>
    <t>KULAURA, MOULVIBAZAR 3230</t>
  </si>
  <si>
    <t>08624 56060</t>
  </si>
  <si>
    <t>135581210</t>
  </si>
  <si>
    <t>MOULVIBAZAR SADAR, MOULVIBAZAR 3200</t>
  </si>
  <si>
    <t>0861 52224</t>
  </si>
  <si>
    <t>135581399</t>
  </si>
  <si>
    <t>RAJNAGAR, MOULVIBAZAR 3240</t>
  </si>
  <si>
    <t>08625 75013</t>
  </si>
  <si>
    <t>135581728</t>
  </si>
  <si>
    <t>SREEMANGAL, MOULVIBAZAR 3210</t>
  </si>
  <si>
    <t>08626 71507</t>
  </si>
  <si>
    <t>135590043</t>
  </si>
  <si>
    <t>MIRKADIM, TONGIBARI, MUNSHIGANJ 1502</t>
  </si>
  <si>
    <t>02 7612111</t>
  </si>
  <si>
    <t>135590256</t>
  </si>
  <si>
    <t>BETKAHAT, TONGIBARI, MUNSHIGANJ 1521</t>
  </si>
  <si>
    <t>02 7612236</t>
  </si>
  <si>
    <t>135590319</t>
  </si>
  <si>
    <t>BHAGYAKUL BRANCH</t>
  </si>
  <si>
    <t>BHAGYAKUL_BRANCH</t>
  </si>
  <si>
    <t>BHAGYAKUL, SREENAGAR, MUNSHIGANJ 1556</t>
  </si>
  <si>
    <t>017 46940985</t>
  </si>
  <si>
    <t>135590735</t>
  </si>
  <si>
    <t>KAMALAGHAT BRANCH</t>
  </si>
  <si>
    <t>KAMALAGHAT_BRANCH</t>
  </si>
  <si>
    <t>MIR KADIM, MUNSHIGANJ 1500</t>
  </si>
  <si>
    <t>02 7612096, 7611126</t>
  </si>
  <si>
    <t>135591039</t>
  </si>
  <si>
    <t>MUNSHIGANJ SADAR, MUNSHIGANJ</t>
  </si>
  <si>
    <t>02 7611126, 0691 62126</t>
  </si>
  <si>
    <t>135591455</t>
  </si>
  <si>
    <t>SUBACHANI BAZAR BRANCH</t>
  </si>
  <si>
    <t>SUBACHANI_BAZAR_BRANCH</t>
  </si>
  <si>
    <t>SALIMPUR, TONGIBARI, MUNSHIGANJ 1543</t>
  </si>
  <si>
    <t>017 30009531</t>
  </si>
  <si>
    <t>135591547</t>
  </si>
  <si>
    <t>TONGIBARI, MUNSHIGANJ 1520</t>
  </si>
  <si>
    <t>02 7618011</t>
  </si>
  <si>
    <t>135610310</t>
  </si>
  <si>
    <t>SHAHID NAZIMUDDIN ROAD, BHALUKA, MYMENSINGH 2240</t>
  </si>
  <si>
    <t>09022 56120</t>
  </si>
  <si>
    <t>135610499</t>
  </si>
  <si>
    <t>CHARPARA BRANCH</t>
  </si>
  <si>
    <t>CHARPARA_BRANCH</t>
  </si>
  <si>
    <t>ALBARAKA CONVENSION CENTER, HOLDING NO 20/1, CHARPARA, KOTWALI, MYMENSINGH 2200</t>
  </si>
  <si>
    <t>091 66972</t>
  </si>
  <si>
    <t>135610736</t>
  </si>
  <si>
    <t>DHALA BRANCH</t>
  </si>
  <si>
    <t>DHALA_BRANCH</t>
  </si>
  <si>
    <t>DHALA, TRISHAL, MYMENSINGH 2223</t>
  </si>
  <si>
    <t>017 30009544</t>
  </si>
  <si>
    <t>135612055</t>
  </si>
  <si>
    <t>DHOBAURA, MYMENSINGH 2416</t>
  </si>
  <si>
    <t>017 30009541, 09034 56220</t>
  </si>
  <si>
    <t>135611098</t>
  </si>
  <si>
    <t>GOURIPUR ACADEMY CENTRE BRANCH</t>
  </si>
  <si>
    <t>GOURIPUR_ACADEMY_CENTRE_BRANCH</t>
  </si>
  <si>
    <t>GOURIPUR, MYMENSINGH 2270</t>
  </si>
  <si>
    <t>09024 56011</t>
  </si>
  <si>
    <t>135611151</t>
  </si>
  <si>
    <t>JANBBDDHHAL</t>
  </si>
  <si>
    <t>HALUAGHAT, MYMENSINGH 2260</t>
  </si>
  <si>
    <t>09026 56005</t>
  </si>
  <si>
    <t>135611427</t>
  </si>
  <si>
    <t>MYMENSINGH SADAR, MYMENSINGH 2200</t>
  </si>
  <si>
    <t>091 65869</t>
  </si>
  <si>
    <t>135611698</t>
  </si>
  <si>
    <t>MUKTAGACHHA, MYMENSINGH 2210</t>
  </si>
  <si>
    <t>09028 75149</t>
  </si>
  <si>
    <t>135611722</t>
  </si>
  <si>
    <t>MUNSHIRHAT  BRANCH</t>
  </si>
  <si>
    <t>MUNSHIRHAT__BRANCH</t>
  </si>
  <si>
    <t>MUNSHIR HAT, DHOUBAURA, MYMENSINGH 2262</t>
  </si>
  <si>
    <t>017 30009539</t>
  </si>
  <si>
    <t>135611827</t>
  </si>
  <si>
    <t>182</t>
  </si>
  <si>
    <t>JANBBDDHMYN</t>
  </si>
  <si>
    <t>DURGABARI ROAD, MYMENSINGH 2200</t>
  </si>
  <si>
    <t>091 66943, 66546</t>
  </si>
  <si>
    <t>135610431</t>
  </si>
  <si>
    <t>MYMENSINGH CANTONMENT BRANCH</t>
  </si>
  <si>
    <t>MYMENSINGH_CANTONMENT_BRANCH</t>
  </si>
  <si>
    <t>MYMENSINGH CANTONMENT, MYMENSINGH 2200</t>
  </si>
  <si>
    <t>091 66925</t>
  </si>
  <si>
    <t>135611935</t>
  </si>
  <si>
    <t>NANDAIL ROAD BAZAR BRANCH</t>
  </si>
  <si>
    <t>NANDAIL_ROAD_BAZAR_BRANCH</t>
  </si>
  <si>
    <t>GANGAIL, NANDAIL, MYMENSINGH 2291</t>
  </si>
  <si>
    <t>017 30009542</t>
  </si>
  <si>
    <t>135611964</t>
  </si>
  <si>
    <t>NUTUN BAZAR, MYMENSINGH SADAR, MYMENSINGH 2200</t>
  </si>
  <si>
    <t>091 66932</t>
  </si>
  <si>
    <t>135612118</t>
  </si>
  <si>
    <t>SHYAMGANJ, GOURIPUR, MYMENSINGH 2411</t>
  </si>
  <si>
    <t>017 30009543</t>
  </si>
  <si>
    <t>135612268</t>
  </si>
  <si>
    <t>TARAKANDA, MYMENSINGH 2252</t>
  </si>
  <si>
    <t>017 30009538</t>
  </si>
  <si>
    <t>135640072</t>
  </si>
  <si>
    <t>AGRADIGUN BRANCH</t>
  </si>
  <si>
    <t>AGRADIGUN_BRANCH</t>
  </si>
  <si>
    <t>AGRADIGUN, DHAMOIRHAT, NAOGAON 6580</t>
  </si>
  <si>
    <t>017 30009646</t>
  </si>
  <si>
    <t>135640164</t>
  </si>
  <si>
    <t>ATRAI BRANCH</t>
  </si>
  <si>
    <t>ATRAI_BRANCH</t>
  </si>
  <si>
    <t>AHSANGANJ, ATRAI, NAOGAON 6596</t>
  </si>
  <si>
    <t>07422 71003</t>
  </si>
  <si>
    <t>135640227</t>
  </si>
  <si>
    <t>BAIDYAPUR BRANCH</t>
  </si>
  <si>
    <t>BAIDYAPUR_BRANCH</t>
  </si>
  <si>
    <t>BAIDYAPUR, MANDA, NAOGAON 6511</t>
  </si>
  <si>
    <t>017 13009649</t>
  </si>
  <si>
    <t>135640285</t>
  </si>
  <si>
    <t>BANDAIKHARA BRANCH</t>
  </si>
  <si>
    <t>BANDAIKHARA_BRANCH</t>
  </si>
  <si>
    <t>BANDAIKHARA, ATRAI, NAOGAON 6597</t>
  </si>
  <si>
    <t>017 30009648</t>
  </si>
  <si>
    <t>135640256</t>
  </si>
  <si>
    <t>CHOWMASHIA BAZAR BRANCH</t>
  </si>
  <si>
    <t>CHOWMASHIA_BAZAR_BRANCH</t>
  </si>
  <si>
    <t>SHAHRASTIPUR, MAHADEBPUR, NAOGAON 6530</t>
  </si>
  <si>
    <t>017 30009647</t>
  </si>
  <si>
    <t>135640469</t>
  </si>
  <si>
    <t>DELUABARIHAT BRANCH</t>
  </si>
  <si>
    <t>DELUABARIHAT_BRANCH</t>
  </si>
  <si>
    <t>KALIGRAM, MANDA, NAOGAON 6511</t>
  </si>
  <si>
    <t>017 16150855</t>
  </si>
  <si>
    <t>135640498</t>
  </si>
  <si>
    <t>DHAMOIRHAT BRANCH</t>
  </si>
  <si>
    <t>DHAMOIRHAT_BRANCH</t>
  </si>
  <si>
    <t>DHAMOIR HAT, NAOGAON 6580</t>
  </si>
  <si>
    <t>07424 56006</t>
  </si>
  <si>
    <t>135640580</t>
  </si>
  <si>
    <t>GAGANPUR BRANCH</t>
  </si>
  <si>
    <t>GAGANPUR_BRANCH</t>
  </si>
  <si>
    <t>GAGANPUR, PATNITALA, NAOGAON 6540</t>
  </si>
  <si>
    <t>017 30009650</t>
  </si>
  <si>
    <t>135640614</t>
  </si>
  <si>
    <t>GOBARCHAPAHAT BRANCH</t>
  </si>
  <si>
    <t>GOBARCHAPAHAT_BRANCH</t>
  </si>
  <si>
    <t>JABARIPUR, BADALGACHHI, NAOGAON 6570</t>
  </si>
  <si>
    <t>017 30009651</t>
  </si>
  <si>
    <t>135640643</t>
  </si>
  <si>
    <t>HAPANIA BRANCH</t>
  </si>
  <si>
    <t>HAPANIA_BRANCH</t>
  </si>
  <si>
    <t>CHAKATHITHA, NAOGAON 6500</t>
  </si>
  <si>
    <t>0741 61845</t>
  </si>
  <si>
    <t>135640764</t>
  </si>
  <si>
    <t>JOTEBAZAR BRANCH</t>
  </si>
  <si>
    <t>JOTEBAZAR_BRANCH</t>
  </si>
  <si>
    <t>JOTEBAZAR, MANDA, NAOGAON 6511</t>
  </si>
  <si>
    <t>017 30009652</t>
  </si>
  <si>
    <t>135640827</t>
  </si>
  <si>
    <t>KAZIR MORE BRANCH</t>
  </si>
  <si>
    <t>KAZIR_MORE_BRANCH</t>
  </si>
  <si>
    <t>KAZIR MORE, NAOGAON SADAR, NAOGAON 6500</t>
  </si>
  <si>
    <t>0741 62475</t>
  </si>
  <si>
    <t>135640948</t>
  </si>
  <si>
    <t>MADHUIL BRANCH</t>
  </si>
  <si>
    <t>MADHUIL_BRANCH</t>
  </si>
  <si>
    <t>MADHUIL, PATNITALA, NAOGAON 6561</t>
  </si>
  <si>
    <t>017 30009653</t>
  </si>
  <si>
    <t>135641000</t>
  </si>
  <si>
    <t>PRASADPUR, MANDA, NAOGAON 6510</t>
  </si>
  <si>
    <t>07425 62011</t>
  </si>
  <si>
    <t>135641039</t>
  </si>
  <si>
    <t>MANGALBARI BRANCH</t>
  </si>
  <si>
    <t>MANGALBARI_BRANCH</t>
  </si>
  <si>
    <t>MANGALBARI, DHAMAIRHAT, NAOGAON 6580</t>
  </si>
  <si>
    <t>017 30009654</t>
  </si>
  <si>
    <t>135641213</t>
  </si>
  <si>
    <t>NAOGAON SADAR, NAOGAON 6500</t>
  </si>
  <si>
    <t>0741 62371, 62553</t>
  </si>
  <si>
    <t>135641242</t>
  </si>
  <si>
    <t>NAZIPUR, PATHNITALA, NAOGAON 6540</t>
  </si>
  <si>
    <t>07428 63010</t>
  </si>
  <si>
    <t>135641271</t>
  </si>
  <si>
    <t>NIAMATPUR BRANCH</t>
  </si>
  <si>
    <t>NIAMATPUR_BRANCH</t>
  </si>
  <si>
    <t>NIAMATPUR, NAOGAON 6520</t>
  </si>
  <si>
    <t>07427 56005</t>
  </si>
  <si>
    <t>135641305</t>
  </si>
  <si>
    <t>NISCHINTAPUR BRANCH</t>
  </si>
  <si>
    <t>NISCHINTAPUR_BRANCH</t>
  </si>
  <si>
    <t>NISCHINTAPUR, SAPAHAR, NAOGAON 6560</t>
  </si>
  <si>
    <t>017 30009655</t>
  </si>
  <si>
    <t>135641334</t>
  </si>
  <si>
    <t>NITHPUR, PORSHA, NAOGAON 6550</t>
  </si>
  <si>
    <t>07429 56007</t>
  </si>
  <si>
    <t>135641484</t>
  </si>
  <si>
    <t>PATTAKATA BRANCH</t>
  </si>
  <si>
    <t>PATTAKATA_BRANCH</t>
  </si>
  <si>
    <t>PATTAKATA, MAHADEBPUR, NAOGAON 6530</t>
  </si>
  <si>
    <t>017 30009657</t>
  </si>
  <si>
    <t>135641842</t>
  </si>
  <si>
    <t>SHARASHWATIPUR BRANCH</t>
  </si>
  <si>
    <t>SHARASHWATIPUR_BRANCH</t>
  </si>
  <si>
    <t>SHARASHWATIPUR, MAHADEBPUR, NAOGAON 6530</t>
  </si>
  <si>
    <t>017 30009659</t>
  </si>
  <si>
    <t>135641871</t>
  </si>
  <si>
    <t>RASULPUR, PATNITALA, NAOGAON 6540</t>
  </si>
  <si>
    <t>017 30009658</t>
  </si>
  <si>
    <t>135641905</t>
  </si>
  <si>
    <t>TILNA BRANCH</t>
  </si>
  <si>
    <t>TILNA_BRANCH</t>
  </si>
  <si>
    <t>TILNA, SAPAHAR, NAOGAON 6560</t>
  </si>
  <si>
    <t>017 30009656</t>
  </si>
  <si>
    <t>135650138</t>
  </si>
  <si>
    <t>BORDIA BRANCH</t>
  </si>
  <si>
    <t>BORDIA_BRANCH</t>
  </si>
  <si>
    <t>BORDIA, KALIA, NARAIL 7514</t>
  </si>
  <si>
    <t>017 30009574</t>
  </si>
  <si>
    <t>135650462</t>
  </si>
  <si>
    <t>LOHAGARA, NARAIL 7511</t>
  </si>
  <si>
    <t>04823 56106</t>
  </si>
  <si>
    <t>135650525</t>
  </si>
  <si>
    <t>MAIZPARA BRANCH</t>
  </si>
  <si>
    <t>MAIZPARA_BRANCH</t>
  </si>
  <si>
    <t>MADDHYA PALLI, NARAIL 7500</t>
  </si>
  <si>
    <t>017 30009616</t>
  </si>
  <si>
    <t>135650583</t>
  </si>
  <si>
    <t>NALDI BRANCH</t>
  </si>
  <si>
    <t>NALDI_BRANCH</t>
  </si>
  <si>
    <t>NALDI, LOHAGARA, NARAIL 7513</t>
  </si>
  <si>
    <t>017 30009578</t>
  </si>
  <si>
    <t>135650646</t>
  </si>
  <si>
    <t>NARAIL SADAR, NARAIL 7500</t>
  </si>
  <si>
    <t>0481 62307</t>
  </si>
  <si>
    <t>135650741</t>
  </si>
  <si>
    <t>RUPGANJ BAZAR, RATANGANJ, NARAIL 7501</t>
  </si>
  <si>
    <t>017 30009575, 0481 62298</t>
  </si>
  <si>
    <t>135670163</t>
  </si>
  <si>
    <t>BANDAR, NARAYANGANJ 1410</t>
  </si>
  <si>
    <t>02 7661039</t>
  </si>
  <si>
    <t>135670105</t>
  </si>
  <si>
    <t>JANBBDDHBNG</t>
  </si>
  <si>
    <t>GBB BHABAN, 40 SHAYESTAKHAN ROAD, NARAYANGANJ 1400</t>
  </si>
  <si>
    <t>02 7633755, 7632913, 7632914</t>
  </si>
  <si>
    <t>135670134</t>
  </si>
  <si>
    <t>B K ROAD, NARAYANGANJ SADAR, NARAYANGANJ 1400</t>
  </si>
  <si>
    <t>02 7632127</t>
  </si>
  <si>
    <t>135670068</t>
  </si>
  <si>
    <t>CHOWDHURYGAON BAZAR BRANCH</t>
  </si>
  <si>
    <t>CHOWDHURYGAON_BAZAR_BRANCH</t>
  </si>
  <si>
    <t>CHOWDHURY BAZAR, SHAMBUPARA, SONARGOAN, NARAYANGANJ</t>
  </si>
  <si>
    <t>019 14255614</t>
  </si>
  <si>
    <t>135670347</t>
  </si>
  <si>
    <t>DEOBHOUG BRANCH</t>
  </si>
  <si>
    <t>DEOBHOUG_BRANCH</t>
  </si>
  <si>
    <t>259 DP ROAD, NARAYANGANJ 1400</t>
  </si>
  <si>
    <t>02 7633140</t>
  </si>
  <si>
    <t>135670400</t>
  </si>
  <si>
    <t>DHARMATOLA ROAD BRANCH</t>
  </si>
  <si>
    <t>DHARMATOLA_ROAD_BRANCH</t>
  </si>
  <si>
    <t>1 NABAB SALIMULLAH ROAD, NARAYANGANJ SADAR, NARAYANGANJ 1400</t>
  </si>
  <si>
    <t>02 7631578</t>
  </si>
  <si>
    <t>135670468</t>
  </si>
  <si>
    <t>DREDGER SANGSTHA BRANCH</t>
  </si>
  <si>
    <t>DREDGER_SANGSTHA_BRANCH</t>
  </si>
  <si>
    <t>DREDGER ORGANIZATION, NARAYANGANJ 1400</t>
  </si>
  <si>
    <t>02 7632455</t>
  </si>
  <si>
    <t>135670521</t>
  </si>
  <si>
    <t>FATULLAH, NARAYANGANJ 1420</t>
  </si>
  <si>
    <t>02 7672734</t>
  </si>
  <si>
    <t>135670550</t>
  </si>
  <si>
    <t>GODNAIL BRANCH</t>
  </si>
  <si>
    <t>GODNAIL_BRANCH</t>
  </si>
  <si>
    <t>LNC MILLS, SIDDHIRGANJ, NARAYANGANJ 1432</t>
  </si>
  <si>
    <t>02 7634589</t>
  </si>
  <si>
    <t>135670613</t>
  </si>
  <si>
    <t>GOPALDI BAZAR BRANCH</t>
  </si>
  <si>
    <t>GOPALDI_BAZAR_BRANCH</t>
  </si>
  <si>
    <t>GOPALDI, ARAIHAZAR, NARAYANGANJ 1451</t>
  </si>
  <si>
    <t>02 7651050, 017 30009535</t>
  </si>
  <si>
    <t>135670684</t>
  </si>
  <si>
    <t>JALKURI BRANCH</t>
  </si>
  <si>
    <t>JALKURI_BRANCH</t>
  </si>
  <si>
    <t>23/B TC ROAD, SIDDHIRGANJ, NARAYANGANJ 1430</t>
  </si>
  <si>
    <t>02 7691032, 017 19170102</t>
  </si>
  <si>
    <t>135670734</t>
  </si>
  <si>
    <t>69 AC DHAR ROAD, KALIR BAZAR, NARAYANGANJ 1400</t>
  </si>
  <si>
    <t>02 7630952</t>
  </si>
  <si>
    <t>135670826</t>
  </si>
  <si>
    <t>KANCHPUR, SONARGAON, NARAYANGANJ 1430</t>
  </si>
  <si>
    <t>018 27866444</t>
  </si>
  <si>
    <t>135670918</t>
  </si>
  <si>
    <t>LANGAL BANDHA BRANCH</t>
  </si>
  <si>
    <t>LANGAL_BANDHA_BRANCH</t>
  </si>
  <si>
    <t>MADANPUR, BANDAR, NARAYANGANJ 1410</t>
  </si>
  <si>
    <t>017 30009532</t>
  </si>
  <si>
    <t>135670947</t>
  </si>
  <si>
    <t>MADANGANJ BRANCH</t>
  </si>
  <si>
    <t>MADANGANJ_BRANCH</t>
  </si>
  <si>
    <t>MADANGANJ, BANDAR, NARAYANGANJ 1414</t>
  </si>
  <si>
    <t>02 7661050</t>
  </si>
  <si>
    <t>135671120</t>
  </si>
  <si>
    <t>MURAPARA BRANCH</t>
  </si>
  <si>
    <t>MURAPARA_BRANCH</t>
  </si>
  <si>
    <t>MURAPARA, RUPGANJ, NARAYANGANJ 1464</t>
  </si>
  <si>
    <t>02 7650005</t>
  </si>
  <si>
    <t>135671159</t>
  </si>
  <si>
    <t>NABIGANJ, BANDAR, NARAYANGANJ 1412</t>
  </si>
  <si>
    <t>02 7661084</t>
  </si>
  <si>
    <t>135671270</t>
  </si>
  <si>
    <t>JANBBDDHNGN</t>
  </si>
  <si>
    <t>23 RK DAS ROAD, NETAIGANJ, NARAYANGANJ 1400</t>
  </si>
  <si>
    <t>02 7630287, 7632470, 7631031</t>
  </si>
  <si>
    <t>135671333</t>
  </si>
  <si>
    <t>PAGLA, FATULLAH, NARAYANGANJ 1400</t>
  </si>
  <si>
    <t>02 7681667, 7682763</t>
  </si>
  <si>
    <t>135671362</t>
  </si>
  <si>
    <t>PANAMNAGAR BRANCH</t>
  </si>
  <si>
    <t>PANAMNAGAR_BRANCH</t>
  </si>
  <si>
    <t>BARA NAGAR, SONARGAON, NARAYANGANJ 1441</t>
  </si>
  <si>
    <t>017 30009533</t>
  </si>
  <si>
    <t>135671667</t>
  </si>
  <si>
    <t>SONAMIA MARKET BRANCH</t>
  </si>
  <si>
    <t>SONAMIA_MARKET_BRANCH</t>
  </si>
  <si>
    <t>ADAMJEE NAGAR, SIDDHIRGANJ, NARAYANGANJ 1431</t>
  </si>
  <si>
    <t>02 7693106</t>
  </si>
  <si>
    <t>135671696</t>
  </si>
  <si>
    <t>UDDABGANJ BAZAR, SONARGAON, NARAYANGANJ 1440</t>
  </si>
  <si>
    <t>02 7656206</t>
  </si>
  <si>
    <t>135671720</t>
  </si>
  <si>
    <t>SYED ALI CHAMBER BRANCH</t>
  </si>
  <si>
    <t>SYED_ALI_CHAMBER_BRANCH</t>
  </si>
  <si>
    <t>NARAYANGANJ SADAR, NARAYANGANJ 1400</t>
  </si>
  <si>
    <t>02 7631769, 7632747</t>
  </si>
  <si>
    <t>135671759</t>
  </si>
  <si>
    <t>TANBAZAR, NARAYANGANJ 1400</t>
  </si>
  <si>
    <t>02 7630443, 7632076</t>
  </si>
  <si>
    <t>135680074</t>
  </si>
  <si>
    <t>ATASHALI BAZAR BRANCH</t>
  </si>
  <si>
    <t>ATASHALI_BAZAR_BRANCH</t>
  </si>
  <si>
    <t>NILOKHA BAZAR, RAIPURA, NARSINGDI 1630</t>
  </si>
  <si>
    <t>017 30009534</t>
  </si>
  <si>
    <t>135680229</t>
  </si>
  <si>
    <t>BASHGARI BAZAR BRANCH</t>
  </si>
  <si>
    <t>BASHGARI_BAZAR_BRANCH</t>
  </si>
  <si>
    <t>BASHGARI BAZAR, RAIPURA, NARSINGDI 1630</t>
  </si>
  <si>
    <t>017 30009537</t>
  </si>
  <si>
    <t>135680258</t>
  </si>
  <si>
    <t>BELABO BAZAR BRANCH</t>
  </si>
  <si>
    <t>BELABO_BAZAR_BRANCH</t>
  </si>
  <si>
    <t>BELABO BAZAR, BELABO, NARSINGHDI 1640</t>
  </si>
  <si>
    <t>06252 63203</t>
  </si>
  <si>
    <t>135680287</t>
  </si>
  <si>
    <t>C&amp;amp;B ROAD BRANCH</t>
  </si>
  <si>
    <t>C&amp;amp;B_ROAD_BRANCH</t>
  </si>
  <si>
    <t>135680490</t>
  </si>
  <si>
    <t>GHORASHAL, PALASH, NARSINGDI 1613</t>
  </si>
  <si>
    <t>02 9466207, 017 11021287</t>
  </si>
  <si>
    <t>135680524</t>
  </si>
  <si>
    <t>HASNABAD BAZAR BRANCH</t>
  </si>
  <si>
    <t>HASNABAD_BAZAR_BRANCH</t>
  </si>
  <si>
    <t>02 9444268, 016 76039667</t>
  </si>
  <si>
    <t>135680582</t>
  </si>
  <si>
    <t>HATIRDIA, MANOHARDI, NARSINGDI 1651</t>
  </si>
  <si>
    <t>06253 56286, 017 11289077, 017 16587717</t>
  </si>
  <si>
    <t>135680616</t>
  </si>
  <si>
    <t>JOSHAR BAZAR BRANCH</t>
  </si>
  <si>
    <t>JOSHAR_BAZAR_BRANCH</t>
  </si>
  <si>
    <t>JOSHAR BAZAR, SHIBPUR, NARSINGDI 1630</t>
  </si>
  <si>
    <t>017 30009536</t>
  </si>
  <si>
    <t>135680737</t>
  </si>
  <si>
    <t>MANOHARDI, NARSINGDI 1650</t>
  </si>
  <si>
    <t>02 9445057, 017 20699046</t>
  </si>
  <si>
    <t>135680887</t>
  </si>
  <si>
    <t>NARSINGDI SADAR, NARSINGDI 1600</t>
  </si>
  <si>
    <t>02 9463102, 9462124</t>
  </si>
  <si>
    <t>135680911</t>
  </si>
  <si>
    <t>PALASH, NARSINGDI 1610</t>
  </si>
  <si>
    <t>06254 74354</t>
  </si>
  <si>
    <t>135681273</t>
  </si>
  <si>
    <t>SHEKHERCHAR BRANCH</t>
  </si>
  <si>
    <t>SHEKHERCHAR_BRANCH</t>
  </si>
  <si>
    <t>SHEKHER CHAR, NARSINGDI 1603</t>
  </si>
  <si>
    <t>02 9446287, 011 905472701</t>
  </si>
  <si>
    <t>135681307</t>
  </si>
  <si>
    <t>06256 75009</t>
  </si>
  <si>
    <t>135681336</t>
  </si>
  <si>
    <t>SREERAMPUR BAZAR BRANCH</t>
  </si>
  <si>
    <t>SREERAMPUR_BAZAR_BRANCH</t>
  </si>
  <si>
    <t>SREERAMPUR BAZAR, RAIPURA, NARSINGDI 1630</t>
  </si>
  <si>
    <t>06255 56014</t>
  </si>
  <si>
    <t>135681394</t>
  </si>
  <si>
    <t>VELANAGAR BRANCH</t>
  </si>
  <si>
    <t>VELANAGAR_BRANCH</t>
  </si>
  <si>
    <t>NARSINGDI GOVT COLLEGE, NARSINGDI 1602</t>
  </si>
  <si>
    <t>02 9464086</t>
  </si>
  <si>
    <t>135690101</t>
  </si>
  <si>
    <t>ALAIPUR BRANCH</t>
  </si>
  <si>
    <t>ALAIPUR_BRANCH</t>
  </si>
  <si>
    <t>ALAIPUR, NATORE 6400</t>
  </si>
  <si>
    <t>0771 62263</t>
  </si>
  <si>
    <t>135690130</t>
  </si>
  <si>
    <t>LAXMANHATI, BAGATIPARA, NATORE 6410</t>
  </si>
  <si>
    <t>07722 72008</t>
  </si>
  <si>
    <t>135690198</t>
  </si>
  <si>
    <t>BASUDEBPUR BRANCH</t>
  </si>
  <si>
    <t>BASUDEBPUR_BRANCH</t>
  </si>
  <si>
    <t>BAIDYABELGHORIA, NATORE SADAR, NATORE 6402</t>
  </si>
  <si>
    <t>017 20981870</t>
  </si>
  <si>
    <t>135690251</t>
  </si>
  <si>
    <t>BILDAHAR BRANCH</t>
  </si>
  <si>
    <t>BILDAHAR_BRANCH</t>
  </si>
  <si>
    <t>BILDAHAR, SINGRA, NATORE 6450</t>
  </si>
  <si>
    <t>017 30009636</t>
  </si>
  <si>
    <t>135690280</t>
  </si>
  <si>
    <t>BONPARA BAZAR BRANCH</t>
  </si>
  <si>
    <t>BONPARA_BAZAR_BRANCH</t>
  </si>
  <si>
    <t>KAIKAUR, HAROA, BARAIGRAM, NATOREA6430</t>
  </si>
  <si>
    <t>07723 56007</t>
  </si>
  <si>
    <t>135690406</t>
  </si>
  <si>
    <t>DAYARAMPUR BRANCH</t>
  </si>
  <si>
    <t>DAYARAMPUR_BRANCH</t>
  </si>
  <si>
    <t>07722 72062</t>
  </si>
  <si>
    <t>135690435</t>
  </si>
  <si>
    <t>DHANAIDAHA BRANCH</t>
  </si>
  <si>
    <t>DHANAIDAHA_BRANCH</t>
  </si>
  <si>
    <t>PANCHBARIA, BARAIGRAM, NATORE 6430</t>
  </si>
  <si>
    <t>017 30009637</t>
  </si>
  <si>
    <t>135690464</t>
  </si>
  <si>
    <t>DIGHAPATIA BRANCH</t>
  </si>
  <si>
    <t>DIGHAPATIA_BRANCH</t>
  </si>
  <si>
    <t>DIGHAPATIA, NATORE 6401</t>
  </si>
  <si>
    <t>0771 62248</t>
  </si>
  <si>
    <t>135690556</t>
  </si>
  <si>
    <t>GURUDASPUR BRANCH</t>
  </si>
  <si>
    <t>GURUDASPUR_BRANCH</t>
  </si>
  <si>
    <t>HAT GURUDASPUR, GURUDASPUR, NATORE 6440</t>
  </si>
  <si>
    <t>07724 74007</t>
  </si>
  <si>
    <t>135690619</t>
  </si>
  <si>
    <t>HATIANDHA BRANCH</t>
  </si>
  <si>
    <t>HATIANDHA_BRANCH</t>
  </si>
  <si>
    <t>LALOR, SINGRA, NATORE 6450</t>
  </si>
  <si>
    <t>017 30009638</t>
  </si>
  <si>
    <t>135690677</t>
  </si>
  <si>
    <t>JONAIL BRANCH</t>
  </si>
  <si>
    <t>JONAIL_BRANCH</t>
  </si>
  <si>
    <t>JONAIL, BARAIGRAM, NATORE 6430</t>
  </si>
  <si>
    <t>017 30009639</t>
  </si>
  <si>
    <t>135690701</t>
  </si>
  <si>
    <t>KACHHIKATA BRANCH</t>
  </si>
  <si>
    <t>KACHHIKATA_BRANCH</t>
  </si>
  <si>
    <t>KACHHIKATA, GURUDASPUR, NATORE 6440</t>
  </si>
  <si>
    <t>017 30009640</t>
  </si>
  <si>
    <t>135690798</t>
  </si>
  <si>
    <t>KALAM BRANCH</t>
  </si>
  <si>
    <t>KALAM_BRANCH</t>
  </si>
  <si>
    <t>KALAM, SINGRA, NATORE 6450</t>
  </si>
  <si>
    <t>017 30009641</t>
  </si>
  <si>
    <t>135690972</t>
  </si>
  <si>
    <t>MADHNAGAR BRANCH</t>
  </si>
  <si>
    <t>MADHNAGAR_BRANCH</t>
  </si>
  <si>
    <t>MADHNAGAR, NALDANGA, NATORE 6403</t>
  </si>
  <si>
    <t>017 30009642</t>
  </si>
  <si>
    <t>135691005</t>
  </si>
  <si>
    <t>MOUKHARA BRANCH</t>
  </si>
  <si>
    <t>MOUKHARA_BRANCH</t>
  </si>
  <si>
    <t>NOWPARAHAT, BARAIGRAM, NATORE 6430</t>
  </si>
  <si>
    <t>017 30009643</t>
  </si>
  <si>
    <t>135691126</t>
  </si>
  <si>
    <t>NATORE ACADEMY BRANCH</t>
  </si>
  <si>
    <t>NATORE_ACADEMY_BRANCH</t>
  </si>
  <si>
    <t>NATORE SADAR, NATORE 6400</t>
  </si>
  <si>
    <t>0771 62277</t>
  </si>
  <si>
    <t>135691184</t>
  </si>
  <si>
    <t>0771 62428, 66050</t>
  </si>
  <si>
    <t>135691276</t>
  </si>
  <si>
    <t>PATUAPARA BRANCH</t>
  </si>
  <si>
    <t>PATUAPARA_BRANCH</t>
  </si>
  <si>
    <t>PATUAPARA, NATORE SADAR, NATORE 6400</t>
  </si>
  <si>
    <t>0771 62206</t>
  </si>
  <si>
    <t>135691397</t>
  </si>
  <si>
    <t>RAJAPUR BAZAR BRANCH</t>
  </si>
  <si>
    <t>RAJAPUR_BAZAR_BRANCH</t>
  </si>
  <si>
    <t>RAJAPUR BAZAR, BARAIGRAM, NATORE 6430</t>
  </si>
  <si>
    <t>017 30009644</t>
  </si>
  <si>
    <t>135691450</t>
  </si>
  <si>
    <t>SALAMPUR BRANCH</t>
  </si>
  <si>
    <t>SALAMPUR_BRANCH</t>
  </si>
  <si>
    <t>SALAMPUR, LALPUR, NATORE 6420</t>
  </si>
  <si>
    <t>017 30009645</t>
  </si>
  <si>
    <t>135691513</t>
  </si>
  <si>
    <t>SINGRA BAZAR, SINGRA, NATORE 6450</t>
  </si>
  <si>
    <t>07726 63061</t>
  </si>
  <si>
    <t>135691542</t>
  </si>
  <si>
    <t>STATION BAZAR, NATORE SADAR, NATORE 6400</t>
  </si>
  <si>
    <t>0771 62314</t>
  </si>
  <si>
    <t>135720284</t>
  </si>
  <si>
    <t>JARIA JANJAIL BRANCH</t>
  </si>
  <si>
    <t>JARIA_JANJAIL_BRANCH</t>
  </si>
  <si>
    <t>JARIA JHANJAIL, PURBADHALA, NETROKONA</t>
  </si>
  <si>
    <t>017 30009540</t>
  </si>
  <si>
    <t>135720376</t>
  </si>
  <si>
    <t>JOYNAGAR BRANCH</t>
  </si>
  <si>
    <t>JOYNAGAR_BRANCH</t>
  </si>
  <si>
    <t>JOYNAGAR, NETROKONA 2400</t>
  </si>
  <si>
    <t>0951 61209</t>
  </si>
  <si>
    <t>135720671</t>
  </si>
  <si>
    <t>MOHANGANJ, NETROKONA 2446</t>
  </si>
  <si>
    <t>09524 56021</t>
  </si>
  <si>
    <t>135720763</t>
  </si>
  <si>
    <t>NETROKONA SADAR, NETROKONA 2400</t>
  </si>
  <si>
    <t>0951 61310, 61309</t>
  </si>
  <si>
    <t>135720884</t>
  </si>
  <si>
    <t>SATPAI BRANCH</t>
  </si>
  <si>
    <t>SATPAI_BRANCH</t>
  </si>
  <si>
    <t>SATPAI, NETROKONA SADAR, NETROKONA 2400</t>
  </si>
  <si>
    <t>0951 61798</t>
  </si>
  <si>
    <t>135721009</t>
  </si>
  <si>
    <t>TELIGATI BAZAR BRANCH</t>
  </si>
  <si>
    <t>TELIGATI_BAZAR_BRANCH</t>
  </si>
  <si>
    <t>TELIGATI, ATPARA, NETROKONA 2470</t>
  </si>
  <si>
    <t>017 30009545</t>
  </si>
  <si>
    <t>135730229</t>
  </si>
  <si>
    <t>CHARAIKHOLA BRANCH</t>
  </si>
  <si>
    <t>CHARAIKHOLA_BRANCH</t>
  </si>
  <si>
    <t>DAROANI SOTAKAL, NILPHAMARI 5300</t>
  </si>
  <si>
    <t>017 30009681</t>
  </si>
  <si>
    <t>135730258</t>
  </si>
  <si>
    <t>CHILAHATI BRANCH</t>
  </si>
  <si>
    <t>CHILAHATI_BRANCH</t>
  </si>
  <si>
    <t>CHILAHATI, DOMAR, NILPHAMARI 5341</t>
  </si>
  <si>
    <t>017 30009679</t>
  </si>
  <si>
    <t>135730340</t>
  </si>
  <si>
    <t>DOMAR BRANCH</t>
  </si>
  <si>
    <t>DOMAR_BRANCH</t>
  </si>
  <si>
    <t>DOMAR, NILPHAMARI 5340</t>
  </si>
  <si>
    <t>05523 75024, 75437</t>
  </si>
  <si>
    <t>135730461</t>
  </si>
  <si>
    <t>RANGPUR-DALIA ROAD, JALDHAKA, NILPHAMARI 5330</t>
  </si>
  <si>
    <t>05524 64003</t>
  </si>
  <si>
    <t>135730524</t>
  </si>
  <si>
    <t>KAIMARI BRANCH</t>
  </si>
  <si>
    <t>KAIMARI_BRANCH</t>
  </si>
  <si>
    <t>KAIMARI, JALDHAKA, NILPHAMARI 5330</t>
  </si>
  <si>
    <t>017 30009683</t>
  </si>
  <si>
    <t>135730737</t>
  </si>
  <si>
    <t>NILPHAMARI SADAR, NILPHAMARI 5300</t>
  </si>
  <si>
    <t>0551 61270, 61491</t>
  </si>
  <si>
    <t>135730766</t>
  </si>
  <si>
    <t>RAMGANJ, NILPHAMARI SADAR, NILPHAMARI 5300</t>
  </si>
  <si>
    <t>017 30009685</t>
  </si>
  <si>
    <t>135730795</t>
  </si>
  <si>
    <t>SAIDPUR, NILPHAMARI 5310</t>
  </si>
  <si>
    <t>05526 72297, 71807</t>
  </si>
  <si>
    <t>135750254</t>
  </si>
  <si>
    <t>BASHURHAT, COMPANYGANJ, NOAKHALI 3850</t>
  </si>
  <si>
    <t>03223 56519</t>
  </si>
  <si>
    <t>135750612</t>
  </si>
  <si>
    <t>CHATARPAIYA BRANCH</t>
  </si>
  <si>
    <t>CHATARPAIYA_BRANCH</t>
  </si>
  <si>
    <t>CHATTERPAIYA, SENBAGH, NOAKHALI 3864</t>
  </si>
  <si>
    <t>017 13107104</t>
  </si>
  <si>
    <t>135750588</t>
  </si>
  <si>
    <t>03222 75026</t>
  </si>
  <si>
    <t>135750670</t>
  </si>
  <si>
    <t>CHOWMUHANI, BEGUMGANJ, NOAKHALI 3821</t>
  </si>
  <si>
    <t>0321 52185, 52348</t>
  </si>
  <si>
    <t>135750917</t>
  </si>
  <si>
    <t>EIDGHAH AMINBAZAR BRANCH</t>
  </si>
  <si>
    <t>EIDGHAH_AMINBAZAR_BRANCH</t>
  </si>
  <si>
    <t>EIDGHAH AMIN BAZAR, SONAIMURI, NOAKHALI 3836</t>
  </si>
  <si>
    <t>017 13107101</t>
  </si>
  <si>
    <t>135750959</t>
  </si>
  <si>
    <t>FAKIRHAT, BIZBAGH, SENBAG, NOAKHALI 3862</t>
  </si>
  <si>
    <t>017 13259786</t>
  </si>
  <si>
    <t>135750975</t>
  </si>
  <si>
    <t>GOLABARIA BRANCH</t>
  </si>
  <si>
    <t>GOLABARIA_BRANCH</t>
  </si>
  <si>
    <t>0321 52276</t>
  </si>
  <si>
    <t>135754155</t>
  </si>
  <si>
    <t>JAMIDERHAT BRANCH</t>
  </si>
  <si>
    <t>JAMIDERHAT_BRANCH</t>
  </si>
  <si>
    <t>RAHMAN PLAZA, JAMIDARHAT PURBO BAZAR, BEGUMGANJ, NOAKHALI 3825</t>
  </si>
  <si>
    <t>017 30703445</t>
  </si>
  <si>
    <t>135751453</t>
  </si>
  <si>
    <t>KHILPARA BRANCH</t>
  </si>
  <si>
    <t>KHILPARA_BRANCH</t>
  </si>
  <si>
    <t>KHILPARA, CHATKHIL, NOAKHALI 3872</t>
  </si>
  <si>
    <t>017 13107103</t>
  </si>
  <si>
    <t>135751574</t>
  </si>
  <si>
    <t>0321 61626, 62166</t>
  </si>
  <si>
    <t>135751758</t>
  </si>
  <si>
    <t>OSKHALI BRANCH</t>
  </si>
  <si>
    <t>OSKHALI_BRANCH</t>
  </si>
  <si>
    <t>OSKHALI, HATIYA, NOAKHALI 3890</t>
  </si>
  <si>
    <t>03224 56185</t>
  </si>
  <si>
    <t>135751811</t>
  </si>
  <si>
    <t>PESHKERHAT BRANCH</t>
  </si>
  <si>
    <t>PESHKERHAT_BRANCH</t>
  </si>
  <si>
    <t>PESKERHAT, COMPANYGANJ, NOAKHALI 3850</t>
  </si>
  <si>
    <t>017 13107100</t>
  </si>
  <si>
    <t>135752052</t>
  </si>
  <si>
    <t>SEBARHAT BRANCH</t>
  </si>
  <si>
    <t>SEBARHAT_BRANCH</t>
  </si>
  <si>
    <t>SHEBERHAT, SENBAGH, NOAKHALI 3821</t>
  </si>
  <si>
    <t>135752081</t>
  </si>
  <si>
    <t>SENBAGH, NOAKHALI 3860</t>
  </si>
  <si>
    <t>03225 56027</t>
  </si>
  <si>
    <t>135752265</t>
  </si>
  <si>
    <t>SONAPUR, NOAKHALI SADAR, NOAKHALI 3802</t>
  </si>
  <si>
    <t>0321 61260</t>
  </si>
  <si>
    <t>135760194</t>
  </si>
  <si>
    <t>ATAIKULA BAZAR BRANCH</t>
  </si>
  <si>
    <t>ATAIKULA_BAZAR_BRANCH</t>
  </si>
  <si>
    <t>ATAIKULA, PABNA 6600</t>
  </si>
  <si>
    <t>017 30009661</t>
  </si>
  <si>
    <t>135760286</t>
  </si>
  <si>
    <t>ATUA BRANCH</t>
  </si>
  <si>
    <t>ATUA_BRANCH</t>
  </si>
  <si>
    <t>ATUA, PABNA SADAR, PABNA 6600</t>
  </si>
  <si>
    <t>0731 65317</t>
  </si>
  <si>
    <t>135760378</t>
  </si>
  <si>
    <t>BANAGRAM BAZAR BRANCH</t>
  </si>
  <si>
    <t>BANAGRAM_BAZAR_BRANCH</t>
  </si>
  <si>
    <t>BANAGRAM BAZAR, ATAIKULA, PABNA 6600</t>
  </si>
  <si>
    <t>017 30009663</t>
  </si>
  <si>
    <t>135760460</t>
  </si>
  <si>
    <t>BERA BRANCH</t>
  </si>
  <si>
    <t>BERA_BRANCH</t>
  </si>
  <si>
    <t>BERA, PABNA 6680</t>
  </si>
  <si>
    <t>07323 75032</t>
  </si>
  <si>
    <t>135760644</t>
  </si>
  <si>
    <t>CHATMOHAR BRANCH</t>
  </si>
  <si>
    <t>CHATMOHAR_BRANCH</t>
  </si>
  <si>
    <t>CHATMOHAR, PABNA 6630</t>
  </si>
  <si>
    <t>07324 56127</t>
  </si>
  <si>
    <t>135760794</t>
  </si>
  <si>
    <t>DASHURIA BAZAR BRANCH</t>
  </si>
  <si>
    <t>DASHURIA_BAZAR_BRANCH</t>
  </si>
  <si>
    <t>DASHURIA BAZAR, ISHWARDI, PABNA 6620</t>
  </si>
  <si>
    <t>07326 64604</t>
  </si>
  <si>
    <t>135760857</t>
  </si>
  <si>
    <t>DEMRA BAZAR, FARIDPUR, PABNA 6650</t>
  </si>
  <si>
    <t>017 30009660</t>
  </si>
  <si>
    <t>135760978</t>
  </si>
  <si>
    <t>DULAI BRANCH</t>
  </si>
  <si>
    <t>DULAI_BRANCH</t>
  </si>
  <si>
    <t>DULAI, SUJANAGAR, PABNA 6660</t>
  </si>
  <si>
    <t>07332 54314</t>
  </si>
  <si>
    <t>135761214</t>
  </si>
  <si>
    <t>ISHWARDI, PABNA 6620</t>
  </si>
  <si>
    <t>07326 63451, 63503</t>
  </si>
  <si>
    <t>135761335</t>
  </si>
  <si>
    <t>KASHINATHPUR, SHATHIA, PABNA 6682</t>
  </si>
  <si>
    <t>07332 54007, 54130</t>
  </si>
  <si>
    <t>135761485</t>
  </si>
  <si>
    <t>MASHUNDIA BRANCH</t>
  </si>
  <si>
    <t>MASHUNDIA_BRANCH</t>
  </si>
  <si>
    <t>KALIKA BARI, BERA, PABNA 6682</t>
  </si>
  <si>
    <t>017 30009662</t>
  </si>
  <si>
    <t>135761751</t>
  </si>
  <si>
    <t>NURPUR BRANCH</t>
  </si>
  <si>
    <t>NURPUR_BRANCH</t>
  </si>
  <si>
    <t>NURPUR, PABNA SADAR, PABNA 6600</t>
  </si>
  <si>
    <t>0731 65294</t>
  </si>
  <si>
    <t>135761814</t>
  </si>
  <si>
    <t>PABNA BAZAR BRANCH</t>
  </si>
  <si>
    <t>PABNA_BAZAR_BRANCH</t>
  </si>
  <si>
    <t>HAZI MD MOHSIN ROAD, PABNA 6600</t>
  </si>
  <si>
    <t>0731 66248</t>
  </si>
  <si>
    <t>135761872</t>
  </si>
  <si>
    <t>0731 66107, 65235</t>
  </si>
  <si>
    <t>135761601</t>
  </si>
  <si>
    <t>PABNA MUNICIPALITY BRANCH</t>
  </si>
  <si>
    <t>PABNA_MUNICIPALITY_BRANCH</t>
  </si>
  <si>
    <t>0731 65561</t>
  </si>
  <si>
    <t>135761906</t>
  </si>
  <si>
    <t>PAKSHI BRANCH</t>
  </si>
  <si>
    <t>PAKSHI_BRANCH</t>
  </si>
  <si>
    <t>PAKSHI, ISHWARDI, PABNA 6622</t>
  </si>
  <si>
    <t>07326 63921</t>
  </si>
  <si>
    <t>135762026</t>
  </si>
  <si>
    <t>SHAHAPUR, ISHWARDI, PABNA 6622</t>
  </si>
  <si>
    <t>07326 63673</t>
  </si>
  <si>
    <t>135762297</t>
  </si>
  <si>
    <t>TEBUNIA BRANCH</t>
  </si>
  <si>
    <t>TEBUNIA_BRANCH</t>
  </si>
  <si>
    <t>TEBUNIA, PABNA SADAR, PABNA 6600</t>
  </si>
  <si>
    <t>0731 65364</t>
  </si>
  <si>
    <t>135770047</t>
  </si>
  <si>
    <t>ATWARI BRANCH</t>
  </si>
  <si>
    <t>ATWARI_BRANCH</t>
  </si>
  <si>
    <t>CHOTO DAP BAZAR, ATWARI, PANCHAGARH 5040</t>
  </si>
  <si>
    <t>05652 56006</t>
  </si>
  <si>
    <t>135770076</t>
  </si>
  <si>
    <t>BALARAMPUR BRANCH</t>
  </si>
  <si>
    <t>BALARAMPUR_BRANCH</t>
  </si>
  <si>
    <t>BODA, ATWARI, PANCHAGARH 5010</t>
  </si>
  <si>
    <t>05653 56107</t>
  </si>
  <si>
    <t>135770197</t>
  </si>
  <si>
    <t>DEBIGANJ BRANCH</t>
  </si>
  <si>
    <t>DEBIGANJ_BRANCH</t>
  </si>
  <si>
    <t>DEBIGANJ, PANCHAGARH 5020</t>
  </si>
  <si>
    <t>05654 56154</t>
  </si>
  <si>
    <t>135770250</t>
  </si>
  <si>
    <t>SUNDARDIGHI, DEBIGANJ, PANCHAGARH 5020</t>
  </si>
  <si>
    <t>017 30009697</t>
  </si>
  <si>
    <t>135770555</t>
  </si>
  <si>
    <t>PANCHAGARH SADAR, PANCHAGARH 5000</t>
  </si>
  <si>
    <t>0568 61256</t>
  </si>
  <si>
    <t>135780190</t>
  </si>
  <si>
    <t>BAUPHAL, PATUAKHALI 8620</t>
  </si>
  <si>
    <t>04422 56294</t>
  </si>
  <si>
    <t>135780345</t>
  </si>
  <si>
    <t>DASHMINA, PATUAKHALI 8630</t>
  </si>
  <si>
    <t>04423 56145</t>
  </si>
  <si>
    <t>135780374</t>
  </si>
  <si>
    <t>DASPARA BRANCH</t>
  </si>
  <si>
    <t>DASPARA_BRANCH</t>
  </si>
  <si>
    <t>KALAYA, BAUPHAL, PATUAKHALI 8624</t>
  </si>
  <si>
    <t>04424 56218</t>
  </si>
  <si>
    <t>135780495</t>
  </si>
  <si>
    <t>GALACHIPA, PATUAKHALI 8640</t>
  </si>
  <si>
    <t>04424 56291</t>
  </si>
  <si>
    <t>135780761</t>
  </si>
  <si>
    <t>KHEPUPARA, PATUAKHALI 8650</t>
  </si>
  <si>
    <t>04425 56228</t>
  </si>
  <si>
    <t>135781007</t>
  </si>
  <si>
    <t>NATUN BAZAR, PATUAKHALI 8600</t>
  </si>
  <si>
    <t>0441 63218</t>
  </si>
  <si>
    <t>135781157</t>
  </si>
  <si>
    <t>KARIM CHAMBER, PURAN BAZAR, PATUAKHALI 8600</t>
  </si>
  <si>
    <t>0441 62412</t>
  </si>
  <si>
    <t>135781278</t>
  </si>
  <si>
    <t>SUBIDKHALI, MIRZAGANJ, PATUAKHALI 8610</t>
  </si>
  <si>
    <t>04426 75206</t>
  </si>
  <si>
    <t>135780732</t>
  </si>
  <si>
    <t>THANAPARA, PATUAKHALI SADAR, PATUAKHALI 8600</t>
  </si>
  <si>
    <t>0441 63411</t>
  </si>
  <si>
    <t>135790469</t>
  </si>
  <si>
    <t>KAWRIKHARA, NESARABAD, PIROJPUR 8522</t>
  </si>
  <si>
    <t>135790764</t>
  </si>
  <si>
    <t>PIROJPUR SADAR, PIROJPUR 8500</t>
  </si>
  <si>
    <t>0461 62360</t>
  </si>
  <si>
    <t>135820168</t>
  </si>
  <si>
    <t>BALIAKANDI, RAJBARI 7730</t>
  </si>
  <si>
    <t>06422 56009</t>
  </si>
  <si>
    <t>135820050</t>
  </si>
  <si>
    <t>RAJBARI CENTRAL COOPERATIVE SUPER MARKET, RAJBARI</t>
  </si>
  <si>
    <t>0641 66338</t>
  </si>
  <si>
    <t>135820434</t>
  </si>
  <si>
    <t>KHANKHANAPUR BRANCH</t>
  </si>
  <si>
    <t>KHANKHANAPUR_BRANCH</t>
  </si>
  <si>
    <t>KHANKHANAPUR, RAJBARI 7711</t>
  </si>
  <si>
    <t>0641 65115</t>
  </si>
  <si>
    <t>135820584</t>
  </si>
  <si>
    <t>NARUA BAZAR, BALIAKANDI, RAJBARI 7730</t>
  </si>
  <si>
    <t>017 30009561</t>
  </si>
  <si>
    <t>135820676</t>
  </si>
  <si>
    <t>PANGSHA, RAJBARI 7720</t>
  </si>
  <si>
    <t>017 16737342</t>
  </si>
  <si>
    <t>135820797</t>
  </si>
  <si>
    <t>RAJBARI SADAR, RAJBARI 7700</t>
  </si>
  <si>
    <t>0641 65486</t>
  </si>
  <si>
    <t>135810073</t>
  </si>
  <si>
    <t>ARANI BRANCH</t>
  </si>
  <si>
    <t>ARANI_BRANCH</t>
  </si>
  <si>
    <t>ARANI, BAGHA, RAJSHAHI 6281</t>
  </si>
  <si>
    <t>017 30009618</t>
  </si>
  <si>
    <t>135810228</t>
  </si>
  <si>
    <t>BANESHWAR, PUTIA, RAJSHAHI 6260</t>
  </si>
  <si>
    <t>017 30009631</t>
  </si>
  <si>
    <t>135810286</t>
  </si>
  <si>
    <t>BASUDEBPUR, GODAGARI, RAJSHAHI 6290</t>
  </si>
  <si>
    <t>017 30009620</t>
  </si>
  <si>
    <t>135810349</t>
  </si>
  <si>
    <t>BHAWANIGANJ BRANCH</t>
  </si>
  <si>
    <t>BHAWANIGANJ_BRANCH</t>
  </si>
  <si>
    <t>BHAWANIGANJ, BAGMARA, RAJSHAHI 6250</t>
  </si>
  <si>
    <t>07222 56008</t>
  </si>
  <si>
    <t>135810378</t>
  </si>
  <si>
    <t>BIRKUTSHA BRANCH</t>
  </si>
  <si>
    <t>BIRKUTSHA_BRANCH</t>
  </si>
  <si>
    <t>BIRKUTSHA, BAGHMARA, RAJSHAHI 6250</t>
  </si>
  <si>
    <t>017 30009621</t>
  </si>
  <si>
    <t>135812297</t>
  </si>
  <si>
    <t>DAMKURAHAT BRANCH</t>
  </si>
  <si>
    <t>DAMKURAHAT_BRANCH</t>
  </si>
  <si>
    <t>DAMKURA HAT, PABA, RAJSHAHI 6210</t>
  </si>
  <si>
    <t>017 30009630</t>
  </si>
  <si>
    <t>135810552</t>
  </si>
  <si>
    <t>DURGAPUR, RAJSHAHI 6240</t>
  </si>
  <si>
    <t>07224 56005</t>
  </si>
  <si>
    <t>135810615</t>
  </si>
  <si>
    <t>GODAGARI BRANCH</t>
  </si>
  <si>
    <t>GODAGARI_BRANCH</t>
  </si>
  <si>
    <t>GODAGARI, RAJSHAHI 6290</t>
  </si>
  <si>
    <t>07225 56026</t>
  </si>
  <si>
    <t>135810707</t>
  </si>
  <si>
    <t>HALIDAGACHI BRANCH</t>
  </si>
  <si>
    <t>HALIDAGACHI_BRANCH</t>
  </si>
  <si>
    <t>HALIDAGACHI, CHARGHAT, RAJSHAHI 6271</t>
  </si>
  <si>
    <t>017 30009625</t>
  </si>
  <si>
    <t>135810736</t>
  </si>
  <si>
    <t>HARAGRAM BRANCH</t>
  </si>
  <si>
    <t>HARAGRAM_BRANCH</t>
  </si>
  <si>
    <t>RAJSHAHI COURT, RAJPARA, RAJSHAHI 6201</t>
  </si>
  <si>
    <t>0721 774172</t>
  </si>
  <si>
    <t>135810794</t>
  </si>
  <si>
    <t>HAT GANGOPARA BRANCH</t>
  </si>
  <si>
    <t>HAT_GANGOPARA_BRANCH</t>
  </si>
  <si>
    <t>HAT GANGOPARA, BAGMARA, RAJSHAHI 6250</t>
  </si>
  <si>
    <t>017 30009624</t>
  </si>
  <si>
    <t>135810828</t>
  </si>
  <si>
    <t>HETEMKHAN BRANCH</t>
  </si>
  <si>
    <t>HETEMKHAN_BRANCH</t>
  </si>
  <si>
    <t>BOALIA, RAJSHAHI 6000</t>
  </si>
  <si>
    <t>0721 774225</t>
  </si>
  <si>
    <t>135810910</t>
  </si>
  <si>
    <t>KADIRGANJ BRANCH</t>
  </si>
  <si>
    <t>KADIRGANJ_BRANCH</t>
  </si>
  <si>
    <t>0721 774256</t>
  </si>
  <si>
    <t>135810949</t>
  </si>
  <si>
    <t>KAKANHAT BRANCH</t>
  </si>
  <si>
    <t>KAKANHAT_BRANCH</t>
  </si>
  <si>
    <t>KAKONHAT, GODAGARI, RAJSHAHI 6290</t>
  </si>
  <si>
    <t>135811069</t>
  </si>
  <si>
    <t>KATAKHALI BAZAR BRANCH</t>
  </si>
  <si>
    <t>KATAKHALI_BAZAR_BRANCH</t>
  </si>
  <si>
    <t>KATAKHALI BAZAR, SHYAMPUR, MATIHAR, RAJSHAHI 6212</t>
  </si>
  <si>
    <t>0721 750306</t>
  </si>
  <si>
    <t>135811180</t>
  </si>
  <si>
    <t>RAJPARA, RAJSHAHI 6000</t>
  </si>
  <si>
    <t>0721 774175</t>
  </si>
  <si>
    <t>135811335</t>
  </si>
  <si>
    <t>ALIABAD, BAGMARA, RAJSHAHI 6251</t>
  </si>
  <si>
    <t>017 30009627</t>
  </si>
  <si>
    <t>135811393</t>
  </si>
  <si>
    <t>KARDHA MOHANPUR, MOHANPUR, RAJSHAHI 6220</t>
  </si>
  <si>
    <t>07226 56006</t>
  </si>
  <si>
    <t>135810523</t>
  </si>
  <si>
    <t>NAOHATA, PABA, RAJSHAHI 6240</t>
  </si>
  <si>
    <t>017 30009623</t>
  </si>
  <si>
    <t>135811669</t>
  </si>
  <si>
    <t>NOWDAPARA BRANCH</t>
  </si>
  <si>
    <t>NOWDAPARA_BRANCH</t>
  </si>
  <si>
    <t>SAPURA, SHAH MAKHDUM, RAJSHAHI 6203</t>
  </si>
  <si>
    <t>0721 761025</t>
  </si>
  <si>
    <t>135811814</t>
  </si>
  <si>
    <t>PREMTALI BRANCH</t>
  </si>
  <si>
    <t>PREMTALI_BRANCH</t>
  </si>
  <si>
    <t>PREMTALI, GODAGARI, RAJSHAHI 6291</t>
  </si>
  <si>
    <t>017 30009628</t>
  </si>
  <si>
    <t>135811843</t>
  </si>
  <si>
    <t>PUTHIA, RAJSHAHI 6260</t>
  </si>
  <si>
    <t>07228 56216</t>
  </si>
  <si>
    <t>135811906</t>
  </si>
  <si>
    <t>RAJABARIHAT BRANCH</t>
  </si>
  <si>
    <t>RAJABARIHAT_BRANCH</t>
  </si>
  <si>
    <t>RAJABARI HAT, GODAGARI, RAJSHAHI 6290</t>
  </si>
  <si>
    <t>017 30009629</t>
  </si>
  <si>
    <t>135812026</t>
  </si>
  <si>
    <t>JANBBDDHRAJ</t>
  </si>
  <si>
    <t>MONICHATTAR, SAHEB BAZAR, GHORAMARA, BOALIA, RAJSHAHI 6100</t>
  </si>
  <si>
    <t>0721 775637, 810815</t>
  </si>
  <si>
    <t>135810581</t>
  </si>
  <si>
    <t>RAJSHAHI LADIES BRANCH</t>
  </si>
  <si>
    <t>RAJSHAHI_LADIES_BRANCH</t>
  </si>
  <si>
    <t>GHORAMARA, BOALIA, RAJSHAHI 6100</t>
  </si>
  <si>
    <t>0721 774228</t>
  </si>
  <si>
    <t>135812147</t>
  </si>
  <si>
    <t>RANIBAZAR BRANCH</t>
  </si>
  <si>
    <t>RANIBAZAR_BRANCH</t>
  </si>
  <si>
    <t>0721 774156</t>
  </si>
  <si>
    <t>135812321</t>
  </si>
  <si>
    <t>TAHERPUR, BAGHMARA, RAJSHAHI 6251</t>
  </si>
  <si>
    <t>017 30009619</t>
  </si>
  <si>
    <t>135812389</t>
  </si>
  <si>
    <t>TANORE BRANCH</t>
  </si>
  <si>
    <t>TANORE_BRANCH</t>
  </si>
  <si>
    <t>TANORE, RAJSHAHI 6230</t>
  </si>
  <si>
    <t>017 30009622</t>
  </si>
  <si>
    <t>135840285</t>
  </si>
  <si>
    <t>NUTUN BAZAR, KAPTAI, RANGAMATI 4530</t>
  </si>
  <si>
    <t>03529 56283</t>
  </si>
  <si>
    <t>135840319</t>
  </si>
  <si>
    <t>KATALTALI</t>
  </si>
  <si>
    <t>135850046</t>
  </si>
  <si>
    <t>ALAMNAGAR, RANGPUR 5402</t>
  </si>
  <si>
    <t>0521 65248</t>
  </si>
  <si>
    <t>135850259</t>
  </si>
  <si>
    <t>BETGARI BRANCH</t>
  </si>
  <si>
    <t>BETGARI_BRANCH</t>
  </si>
  <si>
    <t>BETGARI, GONGACHARA, RANGPUR 5410</t>
  </si>
  <si>
    <t>017 30009680</t>
  </si>
  <si>
    <t>135850404</t>
  </si>
  <si>
    <t>CHOWDHURANI BRANCH</t>
  </si>
  <si>
    <t>CHOWDHURANI_BRANCH</t>
  </si>
  <si>
    <t>CHOWDHURANI,  PIRGACHHA, RANGPUR 5450</t>
  </si>
  <si>
    <t>05226 56110, 017 30009682</t>
  </si>
  <si>
    <t>135850617</t>
  </si>
  <si>
    <t>GANGACHHARA BRANCH</t>
  </si>
  <si>
    <t>GANGACHHARA_BRANCH</t>
  </si>
  <si>
    <t>GANGACHHARA, RANGPUR 5410</t>
  </si>
  <si>
    <t>05223 56006</t>
  </si>
  <si>
    <t>135850675</t>
  </si>
  <si>
    <t>HARAGACH BRANCH</t>
  </si>
  <si>
    <t>HARAGACH_BRANCH</t>
  </si>
  <si>
    <t>HAQUE PLAZA, HARAGACH, KAUNIA, RANGPUR 5441</t>
  </si>
  <si>
    <t>0521 62025, 017 12978970</t>
  </si>
  <si>
    <t>135850767</t>
  </si>
  <si>
    <t>KAUNIA BRANCH</t>
  </si>
  <si>
    <t>KAUNIA_BRANCH</t>
  </si>
  <si>
    <t>KAUNIA, RANGPUR 5440</t>
  </si>
  <si>
    <t>05224 56010</t>
  </si>
  <si>
    <t>135850888</t>
  </si>
  <si>
    <t>LALBAGH BAZAR BRANCH</t>
  </si>
  <si>
    <t>LALBAGH_BAZAR_BRANCH</t>
  </si>
  <si>
    <t>ALAMNAGAR, KOTWALI, RANGPUR 5402</t>
  </si>
  <si>
    <t>0521 63603</t>
  </si>
  <si>
    <t>135850941</t>
  </si>
  <si>
    <t>GOPIGRAM, PIRGANJ, RANGPUR 5470</t>
  </si>
  <si>
    <t>017 30009684</t>
  </si>
  <si>
    <t>135851216</t>
  </si>
  <si>
    <t>PAGLAPIR BAZAR BRANCH</t>
  </si>
  <si>
    <t>PAGLAPIR_BAZAR_BRANCH</t>
  </si>
  <si>
    <t>PAGLAPIR, KOTWALI, RANGPUR 5400</t>
  </si>
  <si>
    <t>017 17168339</t>
  </si>
  <si>
    <t>135851366</t>
  </si>
  <si>
    <t>PIRGANJ BRANCH</t>
  </si>
  <si>
    <t>PIRGANJ_BRANCH</t>
  </si>
  <si>
    <t>PIRGANJ, RANGPUR 5470</t>
  </si>
  <si>
    <t>5227 56455</t>
  </si>
  <si>
    <t>135851511</t>
  </si>
  <si>
    <t>JANBBDDHRNP</t>
  </si>
  <si>
    <t>BETPATTY, KOTWALI, RANGPUR 5400</t>
  </si>
  <si>
    <t>0521 62735, 65421</t>
  </si>
  <si>
    <t>135851782</t>
  </si>
  <si>
    <t>SHATIBARI BRANCH</t>
  </si>
  <si>
    <t>SHATIBARI_BRANCH</t>
  </si>
  <si>
    <t>SHATIBARI, MITHAPUKUR, RANGPUR 5460</t>
  </si>
  <si>
    <t>05225 56361</t>
  </si>
  <si>
    <t>135851845</t>
  </si>
  <si>
    <t>SHILPANAGARI BRANCH</t>
  </si>
  <si>
    <t>SHILPANAGARI_BRANCH</t>
  </si>
  <si>
    <t>UPASHAHAR,  RANGPUR 5401</t>
  </si>
  <si>
    <t>0521 62914</t>
  </si>
  <si>
    <t>135851690</t>
  </si>
  <si>
    <t>SHYAMPUR, BADARGANJ, RANGPUR 5431</t>
  </si>
  <si>
    <t>017 30009686</t>
  </si>
  <si>
    <t>135870042</t>
  </si>
  <si>
    <t>AGARDARI BRANCH</t>
  </si>
  <si>
    <t>AGARDARI_BRANCH</t>
  </si>
  <si>
    <t>AGARDARI, SATKHIRA 9400</t>
  </si>
  <si>
    <t>017 30009570</t>
  </si>
  <si>
    <t>135870071</t>
  </si>
  <si>
    <t>ASHASHUNI BRANCH</t>
  </si>
  <si>
    <t>ASHASHUNI_BRANCH</t>
  </si>
  <si>
    <t>ASHASHUNI, SATKHIRA 9460</t>
  </si>
  <si>
    <t>04722 56001</t>
  </si>
  <si>
    <t>135870105</t>
  </si>
  <si>
    <t>BAKAL BRANCH</t>
  </si>
  <si>
    <t>BAKAL_BRANCH</t>
  </si>
  <si>
    <t>BAKAL, SATKHIRA SADAR, SATKHIRA 9400</t>
  </si>
  <si>
    <t>0471 62236</t>
  </si>
  <si>
    <t>135870192</t>
  </si>
  <si>
    <t>BANSHTALA BAZAR BRANCH</t>
  </si>
  <si>
    <t>BANSHTALA_BAZAR_BRANCH</t>
  </si>
  <si>
    <t>FATEHPUR, KALIGANJ, SATKHIRA 9440</t>
  </si>
  <si>
    <t>017 30009571</t>
  </si>
  <si>
    <t>135870318</t>
  </si>
  <si>
    <t>BRAHMARAJPUR BRANCH</t>
  </si>
  <si>
    <t>BRAHMARAJPUR_BRANCH</t>
  </si>
  <si>
    <t>BRAHMARAJPUR, SATKHIRA 9400</t>
  </si>
  <si>
    <t>0471 64998</t>
  </si>
  <si>
    <t>135870613</t>
  </si>
  <si>
    <t>KALIGANJ, SATKHIRA 9440</t>
  </si>
  <si>
    <t>04725 56023</t>
  </si>
  <si>
    <t>135871038</t>
  </si>
  <si>
    <t>017 30009573</t>
  </si>
  <si>
    <t>135871120</t>
  </si>
  <si>
    <t>SHAHID NAZMUL SARANI, SATKHIRA 9400</t>
  </si>
  <si>
    <t>0471 63226, 63526</t>
  </si>
  <si>
    <t>135870976</t>
  </si>
  <si>
    <t>SATKHIRA UPAZILLA COMPLEX BRANCH</t>
  </si>
  <si>
    <t>SATKHIRA_UPAZILLA_COMPLEX_BRANCH</t>
  </si>
  <si>
    <t>SATKHIRA SADAR, SATKHIRA 9400</t>
  </si>
  <si>
    <t>0471 62283</t>
  </si>
  <si>
    <t>135871159</t>
  </si>
  <si>
    <t>SENERGATI BRANCH</t>
  </si>
  <si>
    <t>SENERGATI_BRANCH</t>
  </si>
  <si>
    <t>SENERGATI, TALA, SATKHIRA 9421</t>
  </si>
  <si>
    <t>017 30009569</t>
  </si>
  <si>
    <t>135871212</t>
  </si>
  <si>
    <t>NAKIPUR, SHYAMNAGAR, SATKHIRA 9450</t>
  </si>
  <si>
    <t>04726 44007</t>
  </si>
  <si>
    <t>135871270</t>
  </si>
  <si>
    <t>SULTANPUR BAZAR BRANCH</t>
  </si>
  <si>
    <t>SULTANPUR_BAZAR_BRANCH</t>
  </si>
  <si>
    <t>SULTANPUR BAZAR, SATKHIRA 9400</t>
  </si>
  <si>
    <t>0471 64001</t>
  </si>
  <si>
    <t>135871304</t>
  </si>
  <si>
    <t>BAROUIHATI, TALA, SATKHIRA</t>
  </si>
  <si>
    <t>135871333</t>
  </si>
  <si>
    <t>UZIRPUR BAZAR BRANCH</t>
  </si>
  <si>
    <t>UZIRPUR_BAZAR_BRANCH</t>
  </si>
  <si>
    <t>CHAMPAFUL, KALIGANJ, SATKHIRA 9460</t>
  </si>
  <si>
    <t>017 30009572</t>
  </si>
  <si>
    <t>135860102</t>
  </si>
  <si>
    <t>ZAKER SUPER MARKET, BHEDARGANJ BAZAR, SHARIATPUR 8030</t>
  </si>
  <si>
    <t>06022 56108</t>
  </si>
  <si>
    <t>135860131</t>
  </si>
  <si>
    <t>BHOJESHWAR BRANCH</t>
  </si>
  <si>
    <t>BHOJESHWAR_BRANCH</t>
  </si>
  <si>
    <t>BHOJESHWAR, NARIA, SHARIATPUR 8021</t>
  </si>
  <si>
    <t>017 30009606</t>
  </si>
  <si>
    <t>135860199</t>
  </si>
  <si>
    <t>DAMUDYA, SHARIATPUR 8040</t>
  </si>
  <si>
    <t>06023 56109</t>
  </si>
  <si>
    <t>135860281</t>
  </si>
  <si>
    <t>GHARISHAR BRANCH</t>
  </si>
  <si>
    <t>GHARISHAR_BRANCH</t>
  </si>
  <si>
    <t>GHARISHAR, NARIA, SHARIATPUR 8022</t>
  </si>
  <si>
    <t>017 30009564</t>
  </si>
  <si>
    <t>135860610</t>
  </si>
  <si>
    <t>SHARIATPUR SADAR, SHARIATPUR 8000</t>
  </si>
  <si>
    <t>0601 61546</t>
  </si>
  <si>
    <t>135890101</t>
  </si>
  <si>
    <t>CHANDRAKONA BRANCH</t>
  </si>
  <si>
    <t>CHANDRAKONA_BRANCH</t>
  </si>
  <si>
    <t>CHANDRAKONA, NAKLA, SHERPUR 2151</t>
  </si>
  <si>
    <t>017 30009548</t>
  </si>
  <si>
    <t>135890169</t>
  </si>
  <si>
    <t>JHENAIGATI, SHERPUR 2120</t>
  </si>
  <si>
    <t>09322 74002</t>
  </si>
  <si>
    <t>135890222</t>
  </si>
  <si>
    <t>KAMARERCHAR BRANCH</t>
  </si>
  <si>
    <t>KAMARERCHAR_BRANCH</t>
  </si>
  <si>
    <t>KAMARER CHAR, SHERPUR 2100</t>
  </si>
  <si>
    <t>017 61587012</t>
  </si>
  <si>
    <t>135890464</t>
  </si>
  <si>
    <t>NARAYANKHOLA</t>
  </si>
  <si>
    <t>135890619</t>
  </si>
  <si>
    <t>SHAHID BULBUL SARAK, MUNSHIBAZAR, SHERPUR 2100</t>
  </si>
  <si>
    <t>0931 61352</t>
  </si>
  <si>
    <t>135880045</t>
  </si>
  <si>
    <t>AJUGARA BRANCH</t>
  </si>
  <si>
    <t>AJUGARA_BRANCH</t>
  </si>
  <si>
    <t>GABERPARA, BELKUCHI, SIRAJGANJ 6740</t>
  </si>
  <si>
    <t>017 30009664</t>
  </si>
  <si>
    <t>135880108</t>
  </si>
  <si>
    <t>BAGBATI BRANCH</t>
  </si>
  <si>
    <t>BAGBATI_BRANCH</t>
  </si>
  <si>
    <t>BAGBATI, SIRAJGANJ 6700</t>
  </si>
  <si>
    <t>017 18128097</t>
  </si>
  <si>
    <t>135880137</t>
  </si>
  <si>
    <t>BAGHABARIGHAT BRANCH</t>
  </si>
  <si>
    <t>BAGHABARIGHAT_BRANCH</t>
  </si>
  <si>
    <t>BAGHABARI GHAT, SHAHZADPUR, SIRAJGANJ 6770</t>
  </si>
  <si>
    <t>07527 64368</t>
  </si>
  <si>
    <t>135880195</t>
  </si>
  <si>
    <t>BARUHASH BRANCH</t>
  </si>
  <si>
    <t>BARUHASH_BRANCH</t>
  </si>
  <si>
    <t>BARUHASH, TARASH, SIRAJGANJ 6780</t>
  </si>
  <si>
    <t>017 30009665</t>
  </si>
  <si>
    <t>135880616</t>
  </si>
  <si>
    <t>SHERNAGAR, BELKUCHI, SIRAJGANJ 6740</t>
  </si>
  <si>
    <t>07522 56438</t>
  </si>
  <si>
    <t>135880645</t>
  </si>
  <si>
    <t>DHAMAIZ BRANCH</t>
  </si>
  <si>
    <t>DHAMAIZ_BRANCH</t>
  </si>
  <si>
    <t>DHAMAIZ, TARASH, SIRAJGANJ 6780</t>
  </si>
  <si>
    <t>017 30009669</t>
  </si>
  <si>
    <t>135880674</t>
  </si>
  <si>
    <t>DHANGARA BRANCH</t>
  </si>
  <si>
    <t>DHANGARA_BRANCH</t>
  </si>
  <si>
    <t>DHANGARA, RAIGANJ, SIRAJGANJ 6720</t>
  </si>
  <si>
    <t>07526 56106</t>
  </si>
  <si>
    <t>135880708</t>
  </si>
  <si>
    <t>DHARAIL HAT BRANCH</t>
  </si>
  <si>
    <t>DHARAIL_HAT_BRANCH</t>
  </si>
  <si>
    <t>DHARAIL HAT, ULLAPARA, SIRAJGANJ 6760</t>
  </si>
  <si>
    <t>017 30009667</t>
  </si>
  <si>
    <t>135880766</t>
  </si>
  <si>
    <t>DHUKURIA BERA BRANCH</t>
  </si>
  <si>
    <t>DHUKURIA_BERA_BRANCH</t>
  </si>
  <si>
    <t>DHUKURIA BERA, BELKUCHI, SIRAJGANJ 6740</t>
  </si>
  <si>
    <t>017 30009666</t>
  </si>
  <si>
    <t>135880795</t>
  </si>
  <si>
    <t>DUBILA BRANCH</t>
  </si>
  <si>
    <t>DUBILA_BRANCH</t>
  </si>
  <si>
    <t>DUBILA, TARASH, SIRAJGANJ 6780</t>
  </si>
  <si>
    <t>017 30009668</t>
  </si>
  <si>
    <t>135880911</t>
  </si>
  <si>
    <t>HATIKUMRUL BRANCH</t>
  </si>
  <si>
    <t>HATIKUMRUL_BRANCH</t>
  </si>
  <si>
    <t>RASHIDABAD, SALANGA, SIRAJGANJ 6760</t>
  </si>
  <si>
    <t>017 30009670</t>
  </si>
  <si>
    <t>135880566</t>
  </si>
  <si>
    <t>JAMTOIL BAZAR BRANCH</t>
  </si>
  <si>
    <t>JAMTOIL_BAZAR_BRANCH</t>
  </si>
  <si>
    <t>BAIDDYA JAMTOIL, KAMARKHAND, SIRAJGANJ 6730</t>
  </si>
  <si>
    <t>0752 56260</t>
  </si>
  <si>
    <t>135880979</t>
  </si>
  <si>
    <t>KAIJURIHAT BRANCH</t>
  </si>
  <si>
    <t>KAIJURIHAT_BRANCH</t>
  </si>
  <si>
    <t>KAIJURIHAT, ENYETPUR, SIRAJGANJ 6773</t>
  </si>
  <si>
    <t>017 30009671</t>
  </si>
  <si>
    <t>135881273</t>
  </si>
  <si>
    <t>KHUKNI BRANCH</t>
  </si>
  <si>
    <t>KHUKNI_BRANCH</t>
  </si>
  <si>
    <t>KHUKNI, ENAYETPUR, SIRAJGANJ 6770</t>
  </si>
  <si>
    <t>017 27164529</t>
  </si>
  <si>
    <t>135881336</t>
  </si>
  <si>
    <t>MASIMPUR BRANCH</t>
  </si>
  <si>
    <t>MASIMPUR_BRANCH</t>
  </si>
  <si>
    <t>MASIMPUR, SIRAJGANJ SADAR, SIRAJGANJ 6700</t>
  </si>
  <si>
    <t>0751 62267</t>
  </si>
  <si>
    <t>135881723</t>
  </si>
  <si>
    <t>RANDHUNIBARI BRANCH</t>
  </si>
  <si>
    <t>RANDHUNIBARI_BRANCH</t>
  </si>
  <si>
    <t>RANDHUNIBARI, BELKUCHI, SIRAJGANJ 6740</t>
  </si>
  <si>
    <t>017 30009672</t>
  </si>
  <si>
    <t>135881844</t>
  </si>
  <si>
    <t>SALANGA BRANCH</t>
  </si>
  <si>
    <t>SALANGA_BRANCH</t>
  </si>
  <si>
    <t>SALANGA, SIRAJGANJ 6721</t>
  </si>
  <si>
    <t>017 30009673</t>
  </si>
  <si>
    <t>135881752</t>
  </si>
  <si>
    <t>SB FAZLUL HAQUE ROAD BRANCH</t>
  </si>
  <si>
    <t>SB_FAZLUL_HAQUE_ROAD_BRANCH</t>
  </si>
  <si>
    <t>S B FAZLUL HAQUE ROAD, SIRAJGANJ SADAR, SIRAJGANJ 6700</t>
  </si>
  <si>
    <t>0751 62253</t>
  </si>
  <si>
    <t>135881907</t>
  </si>
  <si>
    <t>SHAHZADPUR, SIRAJGANJ 6770</t>
  </si>
  <si>
    <t>07527 64505</t>
  </si>
  <si>
    <t>135881965</t>
  </si>
  <si>
    <t>SHOHAGPUR BRANCH</t>
  </si>
  <si>
    <t>SHOHAGPUR_BRANCH</t>
  </si>
  <si>
    <t>SHOHAGPUR, BELKUCHI, SIRAJGANJ 6740</t>
  </si>
  <si>
    <t>07522 56463</t>
  </si>
  <si>
    <t>135881873</t>
  </si>
  <si>
    <t>SIRAJGANJ SADAR, SIRAJGANJ 6700</t>
  </si>
  <si>
    <t>0751 62417</t>
  </si>
  <si>
    <t>135882148</t>
  </si>
  <si>
    <t>TAMAI BRANCH</t>
  </si>
  <si>
    <t>TAMAI_BRANCH</t>
  </si>
  <si>
    <t>TAMAI, BELKUCHI, SIRAJGANJ 6740</t>
  </si>
  <si>
    <t>07522 56149</t>
  </si>
  <si>
    <t>135882177</t>
  </si>
  <si>
    <t>TARASH BRANCH</t>
  </si>
  <si>
    <t>TARASH_BRANCH</t>
  </si>
  <si>
    <t>TARASH, SIRAJGANJ 6780</t>
  </si>
  <si>
    <t>07528 56209</t>
  </si>
  <si>
    <t>135882230</t>
  </si>
  <si>
    <t>ULLAPARA, SIRAJGANJ 6760</t>
  </si>
  <si>
    <t>07529 56256</t>
  </si>
  <si>
    <t>135900138</t>
  </si>
  <si>
    <t>BARAFECHI BAZAR BRANCH</t>
  </si>
  <si>
    <t>BARAFECHI_BAZAR_BRANCH</t>
  </si>
  <si>
    <t>BARAFECHI BAZAR, JAGANNATHPUR, SUNAMGANJ 3203</t>
  </si>
  <si>
    <t>017 11922429</t>
  </si>
  <si>
    <t>135900220</t>
  </si>
  <si>
    <t>CHHATAK, SUNAMGANJ 3080</t>
  </si>
  <si>
    <t>08723 56216</t>
  </si>
  <si>
    <t>135900259</t>
  </si>
  <si>
    <t>DERAI, SUNAMGANJ 3040</t>
  </si>
  <si>
    <t>08724 56009</t>
  </si>
  <si>
    <t>135900404</t>
  </si>
  <si>
    <t>GOBINDAGANJ BAZAR BRANCH</t>
  </si>
  <si>
    <t>GOBINDAGANJ_BAZAR_BRANCH</t>
  </si>
  <si>
    <t>GOBINDAGANJ BAZAR, CHHATAK, SUNAMGANJ 3083</t>
  </si>
  <si>
    <t>017 11922432</t>
  </si>
  <si>
    <t>135900491</t>
  </si>
  <si>
    <t>JAGANNATHPUR, SUNAMGANJ 3060</t>
  </si>
  <si>
    <t>08727 56012</t>
  </si>
  <si>
    <t>135900554</t>
  </si>
  <si>
    <t>JOWABAZAR BRANCH</t>
  </si>
  <si>
    <t>JOWABAZAR_BRANCH</t>
  </si>
  <si>
    <t>JOWABAZAR, CHHATAK, SUNAMGANJ 3084</t>
  </si>
  <si>
    <t>017 11922427</t>
  </si>
  <si>
    <t>135900796</t>
  </si>
  <si>
    <t>NAYA BANDAR BRANCH</t>
  </si>
  <si>
    <t>NAYA_BANDAR_BRANCH</t>
  </si>
  <si>
    <t>ZAHIRPUR, JAGANNATHPUR, SUNAMGANJ 3127</t>
  </si>
  <si>
    <t>017 11922431</t>
  </si>
  <si>
    <t>135900941</t>
  </si>
  <si>
    <t>RANIGANJ BAZAR, JAGANNATHPUR, SUNAMGANJ 3060</t>
  </si>
  <si>
    <t>017 11922428</t>
  </si>
  <si>
    <t>135901003</t>
  </si>
  <si>
    <t>SACHNA, JAMALGANJ, SUNAMGANJ 3020</t>
  </si>
  <si>
    <t>019 11612679, 017 77798816</t>
  </si>
  <si>
    <t>135900859</t>
  </si>
  <si>
    <t>SHIBGANJ BAZAR BRANCH</t>
  </si>
  <si>
    <t>SHIBGANJ_BAZAR_BRANCH</t>
  </si>
  <si>
    <t>KUBAJPUR, JAGANNATHPUR, SUNAMGANJ 3060</t>
  </si>
  <si>
    <t>017 11922430</t>
  </si>
  <si>
    <t>135901153</t>
  </si>
  <si>
    <t>0871 55317</t>
  </si>
  <si>
    <t>135910315</t>
  </si>
  <si>
    <t>BEANIBAZAR, SYLHET 3170</t>
  </si>
  <si>
    <t>08223 56130</t>
  </si>
  <si>
    <t>135910373</t>
  </si>
  <si>
    <t>BHADESWER BRANCH</t>
  </si>
  <si>
    <t>BHADESWER_BRANCH</t>
  </si>
  <si>
    <t>MOKAM BAZAR, DAKHIN BHADESWER, GOLAPGANJ, SYLHET 3162</t>
  </si>
  <si>
    <t>017 13188965</t>
  </si>
  <si>
    <t>135910436</t>
  </si>
  <si>
    <t>HAZI ABDUL GANI PLAZA, RAMPASHA ROAD, BISHWANATH, SYLHET 3130</t>
  </si>
  <si>
    <t>08224 56002</t>
  </si>
  <si>
    <t>135910586</t>
  </si>
  <si>
    <t>BURUNGA BAZAR BRANCH</t>
  </si>
  <si>
    <t>BURUNGA_BAZAR_BRANCH</t>
  </si>
  <si>
    <t>NIZBURUNGA, OSMANI NAGAR, SYLHET 3124</t>
  </si>
  <si>
    <t>017 11922424</t>
  </si>
  <si>
    <t>135910915</t>
  </si>
  <si>
    <t>COMPANIGANJ, SYLHET 3140</t>
  </si>
  <si>
    <t>08225 56011</t>
  </si>
  <si>
    <t>135911301</t>
  </si>
  <si>
    <t>08227 56349, 017 13188967</t>
  </si>
  <si>
    <t>135911369</t>
  </si>
  <si>
    <t>017 13188968</t>
  </si>
  <si>
    <t>135911422</t>
  </si>
  <si>
    <t>JANBBDDHFES</t>
  </si>
  <si>
    <t>DEWAN COMPLEX, AIRPORT ROAD, AMBARKHANA, SYLHET 3100</t>
  </si>
  <si>
    <t>0821 719605, 714583</t>
  </si>
  <si>
    <t>135911451</t>
  </si>
  <si>
    <t>GANGADIA KAZIR BAZAR BRANCH</t>
  </si>
  <si>
    <t>GANGADIA_KAZIR_BAZAR_BRANCH</t>
  </si>
  <si>
    <t>017 13188969</t>
  </si>
  <si>
    <t>135911606</t>
  </si>
  <si>
    <t>A WAHAB PLAZA, GOLAPGANJ, SYLHET 3160</t>
  </si>
  <si>
    <t>08227 56473</t>
  </si>
  <si>
    <t>135910649</t>
  </si>
  <si>
    <t>CHAMBER BUILDING, JAIL ROAD, SYLHET 3100</t>
  </si>
  <si>
    <t>0821 716979</t>
  </si>
  <si>
    <t>135911969</t>
  </si>
  <si>
    <t>KALIBARI BAZAR BRANCH</t>
  </si>
  <si>
    <t>KALIBARI_BAZAR_BRANCH</t>
  </si>
  <si>
    <t>BAHADURPUR, BEANIBAZAR, SYLHET 3171</t>
  </si>
  <si>
    <t>017 13186899</t>
  </si>
  <si>
    <t>135912089</t>
  </si>
  <si>
    <t>KANAIGHAT, SYLHET 3180</t>
  </si>
  <si>
    <t>0823 356022</t>
  </si>
  <si>
    <t>135912171</t>
  </si>
  <si>
    <t>KAZITULA BRANCH</t>
  </si>
  <si>
    <t>KAZITULA_BRANCH</t>
  </si>
  <si>
    <t>MANIK PIR ROAD, SYLHET 3100</t>
  </si>
  <si>
    <t>0821 718227</t>
  </si>
  <si>
    <t>135912355</t>
  </si>
  <si>
    <t>KUMARGAON BRANCH</t>
  </si>
  <si>
    <t>KUMARGAON_BRANCH</t>
  </si>
  <si>
    <t>TUKER BAZAR, JALALABAD, SYLHET 3100</t>
  </si>
  <si>
    <t>0821 714258</t>
  </si>
  <si>
    <t>135913196</t>
  </si>
  <si>
    <t>SADIPUR BRANCH</t>
  </si>
  <si>
    <t>SADIPUR_BRANCH</t>
  </si>
  <si>
    <t>BEGUMPUR, OSMANI NAGAR, SYLHET 3112</t>
  </si>
  <si>
    <t>017 11922423</t>
  </si>
  <si>
    <t>135913259</t>
  </si>
  <si>
    <t>SOBHANIGHAT, SYLHET 3100</t>
  </si>
  <si>
    <t>0821 716195</t>
  </si>
  <si>
    <t>135913288</t>
  </si>
  <si>
    <t>SHEIKHGHAT BRANCH</t>
  </si>
  <si>
    <t>SHEIKHGHAT_BRANCH</t>
  </si>
  <si>
    <t>SYLHET SADAR, SYLHET 3100</t>
  </si>
  <si>
    <t>0821 717598</t>
  </si>
  <si>
    <t>135913341</t>
  </si>
  <si>
    <t>SHERPUR NUTAN BAZAR BRANCH</t>
  </si>
  <si>
    <t>SHERPUR_NUTAN_BAZAR_BRANCH</t>
  </si>
  <si>
    <t>AURANGAPUR, OSMANI NAGAR, SYLHET 3203</t>
  </si>
  <si>
    <t>017 13188907</t>
  </si>
  <si>
    <t>135913462</t>
  </si>
  <si>
    <t>0821 716194</t>
  </si>
  <si>
    <t>135913646</t>
  </si>
  <si>
    <t>JANBBDDHSLT</t>
  </si>
  <si>
    <t>LALDIGHIRPAR, SYLHET 3100</t>
  </si>
  <si>
    <t>0821 714716, 713808, 713784</t>
  </si>
  <si>
    <t>135913820</t>
  </si>
  <si>
    <t>TAJPUR, OSMANI NAGAR, SYLHET 3123</t>
  </si>
  <si>
    <t>08242 56018, 017 13188908</t>
  </si>
  <si>
    <t>135914090</t>
  </si>
  <si>
    <t>WEST AMURA BRANCH</t>
  </si>
  <si>
    <t>WEST_AMURA_BRANCH</t>
  </si>
  <si>
    <t>AMNIABAZAR, GOLAPGANJ, SYLHET 3160</t>
  </si>
  <si>
    <t>017 11922426</t>
  </si>
  <si>
    <t>135914124</t>
  </si>
  <si>
    <t>MADINA MARKET, MA HAQUE CHATTAR, ZAKIGANJ, SYLHET 3190</t>
  </si>
  <si>
    <t>08232 56027</t>
  </si>
  <si>
    <t>135914182</t>
  </si>
  <si>
    <t>ZINDA BAZAR BRANCH</t>
  </si>
  <si>
    <t>ZINDA_BAZAR_BRANCH</t>
  </si>
  <si>
    <t>JALALABAD HOUSE, ZINDA BAZAR, SYLHET 3100</t>
  </si>
  <si>
    <t>0821 716296, 713936</t>
  </si>
  <si>
    <t>135930166</t>
  </si>
  <si>
    <t>ASHEKPUR BRANCH</t>
  </si>
  <si>
    <t>ASHEKPUR_BRANCH</t>
  </si>
  <si>
    <t>ASHEKPUR, TANGAIL SADAR, TANGAIL 1900</t>
  </si>
  <si>
    <t>0921 64228</t>
  </si>
  <si>
    <t>135930258</t>
  </si>
  <si>
    <t>AUSHNARA BRANCH</t>
  </si>
  <si>
    <t>AUSHNARA_BRANCH</t>
  </si>
  <si>
    <t>017 30009558</t>
  </si>
  <si>
    <t>135930461</t>
  </si>
  <si>
    <t>MOURIN SUPER MARKET, BHUAPUR, TANGAIL 1960</t>
  </si>
  <si>
    <t>09223 56139</t>
  </si>
  <si>
    <t>135930490</t>
  </si>
  <si>
    <t>BUS TERMINAL BRANCH</t>
  </si>
  <si>
    <t>BUS_TERMINAL_BRANCH</t>
  </si>
  <si>
    <t>BUS TERMINAL, BAU MADRASHA, TANGAIL 1900</t>
  </si>
  <si>
    <t>0921 64197</t>
  </si>
  <si>
    <t>135930616</t>
  </si>
  <si>
    <t>DEOPARA BRANCH</t>
  </si>
  <si>
    <t>DEOPARA_BRANCH</t>
  </si>
  <si>
    <t>DEOPARA, GHATAIL, TANGAIL 1983</t>
  </si>
  <si>
    <t>017 30009559</t>
  </si>
  <si>
    <t>135930645</t>
  </si>
  <si>
    <t>DHALAPARA BRANCH</t>
  </si>
  <si>
    <t>DHALAPARA_BRANCH</t>
  </si>
  <si>
    <t>DHALAPARA, GHATAIL, TANGAIL 1983</t>
  </si>
  <si>
    <t>017 13091100</t>
  </si>
  <si>
    <t>135930708</t>
  </si>
  <si>
    <t>DIGOR BRANCH</t>
  </si>
  <si>
    <t>DIGOR_BRANCH</t>
  </si>
  <si>
    <t>KADAMTOLI BAZAR, GHATAIL, TANGAIL 1980</t>
  </si>
  <si>
    <t>017 30009556</t>
  </si>
  <si>
    <t>135930766</t>
  </si>
  <si>
    <t>PATAL, KALIHATI, TANGAIL 1970</t>
  </si>
  <si>
    <t>017 30009557</t>
  </si>
  <si>
    <t>135930108</t>
  </si>
  <si>
    <t>ELENGA, KALIHATI, TANGAIL 1974</t>
  </si>
  <si>
    <t>017 13279788, 017 18119997</t>
  </si>
  <si>
    <t>135930911</t>
  </si>
  <si>
    <t>09225 56074</t>
  </si>
  <si>
    <t>135931099</t>
  </si>
  <si>
    <t>HAMIDPUR BRANCH</t>
  </si>
  <si>
    <t>HAMIDPUR_BRANCH</t>
  </si>
  <si>
    <t>HAMIDPUR, GHATAIL, TANGAIL 1970</t>
  </si>
  <si>
    <t>09227 74022</t>
  </si>
  <si>
    <t>135931431</t>
  </si>
  <si>
    <t>KADIMDHALLA BRANCH</t>
  </si>
  <si>
    <t>KADIMDHALLA_BRANCH</t>
  </si>
  <si>
    <t>KADIMDHALLA, JAMURKI, MIRZAPUR, TANGAIL</t>
  </si>
  <si>
    <t>017 18699254</t>
  </si>
  <si>
    <t>135931486</t>
  </si>
  <si>
    <t>MADHUPUR, TANGAIL 1996</t>
  </si>
  <si>
    <t>09228 56007</t>
  </si>
  <si>
    <t>135931699</t>
  </si>
  <si>
    <t>09233 73176</t>
  </si>
  <si>
    <t>135931752</t>
  </si>
  <si>
    <t>NARANDIA BRANCH</t>
  </si>
  <si>
    <t>NARANDIA_BRANCH</t>
  </si>
  <si>
    <t>CHAIRMAN PLAZA, NARANDIA, KALIHATI, TANGAIL 1977</t>
  </si>
  <si>
    <t>017 13090535</t>
  </si>
  <si>
    <t>135931828</t>
  </si>
  <si>
    <t>PAISKA BRANCH</t>
  </si>
  <si>
    <t>PAISKA_BRANCH</t>
  </si>
  <si>
    <t>DHANBARI, TANGAIL 1997</t>
  </si>
  <si>
    <t>09228 56299/12, 019 12334176</t>
  </si>
  <si>
    <t>135931936</t>
  </si>
  <si>
    <t>KHALIAJANI, MIRZAPUR, TANGAIL 1940</t>
  </si>
  <si>
    <t>017 13091101</t>
  </si>
  <si>
    <t>135932027</t>
  </si>
  <si>
    <t>LOHANI SAGAR DIGHI, GHATAIL, TANGAIL 1984</t>
  </si>
  <si>
    <t>017 13090536</t>
  </si>
  <si>
    <t>135932298</t>
  </si>
  <si>
    <t>MAIN ROAD, TANGAIL 1900</t>
  </si>
  <si>
    <t>0921 64047, 63734</t>
  </si>
  <si>
    <t>135940619</t>
  </si>
  <si>
    <t>LAHIRIHAT BRANCH</t>
  </si>
  <si>
    <t>LAHIRIHAT_BRANCH</t>
  </si>
  <si>
    <t>LAHIRI, BALIADANGI, THAKURGAON 5141</t>
  </si>
  <si>
    <t>05622 56074</t>
  </si>
  <si>
    <t>135940798</t>
  </si>
  <si>
    <t>PIRGANJ BAZAR BRANCH</t>
  </si>
  <si>
    <t>PIRGANJ_BAZAR_BRANCH</t>
  </si>
  <si>
    <t>PIRGANJ, THAKURGAON 5110</t>
  </si>
  <si>
    <t>05624 56258</t>
  </si>
  <si>
    <t>135940822</t>
  </si>
  <si>
    <t>RANISANKAIL BRANCH</t>
  </si>
  <si>
    <t>RANISANKAIL_BRANCH</t>
  </si>
  <si>
    <t>RANISANKAIL, THAKURGAON 5120</t>
  </si>
  <si>
    <t>05625 56006</t>
  </si>
  <si>
    <t>135940851</t>
  </si>
  <si>
    <t>RUHIA BRANCH</t>
  </si>
  <si>
    <t>RUHIA_BRANCH</t>
  </si>
  <si>
    <t>RUHIA, THAKURGAON SADAR, THAKURGAON 5103</t>
  </si>
  <si>
    <t>017 21785635</t>
  </si>
  <si>
    <t>135940943</t>
  </si>
  <si>
    <t>STATION BAZAR, THAKURGAON ROAD, THAKURGAON 5101</t>
  </si>
  <si>
    <t>0561 61392</t>
  </si>
  <si>
    <t>135940972</t>
  </si>
  <si>
    <t>THAKURGAON SADAR, THAKURGAON 5100</t>
  </si>
  <si>
    <t>0561 61396, 52046</t>
  </si>
  <si>
    <t>MEGHNA_BANK_LIMITED</t>
  </si>
  <si>
    <t>0</t>
  </si>
  <si>
    <t>MEGHNA BANK LIMITED</t>
  </si>
  <si>
    <t>275150130</t>
  </si>
  <si>
    <t>MGBLBDDH</t>
  </si>
  <si>
    <t>DELWAR TOWER, 104 AGRABAD C/A, CHITTAGONG</t>
  </si>
  <si>
    <t>031 2522359, 017 77797770</t>
  </si>
  <si>
    <t>hob.agrabad@meghnabank.com.bd</t>
  </si>
  <si>
    <t>275154699</t>
  </si>
  <si>
    <t>469 / 469</t>
  </si>
  <si>
    <t>MA ELECTRIC MARKET, MADAMBIBIRHAT, NEAR SHEULI PETROL PUMP, BHATIARY, CHITTAGONG</t>
  </si>
  <si>
    <t>017 77797786</t>
  </si>
  <si>
    <t>hob.madambibirhat@meghnabank.com.bd</t>
  </si>
  <si>
    <t>275270649</t>
  </si>
  <si>
    <t>SD SHOPPING COMPLEX, BANDURA BAZAR, NAWABGANJ, DHAKA</t>
  </si>
  <si>
    <t>017 80980442, 017 77797782</t>
  </si>
  <si>
    <t>hob.bandura@meghnabank.com.bd</t>
  </si>
  <si>
    <t>275271277</t>
  </si>
  <si>
    <t>127 / 127</t>
  </si>
  <si>
    <t>HAJI MOTIUR RAHMAN BHABAN, 189 WATER WORKS ROAD, CHAWKBAZAR, DHAKA</t>
  </si>
  <si>
    <t>02 7343158, 017 30700963</t>
  </si>
  <si>
    <t>hob.chawkbazar@meghnabank.com.bd</t>
  </si>
  <si>
    <t>275261090</t>
  </si>
  <si>
    <t>109 / 109</t>
  </si>
  <si>
    <t>SWAPNIL TOWER, BAIPAIL, ASHULIA, SAVAR, DHAKA</t>
  </si>
  <si>
    <t>02 7789410, 017 30700974</t>
  </si>
  <si>
    <t>hob.depz@meghnabank.com.bd</t>
  </si>
  <si>
    <t>275262444</t>
  </si>
  <si>
    <t>244 / 244</t>
  </si>
  <si>
    <t>JAHANARA SUPER MARKET, KALAMPUR, DHAMRAI, DHAKA</t>
  </si>
  <si>
    <t>017 30700972, 017 30700973</t>
  </si>
  <si>
    <t>hob.kalampur@meghnabank.com.bd</t>
  </si>
  <si>
    <t>275274245</t>
  </si>
  <si>
    <t>CENTRAL INSURANCE BHABAN, 7-8 MOTIJHEEL C/A, DHAKA 1000</t>
  </si>
  <si>
    <t>02 9590337, 9590338</t>
  </si>
  <si>
    <t>hob.motijheel@meghnabank.com.bd</t>
  </si>
  <si>
    <t>275260217</t>
  </si>
  <si>
    <t>021 / 021</t>
  </si>
  <si>
    <t>SUVASTU IMAM SQUARE, 65 GULSHAN AVENUE, GULSHAN 01, DHAKA 1212</t>
  </si>
  <si>
    <t>02 9857251, 017 30700964</t>
  </si>
  <si>
    <t>manager.principal@meghnabank.com.bd</t>
  </si>
  <si>
    <t>275330284</t>
  </si>
  <si>
    <t>BORMI BAZAR BRANCH</t>
  </si>
  <si>
    <t>BORMI_BAZAR_BRANCH</t>
  </si>
  <si>
    <t>PAUL SUPER MARKET, BORMI BAZAR, SREEPUR, GAZIPUR</t>
  </si>
  <si>
    <t>017 77797774</t>
  </si>
  <si>
    <t>hob.bormibazar@meghnabank.com.bd</t>
  </si>
  <si>
    <t>275330550</t>
  </si>
  <si>
    <t>CHANDANA PLAZA, CHANDANA CHOWRASTA, JOYDEBPUR, GAZIPUR</t>
  </si>
  <si>
    <t>017 77797843</t>
  </si>
  <si>
    <t>hob.gazipurchowrasta@meghnabank.com.bd</t>
  </si>
  <si>
    <t>275671185</t>
  </si>
  <si>
    <t>HAZI HASHEM TRADE CENTER, 55/A SM MALEH ROAD, TANBAZAR, NARAYANGANJ</t>
  </si>
  <si>
    <t>02 7642980-81, 017 77797817</t>
  </si>
  <si>
    <t>hob.narayangonj@meghnabank.com.bd</t>
  </si>
  <si>
    <t>275680671</t>
  </si>
  <si>
    <t>HAJI SIRAJ TOWER, MADHABDI BAZAR, NARSINGDI</t>
  </si>
  <si>
    <t>017 77797802</t>
  </si>
  <si>
    <t>hob.madhabdi@meghnabank.com.bd</t>
  </si>
  <si>
    <t>275750648</t>
  </si>
  <si>
    <t>CHOYANI BAZAR BRANCH</t>
  </si>
  <si>
    <t>CHOYANI_BAZAR_BRANCH</t>
  </si>
  <si>
    <t>SOBHAN MARKET, SCHOOL ROAD, CHOYANI UTTAR BAZAR, BEGUMGANJ, NOAKHALI</t>
  </si>
  <si>
    <t>017 17264275</t>
  </si>
  <si>
    <t>hob.choyanibazar@meghnabank.com.bd</t>
  </si>
  <si>
    <t>275851789</t>
  </si>
  <si>
    <t>SHATHIBARI BRANCH</t>
  </si>
  <si>
    <t>SHATHIBARI_BRANCH</t>
  </si>
  <si>
    <t>HIGH WAY SHOPPING CENTRE, SHATHIBARI BAZAR, MITHAPUKUR, RANGPUR</t>
  </si>
  <si>
    <t>052 2556310, 017 77797751</t>
  </si>
  <si>
    <t>hob.sathibari@meghnabank.com.bd</t>
  </si>
  <si>
    <t>275880918</t>
  </si>
  <si>
    <t>091 / 091</t>
  </si>
  <si>
    <t>HAJI IMAN ALI COMPLEX, SIRAJGANJ ROAD, SALONGA, SIRAJGANJ</t>
  </si>
  <si>
    <t>017 77797772</t>
  </si>
  <si>
    <t>hob.hatikumrul@meghnabank.com.bd</t>
  </si>
  <si>
    <t>MERCANTILE_BANK_LIMITED</t>
  </si>
  <si>
    <t>MERCANTILE BANK LIMITED</t>
  </si>
  <si>
    <t>140060289</t>
  </si>
  <si>
    <t>MBLBBDDH</t>
  </si>
  <si>
    <t>141 SADAR ROAD, BARISAL 8200</t>
  </si>
  <si>
    <t>0431 2176208, 017 13384496, 017 13199827</t>
  </si>
  <si>
    <t>140100378</t>
  </si>
  <si>
    <t>MBLBBDDH018</t>
  </si>
  <si>
    <t>BAROGALA, BOGRA SADAR, BOGRA</t>
  </si>
  <si>
    <t>051 69840 (Ext. 103), 017 13044835, 017 55501879</t>
  </si>
  <si>
    <t>140130319</t>
  </si>
  <si>
    <t>TECHNO HANNAN COMPLEX, HAJI MOHASIN ROAD, CHAYABANI MORE, CHANDPUR</t>
  </si>
  <si>
    <t>0841 66512, 66511, 017 13369354</t>
  </si>
  <si>
    <t>140130672</t>
  </si>
  <si>
    <t>SAIMA ABDULLAH PLAZA, CHANDRA ROAD, FARIDGANJ BAZAR, CHANDPUR</t>
  </si>
  <si>
    <t>08422 64378 (Ext. 101), 017 30318187, 018 19244177</t>
  </si>
  <si>
    <t>140700257</t>
  </si>
  <si>
    <t>65-67 JHILIM ROAD, BARO INDARA MORE, CHAPAI NAWABGANJ</t>
  </si>
  <si>
    <t>0781 51719, 017 30709982, 017 11451815</t>
  </si>
  <si>
    <t>140150131</t>
  </si>
  <si>
    <t>MBLBBDDH003</t>
  </si>
  <si>
    <t>MISHKAT ARCADE, 21/1 AGRABAD C/A, CHITTAGONG</t>
  </si>
  <si>
    <t>031 716459, 716421, 723181, 017 13491779</t>
  </si>
  <si>
    <t>031 716459</t>
  </si>
  <si>
    <t>140150210</t>
  </si>
  <si>
    <t>AK KHAN MORE BRANCH</t>
  </si>
  <si>
    <t>AK_KHAN_MORE_BRANCH</t>
  </si>
  <si>
    <t>ANJUMAN TOWER, A K KHAN MORE, ZAKIR HOSSAIN ROAD, HOLDING NO 827, PAHARTALI, CHITTAGONG</t>
  </si>
  <si>
    <t>031 2773369, 017 30444134, 017 13384487</t>
  </si>
  <si>
    <t>140152005</t>
  </si>
  <si>
    <t>200</t>
  </si>
  <si>
    <t>S A TOWER, AIRPORT ROAD, SOUTH HALISAHAR, BANDAR, CHITTAGONG</t>
  </si>
  <si>
    <t>031 742217, 017 30318185, 018 19314671</t>
  </si>
  <si>
    <t>140153646</t>
  </si>
  <si>
    <t>MBLBBDDH016</t>
  </si>
  <si>
    <t>KAMAL CHAMBER, 61 JUBILEE ROAD, KOTWALI, CHITTAGONG</t>
  </si>
  <si>
    <t>031 624819, 621018 (Ext. 101), 624819</t>
  </si>
  <si>
    <t>031 626072</t>
  </si>
  <si>
    <t>140154274</t>
  </si>
  <si>
    <t>MBLBBDDH010</t>
  </si>
  <si>
    <t>599 RAMJOY MAHAJAN LANE, KHATUNGANJ, CHITTAGONG</t>
  </si>
  <si>
    <t>031 626101, 622751, 626102 (Ext. 101)</t>
  </si>
  <si>
    <t>031 635514</t>
  </si>
  <si>
    <t>140154366</t>
  </si>
  <si>
    <t>SALAM HEIGHTS, HOLDING NO: 71/B/9/382, ZAKIR HOSSAIN ROAD, SOUTH KHULSHI, CHITTAGONG</t>
  </si>
  <si>
    <t>031 612257, 017 13048095, 017 87681259</t>
  </si>
  <si>
    <t>140154690</t>
  </si>
  <si>
    <t>BHATIARY, SITAKUNDA, CHITTAGONG</t>
  </si>
  <si>
    <t>031 2780465 (Ext. 01), 2780465 (Ext. 02), 017 30076127</t>
  </si>
  <si>
    <t>031 2780686</t>
  </si>
  <si>
    <t>140155802</t>
  </si>
  <si>
    <t>191 CDA AVENUE, EAST NASIRABAD, CHITTAGONG</t>
  </si>
  <si>
    <t>031 657512, 2550876 (Ext 102), 017 13103663, 018 15972201</t>
  </si>
  <si>
    <t>031 2550877</t>
  </si>
  <si>
    <t>140156135</t>
  </si>
  <si>
    <t>S M SHOPPING CENTER, PATHERHAT, WARD 04, NOAPARA, RAOZAN, CHITTAGONG</t>
  </si>
  <si>
    <t>031 2573351, 017 13104508, 017 55637384</t>
  </si>
  <si>
    <t>140156177</t>
  </si>
  <si>
    <t>PATIYA SME BRANCH</t>
  </si>
  <si>
    <t>PATIYA_SME_BRANCH</t>
  </si>
  <si>
    <t>617</t>
  </si>
  <si>
    <t>RAHMAN MENSON, 1284/1 CLUB ROAD, GOBINDOKHAL, PATIYA, CHITTAGONG</t>
  </si>
  <si>
    <t>03035 56579, 017 30320813, 017 16904865</t>
  </si>
  <si>
    <t>140157213</t>
  </si>
  <si>
    <t>721</t>
  </si>
  <si>
    <t>304 SHEIKH MUJIB ROAD, CHITTAGONG</t>
  </si>
  <si>
    <t>031 2514236, 017 30013454, 017 29093257</t>
  </si>
  <si>
    <t>140191158</t>
  </si>
  <si>
    <t>1042/945 JHAUTALA, COMILLA</t>
  </si>
  <si>
    <t>081 65275 (Ext. 101), 017 13384498, 017 29092549</t>
  </si>
  <si>
    <t>140220582</t>
  </si>
  <si>
    <t>JHILONGHA COXS BAZAR</t>
  </si>
  <si>
    <t>JHILONGHA_COXS_BAZAR</t>
  </si>
  <si>
    <t>140270129</t>
  </si>
  <si>
    <t>TOJUMUDDIN PLAZA, KALAKANDI, ABDULLAHPUR BUS STAND, TEGORIA, SOUTH KERANIGANJ, DHAKA 1311</t>
  </si>
  <si>
    <t>017 55632919</t>
  </si>
  <si>
    <t>140270132</t>
  </si>
  <si>
    <t>CHOTO MASJID ROAD (ISPAHANI), AGANAGAR, SOUTH KERANIGANJ, DHAKA</t>
  </si>
  <si>
    <t>02 7763658, 017 30340794, 017 48925239</t>
  </si>
  <si>
    <t>140260171</t>
  </si>
  <si>
    <t>AIRPORT ROAD BRANCH</t>
  </si>
  <si>
    <t>AIRPORT_ROAD_BRANCH</t>
  </si>
  <si>
    <t>A R A MANSION, 77-78 AIRPORT ROAD, AMTALI, MAHAKHALI C/A, DHAKA 1212</t>
  </si>
  <si>
    <t>02 9857480, 9857368, 017 55532810</t>
  </si>
  <si>
    <t>140260221</t>
  </si>
  <si>
    <t>BHUIYAN COMMERCIAL COMPLEX, JAMGARA CHOWRASTA, ASHULIA, SAVAR, DHAKA</t>
  </si>
  <si>
    <t>02 7788757, 7790708 (Ext. 101), 7788758</t>
  </si>
  <si>
    <t>02 7790708</t>
  </si>
  <si>
    <t>140270345</t>
  </si>
  <si>
    <t>HAJI EDU MARKET, SHAKTA, WORD 02, KERANIGANJ, DHAKA</t>
  </si>
  <si>
    <t>02 55103290, 017 55632916</t>
  </si>
  <si>
    <t>140260434</t>
  </si>
  <si>
    <t>MBLBBDDH007</t>
  </si>
  <si>
    <t>AHSANULLAH TOWER, HOLDING NO 56, KEMAL ATATURK AVENUE, BANANI, DHAKA 1213</t>
  </si>
  <si>
    <t>02 9821046, 9821639-40 (Ext. 101), 9821639-40</t>
  </si>
  <si>
    <t>02 9821046</t>
  </si>
  <si>
    <t>140271094</t>
  </si>
  <si>
    <t>MBLBBDDH020</t>
  </si>
  <si>
    <t>AKRAM CENTRE 212 S S NAZRUL ISLAM SARANI, DHAKA 1000</t>
  </si>
  <si>
    <t>02 7117830, 017 13068127, 017 13066599</t>
  </si>
  <si>
    <t>140271494</t>
  </si>
  <si>
    <t>MATUAIL NEW MARKET BHABAN, KONAPARA, DEMRA, DHAKA 1362</t>
  </si>
  <si>
    <t>02 7542904, 017 30340795, 017 14075533</t>
  </si>
  <si>
    <t>140261183</t>
  </si>
  <si>
    <t>MBLBBDDH006</t>
  </si>
  <si>
    <t>SIMA BLOSSOM, HOUSE NO 3 (390 OLD), ROAD 27 (16 NEW), DHANMONDI R/A, DHAKA 1209</t>
  </si>
  <si>
    <t>02 9130500, 9142691 (Ext. 101), 017 13452824</t>
  </si>
  <si>
    <t>02 58151844</t>
  </si>
  <si>
    <t>140271849</t>
  </si>
  <si>
    <t>72 LALMOHAN SHAHA STREET, DHOLAIKHAL, DHAKA 1100</t>
  </si>
  <si>
    <t>02 9560286, 017 30709985, 017 11546432</t>
  </si>
  <si>
    <t>140271423</t>
  </si>
  <si>
    <t>HOLDING NO 661, DONIA ROAD, WARD 3, JATRABARI, DHAKA</t>
  </si>
  <si>
    <t>02 7443306-7, 017 30377232</t>
  </si>
  <si>
    <t>140261338</t>
  </si>
  <si>
    <t>MBLBBDDH014</t>
  </si>
  <si>
    <t>OSMAN PLAZA, 75 ELEPHANT ROAD, DHAKA 1205</t>
  </si>
  <si>
    <t>02 9614542, 9677364, 8618732 (Ext. 101)</t>
  </si>
  <si>
    <t>02 9668458</t>
  </si>
  <si>
    <t>140261691</t>
  </si>
  <si>
    <t>151/6 GREEN ROAD, DHAKA</t>
  </si>
  <si>
    <t>02 8157266, 017 30013453, 018 19252228</t>
  </si>
  <si>
    <t>140261725</t>
  </si>
  <si>
    <t>MBLBBDDH019</t>
  </si>
  <si>
    <t>SUITE NO 103-109, HOSNA CENTER, 106 GULSHAN AVENUE, DHAKA 1212</t>
  </si>
  <si>
    <t>02 9897879, 8835276, 017 13068127</t>
  </si>
  <si>
    <t>140262058</t>
  </si>
  <si>
    <t>HATEM ALI COMPLEX, SINGAIR ROAD, HEMAYETPUR, SAVAR, DHAKA 1340</t>
  </si>
  <si>
    <t>02 7741532, 017 13083617, 017 30048079</t>
  </si>
  <si>
    <t>140272806</t>
  </si>
  <si>
    <t>MOHAMMAD HOSSAIN COMPLEX, 3 MOULVIBAZAR, DHAKA</t>
  </si>
  <si>
    <t>02 7312970, 7312821, 7312861, 017 13049090</t>
  </si>
  <si>
    <t>140273289</t>
  </si>
  <si>
    <t>SAMABAY SUPER MARKET, JOYPARA BAZAR, DOHAR, DHAKA</t>
  </si>
  <si>
    <t>02 7768193, 7768163 (Ext. 101), 7768163</t>
  </si>
  <si>
    <t>02 7768193</t>
  </si>
  <si>
    <t>140262537</t>
  </si>
  <si>
    <t>MBLBBDDH002</t>
  </si>
  <si>
    <t>DHAKA TRADE CENTRE, 99 KAZI NAZRUL ISLAM AVENUE, KARWAN BAZAR, DHAKA 1215</t>
  </si>
  <si>
    <t>02 8189613, 8141910 (Ext. 101), 017 11535953</t>
  </si>
  <si>
    <t>02 8126882</t>
  </si>
  <si>
    <t>140275353</t>
  </si>
  <si>
    <t>MBLBBDDH001</t>
  </si>
  <si>
    <t>MIA AMANULLAH BHABAN, 63 DILKUSHA C/A, DHAKA 1000</t>
  </si>
  <si>
    <t>02 9571618, 9559333 (Ext. 107), 9559953</t>
  </si>
  <si>
    <t>02 9554410, 9551497</t>
  </si>
  <si>
    <t>140262982</t>
  </si>
  <si>
    <t>MBLBBDDH015</t>
  </si>
  <si>
    <t>RAZIA MANSION, 184 SENPARA PARBATA, BEGUM ROKEYA SARANI, MIRPUR 10, DHAKA 1216</t>
  </si>
  <si>
    <t>02 9014582, 9008852, 9015661 (Ext. 101)</t>
  </si>
  <si>
    <t>02 8034577</t>
  </si>
  <si>
    <t>140274183</t>
  </si>
  <si>
    <t>227 OUTER CIRCULAR ROAD, MOGHBAZAR, DHAKA</t>
  </si>
  <si>
    <t>02 8333017, 017 11643281, 017 13068194</t>
  </si>
  <si>
    <t>140263194</t>
  </si>
  <si>
    <t>MBLBBDDH012</t>
  </si>
  <si>
    <t>GREEN DELTA AIMS TOWER, 51-52 MOHAKHALI C/A, DHAKA 1212</t>
  </si>
  <si>
    <t>02 9863215, 9891520, 9888346</t>
  </si>
  <si>
    <t>02 9895797</t>
  </si>
  <si>
    <t>140274246</t>
  </si>
  <si>
    <t>MBLBBDDH013</t>
  </si>
  <si>
    <t>MALEK MANSION, 128 MOTIJHEEL C/A, DHAKA 1000</t>
  </si>
  <si>
    <t>02 9561178, 7161923-4 (Ext. 101), 7161923-4</t>
  </si>
  <si>
    <t>02 9586946</t>
  </si>
  <si>
    <t>140274725</t>
  </si>
  <si>
    <t>NBC TOWER, 24-25 NAWABPUR ROAD, DHAKA 1100</t>
  </si>
  <si>
    <t>017 55632917</t>
  </si>
  <si>
    <t>140274817</t>
  </si>
  <si>
    <t>481</t>
  </si>
  <si>
    <t>MBLBBDDH011</t>
  </si>
  <si>
    <t>25/1 ZINDA BAHAR, 1ST LANE, NAYABAZAR, DHAKA 1100</t>
  </si>
  <si>
    <t>02 7393655, 7393827 (Ext. 101), 7393655</t>
  </si>
  <si>
    <t>02 7390869</t>
  </si>
  <si>
    <t>140263707</t>
  </si>
  <si>
    <t>GREEN ORLANDO, 42/4 PRAGATI SARANI, BARIDHARA, DHAKA</t>
  </si>
  <si>
    <t>02 8411503, 017 66678757, 018 19227904</t>
  </si>
  <si>
    <t>140263978</t>
  </si>
  <si>
    <t>CHOICE A J GOLDEN TOWER, 2/1 RING ROAD, SHYAMOLI, DHAKA 1207</t>
  </si>
  <si>
    <t>02 9103329, 017 30373896, 018 19209075</t>
  </si>
  <si>
    <t>140264030</t>
  </si>
  <si>
    <t>MBLBBDDH021</t>
  </si>
  <si>
    <t>735 SATMASJID ROAD, HOUSE NO 82/A, ROAD NO 8/A, DHANMONDI R/A, DHAKA 1209</t>
  </si>
  <si>
    <t>02 8114672, 017 13039792, 017 13199876</t>
  </si>
  <si>
    <t>02 9139183</t>
  </si>
  <si>
    <t>140264630</t>
  </si>
  <si>
    <t>MBLBBDDH017</t>
  </si>
  <si>
    <t>HOUSE 10(A), ROAD 7/D, SECTOR 9, UTTARA MODEL TOWN, DHAKA 1230</t>
  </si>
  <si>
    <t>02 48931729, 48958244, 48931725, 017 87681253</t>
  </si>
  <si>
    <t>02 48955881</t>
  </si>
  <si>
    <t>140261370</t>
  </si>
  <si>
    <t>ENGINEERS INSTITUTION</t>
  </si>
  <si>
    <t>ENGINEERS_INSTITUTION</t>
  </si>
  <si>
    <t>137</t>
  </si>
  <si>
    <t>140262908</t>
  </si>
  <si>
    <t>MAZAR ROAD</t>
  </si>
  <si>
    <t>MAZAR_ROAD</t>
  </si>
  <si>
    <t>290</t>
  </si>
  <si>
    <t>140270008</t>
  </si>
  <si>
    <t>140280672</t>
  </si>
  <si>
    <t>DINAJPUR PLAZA, GONESHTOLA, DINAJPUR</t>
  </si>
  <si>
    <t>0531 61217 (Ext. 101), 017 30328682, 017 30355357</t>
  </si>
  <si>
    <t>140300378</t>
  </si>
  <si>
    <t>MIZAN TOWER, 273 BASURHAT ROAD, DAGONBHUIYAN, FENI</t>
  </si>
  <si>
    <t>03323 79160, 79105 (Ext. 101), 017 30328684</t>
  </si>
  <si>
    <t>140300523</t>
  </si>
  <si>
    <t>105 SS KAISER ROAD, FENI</t>
  </si>
  <si>
    <t>0331 63558, 0171 3452994, 017 13313595</t>
  </si>
  <si>
    <t>140300923</t>
  </si>
  <si>
    <t>KORAIS MUNSHI BAZAR BRANCH</t>
  </si>
  <si>
    <t>KORAIS_MUNSHI_BAZAR_BRANCH</t>
  </si>
  <si>
    <t>MAMUN SUPER MARKET, KORAIS MUNSHI BAZAR, RAJAPUR, DAGONBHUIYAN, FENI</t>
  </si>
  <si>
    <t>017 87681252, 017 87681258</t>
  </si>
  <si>
    <t>140301401</t>
  </si>
  <si>
    <t>RAJNAGAR SME BRANCH</t>
  </si>
  <si>
    <t>RAJNAGAR_SME_BRANCH</t>
  </si>
  <si>
    <t>BALUA CHOWMUHANI, DHOLIA, FENI</t>
  </si>
  <si>
    <t>0331 73782, 017 11303711, 017 30340793</t>
  </si>
  <si>
    <t>140330227</t>
  </si>
  <si>
    <t>BOARD BAZAR, GAZIPUR</t>
  </si>
  <si>
    <t>02 9291604, 9293639 (Ext. 101), 9291604</t>
  </si>
  <si>
    <t>02 9291660</t>
  </si>
  <si>
    <t>140330948</t>
  </si>
  <si>
    <t>MATIUR RAHMAN PLAZA, KONABARI BAZAR, JOYDEVPUR, GAZIPUR</t>
  </si>
  <si>
    <t>02 9298484, 017 13044846, 017 11071317</t>
  </si>
  <si>
    <t>140361096</t>
  </si>
  <si>
    <t>SKYLITE TOWER, NABIGANJ, HABIGANJ</t>
  </si>
  <si>
    <t>08328 56307 (Ext. 101), 017 30320814, 017 20036093</t>
  </si>
  <si>
    <t>140410947</t>
  </si>
  <si>
    <t>A ALI COMPLEX, 45 R N ROAD, JESSORE</t>
  </si>
  <si>
    <t>0421 68091, 017 30328683, 017 15016891</t>
  </si>
  <si>
    <t>140472622</t>
  </si>
  <si>
    <t>RUPSHA PLAZA, 73 KDA AVENUE C/A, SONADANGA, KHULNA</t>
  </si>
  <si>
    <t>041 813561-2 (Ext. 101), 017 13400641, 017 13199817</t>
  </si>
  <si>
    <t>041 813563</t>
  </si>
  <si>
    <t>140500949</t>
  </si>
  <si>
    <t>A HAMID MARKET, N S ROAD, BORO BAZAR, KUSHTIA 7000</t>
  </si>
  <si>
    <t>071 72412, 017 30709984, 017 11388747</t>
  </si>
  <si>
    <t>140581184</t>
  </si>
  <si>
    <t>152/2 COURT ROAD, MOULVIBAZAR</t>
  </si>
  <si>
    <t>0861 62871, 017 13068126, 017 16563523</t>
  </si>
  <si>
    <t>140611759</t>
  </si>
  <si>
    <t>ALI PLAZA, 64 CHOTO BAZAR, MYMENSINGH</t>
  </si>
  <si>
    <t>091 63313, 017 30340791, 017 55559902</t>
  </si>
  <si>
    <t>140641187</t>
  </si>
  <si>
    <t>MBLBBDDH009</t>
  </si>
  <si>
    <t>JR SUPER MARKET, OLD BUS STAND, CHAKDEV MAIN ROAD, NAOGAON 6500</t>
  </si>
  <si>
    <t>0741 63331, 61981-2 (Ext. 101), 61981-2</t>
  </si>
  <si>
    <t>0741 63230</t>
  </si>
  <si>
    <t>140641240</t>
  </si>
  <si>
    <t>NOOR MARKET, HARIRAMPUR, NAZIPUR, PATNITOLA, NAOGAON</t>
  </si>
  <si>
    <t>07428 63293, 017 13203085, 017 12545946</t>
  </si>
  <si>
    <t>140641758</t>
  </si>
  <si>
    <t>SAHA PLAZA, MAIN ROAD, SAPAHAR, NAOGAON</t>
  </si>
  <si>
    <t>07432 74081, 017 13068096</t>
  </si>
  <si>
    <t>140641895</t>
  </si>
  <si>
    <t>SHISHAHAT BRANCH</t>
  </si>
  <si>
    <t>SHISHAHAT_BRANCH</t>
  </si>
  <si>
    <t>SHISHAHAT, PORSHA, NAOGAON</t>
  </si>
  <si>
    <t>017 55533141</t>
  </si>
  <si>
    <t>140670224</t>
  </si>
  <si>
    <t>HAJI A AZIZ SUPER MARKET, GOLAKANDAIL, WORD 4, BHULTA, RUPGANJ, NARAYANGANJ</t>
  </si>
  <si>
    <t>017 55637389, 017 55637388</t>
  </si>
  <si>
    <t>140670974</t>
  </si>
  <si>
    <t>EKOTA SHAMOBAY SUPER MARKET, CHANPUR, MADONPUR, BANDAR, NARAYANGANJ</t>
  </si>
  <si>
    <t>140671249</t>
  </si>
  <si>
    <t>H R PLAZA, 90 (64 OLD) BANGABANDHU ROAD, NARAYANGANJ</t>
  </si>
  <si>
    <t>02 7648241, 017 13202431, 017 13199818</t>
  </si>
  <si>
    <t>140750102</t>
  </si>
  <si>
    <t>AMISHAPARA SME BRANCH</t>
  </si>
  <si>
    <t>AMISHAPARA_SME_BRANCH</t>
  </si>
  <si>
    <t>AZIZ SUPER MARKET, AMISHAPARA BAZAR, SONAIMURI, NOAKHALI</t>
  </si>
  <si>
    <t>017 30320812, 017 30340792, 017 18138733</t>
  </si>
  <si>
    <t>140750199</t>
  </si>
  <si>
    <t>BANGLABAZAR, BEGUMGANJ, NOAKHALI</t>
  </si>
  <si>
    <t>0321 56631, 017 30709987, 018 15918790</t>
  </si>
  <si>
    <t>140750678</t>
  </si>
  <si>
    <t>MISHKAT ARCADE, SAMABAY BHABAN, KARIMPUR ROAD, CHOWMUHANI, BEGUMGANJ, NOAKHALI</t>
  </si>
  <si>
    <t>0321 52960, 017 13036991, 011 91630273</t>
  </si>
  <si>
    <t>140751572</t>
  </si>
  <si>
    <t>HONEY DEW POINT, 10 ABDUL MALEK UKIL SARAK, MAIJDEE COURT, NOAKHALI</t>
  </si>
  <si>
    <t>0321 71710, 017 16466599, 017 30709983</t>
  </si>
  <si>
    <t>140781092</t>
  </si>
  <si>
    <t>NATUN BAZAR, PATUAKHALI SADAR, PATUAKHALI 8600</t>
  </si>
  <si>
    <t>0441 62979 (Ext. 101), 017 30340790, 018 11441441</t>
  </si>
  <si>
    <t>140811933</t>
  </si>
  <si>
    <t>MBLBBDDH005</t>
  </si>
  <si>
    <t>ZODIAC PLAZA, SHAHEB BAZAR, RAJSHAHI</t>
  </si>
  <si>
    <t>0721 772261, 771214 (Ext. 102), 772562, 017 11451815</t>
  </si>
  <si>
    <t>0721 771215</t>
  </si>
  <si>
    <t>140840520</t>
  </si>
  <si>
    <t>HOTEL GREEN CASTLE, 1 PATHAR GHATA, RESERVE BAZAR, RANGAMATI 4500</t>
  </si>
  <si>
    <t>0351 61267-68, 017 30709986, 018 16436451</t>
  </si>
  <si>
    <t>140851456</t>
  </si>
  <si>
    <t>PRESS CLUB COMPLEX BIPONI BITAN, STATION ROAD, RANGPUR</t>
  </si>
  <si>
    <t>0521 51110, 017 13203586, 017 13201636</t>
  </si>
  <si>
    <t>0521 51110</t>
  </si>
  <si>
    <t>140860076</t>
  </si>
  <si>
    <t>BHOJESHWAR BAZAR BRANCH</t>
  </si>
  <si>
    <t>BHOJESHWAR_BAZAR_BRANCH</t>
  </si>
  <si>
    <t>BHOJESHWAR BAZAR, NARIA, SHARIATPUR</t>
  </si>
  <si>
    <t>017 13384497, 017 30048067</t>
  </si>
  <si>
    <t>140860197</t>
  </si>
  <si>
    <t>MAIN ROAD, DAMUDYA BAZAR, SHARIATPUR</t>
  </si>
  <si>
    <t>06023 56204 (Ext. 101), 017 55533146, 017 12805738</t>
  </si>
  <si>
    <t>140910313</t>
  </si>
  <si>
    <t>ZAMAN PLAZA, BEANIBAZAR, SYLHET</t>
  </si>
  <si>
    <t>08223 56180 (Ext. 101), 017 13384495</t>
  </si>
  <si>
    <t>140913499</t>
  </si>
  <si>
    <t>PRANTIK 16, HOLDING NO 407, SYLHET-SUNAMGANJ ROAD, SUBIDBAZAR, SYLHET</t>
  </si>
  <si>
    <t>0821 728372, 017 13386896, 017 11156531</t>
  </si>
  <si>
    <t>140912508</t>
  </si>
  <si>
    <t>MBLBBDDH008</t>
  </si>
  <si>
    <t>RAISOT TOWER, LALDIGHIRPAR, SYLHET</t>
  </si>
  <si>
    <t>0821 723651, 723650 (Ext. 101), 017 11922810</t>
  </si>
  <si>
    <t>0821 723722</t>
  </si>
  <si>
    <t>MODHUMOTI_BANK_LIMITED</t>
  </si>
  <si>
    <t>MODHUMOTI BANK LIMITED</t>
  </si>
  <si>
    <t>295150136</t>
  </si>
  <si>
    <t>MODHBDDH</t>
  </si>
  <si>
    <t>DAR-E-SHAHIDI, 69 AGRABAD C/A, CHITTAGONG</t>
  </si>
  <si>
    <t>017 11350395</t>
  </si>
  <si>
    <t>abu.toyab @modhumotibankltd.com</t>
  </si>
  <si>
    <t>295260226</t>
  </si>
  <si>
    <t>ALIA MADRASHA, YARPUR, ASHULIA, SAVAR, DHAKA</t>
  </si>
  <si>
    <t>017 13444220</t>
  </si>
  <si>
    <t>mir0335@modhumotibankltd.com</t>
  </si>
  <si>
    <t>295261720</t>
  </si>
  <si>
    <t>HOLDING NO 75, GULSHAN AVENUE, GULSHAN, DHAKA</t>
  </si>
  <si>
    <t>02 9860392, 9860332, 019 14773359</t>
  </si>
  <si>
    <t>sikder1434@modhumotibankltd.com</t>
  </si>
  <si>
    <t>295274067</t>
  </si>
  <si>
    <t>406 / 406</t>
  </si>
  <si>
    <t>57 MITFORD ROAD, DHAKA</t>
  </si>
  <si>
    <t>017 11566456</t>
  </si>
  <si>
    <t>touhidur.rahman@modhumotibankltd.com</t>
  </si>
  <si>
    <t>295274241</t>
  </si>
  <si>
    <t>DCCI BUILDING, 65-66 MOTIJHEEL C/A, DHAKA 1000</t>
  </si>
  <si>
    <t>02 9586686, 9586687</t>
  </si>
  <si>
    <t>asad@modhumotibankltd.com</t>
  </si>
  <si>
    <t>02 9583808</t>
  </si>
  <si>
    <t>295290917</t>
  </si>
  <si>
    <t>KANAIPUR BRANCH</t>
  </si>
  <si>
    <t>KANAIPUR_BRANCH</t>
  </si>
  <si>
    <t>KANAIPUR BAZAR, FARIDPUR SADAR, FARIDPUR</t>
  </si>
  <si>
    <t>017 19632906</t>
  </si>
  <si>
    <t>asfakur.rahaman@modhumotibankltd.com</t>
  </si>
  <si>
    <t>295440059</t>
  </si>
  <si>
    <t>JINNAHNAGAR BRANCH</t>
  </si>
  <si>
    <t>JINNAHNAGAR_BRANCH</t>
  </si>
  <si>
    <t>005 / 005</t>
  </si>
  <si>
    <t>JINNAHNAGAR, MAHESHPUR, JHENAIDAH</t>
  </si>
  <si>
    <t>019 14948576</t>
  </si>
  <si>
    <t>shahin@modhumotibankltd.com</t>
  </si>
  <si>
    <t>295910042</t>
  </si>
  <si>
    <t>004 / 004</t>
  </si>
  <si>
    <t>AMIN COMPLEX, HOLDING NO WEAVS 80-A/1, AIRPORT ROAD, SYLHET</t>
  </si>
  <si>
    <t>016 11449915</t>
  </si>
  <si>
    <t>dipon@modhumotibankltd.com</t>
  </si>
  <si>
    <t>295932204</t>
  </si>
  <si>
    <t>220 / 220</t>
  </si>
  <si>
    <t>SAKHIPUR, TANGAIL</t>
  </si>
  <si>
    <t>017 32660456</t>
  </si>
  <si>
    <t>rofiq@modhumotibankltd.com</t>
  </si>
  <si>
    <t>MUTUAL_TRUST_BANK_LIMITED</t>
  </si>
  <si>
    <t>MUTUAL TRUST BANK LIMITED</t>
  </si>
  <si>
    <t>145060826</t>
  </si>
  <si>
    <t>MTBLBDDH</t>
  </si>
  <si>
    <t>HOLDING NO 3594, CHARGADHATOLI BONDOR ROAD, GOURNADI, BARISAL</t>
  </si>
  <si>
    <t>04322 56266, 56267</t>
  </si>
  <si>
    <t>gournadi.br@mutualtrustbank.com</t>
  </si>
  <si>
    <t>04322 56267</t>
  </si>
  <si>
    <t>145100373</t>
  </si>
  <si>
    <t>AMICUS CENTER, MOFIZ PAGLAR MORE, 416-418, SUTRAPUR ROAD, BOGRA</t>
  </si>
  <si>
    <t>051 78109, 78108</t>
  </si>
  <si>
    <t>bogra.br@mutualtrustbank.com</t>
  </si>
  <si>
    <t>051 78110</t>
  </si>
  <si>
    <t>145150107</t>
  </si>
  <si>
    <t>ABU TORAB BAZAR BRANCH</t>
  </si>
  <si>
    <t>ABU_TORAB_BAZAR_BRANCH</t>
  </si>
  <si>
    <t>BHUIYAN MARKET, ABU TORAB BAZAR, MIRSHARAI, CHITTAGONG</t>
  </si>
  <si>
    <t>017 99333342</t>
  </si>
  <si>
    <t>atbazar.br@mutualtrustbank.com</t>
  </si>
  <si>
    <t>145150136</t>
  </si>
  <si>
    <t>MTBLBDDHAGB</t>
  </si>
  <si>
    <t>AKHTARUZZAMAN CENTRE, 21-22 AGRABAD C/A, CHITTAGONG</t>
  </si>
  <si>
    <t>031 2524269, 2510754, 2523287</t>
  </si>
  <si>
    <t>agrabad.br@mutualtrustbank.com</t>
  </si>
  <si>
    <t>031 721091</t>
  </si>
  <si>
    <t>145150149</t>
  </si>
  <si>
    <t>DT ROAD, ABDUL ALI HAT, ALANKAR MORE, NORTH PAHARTALI, CHITTAGONG</t>
  </si>
  <si>
    <t>031 2772617, 2772619, 2772620</t>
  </si>
  <si>
    <t>alankar.br@mutualtrustbank.com</t>
  </si>
  <si>
    <t>031 2772618</t>
  </si>
  <si>
    <t>145150257</t>
  </si>
  <si>
    <t>AMANBAZAR BRANCH</t>
  </si>
  <si>
    <t>AMANBAZAR_BRANCH</t>
  </si>
  <si>
    <t>KAMAL KHAN PLAZA, CHIKONDANDY, HATHAZARI, CHITTAGONG</t>
  </si>
  <si>
    <t>031 681022, 2584330, 2584331</t>
  </si>
  <si>
    <t>amanbazar.br@mutualtrustbank.com</t>
  </si>
  <si>
    <t>031 2580308</t>
  </si>
  <si>
    <t>145151485</t>
  </si>
  <si>
    <t>1005/2/1872  CDA AVENUE, EAST NASIRABAD, CHITTAGONG</t>
  </si>
  <si>
    <t>031 255567-9, 2555575</t>
  </si>
  <si>
    <t>cda.br@mutualtrustbank.com</t>
  </si>
  <si>
    <t>031 2555574</t>
  </si>
  <si>
    <t>145152026</t>
  </si>
  <si>
    <t>EPIC CENTRE, 19 PANCHLAISH, CHITTAGONG</t>
  </si>
  <si>
    <t>031 2558480, 2558482</t>
  </si>
  <si>
    <t>cmc.br@mutualtrustbank.com</t>
  </si>
  <si>
    <t>031 2558481</t>
  </si>
  <si>
    <t>145153641</t>
  </si>
  <si>
    <t>MTBLBDDHJUB</t>
  </si>
  <si>
    <t>AMAFHHA CENTRE, 214 JUBILEE ROAD, CHITTAGONG 4000</t>
  </si>
  <si>
    <t>031 624922, 627533</t>
  </si>
  <si>
    <t>jubilee.br@mutualtrustbank.com</t>
  </si>
  <si>
    <t>031 623463</t>
  </si>
  <si>
    <t>145150273</t>
  </si>
  <si>
    <t>KALURGHAT IA BRANCH</t>
  </si>
  <si>
    <t>KALURGHAT_IA_BRANCH</t>
  </si>
  <si>
    <t>WAJIB TOWER, C&amp;amp;B MORE, ARAKAN ROAD, CHANDGAON, KALURGHAT, CHITTAGONG 4212</t>
  </si>
  <si>
    <t>031 2573474-5</t>
  </si>
  <si>
    <t>kalurghat.br@mutualtrustbank.com</t>
  </si>
  <si>
    <t>145154079</t>
  </si>
  <si>
    <t>MOHAJAN GOLDEN TOWER, MOHAJAN GHATA, NORTH PATENGA, CHITTAGONG 4204</t>
  </si>
  <si>
    <t>031 2502305, 2502301-3</t>
  </si>
  <si>
    <t>kepz.br@mutualtrustbank.com</t>
  </si>
  <si>
    <t>031 2502304</t>
  </si>
  <si>
    <t>145157863</t>
  </si>
  <si>
    <t>786</t>
  </si>
  <si>
    <t>HAQUE TOWER SHOPPING COMPLEX &amp;amp; APARTMENTS, KERANIRHAT, SATKANIA, CHITTAGONG</t>
  </si>
  <si>
    <t>03036 56670, 56669</t>
  </si>
  <si>
    <t>keranihat.br@mutualtrustbank.com</t>
  </si>
  <si>
    <t>03036 56672</t>
  </si>
  <si>
    <t>145154279</t>
  </si>
  <si>
    <t>MTBLBDDHKTG</t>
  </si>
  <si>
    <t>CROWN CHAMBER, 325 ASADGANJ ROAD, KHATUNGANJ, CHITTAGONG</t>
  </si>
  <si>
    <t>031 612254, 626966, 2867959</t>
  </si>
  <si>
    <t>khatunganj.br@mutualtrustbank.com</t>
  </si>
  <si>
    <t>031 2860718</t>
  </si>
  <si>
    <t>145155328</t>
  </si>
  <si>
    <t>K PLAZA, MIRZARPUL, MURADPUR, CHITTAGONG</t>
  </si>
  <si>
    <t>031 653381-4</t>
  </si>
  <si>
    <t>muradpur.br@mutualtrustbank.com</t>
  </si>
  <si>
    <t>145155599</t>
  </si>
  <si>
    <t>MM PLAZA, NAZIRHAT BAZAR, FATIKCHARI, CHITTAGONG</t>
  </si>
  <si>
    <t>017 13403675</t>
  </si>
  <si>
    <t>nazirhat.br@mutualtrustbank.com</t>
  </si>
  <si>
    <t>145155636</t>
  </si>
  <si>
    <t>NAZUMIAH HAT SME BRANCH</t>
  </si>
  <si>
    <t>NAZUMIAH_HAT_SME_BRANCH</t>
  </si>
  <si>
    <t>563</t>
  </si>
  <si>
    <t>SALIM MARKET, NAZUMEAH HAT, HATHAZARI, CHITTAGONG</t>
  </si>
  <si>
    <t>031 670053</t>
  </si>
  <si>
    <t>nazumeah.br@mutualtrustbank.com</t>
  </si>
  <si>
    <t>145155878</t>
  </si>
  <si>
    <t>587</t>
  </si>
  <si>
    <t>PLASMA HOSPITAL BUILDING, 3692/E OXYGEN MORE, BAYEZID BOSTAMI, CHITTAGONG 4210</t>
  </si>
  <si>
    <t>031 2583957, 2584315</t>
  </si>
  <si>
    <t>oxygen.br@mutualtrustbank.com</t>
  </si>
  <si>
    <t>031 2583958</t>
  </si>
  <si>
    <t>145191153</t>
  </si>
  <si>
    <t>RAMA COMPLEX, 416/379 BADURTALA, KANDIRPAR, COMILLA</t>
  </si>
  <si>
    <t>081 64556, 64557 (Ext-101)</t>
  </si>
  <si>
    <t>comilla.br@mutualtrustbank.com</t>
  </si>
  <si>
    <t>081 64556</t>
  </si>
  <si>
    <t>145191795</t>
  </si>
  <si>
    <t>DHORKORA BAZAR BRANCH</t>
  </si>
  <si>
    <t>DHORKORA_BAZAR_BRANCH</t>
  </si>
  <si>
    <t>DHORKORA BAZAR, CHAUDDAGRAM, COMILLA</t>
  </si>
  <si>
    <t>017 30080633</t>
  </si>
  <si>
    <t>dhorkora.br@mutualtrustbank.com</t>
  </si>
  <si>
    <t>145190217</t>
  </si>
  <si>
    <t>MOLLAH MARKET, KADAIR BAZAR, SHUVOPUR, CHOUDDAGRAM, COMILLA 3500</t>
  </si>
  <si>
    <t>017 55558261, 017 91794070</t>
  </si>
  <si>
    <t>kadairbazar.br@mutualtrustbank.com</t>
  </si>
  <si>
    <t>145192723</t>
  </si>
  <si>
    <t>LAKSAM SME BRANCH</t>
  </si>
  <si>
    <t>LAKSAM_SME_BRANCH</t>
  </si>
  <si>
    <t>272</t>
  </si>
  <si>
    <t>308 BY-PASS ROAD, LAKSHAM, COMILLA</t>
  </si>
  <si>
    <t>08032 51042, 017 13304669</t>
  </si>
  <si>
    <t>laksham.br@mutualtrustbank.com</t>
  </si>
  <si>
    <t>08032 51041</t>
  </si>
  <si>
    <t>145193656</t>
  </si>
  <si>
    <t>RAMCHANDRAPUR BAZAR SME BRANCH</t>
  </si>
  <si>
    <t>RAMCHANDRAPUR_BAZAR_SME_BRANCH</t>
  </si>
  <si>
    <t>RAMCHANDRAPUR BAZAR, MURADNAGAR, COMILLA</t>
  </si>
  <si>
    <t>017 30343739</t>
  </si>
  <si>
    <t>ramchandrapur.br@mutualtrustbank.com</t>
  </si>
  <si>
    <t>145220161</t>
  </si>
  <si>
    <t>145220253</t>
  </si>
  <si>
    <t>145270137</t>
  </si>
  <si>
    <t>BABUL TOWER 2, SHAHID DELWAR HOSSAIN RD, EAST AGANAGAR, SOUTH KERANIGANJ, DHAKA 1310</t>
  </si>
  <si>
    <t>02 7762226, 7762227</t>
  </si>
  <si>
    <t>aganagar.br@mutualtrustbank.com</t>
  </si>
  <si>
    <t>02 7762227</t>
  </si>
  <si>
    <t>145260226</t>
  </si>
  <si>
    <t>RAJOBI PLAZA, JAMGORA, YEARPUR, ASHULIA, DHAKA 1341</t>
  </si>
  <si>
    <t>017 77755507</t>
  </si>
  <si>
    <t>ashulia.br@mutualtrustbank.com</t>
  </si>
  <si>
    <t>145270553</t>
  </si>
  <si>
    <t>MTBLBDDHBBB</t>
  </si>
  <si>
    <t>AMAN COURT, 15 ARMENIAN STREET, ARMANITOLA, BABUBAZAR, DHAKA 1100</t>
  </si>
  <si>
    <t>02 7314821-22</t>
  </si>
  <si>
    <t>bbazar.br@mutualtrustbank.com</t>
  </si>
  <si>
    <t>02 731 6393</t>
  </si>
  <si>
    <t>145260439</t>
  </si>
  <si>
    <t>RUPSHA CENTER, HOUSE NO 72, ROAD 11, BLOCK D, BANANI, DHAKA 1213</t>
  </si>
  <si>
    <t>02 9883831, 9883861</t>
  </si>
  <si>
    <t>banani.br@mutualtrustbank.com</t>
  </si>
  <si>
    <t>02 9883861</t>
  </si>
  <si>
    <t>145260413</t>
  </si>
  <si>
    <t>BARAIPARA BRANCH</t>
  </si>
  <si>
    <t>BARAIPARA_BRANCH</t>
  </si>
  <si>
    <t>KD SUPER MARKET, BARAIPARA BAZAR, SHIMULIA, ASHULIA, DHAKA 1345</t>
  </si>
  <si>
    <t>017 03788618</t>
  </si>
  <si>
    <t>baraipara.br@mutualtrustbank.com</t>
  </si>
  <si>
    <t>145260521</t>
  </si>
  <si>
    <t>THE ALLIANCE BUILDING, 63 PRAGATI SARANI, SHAHJADPUR, GULSHAN, DHAKA 1212</t>
  </si>
  <si>
    <t>02 8818666, 9892826</t>
  </si>
  <si>
    <t>baridhara.br@mutualtrustbank.com</t>
  </si>
  <si>
    <t>02 8818667</t>
  </si>
  <si>
    <t>145260550</t>
  </si>
  <si>
    <t>HOUSE NO 236, ROAD 2, BLOCK B, BASHUNDHARA R/A, DHAKA 1229</t>
  </si>
  <si>
    <t>02 8417821, 8417822</t>
  </si>
  <si>
    <t>basundhara.br@mutualtrustbank.com</t>
  </si>
  <si>
    <t>02 8417823</t>
  </si>
  <si>
    <t>145260589</t>
  </si>
  <si>
    <t>BASHUNDHARA CITY BRANCH</t>
  </si>
  <si>
    <t>BASHUNDHARA_CITY_BRANCH</t>
  </si>
  <si>
    <t>BASHUNDHARA CITY SHOPPING MALL, LEVEL 3, BLOCK A, PANTHAPATH, DHAKA</t>
  </si>
  <si>
    <t>02 9120982, 9111440, 8121801</t>
  </si>
  <si>
    <t>bcity.br@mutualtrustbank.com</t>
  </si>
  <si>
    <t>02 9124021</t>
  </si>
  <si>
    <t>145271307</t>
  </si>
  <si>
    <t>CHAWK MOGHALTULI BRANCH</t>
  </si>
  <si>
    <t>CHAWK_MOGHALTULI_BRANCH</t>
  </si>
  <si>
    <t>HOUSE NO 93, WARD 5, CHAWK MOGHALTULI, LALBAGH, DHAKA</t>
  </si>
  <si>
    <t>02 7318698, 7318437</t>
  </si>
  <si>
    <t>chowkm.br@mutualtrustbank.com</t>
  </si>
  <si>
    <t>02 7319637</t>
  </si>
  <si>
    <t>145264851</t>
  </si>
  <si>
    <t>485</t>
  </si>
  <si>
    <t>MTB CENTRE, 26 GULSHAN AVENUE, PLOT 5, BLOCK SE(D), GULSHAN 1, DHAKA 1212</t>
  </si>
  <si>
    <t>02 8818453, 8821472</t>
  </si>
  <si>
    <t>mtbcentre.br@mutualtrustbank.com</t>
  </si>
  <si>
    <t>02 8818452</t>
  </si>
  <si>
    <t>145261188</t>
  </si>
  <si>
    <t>MTBLBDDHDHA</t>
  </si>
  <si>
    <t>GREEN TAJ CENTER, PLOT NO 81, ROAD 8/A, DHANMONDI, DHAKA</t>
  </si>
  <si>
    <t>02 59133148, 58155607, 58158334</t>
  </si>
  <si>
    <t>dhanmondi.br@mutualtrustbank.com</t>
  </si>
  <si>
    <t>02 8158334</t>
  </si>
  <si>
    <t>145271844</t>
  </si>
  <si>
    <t>25 JORPOOL LANE, DHOLAIKHAL NEW ROAD, WARI, DHAKA</t>
  </si>
  <si>
    <t>02 7172542, 7172602</t>
  </si>
  <si>
    <t>dholaikhal.br@mutualtrustbank.com</t>
  </si>
  <si>
    <t>02 7172363</t>
  </si>
  <si>
    <t>145271907</t>
  </si>
  <si>
    <t>MTBLBDDHDIL</t>
  </si>
  <si>
    <t>HOTEL PURBANI INTERNATIONAL, 1 DILKUSHA C/A, DHAKA 1000</t>
  </si>
  <si>
    <t>02 7171301-2, 7170137</t>
  </si>
  <si>
    <t>dilkusha.br@mutualtrustbank.com</t>
  </si>
  <si>
    <t>02 9578580</t>
  </si>
  <si>
    <t>145276315</t>
  </si>
  <si>
    <t>DHAKA SHOPPING COMPLEX, 852 ZIA SARANI, SHONIR AKHRA, DEMRA, DHAKA</t>
  </si>
  <si>
    <t>02 7551169, 7551195</t>
  </si>
  <si>
    <t>shanirakhra.br@mutualtrustbank.com</t>
  </si>
  <si>
    <t>02 7551203</t>
  </si>
  <si>
    <t>145260363</t>
  </si>
  <si>
    <t>TOP SUPER MARKET, 12 ANANDA BAZAR, DUMNI, KHILKHET, DHAKA</t>
  </si>
  <si>
    <t>019 11576324</t>
  </si>
  <si>
    <t>dumni.br@mutualtrustbank.com</t>
  </si>
  <si>
    <t>145261333</t>
  </si>
  <si>
    <t>PENTIUM POINT, 160 ELEPHANT ROAD, DHAKA 1205</t>
  </si>
  <si>
    <t>02 9611596, 9611597</t>
  </si>
  <si>
    <t>elephantroad.br@mutualtrustbank.com</t>
  </si>
  <si>
    <t>02 9611595</t>
  </si>
  <si>
    <t>145272380</t>
  </si>
  <si>
    <t>ANNEXCO TOWER, 8 PHOENIX ROAD, FULBARIA, DHAKA</t>
  </si>
  <si>
    <t>02 9559842, 9556285, 9511708</t>
  </si>
  <si>
    <t>fulbaria.br@mutualtrustbank.com</t>
  </si>
  <si>
    <t>02 9559867</t>
  </si>
  <si>
    <t>145261720</t>
  </si>
  <si>
    <t>MTBLBDDHGUL</t>
  </si>
  <si>
    <t>120 GULSHAN AVENUE, DHAKA 1212</t>
  </si>
  <si>
    <t>02 9882473, 8837840</t>
  </si>
  <si>
    <t>gulshan.br@mutualtrustbank.com</t>
  </si>
  <si>
    <t>02 8832343</t>
  </si>
  <si>
    <t>145272580</t>
  </si>
  <si>
    <t>HASNABAD SME BRANCH</t>
  </si>
  <si>
    <t>HASNABAD_SME_BRANCH</t>
  </si>
  <si>
    <t>258</t>
  </si>
  <si>
    <t>MOFIZ UDDIN MANSION, BLOCK D, CONTAINER PORT ROAD, HASNABAD HOUSING, SOUTH KERANIGANJ, DHAKA 1310</t>
  </si>
  <si>
    <t>02 7763908</t>
  </si>
  <si>
    <t>hasnabad.br@mutualtrustbank.com</t>
  </si>
  <si>
    <t>02 7763984</t>
  </si>
  <si>
    <t>145273376</t>
  </si>
  <si>
    <t>IRIS NOORJEHAN, 104 KAKRAIL ROAD, DHAKA</t>
  </si>
  <si>
    <t>02 8300172, 8300173</t>
  </si>
  <si>
    <t>kakrail.br@mutualtrustbank.com</t>
  </si>
  <si>
    <t>02 8300171</t>
  </si>
  <si>
    <t>145273589</t>
  </si>
  <si>
    <t>PANNU PLAZA, RASULPUR MAIN ROAD, SULTANGANJ, ASHRAFABAD, KAMRANGIRCHAR, DHAKA</t>
  </si>
  <si>
    <t>02 9673115, 9673137</t>
  </si>
  <si>
    <t>kamrangirchar.br@mutualtrustbank.com</t>
  </si>
  <si>
    <t>02 9673146</t>
  </si>
  <si>
    <t>145262987</t>
  </si>
  <si>
    <t>FAHAD PLAZA, PLOT NO 1, ROAD 1, SECTION 10, KAFRUL, MIRPUR, DHAKA 1216</t>
  </si>
  <si>
    <t>02 9026281</t>
  </si>
  <si>
    <t>mirpur.br@mutualtrustbank.com</t>
  </si>
  <si>
    <t>145263281</t>
  </si>
  <si>
    <t>80/C ASAD AVENUE, MOHAMMADPUR, DHAKA 1207</t>
  </si>
  <si>
    <t>02 9128494, 9127887</t>
  </si>
  <si>
    <t>mohammadpur.br@mutualtrustbank.com</t>
  </si>
  <si>
    <t>02 8158682</t>
  </si>
  <si>
    <t>145270232</t>
  </si>
  <si>
    <t>MTB TOWER BRANCH</t>
  </si>
  <si>
    <t>MTB_TOWER_BRANCH</t>
  </si>
  <si>
    <t>MTB TOWER, 111 KAZI NAZRUL ISLAM AVENUE, DHAKA 1000</t>
  </si>
  <si>
    <t>02 9344153</t>
  </si>
  <si>
    <t>mtbtower.br@mutualtrustbank.com</t>
  </si>
  <si>
    <t>145263586</t>
  </si>
  <si>
    <t>14/11 PALLABI, MIRPUR 12, DHAKA</t>
  </si>
  <si>
    <t>02 9016273 , 8055630</t>
  </si>
  <si>
    <t>pallabi.br@mutualtrustbank.com</t>
  </si>
  <si>
    <t>02 8055630</t>
  </si>
  <si>
    <t>145263610</t>
  </si>
  <si>
    <t>MTBLBDDHPPB</t>
  </si>
  <si>
    <t>CHANDRASHILA SUVASTU TOWER, 69/1 PANTHAPATH, DHAKA</t>
  </si>
  <si>
    <t>02 8613807, 8629887</t>
  </si>
  <si>
    <t>panthapath.br@mutualtrustbank.com</t>
  </si>
  <si>
    <t>02 8624687</t>
  </si>
  <si>
    <t>145263702</t>
  </si>
  <si>
    <t>MTBLBDDHPSB</t>
  </si>
  <si>
    <t>15/5 PRAGATI SARANI, DHAKA 1229</t>
  </si>
  <si>
    <t>02 8411804, 8410948, 8413082</t>
  </si>
  <si>
    <t>progati.br@mutualtrustbank.com</t>
  </si>
  <si>
    <t>02 8411863</t>
  </si>
  <si>
    <t>145275358</t>
  </si>
  <si>
    <t>MTBLBDDHPBR</t>
  </si>
  <si>
    <t>WW TOWER, 68 MOTIJHEEL C/A, DHAKA 1000</t>
  </si>
  <si>
    <t>02 7113237-38, 7119964, 7122049</t>
  </si>
  <si>
    <t>principal.br@mutualtrustbank.com</t>
  </si>
  <si>
    <t>02 7110930</t>
  </si>
  <si>
    <t>145276052</t>
  </si>
  <si>
    <t>SARULIA BAZAR SME BRANCH</t>
  </si>
  <si>
    <t>SARULIA_BAZAR_SME_BRANCH</t>
  </si>
  <si>
    <t>ISMAIL MANSION, SARULIA BAZAR, DEMRA, DHAKA 1361</t>
  </si>
  <si>
    <t>02 7500804, 7500583</t>
  </si>
  <si>
    <t>sarulia.br@mutualtrustbank.com</t>
  </si>
  <si>
    <t>02 7500859</t>
  </si>
  <si>
    <t>145264093</t>
  </si>
  <si>
    <t>UNITED SUPER MARKET, SAVAR BAZAR BUS STAND, SAVAR, DHAKA</t>
  </si>
  <si>
    <t>02 741452, 7741453</t>
  </si>
  <si>
    <t>savar.br@mutualtrustbank.com</t>
  </si>
  <si>
    <t>02 7741453</t>
  </si>
  <si>
    <t>145264222</t>
  </si>
  <si>
    <t>SHAH MOKHDUM AVENUE BRANCH</t>
  </si>
  <si>
    <t>SHAH_MOKHDUM_AVENUE_BRANCH</t>
  </si>
  <si>
    <t>HOUSE NO 35, SECTOR 12, SHAH MOKHDUM AVENUE, UTTARA, DHAKA</t>
  </si>
  <si>
    <t>02 8952726</t>
  </si>
  <si>
    <t>smokhdum.br@mutualtrustbank.com</t>
  </si>
  <si>
    <t>02 8952743</t>
  </si>
  <si>
    <t>145264480</t>
  </si>
  <si>
    <t>MTB SQUARE, 210/A/1 TEJGAON INDUSTRIAL AREA, DHAKA 1208</t>
  </si>
  <si>
    <t>02 8817271, 8831815-6, 8831824</t>
  </si>
  <si>
    <t>tejgaon.br@mutualtrustbank.com</t>
  </si>
  <si>
    <t>02 8817456</t>
  </si>
  <si>
    <t>145264693</t>
  </si>
  <si>
    <t>MTBLBDDHUTR</t>
  </si>
  <si>
    <t>AUCKLAND CENTRE, HOUSE NO 11, ROAD 6, SECTOR 4, UTTARA, DHAKA -1230</t>
  </si>
  <si>
    <t>02 8924379, 8951474</t>
  </si>
  <si>
    <t>uttara.br@mutualtrustbank.com</t>
  </si>
  <si>
    <t>02 8951474</t>
  </si>
  <si>
    <t>145274241</t>
  </si>
  <si>
    <t>CARD DIVISION</t>
  </si>
  <si>
    <t>CARD_DIVISION</t>
  </si>
  <si>
    <t>145270003</t>
  </si>
  <si>
    <t>145300373</t>
  </si>
  <si>
    <t>DAGONBHUIYAN SME BRANCH</t>
  </si>
  <si>
    <t>DAGONBHUIYAN_SME_BRANCH</t>
  </si>
  <si>
    <t>RB PLAZA, FAZILERGHAT ROAD, DAGONBHUIYAN, FENI</t>
  </si>
  <si>
    <t>03323 79129, 017 14108862</t>
  </si>
  <si>
    <t>dagonbhuiyan.br@mutualtrustbank.com</t>
  </si>
  <si>
    <t>03323 79126</t>
  </si>
  <si>
    <t>145300528</t>
  </si>
  <si>
    <t>HAZI IDRIS PLAZA, 612 ISLAMPUR ROAD, BORO BAZAR, FENI</t>
  </si>
  <si>
    <t>0331 61984</t>
  </si>
  <si>
    <t>feni.br@mutualtrustbank.com</t>
  </si>
  <si>
    <t>0331 61986</t>
  </si>
  <si>
    <t>145330280</t>
  </si>
  <si>
    <t>BORMI BRANCH</t>
  </si>
  <si>
    <t>BORMI_BRANCH</t>
  </si>
  <si>
    <t>KHAN PLAZA, BORMI BAZAR, SREEPUR, GAZIPUR</t>
  </si>
  <si>
    <t>018 69174063</t>
  </si>
  <si>
    <t>bormi.br@mutualtrustbank.com</t>
  </si>
  <si>
    <t>145330406</t>
  </si>
  <si>
    <t>DEWAN PLAZA, CHANDRA POLLY BIDYUT, KALIAKOIR, GAZIPUR</t>
  </si>
  <si>
    <t>06822 51968</t>
  </si>
  <si>
    <t>chandra.br@mutualtrustbank.com</t>
  </si>
  <si>
    <t>06822 51969</t>
  </si>
  <si>
    <t>145330527</t>
  </si>
  <si>
    <t>AHSANIA COMPLEX, VOGRA EASTERN BYPASS, GAZIPUR</t>
  </si>
  <si>
    <t>02 9293305, 9293345</t>
  </si>
  <si>
    <t>gazipur.br@mutualtrustbank.com</t>
  </si>
  <si>
    <t>02 9293345</t>
  </si>
  <si>
    <t>145330822</t>
  </si>
  <si>
    <t>AZAD MARKET, KALIGANJ BAZAR, GAZIPUR</t>
  </si>
  <si>
    <t>06823 52194</t>
  </si>
  <si>
    <t>kaliganj.br@mutualtrustbank.com</t>
  </si>
  <si>
    <t>06823 52193</t>
  </si>
  <si>
    <t>145330880</t>
  </si>
  <si>
    <t>THANAR MORE, KAPASIA, GAZIPUR 1730</t>
  </si>
  <si>
    <t>06824 52220, 52222</t>
  </si>
  <si>
    <t>kapasia.br@mutualtrustbank.com</t>
  </si>
  <si>
    <t>06824 52223</t>
  </si>
  <si>
    <t>145330143</t>
  </si>
  <si>
    <t>MONIPUR BAZAR BRANCH</t>
  </si>
  <si>
    <t>MONIPUR_BAZAR_BRANCH</t>
  </si>
  <si>
    <t>SIKDER MARKET, MONIPUR BAZAR, NUHASH PALLI ROAD, GAZIPUR 1700</t>
  </si>
  <si>
    <t>0682 55517</t>
  </si>
  <si>
    <t>monipurbazar.br@mutualtrustbank.com</t>
  </si>
  <si>
    <t>145331634</t>
  </si>
  <si>
    <t>UNITED SHOPPING COMPLEX, HOSSAIN MARKET, TONGI, GAZIPUR</t>
  </si>
  <si>
    <t>02 9816250, 9816251</t>
  </si>
  <si>
    <t>tongi.br@mutualtrustbank.com</t>
  </si>
  <si>
    <t>02 9816251</t>
  </si>
  <si>
    <t>145360618</t>
  </si>
  <si>
    <t>JAMIL COMPLEX, NEW POURASHAVA ROAD, SHAYESTANAGAR, HABIGANJ</t>
  </si>
  <si>
    <t>0831 63193, 63192-3, 017 55592735</t>
  </si>
  <si>
    <t>habigonj.br@mutualtrustbank.com</t>
  </si>
  <si>
    <t>0831 63191</t>
  </si>
  <si>
    <t>145410942</t>
  </si>
  <si>
    <t>10 R N ROAD, JESSORE</t>
  </si>
  <si>
    <t>0421 66161, 60105</t>
  </si>
  <si>
    <t>jessore.br@mutualtrustbank.com</t>
  </si>
  <si>
    <t>0421 60104</t>
  </si>
  <si>
    <t>145380401</t>
  </si>
  <si>
    <t>553 MAIN ROAD, JOYPURHAT SADAR, JOYPURHAT</t>
  </si>
  <si>
    <t>0571 63584, 63585</t>
  </si>
  <si>
    <t>joypurhat.br@mutualtrustbank.com</t>
  </si>
  <si>
    <t>0571 63584</t>
  </si>
  <si>
    <t>145500944</t>
  </si>
  <si>
    <t>EDEN COMPLEX, 169 NS ROAD, THANAPARA, KUSHTIA</t>
  </si>
  <si>
    <t>071 71662, 71663</t>
  </si>
  <si>
    <t>kushtia.br@mutualtrustbank.com</t>
  </si>
  <si>
    <t>071 71662</t>
  </si>
  <si>
    <t>145510521</t>
  </si>
  <si>
    <t>HAIDERGANJ SME BRANCH</t>
  </si>
  <si>
    <t>HAIDERGANJ_SME_BRANCH</t>
  </si>
  <si>
    <t>GAZI SUPER MARKET, HAIDERGANJ, RAIPUR, LAKSHMIPUR</t>
  </si>
  <si>
    <t>017 38095630</t>
  </si>
  <si>
    <t>haidergonj.br@mutualtrustbank.com</t>
  </si>
  <si>
    <t>145510976</t>
  </si>
  <si>
    <t>AKOTA SUPER MARKET, 790-93 MAIN ROAD, RAIPUR, LAKSHMIPUR</t>
  </si>
  <si>
    <t>03822 56495, 56493</t>
  </si>
  <si>
    <t>raipur.br@mutualtrustbank.com</t>
  </si>
  <si>
    <t>03822 56493</t>
  </si>
  <si>
    <t>145540409</t>
  </si>
  <si>
    <t>HOWLADER HARUN PLAZA, MAIN ROAD, PURAN BAZAR, KOTWALI, MADARIPUR</t>
  </si>
  <si>
    <t>0661 62483, 62482</t>
  </si>
  <si>
    <t>madaripur.br@mutualtrustbank.com</t>
  </si>
  <si>
    <t>0661 62482</t>
  </si>
  <si>
    <t>145581189</t>
  </si>
  <si>
    <t>103 M SAIFUR RAHMAN ROAD, MOULVIBAZAR</t>
  </si>
  <si>
    <t>0861 62840, 62841</t>
  </si>
  <si>
    <t>moulvibazar.br@mutualtrustbank.com</t>
  </si>
  <si>
    <t>0861 62840</t>
  </si>
  <si>
    <t>145591429</t>
  </si>
  <si>
    <t>M RAHMAN COMPLEX, SREENAGAR BAZAR, BHAGYAKUL ROAD, SREENAGAR, MUNSHIGANJ 1550</t>
  </si>
  <si>
    <t>0389 4288222</t>
  </si>
  <si>
    <t>sreenagar.br@mutualtrustbank.com</t>
  </si>
  <si>
    <t>02 7627165</t>
  </si>
  <si>
    <t>145611017</t>
  </si>
  <si>
    <t>GAFARGAON SME BRANCH</t>
  </si>
  <si>
    <t>GAFARGAON_SME_BRANCH</t>
  </si>
  <si>
    <t>101</t>
  </si>
  <si>
    <t>ASHRAF MARKET, GAFARGAON, MYMENSINGH</t>
  </si>
  <si>
    <t>017 40555438</t>
  </si>
  <si>
    <t>gaforgaon.br@mutualtrustbank.com</t>
  </si>
  <si>
    <t>145611462</t>
  </si>
  <si>
    <t>JAMIRDIA MASTERBARI BRANCH</t>
  </si>
  <si>
    <t>JAMIRDIA_MASTERBARI_BRANCH</t>
  </si>
  <si>
    <t>ABDUR RASHID PLAZA, JAMIRDIA MASTERBARI, HABIRBARI, BHALUKA, MYMENSINGH 2240</t>
  </si>
  <si>
    <t>017 55558265</t>
  </si>
  <si>
    <t>jamirdia.br@mutualtrustbank.com</t>
  </si>
  <si>
    <t>145611754</t>
  </si>
  <si>
    <t>23-24 ANANDA MOHAN AVENUE, BARA BAZAR, MYMENSINGH 2200</t>
  </si>
  <si>
    <t>091 63909, 63944, 63945</t>
  </si>
  <si>
    <t>mymensingh.br@mutualtrustbank.com</t>
  </si>
  <si>
    <t>091 63908</t>
  </si>
  <si>
    <t>145672869</t>
  </si>
  <si>
    <t>MEGHNA BRANCH</t>
  </si>
  <si>
    <t>MEGHNA_BRANCH</t>
  </si>
  <si>
    <t>MEGHNA INDUSTRIAL PARK, SONARGAON, NARAYANGANJ</t>
  </si>
  <si>
    <t>044 78526268</t>
  </si>
  <si>
    <t>meghna.br@mutualtrustbank.com</t>
  </si>
  <si>
    <t>145671181</t>
  </si>
  <si>
    <t>NOOR MANSION, 31-31/1 LOYAL TANK ROAD, TANBAZAR, NARAYANGANJ</t>
  </si>
  <si>
    <t>02 7648209</t>
  </si>
  <si>
    <t>narayangonj.br@mutualtrustbank.com</t>
  </si>
  <si>
    <t>02 7648210</t>
  </si>
  <si>
    <t>145670232</t>
  </si>
  <si>
    <t>A RAHMAN PLAZA, SASANGAON, BSCIC GATE, ENAYET NAGAR, FATULLAH, NARAYANGANJ</t>
  </si>
  <si>
    <t>02 7671062, 7671063</t>
  </si>
  <si>
    <t>02 7671061</t>
  </si>
  <si>
    <t>145671699</t>
  </si>
  <si>
    <t>KHANDKER PLAZA, THANA ROAD, MOGRAPARA, SONARGAON, NARAYANGANJ</t>
  </si>
  <si>
    <t>02 7656347</t>
  </si>
  <si>
    <t>sonargaon.br@mutualtrustbank.com</t>
  </si>
  <si>
    <t>145761220</t>
  </si>
  <si>
    <t>ISHWARDI SME BRANCH</t>
  </si>
  <si>
    <t>ISHWARDI_SME_BRANCH</t>
  </si>
  <si>
    <t>122</t>
  </si>
  <si>
    <t>KHANDAKER MARKET, STATION ROAD, ISHWARDI, PABNA</t>
  </si>
  <si>
    <t>07326 64550, 64551</t>
  </si>
  <si>
    <t>ishwardi.br@mutualtrustbank.com</t>
  </si>
  <si>
    <t>07326 64549</t>
  </si>
  <si>
    <t>145761783</t>
  </si>
  <si>
    <t>ABDUL HAMID ROAD, DILALPUR, PABNA</t>
  </si>
  <si>
    <t>0731 51829, 51830</t>
  </si>
  <si>
    <t>pabna.br@mutualtrustbank.com</t>
  </si>
  <si>
    <t>0731 51830</t>
  </si>
  <si>
    <t>145811938</t>
  </si>
  <si>
    <t>PARENTS PLAZA, 419 ALUPATTY, GHORAMARA, RAJSHAHI 6100</t>
  </si>
  <si>
    <t>0721 776203, 776290</t>
  </si>
  <si>
    <t>rajshahi.br@mutualtrustbank.com</t>
  </si>
  <si>
    <t>0721 776380</t>
  </si>
  <si>
    <t>145851451</t>
  </si>
  <si>
    <t>MOSTOFA SUPER MARKET, 1 JAHAJ COMPANY MORE, RANGPUR</t>
  </si>
  <si>
    <t>0521 52325, 52326</t>
  </si>
  <si>
    <t>rangpur.br@mutualtrustbank.com</t>
  </si>
  <si>
    <t>0521 52326</t>
  </si>
  <si>
    <t>145860592</t>
  </si>
  <si>
    <t>NARIA SME BRANCH</t>
  </si>
  <si>
    <t>NARIA_SME_BRANCH</t>
  </si>
  <si>
    <t>NOOR TOWER, NARIA, SHARIATPUR</t>
  </si>
  <si>
    <t>0601 59129</t>
  </si>
  <si>
    <t>noria.br@mutualtrustbank.com</t>
  </si>
  <si>
    <t>145880235</t>
  </si>
  <si>
    <t>BELKUCHI SME BRANCH</t>
  </si>
  <si>
    <t>BELKUCHI_SME_BRANCH</t>
  </si>
  <si>
    <t>LOKMAN MENSION, WARD 4, WAPDA ROAD, CHALA, BELKUCHI, SIRAJGANJ</t>
  </si>
  <si>
    <t>07522 56353, 019 14633495</t>
  </si>
  <si>
    <t>belkuchi.br@mutualtrustbank.com</t>
  </si>
  <si>
    <t>07522 56353</t>
  </si>
  <si>
    <t>145881876</t>
  </si>
  <si>
    <t>JAN BUX BHABAN, 452 STATION ROAD, SS ROAD, SIRAJGANJ 6700</t>
  </si>
  <si>
    <t>0751 65111, 65110</t>
  </si>
  <si>
    <t>sirajganj.br@mutualtrustbank.com</t>
  </si>
  <si>
    <t>145913131</t>
  </si>
  <si>
    <t>SHAH PARAN GATE BRANCH</t>
  </si>
  <si>
    <t>SHAH_PARAN_GATE_BRANCH</t>
  </si>
  <si>
    <t>JANANI COMPLEX, SHAH PARAN GATE, KHADIM NAGAR, SYLHET</t>
  </si>
  <si>
    <t>0821 2871001, 2871002, 2871004</t>
  </si>
  <si>
    <t>shahparan.br@mutualtrustbank.com</t>
  </si>
  <si>
    <t>0821 2871003</t>
  </si>
  <si>
    <t>145913557</t>
  </si>
  <si>
    <t>SYLHET CITY CENTER, ZINDABAZAR, SYLHET</t>
  </si>
  <si>
    <t>0821 2830271, 2830272, 716820</t>
  </si>
  <si>
    <t>sylhet.br@mutualtrustbank.com</t>
  </si>
  <si>
    <t>0821 2830273</t>
  </si>
  <si>
    <t>145930680</t>
  </si>
  <si>
    <t>DHANBARI SME BRANCH</t>
  </si>
  <si>
    <t>DHANBARI_SME_BRANCH</t>
  </si>
  <si>
    <t>068</t>
  </si>
  <si>
    <t>DHANBARI NEW MARKET, DHANBARI, TANGAIL</t>
  </si>
  <si>
    <t>018 19134398</t>
  </si>
  <si>
    <t>dhanbari.br@mutualtrustbank.com</t>
  </si>
  <si>
    <t>145932291</t>
  </si>
  <si>
    <t>NOOR TOWER, 311/ 312 BORO MASJID ROAD, TANGAIL 1900</t>
  </si>
  <si>
    <t>0921 91536</t>
  </si>
  <si>
    <t>tangail.br@mutualtrustbank.com</t>
  </si>
  <si>
    <t>NA</t>
  </si>
  <si>
    <t>050</t>
  </si>
  <si>
    <t>050262027</t>
  </si>
  <si>
    <t>050262564</t>
  </si>
  <si>
    <t>KARWAN BAZAR CORPORATE</t>
  </si>
  <si>
    <t>KARWAN_BAZAR_CORPORATE</t>
  </si>
  <si>
    <t>050274244</t>
  </si>
  <si>
    <t>MOTIJHEEL</t>
  </si>
  <si>
    <t>050270006</t>
  </si>
  <si>
    <t>NATIONAL_BANK_LIMITED</t>
  </si>
  <si>
    <t>150</t>
  </si>
  <si>
    <t>NATIONAL BANK LIMITED</t>
  </si>
  <si>
    <t>150060282</t>
  </si>
  <si>
    <t>0013 / 028</t>
  </si>
  <si>
    <t>NBLBBDDH013</t>
  </si>
  <si>
    <t>100 SADAR ROAD, BARISAL 8200</t>
  </si>
  <si>
    <t>0431 64166, 64588, 63932, 017 13330616</t>
  </si>
  <si>
    <t>barisal@nblbd.com</t>
  </si>
  <si>
    <t>0431 64166</t>
  </si>
  <si>
    <t>150062219</t>
  </si>
  <si>
    <t>TORKI BANDAR BRANCH</t>
  </si>
  <si>
    <t>TORKI_BANDAR_BRANCH</t>
  </si>
  <si>
    <t>0125 / 221</t>
  </si>
  <si>
    <t>NBLBBDDH</t>
  </si>
  <si>
    <t>445 SADAR ROAD, TORKI BANDAR, GOURNADI, BARISAL</t>
  </si>
  <si>
    <t>04322 56442, 017 30318562, 018 44097425</t>
  </si>
  <si>
    <t>torkibandar@nblbd.com</t>
  </si>
  <si>
    <t>150090102</t>
  </si>
  <si>
    <t>0056 / 010</t>
  </si>
  <si>
    <t>K JAHAN SHOPPING COMPLEX, 677 SADAR ROAD, BHOLA</t>
  </si>
  <si>
    <t>0491 61667, 61827, 017 13330615</t>
  </si>
  <si>
    <t>bhola@nblbd.com</t>
  </si>
  <si>
    <t>0491 61667</t>
  </si>
  <si>
    <t>150090223</t>
  </si>
  <si>
    <t>0089 / 022</t>
  </si>
  <si>
    <t>JINNAHGAR UNION PARISHID, SADAR ROAD, CHAR FASSON, BHOLA</t>
  </si>
  <si>
    <t>04923 74103, 74104, 017 13335827</t>
  </si>
  <si>
    <t>charfassion@nblbd.com</t>
  </si>
  <si>
    <t>150100371</t>
  </si>
  <si>
    <t>0014 / 037</t>
  </si>
  <si>
    <t>NBLBBDDH014</t>
  </si>
  <si>
    <t>BAROGOLA BAZAR, BOGRA SADAR, BOGRA</t>
  </si>
  <si>
    <t>051 51912, 017 13330607</t>
  </si>
  <si>
    <t>bogra@nblbd.com</t>
  </si>
  <si>
    <t>150120430</t>
  </si>
  <si>
    <t>0022 / 043</t>
  </si>
  <si>
    <t>NBLBBDDH022</t>
  </si>
  <si>
    <t>58-60 KALAISREE PARA, DR FARIDUL HUDA ROAD, BRAHMANBARIA</t>
  </si>
  <si>
    <t>0851 58010, 017 13388910</t>
  </si>
  <si>
    <t>brahmanbaria@nblbd.com</t>
  </si>
  <si>
    <t>0851 58010</t>
  </si>
  <si>
    <t>150121305</t>
  </si>
  <si>
    <t>CHHAYFULLAH KANDI BAZAR BRANCH</t>
  </si>
  <si>
    <t>CHHAYFULLAH_KANDI_BAZAR_BRANCH</t>
  </si>
  <si>
    <t>0163 /</t>
  </si>
  <si>
    <t>FAZLUL HAQUE SUPER MARKET, CHHAYFULLAH KANDI BAZAR, BANCHARAMPUR, BRAHMANBARIA</t>
  </si>
  <si>
    <t>017 30339962, 017 14161208</t>
  </si>
  <si>
    <t>chhayfullahkandi@nblbd.com</t>
  </si>
  <si>
    <t>150130370</t>
  </si>
  <si>
    <t>0030 / 037</t>
  </si>
  <si>
    <t>SK MANSION, 116/108 COMILLA ROAD, NATUN BAZAR, CHANDPUR</t>
  </si>
  <si>
    <t>0841 63309, 65527, 017 11125278, 017 13330627</t>
  </si>
  <si>
    <t>chandpur@nblbd.com</t>
  </si>
  <si>
    <t>0841 63723</t>
  </si>
  <si>
    <t>150130888</t>
  </si>
  <si>
    <t>0113 / 088</t>
  </si>
  <si>
    <t>MIRZA COMPLEX, AMIN ROAD, HAJIGANJ, CHANDPUR</t>
  </si>
  <si>
    <t>017 30329685</t>
  </si>
  <si>
    <t>hajigonj@nblbd.com</t>
  </si>
  <si>
    <t>150700250</t>
  </si>
  <si>
    <t>0053 / 025</t>
  </si>
  <si>
    <t>NBLBBDDH053</t>
  </si>
  <si>
    <t>KABIR BHABAN, THANA ROAD, CHAPAI NAWABGANJ</t>
  </si>
  <si>
    <t>0781 53417, 017 13330606</t>
  </si>
  <si>
    <t>chapai@nblbd.com</t>
  </si>
  <si>
    <t>0781 52054</t>
  </si>
  <si>
    <t>150150134</t>
  </si>
  <si>
    <t>0004 / 013</t>
  </si>
  <si>
    <t>NBLBBDDH004</t>
  </si>
  <si>
    <t>13/A SK MUJIB ROAD, BADAMTOLI MORE, AGRABAD, CHITTAGONG</t>
  </si>
  <si>
    <t>031 716285, 718228, 725948, 017 13388903</t>
  </si>
  <si>
    <t>agrabad@nblbd.com</t>
  </si>
  <si>
    <t>031 710472</t>
  </si>
  <si>
    <t>150150468</t>
  </si>
  <si>
    <t>0101 / 046</t>
  </si>
  <si>
    <t>K B AMAN ALI TOWER, 30 ANDERKILLA, CHITTAGONG</t>
  </si>
  <si>
    <t>031 2854513, 017 14166173</t>
  </si>
  <si>
    <t>andarkilla@nblbd.com</t>
  </si>
  <si>
    <t>031 2854514</t>
  </si>
  <si>
    <t>150151212</t>
  </si>
  <si>
    <t>0107 / 121</t>
  </si>
  <si>
    <t>DT ROAD, BHATIARY DAKSHIN BAZAR, SITAKUNDA, CHITTAGONG</t>
  </si>
  <si>
    <t>031 2780892, 017 30333628</t>
  </si>
  <si>
    <t>bhatiary@nblbd.com</t>
  </si>
  <si>
    <t>031 2780891</t>
  </si>
  <si>
    <t>150151483</t>
  </si>
  <si>
    <t>0122 / 148</t>
  </si>
  <si>
    <t>1002 CDA AVENUE, EAST NASIRABAD, PANCHLAISH, CHIITAGONG</t>
  </si>
  <si>
    <t>031 654722, 657022, 017 30318560</t>
  </si>
  <si>
    <t>cda@nblbd.com</t>
  </si>
  <si>
    <t>031 654722</t>
  </si>
  <si>
    <t>150151759</t>
  </si>
  <si>
    <t>0047 / 175</t>
  </si>
  <si>
    <t>134 NEW CHAKTAI, KOTWALI, CHITTAGONG</t>
  </si>
  <si>
    <t>031 619327, 2858595, 017 13388907</t>
  </si>
  <si>
    <t>chaktai@nblbd.com</t>
  </si>
  <si>
    <t>031 619035</t>
  </si>
  <si>
    <t>150151933</t>
  </si>
  <si>
    <t>0102 / 193</t>
  </si>
  <si>
    <t>FORTUNE TOWER, 112-113 KARPASHGOLA ROAD, CHAWKBAZAR, CHITTAGONG</t>
  </si>
  <si>
    <t>031 2857320-2, 017 30303589, 018 44097379</t>
  </si>
  <si>
    <t>chawkbazar@nblbd.com</t>
  </si>
  <si>
    <t>031 2857320</t>
  </si>
  <si>
    <t>150153160</t>
  </si>
  <si>
    <t>0137 / 316</t>
  </si>
  <si>
    <t>PLOT NO 12/A, ROAD 2 , LANE 2 , BLOCK G, HALISHAHAR HOUSING ESTATE, ASIAN HIGHWAY, CHITTAGONG</t>
  </si>
  <si>
    <t>031 2526990, 2526991, 017 30727772</t>
  </si>
  <si>
    <t>halishahar@nblbd.com</t>
  </si>
  <si>
    <t>150153236</t>
  </si>
  <si>
    <t>0123 / 323</t>
  </si>
  <si>
    <t>FOYEZ SHOPPING CENTER, RAMGARH ROAD, BUS STAND, HATHAZARI, CHITTAGONG</t>
  </si>
  <si>
    <t>017 30318854, 018 44097390</t>
  </si>
  <si>
    <t>hatahzari@nblbd.com</t>
  </si>
  <si>
    <t>150153649</t>
  </si>
  <si>
    <t>0016 / 364</t>
  </si>
  <si>
    <t>NBLBBDDH016</t>
  </si>
  <si>
    <t>NIAZ MANJIL, 922 JUBILEE ROAD, CHITTAGONG</t>
  </si>
  <si>
    <t>031 2852192, 636019, 017 13388905</t>
  </si>
  <si>
    <t>jubileeroad@nblbd.com</t>
  </si>
  <si>
    <t>150154277</t>
  </si>
  <si>
    <t>0002 / 427</t>
  </si>
  <si>
    <t>NBLBBDDH002</t>
  </si>
  <si>
    <t>34 CHAND MEAH LANE, KHATUNGANJ, CHITTAGONG</t>
  </si>
  <si>
    <t>031 611012-13, 017 13190804</t>
  </si>
  <si>
    <t>khatungonj@nblbd.com</t>
  </si>
  <si>
    <t>031 610806</t>
  </si>
  <si>
    <t>150155050</t>
  </si>
  <si>
    <t>0091 / 505</t>
  </si>
  <si>
    <t>DT ROAD, MIRSARAI, CHITTAGONG</t>
  </si>
  <si>
    <t>03024 56229, 56230, 017 13438595</t>
  </si>
  <si>
    <t>mirarssari@nblbd.com</t>
  </si>
  <si>
    <t>150155326</t>
  </si>
  <si>
    <t>0087 / 532</t>
  </si>
  <si>
    <t>95 MURADPUR, PUNCHLAISH, CHITTAGONG</t>
  </si>
  <si>
    <t>031 656514, 656515</t>
  </si>
  <si>
    <t>muradpur@nblbd.com</t>
  </si>
  <si>
    <t>150155926</t>
  </si>
  <si>
    <t>0055 / 592</t>
  </si>
  <si>
    <t>2153 DT ROAD, PAHARTALI, CHITTAGONG</t>
  </si>
  <si>
    <t>031 751120, 751800, 017 13388908</t>
  </si>
  <si>
    <t>pahartali@nblbd.com</t>
  </si>
  <si>
    <t>031 2770826</t>
  </si>
  <si>
    <t>150156167</t>
  </si>
  <si>
    <t>0042 / 616</t>
  </si>
  <si>
    <t>SAMADIA SUPER MARKET, PATIYA, CHITTAGONG</t>
  </si>
  <si>
    <t>03035 56509, 018 44097398, 017 13388909</t>
  </si>
  <si>
    <t>patiya@nblbd.com</t>
  </si>
  <si>
    <t>150156404</t>
  </si>
  <si>
    <t>RAGUNIA BRANCH</t>
  </si>
  <si>
    <t>RAGUNIA_BRANCH</t>
  </si>
  <si>
    <t>0162 /</t>
  </si>
  <si>
    <t>KHAJA GAUSIA SUPER MARKET, KAPATIA ROAD, ROAZARHAT, RANGUNIA, CHITTAGONG</t>
  </si>
  <si>
    <t>03025 56035-36, 017 30313900</t>
  </si>
  <si>
    <t>rangunia@nblbd.com</t>
  </si>
  <si>
    <t>150156912</t>
  </si>
  <si>
    <t>0045 / 691</t>
  </si>
  <si>
    <t>UPAZILLA COMPLEX, HARAMIAH, BOKTARHAT, SANDWIP, CHITTAGONG</t>
  </si>
  <si>
    <t>0302 756007, 017 13388885</t>
  </si>
  <si>
    <t>sandwip@nblbd.com</t>
  </si>
  <si>
    <t>150157429</t>
  </si>
  <si>
    <t>0060 / 742</t>
  </si>
  <si>
    <t>NBLBBDDH060</t>
  </si>
  <si>
    <t>546 SHEIKH MUJIB ROAD, CHITTAGONG</t>
  </si>
  <si>
    <t>031 714647-8, 2514207, 017 13388906</t>
  </si>
  <si>
    <t>sheikhmujib@nblbd.com</t>
  </si>
  <si>
    <t>150190499</t>
  </si>
  <si>
    <t>0131 / 049</t>
  </si>
  <si>
    <t>PATWARY SHOPPING COMPLEX, THANA ROAD, BARURA, COMILLA</t>
  </si>
  <si>
    <t>08020 52591, 52592, 017 30318564</t>
  </si>
  <si>
    <t>barura@nblbd.com</t>
  </si>
  <si>
    <t>08020 52592</t>
  </si>
  <si>
    <t>150190507</t>
  </si>
  <si>
    <t>BARURA SME</t>
  </si>
  <si>
    <t>BARURA_SME</t>
  </si>
  <si>
    <t>150191069</t>
  </si>
  <si>
    <t>CHOUDDAGRAM BRANCH</t>
  </si>
  <si>
    <t>CHOUDDAGRAM_BRANCH</t>
  </si>
  <si>
    <t>0077 / 106</t>
  </si>
  <si>
    <t>HAJEE SHARAFAT ALI MANSION, CHOUDDAGRAM, COMILLA</t>
  </si>
  <si>
    <t>08020 56207, 56208, 017 13388887</t>
  </si>
  <si>
    <t>chouddagram@nblbd.com</t>
  </si>
  <si>
    <t>150191151</t>
  </si>
  <si>
    <t>0009 / 115</t>
  </si>
  <si>
    <t>RAJGANJ ROAD, CHHATIPATTI, COMILLA</t>
  </si>
  <si>
    <t>081 76420, 65901, 017 13105057</t>
  </si>
  <si>
    <t>comilla@nblbd.com</t>
  </si>
  <si>
    <t>150192147</t>
  </si>
  <si>
    <t>0119 / 214</t>
  </si>
  <si>
    <t>CHOWRANGI MARKET, HOMNA ROAD, GOURIPUR, DAUDKANDI, COMILLA</t>
  </si>
  <si>
    <t>017 30329691</t>
  </si>
  <si>
    <t>gouripur@nblbd.com</t>
  </si>
  <si>
    <t>150193133</t>
  </si>
  <si>
    <t>0103 / 313</t>
  </si>
  <si>
    <t>SAZZAD SUPER MARKET, MODAFFARGANJ, LAKSHAM, COMILLA</t>
  </si>
  <si>
    <t>017 30373728, 018 44097395, 017 30303588</t>
  </si>
  <si>
    <t>mudaffargonj@nblbd.com</t>
  </si>
  <si>
    <t>150220251</t>
  </si>
  <si>
    <t>150260037</t>
  </si>
  <si>
    <t>0116 / 003</t>
  </si>
  <si>
    <t>MINNAT PLAZA, ABDULLAHPUR BAZAR, DHAKA-MAOWA ROAD, KALAKANDI, KERANIGANJ, DHAKA</t>
  </si>
  <si>
    <t>017 30329689, 019 71002297</t>
  </si>
  <si>
    <t>abdullahpur@nblbd.com</t>
  </si>
  <si>
    <t>150260190</t>
  </si>
  <si>
    <t>0147 /</t>
  </si>
  <si>
    <t>HERALEDIC HEIGHTS, PLOT NO 2/2, BLOCK A, MOHAMMADPUR HOUSING ESTATE, MIRPUR ROAD, MOHAMMADPUR, DHAKA</t>
  </si>
  <si>
    <t>02 9121575, 017 55538437, 017 55538438</t>
  </si>
  <si>
    <t>asadgate@nblbd.com</t>
  </si>
  <si>
    <t>02 8154454</t>
  </si>
  <si>
    <t>150270551</t>
  </si>
  <si>
    <t>0031 / 055</t>
  </si>
  <si>
    <t>NBLBBDDH031</t>
  </si>
  <si>
    <t>4 AZIZULLAH ROAD, BABU BAZAR, DHAKA 1100</t>
  </si>
  <si>
    <t>02 7318975, 57392167, 017 13388870</t>
  </si>
  <si>
    <t>babubazar@nblbd.com</t>
  </si>
  <si>
    <t>02 7313298</t>
  </si>
  <si>
    <t>150260437</t>
  </si>
  <si>
    <t>0106 / 043</t>
  </si>
  <si>
    <t>NBLBBDDH106</t>
  </si>
  <si>
    <t>HOUSE NO SW-71, ROAD 11, BLOCK D, BANANI, DHAKA</t>
  </si>
  <si>
    <t>02 8837176, 8831962, 018 44097305</t>
  </si>
  <si>
    <t>banani@nblbd.com</t>
  </si>
  <si>
    <t>150270643</t>
  </si>
  <si>
    <t>0046 / 064</t>
  </si>
  <si>
    <t>SAIMON SUPER MARKET, BANDURA BAZAR, HASNABAD, NAWABGANJ, DHAKA 1321</t>
  </si>
  <si>
    <t>018 19412042, 017 30007347, 018 44097306</t>
  </si>
  <si>
    <t>bandura@nblbd.com</t>
  </si>
  <si>
    <t>150270885</t>
  </si>
  <si>
    <t>0012 / 088</t>
  </si>
  <si>
    <t>NBLBBDDH012</t>
  </si>
  <si>
    <t>22 BANGSHAL ROAD, DHAKA 1100</t>
  </si>
  <si>
    <t>02 9557177-79, 017 13388871</t>
  </si>
  <si>
    <t>bangshal@nblbd.com</t>
  </si>
  <si>
    <t>02 9565877</t>
  </si>
  <si>
    <t>150261186</t>
  </si>
  <si>
    <t>0063 / 118</t>
  </si>
  <si>
    <t>NBLBBDDH063</t>
  </si>
  <si>
    <t>SAFURA GREEN, 761 SATMASJID ROAD, DHANMONDI R/A, DHAKA 1205</t>
  </si>
  <si>
    <t>02 8143754, 9123596, 9139638, 017 13388872</t>
  </si>
  <si>
    <t>dhanmondi@nblbd.com</t>
  </si>
  <si>
    <t>150271905</t>
  </si>
  <si>
    <t>0001 / 190</t>
  </si>
  <si>
    <t>NBLBBDDH001</t>
  </si>
  <si>
    <t>48 DILKUSHA COMMERCIAL AREA, DHAKA 1000</t>
  </si>
  <si>
    <t>02 7168729-31, 9550823-5, 9563081-5, 9550897, 017 13047797</t>
  </si>
  <si>
    <t>dilkusha@nblbd.com</t>
  </si>
  <si>
    <t>150261331</t>
  </si>
  <si>
    <t>0015 / 133</t>
  </si>
  <si>
    <t>NBLBBDDH015</t>
  </si>
  <si>
    <t>3 ELEPHANT ROAD, DHAKA 1205</t>
  </si>
  <si>
    <t>02 8631070, 8631071, 9669218, 8620846, 017 13388873</t>
  </si>
  <si>
    <t>elephantroad@nblbd.com</t>
  </si>
  <si>
    <t>150272320</t>
  </si>
  <si>
    <t>0021 / 232</t>
  </si>
  <si>
    <t>NBLBBDDH021</t>
  </si>
  <si>
    <t>TARANGA COMPLEX, 19 RAJUK AVENUE, DHAKA 1000</t>
  </si>
  <si>
    <t>02 9554733, 9564253</t>
  </si>
  <si>
    <t>f.exchange@nblbd.com</t>
  </si>
  <si>
    <t>150261728</t>
  </si>
  <si>
    <t>0067 / 172</t>
  </si>
  <si>
    <t>NBLBBDDH067</t>
  </si>
  <si>
    <t>97/1 GULSHAN AVENUE, DHAKA 1212</t>
  </si>
  <si>
    <t>02 9840590, 017 13388878</t>
  </si>
  <si>
    <t>gulshan@nblbd.com</t>
  </si>
  <si>
    <t>150272809</t>
  </si>
  <si>
    <t>0003 / 280</t>
  </si>
  <si>
    <t>NBLBBDDH003</t>
  </si>
  <si>
    <t>1 MOULVIBAZAR, DHAKA 1100</t>
  </si>
  <si>
    <t>017 13388869</t>
  </si>
  <si>
    <t>imamgonj@nblbd.com</t>
  </si>
  <si>
    <t>150272988</t>
  </si>
  <si>
    <t>0054 / 298</t>
  </si>
  <si>
    <t>NBLBBDDH054</t>
  </si>
  <si>
    <t>15-16 ISLAMPUR ROAD, DHAKA</t>
  </si>
  <si>
    <t>02 57391017, 57390609, 57395246, 017 13388877</t>
  </si>
  <si>
    <t>islampur@nblbd.com</t>
  </si>
  <si>
    <t>150273224</t>
  </si>
  <si>
    <t>0097 / 322</t>
  </si>
  <si>
    <t>SAMIULLAH PLAZA, SHAHED FARUK ROAD, JATRABARI, DHAKA 1204</t>
  </si>
  <si>
    <t>02 7554761-2, 7549406, 017 14166174</t>
  </si>
  <si>
    <t>jatrabari@nblbd.com</t>
  </si>
  <si>
    <t>150273316</t>
  </si>
  <si>
    <t>0155 /</t>
  </si>
  <si>
    <t>AMIR TOWER, OLD DHAKA-NARAYANGANJ RAOD, 169/1/A/2 DHOLAIPAR, WEST JURAIN, SHYAMPUR, DHAKA 1204</t>
  </si>
  <si>
    <t>02 7443056, 017 30034919, 017 13190724</t>
  </si>
  <si>
    <t>jurain@nblbd.com</t>
  </si>
  <si>
    <t>150273345</t>
  </si>
  <si>
    <t>0171 /</t>
  </si>
  <si>
    <t>SHAPLA BHABAN, 1024 MOHAMMADBAGH, MERAJNAGAR, SHYAMPUR, DHAKA</t>
  </si>
  <si>
    <t>02 7553860, 7553830, 017 30330476</t>
  </si>
  <si>
    <t>kadamtoli.dhaka@nblbd.com</t>
  </si>
  <si>
    <t>150262530</t>
  </si>
  <si>
    <t>KAWRAN BAZAR BRANCH</t>
  </si>
  <si>
    <t>KAWRAN_BAZAR_BRANCH</t>
  </si>
  <si>
    <t>0048 / 253</t>
  </si>
  <si>
    <t>NBLBBDDH048</t>
  </si>
  <si>
    <t>BTMC BHABAN, 7-9 KARWAN BAZAR, DHAKA 1205</t>
  </si>
  <si>
    <t>02 9129912, 9101117, 017 13388874</t>
  </si>
  <si>
    <t>kawranbazar@nblbd.com</t>
  </si>
  <si>
    <t>150273682</t>
  </si>
  <si>
    <t>KHOLAMORA BRANCH</t>
  </si>
  <si>
    <t>KHOLAMORA_BRANCH</t>
  </si>
  <si>
    <t>0150 /</t>
  </si>
  <si>
    <t>SUNGANDHA SHOPPING MALL, KHOLAMORA BAZAR, KERANIGANJ, DHAKA</t>
  </si>
  <si>
    <t>02 7766651, 017 55547992, 018 44097331</t>
  </si>
  <si>
    <t>kholamora@nblbd.com</t>
  </si>
  <si>
    <t>150262806</t>
  </si>
  <si>
    <t>LAKE CIRCUS BRANCH</t>
  </si>
  <si>
    <t>LAKE_CIRCUS_BRANCH</t>
  </si>
  <si>
    <t>0090 / 280</t>
  </si>
  <si>
    <t>156 LAKE CIRCUS, MIRPUR ROAD, KALABAGAN, DHANMONDI, DHAKA</t>
  </si>
  <si>
    <t>02 9133275, 9111524</t>
  </si>
  <si>
    <t>lakecircus@nblbd.com</t>
  </si>
  <si>
    <t>150273945</t>
  </si>
  <si>
    <t>0032 / 394</t>
  </si>
  <si>
    <t>NBLBBDDH032</t>
  </si>
  <si>
    <t>68/69B DIT ROAD, MALIBAGH CHOWDHURYPARA, DHAKA 1219</t>
  </si>
  <si>
    <t>017 13388875</t>
  </si>
  <si>
    <t>malibagh@nblbd.com</t>
  </si>
  <si>
    <t>150274049</t>
  </si>
  <si>
    <t>MEGULA BRANCH</t>
  </si>
  <si>
    <t>MEGULA_BRANCH</t>
  </si>
  <si>
    <t>0104 / 404</t>
  </si>
  <si>
    <t>MEGHULA BAZAR, DOHAR, DHAKA</t>
  </si>
  <si>
    <t>017 30303587, 017 13425904, 018 44097337</t>
  </si>
  <si>
    <t>meghula@nblbd.com</t>
  </si>
  <si>
    <t>150274078</t>
  </si>
  <si>
    <t>MIRHAJIRBAGH BRANCH</t>
  </si>
  <si>
    <t>MIRHAJIRBAGH_BRANCH</t>
  </si>
  <si>
    <t>0159 /</t>
  </si>
  <si>
    <t>285 MIRHAJIBAGH, DHOLAIPAR, WARD 51, JATRABARI, DHAKA</t>
  </si>
  <si>
    <t>02 47445456, 47445463, 017 13190840</t>
  </si>
  <si>
    <t>mirhajirbagh@nblbd.com</t>
  </si>
  <si>
    <t>150262985</t>
  </si>
  <si>
    <t>0069 / 298</t>
  </si>
  <si>
    <t>PLOT NO 4, BLOCK KA, SECTION 6, MAIN ROAD NO 1, MIRPUR, DHAKA</t>
  </si>
  <si>
    <t>02 9014480, 9038440, 9013216</t>
  </si>
  <si>
    <t>mirpur@nblbd.com</t>
  </si>
  <si>
    <t>150263197</t>
  </si>
  <si>
    <t>0043 / 319</t>
  </si>
  <si>
    <t>NBLBBDDH043</t>
  </si>
  <si>
    <t>9 MOHAKHALI C/A, DHAKA 1212</t>
  </si>
  <si>
    <t>02 8821059, 017 13388868</t>
  </si>
  <si>
    <t>mohakhali@nblbd.com</t>
  </si>
  <si>
    <t>02 8812397</t>
  </si>
  <si>
    <t>150263289</t>
  </si>
  <si>
    <t>0018 / 328</t>
  </si>
  <si>
    <t>PLOT NO 9, BLOCK C, TAJMAHAL ROAD, MOHAMMADPUR, DHAKA</t>
  </si>
  <si>
    <t>02 9139409, 9114015, 017 13335824</t>
  </si>
  <si>
    <t>mohammdpur@nblbd.com</t>
  </si>
  <si>
    <t>150274249</t>
  </si>
  <si>
    <t>0058 / 424</t>
  </si>
  <si>
    <t>NBLBBDDH058</t>
  </si>
  <si>
    <t>3 RAJUK AVENUE, MOTIJHEEL C/A, DHAKA 1000</t>
  </si>
  <si>
    <t>02 9553569, 9567558, 017 13388876</t>
  </si>
  <si>
    <t>motijheel@nblbd.com</t>
  </si>
  <si>
    <t>150275051</t>
  </si>
  <si>
    <t>NORTH BROOK HALL ROAD BRANCH</t>
  </si>
  <si>
    <t>NORTH_BROOK_HALL_ROAD_BRANCH</t>
  </si>
  <si>
    <t>0049 / 505</t>
  </si>
  <si>
    <t>NBLBBDDH049</t>
  </si>
  <si>
    <t>20-21 NORTH BROOK HALL ROAD, BANGLABAZAR, DHAKA 1100</t>
  </si>
  <si>
    <t>02 7113829, 017 13388879</t>
  </si>
  <si>
    <t>nbhr@nblbd.com</t>
  </si>
  <si>
    <t>150263700</t>
  </si>
  <si>
    <t>0098 / 370</t>
  </si>
  <si>
    <t>HAKIM PLAZA, KA-216, KURIL, BADDA, DHAKA 1229</t>
  </si>
  <si>
    <t>02 8413798, 017 13425943</t>
  </si>
  <si>
    <t>pragatisarani@nblbd.com</t>
  </si>
  <si>
    <t>150264004</t>
  </si>
  <si>
    <t>0127 / 400</t>
  </si>
  <si>
    <t>218/3/A WEST KAFRUL, SHAR-E-BANGLA NAGAR, DHAKA</t>
  </si>
  <si>
    <t>02 9122899, 9122649, 017 30318563, 018 44097357</t>
  </si>
  <si>
    <t>rokeyasarani@nblbd.com</t>
  </si>
  <si>
    <t>150260266</t>
  </si>
  <si>
    <t>0169 /</t>
  </si>
  <si>
    <t>SATURIA BUS STAND, DHAMRAI, DHAKA</t>
  </si>
  <si>
    <t>02 7725011, 017 30330414</t>
  </si>
  <si>
    <t>saturia@nblbd.com</t>
  </si>
  <si>
    <t>150264091</t>
  </si>
  <si>
    <t>0052 / 409</t>
  </si>
  <si>
    <t>QURAISHI SUPER MARKET, SAVAR BAZAR ROAD, SAVAR, DHAKA</t>
  </si>
  <si>
    <t>02 7745521, 7745661, 7743920, 017 13019285</t>
  </si>
  <si>
    <t>savar@nblbd.com</t>
  </si>
  <si>
    <t>150263968</t>
  </si>
  <si>
    <t>SHIMANTA SQUARE BRANCH</t>
  </si>
  <si>
    <t>SHIMANTA_SQUARE_BRANCH</t>
  </si>
  <si>
    <t>0132 / 396</t>
  </si>
  <si>
    <t>SHIMANTA SQUARE, HOLDING NO 80, PILKHANA, DHANMONDI, DHAKA</t>
  </si>
  <si>
    <t>02 9650870, 9650872, 017 13186987</t>
  </si>
  <si>
    <t>riflessquare@nblbd.com</t>
  </si>
  <si>
    <t>150264633</t>
  </si>
  <si>
    <t>0068 / 463</t>
  </si>
  <si>
    <t>PLOT NO 103, SECTOR 7, DHAKA-MYMENSINGH ROAD, UTTARA, DHAKA 1230</t>
  </si>
  <si>
    <t>02 58950614, 017 13388881</t>
  </si>
  <si>
    <t>uttara@nblbd.com</t>
  </si>
  <si>
    <t>150264783</t>
  </si>
  <si>
    <t>ZHSW MEDICAL COLLEGE</t>
  </si>
  <si>
    <t>ZHSW_MEDICAL_COLLEGE</t>
  </si>
  <si>
    <t>0073 / 478</t>
  </si>
  <si>
    <t>MONICA ESTATE, WEST DHANMONDI, DHAKA</t>
  </si>
  <si>
    <t>02 9181031, 9181032, 9181156, 017 13388883</t>
  </si>
  <si>
    <t>zhswmc@nblbd.com</t>
  </si>
  <si>
    <t>150272683</t>
  </si>
  <si>
    <t>150275035</t>
  </si>
  <si>
    <t>NEW ESKATON ROAD</t>
  </si>
  <si>
    <t>NEW_ESKATON_ROAD</t>
  </si>
  <si>
    <t>503</t>
  </si>
  <si>
    <t>150270001</t>
  </si>
  <si>
    <t>150280341</t>
  </si>
  <si>
    <t>0167 /</t>
  </si>
  <si>
    <t>MIZAN MARKET, HOLING NO 952, WARD 4, BIRAMPUR, DINAJPUR</t>
  </si>
  <si>
    <t>05322 56407, 56507, 017 30330338, 018 44097428</t>
  </si>
  <si>
    <t>birampur@nblbd.com</t>
  </si>
  <si>
    <t>05322 56507</t>
  </si>
  <si>
    <t>150280675</t>
  </si>
  <si>
    <t>0037 / 067</t>
  </si>
  <si>
    <t>GONESHTALA ROAD, WEST OF MORDERN CINEMA HALL, DINAJPUR</t>
  </si>
  <si>
    <t>0531 64744, 63288, 66165, 017 13330608</t>
  </si>
  <si>
    <t>dinajpur@nblbd.com</t>
  </si>
  <si>
    <t>150290281</t>
  </si>
  <si>
    <t>0083 / 028</t>
  </si>
  <si>
    <t>NBLBBDDH083</t>
  </si>
  <si>
    <t>TINPOTTI, BHANGA BAZAR, MAIN ROAD, BHANGA, FARIDPUR</t>
  </si>
  <si>
    <t>06323 56512, 56513, 017 13336384</t>
  </si>
  <si>
    <t>bhanga@nblbd.com</t>
  </si>
  <si>
    <t>06323 56512</t>
  </si>
  <si>
    <t>150290357</t>
  </si>
  <si>
    <t>BOALMARI SME BRANCH</t>
  </si>
  <si>
    <t>BOALMARI_SME_BRANCH</t>
  </si>
  <si>
    <t>0129 / 035</t>
  </si>
  <si>
    <t>NBLBBDDH129</t>
  </si>
  <si>
    <t>06324 56391, 56393, 018 44097407, 017 3031999</t>
  </si>
  <si>
    <t>boalmari@nblbd.com</t>
  </si>
  <si>
    <t>06324 56393</t>
  </si>
  <si>
    <t>150290528</t>
  </si>
  <si>
    <t>0027 / 052</t>
  </si>
  <si>
    <t>AL-HAJI ABDUL HAMID BUILDING, 83 CHAKBAZAR, FARIDPUR</t>
  </si>
  <si>
    <t>0631 62542, 62577, 017 13330614</t>
  </si>
  <si>
    <t>faridpur@nblbd.com</t>
  </si>
  <si>
    <t>150290610</t>
  </si>
  <si>
    <t>0158 /</t>
  </si>
  <si>
    <t>HOTEL RAFFLES INN BUILDING, 31/D GOALCHAMAT, KOTOWALI, FARIDPUR</t>
  </si>
  <si>
    <t>017 14161201</t>
  </si>
  <si>
    <t>goalchamat@nblbd.com</t>
  </si>
  <si>
    <t>150290928</t>
  </si>
  <si>
    <t>KANAIPUR BAZAR SME BRANCH</t>
  </si>
  <si>
    <t>KANAIPUR_BAZAR_SME_BRANCH</t>
  </si>
  <si>
    <t>0115 / 092</t>
  </si>
  <si>
    <t>KB SUPER MARKET, KANAIPUR BAZAR, KANAIPUR, KATAWALI, FARIDPUR</t>
  </si>
  <si>
    <t>017 30326249, 017 13438587, 018 44097415</t>
  </si>
  <si>
    <t>kanaipur@nblbd.com</t>
  </si>
  <si>
    <t>150300371</t>
  </si>
  <si>
    <t>0029 / 037</t>
  </si>
  <si>
    <t>DAGANBHUIYAN BAZAR, DAGANBHUIYAN, FENI</t>
  </si>
  <si>
    <t>03323 79047, 79094, 017 13330629</t>
  </si>
  <si>
    <t>daganbhuiyan@nblbd.com</t>
  </si>
  <si>
    <t>03323 79047</t>
  </si>
  <si>
    <t>150300526</t>
  </si>
  <si>
    <t>0011 / 052</t>
  </si>
  <si>
    <t>JAHIRIYA MOSQUE WAQF, ESTATE MARKET, S S K ROAD, FENI</t>
  </si>
  <si>
    <t>0331 74344, 73188,74188, 017 13103051</t>
  </si>
  <si>
    <t>feni@nblbd.com</t>
  </si>
  <si>
    <t>150301488</t>
  </si>
  <si>
    <t>0121 / 148</t>
  </si>
  <si>
    <t>MANIK MIAH PLAZA, MAIN ROAD, SONAGAZI, FENI</t>
  </si>
  <si>
    <t>017 30329687, 018 44097402</t>
  </si>
  <si>
    <t>sonagazi@nblbd.com</t>
  </si>
  <si>
    <t>150320522</t>
  </si>
  <si>
    <t>0099 / 052</t>
  </si>
  <si>
    <t>PRAN GOBINDA PLAZA, PAR ROAD, GAIBANDHA</t>
  </si>
  <si>
    <t>0541 52214, 017 13425944</t>
  </si>
  <si>
    <t>gaibandha@nblbd.com</t>
  </si>
  <si>
    <t>0541 62531</t>
  </si>
  <si>
    <t>150330525</t>
  </si>
  <si>
    <t>0072 / 052</t>
  </si>
  <si>
    <t>TANVIR PLAZA, BAZAR BUS STAND, JOYDEBPUR, GAZIPUR</t>
  </si>
  <si>
    <t>017 13388917</t>
  </si>
  <si>
    <t>gazipur@nblbd.com</t>
  </si>
  <si>
    <t>150330675</t>
  </si>
  <si>
    <t>JOINABAZAR BRANCH</t>
  </si>
  <si>
    <t>JOINABAZAR_BRANCH</t>
  </si>
  <si>
    <t>0172 /</t>
  </si>
  <si>
    <t>NOICE TOWER, JOYNA BAZAR, DHANUA, SREEPUR, GAZIPUR</t>
  </si>
  <si>
    <t>017 13190881, 018 44097323</t>
  </si>
  <si>
    <t>joinabazar@nblbd.com</t>
  </si>
  <si>
    <t>150330796</t>
  </si>
  <si>
    <t>0093 / 079</t>
  </si>
  <si>
    <t>ATAUR COMPLEX, HOLDING NO 39, KALIAKOIR BAZAR, GAZIPUR</t>
  </si>
  <si>
    <t>02 9203131, 017 13425865, 018 44097326</t>
  </si>
  <si>
    <t>kaliakoir@nblbd.com</t>
  </si>
  <si>
    <t>150330888</t>
  </si>
  <si>
    <t>0173 /</t>
  </si>
  <si>
    <t>EKOTA PLAZA, KAPASIA BAZAR, GAZIPUR</t>
  </si>
  <si>
    <t>02 9208110, 9208111, 017 13378962</t>
  </si>
  <si>
    <t>kapasia@nblbd.com</t>
  </si>
  <si>
    <t>150331674</t>
  </si>
  <si>
    <t>0135 / 167</t>
  </si>
  <si>
    <t>HAQUE ASHA COMPLEX, ANARKALI ROAD, TONGI BAZAR, GAZIPUR</t>
  </si>
  <si>
    <t>017 30706758</t>
  </si>
  <si>
    <t>tongi@nblbd.com</t>
  </si>
  <si>
    <t>150360616</t>
  </si>
  <si>
    <t>0071 / 061</t>
  </si>
  <si>
    <t>ASHRAF JAHAN COMPLEX, KALIBARI ROAD, HABIGANJ</t>
  </si>
  <si>
    <t>0831 61411, 62211</t>
  </si>
  <si>
    <t>habigonj@nblbd.com</t>
  </si>
  <si>
    <t>150390857</t>
  </si>
  <si>
    <t>0075 / 085</t>
  </si>
  <si>
    <t>MOKADDES MANSION, HOUSE NO 161, ROAD 1, DOYAMOYEE ROAD, JAMALPUR</t>
  </si>
  <si>
    <t>0981 62718-9, 017 13330622</t>
  </si>
  <si>
    <t>jamalpur@nblbd.com</t>
  </si>
  <si>
    <t>150410553</t>
  </si>
  <si>
    <t>0084 / 055</t>
  </si>
  <si>
    <t>HIGH SCHOOL ROAD, CHOWGACHA BAZAR, JESSORE</t>
  </si>
  <si>
    <t>017 13336386</t>
  </si>
  <si>
    <t>chowgacha@nblbd.com</t>
  </si>
  <si>
    <t>04224 56566</t>
  </si>
  <si>
    <t>150410940</t>
  </si>
  <si>
    <t>0028 / 094</t>
  </si>
  <si>
    <t>11-12 GARIKHANA MAIN ROAD, JESSORE</t>
  </si>
  <si>
    <t>0421 68684, 68481, 017 13330618</t>
  </si>
  <si>
    <t>jessore@nblbd.com</t>
  </si>
  <si>
    <t>150420314</t>
  </si>
  <si>
    <t>0057 / 031</t>
  </si>
  <si>
    <t>354 FARIAPATTY, JHALAKATI</t>
  </si>
  <si>
    <t>0498 63464, 62795, 017 13330617</t>
  </si>
  <si>
    <t>jhalakathi@nblbd.com</t>
  </si>
  <si>
    <t>150440802</t>
  </si>
  <si>
    <t>0126 / 080</t>
  </si>
  <si>
    <t>NAIDANGA BHUSAN HIGH SCHOOL ROAD, MAHDHUGANJ BAZAR, NAIDANGA, KALIGANJ, JHENAIDAH</t>
  </si>
  <si>
    <t>04523 56668, 56669, 017 30318852</t>
  </si>
  <si>
    <t>kaligonj@nblbd.com</t>
  </si>
  <si>
    <t>150380409</t>
  </si>
  <si>
    <t>0062 / 040</t>
  </si>
  <si>
    <t>GOLAM AFTAB SUPER MARKET, SADAR ROAD, JOYPURHAT</t>
  </si>
  <si>
    <t>0571 62251, 017 13330612</t>
  </si>
  <si>
    <t>joypurhat@nblbd.com</t>
  </si>
  <si>
    <t>150471392</t>
  </si>
  <si>
    <t>KDA BRANCH</t>
  </si>
  <si>
    <t>KDA_BRANCH</t>
  </si>
  <si>
    <t>0066 / 139</t>
  </si>
  <si>
    <t>BHBFC BHABAN, KDA COMMERCIAL AREA, 15-16 KHAN A SABUR ROAD, KHULNA</t>
  </si>
  <si>
    <t>041 611155, 611003, 017 13330621</t>
  </si>
  <si>
    <t>kda@nblbd.com</t>
  </si>
  <si>
    <t>150471547</t>
  </si>
  <si>
    <t>0007 / 154</t>
  </si>
  <si>
    <t>NBLBBDDH007</t>
  </si>
  <si>
    <t>2 SIR IQBAL ROAD, KHULNA</t>
  </si>
  <si>
    <t>041 720501, 720607, 721757</t>
  </si>
  <si>
    <t>khulna@nblbd.com</t>
  </si>
  <si>
    <t>150480325</t>
  </si>
  <si>
    <t>GACHIHATA BRANCH</t>
  </si>
  <si>
    <t>GACHIHATA_BRANCH</t>
  </si>
  <si>
    <t>0133 / 032</t>
  </si>
  <si>
    <t>017 30700080, 017 13335821</t>
  </si>
  <si>
    <t>gachihata@nblbd.com</t>
  </si>
  <si>
    <t>150480675</t>
  </si>
  <si>
    <t>0065 / 067</t>
  </si>
  <si>
    <t>1158 HAJEE AKKAS MARKET, BARABAZAR, KISHOREGANJ</t>
  </si>
  <si>
    <t>0941 62509, 62060</t>
  </si>
  <si>
    <t>kishoregonj@nblbd.com</t>
  </si>
  <si>
    <t>150481087</t>
  </si>
  <si>
    <t>0144 / 108</t>
  </si>
  <si>
    <t>PAKUNDIA - MOTHKHOLA ROAD, PAKUNDIA BAZAR, PAKUNDIA, KISHOREGANJ</t>
  </si>
  <si>
    <t>017 30729176, 018 44097354</t>
  </si>
  <si>
    <t>pakundia@nblbd.com</t>
  </si>
  <si>
    <t>150500942</t>
  </si>
  <si>
    <t>0041 / 094</t>
  </si>
  <si>
    <t>RAZZAK SUPER MARKET, 18 NAWAB SIRAJUDDOULA ROAD, KUSHTIA</t>
  </si>
  <si>
    <t>01713 330620</t>
  </si>
  <si>
    <t>kushtia@nblbd.com</t>
  </si>
  <si>
    <t>150540702</t>
  </si>
  <si>
    <t>0095 / 070</t>
  </si>
  <si>
    <t>MOLLAH NEW SUPER MARKET, 1216 SADAR ROAD, SHIBCHAR BAZAR, MADARIPUR</t>
  </si>
  <si>
    <t>017 13431476</t>
  </si>
  <si>
    <t>shibchar@nblbd.com</t>
  </si>
  <si>
    <t>150560832</t>
  </si>
  <si>
    <t>0130 / 083</t>
  </si>
  <si>
    <t>GAZOM MARKET, SINGAIR BAZAR, SINGAIR, MANIKGANJ</t>
  </si>
  <si>
    <t>017 30318853</t>
  </si>
  <si>
    <t>singair@nblbd.com</t>
  </si>
  <si>
    <t>150580946</t>
  </si>
  <si>
    <t>0110 / 094</t>
  </si>
  <si>
    <t>HAJI CHERAG ALI SHOPPING CENTER, 190 MOULVIBAZAR ROAD, KULAURA, MOULVIBAZAR</t>
  </si>
  <si>
    <t>08624 56682, 56683</t>
  </si>
  <si>
    <t>kulaura@nblbd.com</t>
  </si>
  <si>
    <t>150581187</t>
  </si>
  <si>
    <t>0019 / 118</t>
  </si>
  <si>
    <t>95 COURT ROAD, MOULVIBAZAR</t>
  </si>
  <si>
    <t>0861 61371, 64081, 64082, 017 11922952</t>
  </si>
  <si>
    <t>moulvibazar@nblbd.com</t>
  </si>
  <si>
    <t>150581729</t>
  </si>
  <si>
    <t>0020 / 172</t>
  </si>
  <si>
    <t>187 MAULVIBAZAR ROAD, SREEMANGAL, MOULVIBAZAR</t>
  </si>
  <si>
    <t>08626 71778, 71367, 017 11922602</t>
  </si>
  <si>
    <t>sreemongal@nblbd.com</t>
  </si>
  <si>
    <t>150590099</t>
  </si>
  <si>
    <t>BAGHRABAZAR BRANCH</t>
  </si>
  <si>
    <t>BAGHRABAZAR_BRANCH</t>
  </si>
  <si>
    <t>0124 / 009</t>
  </si>
  <si>
    <t>NAHAR PLAZA, BAGHRA BAZAR, SREENAGAR, MUNSHIGNAJ</t>
  </si>
  <si>
    <t>017 30318851, 017 55538432, 018 44097303</t>
  </si>
  <si>
    <t>baghrabazar@nblbd.com</t>
  </si>
  <si>
    <t>150590165</t>
  </si>
  <si>
    <t>BALUCHAR BRANCH</t>
  </si>
  <si>
    <t>BALUCHAR_BRANCH</t>
  </si>
  <si>
    <t>0175 /</t>
  </si>
  <si>
    <t>MOYUREE MOLLAH SHOPPING COMPLEX, BALUCHAR, WARD 4, SIRAJDIKHAN, MUNSHIGANJ</t>
  </si>
  <si>
    <t>017 13190853, 018 44097304</t>
  </si>
  <si>
    <t>baluchar@nblbd.com</t>
  </si>
  <si>
    <t>150590310</t>
  </si>
  <si>
    <t>0151 /</t>
  </si>
  <si>
    <t>ALAM PLAZA, BALASHUR CHOWRASTA, BHAGYAKUL, SREENAGAR, MUNSHIGANJ</t>
  </si>
  <si>
    <t>017 55546440, 017 55546441</t>
  </si>
  <si>
    <t>bhagyakul@nblbd.com</t>
  </si>
  <si>
    <t>09611 221007</t>
  </si>
  <si>
    <t>150590460</t>
  </si>
  <si>
    <t>0156 /</t>
  </si>
  <si>
    <t>MOHAMMAD ALI PRADAN PLAZA, BHABARCHAR BUS STAND, DHAKA HIGHWAY, BHABERCHAR, GAZARIA, MUNSHIGANJ</t>
  </si>
  <si>
    <t>017 13378967, 017 13190868</t>
  </si>
  <si>
    <t>gazaria@nblbd.com</t>
  </si>
  <si>
    <t>150590699</t>
  </si>
  <si>
    <t>ISAPURA BRANCH</t>
  </si>
  <si>
    <t>ISAPURA_BRANCH</t>
  </si>
  <si>
    <t>0136 / 069</t>
  </si>
  <si>
    <t>ABUL KASHEM SUPER MARKET, ISAPURA, SIRAJDIKHAN, MUNSHIGANJ</t>
  </si>
  <si>
    <t>017 30738364, 017 30738365</t>
  </si>
  <si>
    <t>isapura@nblbd.com</t>
  </si>
  <si>
    <t>150590857</t>
  </si>
  <si>
    <t>LOUHAJANG BRANCH</t>
  </si>
  <si>
    <t>LOUHAJANG_BRANCH</t>
  </si>
  <si>
    <t>0152 /</t>
  </si>
  <si>
    <t>DOULATKHAN COMPLEX, GHORDOUR BAZAR, LOUHAJANG, MUNSHIGANJ 1530</t>
  </si>
  <si>
    <t>017 55546442, 017 55546443</t>
  </si>
  <si>
    <t>lauhajong@nblbd.com</t>
  </si>
  <si>
    <t>150590057</t>
  </si>
  <si>
    <t>0165 /</t>
  </si>
  <si>
    <t>NIMTALA BAZAR, DHAKA-MAOWA ROAD, SIRAJDIKHAN, MUNSHIGANJ</t>
  </si>
  <si>
    <t>017 30339097</t>
  </si>
  <si>
    <t>nimtola@nblbd.com</t>
  </si>
  <si>
    <t>150591427</t>
  </si>
  <si>
    <t>0079 / 142</t>
  </si>
  <si>
    <t>MRIDAH SUPER MARKET, CHAKBAZAR, SREENAGAR, MUNSHIGANJ</t>
  </si>
  <si>
    <t>017 62737702</t>
  </si>
  <si>
    <t>sreenagor@nblbd.com</t>
  </si>
  <si>
    <t>150591548</t>
  </si>
  <si>
    <t>0094 / 154</t>
  </si>
  <si>
    <t>KAZI MARKET, TONGIBARI, MUNSHIGANJ</t>
  </si>
  <si>
    <t>017 13425866</t>
  </si>
  <si>
    <t>tongibari@nblbd.com</t>
  </si>
  <si>
    <t>150610311</t>
  </si>
  <si>
    <t>0100 / 031</t>
  </si>
  <si>
    <t>ASAD MARKET, 214/8 BAZAR ROAD, BHALUKA, MYMENSINGH</t>
  </si>
  <si>
    <t>09022 56077, 56244, 017 13425942</t>
  </si>
  <si>
    <t>bhaluka@nblbd.com</t>
  </si>
  <si>
    <t>09022 56077</t>
  </si>
  <si>
    <t>150611699</t>
  </si>
  <si>
    <t>0153 /</t>
  </si>
  <si>
    <t>PURATON BUS STAND, MYMENSINGH-TANGAIL HIGHWAY, MUKTAGACHHA, MYMENSINGH</t>
  </si>
  <si>
    <t>017 55542428</t>
  </si>
  <si>
    <t>muktagacha@nblbd.com</t>
  </si>
  <si>
    <t>150611752</t>
  </si>
  <si>
    <t>0026 / 175</t>
  </si>
  <si>
    <t>29/1 NISHIKANTA GOSH ROAD, DURGABARI, MYMENSINGH</t>
  </si>
  <si>
    <t>091 65759, 65803, 017 13330626</t>
  </si>
  <si>
    <t>mymensingh@nblbd.com</t>
  </si>
  <si>
    <t>150610979</t>
  </si>
  <si>
    <t>0174 /</t>
  </si>
  <si>
    <t>ANJUMANE HEMAYETE ISLAM SUPER MARKET, PHULPUR, MYMENSINGH</t>
  </si>
  <si>
    <t>017 13425996</t>
  </si>
  <si>
    <t>phulpur@nblbd.com</t>
  </si>
  <si>
    <t>150612351</t>
  </si>
  <si>
    <t>0176 /</t>
  </si>
  <si>
    <t>NAZRUL COLLEGE MARKET, HOLDING NO15, TRISHAL, MYMENSINGH</t>
  </si>
  <si>
    <t>017 30339863</t>
  </si>
  <si>
    <t>trishal@nblbd.com</t>
  </si>
  <si>
    <t>SAKHIPUR</t>
  </si>
  <si>
    <t>150641180</t>
  </si>
  <si>
    <t>0039 / 118</t>
  </si>
  <si>
    <t>CHANDIPUR TOWER, PURATON HOSPITAL ROAD, NAOGAON</t>
  </si>
  <si>
    <t>0741 61786, 62376, 62725</t>
  </si>
  <si>
    <t>naogaon@nblbd.com</t>
  </si>
  <si>
    <t>150641201</t>
  </si>
  <si>
    <t>0143 / 120</t>
  </si>
  <si>
    <t>HOSPITAL ROAD, NIAMATPUR BAZAR, NIAMATPUR, NAOGAON</t>
  </si>
  <si>
    <t>07427 56134, 017 30729174</t>
  </si>
  <si>
    <t>niamatpur@nblbd.com</t>
  </si>
  <si>
    <t>07427 56133</t>
  </si>
  <si>
    <t>150671189</t>
  </si>
  <si>
    <t>0010 / 118</t>
  </si>
  <si>
    <t>NBLBBDDH010</t>
  </si>
  <si>
    <t>RAHAT PLAZA, 53/3 SM MALEH ROAD, TANBAZAR, NARAYANGANJ</t>
  </si>
  <si>
    <t>017 13388884</t>
  </si>
  <si>
    <t>narayangonj@nblbd.com</t>
  </si>
  <si>
    <t>150671271</t>
  </si>
  <si>
    <t>0128 / 127</t>
  </si>
  <si>
    <t>2 BB ROAD, NETAIGANJ, NARAYANGANJ</t>
  </si>
  <si>
    <t>017 30318561</t>
  </si>
  <si>
    <t>netaigonj@nblbd.com</t>
  </si>
  <si>
    <t>150671334</t>
  </si>
  <si>
    <t>0050 / 133</t>
  </si>
  <si>
    <t>AL-HAJ AFSAR KARIM BHABAN, D N ROAD, PAGLA, NARAYANGANJ</t>
  </si>
  <si>
    <t>02 7604162, 017 13388880</t>
  </si>
  <si>
    <t>paglabazar@nblbd.com</t>
  </si>
  <si>
    <t>150680675</t>
  </si>
  <si>
    <t>0149 /</t>
  </si>
  <si>
    <t>HAZI MOBARAK PLAZA, HOLDING NO 335, WARD 1, MADHABDI, NARSINGDI</t>
  </si>
  <si>
    <t>02 9446708, 9446732, 017 55547990</t>
  </si>
  <si>
    <t>madhabdi@nblbd.com</t>
  </si>
  <si>
    <t>150680859</t>
  </si>
  <si>
    <t>0023 / 085</t>
  </si>
  <si>
    <t>155 SUTAPATTI MAIN ROAD, NARSINGDI</t>
  </si>
  <si>
    <t>017 13388918</t>
  </si>
  <si>
    <t>narsingdi@nblbd.com</t>
  </si>
  <si>
    <t>150691093</t>
  </si>
  <si>
    <t>0085 / 109</t>
  </si>
  <si>
    <t>REAL COMPLEX, 288 KANAIKHALI, OLD BUS STAND, NATORE</t>
  </si>
  <si>
    <t>017 13336387</t>
  </si>
  <si>
    <t>natore@nblbd.com</t>
  </si>
  <si>
    <t>150730796</t>
  </si>
  <si>
    <t>0038 / 079</t>
  </si>
  <si>
    <t>1/B SHAHEED ZAHURUL HOQUE ROAD, SAIDPUR, NILPHAMARI</t>
  </si>
  <si>
    <t>05526 72490, 72590, 017 13330605</t>
  </si>
  <si>
    <t>saidpur@nblbd.com</t>
  </si>
  <si>
    <t>150750255</t>
  </si>
  <si>
    <t>0088 / 025</t>
  </si>
  <si>
    <t>CITY PLAZA, MAIN ROAD, BASURHAT, COMPANIGANJ, NOAKHALI</t>
  </si>
  <si>
    <t>03233 56245, 56381, 017 13335825</t>
  </si>
  <si>
    <t>bashurhat@nblbd.com</t>
  </si>
  <si>
    <t>150750671</t>
  </si>
  <si>
    <t>0017 / 067</t>
  </si>
  <si>
    <t>DALIA SUPER MARKET, 1522 KARIMPUR ROAD, CHOWMUHANI, NOAKHALI</t>
  </si>
  <si>
    <t>0321 51045, 52353, 51790, 017 13330628</t>
  </si>
  <si>
    <t>chowmuhani@nblbd.com</t>
  </si>
  <si>
    <t>0321 52409</t>
  </si>
  <si>
    <t>150751575</t>
  </si>
  <si>
    <t>0105 / 157</t>
  </si>
  <si>
    <t>MOFIZ PLAZA, MAIN ROAD, MAIJDEE COURT, SUDHARAM, NOAKHALI</t>
  </si>
  <si>
    <t>0321 63150, 63160, 017 13425884</t>
  </si>
  <si>
    <t>maijdee@nblbd.com</t>
  </si>
  <si>
    <t>150761215</t>
  </si>
  <si>
    <t>0061 / 121</t>
  </si>
  <si>
    <t>STATION ROAD, ISHWARDI, PABNA</t>
  </si>
  <si>
    <t>0732 663695, 663835, 017 13330610</t>
  </si>
  <si>
    <t>ishwardi@nblbd.com</t>
  </si>
  <si>
    <t>150761781</t>
  </si>
  <si>
    <t>0036 / 178</t>
  </si>
  <si>
    <t>0731 664499, 65430, 66265. 017 13330604</t>
  </si>
  <si>
    <t>pabna@nblbd.com</t>
  </si>
  <si>
    <t>150770556</t>
  </si>
  <si>
    <t>0142 / 055</t>
  </si>
  <si>
    <t>HOLDING NO 51, ISLAMBAGH, TATULIA RAOD, PANCHAGARH</t>
  </si>
  <si>
    <t>0568 61288, 61760, 017 30727770</t>
  </si>
  <si>
    <t>panchagarh@nblbd.com</t>
  </si>
  <si>
    <t>150810616</t>
  </si>
  <si>
    <t>0081 / 061</t>
  </si>
  <si>
    <t>DAYING PARA BUS STAND, GODAGARI, RAJSHAHI</t>
  </si>
  <si>
    <t>02 47856286, 47856287</t>
  </si>
  <si>
    <t>godagari@nblbd.com</t>
  </si>
  <si>
    <t>150811936</t>
  </si>
  <si>
    <t>0005 / 193</t>
  </si>
  <si>
    <t>106-109 SHAHEB BAZAR, RAJSHAHI</t>
  </si>
  <si>
    <t>0247 774483, 772563, 812673</t>
  </si>
  <si>
    <t>rajshahi@nblbd.com</t>
  </si>
  <si>
    <t>150851459</t>
  </si>
  <si>
    <t>0006 / 145</t>
  </si>
  <si>
    <t>CHAMBER BHABAN, DL ROY ROAD, RANGPUR</t>
  </si>
  <si>
    <t>0521 65749, 62469, 65312, 017 13330603</t>
  </si>
  <si>
    <t>rangpur@nblbd.com</t>
  </si>
  <si>
    <t>150851617</t>
  </si>
  <si>
    <t>SATHIBARI BRANCH</t>
  </si>
  <si>
    <t>SATHIBARI_BRANCH</t>
  </si>
  <si>
    <t>0114 / 161</t>
  </si>
  <si>
    <t>HAJI SHOPING COMPLEX, DURGAPUR, SATHIBARI, MITHAPUKUR, RANGPUR</t>
  </si>
  <si>
    <t>05225 56387, 017 30326245</t>
  </si>
  <si>
    <t>shathibari@nblbd.com</t>
  </si>
  <si>
    <t>150871097</t>
  </si>
  <si>
    <t>0024 / 109</t>
  </si>
  <si>
    <t>NBLBBDDH024</t>
  </si>
  <si>
    <t>32-33 OLD COLLEGE ROAD, SULTANPUR BAZAR, SATKHIRA</t>
  </si>
  <si>
    <t>00471 63427, 62107, 017 13330619</t>
  </si>
  <si>
    <t>satkhira@nblbd.com</t>
  </si>
  <si>
    <t>150860103</t>
  </si>
  <si>
    <t>0145 / 010</t>
  </si>
  <si>
    <t>801-2 BHEDERGANJ BAZAR, BHEDARGANJ, SHARIATPUR</t>
  </si>
  <si>
    <t>06022 56146-7, 017 30729172</t>
  </si>
  <si>
    <t>bhedergonj@nblbd.com</t>
  </si>
  <si>
    <t>06022 56146</t>
  </si>
  <si>
    <t>150860145</t>
  </si>
  <si>
    <t>0120 / 014</t>
  </si>
  <si>
    <t>BHOJESHWAR, NARIA, SHARIATPUR</t>
  </si>
  <si>
    <t>017 30319993</t>
  </si>
  <si>
    <t>bhojeshwar@nbl.com</t>
  </si>
  <si>
    <t>150860282</t>
  </si>
  <si>
    <t>0138 / 028</t>
  </si>
  <si>
    <t>GHARISHAR BAZAR, NARIA, SHARIATPUR</t>
  </si>
  <si>
    <t>017 30708009, 017 30729170</t>
  </si>
  <si>
    <t>gharishar@nblbd.com</t>
  </si>
  <si>
    <t>150860345</t>
  </si>
  <si>
    <t>GOSHAIRHAT BRANCH</t>
  </si>
  <si>
    <t>GOSHAIRHAT_BRANCH</t>
  </si>
  <si>
    <t>0160 /</t>
  </si>
  <si>
    <t>SIKDER POINT, GOSHAIRHAT, SHARIATPUR</t>
  </si>
  <si>
    <t>017 30014046, 017 13103670</t>
  </si>
  <si>
    <t>goshairhat@nblbd.com</t>
  </si>
  <si>
    <t>150860390</t>
  </si>
  <si>
    <t>KARTIKPUR BRANCH</t>
  </si>
  <si>
    <t>KARTIKPUR_BRANCH</t>
  </si>
  <si>
    <t>0112 / 039</t>
  </si>
  <si>
    <t>KARTIKPUR BAZAR, BHEDARGANJ, SHARIATPUR</t>
  </si>
  <si>
    <t>017 13190715, 017 30329007</t>
  </si>
  <si>
    <t>kartikpur@nblbd.com</t>
  </si>
  <si>
    <t>150860411</t>
  </si>
  <si>
    <t>0146 /</t>
  </si>
  <si>
    <t>DUBISHAYBOR BANDAR, KAZIRHAT, ZAJIRA, SHARIATPUR</t>
  </si>
  <si>
    <t>017 55538434-35</t>
  </si>
  <si>
    <t>kazirhat@nblbd.com</t>
  </si>
  <si>
    <t>150860587</t>
  </si>
  <si>
    <t>0082 / 058</t>
  </si>
  <si>
    <t>NEW DHALI MARKET, MAIN ROAD, NARIA BAZAR, SHARIATPUR</t>
  </si>
  <si>
    <t>017 13336385</t>
  </si>
  <si>
    <t>naria@nblbd.com</t>
  </si>
  <si>
    <t>150860679</t>
  </si>
  <si>
    <t>0139 / 067</t>
  </si>
  <si>
    <t>SR PLAZA, MAIN ROAD, PALANG, SHARIATPUR</t>
  </si>
  <si>
    <t>0601 51235, 51236, 017 30738362</t>
  </si>
  <si>
    <t>shariatpur@nblbd.com</t>
  </si>
  <si>
    <t>150860053</t>
  </si>
  <si>
    <t>ZHSUST BRANCH</t>
  </si>
  <si>
    <t>ZHSUST_BRANCH</t>
  </si>
  <si>
    <t>0164 /</t>
  </si>
  <si>
    <t>ZH SIKDER UNIVERSITY OF SCIENCE AND TECHNOLOGY, MADHUPUR, KARTIKPUR, BHEDARGANJ, SHARIATPUR</t>
  </si>
  <si>
    <t>017 30339807</t>
  </si>
  <si>
    <t>zhsust@nblbd.com</t>
  </si>
  <si>
    <t>150890557</t>
  </si>
  <si>
    <t>0076 / 055</t>
  </si>
  <si>
    <t>86 COLLEGE ROAD, TINANI BAZAR, SHERPUR</t>
  </si>
  <si>
    <t>0931 61028, 61048, 017 13330623</t>
  </si>
  <si>
    <t>sherpur@nblbd.com</t>
  </si>
  <si>
    <t>150880233</t>
  </si>
  <si>
    <t>0117 / 023</t>
  </si>
  <si>
    <t>AMIN RAZZAK PLAZA, MUKUNDAGATI BAZAR, BELKUCHI, SIRAJGANJ</t>
  </si>
  <si>
    <t>07522 56373, 017 13258790</t>
  </si>
  <si>
    <t>belkuchi@nblbd.com</t>
  </si>
  <si>
    <t>07522 56374</t>
  </si>
  <si>
    <t>150881908</t>
  </si>
  <si>
    <t>0092 / 190</t>
  </si>
  <si>
    <t>SOLAIMAN SHOPPING COMPLEX, 493 BSCIC ROAD, DARIAPUR, SHAHJADPUR, SIRAJGANJ</t>
  </si>
  <si>
    <t>07527 64560, 64640, 017 13425867</t>
  </si>
  <si>
    <t>shahajadpur@nblbd.com</t>
  </si>
  <si>
    <t>150881874</t>
  </si>
  <si>
    <t>0040 / 187</t>
  </si>
  <si>
    <t>KHAN MANJIL, SS ROAD, SIRAJGANJ</t>
  </si>
  <si>
    <t>0751 62428, 017 11816771</t>
  </si>
  <si>
    <t>sirajgonj@nblbd.com</t>
  </si>
  <si>
    <t>150900221</t>
  </si>
  <si>
    <t>0134 / 022</t>
  </si>
  <si>
    <t>TAHER CENTER, CHHATAK BAZAR, SUNAMGANJ</t>
  </si>
  <si>
    <t>08723 56240, 56243, 017 30341388</t>
  </si>
  <si>
    <t>chatak@nblbd.com</t>
  </si>
  <si>
    <t>08723 56247</t>
  </si>
  <si>
    <t>150900739</t>
  </si>
  <si>
    <t>MIRPUR BAZAR BRANCH</t>
  </si>
  <si>
    <t>MIRPUR_BAZAR_BRANCH</t>
  </si>
  <si>
    <t>0033 / 073</t>
  </si>
  <si>
    <t>CHAND ALI SHOPPING CENTRE, MIRPUR, JAGANNATHPUR, SUNAMGANJ</t>
  </si>
  <si>
    <t>017 11923075</t>
  </si>
  <si>
    <t>mirpurbazar@nblbd.com</t>
  </si>
  <si>
    <t>150901125</t>
  </si>
  <si>
    <t>0086 / 112</t>
  </si>
  <si>
    <t>KHALEDABAD BHABAN, STATION ROAD, SUNAMGANJ</t>
  </si>
  <si>
    <t>0871 61550, 61551, 017 13335823, 018 44097472</t>
  </si>
  <si>
    <t>sunamgonj@nblbd.com</t>
  </si>
  <si>
    <t>150910316</t>
  </si>
  <si>
    <t>0044 / 031</t>
  </si>
  <si>
    <t>SHOHRAB MANSION, MAIN ROAD, BEANIBAZAR, SYLHET</t>
  </si>
  <si>
    <t>08223 88343, 017 13388916</t>
  </si>
  <si>
    <t>beanibazar@nblbd.com</t>
  </si>
  <si>
    <t>08223 56010</t>
  </si>
  <si>
    <t>150910437</t>
  </si>
  <si>
    <t>0070 / 043</t>
  </si>
  <si>
    <t>AL-HERA SHOPPING CITY, BISHWANATH, SYLHET</t>
  </si>
  <si>
    <t>08224 56024, 56025, 017 11923074</t>
  </si>
  <si>
    <t>bishwanath@nblbd.com</t>
  </si>
  <si>
    <t>150911360</t>
  </si>
  <si>
    <t>0109 / 136</t>
  </si>
  <si>
    <t>GALAXY SHOPPING COMPLEX, THANA ROAD, FENCHUGANJ, SYLHET</t>
  </si>
  <si>
    <t>017 30326247</t>
  </si>
  <si>
    <t>fenchugonj@nblbd.com</t>
  </si>
  <si>
    <t>150911607</t>
  </si>
  <si>
    <t>0078 / 160</t>
  </si>
  <si>
    <t>RANAPING SQUARE, 78/1 GOLAPGANJ CHOWMUHANI, GOLAPGANJ, SYLHET</t>
  </si>
  <si>
    <t>08227 56220, 56221</t>
  </si>
  <si>
    <t>golapgonj@nblbd.com</t>
  </si>
  <si>
    <t>150911902</t>
  </si>
  <si>
    <t>0096 / 190</t>
  </si>
  <si>
    <t>AL FERDOUS SHOPPING COMPLEX, KOTWALI, SYLHET</t>
  </si>
  <si>
    <t>0821 840034, 840035, 017 13431475</t>
  </si>
  <si>
    <t>kadamtoli@nblbd.com</t>
  </si>
  <si>
    <t>150913405</t>
  </si>
  <si>
    <t>0051 / 340</t>
  </si>
  <si>
    <t>BANORUPA, HOUSE NO 42, ROAD 15, BLOCK B, MAIN ROAD, SHAHJALAL UPASHAHAR, SYLHET</t>
  </si>
  <si>
    <t>0821 760575, 760525, 017 11923073</t>
  </si>
  <si>
    <t>shibgonj@nblbd.com</t>
  </si>
  <si>
    <t>150912598</t>
  </si>
  <si>
    <t>SIKDER TOWER BRANCH</t>
  </si>
  <si>
    <t>SIKDER_TOWER_BRANCH</t>
  </si>
  <si>
    <t>0161 /</t>
  </si>
  <si>
    <t>SIKDER TOWER, 847 MIRABAZAR, TAMABIL ROAD, SYLHET</t>
  </si>
  <si>
    <t>0821 728867, 728868, 017 30339992</t>
  </si>
  <si>
    <t>sikdertower@nblbd.com</t>
  </si>
  <si>
    <t>150913492</t>
  </si>
  <si>
    <t>0059 / 349</t>
  </si>
  <si>
    <t>EXELL TOWER, SUBIDBAZAR, SYLHET</t>
  </si>
  <si>
    <t>017 11923062</t>
  </si>
  <si>
    <t>subidbazar@nblbd.com</t>
  </si>
  <si>
    <t>150913555</t>
  </si>
  <si>
    <t>0008 / 355</t>
  </si>
  <si>
    <t>LALDIGHIRPAR, SYLHET</t>
  </si>
  <si>
    <t>0821 715982, 017 11923019</t>
  </si>
  <si>
    <t>sylhet@nblbd.com</t>
  </si>
  <si>
    <t>150913821</t>
  </si>
  <si>
    <t>0034 / 382</t>
  </si>
  <si>
    <t>TAJPUR, OSMANINAGAR, SYLHET</t>
  </si>
  <si>
    <t>08242 56024, 56655, 017 11922951</t>
  </si>
  <si>
    <t>tajpur@nblbd.com</t>
  </si>
  <si>
    <t>150914154</t>
  </si>
  <si>
    <t>0035 / 415</t>
  </si>
  <si>
    <t>WEST WORLD SHOPPING CITY, JALLARPAR, ZINDABAZAR, SYLHET 3100</t>
  </si>
  <si>
    <t>0821 717157, 017 11922538</t>
  </si>
  <si>
    <t>zindabazar@nblbd.com</t>
  </si>
  <si>
    <t>150931016</t>
  </si>
  <si>
    <t>0118 / 101</t>
  </si>
  <si>
    <t>KONABARI BAZAR, GOPALPUR, TANGAIL</t>
  </si>
  <si>
    <t>09226 75188, 017 30318850</t>
  </si>
  <si>
    <t>gopalpur@nblbd.com</t>
  </si>
  <si>
    <t>150931308</t>
  </si>
  <si>
    <t>0108 / 130</t>
  </si>
  <si>
    <t>BOGA SUPER MARKET, KALIHATI, TANGAIL</t>
  </si>
  <si>
    <t>09227 74212, 74303, 017 30326246</t>
  </si>
  <si>
    <t>kalihati@nblbd.com</t>
  </si>
  <si>
    <t>150931579</t>
  </si>
  <si>
    <t>0080 / 157</t>
  </si>
  <si>
    <t>TARA COMPLEX, PLOT NO 354, MYMENSINGH ROAD, MADHUPUR, TANGAIL</t>
  </si>
  <si>
    <t>017 13336382, 018 44097335</t>
  </si>
  <si>
    <t>madhupur@nblbd.com</t>
  </si>
  <si>
    <t>150931524</t>
  </si>
  <si>
    <t>0141 / 152</t>
  </si>
  <si>
    <t>HALIM SUPER MARKET, MAIN ROAD, MIRZAPUR, TANGAIL</t>
  </si>
  <si>
    <t>09229 56594, 56595 017 30727774</t>
  </si>
  <si>
    <t>mirzapur@nblbd.com</t>
  </si>
  <si>
    <t>150932202</t>
  </si>
  <si>
    <t>SHAKHIPUR BRANCH</t>
  </si>
  <si>
    <t>SHAKHIPUR_BRANCH</t>
  </si>
  <si>
    <t>0140 / 220</t>
  </si>
  <si>
    <t>SIKDER SHOPPING COMPLEX, SHAKHIPUR, TANGAIL</t>
  </si>
  <si>
    <t>017 30738366, 018 44097360</t>
  </si>
  <si>
    <t>shakhipur@nblbd.com</t>
  </si>
  <si>
    <t>150932299</t>
  </si>
  <si>
    <t>0025 / 229</t>
  </si>
  <si>
    <t>209 VICTORIA ROAD, TANGAIL</t>
  </si>
  <si>
    <t>0921 63608, 64222, 017 13330625</t>
  </si>
  <si>
    <t>tangail@nblbd.com</t>
  </si>
  <si>
    <t>150940973</t>
  </si>
  <si>
    <t>0074 / 097</t>
  </si>
  <si>
    <t>TOWN PLAZA, NORTH CIRCULAR ROAD, THAKURGAON</t>
  </si>
  <si>
    <t>0561 61999, 52687, 017 13330611</t>
  </si>
  <si>
    <t>thakurgaon@nblbd.com</t>
  </si>
  <si>
    <t>NATIONAL_BANK_OF_PAKISTAN</t>
  </si>
  <si>
    <t>NATIONAL BANK OF PAKISTAN</t>
  </si>
  <si>
    <t>155151967</t>
  </si>
  <si>
    <t>1964 / 196</t>
  </si>
  <si>
    <t>NBPABDDH</t>
  </si>
  <si>
    <t>69 AGRABAD C/A, CHITTAGONG</t>
  </si>
  <si>
    <t>031 2520272, 2520292</t>
  </si>
  <si>
    <t>chittagong@nbp-bd.com</t>
  </si>
  <si>
    <t>031 2520305</t>
  </si>
  <si>
    <t>155261723</t>
  </si>
  <si>
    <t>2033 / 172</t>
  </si>
  <si>
    <t>80 GULSHAN AVENUE, GULSHAN 1, DHAKA 1212</t>
  </si>
  <si>
    <t>02 9897458, 9895025</t>
  </si>
  <si>
    <t>gulshan@nbp-bd.com</t>
  </si>
  <si>
    <t>02 9861028</t>
  </si>
  <si>
    <t>155271784</t>
  </si>
  <si>
    <t>1020 / 178</t>
  </si>
  <si>
    <t>79 MOTIJHEEL C/A, DHAKA 1000</t>
  </si>
  <si>
    <t>02 9560248-49, 9561171</t>
  </si>
  <si>
    <t>motijheel@nbp-bd.com</t>
  </si>
  <si>
    <t>02 9560247</t>
  </si>
  <si>
    <t>155270006</t>
  </si>
  <si>
    <t>155913550</t>
  </si>
  <si>
    <t>2032 / 355</t>
  </si>
  <si>
    <t>METROPOLITAN MARKET, SOBHANIGHAT, SYLHET</t>
  </si>
  <si>
    <t>0821 728159, 728158</t>
  </si>
  <si>
    <t>sylhet@nbp-bd.com</t>
  </si>
  <si>
    <t>0821 728160</t>
  </si>
  <si>
    <t>NATIONAL_CREDIT_&amp;_COMMERCE_BANK_LIMITED</t>
  </si>
  <si>
    <t>NATIONAL CREDIT &amp;amp; COMMERCE BANK LIMITED</t>
  </si>
  <si>
    <t>NRB_BANK_LIMITED</t>
  </si>
  <si>
    <t>NRB BANK LIMITED</t>
  </si>
  <si>
    <t>290100378</t>
  </si>
  <si>
    <t>NRBDBDDH</t>
  </si>
  <si>
    <t>BOGRA TRADE CENTRE, 766 RANGPUR ROAD, DATTA BARI, BARAGALA, BOGRA 5800</t>
  </si>
  <si>
    <t>096 66457400</t>
  </si>
  <si>
    <t>290152142</t>
  </si>
  <si>
    <t>WORLD TRADE CENTER, 102-103 AGRABAD COMMERCIAL AREA, CHITTAGONG 4000</t>
  </si>
  <si>
    <t>031 2516477, 096 66457350</t>
  </si>
  <si>
    <t>031 2516478</t>
  </si>
  <si>
    <t>290260221</t>
  </si>
  <si>
    <t>AHSAN COMPLEX, HOLDING NO 356/1, BASHUNDHARA EPZ ROAD, BAIPILE, ASHULIA, SAVAR, DHAKA 1349</t>
  </si>
  <si>
    <t>096 66457500</t>
  </si>
  <si>
    <t>290261725</t>
  </si>
  <si>
    <t>290273289</t>
  </si>
  <si>
    <t>328 / 328</t>
  </si>
  <si>
    <t>MONOWARA MANSION, EAST LOTAKHOLA, JOYPARA, DOHAR, DHAKA 1330</t>
  </si>
  <si>
    <t>02 7768220, 096 66457300</t>
  </si>
  <si>
    <t>290260218</t>
  </si>
  <si>
    <t>SIMPLE TREE ANARKALI, 89 GULSHAN AVENUE, GULSHAN 1, DHAKA 1212</t>
  </si>
  <si>
    <t>02 55068724-7</t>
  </si>
  <si>
    <t>02 55068729</t>
  </si>
  <si>
    <t>290330164</t>
  </si>
  <si>
    <t>HOTAPARA BRANCH</t>
  </si>
  <si>
    <t>HOTAPARA_BRANCH</t>
  </si>
  <si>
    <t>016 / 016</t>
  </si>
  <si>
    <t>SURMA VALLEY, HOLDING NO 651, HOTAPARA, GAZIPUR 1740</t>
  </si>
  <si>
    <t>096 66457450</t>
  </si>
  <si>
    <t>290911541</t>
  </si>
  <si>
    <t>GOALA BAZAR BRANCH</t>
  </si>
  <si>
    <t>GOALA_BAZAR_BRANCH</t>
  </si>
  <si>
    <t>AL MURAD PLAZA, GOALA BAZAR, OSMANINAGAR, BALAGANJ, SYLHET 3124</t>
  </si>
  <si>
    <t>08242 56163, 56164, 096 66457250</t>
  </si>
  <si>
    <t>290913794</t>
  </si>
  <si>
    <t>379 / 379</t>
  </si>
  <si>
    <t>MANRU SHOPPING CITY, 891 MIR BOX TULA ROAD, CHOWHATTA, SYLHET 3100</t>
  </si>
  <si>
    <t>0821 710282, 711230, 096 66457200</t>
  </si>
  <si>
    <t>0821 710237</t>
  </si>
  <si>
    <t>NRB_COMMERCIAL_BANK_LIMITED</t>
  </si>
  <si>
    <t>NRB COMMERCIAL BANK LIMITED</t>
  </si>
  <si>
    <t>260060280</t>
  </si>
  <si>
    <t>NRBBBDDH</t>
  </si>
  <si>
    <t>LISA PLAZA, 140/1 SADAR ROAD, BARISAL</t>
  </si>
  <si>
    <t>0431 63112, 2176453</t>
  </si>
  <si>
    <t>barisal@nrbcommercialbank.com</t>
  </si>
  <si>
    <t>260150132</t>
  </si>
  <si>
    <t>QUADERI CHEMBER, 37 AGRABAD C/A, CHITTAGONG</t>
  </si>
  <si>
    <t>031 2521702-04</t>
  </si>
  <si>
    <t>agrabad@nrbcommercialbank.com</t>
  </si>
  <si>
    <t>031 2521706</t>
  </si>
  <si>
    <t>260155803</t>
  </si>
  <si>
    <t>580 / 580</t>
  </si>
  <si>
    <t>ATLANTA TRADE CENTRE, GEC MORE, OR NIZAM ROAD, CHITTAGONG</t>
  </si>
  <si>
    <t>031 612413, 612866</t>
  </si>
  <si>
    <t>ornizam@nrbcommercialbank.com</t>
  </si>
  <si>
    <t>260270133</t>
  </si>
  <si>
    <t>DIN COMPLEX, KADAMTALI MORE, SHUVADDA, AGANAGAR, KERANIGANJ, DHAKA</t>
  </si>
  <si>
    <t>02 7764581-82</t>
  </si>
  <si>
    <t>aganagar@nrbcommercialbank.com</t>
  </si>
  <si>
    <t>260260435</t>
  </si>
  <si>
    <t>ROSEBUD, HOUSE NO 155, ROAD 11 &amp;amp; 13/B, BLOCK E, BANANI, DHAKA 1213</t>
  </si>
  <si>
    <t>02 9822394, 9822395, 9822396-7, 016 78433121</t>
  </si>
  <si>
    <t>banani@nrbcommercialbank.com</t>
  </si>
  <si>
    <t>02 9822364</t>
  </si>
  <si>
    <t>260261184</t>
  </si>
  <si>
    <t>MIR NUR SQUARE, HOUSE NO 43, ROAD 2/A, SATMASJID ROAD, DHANMONDI, DHAKA</t>
  </si>
  <si>
    <t>02 9671670, 9671713, 9671786, 9671798</t>
  </si>
  <si>
    <t>dhanmondi@nrbcommercialbank.com</t>
  </si>
  <si>
    <t>260261726</t>
  </si>
  <si>
    <t>SILVER TOWER, 52 GULSHAN AVENUE, GULSHAN 1, DHAKA 1212</t>
  </si>
  <si>
    <t>02 9897531-32</t>
  </si>
  <si>
    <t>gulshan@nrbcommercialbank.com</t>
  </si>
  <si>
    <t>02 8834842</t>
  </si>
  <si>
    <t>260262059</t>
  </si>
  <si>
    <t>205 / 205</t>
  </si>
  <si>
    <t>SOUTH SHYAMPUR, HEMAYETPUR, SAVAR, DHAKA</t>
  </si>
  <si>
    <t>02 7745151</t>
  </si>
  <si>
    <t>hemayetpur@nrbcommercialbank.com</t>
  </si>
  <si>
    <t>02 7745152</t>
  </si>
  <si>
    <t>260263416</t>
  </si>
  <si>
    <t>341 / 341</t>
  </si>
  <si>
    <t>UNITY TRADE CENTRE, DENDABOR POLLY BIDYUT, SAVAR CANTONMENT, ASHULIA, DHAKA</t>
  </si>
  <si>
    <t>02 7792673-74</t>
  </si>
  <si>
    <t>nabinagar@nrbcommercialbank.com</t>
  </si>
  <si>
    <t>260275354</t>
  </si>
  <si>
    <t>114 MOTIJHEEL C/A, DHAKA 1000</t>
  </si>
  <si>
    <t>02 9573422-30</t>
  </si>
  <si>
    <t>prb@nrbcommercialbank.com</t>
  </si>
  <si>
    <t>02 9588323</t>
  </si>
  <si>
    <t>260275833</t>
  </si>
  <si>
    <t>583 / 583</t>
  </si>
  <si>
    <t>RAHIM NOOR SKYVIEW TOWER, RUHITPUR BAZAR, KERANIGANJ, DHAKA</t>
  </si>
  <si>
    <t>02 7766886-7</t>
  </si>
  <si>
    <t>ruhitpur@nrbcommercialbank.com</t>
  </si>
  <si>
    <t>260264631</t>
  </si>
  <si>
    <t>463 / 463</t>
  </si>
  <si>
    <t>MASUM PLAZA, HOUSE NO 13, ROAD 15, RABINDRA SARANI, SECTOR 3, UTTARA, DHAKA</t>
  </si>
  <si>
    <t>02 58950025, 55093592</t>
  </si>
  <si>
    <t>uttara@nrbcommercialbank.com</t>
  </si>
  <si>
    <t>02 58950126</t>
  </si>
  <si>
    <t>260264815</t>
  </si>
  <si>
    <t>481 / 481</t>
  </si>
  <si>
    <t>FUAD COMPLEX, ZIRABO BAZAR, ASHULIA, SAVAR, DHAKA</t>
  </si>
  <si>
    <t>02 7792671, 7792672</t>
  </si>
  <si>
    <t>zirabo@nrbcommercialbank.com</t>
  </si>
  <si>
    <t>260330228</t>
  </si>
  <si>
    <t>BOARDBAZAR BRANCH</t>
  </si>
  <si>
    <t>BOARDBAZAR_BRANCH</t>
  </si>
  <si>
    <t>CHINA TOWN BANGLADESH, 84 KALAMESHWAR, WARD 35, ZONE 2, BOARDBAZAR, JOYDEBPUR, GAZIPUR</t>
  </si>
  <si>
    <t>02 9291834</t>
  </si>
  <si>
    <t>boardbazar@nrbcommercialbank.com</t>
  </si>
  <si>
    <t>02 9291832</t>
  </si>
  <si>
    <t>260331001</t>
  </si>
  <si>
    <t>100 / 100</t>
  </si>
  <si>
    <t>HAZI ABDUS SALAM TOWER, MAWNA, SREEPUR, GAZIPUR</t>
  </si>
  <si>
    <t>019 55502104, 016 78433104</t>
  </si>
  <si>
    <t>mawna@nrbcommercialbank.com</t>
  </si>
  <si>
    <t>260671066</t>
  </si>
  <si>
    <t>MOGRAPARA BRANCH</t>
  </si>
  <si>
    <t>MOGRAPARA_BRANCH</t>
  </si>
  <si>
    <t>106 / 106</t>
  </si>
  <si>
    <t>NURUL ISLAM SUPER MARKET, HABIBPUR, MOGRAPARA CHOWRASTA, SONARGAON, NARAYANGANJ</t>
  </si>
  <si>
    <t>mograpara@nrbcommercialbank.com</t>
  </si>
  <si>
    <t>260671387</t>
  </si>
  <si>
    <t>138 / 138</t>
  </si>
  <si>
    <t>MAMUN SUPER MARKET, HARIHARPARA, ENAYETNAGAR, FATULLAH, NARAYANGANJ</t>
  </si>
  <si>
    <t>02 7670461-2</t>
  </si>
  <si>
    <t>panchabati@nrbcommercialbank.com</t>
  </si>
  <si>
    <t>260680086</t>
  </si>
  <si>
    <t>CHINISHPUR BRANCH</t>
  </si>
  <si>
    <t>CHINISHPUR_BRANCH</t>
  </si>
  <si>
    <t>008 / 008</t>
  </si>
  <si>
    <t>CHINISHPUR, NARSINGDI</t>
  </si>
  <si>
    <t>02 9452481-82</t>
  </si>
  <si>
    <t>chinishpur@nrbcommercialbank.com</t>
  </si>
  <si>
    <t>02 9452483</t>
  </si>
  <si>
    <t>260811934</t>
  </si>
  <si>
    <t>FR PLAZA, 24 RANIBAZAR, BATAR MORE, RAJSHAHI</t>
  </si>
  <si>
    <t>0721 773913, 775012, 775046</t>
  </si>
  <si>
    <t>rajshahi@nrbcommercialbank.com</t>
  </si>
  <si>
    <t>260913553</t>
  </si>
  <si>
    <t>H S TOWER, DARGHAGATE, WAVES 1, SYLHET</t>
  </si>
  <si>
    <t>0821 711486, 711476-77</t>
  </si>
  <si>
    <t>sylhet@nrbcommercialbank.com</t>
  </si>
  <si>
    <t>0821 711486</t>
  </si>
  <si>
    <t>260931030</t>
  </si>
  <si>
    <t>GARAI BRANCH</t>
  </si>
  <si>
    <t>GARAI_BRANCH</t>
  </si>
  <si>
    <t>103 / 103</t>
  </si>
  <si>
    <t>MIR MILTON COMPLEX, GARAI, MIRZAPUR, TANGAIL</t>
  </si>
  <si>
    <t>rahat.s@nrbcommercialbank.com</t>
  </si>
  <si>
    <t>NRB_GLOBAL_BANK_LIMITED</t>
  </si>
  <si>
    <t>NRB GLOBAL BANK LIMITED</t>
  </si>
  <si>
    <t>300150168</t>
  </si>
  <si>
    <t>NGBLBDDH</t>
  </si>
  <si>
    <t>PALM VIEW, 101 AGRABAD C/A, CHITTAGONG</t>
  </si>
  <si>
    <t>031 2517622, 2517611</t>
  </si>
  <si>
    <t>300150526</t>
  </si>
  <si>
    <t>BANDAR SHOPPING COMPLEX, NORTH BANDAR, MAHAL KHAN BAZAR, ANWARA, CHITTAGONG</t>
  </si>
  <si>
    <t>019 55500771</t>
  </si>
  <si>
    <t>300152566</t>
  </si>
  <si>
    <t>SADEK TOWER, DOHAZARI, CHANDANAISH, CHITTAGONG</t>
  </si>
  <si>
    <t>018 19388668</t>
  </si>
  <si>
    <t>300153644</t>
  </si>
  <si>
    <t>SMA TOWER, HOLDING NO 178, JUBILEE ROAD, CHITTAGONG</t>
  </si>
  <si>
    <t>031 63706-8, 639777</t>
  </si>
  <si>
    <t>300155534</t>
  </si>
  <si>
    <t>553 / 553</t>
  </si>
  <si>
    <t>AFFORD SULTAN ELYSIUM, HOLDING NO 331/A, CDA AVENUE, CHITTAGONG</t>
  </si>
  <si>
    <t>031 655463-65</t>
  </si>
  <si>
    <t>300156133</t>
  </si>
  <si>
    <t>613 / 613</t>
  </si>
  <si>
    <t>STATION MARKET, NOAPARA, RAOZAN, CHITTAGONG</t>
  </si>
  <si>
    <t>031 670990, 673013</t>
  </si>
  <si>
    <t>300192171</t>
  </si>
  <si>
    <t>217 / 217</t>
  </si>
  <si>
    <t>CHOWDHURY TOWER, GUNABATI, CHAUDDAGRAM, COMILLA</t>
  </si>
  <si>
    <t>018 19636592</t>
  </si>
  <si>
    <t>300261181</t>
  </si>
  <si>
    <t>RANGS PANORAMA, PLOT NO 80, SATMASJID ROAD, DHANMONDI R/A, DHAKA</t>
  </si>
  <si>
    <t>02 9142331, 9142332</t>
  </si>
  <si>
    <t>300261815</t>
  </si>
  <si>
    <t>GULSHAN CORPORATE BRANCH</t>
  </si>
  <si>
    <t>GULSHAN_CORPORATE_BRANCH</t>
  </si>
  <si>
    <t>181 / 181</t>
  </si>
  <si>
    <t>SAIHAM TOWER, HOUSE NO 34, ROAD 136, GULSHAN MODEL TOWN, BLOCK SE, GULSHAN 1, DHAKA 1212</t>
  </si>
  <si>
    <t>02 9861097, 9860057</t>
  </si>
  <si>
    <t>info@nrbglobalbank.com</t>
  </si>
  <si>
    <t>300274244</t>
  </si>
  <si>
    <t>MODERN MANSION, 53 MOTIJHEEL C/A, DHAKA 1000</t>
  </si>
  <si>
    <t>019 55500818, 02 9580883-5</t>
  </si>
  <si>
    <t>300274873</t>
  </si>
  <si>
    <t>487 / 487</t>
  </si>
  <si>
    <t>ORCHARD FARUQUE TOWER, 72 NAYA PALTAN, VIP ROAD, DHAKA 1000</t>
  </si>
  <si>
    <t>02 9341975</t>
  </si>
  <si>
    <t>300264638</t>
  </si>
  <si>
    <t>PLOT NO 10, GAUSUL AZAM AVENUE, SECTOR 13, UTTARA MODEL TOWN, DHAKA 1230</t>
  </si>
  <si>
    <t>02 7913673, 019 77044350</t>
  </si>
  <si>
    <t>300300084</t>
  </si>
  <si>
    <t>PANCHGACHIA BAZAR BRANCH</t>
  </si>
  <si>
    <t>PANCHGACHIA_BAZAR_BRANCH</t>
  </si>
  <si>
    <t>69 WEST BIJOY SING, FENI-NOAKHALI ROAD, FENI</t>
  </si>
  <si>
    <t>0331 62256, 69101, 73506</t>
  </si>
  <si>
    <t>300330159</t>
  </si>
  <si>
    <t>ULOKHOLA BRANCH</t>
  </si>
  <si>
    <t>ULOKHOLA_BRANCH</t>
  </si>
  <si>
    <t>015 / 015</t>
  </si>
  <si>
    <t>ABDUL WAHAB SARKAR SHOPPING COMPLEX, NAGAR, KALIGANJ, GAZIPUR</t>
  </si>
  <si>
    <t>096 78777097</t>
  </si>
  <si>
    <t>300590915</t>
  </si>
  <si>
    <t>MAWA BRANCH</t>
  </si>
  <si>
    <t>MAWA_BRANCH</t>
  </si>
  <si>
    <t>DULAL PLAZA, SOUTH MEDINIMANDAL, LOUHAJANG, MUNSHIGANJ</t>
  </si>
  <si>
    <t>019 33429972, 096 78777099</t>
  </si>
  <si>
    <t>OFFICE_OF_THE_CONTROLLER_GENERAL__OF_ACCOUNTS</t>
  </si>
  <si>
    <t>OFFICE OF THE CONTROLLER GENERAL  OF ACCOUNTS</t>
  </si>
  <si>
    <t>405270006</t>
  </si>
  <si>
    <t>405000076</t>
  </si>
  <si>
    <t>FISHERIES AND LIVESTOCK</t>
  </si>
  <si>
    <t>FISHERIES_AND_LIVESTOCK</t>
  </si>
  <si>
    <t>405000021</t>
  </si>
  <si>
    <t>HEALTH AND POPULATION CONTROL</t>
  </si>
  <si>
    <t>HEALTH_AND_POPULATION_CONTROL</t>
  </si>
  <si>
    <t>002</t>
  </si>
  <si>
    <t>405000034</t>
  </si>
  <si>
    <t>HOME AFFAIRS</t>
  </si>
  <si>
    <t>HOME_AFFAIRS</t>
  </si>
  <si>
    <t>003</t>
  </si>
  <si>
    <t>405000050</t>
  </si>
  <si>
    <t>INDUSTRIES</t>
  </si>
  <si>
    <t>405000047</t>
  </si>
  <si>
    <t>INFORMATION</t>
  </si>
  <si>
    <t>405000089</t>
  </si>
  <si>
    <t>POSTAL</t>
  </si>
  <si>
    <t>405000018</t>
  </si>
  <si>
    <t>PRIME MINISTER OFFICE</t>
  </si>
  <si>
    <t>PRIME_MINISTER_OFFICE</t>
  </si>
  <si>
    <t>001</t>
  </si>
  <si>
    <t>405000100</t>
  </si>
  <si>
    <t>ROADS AND ROAD COMMUNICATION</t>
  </si>
  <si>
    <t>ROADS_AND_ROAD_COMMUNICATION</t>
  </si>
  <si>
    <t>405000063</t>
  </si>
  <si>
    <t>SOCIAL WELFARE</t>
  </si>
  <si>
    <t>SOCIAL_WELFARE</t>
  </si>
  <si>
    <t>006</t>
  </si>
  <si>
    <t>405000092</t>
  </si>
  <si>
    <t>T AND T</t>
  </si>
  <si>
    <t>T_AND_T</t>
  </si>
  <si>
    <t>009</t>
  </si>
  <si>
    <t>ONE_BANK_LIMITED</t>
  </si>
  <si>
    <t>ONE BANK LIMITED</t>
  </si>
  <si>
    <t>165100379</t>
  </si>
  <si>
    <t>ONEBBDDH</t>
  </si>
  <si>
    <t>RABU TOWER, BARAGALA, BOGRA</t>
  </si>
  <si>
    <t>051 69850, 69860, 017 13201578</t>
  </si>
  <si>
    <t>manager.bogra@onebank.com.bd</t>
  </si>
  <si>
    <t>051 69870</t>
  </si>
  <si>
    <t>165150132</t>
  </si>
  <si>
    <t>ONEBBDDH003</t>
  </si>
  <si>
    <t>HRC BHABAN, 64-66 AGRABAD C/A, CHITTAGONG</t>
  </si>
  <si>
    <t>031 721384, 726295, 711198, 017 77734332</t>
  </si>
  <si>
    <t>manager.agrabad@onebank.com.bd</t>
  </si>
  <si>
    <t>031 714125</t>
  </si>
  <si>
    <t>165150466</t>
  </si>
  <si>
    <t>RAC CHAMBER, 37 RAJA PUKUR LANE, KOTWALI, CHITTAGONG</t>
  </si>
  <si>
    <t>031 2851612-14, 017 66667014</t>
  </si>
  <si>
    <t>manager.anderkilla@onebank.com.bd</t>
  </si>
  <si>
    <t>031 2851611</t>
  </si>
  <si>
    <t>165150529</t>
  </si>
  <si>
    <t>MOHSEN AWLIA SHOPPING COMPLEX, ANWARA-BARKAL ROAD, ANWARA, CHITTAGONG</t>
  </si>
  <si>
    <t>03029 56142-44, 017 66667019</t>
  </si>
  <si>
    <t>manager.anowara@onebank.com.bd</t>
  </si>
  <si>
    <t>03029 56141</t>
  </si>
  <si>
    <t>165151302</t>
  </si>
  <si>
    <t>130 / 130</t>
  </si>
  <si>
    <t>JOINAB TOWER, GOMDONDI, BOALKHALI, CHITTAGONG</t>
  </si>
  <si>
    <t>03032 56181-83, 017 55594061</t>
  </si>
  <si>
    <t>manager.boalkhali@onebank.com.bd</t>
  </si>
  <si>
    <t>03032 56184</t>
  </si>
  <si>
    <t>165151481</t>
  </si>
  <si>
    <t>148 / 148</t>
  </si>
  <si>
    <t>AVENUE CENTER, 787/A CDA AVENUE, EAST NASIRABAD, KOTWALI, CHITTAGONG</t>
  </si>
  <si>
    <t>031 2858151-53, 017 30323091</t>
  </si>
  <si>
    <t>manager.cdaavenue@onebank.com.bd</t>
  </si>
  <si>
    <t>031 2858154</t>
  </si>
  <si>
    <t>165151849</t>
  </si>
  <si>
    <t>184 / 184</t>
  </si>
  <si>
    <t>KHAWAJA COMPLEX, 1706/D ARAKAN ROAD, CHANDGAON, CHITTAGONG</t>
  </si>
  <si>
    <t>031 2573291-93, 017 55594065</t>
  </si>
  <si>
    <t>manager.chandgaon@onebank.com.bd</t>
  </si>
  <si>
    <t>031 2573294</t>
  </si>
  <si>
    <t>165152572</t>
  </si>
  <si>
    <t>DOVASHI BAZAR BRANCH</t>
  </si>
  <si>
    <t>DOVASHI_BAZAR_BRANCH</t>
  </si>
  <si>
    <t>257 / 257</t>
  </si>
  <si>
    <t>TAYABIA MADRASA MARKET, CHANDRAGHONA, RANGUNIA, CHITTAGONG</t>
  </si>
  <si>
    <t>017 55594073, 017 55594074</t>
  </si>
  <si>
    <t>manager.dovashibazar@onebank.com.bd</t>
  </si>
  <si>
    <t>165153168</t>
  </si>
  <si>
    <t>316 / 316</t>
  </si>
  <si>
    <t>HOUSE NO 2, ROAD 3, BLOCK L, HALISHAHAR HOUSING ESTATE, BARAPOLE, CHITTAGONG</t>
  </si>
  <si>
    <t>031 727712-14, 017 55594075</t>
  </si>
  <si>
    <t>manager.halishahar@onebank.com.bd</t>
  </si>
  <si>
    <t>031 727715</t>
  </si>
  <si>
    <t>165153221</t>
  </si>
  <si>
    <t>322 / 322</t>
  </si>
  <si>
    <t>J&amp;amp;G SHOPPING COMPLEX, RAMGARH ROAD, HATHAZARI BUS STATION, HATHAZARI, CHITTAGONG</t>
  </si>
  <si>
    <t>031 2602003-05, 017 55594076</t>
  </si>
  <si>
    <t>manager.hathazar@onebank.com.bd</t>
  </si>
  <si>
    <t>031 2602006</t>
  </si>
  <si>
    <t>165153647</t>
  </si>
  <si>
    <t>ONEBBDDH023</t>
  </si>
  <si>
    <t>KADER TOWER, 128 JUBILEE ROAD, CHITTAGONG</t>
  </si>
  <si>
    <t>031 2853112-15, 017 13458151</t>
  </si>
  <si>
    <t>manager.jubileeroad@onebank.com.bd</t>
  </si>
  <si>
    <t>031 2853116</t>
  </si>
  <si>
    <t>165154275</t>
  </si>
  <si>
    <t>ONEBBDDH004</t>
  </si>
  <si>
    <t>110-111 KHATUNGANJ, CHITTAGONG</t>
  </si>
  <si>
    <t>031 619377, 621252, 018 19311280</t>
  </si>
  <si>
    <t>manager.khatungonj@onebank.com.bd</t>
  </si>
  <si>
    <t>031 624454</t>
  </si>
  <si>
    <t>165150187</t>
  </si>
  <si>
    <t>MITHACHARA BRANCH</t>
  </si>
  <si>
    <t>MITHACHARA_BRANCH</t>
  </si>
  <si>
    <t>018 / 018</t>
  </si>
  <si>
    <t>MITHACHARA ISLAMIA FAZIL MADRASA MARKET, MITHACHARA BAZAR, MIRSARAI, CHITTAGONG</t>
  </si>
  <si>
    <t>03024 56048-50, 017 66667018</t>
  </si>
  <si>
    <t>manager.mithachara@onebank.com.bd</t>
  </si>
  <si>
    <t>03024 56052</t>
  </si>
  <si>
    <t>165155458</t>
  </si>
  <si>
    <t>NANUPUR BRANCH</t>
  </si>
  <si>
    <t>NANUPUR_BRANCH</t>
  </si>
  <si>
    <t>545 / 545</t>
  </si>
  <si>
    <t>CENTRAL PLAZA, NANUPUR BAZAR, FATIKCHHARI, CHITTAGONG</t>
  </si>
  <si>
    <t>044 36140511-14, 017 30323092</t>
  </si>
  <si>
    <t>manager.nanupurbazar@onebank.com.bd</t>
  </si>
  <si>
    <t>165156460</t>
  </si>
  <si>
    <t>646 / 646</t>
  </si>
  <si>
    <t>FERDOUS SHOPPING COMPLEX, RANIRHAT, RAJANAGAR, RANGUNIA, CHITTAGONG</t>
  </si>
  <si>
    <t>017 55594064</t>
  </si>
  <si>
    <t>manager.ranirhat@onebank.com.bd</t>
  </si>
  <si>
    <t>165156499</t>
  </si>
  <si>
    <t>649 / 649</t>
  </si>
  <si>
    <t>AL-BARAKA MAZDA BHABAN, 10/742 MUNSHIRGHATA, RAOZAN, CHITTAGONG</t>
  </si>
  <si>
    <t>03026 56474-76, 017 55594063</t>
  </si>
  <si>
    <t>manager.raozan@onebank.com.bd</t>
  </si>
  <si>
    <t>03026 56477</t>
  </si>
  <si>
    <t>165157393</t>
  </si>
  <si>
    <t>739 / 739</t>
  </si>
  <si>
    <t>BBC STEEL BHABAN, SOUTH SHITALPUR, SITAKUNDA, CHITTAGONG</t>
  </si>
  <si>
    <t>031 2780961-63, 017 30736292</t>
  </si>
  <si>
    <t>manager.sitakunda@onebank.com.bd</t>
  </si>
  <si>
    <t>031 2780964</t>
  </si>
  <si>
    <t>165157519</t>
  </si>
  <si>
    <t>751 / 751</t>
  </si>
  <si>
    <t>ASIAN SR HOTEL, 291 STATION ROAD, CHITTAGONG</t>
  </si>
  <si>
    <t>031 2851840-42, 017 77734331</t>
  </si>
  <si>
    <t>manager.stationroad@onebank.com.bd</t>
  </si>
  <si>
    <t>031 2851843</t>
  </si>
  <si>
    <t>165191159</t>
  </si>
  <si>
    <t>HABIBA MANSION, 358 MANOHARPUR, COMILLA</t>
  </si>
  <si>
    <t>081 63001, 63004, 017 30736289</t>
  </si>
  <si>
    <t>manager.comilla@onebank.com.bd</t>
  </si>
  <si>
    <t>081 63007</t>
  </si>
  <si>
    <t>165192716</t>
  </si>
  <si>
    <t>271 / 271</t>
  </si>
  <si>
    <t>MOJUMDER COMPLEX, 972 DAULATGANJ BAZAR, LAKSHAM, COMILLA</t>
  </si>
  <si>
    <t>08032 51970, 51971, 017 3019833</t>
  </si>
  <si>
    <t>manager.laksham@onebank.com.bd</t>
  </si>
  <si>
    <t>08032 51972</t>
  </si>
  <si>
    <t>165220259</t>
  </si>
  <si>
    <t>165260435</t>
  </si>
  <si>
    <t>ONEBBDDH018</t>
  </si>
  <si>
    <t>PLOT NO 158, BLOCK E, BANANI R/A, DHAKA</t>
  </si>
  <si>
    <t>02 9822116-18</t>
  </si>
  <si>
    <t>manager.banani@onebank.com.bd</t>
  </si>
  <si>
    <t>02 9822119</t>
  </si>
  <si>
    <t>165260727</t>
  </si>
  <si>
    <t>072 / 072</t>
  </si>
  <si>
    <t>AL-KAUSER PALACE, HOUSE NO 2, ROAD 5, BLOCK D, BANASREE R/A, DHAKA</t>
  </si>
  <si>
    <t>02 55124058, 55124155, 017 30319830</t>
  </si>
  <si>
    <t>manager.banasree@onebank.com.bd</t>
  </si>
  <si>
    <t>02 7288183</t>
  </si>
  <si>
    <t>165270883</t>
  </si>
  <si>
    <t>22 BANGSHAL ROAD, BANGSHAL, DHAKA</t>
  </si>
  <si>
    <t>02 7111677, 017 30736347</t>
  </si>
  <si>
    <t>manager.bangshal@onebank.com.bd</t>
  </si>
  <si>
    <t>02 9567925</t>
  </si>
  <si>
    <t>165270975</t>
  </si>
  <si>
    <t>097 / 097</t>
  </si>
  <si>
    <t>DHAKA COMPLEX PVT LTD, 1/GA CENTRAL BASABOO, SABUJBAGH, DHAKA 1214</t>
  </si>
  <si>
    <t>02 7811336-38, 017 30736290</t>
  </si>
  <si>
    <t>manager.basabo@onebank.com.bd</t>
  </si>
  <si>
    <t>02 7811339</t>
  </si>
  <si>
    <t>165261634</t>
  </si>
  <si>
    <t>ONEBBDDH005</t>
  </si>
  <si>
    <t>SOMSER PLAZA, GANAKBARI, SAVAR, DHAKA</t>
  </si>
  <si>
    <t>02 7789653-54, 017 11830124</t>
  </si>
  <si>
    <t>manager.ganakbariepz@onebank.com.bd</t>
  </si>
  <si>
    <t>02 7789654</t>
  </si>
  <si>
    <t>165261184</t>
  </si>
  <si>
    <t>ONEBBDDH013</t>
  </si>
  <si>
    <t>HOUSE NO 21, ROAD 8, DHANMONDI R/A, DHAKA</t>
  </si>
  <si>
    <t>02 9139224, 9120790, 017 30329899</t>
  </si>
  <si>
    <t>manager.dhanmondi@onebank.com.bd</t>
  </si>
  <si>
    <t>02 9143965</t>
  </si>
  <si>
    <t>165261339</t>
  </si>
  <si>
    <t>GLOBE CENTER, 216 ELEPHANT ROAD, NEW MARKET, DHAKA</t>
  </si>
  <si>
    <t>02 8626524-26, 017 14134975</t>
  </si>
  <si>
    <t>manager.elephantroad@onebank.com.bd</t>
  </si>
  <si>
    <t>02 8626527</t>
  </si>
  <si>
    <t>165261726</t>
  </si>
  <si>
    <t>ONEBBDDH002</t>
  </si>
  <si>
    <t>97 GULSHAN AVENUE, DHAKA 1212</t>
  </si>
  <si>
    <t>02 9890138-40, 017 66695465</t>
  </si>
  <si>
    <t>manager.gulshan@onebank.com.bd</t>
  </si>
  <si>
    <t>02 9856797</t>
  </si>
  <si>
    <t>165272807</t>
  </si>
  <si>
    <t>ONEBBDDH008</t>
  </si>
  <si>
    <t>18 ROY ISWAR CHANDRA SHILL BAHADUR STREET, IMAMGANJ, DHAKA</t>
  </si>
  <si>
    <t>02 7316477, 7316488, 017 30320300</t>
  </si>
  <si>
    <t>manager.imamgonj@onebank.com.bd</t>
  </si>
  <si>
    <t>02 7316499</t>
  </si>
  <si>
    <t>165260493</t>
  </si>
  <si>
    <t>049 / 049</t>
  </si>
  <si>
    <t>KA-43, JAGANNATHPUR, NADDA, DHAKA</t>
  </si>
  <si>
    <t>02 8415612-14, 017 30703592</t>
  </si>
  <si>
    <t>manager.jagannathpur@onebank.com.bd</t>
  </si>
  <si>
    <t>02 8415615</t>
  </si>
  <si>
    <t>165273222</t>
  </si>
  <si>
    <t>JATARABARI BRANCH</t>
  </si>
  <si>
    <t>JATARABARI_BRANCH</t>
  </si>
  <si>
    <t>SA TOWER, HOLDINGNO 101, DHAKA-MAOWA HIGHWAY, DHOLAIPAR BUS STAND, SHYAMPUR, DHAKA 1204</t>
  </si>
  <si>
    <t>02 7444407-09, 017 14134977</t>
  </si>
  <si>
    <t>manager.jatrabari@onebank.com.bd</t>
  </si>
  <si>
    <t>02 7444406</t>
  </si>
  <si>
    <t>165273280</t>
  </si>
  <si>
    <t>MONOWARA MANSION, JOYPARA BAZAR, LATAKHOLA, RAIPARA, DOHAR, DHAKA</t>
  </si>
  <si>
    <t>02 7768161, 017 13005868</t>
  </si>
  <si>
    <t>manager.joypara@onebank.com.bd</t>
  </si>
  <si>
    <t>165273372</t>
  </si>
  <si>
    <t>165262538</t>
  </si>
  <si>
    <t>ONEBBDDH012</t>
  </si>
  <si>
    <t>HRC BHABAN, 46 KARWAN BAZAR C/A, DHAKA</t>
  </si>
  <si>
    <t>02 8156054, 8155158, 017 30311576</t>
  </si>
  <si>
    <t>manager.kawranbazar@onebank.com.bd</t>
  </si>
  <si>
    <t>02 58155158</t>
  </si>
  <si>
    <t>165273822</t>
  </si>
  <si>
    <t>382 / 382</t>
  </si>
  <si>
    <t>47 HORONATH GHOSH ROAD, LALBAGH, DHAKA</t>
  </si>
  <si>
    <t>02 9668939, 9672748, 017 55594071</t>
  </si>
  <si>
    <t>manager.lalbagh@onebank.com.bd</t>
  </si>
  <si>
    <t>02 9668795</t>
  </si>
  <si>
    <t>165262983</t>
  </si>
  <si>
    <t>ONEBBDDH011</t>
  </si>
  <si>
    <t>RSH TOWER, PLOT NO 23, ROAD 3, SECTION 11, BLOCK A, PALLABIDHAKA</t>
  </si>
  <si>
    <t>02 9012969, 8035232, 8031406, 017 14017818</t>
  </si>
  <si>
    <t>manager.mirpur@onebank.com.bd</t>
  </si>
  <si>
    <t>02 9016165</t>
  </si>
  <si>
    <t>165274184</t>
  </si>
  <si>
    <t>418 / 418</t>
  </si>
  <si>
    <t>ERRA TOWER, 1/B OUTER CIRCULAR ROAD, MOGHBAZAR WIRELESS, RAMNA, DHAKA 1217</t>
  </si>
  <si>
    <t>02 8319562, 8319570, 017 30736295</t>
  </si>
  <si>
    <t>manager.moghbazar@onebank.com.bd</t>
  </si>
  <si>
    <t>02 9336674</t>
  </si>
  <si>
    <t>165274247</t>
  </si>
  <si>
    <t>ONEBBDDH020</t>
  </si>
  <si>
    <t>02 9564191, 9566896, 017 30098659</t>
  </si>
  <si>
    <t>manager.motijheel@onebank.com.bd</t>
  </si>
  <si>
    <t>02 9563746</t>
  </si>
  <si>
    <t>165274692</t>
  </si>
  <si>
    <t>SIKDER PLAZA, BAGMARA BAZAR, NAWABGANJ, DHAKA</t>
  </si>
  <si>
    <t>017 30082799</t>
  </si>
  <si>
    <t>manager.nawabgonj@onebank.com.bd</t>
  </si>
  <si>
    <t>165263708</t>
  </si>
  <si>
    <t>370 / 370</t>
  </si>
  <si>
    <t>RIDGE DALE, CHA-75/2 UTTAR BADDA, DHAKA</t>
  </si>
  <si>
    <t>02 58813755, 58814175, 017 30353525</t>
  </si>
  <si>
    <t>manager.progotisharani@onebank.com.bd</t>
  </si>
  <si>
    <t>02 58816649</t>
  </si>
  <si>
    <t>165275354</t>
  </si>
  <si>
    <t>ONEBBDDH001</t>
  </si>
  <si>
    <t>45 DILKUSHA C/A, DHAKA 1000</t>
  </si>
  <si>
    <t>02 9564249, 017 11403928</t>
  </si>
  <si>
    <t>manager.principal@onebank.com.bd</t>
  </si>
  <si>
    <t>02 9561960</t>
  </si>
  <si>
    <t>165263979</t>
  </si>
  <si>
    <t>397 / 397</t>
  </si>
  <si>
    <t>SHAMPA SUPER MARKET, 6/7 ADARSHA CHAYANEER, RING ROAD, SHYAMOLI, DHAKA</t>
  </si>
  <si>
    <t>02 9104551-3, 017 55594060</t>
  </si>
  <si>
    <t>manager.ringroad@onebank.com.bd</t>
  </si>
  <si>
    <t>02 9104554</t>
  </si>
  <si>
    <t>165276708</t>
  </si>
  <si>
    <t>670 / 670</t>
  </si>
  <si>
    <t>50 TIPU SULTAN ROAD, NAWABPUR, DHAKA</t>
  </si>
  <si>
    <t>02 9537845-47, 017 66667013</t>
  </si>
  <si>
    <t>manager.tipusultanroad@onebank.com.bd</t>
  </si>
  <si>
    <t>02 9591844</t>
  </si>
  <si>
    <t>165264631</t>
  </si>
  <si>
    <t>ONEBBDDH006</t>
  </si>
  <si>
    <t>HOUSE NO 14, ROAD 14B, SECTOR 4, UTTARA MODEL TOWN, DHAKA</t>
  </si>
  <si>
    <t>02 7911659, 58954261, 58956350, 58956696</t>
  </si>
  <si>
    <t>manager.uttara@onebank.com.bd</t>
  </si>
  <si>
    <t>02 58955748</t>
  </si>
  <si>
    <t>165270009</t>
  </si>
  <si>
    <t>165300379</t>
  </si>
  <si>
    <t>KHAIR SHOPPING COMPLEX, FAZILAER GHAT ROAD, DAGANBHUIYAN, FENI</t>
  </si>
  <si>
    <t>03323 79097-98, 017 14109928</t>
  </si>
  <si>
    <t>manager.dagonbhuiyan@onebank.com.bd</t>
  </si>
  <si>
    <t>03323 79099</t>
  </si>
  <si>
    <t>165300524</t>
  </si>
  <si>
    <t>ZULFIKAR CHAMBER, 244 ISLAMPUR ROAD, FENI</t>
  </si>
  <si>
    <t>0331 62362, 62267, 62367, 017 14134976</t>
  </si>
  <si>
    <t>manager.feni@onebank.com.bd</t>
  </si>
  <si>
    <t>0331 62261</t>
  </si>
  <si>
    <t>165331656</t>
  </si>
  <si>
    <t>165 / 165</t>
  </si>
  <si>
    <t>SHAHJALAL SHOPPING COMPLEX, 1/1-A SAHAJUDDIN SARKAR ROAD, TONGI, GAZIPUR</t>
  </si>
  <si>
    <t>02 9817407-09, 017 30736348</t>
  </si>
  <si>
    <t>manager.tongi@onebank.com.bd</t>
  </si>
  <si>
    <t>02 9817410</t>
  </si>
  <si>
    <t>165410948</t>
  </si>
  <si>
    <t>ONEBBDDH014</t>
  </si>
  <si>
    <t>MS ORCHID CENTRE, 44 MK ROAD, JESSORE</t>
  </si>
  <si>
    <t>0421 68046-48, 017 14041281</t>
  </si>
  <si>
    <t>manager.jessore@onebank.com.bd</t>
  </si>
  <si>
    <t>0421 68049</t>
  </si>
  <si>
    <t>165510198</t>
  </si>
  <si>
    <t>019 / 019</t>
  </si>
  <si>
    <t>CHANDRAGANJ BAZAR, LAKSHMIPUR</t>
  </si>
  <si>
    <t>017 13045518, 017 13045519, 017 14041531</t>
  </si>
  <si>
    <t>manager.chandragonj@onebank.com.bd</t>
  </si>
  <si>
    <t>165510051</t>
  </si>
  <si>
    <t>SKY TOUCH TOWER, 1305 BAZAR ROAD, LAKSHMIPUR</t>
  </si>
  <si>
    <t>0381 62875, 62876</t>
  </si>
  <si>
    <t>manager.lakshmipur@onebank.com.bd</t>
  </si>
  <si>
    <t>0381 62877</t>
  </si>
  <si>
    <t>165510822</t>
  </si>
  <si>
    <t>082 / 082</t>
  </si>
  <si>
    <t>BANK ROAD, MANDARI BAZAR, LAKSHMIPUR</t>
  </si>
  <si>
    <t>0381 61012-13, 55779, 017 55594072</t>
  </si>
  <si>
    <t>manager.mandaribazar@onebank.com.bd</t>
  </si>
  <si>
    <t>0381 55790</t>
  </si>
  <si>
    <t>165510972</t>
  </si>
  <si>
    <t>SATTAR COMPLEX, 187 THANA COUNCIL ROAD, RAIPUR, LAKSHMIPUR</t>
  </si>
  <si>
    <t>03822 56479, 56489, 017 14134974</t>
  </si>
  <si>
    <t>manager.raipur@onebank.com.bd</t>
  </si>
  <si>
    <t>03822 56479 (Extn 115)</t>
  </si>
  <si>
    <t>165511034</t>
  </si>
  <si>
    <t>NUR PLAZA, 378/1 UTTARA BAZAR, MAIN ROAD, RAMGANJ, LAKSHMIPUR</t>
  </si>
  <si>
    <t>03824 75041, 017 30319832</t>
  </si>
  <si>
    <t>manager.ramgonj@onebank.com.bd</t>
  </si>
  <si>
    <t>03824 75181</t>
  </si>
  <si>
    <t>165581635</t>
  </si>
  <si>
    <t>ROYEL MARKET, SHERPUR CHOWMUHANI, MOULVIBAZAR</t>
  </si>
  <si>
    <t>017 13458183</t>
  </si>
  <si>
    <t>manager.sherpur@onebank.com.bd</t>
  </si>
  <si>
    <t>165671187</t>
  </si>
  <si>
    <t>ONEBBDDH017</t>
  </si>
  <si>
    <t>HAQUE PLAZA, PLOT NO 5, BB ROAD, CHASHARA, NARAYANGANJ</t>
  </si>
  <si>
    <t>02 7648572-73, 017 13066202</t>
  </si>
  <si>
    <t>manager.narayangonj@onebank.com.bd</t>
  </si>
  <si>
    <t>02 7635242</t>
  </si>
  <si>
    <t>165680673</t>
  </si>
  <si>
    <t>355 MADHABDI BAZAR, BOTTALA, NARSINGDI</t>
  </si>
  <si>
    <t>02 9446885-87, 017 30736294</t>
  </si>
  <si>
    <t>manager.madhabdi@onebank.com.bd</t>
  </si>
  <si>
    <t>02 9446888</t>
  </si>
  <si>
    <t>165750103</t>
  </si>
  <si>
    <t>AMISHAPARA BRANCH</t>
  </si>
  <si>
    <t>AMISHAPARA_BRANCH</t>
  </si>
  <si>
    <t>010 / 010</t>
  </si>
  <si>
    <t>NURJAHAN SUPER MARKET, MODHHAM BAZAR, AMISHAPARA, SONAIMURI, NOAKHALI</t>
  </si>
  <si>
    <t>017 66667021</t>
  </si>
  <si>
    <t>manager.amishapara@onebank.com.bd</t>
  </si>
  <si>
    <t>165750440</t>
  </si>
  <si>
    <t>044 / 044</t>
  </si>
  <si>
    <t>AKASH SHOPPING CENTRE, BANK ROAD, PURBA BAZAR, CHAPRASHIR HAT, COMPANYGANJ, NOAKHALI</t>
  </si>
  <si>
    <t>03232 53048, 53049, 017 66667026</t>
  </si>
  <si>
    <t>manager.chaprashirhat@onebank.com.bd</t>
  </si>
  <si>
    <t>03232 53051</t>
  </si>
  <si>
    <t>165750145</t>
  </si>
  <si>
    <t>CHATERPAIYA BRANCH</t>
  </si>
  <si>
    <t>CHATERPAIYA_BRANCH</t>
  </si>
  <si>
    <t>NURJAHAN COMPLEX, BARAGAON, CHATERPAIYA BAZAR, SONAIMURI, NOAKHALI</t>
  </si>
  <si>
    <t>017 77734336, 017 77734337, 017 77734338</t>
  </si>
  <si>
    <t>manager.chaterpaiya@onebank.com.bd</t>
  </si>
  <si>
    <t>165750587</t>
  </si>
  <si>
    <t>058 / 058</t>
  </si>
  <si>
    <t>DR BASHAR PLAZA, 4129 CHATKHIL, NOAKHALI</t>
  </si>
  <si>
    <t>03222 75351-53, 017 77734339</t>
  </si>
  <si>
    <t>manager.chatkhil@onebank.com.bd</t>
  </si>
  <si>
    <t>03222 75354</t>
  </si>
  <si>
    <t>165750679</t>
  </si>
  <si>
    <t>BHUIYAN MARKET, DB ROAD, RAILGATE, CHOWMUHANI, NOAKHALI</t>
  </si>
  <si>
    <t>0321 52098, 017 14040436</t>
  </si>
  <si>
    <t>manager.chowmuhuni@onebank.com.bd</t>
  </si>
  <si>
    <t>0321 53043</t>
  </si>
  <si>
    <t>165751573</t>
  </si>
  <si>
    <t>1241 &amp;amp; 1459 MAIN ROAD, MAIJDEE COURT, NOAKHALI</t>
  </si>
  <si>
    <t>0321 71267, 017 30319831</t>
  </si>
  <si>
    <t>manager.maijdeecourt@onebank.com.bd</t>
  </si>
  <si>
    <t>0321 71266</t>
  </si>
  <si>
    <t>165752356</t>
  </si>
  <si>
    <t>SUBARNACHAR BRANCH</t>
  </si>
  <si>
    <t>SUBARNACHAR_BRANCH</t>
  </si>
  <si>
    <t>235 / 235</t>
  </si>
  <si>
    <t>BISMILLAH TOWER, HARIS CHOWDHURY BAZAR, WEST CHAR JUBILEE, CHAR JABBARSUBARNACHAR, NOAKHALI</t>
  </si>
  <si>
    <t>017 77734335</t>
  </si>
  <si>
    <t>manager.subarnachar@onebank.com.bd</t>
  </si>
  <si>
    <t>165811934</t>
  </si>
  <si>
    <t>40 MALOPARA, EMADUDDIN ROAD, RAJSHAHI</t>
  </si>
  <si>
    <t>0721 770495, 017 30353528</t>
  </si>
  <si>
    <t>manager.rajshahi@onebank.com.bd</t>
  </si>
  <si>
    <t>0721 770496</t>
  </si>
  <si>
    <t>165840521</t>
  </si>
  <si>
    <t>HB PLAZA, 72/MA BANARUPA BAZAR, RANGAMATI</t>
  </si>
  <si>
    <t>0351 61701-02, 61741, 017 30736293</t>
  </si>
  <si>
    <t>manager.rangamati@onebank.com.bd</t>
  </si>
  <si>
    <t>0351 61742</t>
  </si>
  <si>
    <t>165871095</t>
  </si>
  <si>
    <t>MEHEDI SUPER MARKET, 480 BARA BAZAR SARAK, PRANSAYER, SATKHIRA 9400</t>
  </si>
  <si>
    <t>0471 63898, 63910-11, 017 30736291</t>
  </si>
  <si>
    <t>manager.satkhira@onebank.com.bd</t>
  </si>
  <si>
    <t>0471 63899</t>
  </si>
  <si>
    <t>165881935</t>
  </si>
  <si>
    <t>MAWLANA SAIFUDDIN YAHIA SUPER MARKET, 138 MONIRAMPUR BAZAR, SHAHJADPUR, SIRAJGANJ</t>
  </si>
  <si>
    <t>07527 64045-46, 017 30353529</t>
  </si>
  <si>
    <t>manager.shahjadpur@onebank.com.bd</t>
  </si>
  <si>
    <t>07527 64047</t>
  </si>
  <si>
    <t>165881856</t>
  </si>
  <si>
    <t>185 / 185</t>
  </si>
  <si>
    <t>MOSTAFA PLAZA, 104 SS ROAD, SIRAJGANJ</t>
  </si>
  <si>
    <t>0751 62291-92, 017 13461185</t>
  </si>
  <si>
    <t>manager.sirajgonj@onebank.com.bd</t>
  </si>
  <si>
    <t>0751 62280</t>
  </si>
  <si>
    <t>165911784</t>
  </si>
  <si>
    <t>KAYUM COMPLEX, ISLAMPUR BAZAR, SYLHET</t>
  </si>
  <si>
    <t>0821 761670, 761725, 017 30353526</t>
  </si>
  <si>
    <t>manager.islampur@onebank.com.bd</t>
  </si>
  <si>
    <t>0821 2860250</t>
  </si>
  <si>
    <t>165912509</t>
  </si>
  <si>
    <t>250 / 250</t>
  </si>
  <si>
    <t>1827 &amp;amp; 2324, WARD 14, LALDIGHIRPAR, SYLHET</t>
  </si>
  <si>
    <t>0821 716209, 712778, 017 30353517</t>
  </si>
  <si>
    <t>manager.laldighirpar@onebank.com.bd</t>
  </si>
  <si>
    <t>0821 711154</t>
  </si>
  <si>
    <t>165913553</t>
  </si>
  <si>
    <t>FIROZ CENTER, 891/KA CHOWHATTA, SYLHET</t>
  </si>
  <si>
    <t>0821 725093-94, 725472, 017 11438741</t>
  </si>
  <si>
    <t>manager.sylhet@onebank.com.bd</t>
  </si>
  <si>
    <t>0821 725094</t>
  </si>
  <si>
    <t>PRIME_BANK_LIMITED</t>
  </si>
  <si>
    <t>PRIME BANK LIMITED</t>
  </si>
  <si>
    <t>170060288</t>
  </si>
  <si>
    <t>PRBLBDDH008</t>
  </si>
  <si>
    <t>37 HEMAYET UDDIN ROAD, BARISAL 8200</t>
  </si>
  <si>
    <t>0431 64011, 64012</t>
  </si>
  <si>
    <t>0431 63712</t>
  </si>
  <si>
    <t>170100377</t>
  </si>
  <si>
    <t>PRBLBDDH022</t>
  </si>
  <si>
    <t>331/364 RANGPUR ROAD, BARAGALA, BOGRA 5800</t>
  </si>
  <si>
    <t>051 78203, 67172</t>
  </si>
  <si>
    <t>051 61142</t>
  </si>
  <si>
    <t>170102746</t>
  </si>
  <si>
    <t>274 / 274</t>
  </si>
  <si>
    <t>PRBLBDDH</t>
  </si>
  <si>
    <t>AZHAR COMPLEX, SHERPUR BUS STAND, SHERPUR, BOGRA</t>
  </si>
  <si>
    <t>05029 77228, 77229</t>
  </si>
  <si>
    <t>05029 77225</t>
  </si>
  <si>
    <t>170130884</t>
  </si>
  <si>
    <t>ANANDA COMPLEX, HOLDING NO 191, HAJIGANJ BAZAR, CHANDPUR</t>
  </si>
  <si>
    <t>08424 75110, 75111</t>
  </si>
  <si>
    <t>08424 75111</t>
  </si>
  <si>
    <t>170700256</t>
  </si>
  <si>
    <t>025 / 025</t>
  </si>
  <si>
    <t>HOLDING NO 29, ISLAMPUR, DAUDPUR ROAD, BARA INDIRA MORE, CHAPAI NAWABGANJ</t>
  </si>
  <si>
    <t>0781 51125, 51126</t>
  </si>
  <si>
    <t>0781 51127</t>
  </si>
  <si>
    <t>170150130</t>
  </si>
  <si>
    <t>PRBLBDDH015</t>
  </si>
  <si>
    <t>BM HEIGHT, 318 SHEIKH MUJIB ROAD, AGRABAD, CHITTAGONG</t>
  </si>
  <si>
    <t>031 716724-5, 7207018</t>
  </si>
  <si>
    <t>031 718971</t>
  </si>
  <si>
    <t>170150972</t>
  </si>
  <si>
    <t>GS PLAZA, CHITTAGONG-BANSHKHALI HIGHWAY, BANSHKHALI, CHITTAGONG</t>
  </si>
  <si>
    <t>0303 756222</t>
  </si>
  <si>
    <t>0303 756223</t>
  </si>
  <si>
    <t>170151218</t>
  </si>
  <si>
    <t>121 / 121</t>
  </si>
  <si>
    <t>KHALEK TOWER, BHATIARY UTTAR BAZAR, SITAKUNDA, CHITTAGONG</t>
  </si>
  <si>
    <t>031 2781261, 2781263</t>
  </si>
  <si>
    <t>031 2781262</t>
  </si>
  <si>
    <t>170151234</t>
  </si>
  <si>
    <t>BHUJPUR SME BRANCH</t>
  </si>
  <si>
    <t>BHUJPUR_SME_BRANCH</t>
  </si>
  <si>
    <t>123 / 123</t>
  </si>
  <si>
    <t>MACCA SHOPPING CENTER, BHUJPUR, FATIKCHHARI, CHITTAGONG</t>
  </si>
  <si>
    <t>017 13255771</t>
  </si>
  <si>
    <t>smebhujpur@primebank.com.bd</t>
  </si>
  <si>
    <t>170152741</t>
  </si>
  <si>
    <t>HAJI HOSSAIN PLAZA, COLLEGE ROAD, BIBIRHAT, FATIKCHHARI, CHITTAGONG</t>
  </si>
  <si>
    <t>03022 56006</t>
  </si>
  <si>
    <t>170153166</t>
  </si>
  <si>
    <t>NANDITA HOUSE, PLOT NO 5/A, LANE 2, ROAD 2, BLOCK G, HALISHAHAR HOUSING ESTATE, DOUBLE MOORING, CHITTAGONG</t>
  </si>
  <si>
    <t>031 2512039, 2512064</t>
  </si>
  <si>
    <t>031 2512054</t>
  </si>
  <si>
    <t>170153229</t>
  </si>
  <si>
    <t>N ZAHUR SHOPPING CENTER, KACHARI ROAD, HATHAZARI, CHITTAGONG</t>
  </si>
  <si>
    <t>031 2601524, 2601525</t>
  </si>
  <si>
    <t>031 2601526</t>
  </si>
  <si>
    <t>170153287</t>
  </si>
  <si>
    <t>HEYAKO BAZAR SME BRANCH</t>
  </si>
  <si>
    <t>HEYAKO_BAZAR_SME_BRANCH</t>
  </si>
  <si>
    <t>CHOWDHURY BUILDING, HEYAKO BAZAR, BHUJPUR, FATIKCHHARI, CHITTAGONG</t>
  </si>
  <si>
    <t>017 30794626</t>
  </si>
  <si>
    <t>170153645</t>
  </si>
  <si>
    <t>PRBLBDDH017</t>
  </si>
  <si>
    <t>PEDROLLO PLAZA, 5 JUBILEE ROAD, CHITTAGONG 4000</t>
  </si>
  <si>
    <t>031 613939, 2850319</t>
  </si>
  <si>
    <t>031 618689</t>
  </si>
  <si>
    <t>170154073</t>
  </si>
  <si>
    <t>407 / 407</t>
  </si>
  <si>
    <t>KARNAPHULI EPZ, NORTH PATENGA, CHITTAGONG</t>
  </si>
  <si>
    <t>031 2502382, 2502381</t>
  </si>
  <si>
    <t>031 2502383</t>
  </si>
  <si>
    <t>170154181</t>
  </si>
  <si>
    <t>HAZI ULAMIA MARKET, KERANIRHAT, SATKANIA, CHITTAGONG</t>
  </si>
  <si>
    <t>03036 56134, 56133</t>
  </si>
  <si>
    <t>03036 56135</t>
  </si>
  <si>
    <t>170154273</t>
  </si>
  <si>
    <t>PRBLBDDH002</t>
  </si>
  <si>
    <t>142 CHAND MIA LANE, KHATUNGANJ, CHITTAGONG 4000</t>
  </si>
  <si>
    <t>031 623213-14, 627297</t>
  </si>
  <si>
    <t>031 610848</t>
  </si>
  <si>
    <t>170154549</t>
  </si>
  <si>
    <t>454 / 454</t>
  </si>
  <si>
    <t>PRBLBDDH025</t>
  </si>
  <si>
    <t>8 LALDIGHI EAST, CHITTAGONG</t>
  </si>
  <si>
    <t>031 2850771, 2850773</t>
  </si>
  <si>
    <t>031 2850772</t>
  </si>
  <si>
    <t>170154752</t>
  </si>
  <si>
    <t>MADUNAGHAT SME BRANCH</t>
  </si>
  <si>
    <t>MADUNAGHAT_SME_BRANCH</t>
  </si>
  <si>
    <t>MABIA EMPORIUM, MADUNAGHAT BAZAR, HATHAZARI, CHITTAGONG</t>
  </si>
  <si>
    <t>031 2573206</t>
  </si>
  <si>
    <t>smemadunaghat@primebank.com.bd</t>
  </si>
  <si>
    <t>031 2573205</t>
  </si>
  <si>
    <t>170155322</t>
  </si>
  <si>
    <t>532 / 532</t>
  </si>
  <si>
    <t>SHAH ALAM PLAZA, 129 CDA AVENUE, MURADPUR, CHITTAGONG</t>
  </si>
  <si>
    <t>031 2557826, 2557824</t>
  </si>
  <si>
    <t>031 2557825</t>
  </si>
  <si>
    <t>170155801</t>
  </si>
  <si>
    <t>PRBLBDDH027</t>
  </si>
  <si>
    <t>OR NIZAM ROAD, HAZRAT GARIBULLAH CITY CORPORATION BHABAN, 739/804 CDA AVENUE, BAGMONIRAM, CHITTAGONG</t>
  </si>
  <si>
    <t>031 639855, 2861437</t>
  </si>
  <si>
    <t>031 2861434</t>
  </si>
  <si>
    <t>170155872</t>
  </si>
  <si>
    <t>587 / 587</t>
  </si>
  <si>
    <t>SEKANDER CENTER, CHITTAGONG CANTONMENT, OXYGEN MORE, CHITTAGONG</t>
  </si>
  <si>
    <t>031 2583181, 2583180</t>
  </si>
  <si>
    <t>031 2583180</t>
  </si>
  <si>
    <t>170156013</t>
  </si>
  <si>
    <t>PAHARTALI ISLAMI BRANCH</t>
  </si>
  <si>
    <t>PAHARTALI_ISLAMI_BRANCH</t>
  </si>
  <si>
    <t>601 / 601</t>
  </si>
  <si>
    <t>B S PLAZA, PLOT NO 305/1390, ABDUL ALI HAT, SORAI PARA, ALANKER MORE, PAHARTALI, CHITTAGONG</t>
  </si>
  <si>
    <t>031 753143, 2771752</t>
  </si>
  <si>
    <t>031 753144</t>
  </si>
  <si>
    <t>170156334</t>
  </si>
  <si>
    <t>633 / 633</t>
  </si>
  <si>
    <t>12/12 OR NIZAM ROAD, PRABARTAK MORE, PANCHLISH, CHITTAGONG</t>
  </si>
  <si>
    <t>031 2553593, 2553591-2</t>
  </si>
  <si>
    <t>031 2553594</t>
  </si>
  <si>
    <t>170156497</t>
  </si>
  <si>
    <t>FAZAL TOWER, RAOZAN BUS STAND, MADER MOHAL, CHITTAGONG</t>
  </si>
  <si>
    <t>03026 56214, 56168</t>
  </si>
  <si>
    <t>03026 56215</t>
  </si>
  <si>
    <t>170191065</t>
  </si>
  <si>
    <t>ABDUL GANI SHOPPING COMPLEX, CHOUDDAGRAM BAZAR, COMILLA</t>
  </si>
  <si>
    <t>08020 56364</t>
  </si>
  <si>
    <t>08020 56362</t>
  </si>
  <si>
    <t>170191157</t>
  </si>
  <si>
    <t>HOLDING NO 10/8, WARD 12, CHATPATTY, KOTOWALI, COMILLA</t>
  </si>
  <si>
    <t>081 72611, 72612, 72610</t>
  </si>
  <si>
    <t>081 72646</t>
  </si>
  <si>
    <t>170191436</t>
  </si>
  <si>
    <t>COMPANIGANJ SME BRANCH</t>
  </si>
  <si>
    <t>COMPANIGANJ_SME_BRANCH</t>
  </si>
  <si>
    <t>143 / 143</t>
  </si>
  <si>
    <t>MOTHER SHOPING COMPLEX, 5 WEST NABIPUR, NABINAGAR ROAD, COMPANIGANJ, MURADNAGAR, COMILLA</t>
  </si>
  <si>
    <t>0265 9090</t>
  </si>
  <si>
    <t>smecompanygonj@primebank.com.bd</t>
  </si>
  <si>
    <t>170220257</t>
  </si>
  <si>
    <t>170270144</t>
  </si>
  <si>
    <t>AGANAGAR SME BRANCH</t>
  </si>
  <si>
    <t>AGANAGAR_SME_BRANCH</t>
  </si>
  <si>
    <t>GOLDEN PLAZA, PURBA AGANAGAR, KERANIGANJ, DHAKA</t>
  </si>
  <si>
    <t>02 7763273</t>
  </si>
  <si>
    <t>smeaganagar@primebank.com.bd</t>
  </si>
  <si>
    <t>170260196</t>
  </si>
  <si>
    <t>FAMILY WORLD TOWER, 2/6 SIR SAYED ROAD, WARD 42, MOHAMMADPUR, DHAKA</t>
  </si>
  <si>
    <t>02 9125400, 8142106, 8142134</t>
  </si>
  <si>
    <t>02 9122640</t>
  </si>
  <si>
    <t>170260220</t>
  </si>
  <si>
    <t>SHERIF MANSION, DIAKHALI, JAMGORA BAZAR, ASHULIA, SAVAR, DHAKA</t>
  </si>
  <si>
    <t>02 7788290, 7788326, 7788325</t>
  </si>
  <si>
    <t>02 7788291</t>
  </si>
  <si>
    <t>170260433</t>
  </si>
  <si>
    <t>PRBLBDDH020</t>
  </si>
  <si>
    <t>HOUSE 62, BLOCK E, KEMAL ATATURK AVENUE, BANANI, DHAKA 1213</t>
  </si>
  <si>
    <t>02 8815754, 9889868</t>
  </si>
  <si>
    <t>02 8853616</t>
  </si>
  <si>
    <t>170260725</t>
  </si>
  <si>
    <t>ARCADIA, PLOT 14, BLOCK C, MAIN ROAD, BANASREE, DHAKA</t>
  </si>
  <si>
    <t>02 8399548, 8399591</t>
  </si>
  <si>
    <t>02 8399547</t>
  </si>
  <si>
    <t>170270881</t>
  </si>
  <si>
    <t>PRBLBDDH026</t>
  </si>
  <si>
    <t>43/44 MALITOLA, NORTH SOUTH ROAD, BANGSHAL, DHAKA 1100</t>
  </si>
  <si>
    <t>02 9561501, 7123480, 7113310</t>
  </si>
  <si>
    <t>02 7175185</t>
  </si>
  <si>
    <t>170260525</t>
  </si>
  <si>
    <t>CONCORD I-K TOWER, PLOT 02, BLOCK CEN(A), NORTH AVENUE, GULSHAN 2 DHAKA 1212</t>
  </si>
  <si>
    <t>02 9850376, 9850392, 017 30781181</t>
  </si>
  <si>
    <t>02 9850384</t>
  </si>
  <si>
    <t>170270973</t>
  </si>
  <si>
    <t>BASHABOO BRANCH</t>
  </si>
  <si>
    <t>BASHABOO_BRANCH</t>
  </si>
  <si>
    <t>SHAPNIL, 60-61 SOUTH BASHABO, DHAKA 1214</t>
  </si>
  <si>
    <t>02 55122206, 55122201</t>
  </si>
  <si>
    <t>02 55122205</t>
  </si>
  <si>
    <t>170260554</t>
  </si>
  <si>
    <t>BAITUL AMAN TOWER, PLOT 236, BLOCK B, BOSHUNDHARA PROJECT, DHAKA</t>
  </si>
  <si>
    <t>02 55037215</t>
  </si>
  <si>
    <t>02 8845214</t>
  </si>
  <si>
    <t>170271093</t>
  </si>
  <si>
    <t>BIJOY NAGAR BRANCH</t>
  </si>
  <si>
    <t>BIJOY_NAGAR_BRANCH</t>
  </si>
  <si>
    <t>AKRAM TOWER, 15/5 BIJOY NAGAR (SAYED NAZRUL ISLAM SARONI), DHAKA 1000</t>
  </si>
  <si>
    <t>02 9335762, 9335732, 9334123</t>
  </si>
  <si>
    <t>02 9332639</t>
  </si>
  <si>
    <t>170261182</t>
  </si>
  <si>
    <t>MOMTAZ PLAZA, HOUSE 7, ROAD 4, DHANMONDI R/A, DHAKA</t>
  </si>
  <si>
    <t>02 8622304, 9662704</t>
  </si>
  <si>
    <t>02 9662705</t>
  </si>
  <si>
    <t>170272892</t>
  </si>
  <si>
    <t>DILKUSHA ISLAMI BRANCH</t>
  </si>
  <si>
    <t>DILKUSHA_ISLAMI_BRANCH</t>
  </si>
  <si>
    <t>289 / 289</t>
  </si>
  <si>
    <t>PRBLBDDH005</t>
  </si>
  <si>
    <t>19 DILKUSHA C/A, DHAKA 1000</t>
  </si>
  <si>
    <t>02 9587494, 9577582, 9576414</t>
  </si>
  <si>
    <t>02 9567228</t>
  </si>
  <si>
    <t>170261337</t>
  </si>
  <si>
    <t>PRBLBDDH011</t>
  </si>
  <si>
    <t>ANANTA PLAZA, 136 ELEPHANT ROAD, DHAKA 1205</t>
  </si>
  <si>
    <t>02 58614983, 9673783</t>
  </si>
  <si>
    <t>02 8622591</t>
  </si>
  <si>
    <t>170272326</t>
  </si>
  <si>
    <t>232 / 232</t>
  </si>
  <si>
    <t>PRBLBDDH019</t>
  </si>
  <si>
    <t>AL-HAJ MANSION, 82 MOTIJHEEL C/A, DHAKA 1000</t>
  </si>
  <si>
    <t>02 9551682, 7161146</t>
  </si>
  <si>
    <t>02 9553078</t>
  </si>
  <si>
    <t>170261632</t>
  </si>
  <si>
    <t>PRBLBDDH014</t>
  </si>
  <si>
    <t>SOMSHER PLAZA, BALIBHADRA BAZAR BUS STAND, DHAMSONA, GANAKBARI, SAVAR, DHAKA 1340</t>
  </si>
  <si>
    <t>02 7789379, 7788100</t>
  </si>
  <si>
    <t>02 7789378</t>
  </si>
  <si>
    <t>170261645</t>
  </si>
  <si>
    <t>164 / 164</t>
  </si>
  <si>
    <t>HOLDING NO 1, GARIB-E-NEWAZ AVENUE, SECTOR 11, UTTARA R/A, DHAKA</t>
  </si>
  <si>
    <t>02 8991781, 48950997, 58954161</t>
  </si>
  <si>
    <t>02 8931687</t>
  </si>
  <si>
    <t>170261724</t>
  </si>
  <si>
    <t>PRBLBDDH016</t>
  </si>
  <si>
    <t>PLOT NO 1, BLOCK CEN(H), ROAD 109, GULSHAN AVENUE, DHAKA 1212</t>
  </si>
  <si>
    <t>02 9886171, 58815885, 9890898</t>
  </si>
  <si>
    <t>02 9884977</t>
  </si>
  <si>
    <t>170262057</t>
  </si>
  <si>
    <t>MADHU BHABAN, SINGAIR ROAD, HEMAYETPUR, SAVAR, DHAKA</t>
  </si>
  <si>
    <t>02 7742096, 017 30781154</t>
  </si>
  <si>
    <t>02 7742096</t>
  </si>
  <si>
    <t>170262086</t>
  </si>
  <si>
    <t>IBRAHIMPUR BRANCH</t>
  </si>
  <si>
    <t>IBRAHIMPUR_BRANCH</t>
  </si>
  <si>
    <t>208 / 208</t>
  </si>
  <si>
    <t>SUMONA SAHADAT CENTER, 80 IBRAHIMPUR, KAFRUL, DHAKA 1206</t>
  </si>
  <si>
    <t>02 8872557, 8872503, 8872423</t>
  </si>
  <si>
    <t>02 8872501</t>
  </si>
  <si>
    <t>170273220</t>
  </si>
  <si>
    <t>NUR TOWER, 76/GA BIBIR BAGICHA, NORTH JATRABARI, DHAKA 1204</t>
  </si>
  <si>
    <t>02 7552158, 7552178</t>
  </si>
  <si>
    <t>02 7552169</t>
  </si>
  <si>
    <t>170273288</t>
  </si>
  <si>
    <t>AZAHAR ALI MOZAHAR ALI SHOPPING COMPLEX, JOYPARA, LOTAKHOLA, DOHAR, DHAKA</t>
  </si>
  <si>
    <t>02 7768055, 7768053, 7768054</t>
  </si>
  <si>
    <t>02 7768052</t>
  </si>
  <si>
    <t>170262536</t>
  </si>
  <si>
    <t>PRBLBDDH010</t>
  </si>
  <si>
    <t>54 KARWAN BAZAR C/A, DHAKA 1215</t>
  </si>
  <si>
    <t>02 58157288, 9124296-7, 9146097</t>
  </si>
  <si>
    <t>02 9129004</t>
  </si>
  <si>
    <t>170263106</t>
  </si>
  <si>
    <t>310 / 310</t>
  </si>
  <si>
    <t>RABIUL PLAZA, PLOT NO SHEE-1/KHA, SECTION 1, MIRPUR, DHAKA 1216</t>
  </si>
  <si>
    <t>02 8034126, 8034590</t>
  </si>
  <si>
    <t>02 8034591</t>
  </si>
  <si>
    <t>170262231</t>
  </si>
  <si>
    <t>MIRPUR ISLAMI BRANCH</t>
  </si>
  <si>
    <t>MIRPUR_ISLAMI_BRANCH</t>
  </si>
  <si>
    <t>MAMONI TOWER, 1244 EAST MONIPUR, BEGUM ROKEYA SARANI, MIRPUR, DHAKA 1216</t>
  </si>
  <si>
    <t>02 8057681-2, 8058371</t>
  </si>
  <si>
    <t>02 9031700</t>
  </si>
  <si>
    <t>170263193</t>
  </si>
  <si>
    <t>319 / 319</t>
  </si>
  <si>
    <t>PRBLBDDH007</t>
  </si>
  <si>
    <t>69 MOHAKHALI C/A, DHAKA 1212</t>
  </si>
  <si>
    <t>02 9850302, 9882291</t>
  </si>
  <si>
    <t>02 9886052</t>
  </si>
  <si>
    <t>170274245</t>
  </si>
  <si>
    <t>PRBLBDDH001</t>
  </si>
  <si>
    <t>ADAMJEE COURT ANNEX BUILDING 2, 119-120 MOTIJHEEL C/A, DHAKA 1000</t>
  </si>
  <si>
    <t>02 7175491-2, 9567225, 9562982</t>
  </si>
  <si>
    <t>02 9567223</t>
  </si>
  <si>
    <t>170274395</t>
  </si>
  <si>
    <t>439 / 439</t>
  </si>
  <si>
    <t>PRBLBDDH013</t>
  </si>
  <si>
    <t>MANHATTAN TOWER, 83 SIDDHESWARI CIRCULAR ROAD, MALIBAGH, DHAKA 1217</t>
  </si>
  <si>
    <t>02 8352831, 9347757</t>
  </si>
  <si>
    <t>02 9338883</t>
  </si>
  <si>
    <t>170274429</t>
  </si>
  <si>
    <t>442 / 442</t>
  </si>
  <si>
    <t>PRBLBDDH003</t>
  </si>
  <si>
    <t>77/4 MOULVIBAZAR, DHAKA 1100</t>
  </si>
  <si>
    <t>02 57316696, 57313407, 57311017</t>
  </si>
  <si>
    <t>02 57318305</t>
  </si>
  <si>
    <t>170275028</t>
  </si>
  <si>
    <t>502 / 502</t>
  </si>
  <si>
    <t>133 NEW ESKATON ROAD, DHAKA 1000</t>
  </si>
  <si>
    <t>02 9354044, 9354738, 9359683</t>
  </si>
  <si>
    <t>02 9354826</t>
  </si>
  <si>
    <t>170263580</t>
  </si>
  <si>
    <t>358 / 358</t>
  </si>
  <si>
    <t>SETARAS DREAM, HOLDING NO 1/11 &amp;amp; 1/12, PALLABI, MIRPUR, DHAKA</t>
  </si>
  <si>
    <t>02 9000559, 9001913, 9013629</t>
  </si>
  <si>
    <t>02 9001883</t>
  </si>
  <si>
    <t>170263614</t>
  </si>
  <si>
    <t>361 / 361</t>
  </si>
  <si>
    <t>FIROZ TOWER, 152/3-B GREEN ROAD, PANTHAPATH, DHAKA 1205</t>
  </si>
  <si>
    <t>02 9142879, 8128100, 8152852</t>
  </si>
  <si>
    <t>02 9137887</t>
  </si>
  <si>
    <t>170275231</t>
  </si>
  <si>
    <t>PATUATULY BRANCH</t>
  </si>
  <si>
    <t>PATUATULY_BRANCH</t>
  </si>
  <si>
    <t>523 / 523</t>
  </si>
  <si>
    <t>BISHAL HAFIZ MARKET, HOLDING NO 10, WISE GHAT ROAD, PATUATULY, DHAKA 1100</t>
  </si>
  <si>
    <t>02 7343474, 017 66675393, 017 66675384</t>
  </si>
  <si>
    <t>02 57396161</t>
  </si>
  <si>
    <t>170275307</t>
  </si>
  <si>
    <t>POSTA SME BRANCH</t>
  </si>
  <si>
    <t>POSTA_SME_BRANCH</t>
  </si>
  <si>
    <t>530 / 530</t>
  </si>
  <si>
    <t>HOLDING NO 90, WARD 62, WATER WORKS ROAD, POSTA, LALBAGH, DHAKA</t>
  </si>
  <si>
    <t>02 7343663</t>
  </si>
  <si>
    <t>smeposta@primebank.com.bd</t>
  </si>
  <si>
    <t>170263706</t>
  </si>
  <si>
    <t>FACILITIES TOWER, KHA-199/2 MADDHYA BADDA, DHAKA</t>
  </si>
  <si>
    <t>02 9840689, 8816938, 9840685</t>
  </si>
  <si>
    <t>02 8837531</t>
  </si>
  <si>
    <t>170263977</t>
  </si>
  <si>
    <t>BAITUL AMAN TOWER, HOLDING NO 840-841, UTTAR ADABOR, DHAKA</t>
  </si>
  <si>
    <t>02 8158866, 9129093</t>
  </si>
  <si>
    <t>02 8117010</t>
  </si>
  <si>
    <t>170264039</t>
  </si>
  <si>
    <t>403 / 403</t>
  </si>
  <si>
    <t>PRBLBDDH023</t>
  </si>
  <si>
    <t>HOUSE NO 99, ROAD 11/A, DHANMONDI R/A, DHAKA 1209</t>
  </si>
  <si>
    <t>02 9122374, 8124258, 8153556</t>
  </si>
  <si>
    <t>02 8121652</t>
  </si>
  <si>
    <t>170264121</t>
  </si>
  <si>
    <t>412 / 412</t>
  </si>
  <si>
    <t>KK PLAZA, HOLDING NO A-91, WARD 5, SAVAR BAZAR ROAD, SAVAR, DHAKA</t>
  </si>
  <si>
    <t>02 7744862, 7744861</t>
  </si>
  <si>
    <t>02 7744863</t>
  </si>
  <si>
    <t>170276106</t>
  </si>
  <si>
    <t>SBC TOWER BRANCH</t>
  </si>
  <si>
    <t>SBC_TOWER_BRANCH</t>
  </si>
  <si>
    <t>610 / 610</t>
  </si>
  <si>
    <t>PRBLBDDH024</t>
  </si>
  <si>
    <t>SADHARAN BIMA TOWER, 37/A DILKUSHA C/A, DHAKA 1000</t>
  </si>
  <si>
    <t>02 9561221, 9559943</t>
  </si>
  <si>
    <t>02 9564189</t>
  </si>
  <si>
    <t>170264484</t>
  </si>
  <si>
    <t>448 / 448</t>
  </si>
  <si>
    <t>SHANTA WESTERN TOWER, 186 BIR UTTAM MIR SHAWKAT SARAK, TEJGAON, DHAKA 1208</t>
  </si>
  <si>
    <t>02 8879157-8, 8879160</t>
  </si>
  <si>
    <t>02 8879156</t>
  </si>
  <si>
    <t>170264639</t>
  </si>
  <si>
    <t>PRBLBDDH021</t>
  </si>
  <si>
    <t>SIAM TOWER, PLOT NO 15, SECTOR 3, DHAKA-MYMENSINGH ROAD, UTTARA MODEL TOWN, DHAKA</t>
  </si>
  <si>
    <t>02 58956233, 48950341-2, 58950016</t>
  </si>
  <si>
    <t>02 58954248</t>
  </si>
  <si>
    <t>170277000</t>
  </si>
  <si>
    <t>700 / 700</t>
  </si>
  <si>
    <t>TANIN ROSEATE, 43 RANKING STREET, WARI, DHAKA</t>
  </si>
  <si>
    <t>02 9512085, 7118311, 7118169</t>
  </si>
  <si>
    <t>02 9512084</t>
  </si>
  <si>
    <t>170271851</t>
  </si>
  <si>
    <t>185</t>
  </si>
  <si>
    <t>170272689</t>
  </si>
  <si>
    <t>170270007</t>
  </si>
  <si>
    <t>170280671</t>
  </si>
  <si>
    <t>MAZEDA PLAZA, 518/473 GANASHTALA, JAIL ROAD, DINAJPUR</t>
  </si>
  <si>
    <t>0531 51289, 51291</t>
  </si>
  <si>
    <t>0531 51296</t>
  </si>
  <si>
    <t>170290340</t>
  </si>
  <si>
    <t>034 / 034</t>
  </si>
  <si>
    <t>AZAHAR TOWER, HOLDING 503, STATION ROAD, WARD 03, BOALMARI, FARIDPUR</t>
  </si>
  <si>
    <t>06324 56132, 56130</t>
  </si>
  <si>
    <t>06324 56139</t>
  </si>
  <si>
    <t>170290524</t>
  </si>
  <si>
    <t>KMA ARCADIA, HOLDING NO 60/116(A), MOIRAPOTTY, FARIDPUR</t>
  </si>
  <si>
    <t>0631 65133</t>
  </si>
  <si>
    <t>0631 65128</t>
  </si>
  <si>
    <t>170291099</t>
  </si>
  <si>
    <t>MODHUKHALI BRANCH</t>
  </si>
  <si>
    <t>MODHUKHALI_BRANCH</t>
  </si>
  <si>
    <t>MODHUBAN SHOPPING MALL, MODHUKHALI, FARIDPUR</t>
  </si>
  <si>
    <t>06326 56017, 56018</t>
  </si>
  <si>
    <t>0632 656019</t>
  </si>
  <si>
    <t>170300377</t>
  </si>
  <si>
    <t>RB PLAZA, 391 FAZILER GHAT, DAGANBHUIYAN, FENI</t>
  </si>
  <si>
    <t>03323 79248, 79249</t>
  </si>
  <si>
    <t>03323 79250</t>
  </si>
  <si>
    <t>170300522</t>
  </si>
  <si>
    <t>KAZI CENTER, HOLDING NO 106, SSK ROAD, FENI</t>
  </si>
  <si>
    <t>0331 63091, 63093, 63092</t>
  </si>
  <si>
    <t>0331 63092</t>
  </si>
  <si>
    <t>170330734</t>
  </si>
  <si>
    <t>073 / 073</t>
  </si>
  <si>
    <t>SHAPLA MANSION, JOYDEBPUR CHOWRASTA, CHANDANA, DHAKA-TANGAIL ROAD, GAZIPUR</t>
  </si>
  <si>
    <t>02 9264135, 9264103</t>
  </si>
  <si>
    <t>02 9264097</t>
  </si>
  <si>
    <t>170331638</t>
  </si>
  <si>
    <t>SENA KALYAN COMMERCIAL COMPLEX, PLOT NO 9, BLOCK F, TONGI, GAZIPUR</t>
  </si>
  <si>
    <t>02 9813811, 9813874</t>
  </si>
  <si>
    <t>02 9813835</t>
  </si>
  <si>
    <t>170360612</t>
  </si>
  <si>
    <t>KOHINOOR COMPLEX, HOLDING NO 3794, WARD 4, HABIGANJ</t>
  </si>
  <si>
    <t>0831 62814, 62813</t>
  </si>
  <si>
    <t>0831 62815</t>
  </si>
  <si>
    <t>170360896</t>
  </si>
  <si>
    <t>089 / 089</t>
  </si>
  <si>
    <t>KATIARA, MADHABPUR, HABIGANJ</t>
  </si>
  <si>
    <t>08327 56327</t>
  </si>
  <si>
    <t>smemadhabpur@primebank.com.bd</t>
  </si>
  <si>
    <t>08327 56343</t>
  </si>
  <si>
    <t>170361095</t>
  </si>
  <si>
    <t>ANWARA BIPAN, HOLDING NO 322, OSMANI ROAD, NABIGANJ, HABIGANJ</t>
  </si>
  <si>
    <t>08328 56025, 56029</t>
  </si>
  <si>
    <t>08328 56015</t>
  </si>
  <si>
    <t>170410946</t>
  </si>
  <si>
    <t>PRBLBDDH018</t>
  </si>
  <si>
    <t>47 NETAJI SUBHAS CHANDRA ROAD, JESSORE 7400</t>
  </si>
  <si>
    <t>0421 68815, 68814</t>
  </si>
  <si>
    <t>0421 68816</t>
  </si>
  <si>
    <t>170411103</t>
  </si>
  <si>
    <t>JHIKARGACHA SME BRANCH</t>
  </si>
  <si>
    <t>JHIKARGACHA_SME_BRANCH</t>
  </si>
  <si>
    <t>110 / 110</t>
  </si>
  <si>
    <t>ZAMAN MARKET, HOLDING NO 522, JHIKARGACHA, JESSORE</t>
  </si>
  <si>
    <t>04225 71780</t>
  </si>
  <si>
    <t>smejhikorgacha@primebank.com.bd</t>
  </si>
  <si>
    <t>04225 71788</t>
  </si>
  <si>
    <t>170380405</t>
  </si>
  <si>
    <t>040 / 040</t>
  </si>
  <si>
    <t>TAHERA COMPLEX, 306 MAIN ROAD, JOYPURHAT</t>
  </si>
  <si>
    <t>0571 51156, 51157</t>
  </si>
  <si>
    <t>0571 51158</t>
  </si>
  <si>
    <t>170470702</t>
  </si>
  <si>
    <t>070 / 070</t>
  </si>
  <si>
    <t>AKANKHA TOWER, 454 KHAN-E-SABUR ROAD, DAULATPUR, KHULNA</t>
  </si>
  <si>
    <t>041 2850877, 2850876</t>
  </si>
  <si>
    <t>041 2850875</t>
  </si>
  <si>
    <t>170471543</t>
  </si>
  <si>
    <t>PRBLBDDH004</t>
  </si>
  <si>
    <t>7 OLD JESSORE ROAD, KHULNA 9100</t>
  </si>
  <si>
    <t>041 720071, 725100</t>
  </si>
  <si>
    <t>041 731195</t>
  </si>
  <si>
    <t>170480226</t>
  </si>
  <si>
    <t>181 TIN POTTY ROAD, BHAIRAB, KISHOREGANJ</t>
  </si>
  <si>
    <t>02 9470723, 9470771</t>
  </si>
  <si>
    <t>02 9470755</t>
  </si>
  <si>
    <t>170480671</t>
  </si>
  <si>
    <t>SHAMSUDDIN BHUIYAN PLAZA, TERIPOTTY, KISHOREGANJ</t>
  </si>
  <si>
    <t>0941 62590, 62592</t>
  </si>
  <si>
    <t>0941 62591</t>
  </si>
  <si>
    <t>AGRICULTURE</t>
  </si>
  <si>
    <t>170500014</t>
  </si>
  <si>
    <t>KHAJANAGAR_SME</t>
  </si>
  <si>
    <t>170500948</t>
  </si>
  <si>
    <t>BANGABANDHU SUPER MARKET, 2 NS ROAD, KUSHTIA</t>
  </si>
  <si>
    <t>071 72431, 72432</t>
  </si>
  <si>
    <t>071 72430</t>
  </si>
  <si>
    <t>170510970</t>
  </si>
  <si>
    <t>RAIPUR SME BRANCH</t>
  </si>
  <si>
    <t>RAIPUR_SME_BRANCH</t>
  </si>
  <si>
    <t>QUEEN COMPLEX, HOLDING NO 514-515, MAIN ROAD, RAIPUR, LAKSHMIPUR</t>
  </si>
  <si>
    <t>03822 56396</t>
  </si>
  <si>
    <t>smeraipur@primebank.com.bd</t>
  </si>
  <si>
    <t>03822 56397</t>
  </si>
  <si>
    <t>170540779</t>
  </si>
  <si>
    <t>TAKERHAT SME BRANCH</t>
  </si>
  <si>
    <t>TAKERHAT_SME_BRANCH</t>
  </si>
  <si>
    <t>077 / 077</t>
  </si>
  <si>
    <t>NASIRPUR, RAJOIR, MADARIPUR</t>
  </si>
  <si>
    <t>017 13255772</t>
  </si>
  <si>
    <t>smetakerhat@primebank.com.bd</t>
  </si>
  <si>
    <t>170580100</t>
  </si>
  <si>
    <t>HAZI ABDUL ALI TRADE CENTER, BARLEKHA, MOULVIBAZAR</t>
  </si>
  <si>
    <t>08622 56520, 56519</t>
  </si>
  <si>
    <t>08622 56522</t>
  </si>
  <si>
    <t>170580405</t>
  </si>
  <si>
    <t>COURT ROAD, MOULVIBAZAR 3200</t>
  </si>
  <si>
    <t>0861 53877, 53878</t>
  </si>
  <si>
    <t>0861 53878</t>
  </si>
  <si>
    <t>170580942</t>
  </si>
  <si>
    <t>MARINA SQUARE, DAKKHIN BAZAR, KULAURA, MOULVIBAZAR</t>
  </si>
  <si>
    <t>08624 57081, 57082</t>
  </si>
  <si>
    <t>08624 57080</t>
  </si>
  <si>
    <t>170581725</t>
  </si>
  <si>
    <t>SAPTADINGA COMPLEX, HOLDING NO 145, WARD 9, MOULVIBAZAR ROAD, SREEMANGAL, MOULVIBAZAR</t>
  </si>
  <si>
    <t>08626 71181, 71183</t>
  </si>
  <si>
    <t>08626 71182</t>
  </si>
  <si>
    <t>170591399</t>
  </si>
  <si>
    <t>139 / 139</t>
  </si>
  <si>
    <t>HAJI MOSTAFA PLAZA, 284 BAZAR ROAD, SIRAJDIKHAN, MUNSHIGANJ</t>
  </si>
  <si>
    <t>02 7628320, 7628330</t>
  </si>
  <si>
    <t>02 7628310</t>
  </si>
  <si>
    <t>170591423</t>
  </si>
  <si>
    <t>142 / 142</t>
  </si>
  <si>
    <t>RAHMAN COMPLEX, SREENAGAR BAZAR, MUNSHIGANJ</t>
  </si>
  <si>
    <t>02 7627202, 7627210, 017 30781191</t>
  </si>
  <si>
    <t>170611758</t>
  </si>
  <si>
    <t>10 SWADESHI BAZAR, MYMENSINGH</t>
  </si>
  <si>
    <t>091 52390, 52391</t>
  </si>
  <si>
    <t>091 52391</t>
  </si>
  <si>
    <t>170641094</t>
  </si>
  <si>
    <t>CHARMATHA BOKER MORE, BRIDGE ROAD, MAHADEBPUR, NAOGAON</t>
  </si>
  <si>
    <t>07426 75041, 75088</t>
  </si>
  <si>
    <t>07426 75044</t>
  </si>
  <si>
    <t>170641186</t>
  </si>
  <si>
    <t>JAGANNATH BHABAN, HOLDING NO 320, WARD 4, MAIN ROAD, NAOGAON</t>
  </si>
  <si>
    <t>0741 62150, 62151</t>
  </si>
  <si>
    <t>0741 62152</t>
  </si>
  <si>
    <t>170670036</t>
  </si>
  <si>
    <t>ADAMJEE EPZ BRANCH</t>
  </si>
  <si>
    <t>ADAMJEE_EPZ_BRANCH</t>
  </si>
  <si>
    <t>003 / 003</t>
  </si>
  <si>
    <t>PRBLBDDHAEZ</t>
  </si>
  <si>
    <t>ADAMJEE EPZ, HOLDING NO 4, SIDDIRGANJ, NARAYANGANJ</t>
  </si>
  <si>
    <t>02 7692025-26, 7692024</t>
  </si>
  <si>
    <t>02 7692027</t>
  </si>
  <si>
    <t>170671185</t>
  </si>
  <si>
    <t>PRBLBDDH012</t>
  </si>
  <si>
    <t>MODERN MODEL COMPLEX, 56 SM MALEH ROAD, NARAYANGANJ 1400</t>
  </si>
  <si>
    <t>02 764689, 7630150</t>
  </si>
  <si>
    <t>02 7630140</t>
  </si>
  <si>
    <t>170671572</t>
  </si>
  <si>
    <t>HAZI A RAHMAN SUPER MARKET &amp;amp; SHOPPING TOWER, HOLDING NO 96, SHIMRAIL MORE, SHANARPAR, SIDDIRGANJ, NARAYANGANJ</t>
  </si>
  <si>
    <t>02 7691670, 7692912</t>
  </si>
  <si>
    <t>02 7691671</t>
  </si>
  <si>
    <t>170671701</t>
  </si>
  <si>
    <t>170 / 170</t>
  </si>
  <si>
    <t>MADINA TOWER, HABIBPUR, SONARGAON, NARAYANGANJ</t>
  </si>
  <si>
    <t>02 7656359</t>
  </si>
  <si>
    <t>smesonargaon@primebank.com.bd</t>
  </si>
  <si>
    <t>02 7656362</t>
  </si>
  <si>
    <t>170680671</t>
  </si>
  <si>
    <t>PLOT NO 17, MADHABDI BAZAR, NARSINGDI 1604</t>
  </si>
  <si>
    <t>06251 56682</t>
  </si>
  <si>
    <t>02 9446683</t>
  </si>
  <si>
    <t>170680868</t>
  </si>
  <si>
    <t>086 / 086</t>
  </si>
  <si>
    <t>BS PLAZA, 9 NORTH KANDAPARA BAZIR MORE, NARSINGDI</t>
  </si>
  <si>
    <t>02 94633433, 017 30096613</t>
  </si>
  <si>
    <t>smenarsingdi@primebank.com.bd</t>
  </si>
  <si>
    <t>02 9463343</t>
  </si>
  <si>
    <t>170681304</t>
  </si>
  <si>
    <t>KHAN TOWER, SHIBPUR BAZAR, NARSINGDI</t>
  </si>
  <si>
    <t>06256 75130, 75131</t>
  </si>
  <si>
    <t>06256 75134</t>
  </si>
  <si>
    <t>170691099</t>
  </si>
  <si>
    <t>HOLDING NO 1052, DHAKA-RAJSHAHI HIGHWAY, NATORE</t>
  </si>
  <si>
    <t>0771 67001</t>
  </si>
  <si>
    <t>0771 67002</t>
  </si>
  <si>
    <t>170750585</t>
  </si>
  <si>
    <t>CHATKHIL SME BRANCH</t>
  </si>
  <si>
    <t>CHATKHIL_SME_BRANCH</t>
  </si>
  <si>
    <t>MOMOTA SHOPPING CENTER, C&amp;amp;B ROAD, CHATKHIL, NOAKHALI</t>
  </si>
  <si>
    <t>03222 75113</t>
  </si>
  <si>
    <t>smechatkhil@primebank.com.bd</t>
  </si>
  <si>
    <t>03222 75119</t>
  </si>
  <si>
    <t>170750677</t>
  </si>
  <si>
    <t>HOLDING NO 180-182, FENI ROAD, CHOWMUHANI, BEGUMGANJ, NOAKHALI</t>
  </si>
  <si>
    <t>0321 54096</t>
  </si>
  <si>
    <t>0321 56096</t>
  </si>
  <si>
    <t>170761211</t>
  </si>
  <si>
    <t>HOLDING NO 1335/982, STATION ROAD, WARD 7, ISHWARDI, PABNA</t>
  </si>
  <si>
    <t>07326 64435, 64650</t>
  </si>
  <si>
    <t>07326 64436</t>
  </si>
  <si>
    <t>170761787</t>
  </si>
  <si>
    <t>423/1 SONAPATTI ROAD, PABNA</t>
  </si>
  <si>
    <t>0731 66426, 66425</t>
  </si>
  <si>
    <t>0731 66399</t>
  </si>
  <si>
    <t>170810225</t>
  </si>
  <si>
    <t>BANESWAR BRANCH</t>
  </si>
  <si>
    <t>BANESWAR_BRANCH</t>
  </si>
  <si>
    <t>BANESWAR BAZAR, PUTHIA, RAJSHAHI</t>
  </si>
  <si>
    <t>017 55534922</t>
  </si>
  <si>
    <t>170811932</t>
  </si>
  <si>
    <t>PRBLBDDH009</t>
  </si>
  <si>
    <t>138/144 SHAHEB BAZAR, RAJSHAHI 6100</t>
  </si>
  <si>
    <t>0721 773981, 774582, 771874</t>
  </si>
  <si>
    <t>0721 773980</t>
  </si>
  <si>
    <t>170851455</t>
  </si>
  <si>
    <t>SHAH AMANAT SUPER MARKET, 268 STATION ROAD, JAHAJ COMPANIR MORE, RANGPUR</t>
  </si>
  <si>
    <t>0521 64119, 64120</t>
  </si>
  <si>
    <t>0521 64118</t>
  </si>
  <si>
    <t>170860196</t>
  </si>
  <si>
    <t>HOLDING 264, WARD 8, SONALI BANK ROAD, DAMUDYA, SHARIATPUR</t>
  </si>
  <si>
    <t>06023 56396</t>
  </si>
  <si>
    <t>06023 56390</t>
  </si>
  <si>
    <t>170890566</t>
  </si>
  <si>
    <t>056 / 056</t>
  </si>
  <si>
    <t>HABIB MANSION, 19 MUNICIPAL ROAD, NARAYANPUR, SHERPUR</t>
  </si>
  <si>
    <t>0931 62176</t>
  </si>
  <si>
    <t>smesherpur@primebank.com.bd</t>
  </si>
  <si>
    <t>0931 62175</t>
  </si>
  <si>
    <t>170901192</t>
  </si>
  <si>
    <t>SAYEDPUR SME BRANCH</t>
  </si>
  <si>
    <t>SAYEDPUR_SME_BRANCH</t>
  </si>
  <si>
    <t>119 / 119</t>
  </si>
  <si>
    <t>RADISH COMPLEX, SAYEDPUR, JAGNNATHPUR, SUNAMGANJ</t>
  </si>
  <si>
    <t>017 13255776</t>
  </si>
  <si>
    <t>smesyedpur@primebank.com.bd</t>
  </si>
  <si>
    <t>170901150</t>
  </si>
  <si>
    <t>SUBAKTH RAJA COMPLEX, 414 OLD STATION ROAD, SUNAMGANJ</t>
  </si>
  <si>
    <t>0871 62516, 62515</t>
  </si>
  <si>
    <t>0871 62514</t>
  </si>
  <si>
    <t>170910046</t>
  </si>
  <si>
    <t>AMBERKHANA ISLAMI BRANCH</t>
  </si>
  <si>
    <t>AMBERKHANA_ISLAMI_BRANCH</t>
  </si>
  <si>
    <t>NABIBA COMPLEX, AMBERKHANA, AIRPORT ROAD, SYLHET 3100</t>
  </si>
  <si>
    <t>0821 717332, 728944</t>
  </si>
  <si>
    <t>0821 717337</t>
  </si>
  <si>
    <t>170910312</t>
  </si>
  <si>
    <t>08223 56139, 56140</t>
  </si>
  <si>
    <t>08223 56141</t>
  </si>
  <si>
    <t>170910433</t>
  </si>
  <si>
    <t>AL-BURAK SHOPPING CENTER, BISHWANATH BAZAR, SYLHET</t>
  </si>
  <si>
    <t>08244 56017</t>
  </si>
  <si>
    <t>08224 56004</t>
  </si>
  <si>
    <t>170911308</t>
  </si>
  <si>
    <t>BAKUL MANSION, COLLEGE ROAD, GOLAPGANJ, SYLHET</t>
  </si>
  <si>
    <t>08227 56180, 56187</t>
  </si>
  <si>
    <t>08227 56308</t>
  </si>
  <si>
    <t>170911782</t>
  </si>
  <si>
    <t>CENTURY PARK, PLOT NO 1052, ISLAMPUR, MAJORTILA, SHAHPORAN, SYLHET</t>
  </si>
  <si>
    <t>0821 761174, 761157</t>
  </si>
  <si>
    <t>0821 761115</t>
  </si>
  <si>
    <t>170911908</t>
  </si>
  <si>
    <t>190 / 190</t>
  </si>
  <si>
    <t>MOTIN COMPLEX, BESIDE SHAHZALAL MARKET, SOUTH SURMA, SYLHET</t>
  </si>
  <si>
    <t>0821 728910, 841319</t>
  </si>
  <si>
    <t>0821 728630</t>
  </si>
  <si>
    <t>170913498</t>
  </si>
  <si>
    <t>349 / 349</t>
  </si>
  <si>
    <t>CORNER VIEW, PLOT NO 488(SA) 2155(RS), SUBIDBAZAR, SYLHET</t>
  </si>
  <si>
    <t>0821 727688, 727629</t>
  </si>
  <si>
    <t>0821 2830942</t>
  </si>
  <si>
    <t>170913551</t>
  </si>
  <si>
    <t>PRBLBDDH006</t>
  </si>
  <si>
    <t>0821 721127, 710208</t>
  </si>
  <si>
    <t>0821 710673</t>
  </si>
  <si>
    <t>170913827</t>
  </si>
  <si>
    <t>MAYA VIEW SUPER MARKET, TAJPUR, OSMANINAGAR, BALAGANJ, SYLHET</t>
  </si>
  <si>
    <t>08242 56211, 56210</t>
  </si>
  <si>
    <t>08242 56212</t>
  </si>
  <si>
    <t>170914039</t>
  </si>
  <si>
    <t>ALIF CENTER, SUBHANIGHAT, UPASHAHAR, SYLHET</t>
  </si>
  <si>
    <t>0821 811366, 723524</t>
  </si>
  <si>
    <t>0821 710094</t>
  </si>
  <si>
    <t>170931517</t>
  </si>
  <si>
    <t>151 / 151</t>
  </si>
  <si>
    <t>RASHID BIPONI BHABAN, 706 COLLEGE ROAD, MIRZAPUR, TANGAIL</t>
  </si>
  <si>
    <t>09229 56591, 56592</t>
  </si>
  <si>
    <t>09229 56593</t>
  </si>
  <si>
    <t>170932295</t>
  </si>
  <si>
    <t>HOLDING NO 414-417, MAIN ROAD, TANGAIL</t>
  </si>
  <si>
    <t>0921 61248, 61271, 61330</t>
  </si>
  <si>
    <t>0921 61322</t>
  </si>
  <si>
    <t>170940982</t>
  </si>
  <si>
    <t>098 / 098</t>
  </si>
  <si>
    <t>CHOWDHURY COMPLEX, NISHCHINTAPUR, THAKURGAON</t>
  </si>
  <si>
    <t>0561 52295</t>
  </si>
  <si>
    <t>smethakurgaon@primebank.com.bd</t>
  </si>
  <si>
    <t>0561 52538</t>
  </si>
  <si>
    <t>PUBALI_BANK_LIMITED</t>
  </si>
  <si>
    <t>PUBALI BANK LIMITED</t>
  </si>
  <si>
    <t>175010075</t>
  </si>
  <si>
    <t>PUBABDDH</t>
  </si>
  <si>
    <t>MAIN ROAD, BAGERHAT</t>
  </si>
  <si>
    <t>0401 2496</t>
  </si>
  <si>
    <t>bagerhat@pubalibankbd.com</t>
  </si>
  <si>
    <t>175010941</t>
  </si>
  <si>
    <t>0465 8503</t>
  </si>
  <si>
    <t>mongla@pubalibankbd.com</t>
  </si>
  <si>
    <t>175030134</t>
  </si>
  <si>
    <t>BANDARBAN BAZAR, BANDARBAN</t>
  </si>
  <si>
    <t>0361 323</t>
  </si>
  <si>
    <t>bandarban@pubalibankbd.com</t>
  </si>
  <si>
    <t>175040108</t>
  </si>
  <si>
    <t>0886 281</t>
  </si>
  <si>
    <t>bamna@pubalibankbd.com</t>
  </si>
  <si>
    <t>175040137</t>
  </si>
  <si>
    <t>BAZAR ROAD, BARGUNA</t>
  </si>
  <si>
    <t>barguna@pubalibankbd.com</t>
  </si>
  <si>
    <t>175060162</t>
  </si>
  <si>
    <t>BABUGANJ HIGH SCHOOL ROAD, BABUGANJ, BARISAL</t>
  </si>
  <si>
    <t>017 11435028</t>
  </si>
  <si>
    <t>babugonj@pubalibankbd.com</t>
  </si>
  <si>
    <t>175060283</t>
  </si>
  <si>
    <t>PUBABDDH212</t>
  </si>
  <si>
    <t>18 KB HEMAYETUDDIN ROAD, BARISAL</t>
  </si>
  <si>
    <t>0431 52383, 54229, 56863</t>
  </si>
  <si>
    <t>barisal@pubalibankbd.com</t>
  </si>
  <si>
    <t>175060409</t>
  </si>
  <si>
    <t>BAZAR ROAD, BARISAL SADAR, BARISAL</t>
  </si>
  <si>
    <t>0431 53108</t>
  </si>
  <si>
    <t>bazarroad@pubalibankbd.com</t>
  </si>
  <si>
    <t>175060975</t>
  </si>
  <si>
    <t>KHUNNA GOBINDAPUR, UPAZILA BHABAN, BARJALIA, HIZLA, BARISAL</t>
  </si>
  <si>
    <t>hizla@pubalibankbd.com</t>
  </si>
  <si>
    <t>175061008</t>
  </si>
  <si>
    <t>HOSPITAL ROAD BRANCH</t>
  </si>
  <si>
    <t>HOSPITAL_ROAD_BRANCH</t>
  </si>
  <si>
    <t>167 HOSPITAL ROAD, BARISAL SADAR, BARISAL</t>
  </si>
  <si>
    <t>hospitalrd@pubalibankbd.com</t>
  </si>
  <si>
    <t>175061240</t>
  </si>
  <si>
    <t>MADHABPASHA BRANCH</t>
  </si>
  <si>
    <t>MADHABPASHA_BRANCH</t>
  </si>
  <si>
    <t>MADHABPASHA BAZAR, BABUGANJ, BARISAL</t>
  </si>
  <si>
    <t>madhabpasha@pubalibankbd.com</t>
  </si>
  <si>
    <t>175061361</t>
  </si>
  <si>
    <t>MEHENDIGANJ BRANCH</t>
  </si>
  <si>
    <t>MEHENDIGANJ_BRANCH</t>
  </si>
  <si>
    <t>PATARHAT BANDAR, MEHENDIGANJ, BARISAL</t>
  </si>
  <si>
    <t>mehendigonj@pubalibankbd.com</t>
  </si>
  <si>
    <t>175061453</t>
  </si>
  <si>
    <t>MADDHA BAZAR, MULADI BANDAR, WARD 6, MULADI, BARISAL</t>
  </si>
  <si>
    <t>04326 75288, 019 87706851</t>
  </si>
  <si>
    <t>175061990</t>
  </si>
  <si>
    <t>SHAHID MINAR BRANCH</t>
  </si>
  <si>
    <t>SHAHID_MINAR_BRANCH</t>
  </si>
  <si>
    <t>140/1 SADAR ROAD, BARISAL</t>
  </si>
  <si>
    <t>0431 52646</t>
  </si>
  <si>
    <t>shahidminar@pubalibankbd.com</t>
  </si>
  <si>
    <t>175090103</t>
  </si>
  <si>
    <t>MAHAJAN PATTY, SADAR ROAD, BHOLA</t>
  </si>
  <si>
    <t>0491 55555</t>
  </si>
  <si>
    <t>bhola@pubalibankbd.com</t>
  </si>
  <si>
    <t>175090224</t>
  </si>
  <si>
    <t>CHAR FASSON, BHOLA</t>
  </si>
  <si>
    <t>04923 74036, 01917704728</t>
  </si>
  <si>
    <t>charfashion@pubalibankbd.com</t>
  </si>
  <si>
    <t>175100372</t>
  </si>
  <si>
    <t>KABI NAZRUL ISLAM ROAD, BOGRA SADAR, BOGRA</t>
  </si>
  <si>
    <t>051 6194</t>
  </si>
  <si>
    <t>bogra@pubalibankbd.com</t>
  </si>
  <si>
    <t>175100585</t>
  </si>
  <si>
    <t>FATEH ALI BRIDGE ROAD, BOGRA SADAR, BOGRA  5800</t>
  </si>
  <si>
    <t>051 5286, 017 11401307</t>
  </si>
  <si>
    <t>chelopara@pubalibankbd.com</t>
  </si>
  <si>
    <t>175100051</t>
  </si>
  <si>
    <t>MURAIL BRANCH</t>
  </si>
  <si>
    <t>MURAIL_BRANCH</t>
  </si>
  <si>
    <t>MURAIL BAZAR, ADAMDIGHI, BOGRA</t>
  </si>
  <si>
    <t>019 17704757</t>
  </si>
  <si>
    <t>murail@pubalibankbd.com</t>
  </si>
  <si>
    <t>175102417</t>
  </si>
  <si>
    <t>SADAR ROAD, SANTAHAR, BOGRA</t>
  </si>
  <si>
    <t>0741 55303</t>
  </si>
  <si>
    <t>santahar@pubalibankbd.com</t>
  </si>
  <si>
    <t>175102509</t>
  </si>
  <si>
    <t>SATMATHA BRANCH</t>
  </si>
  <si>
    <t>SATMATHA_BRANCH</t>
  </si>
  <si>
    <t>NEW MARKET, SATMATHA, BOGRA SADAR, BOGRA</t>
  </si>
  <si>
    <t>051 6123</t>
  </si>
  <si>
    <t>satmatha@pubalibankbd.com</t>
  </si>
  <si>
    <t>175120044</t>
  </si>
  <si>
    <t>AKHAURA, BRAHMANBARIA</t>
  </si>
  <si>
    <t>019 17704780, 018 16448613, 019 17704780</t>
  </si>
  <si>
    <t>akhaura@pubalibankbd.com</t>
  </si>
  <si>
    <t>175120107</t>
  </si>
  <si>
    <t>STATION ROAD, ASHUGANJ, BRAHMANBARIA</t>
  </si>
  <si>
    <t>0852 8215, 017 11437460</t>
  </si>
  <si>
    <t>ashugonj@pubalibankbd.com</t>
  </si>
  <si>
    <t>175120431</t>
  </si>
  <si>
    <t>BRANHMANBARIA BRANCH</t>
  </si>
  <si>
    <t>BRANHMANBARIA_BRANCH</t>
  </si>
  <si>
    <t>TA ROAD, BRAHMANBARIA SADAR, BRAHMANBARIA</t>
  </si>
  <si>
    <t>0851 52108</t>
  </si>
  <si>
    <t>bbaria@pubalibankbd.com</t>
  </si>
  <si>
    <t>175121098</t>
  </si>
  <si>
    <t>SOHAN COMPLEX, KUTI, KOSBA, BRAHMANBARIA</t>
  </si>
  <si>
    <t>019 17704935</t>
  </si>
  <si>
    <t>kutibazar@pubalibankbd.com</t>
  </si>
  <si>
    <t>175121669</t>
  </si>
  <si>
    <t>SARAK BAZAR BRANCH</t>
  </si>
  <si>
    <t>SARAK_BAZAR_BRANCH</t>
  </si>
  <si>
    <t>SARAK BAZAR, BRAHMANBARIA SADAR, BRAHMANBARIA</t>
  </si>
  <si>
    <t>0851 52366</t>
  </si>
  <si>
    <t>sarakbazar@pubalibankbd.com</t>
  </si>
  <si>
    <t>175130076</t>
  </si>
  <si>
    <t>ASHRAFPUR BRANCH</t>
  </si>
  <si>
    <t>ASHRAFPUR_BRANCH</t>
  </si>
  <si>
    <t>ASHRAFPUR, KACHUA, CHANDPUR</t>
  </si>
  <si>
    <t>017 11437462</t>
  </si>
  <si>
    <t>ashrafpur@pubalibankbd.com</t>
  </si>
  <si>
    <t>175130434</t>
  </si>
  <si>
    <t>COMILLA ROAD, CHANDPUR SADAR, CHANDPUR</t>
  </si>
  <si>
    <t>0841 3125, 3168</t>
  </si>
  <si>
    <t>chandpur@pubalibankbd.com</t>
  </si>
  <si>
    <t>175130492</t>
  </si>
  <si>
    <t>CHHENGERCHAR BRANCH</t>
  </si>
  <si>
    <t>CHHENGERCHAR_BRANCH</t>
  </si>
  <si>
    <t>CHHENGER CHAR, MATLAB NORTH, CHANDPUR</t>
  </si>
  <si>
    <t>019 37404328</t>
  </si>
  <si>
    <t>chengarchar@pubalibankbd.com</t>
  </si>
  <si>
    <t>175130797</t>
  </si>
  <si>
    <t>GRIDAKALANDIA BRANCH</t>
  </si>
  <si>
    <t>GRIDAKALANDIA_BRANCH</t>
  </si>
  <si>
    <t>GRIDAKALANDIA, FARIDGANJ, CHANDPUR</t>
  </si>
  <si>
    <t>grida@pubalibankbd.com</t>
  </si>
  <si>
    <t>175130889</t>
  </si>
  <si>
    <t>HAZIGANJ BRANCH</t>
  </si>
  <si>
    <t>HAZIGANJ_BRANCH</t>
  </si>
  <si>
    <t>MAIN ROAD, HAZIGANJ BAZAR, CHANDPUR</t>
  </si>
  <si>
    <t>08424 320</t>
  </si>
  <si>
    <t>hajigonj@pubalibankbd.com</t>
  </si>
  <si>
    <t>175130913</t>
  </si>
  <si>
    <t>kachua@pubalibankbd.com</t>
  </si>
  <si>
    <t>175131217</t>
  </si>
  <si>
    <t>KAUMI MADRASHA BHABAN, MATLAB BAZAR, CHANDPUR</t>
  </si>
  <si>
    <t>0841 4207</t>
  </si>
  <si>
    <t>matlab@pubalibankbd.com</t>
  </si>
  <si>
    <t>175131488</t>
  </si>
  <si>
    <t>JM SENGUPTA ROAD, NATUN BAZAR, CHANDPUR 3600</t>
  </si>
  <si>
    <t>0841 3260, 017 11401318</t>
  </si>
  <si>
    <t>natunbazar@pubalibankbd.com</t>
  </si>
  <si>
    <t>175131541</t>
  </si>
  <si>
    <t>NAYERGAON BAZAR BRANCH</t>
  </si>
  <si>
    <t>NAYERGAON_BAZAR_BRANCH</t>
  </si>
  <si>
    <t>NAYERGAON BAZAR, CHANDPUR</t>
  </si>
  <si>
    <t>nayergaon@pubalibankbd.com</t>
  </si>
  <si>
    <t>175131754</t>
  </si>
  <si>
    <t>RAMPUR BAZAR BRANCH</t>
  </si>
  <si>
    <t>RAMPUR_BAZAR_BRANCH</t>
  </si>
  <si>
    <t>RAMPUR BAZAR,  FARIDGANJ, CHANDPUR</t>
  </si>
  <si>
    <t>rampur@pubalibankbd.com</t>
  </si>
  <si>
    <t>175700251</t>
  </si>
  <si>
    <t>BATEN KAR MORE, NAWABGANJ, CHAPAI NAWABGANJ</t>
  </si>
  <si>
    <t>0781 52431</t>
  </si>
  <si>
    <t>chapaingonj@pubalibankbd.com</t>
  </si>
  <si>
    <t>175700648</t>
  </si>
  <si>
    <t>MAHARAJPUR BRANCH</t>
  </si>
  <si>
    <t>MAHARAJPUR_BRANCH</t>
  </si>
  <si>
    <t>CHAWKTOLA, MAHARAJPUR, CHAPAI NAWABGANJ</t>
  </si>
  <si>
    <t>moharajpur@pubalibankbd.com</t>
  </si>
  <si>
    <t>175150135</t>
  </si>
  <si>
    <t>PUBABDDH204</t>
  </si>
  <si>
    <t>99 AGRABAD COMMERCIAL AREA, CHITTAGONG</t>
  </si>
  <si>
    <t>031 716388, 716409, 017 11401316</t>
  </si>
  <si>
    <t>agrabad@pubalibankbd.com</t>
  </si>
  <si>
    <t>175150256</t>
  </si>
  <si>
    <t>AMAN BAZAR BRANCH</t>
  </si>
  <si>
    <t>AMAN_BAZAR_BRANCH</t>
  </si>
  <si>
    <t>CHIKANDANDI, FATHABAD, CHITTAGONG</t>
  </si>
  <si>
    <t>031 682342</t>
  </si>
  <si>
    <t>amanbazar@pubalibankbd.com</t>
  </si>
  <si>
    <t>175150469</t>
  </si>
  <si>
    <t>37 RAJAPUR LANE, ANDERKILLA, CHITTAGONG</t>
  </si>
  <si>
    <t>031 613802</t>
  </si>
  <si>
    <t>anderkilla@pubalibankbd.com</t>
  </si>
  <si>
    <t>175150522</t>
  </si>
  <si>
    <t>030 96425</t>
  </si>
  <si>
    <t>anowara@pubalibankbd.com</t>
  </si>
  <si>
    <t>175150643</t>
  </si>
  <si>
    <t>ASHRAF ALI ROAD, KOTWALI, CHITTAGONG</t>
  </si>
  <si>
    <t>031 610807</t>
  </si>
  <si>
    <t>ashrafali@pubalibankbd.com</t>
  </si>
  <si>
    <t>175150793</t>
  </si>
  <si>
    <t>BAHADDERHAT, CHANDGAON, CHITTAGONG</t>
  </si>
  <si>
    <t>031 650579</t>
  </si>
  <si>
    <t>bahadderhat@pubalibankbd.com</t>
  </si>
  <si>
    <t>175150977</t>
  </si>
  <si>
    <t>SOUTH JALDI, BANSHKHALI, CHITTAGONG</t>
  </si>
  <si>
    <t>031 630865, 630501</t>
  </si>
  <si>
    <t>banskhali@pubalibankbd.com</t>
  </si>
  <si>
    <t>175151150</t>
  </si>
  <si>
    <t>BARATAKIA BAZAR BRANCH</t>
  </si>
  <si>
    <t>BARATAKIA_BAZAR_BRANCH</t>
  </si>
  <si>
    <t>DHAKA TRUNK ROAD, BARATAKIA BAZAR, MIRSHARAI, CHITTAGONG 4320</t>
  </si>
  <si>
    <t>baratakia@pubalibankbd.com</t>
  </si>
  <si>
    <t>175151097</t>
  </si>
  <si>
    <t>BAROIARHAT BRANCH</t>
  </si>
  <si>
    <t>BAROIARHAT_BRANCH</t>
  </si>
  <si>
    <t>HAJI KHAIR CITY CENTER, HOLDING NO 307, BAROIARHAT, MIRSARAI, CHITTAGONG</t>
  </si>
  <si>
    <t>019 17704873, 019 17704873</t>
  </si>
  <si>
    <t>baroiarhat@pubalibankbd.com</t>
  </si>
  <si>
    <t>175151242</t>
  </si>
  <si>
    <t>BIBIRHAT BRANCH</t>
  </si>
  <si>
    <t>BIBIRHAT_BRANCH</t>
  </si>
  <si>
    <t>BIBIRHAT, FATIKCHHARI, CHITTAGONG</t>
  </si>
  <si>
    <t>bibirhat@pubalibankbd.com</t>
  </si>
  <si>
    <t>175151484</t>
  </si>
  <si>
    <t>PUBABDDH206</t>
  </si>
  <si>
    <t>CDA BUILDING, AGRABAD, CHITTAGONG</t>
  </si>
  <si>
    <t>031 611381, 634710</t>
  </si>
  <si>
    <t>cda@pubalibankbd.com</t>
  </si>
  <si>
    <t>175151750</t>
  </si>
  <si>
    <t>210 NEW CHAKTAI, CHAKTAI, CHITTAGONG</t>
  </si>
  <si>
    <t>031 611100</t>
  </si>
  <si>
    <t>chaktai@pubalibankbd.com</t>
  </si>
  <si>
    <t>175151813</t>
  </si>
  <si>
    <t>CHANDANAISH, EAST ZOARA, CHITTAGONG</t>
  </si>
  <si>
    <t>031 6371483</t>
  </si>
  <si>
    <t>chandanish@pubalibankbd.com</t>
  </si>
  <si>
    <t>175151934</t>
  </si>
  <si>
    <t>37 HASMATULLAH MUSAF LANE, CHAWKBAZAR, CHITTAGONG</t>
  </si>
  <si>
    <t>031 618109</t>
  </si>
  <si>
    <t>chawkbazarctg@pubalibankbd.com</t>
  </si>
  <si>
    <t>175152267</t>
  </si>
  <si>
    <t>CHITTAGONG COLLEGE ROAD, CHITTAGONG</t>
  </si>
  <si>
    <t>031 615274</t>
  </si>
  <si>
    <t>collegeroad@pubalibankbd.com</t>
  </si>
  <si>
    <t>175152441</t>
  </si>
  <si>
    <t>DEWAN HAT</t>
  </si>
  <si>
    <t>DEWAN_HAT</t>
  </si>
  <si>
    <t>175152504</t>
  </si>
  <si>
    <t>DHARMAPUR, AZADIBAZAR, CHITTAGONG</t>
  </si>
  <si>
    <t>031 637166</t>
  </si>
  <si>
    <t>dharmapur@pubalibankbd.com</t>
  </si>
  <si>
    <t>175153132</t>
  </si>
  <si>
    <t>HADIPARA BRANCH</t>
  </si>
  <si>
    <t>HADIPARA_BRANCH</t>
  </si>
  <si>
    <t>EASTERN REFINERY GATE, PATENGA, CHITTAGONG</t>
  </si>
  <si>
    <t>031 2501280</t>
  </si>
  <si>
    <t>hadipara@pubalibankbd.com</t>
  </si>
  <si>
    <t>175153161</t>
  </si>
  <si>
    <t>1636 PC ROAD NATUN BAZAR, BISHWA ROAD MORE, MADHHAM RAMPUR, HALISHAHAR, CHITTAGONG</t>
  </si>
  <si>
    <t>halishahar@pubalibankbd.com</t>
  </si>
  <si>
    <t>175153224</t>
  </si>
  <si>
    <t>031 620126</t>
  </si>
  <si>
    <t>hathazari@pubalibankbd.com</t>
  </si>
  <si>
    <t>175153732</t>
  </si>
  <si>
    <t>D T ROAD, KADAMTALI, CHITTAGONG</t>
  </si>
  <si>
    <t>031 723693</t>
  </si>
  <si>
    <t>kadamtalictg@pubalibankbd.com</t>
  </si>
  <si>
    <t>175154128</t>
  </si>
  <si>
    <t>019 26996315</t>
  </si>
  <si>
    <t>katirhat@pubalibankbd.com</t>
  </si>
  <si>
    <t>175154186</t>
  </si>
  <si>
    <t>KENARIHAT BRANCH</t>
  </si>
  <si>
    <t>KENARIHAT_BRANCH</t>
  </si>
  <si>
    <t>MANNAN SHOPPING COMPLEX, KERANIHAT, SATKANIA, CHITTAGONG</t>
  </si>
  <si>
    <t>019 37404324</t>
  </si>
  <si>
    <t>keranihat@pubalibankbd.com</t>
  </si>
  <si>
    <t>175154278</t>
  </si>
  <si>
    <t>PUBABDDH205</t>
  </si>
  <si>
    <t>6 RAMJOY MOHAJAN LANE, KHATUNGANJ, CHITTAGONG</t>
  </si>
  <si>
    <t>031 611201</t>
  </si>
  <si>
    <t>khatunganj@pubalibankbd.com</t>
  </si>
  <si>
    <t>175154399</t>
  </si>
  <si>
    <t>KORBANIGANJ BRANCH</t>
  </si>
  <si>
    <t>KORBANIGANJ_BRANCH</t>
  </si>
  <si>
    <t>KORBANIGANJ, LAMABAZAR, CHITTAGONG</t>
  </si>
  <si>
    <t>031 611280</t>
  </si>
  <si>
    <t>korbanigonj@pubalibankbd.com</t>
  </si>
  <si>
    <t>175154423</t>
  </si>
  <si>
    <t>KULGAON BRANCH</t>
  </si>
  <si>
    <t>KULGAON_BRANCH</t>
  </si>
  <si>
    <t>KULGAON, JALALABAD, CHITTAGONG</t>
  </si>
  <si>
    <t>031 682659</t>
  </si>
  <si>
    <t>kulgaon@pubalibankbd.com</t>
  </si>
  <si>
    <t>175154544</t>
  </si>
  <si>
    <t>PUBABDDH207</t>
  </si>
  <si>
    <t>LALDIGHI EAST, ANDERKILLA, CHITTAGONG</t>
  </si>
  <si>
    <t>031 611235</t>
  </si>
  <si>
    <t>laldighi@pubalibankbd.com</t>
  </si>
  <si>
    <t>175154665</t>
  </si>
  <si>
    <t>AMIRABAD, LOHAGARA, CHITTAGONG</t>
  </si>
  <si>
    <t>lohagara@pubalibankbd.com</t>
  </si>
  <si>
    <t>175154757</t>
  </si>
  <si>
    <t>MADHUNAGHAT BRANCH</t>
  </si>
  <si>
    <t>MADHUNAGHAT_BRANCH</t>
  </si>
  <si>
    <t>NOOR ALI BARI, MODUNAGHAT, HATHAZARI, CHITTAGONG</t>
  </si>
  <si>
    <t>031 670588</t>
  </si>
  <si>
    <t>modunaghat@pubalibankbd.com</t>
  </si>
  <si>
    <t>175154960</t>
  </si>
  <si>
    <t>496</t>
  </si>
  <si>
    <t>30 REBOTI MOHAN LANE, DAMPARA, CHITTAGONG</t>
  </si>
  <si>
    <t>031 617616</t>
  </si>
  <si>
    <t>mehedibagh@pubalibankbd.com</t>
  </si>
  <si>
    <t>175155143</t>
  </si>
  <si>
    <t>MITHACHARA BAZAR BRANCH</t>
  </si>
  <si>
    <t>MITHACHARA_BAZAR_BRANCH</t>
  </si>
  <si>
    <t>DT ROAD, MITHACHARA BAZAR, CHITTAGONG</t>
  </si>
  <si>
    <t>mithachara@pubalibankbd.com</t>
  </si>
  <si>
    <t>175155448</t>
  </si>
  <si>
    <t>NANUPUR, FATIKCHHARI, CHITTAGONG</t>
  </si>
  <si>
    <t>031 637156, 630262</t>
  </si>
  <si>
    <t>nanupur@pubalibankbd.com</t>
  </si>
  <si>
    <t>175153316</t>
  </si>
  <si>
    <t>NASIRABAD INDUSTRIAL AREA BRANCH</t>
  </si>
  <si>
    <t>NASIRABAD_INDUSTRIAL_AREA_BRANCH</t>
  </si>
  <si>
    <t>NASIRABAD INDUSTRIAL AREA, CHITTAGONG</t>
  </si>
  <si>
    <t>031 682610</t>
  </si>
  <si>
    <t>indarea@pubalibankbd.com</t>
  </si>
  <si>
    <t>175155598</t>
  </si>
  <si>
    <t>NAZIRHAT, CHITTAGONG</t>
  </si>
  <si>
    <t>031 635033</t>
  </si>
  <si>
    <t>nazirhat@pubalibankbd.com</t>
  </si>
  <si>
    <t>175155772</t>
  </si>
  <si>
    <t>NORTH PATENGA BRANCH</t>
  </si>
  <si>
    <t>NORTH_PATENGA_BRANCH</t>
  </si>
  <si>
    <t>577</t>
  </si>
  <si>
    <t>TSP GATE, NORTH PATENGA, CHITTAGONG</t>
  </si>
  <si>
    <t>031 740924</t>
  </si>
  <si>
    <t>northpatenga@pubalibankbd.com</t>
  </si>
  <si>
    <t>175155835</t>
  </si>
  <si>
    <t>OLD CHURCH COMPUND BRANCH</t>
  </si>
  <si>
    <t>OLD_CHURCH_COMPUND_BRANCH</t>
  </si>
  <si>
    <t>LALDIGHI WEST, KOTWALI, CHITTAGONG</t>
  </si>
  <si>
    <t>031 623719</t>
  </si>
  <si>
    <t>oldchurch@pubalibankbd.com</t>
  </si>
  <si>
    <t>175155893</t>
  </si>
  <si>
    <t>PADUA, LOHAGARA, CHITTAGONG</t>
  </si>
  <si>
    <t>padua@pubalibankbd.com</t>
  </si>
  <si>
    <t>175155927</t>
  </si>
  <si>
    <t>DT ROAD, PAHARTALI, CHITTAGONG</t>
  </si>
  <si>
    <t>031 751540</t>
  </si>
  <si>
    <t>pahartali@pubalibankbd.com</t>
  </si>
  <si>
    <t>175156100</t>
  </si>
  <si>
    <t>PATHERGHATA BRANCH</t>
  </si>
  <si>
    <t>PATHERGHATA_BRANCH</t>
  </si>
  <si>
    <t>610</t>
  </si>
  <si>
    <t>27 BUNDLE ROAD, PATHERGHATA, CHITTAGONG</t>
  </si>
  <si>
    <t>031 611415</t>
  </si>
  <si>
    <t>patharghata@pubalibankbd.com</t>
  </si>
  <si>
    <t>175156168</t>
  </si>
  <si>
    <t>031 630718</t>
  </si>
  <si>
    <t>patiya@pubalibankbd.com</t>
  </si>
  <si>
    <t>175156221</t>
  </si>
  <si>
    <t>PORT BRANCH</t>
  </si>
  <si>
    <t>PORT_BRANCH</t>
  </si>
  <si>
    <t>622</t>
  </si>
  <si>
    <t>STRAND ROAD, BANDAR, CHITTAGONG</t>
  </si>
  <si>
    <t>031 724760</t>
  </si>
  <si>
    <t>port@pubalibankbd.com</t>
  </si>
  <si>
    <t>175156405</t>
  </si>
  <si>
    <t>640</t>
  </si>
  <si>
    <t>031 637078</t>
  </si>
  <si>
    <t>rangunia@pubalibankbd.com</t>
  </si>
  <si>
    <t>175156463</t>
  </si>
  <si>
    <t>646</t>
  </si>
  <si>
    <t>THANDACHHARI, RAOZAN, CHITTAGONG</t>
  </si>
  <si>
    <t>018 19314339</t>
  </si>
  <si>
    <t>ranirhat@pubalibankbd.com</t>
  </si>
  <si>
    <t>175156492</t>
  </si>
  <si>
    <t>34 FAKIRHAT, RAOZAN, CHITTAGONG</t>
  </si>
  <si>
    <t>019 17704702</t>
  </si>
  <si>
    <t>raozan@pubalibankbd.com</t>
  </si>
  <si>
    <t>175156526</t>
  </si>
  <si>
    <t>MOHSIN MARKET, RS ROAD, REAZUDDIN BAZAR, CHITTAGONG</t>
  </si>
  <si>
    <t>031 618588</t>
  </si>
  <si>
    <t>reazuddin@pubalibankbd.com</t>
  </si>
  <si>
    <t>175156739</t>
  </si>
  <si>
    <t>SADARGHAT ROAD, CHITTAGONG</t>
  </si>
  <si>
    <t>031 613256</t>
  </si>
  <si>
    <t>sadarghatctg@pubalibankbd.com</t>
  </si>
  <si>
    <t>175156797</t>
  </si>
  <si>
    <t>SAILORS COLONY</t>
  </si>
  <si>
    <t>SAILORS_COLONY</t>
  </si>
  <si>
    <t>175156913</t>
  </si>
  <si>
    <t>RAHMATPUR, SANDWIP, CHITTAGONG 4300</t>
  </si>
  <si>
    <t>017 11437450</t>
  </si>
  <si>
    <t>sandwip@pubalibankbd.com</t>
  </si>
  <si>
    <t>175157062</t>
  </si>
  <si>
    <t>706</t>
  </si>
  <si>
    <t>031 630717</t>
  </si>
  <si>
    <t>satkania@pubalibankbd.com</t>
  </si>
  <si>
    <t>175157246</t>
  </si>
  <si>
    <t>SHANTIRHAT BRANCH</t>
  </si>
  <si>
    <t>SHANTIRHAT_BRANCH</t>
  </si>
  <si>
    <t>724</t>
  </si>
  <si>
    <t>SHANTIRHAT, PATIGA, FATIKCHHARI, CHITTAGONG</t>
  </si>
  <si>
    <t>shantirhat@pubalibankbd.com</t>
  </si>
  <si>
    <t>175157309</t>
  </si>
  <si>
    <t>730</t>
  </si>
  <si>
    <t>MAIT BHANGA, SHIBERHAT, SANDWIP, CHITTAGONG</t>
  </si>
  <si>
    <t>shiberhat@pubalibankbd.com</t>
  </si>
  <si>
    <t>175157404</t>
  </si>
  <si>
    <t>SITAKUNDA SME BRANCH</t>
  </si>
  <si>
    <t>SITAKUNDA_SME_BRANCH</t>
  </si>
  <si>
    <t>740</t>
  </si>
  <si>
    <t>SITAKUNDA, CHITTAGONG</t>
  </si>
  <si>
    <t>sitakunda@pubalibankbd.com</t>
  </si>
  <si>
    <t>175157633</t>
  </si>
  <si>
    <t>70 TERRI BAZAR, ANDERKILLA, CHITTAGONG</t>
  </si>
  <si>
    <t>031 611513</t>
  </si>
  <si>
    <t>terribazar@pubalibankbd.com</t>
  </si>
  <si>
    <t>175180042</t>
  </si>
  <si>
    <t>HOLDING NO 21, WARD 1, ALAMDANGA, CHUADANGA</t>
  </si>
  <si>
    <t>019 17704801</t>
  </si>
  <si>
    <t>alamdanga@pubalibankbd.com</t>
  </si>
  <si>
    <t>175180071</t>
  </si>
  <si>
    <t>ALUKDIA BAZAR BRANCH</t>
  </si>
  <si>
    <t>ALUKDIA_BAZAR_BRANCH</t>
  </si>
  <si>
    <t>ALUKDIA, CHUADANGA</t>
  </si>
  <si>
    <t>0761 2860</t>
  </si>
  <si>
    <t>alukdia@pubalibankbd.com</t>
  </si>
  <si>
    <t>175180192</t>
  </si>
  <si>
    <t>FERRYGHAT ROAD, BARA BAZAR, CHUADANGA</t>
  </si>
  <si>
    <t>0761 2521</t>
  </si>
  <si>
    <t>chuadanga@pubalibankbd.com</t>
  </si>
  <si>
    <t>175180855</t>
  </si>
  <si>
    <t>SARATGANJ BRANCH</t>
  </si>
  <si>
    <t>SARATGANJ_BRANCH</t>
  </si>
  <si>
    <t>SARATGANJ BAZAR, KALIGANJ, CHUADANGA</t>
  </si>
  <si>
    <t>saratgonj@pubalibankbd.com</t>
  </si>
  <si>
    <t>175190403</t>
  </si>
  <si>
    <t>BANGODDA, NANGALKOT, COMILLA</t>
  </si>
  <si>
    <t>bangodda@pubalibankbd.com</t>
  </si>
  <si>
    <t>175191060</t>
  </si>
  <si>
    <t>KHAIR SUPER MARKET, DHAKA-CHITTAGONG HIGHWAY, CHAUDDAGRAM BAZAR, COMILLA</t>
  </si>
  <si>
    <t>chauddagram@pubalibankbd.com</t>
  </si>
  <si>
    <t>175190979</t>
  </si>
  <si>
    <t>CHITTAGONG TRUNK ROAD, COMILLA</t>
  </si>
  <si>
    <t>081 76986</t>
  </si>
  <si>
    <t>chawkbazarcomilla@pubalibankbd.com</t>
  </si>
  <si>
    <t>175191002</t>
  </si>
  <si>
    <t>CHEORA BRANCH</t>
  </si>
  <si>
    <t>CHEORA_BRANCH</t>
  </si>
  <si>
    <t>CHEORA, CHOUDDAGRAM, COMILLA</t>
  </si>
  <si>
    <t>081 5128</t>
  </si>
  <si>
    <t>cheora@pubalibankbd.com</t>
  </si>
  <si>
    <t>175191394</t>
  </si>
  <si>
    <t>PUBABDDH209</t>
  </si>
  <si>
    <t>KANDIRPAR, COMILLA</t>
  </si>
  <si>
    <t>081 76903, 76086</t>
  </si>
  <si>
    <t>comilla@pubalibankbd.com</t>
  </si>
  <si>
    <t>175191510</t>
  </si>
  <si>
    <t>SAUDIA SUPER MARKET, 290 DAUDKANDI BAZAR SARAK, DAUDKANDI, COMILLA</t>
  </si>
  <si>
    <t>daudkandi@pubalibankbd.com</t>
  </si>
  <si>
    <t>175191549</t>
  </si>
  <si>
    <t>DAULATGANJ BRANCH</t>
  </si>
  <si>
    <t>DAULATGANJ_BRANCH</t>
  </si>
  <si>
    <t>DAULATGANJ BAZAR, LAKSHAM, COMILLA</t>
  </si>
  <si>
    <t>0803 2421</t>
  </si>
  <si>
    <t>daulatgonj@pubalibankbd.com</t>
  </si>
  <si>
    <t>175191602</t>
  </si>
  <si>
    <t>019 37404323</t>
  </si>
  <si>
    <t>debidwar@pubalibankbd.com</t>
  </si>
  <si>
    <t>175191815</t>
  </si>
  <si>
    <t>DOLLAI NAWABPUR BRANCH</t>
  </si>
  <si>
    <t>DOLLAI_NAWABPUR_BRANCH</t>
  </si>
  <si>
    <t>DULLAI NAWABPUR, CHANDINA, COMILLA 3510</t>
  </si>
  <si>
    <t>017 11426136</t>
  </si>
  <si>
    <t>dollai@pubalibankbd.com</t>
  </si>
  <si>
    <t>175191781</t>
  </si>
  <si>
    <t>DOULKHAR BAZAR BRANCH</t>
  </si>
  <si>
    <t>DOULKHAR_BAZAR_BRANCH</t>
  </si>
  <si>
    <t>DOULKHAR BAZAR, NANGALKOT, COMILLA</t>
  </si>
  <si>
    <t>017 11484021</t>
  </si>
  <si>
    <t>doulkhar@pubalibankbd.com</t>
  </si>
  <si>
    <t>175192148</t>
  </si>
  <si>
    <t>GOURIPUR BAZAR, DAUDKANDI, COMILLA</t>
  </si>
  <si>
    <t>gouripur@pubalibankbd.com</t>
  </si>
  <si>
    <t>175192827</t>
  </si>
  <si>
    <t>MAINAMATI BRANCH</t>
  </si>
  <si>
    <t>MAINAMATI_BRANCH</t>
  </si>
  <si>
    <t>282</t>
  </si>
  <si>
    <t>MAISAN MARKET, MAINAMATI, COMILLA CANTONMENT, COMILLA</t>
  </si>
  <si>
    <t>019 37404322</t>
  </si>
  <si>
    <t>mynamoti@pubalibankbd.com</t>
  </si>
  <si>
    <t>175192922</t>
  </si>
  <si>
    <t>MEAHBAZAR BRANCH</t>
  </si>
  <si>
    <t>MEAHBAZAR_BRANCH</t>
  </si>
  <si>
    <t>BALGHAR, MEAH BAZAR, CHAUDDAGRAM, COMILLA</t>
  </si>
  <si>
    <t>meahbazar@pubalibankbd.com</t>
  </si>
  <si>
    <t>175193400</t>
  </si>
  <si>
    <t>PADUAR BAZAR, COMILLA</t>
  </si>
  <si>
    <t>paduarbazar@pubalibankbd.com</t>
  </si>
  <si>
    <t>175194159</t>
  </si>
  <si>
    <t>VICTORIA COLLEGE BRANCH</t>
  </si>
  <si>
    <t>VICTORIA_COLLEGE_BRANCH</t>
  </si>
  <si>
    <t>COLLEGE ROAD, COMILLA</t>
  </si>
  <si>
    <t>081 76874</t>
  </si>
  <si>
    <t>victoria@pubalibankbd.com</t>
  </si>
  <si>
    <t>175194212</t>
  </si>
  <si>
    <t>ZILLA PARISHAD BRANCH</t>
  </si>
  <si>
    <t>ZILLA_PARISHAD_BRANCH</t>
  </si>
  <si>
    <t>ZILLA PARISHAD PREMISES, COMILLA SADAR, COMILLA</t>
  </si>
  <si>
    <t>081 65326</t>
  </si>
  <si>
    <t>zillaparishad@pubalibankbd.com</t>
  </si>
  <si>
    <t>175220160</t>
  </si>
  <si>
    <t>175220252</t>
  </si>
  <si>
    <t>175220799</t>
  </si>
  <si>
    <t>MOISCAL</t>
  </si>
  <si>
    <t>175220944</t>
  </si>
  <si>
    <t>175260070</t>
  </si>
  <si>
    <t>AGRICULTURE COMPLEX BRANCH</t>
  </si>
  <si>
    <t>AGRICULTURE_COMPLEX_BRANCH</t>
  </si>
  <si>
    <t>KHAMARBARI, FARMGATE, TEJGOAN, DHAKA</t>
  </si>
  <si>
    <t>02 9114637, 017 11401280</t>
  </si>
  <si>
    <t>agricom@pubalibankbd.com</t>
  </si>
  <si>
    <t>175260162</t>
  </si>
  <si>
    <t>ASAD AVENUE BRANCH</t>
  </si>
  <si>
    <t>ASAD_AVENUE_BRANCH</t>
  </si>
  <si>
    <t>59/C ASAD AVENUE, MOHAMMADPUR, DHAKA 1207</t>
  </si>
  <si>
    <t>02 9110567, 017 11401286</t>
  </si>
  <si>
    <t>asadave@pubalibankbd.com</t>
  </si>
  <si>
    <t>175260225</t>
  </si>
  <si>
    <t>ASHULIA, SAVAR, DHAKA</t>
  </si>
  <si>
    <t>02 7788174, 017 13201663</t>
  </si>
  <si>
    <t>ashulia@pubalibankbd.com</t>
  </si>
  <si>
    <t>175270349</t>
  </si>
  <si>
    <t>ATIBAZAR, KARANIGANJ, DHAKA</t>
  </si>
  <si>
    <t>02 7760277, 019 17704813</t>
  </si>
  <si>
    <t>atibazar@pubalibankbd.com</t>
  </si>
  <si>
    <t>175270552</t>
  </si>
  <si>
    <t>17 AKMAL KHAN ROAD, BABUBAZAR, DHAKA 1100</t>
  </si>
  <si>
    <t>02 7390955, 017 11404384</t>
  </si>
  <si>
    <t>babubazar@pubalibankbd.com</t>
  </si>
  <si>
    <t>175260438</t>
  </si>
  <si>
    <t>HOUSE NO 86-87, NEW AIRPORT ROAD, BANANI, DHAKA 1212</t>
  </si>
  <si>
    <t>02 8816289, 017 11401285</t>
  </si>
  <si>
    <t>banani@pubalibankbd.com</t>
  </si>
  <si>
    <t>175260720</t>
  </si>
  <si>
    <t>HOUSE NO 2 , BLOCK C, MAIN ROAD, BANASREE, DHAKA</t>
  </si>
  <si>
    <t>019 37404320</t>
  </si>
  <si>
    <t>banasree@pubalibankbd.com</t>
  </si>
  <si>
    <t>175270431</t>
  </si>
  <si>
    <t>PUBABDDH196</t>
  </si>
  <si>
    <t>BANGABANDHU AVENUE, RAMNA, DHAKA 1000</t>
  </si>
  <si>
    <t>02 9550600, 9555406, 017 14401313</t>
  </si>
  <si>
    <t>bbavenue@pubalibankbd.com</t>
  </si>
  <si>
    <t>175270886</t>
  </si>
  <si>
    <t>PUBABDDH222</t>
  </si>
  <si>
    <t>260 BANGSHAL ROAD, BANGSHAL, DHAKA 1100</t>
  </si>
  <si>
    <t>02 9562333, 017 11404386</t>
  </si>
  <si>
    <t>bangshal@pubalibankbd.com</t>
  </si>
  <si>
    <t>175260520</t>
  </si>
  <si>
    <t>JAMALPUR TOWER, HOUSE NO GA-37/1 PRAGATI SARANI, BLOCK J, DHAKA</t>
  </si>
  <si>
    <t>019 37404319</t>
  </si>
  <si>
    <t>baridhara@pubalibankbd.com</t>
  </si>
  <si>
    <t>175270949</t>
  </si>
  <si>
    <t>BAR LIBRARY BRANCH</t>
  </si>
  <si>
    <t>BAR_LIBRARY_BRANCH</t>
  </si>
  <si>
    <t>6 COURT HOUSE STREET, DHAKA 1100</t>
  </si>
  <si>
    <t>02 7114183, 017 11426545</t>
  </si>
  <si>
    <t>barlibdhk@pubalibankbd.com</t>
  </si>
  <si>
    <t>175270978</t>
  </si>
  <si>
    <t>1/2 CENTRAL BASABOO, SABUJBAGH, DHAKA 1214</t>
  </si>
  <si>
    <t>02 9332952, 017 11426550</t>
  </si>
  <si>
    <t>basabo@pubalibankbd.com</t>
  </si>
  <si>
    <t>175271069</t>
  </si>
  <si>
    <t>70/1/A BEGUM BAZAR, DHAKA</t>
  </si>
  <si>
    <t>02 7314835, 017 11437476</t>
  </si>
  <si>
    <t>begumbazar@pubalibankbd.com</t>
  </si>
  <si>
    <t>175271272</t>
  </si>
  <si>
    <t>PUBABDDH198</t>
  </si>
  <si>
    <t>186 CHAWK BAZAR, DHAKA 1211</t>
  </si>
  <si>
    <t>02 7318418, 7313393, 7318414</t>
  </si>
  <si>
    <t>chawkbazar@pubalibankbd.com</t>
  </si>
  <si>
    <t>175260762</t>
  </si>
  <si>
    <t>CHIRIAKHANA ROAD BRANCH</t>
  </si>
  <si>
    <t>CHIRIAKHANA_ROAD_BRANCH</t>
  </si>
  <si>
    <t>SONY CINEMA HALL BHABAN, ROAD 2, SECTION 2, MIRPUR, DHAKA</t>
  </si>
  <si>
    <t>02 8031984, 017 11437480</t>
  </si>
  <si>
    <t>chiriakhana@pubalibankbd.com</t>
  </si>
  <si>
    <t>175260917</t>
  </si>
  <si>
    <t>CHAIRMAN MARKET, DAKSHIN KHAN BAZAR, DHAKA</t>
  </si>
  <si>
    <t>019 17704861</t>
  </si>
  <si>
    <t>175262207</t>
  </si>
  <si>
    <t>DHAKA INTERNATIONAL AIRPORT BRANCH</t>
  </si>
  <si>
    <t>DHAKA_INTERNATIONAL_AIRPORT_BRANCH</t>
  </si>
  <si>
    <t>HOUSE NO 2, ROAD 2, SECTOR 1, UTTARA MODEL TOWN, DHAKA</t>
  </si>
  <si>
    <t>02 8914512, 017 11437453</t>
  </si>
  <si>
    <t>intairport@pubalibankbd.com</t>
  </si>
  <si>
    <t>175263527</t>
  </si>
  <si>
    <t>3 MIRPUR ROAD, DHAKA 1205</t>
  </si>
  <si>
    <t>02 8627343, 8625422</t>
  </si>
  <si>
    <t>newmarket@pubalibankbd.com</t>
  </si>
  <si>
    <t>175271601</t>
  </si>
  <si>
    <t>DHAKA RAILWAY STATION BRANCH</t>
  </si>
  <si>
    <t>DHAKA_RAILWAY_STATION_BRANCH</t>
  </si>
  <si>
    <t>RAILWAY STATION, KAMALAPUR, DHAKA 1000</t>
  </si>
  <si>
    <t>02 9332459</t>
  </si>
  <si>
    <t>railway@pubalibankbd.com</t>
  </si>
  <si>
    <t>175271698</t>
  </si>
  <si>
    <t>DHAKA STADIUM BRANCH</t>
  </si>
  <si>
    <t>DHAKA_STADIUM_BRANCH</t>
  </si>
  <si>
    <t>PUBABDDH199</t>
  </si>
  <si>
    <t>LAL BHABAN, 8 DIT EXTENSION ROAD, DHAKA 1000</t>
  </si>
  <si>
    <t>02 9555565, 019 11350671</t>
  </si>
  <si>
    <t>dhkstd@pubalibankbd.com</t>
  </si>
  <si>
    <t>175271872</t>
  </si>
  <si>
    <t>DHOLAIRPAR BRANCH</t>
  </si>
  <si>
    <t>DHOLAIRPAR_BRANCH</t>
  </si>
  <si>
    <t>98 DHOLAIRPAR, DHAKA</t>
  </si>
  <si>
    <t>02 7451579, 017 11426556</t>
  </si>
  <si>
    <t>dholaipar@pubalibankbd.com</t>
  </si>
  <si>
    <t>175271427</t>
  </si>
  <si>
    <t>DANIA, JATRABARI, DHAKA 1204</t>
  </si>
  <si>
    <t>019 29913029</t>
  </si>
  <si>
    <t>dania@pubalibankbd.com</t>
  </si>
  <si>
    <t>175261332</t>
  </si>
  <si>
    <t>KHADIZA PLAZA, 307 ELEPHANT ROAD, DHAKA 1205</t>
  </si>
  <si>
    <t>02 8626357, 017 11426540</t>
  </si>
  <si>
    <t>elephantrd@pubalibankbd.com</t>
  </si>
  <si>
    <t>175272200</t>
  </si>
  <si>
    <t>INNER CIRCULAR ROAD, FAKIRAPOOL, DHAKA 1000</t>
  </si>
  <si>
    <t>fakirapool@pubalibankbd.com</t>
  </si>
  <si>
    <t>175261453</t>
  </si>
  <si>
    <t>PUBABDDH219</t>
  </si>
  <si>
    <t>83 KAZI NAZRUL ISLAM AVENUE, TEJKUNIPARA, TEJGAON, DHAKA</t>
  </si>
  <si>
    <t>02 9110863, 017 11401284</t>
  </si>
  <si>
    <t>farmgate@pubalibankbd.com</t>
  </si>
  <si>
    <t>175272321</t>
  </si>
  <si>
    <t>PUBABDDH200</t>
  </si>
  <si>
    <t>24 MOTIJHEEL COMMERCIAL AREA, DHAKA 1000</t>
  </si>
  <si>
    <t>02 9561858, 9550952, 017 11404399</t>
  </si>
  <si>
    <t>fex@pubalibankbd.com</t>
  </si>
  <si>
    <t>175272505</t>
  </si>
  <si>
    <t>GORAN BAZAR BRANCH</t>
  </si>
  <si>
    <t>GORAN_BAZAR_BRANCH</t>
  </si>
  <si>
    <t>302/A TILPAPARA, KHILGAON, DHAKA 1219</t>
  </si>
  <si>
    <t>02 7211328, 017 11426541</t>
  </si>
  <si>
    <t>goranbazar@pubalibankbd.com</t>
  </si>
  <si>
    <t>175261840</t>
  </si>
  <si>
    <t>GULSHAN MODEL TOWN BRANCH</t>
  </si>
  <si>
    <t>GULSHAN_MODEL_TOWN_BRANCH</t>
  </si>
  <si>
    <t>PUBABDDH223</t>
  </si>
  <si>
    <t>DHAKA CITY CORPORATION, NORTH SUPER MARKET, GULSHAN 2, DHAKA</t>
  </si>
  <si>
    <t>02 8820442, 017 11401281</t>
  </si>
  <si>
    <t>gulshanmt@pubalibankbd.com</t>
  </si>
  <si>
    <t>175272747</t>
  </si>
  <si>
    <t>HOTEL OSMANI BRANCH</t>
  </si>
  <si>
    <t>HOTEL_OSMANI_BRANCH</t>
  </si>
  <si>
    <t>23 JOYKALI MANDIR ROAD, DHAKA 1203</t>
  </si>
  <si>
    <t>02 7111873, 9557605, 017 11426542</t>
  </si>
  <si>
    <t>osmani@pubalibankbd.com</t>
  </si>
  <si>
    <t>175272800</t>
  </si>
  <si>
    <t>22/1/23 ROY ISHWAR CHANDRA SHIL, BAHADUR STREET, IMAMGANJ, DHAKA 1211</t>
  </si>
  <si>
    <t>02 7316608, 017 11437470</t>
  </si>
  <si>
    <t>imamgonj@pubalibankbd.com</t>
  </si>
  <si>
    <t>175272989</t>
  </si>
  <si>
    <t>3 AHSANULLAH ROAD, ISLAMPUR, DHAKA</t>
  </si>
  <si>
    <t>02 7392291, 017 11437482</t>
  </si>
  <si>
    <t>islampur@pubalibankbd.com</t>
  </si>
  <si>
    <t>175273254</t>
  </si>
  <si>
    <t>JOHNSON ROAD BRANCH</t>
  </si>
  <si>
    <t>JOHNSON_ROAD_BRANCH</t>
  </si>
  <si>
    <t>51/12 JOHNSON ROAD, DHAKA 1100</t>
  </si>
  <si>
    <t>02 7114343, 017 11426544</t>
  </si>
  <si>
    <t>johnson@pubalibankbd.com</t>
  </si>
  <si>
    <t>175262386</t>
  </si>
  <si>
    <t>KAFRUL BRANCH</t>
  </si>
  <si>
    <t>KAFRUL_BRANCH</t>
  </si>
  <si>
    <t>RIM COMPLEX, 31 SOUTH KAFRUL, DHAKA 1206</t>
  </si>
  <si>
    <t>02 9872114, 017 11404360</t>
  </si>
  <si>
    <t>kafrul@pubalibankbd.com</t>
  </si>
  <si>
    <t>175262531</t>
  </si>
  <si>
    <t>PUBABDDH215</t>
  </si>
  <si>
    <t>JALALABAD BHABAN, 22 KARWAN BAZAR, DHAKA 1215</t>
  </si>
  <si>
    <t>02 8114080, 019 11353282</t>
  </si>
  <si>
    <t>kawranbazar@pubalibankbd.com</t>
  </si>
  <si>
    <t>175273733</t>
  </si>
  <si>
    <t>KOMORGANJ BRANCH</t>
  </si>
  <si>
    <t>KOMORGANJ_BRANCH</t>
  </si>
  <si>
    <t>PATHANKANDA, BARDHANPARA, NAWABGANJ, DHAKA</t>
  </si>
  <si>
    <t>017 11438465</t>
  </si>
  <si>
    <t>komorgonj@pubalibankbd.com</t>
  </si>
  <si>
    <t>175262636</t>
  </si>
  <si>
    <t>KURIL BISHWAROAD BRANCH</t>
  </si>
  <si>
    <t>KURIL_BISHWAROAD_BRANCH</t>
  </si>
  <si>
    <t>KA-96/D KURIL, BISHWA ROAD, BADDA, DHAKA</t>
  </si>
  <si>
    <t>018 19478289</t>
  </si>
  <si>
    <t>kuril@pubalibankbd.com</t>
  </si>
  <si>
    <t>175262715</t>
  </si>
  <si>
    <t>LABORATORY ROAD BRANCH</t>
  </si>
  <si>
    <t>LABORATORY_ROAD_BRANCH</t>
  </si>
  <si>
    <t>SCIENCE LABORATORY CAMPUS, MIRPUR ROAD, DHAKA 1205</t>
  </si>
  <si>
    <t>02 9660625, 9660625, 017 11426543</t>
  </si>
  <si>
    <t>labroad@pubalibankbd.com</t>
  </si>
  <si>
    <t>175273946</t>
  </si>
  <si>
    <t>69/1 NEW CIRCULAR ROAD, MALIBAGH, DHAKA 1217</t>
  </si>
  <si>
    <t>02 9319975, 017 11401276</t>
  </si>
  <si>
    <t>malibagh@pubalibankbd.com</t>
  </si>
  <si>
    <t>175262986</t>
  </si>
  <si>
    <t>MAIN ROAD NO 3, SECTION 11, PALLABI, MIRPUR, DHAKA</t>
  </si>
  <si>
    <t>02 9000048, 017 11437481</t>
  </si>
  <si>
    <t>mirpur@pubalibankbd.com</t>
  </si>
  <si>
    <t>175274158</t>
  </si>
  <si>
    <t>MOGHALTULLY BRANCH</t>
  </si>
  <si>
    <t>MOGHALTULLY_BRANCH</t>
  </si>
  <si>
    <t>KHAN MARKET, 138 CHAWK MOGHALTULLY, DHAKA</t>
  </si>
  <si>
    <t>02 7316071, 017 11404373</t>
  </si>
  <si>
    <t>moghaltully@pubalibankbd.com</t>
  </si>
  <si>
    <t>175274187</t>
  </si>
  <si>
    <t>PUBABDDH217</t>
  </si>
  <si>
    <t>13 NEW ESKATON ROAD, MOGHBAZAR, DHAKA 1000</t>
  </si>
  <si>
    <t>02 9331117, 017 11401273</t>
  </si>
  <si>
    <t>moghbazar@pubalibankbd.com</t>
  </si>
  <si>
    <t>175263198</t>
  </si>
  <si>
    <t>PUBABDDH216</t>
  </si>
  <si>
    <t>73 MOHAKHALI COMMERCIAL AREA, DHAKA 1212</t>
  </si>
  <si>
    <t>02 9880499, 018 19240999, 017 11401317</t>
  </si>
  <si>
    <t>mohakhali@pubalibankbd.com</t>
  </si>
  <si>
    <t>175263280</t>
  </si>
  <si>
    <t>HOUSE NO 2/2, BLOCK A, MIRPUR ROAD, MOHAMMADPUR, DHAKA</t>
  </si>
  <si>
    <t>02 9117823, 017 11426546</t>
  </si>
  <si>
    <t>mohammadpur@pubalibankbd.com</t>
  </si>
  <si>
    <t>175274240</t>
  </si>
  <si>
    <t>PUBABDDH195</t>
  </si>
  <si>
    <t>SENA KALYAN BHABAN, 195 MOTIJHEEL C/A, DHAKA 1000</t>
  </si>
  <si>
    <t>02 7163366, 9550635, 017 13035500</t>
  </si>
  <si>
    <t>motijheel@pubalibankbd.com</t>
  </si>
  <si>
    <t>175274758</t>
  </si>
  <si>
    <t>125 NAWABPUR ROAD, NAWABPUR, DHAKA 1100</t>
  </si>
  <si>
    <t>02 7117912, 017 11404385</t>
  </si>
  <si>
    <t>nawabpur@pubalibankbd.com</t>
  </si>
  <si>
    <t>175274811</t>
  </si>
  <si>
    <t>21 MD HABIBULLAH ROAD, HAZI ABDUR RASHID LANE, NAYABAZAR, KOTWALI, DHAKA</t>
  </si>
  <si>
    <t>02 7312535, 017 11404383</t>
  </si>
  <si>
    <t>nayabazar@pubalibankbd.com</t>
  </si>
  <si>
    <t>175274879</t>
  </si>
  <si>
    <t>PUBABDDH220</t>
  </si>
  <si>
    <t>VIP ROAD, 28/A NAYAPALTAN, DHAKA 1000</t>
  </si>
  <si>
    <t>02 8318486, 9342416, 017 14090091</t>
  </si>
  <si>
    <t>nayapaltan@pubalibankbd.com</t>
  </si>
  <si>
    <t>175274932</t>
  </si>
  <si>
    <t>81-B/1 HOSSAINY DALAN ROAD, LALBAGH, DHAKA</t>
  </si>
  <si>
    <t>02 7300178, 01711401272</t>
  </si>
  <si>
    <t>nazimuddin@pubalibankbd.com</t>
  </si>
  <si>
    <t>175263585</t>
  </si>
  <si>
    <t>E/1 PALLABI, EASTERN HOUSING LIMITED, MIRPUR, DHAKA</t>
  </si>
  <si>
    <t>019 17704733</t>
  </si>
  <si>
    <t>pallabi@pubalibankbd.com</t>
  </si>
  <si>
    <t>175263619</t>
  </si>
  <si>
    <t>PUBABDDH210</t>
  </si>
  <si>
    <t>02 8114229, 017 13082661</t>
  </si>
  <si>
    <t>panthapath@pubalibankbd.com</t>
  </si>
  <si>
    <t>175275265</t>
  </si>
  <si>
    <t>PILKHANA BRANCH</t>
  </si>
  <si>
    <t>PILKHANA_BRANCH</t>
  </si>
  <si>
    <t>BDR CAMPUS, GATE NO 1, PILKHANA, DHAKA 1211</t>
  </si>
  <si>
    <t>02 8610737, 017 11426555</t>
  </si>
  <si>
    <t>peelkhana@pubalibankbd.com</t>
  </si>
  <si>
    <t>175260346</t>
  </si>
  <si>
    <t>GA-95/2 PRAGATI SARANI, MIDDLE BADDA, DHAKA 1212</t>
  </si>
  <si>
    <t>02 8816289</t>
  </si>
  <si>
    <t>progatisharani@pubalibankbd.com</t>
  </si>
  <si>
    <t>175275357</t>
  </si>
  <si>
    <t>PUBABDDH201</t>
  </si>
  <si>
    <t>26 DILKUSHA COMMERCIAL AREA, DHAKA 1000</t>
  </si>
  <si>
    <t>02 9557323, 9552449, 018 19252550</t>
  </si>
  <si>
    <t>principal@pubalibankbd.com</t>
  </si>
  <si>
    <t>175263914</t>
  </si>
  <si>
    <t>335 WEST RAMPURA, DIT ROAD, DHAKA</t>
  </si>
  <si>
    <t>02 7281098, 017 11401278</t>
  </si>
  <si>
    <t>175275478</t>
  </si>
  <si>
    <t>RK MISSION ROAD BRANCH</t>
  </si>
  <si>
    <t>RK_MISSION_ROAD_BRANCH</t>
  </si>
  <si>
    <t>547</t>
  </si>
  <si>
    <t>1 RK MISSION ROAD, DHAKA 1203</t>
  </si>
  <si>
    <t>02 9553893, 017 11401277</t>
  </si>
  <si>
    <t>rkmission@pubalibankbd.com</t>
  </si>
  <si>
    <t>175275928</t>
  </si>
  <si>
    <t>PUBABDDH197</t>
  </si>
  <si>
    <t>7 CHITTARANJAN AVENUE, SADARGHAT, DHAKA</t>
  </si>
  <si>
    <t>02 7123095</t>
  </si>
  <si>
    <t>sadarghat@pubalibankbd.com</t>
  </si>
  <si>
    <t>175264034</t>
  </si>
  <si>
    <t>HOUSE NO 46, 13/A SATMASJID ROAD, DHANMONDI, DHAKA</t>
  </si>
  <si>
    <t>02 8118214, 017 11426548</t>
  </si>
  <si>
    <t>satmasjid@pubalibankbd.com</t>
  </si>
  <si>
    <t>175264092</t>
  </si>
  <si>
    <t>BLOCK D, SAVAR BAZAR, DHAKA</t>
  </si>
  <si>
    <t>02 7743879, 017 11404387</t>
  </si>
  <si>
    <t>savar@pubalibankbd.com</t>
  </si>
  <si>
    <t>175276222</t>
  </si>
  <si>
    <t>SHAHBAGH AVENUE BRANCH</t>
  </si>
  <si>
    <t>SHAHBAGH_AVENUE_BRANCH</t>
  </si>
  <si>
    <t>AZIZ SUPER MARKET, SHAHBAG AVENUE, DHAKA 1205</t>
  </si>
  <si>
    <t>02 8626289, 9663697, 017 11401275</t>
  </si>
  <si>
    <t>shahbagh@pubalibankbd.com</t>
  </si>
  <si>
    <t>175276343</t>
  </si>
  <si>
    <t>17 KAKRAIL ROAD, DHAKA 1000</t>
  </si>
  <si>
    <t>02 9335116, 017 11401279</t>
  </si>
  <si>
    <t>shantinagar@pubalibankbd.com</t>
  </si>
  <si>
    <t>175264276</t>
  </si>
  <si>
    <t>766/1 SHEWRAPARA, BEGUM ROKEYA SARANI, MIRPUR, DHAKA 1216</t>
  </si>
  <si>
    <t>02 8053069, 017 11426547</t>
  </si>
  <si>
    <t>shewrapara@pubalibankbd.com</t>
  </si>
  <si>
    <t>175276464</t>
  </si>
  <si>
    <t>SHISHU PARK BRANCH</t>
  </si>
  <si>
    <t>SHISHU_PARK_BRANCH</t>
  </si>
  <si>
    <t>SOHRAWARDI ROAD, DHAKA 1205</t>
  </si>
  <si>
    <t>02 8626987, 017 11426538</t>
  </si>
  <si>
    <t>shishupark@pubalibankbd.com</t>
  </si>
  <si>
    <t>175274345</t>
  </si>
  <si>
    <t>SIPAHIBAGH BAZAR BRANCH</t>
  </si>
  <si>
    <t>SIPAHIBAGH_BAZAR_BRANCH</t>
  </si>
  <si>
    <t>HOLDING NO 302/B, SHIPAHIBAGH BAZAR, MERADIA, KHILGAON, DHAKA</t>
  </si>
  <si>
    <t>019 17704736</t>
  </si>
  <si>
    <t>shipahibagh@pubalibankbd.com</t>
  </si>
  <si>
    <t>175264397</t>
  </si>
  <si>
    <t>SONARGAON HOTEL BRANCH</t>
  </si>
  <si>
    <t>SONARGAON_HOTEL_BRANCH</t>
  </si>
  <si>
    <t>107 KAZI NAZRUL ISLAM AVENUE, KARWAN BAZAR, DHAKA 1215</t>
  </si>
  <si>
    <t>02 8140354, 8111641-5 (Ext 4902)</t>
  </si>
  <si>
    <t>sonargaonhotel@pubalibankbd.com</t>
  </si>
  <si>
    <t>175276585</t>
  </si>
  <si>
    <t>25 PARIBAG, SONARGAON ROAD, HATIRPOOL, DHAKA</t>
  </si>
  <si>
    <t>02 9665689, 017 11437478</t>
  </si>
  <si>
    <t>sonargaon@pubalibankbd.com</t>
  </si>
  <si>
    <t>175276648</t>
  </si>
  <si>
    <t>SUTRAPUR BRANCH</t>
  </si>
  <si>
    <t>SUTRAPUR_BRANCH</t>
  </si>
  <si>
    <t>116-117 REBOTI MOHAN DAS ROAD, SUTRAPUR, DHAKA 1100</t>
  </si>
  <si>
    <t>02 7110751, 01711401271</t>
  </si>
  <si>
    <t>sutrapur@pubalibankbd.com</t>
  </si>
  <si>
    <t>175264489</t>
  </si>
  <si>
    <t>109 SHAHEED TAJUDDIN SARANI, TEJGAON INDUSTRIAL AREA, DHAKA</t>
  </si>
  <si>
    <t>02 8853266, 017 11437477</t>
  </si>
  <si>
    <t>tejgaon@pubalibankbd.com</t>
  </si>
  <si>
    <t>175264692</t>
  </si>
  <si>
    <t>HOUSE NO 7, ROAD 7/D, SECTOR 9, UTTARA RESIDENTIAL AREA, DHAKA</t>
  </si>
  <si>
    <t>02 8933825, 019 17704704</t>
  </si>
  <si>
    <t>uttaramt@pubalibankbd.com</t>
  </si>
  <si>
    <t>175270002</t>
  </si>
  <si>
    <t>175280676</t>
  </si>
  <si>
    <t>MALDHAPATTY, DINAJPUR SADAR, DINAJPUR</t>
  </si>
  <si>
    <t>0531 65137</t>
  </si>
  <si>
    <t>dinajpur@pubalibankbd.com</t>
  </si>
  <si>
    <t>175281875</t>
  </si>
  <si>
    <t>FULBARI, DINAJPUR</t>
  </si>
  <si>
    <t>fulbaridij@pubalibankbd.com</t>
  </si>
  <si>
    <t>175281817</t>
  </si>
  <si>
    <t>ABDUL JABBAR ROAD, NATUN BAZAR, PARBATIPUR, DINAJPUR</t>
  </si>
  <si>
    <t>05334 240</t>
  </si>
  <si>
    <t>parbotipur@pubalibankbd.com</t>
  </si>
  <si>
    <t>175290282</t>
  </si>
  <si>
    <t>bhanga@pubalibankbd.com</t>
  </si>
  <si>
    <t>175290529</t>
  </si>
  <si>
    <t>MAYRA PATTY, SK MUJIB SARAK, FARIDPUR</t>
  </si>
  <si>
    <t>0631 63439</t>
  </si>
  <si>
    <t>faridpur@pubalibankbd.com</t>
  </si>
  <si>
    <t>175290916</t>
  </si>
  <si>
    <t>KANAIPUR, FARIDPUR</t>
  </si>
  <si>
    <t>015 52477320</t>
  </si>
  <si>
    <t>kanaipur@pubalibankbd.com</t>
  </si>
  <si>
    <t>175291278</t>
  </si>
  <si>
    <t>KAZI HASHEM SHOPPING COMPLEX, PLOT NO 3, SADARPUR, FARIDPUR</t>
  </si>
  <si>
    <t>019 17704864</t>
  </si>
  <si>
    <t>175300222</t>
  </si>
  <si>
    <t>HORIPUR, PATHANAGAR, FENI</t>
  </si>
  <si>
    <t>banglabazar@pubalibankbd.com</t>
  </si>
  <si>
    <t>175300314</t>
  </si>
  <si>
    <t>PATUARI PLAZA, CHHAGALNAIYA, FENI</t>
  </si>
  <si>
    <t>chhagalniya@pubalibankbd.com</t>
  </si>
  <si>
    <t>175300372</t>
  </si>
  <si>
    <t>253-254 DAGANBHUIYAN, FENI</t>
  </si>
  <si>
    <t>dagon@pubalibankbd.com</t>
  </si>
  <si>
    <t>175300556</t>
  </si>
  <si>
    <t>FENI BAZAR BRANCH</t>
  </si>
  <si>
    <t>FENI_BAZAR_BRANCH</t>
  </si>
  <si>
    <t>ALAM MARKET, KHADDAR PATTY ROAD, FENI</t>
  </si>
  <si>
    <t>0331 74102</t>
  </si>
  <si>
    <t>fenibazar@pubalibankbd.com</t>
  </si>
  <si>
    <t>175300527</t>
  </si>
  <si>
    <t>TRUNK ROAD, FENI SADAR, FENI</t>
  </si>
  <si>
    <t>0331 73432</t>
  </si>
  <si>
    <t>feni@pubalibankbd.com</t>
  </si>
  <si>
    <t>175300619</t>
  </si>
  <si>
    <t>FULGAZI, FENI</t>
  </si>
  <si>
    <t>019 37404333</t>
  </si>
  <si>
    <t>fulgazi@pubalibankbd.com</t>
  </si>
  <si>
    <t>175300851</t>
  </si>
  <si>
    <t>BOGDANA, KAZIRHAT, FENI</t>
  </si>
  <si>
    <t>kazirhat@pubalibankbd.com</t>
  </si>
  <si>
    <t>175301489</t>
  </si>
  <si>
    <t>MAIN ROAD, SONAGAZI, FENI</t>
  </si>
  <si>
    <t>sonagazi@pubalibankbd.com</t>
  </si>
  <si>
    <t>175320523</t>
  </si>
  <si>
    <t>POWSA PARK, GAIBANDHA SADAR, GAIBANDHA</t>
  </si>
  <si>
    <t>0541 497</t>
  </si>
  <si>
    <t>gaibandha1613@yahoo.com</t>
  </si>
  <si>
    <t>175320581</t>
  </si>
  <si>
    <t>GOBINDAGANJ, GAIBANDHA</t>
  </si>
  <si>
    <t>gobindagonjgba@pubalibankbd.com</t>
  </si>
  <si>
    <t>175320978</t>
  </si>
  <si>
    <t>MOHIMAGANJ BRANCH</t>
  </si>
  <si>
    <t>MOHIMAGANJ_BRANCH</t>
  </si>
  <si>
    <t>MOHIMAGANJ, GOBINDAGANJ, GAIBANDA</t>
  </si>
  <si>
    <t>017 11438558</t>
  </si>
  <si>
    <t>mohimagonj@pubalibankbd.com</t>
  </si>
  <si>
    <t>175321151</t>
  </si>
  <si>
    <t>PARK ROAD BRANCH</t>
  </si>
  <si>
    <t>PARK_ROAD_BRANCH</t>
  </si>
  <si>
    <t>PARK ROAD, GAIBANDHA SADAR, GAIBANDHA</t>
  </si>
  <si>
    <t>0541 745</t>
  </si>
  <si>
    <t>parkroad@pubalibankbd.com</t>
  </si>
  <si>
    <t>175330739</t>
  </si>
  <si>
    <t>CHANDANA, JOYDEBPUR, GAZIPUR</t>
  </si>
  <si>
    <t>02 9252218, 017 11437452</t>
  </si>
  <si>
    <t>joydebpur@pubalibankbd.com</t>
  </si>
  <si>
    <t>175330821</t>
  </si>
  <si>
    <t>CENEMA HALL ROAD, KALIGANJ BAZAR, KALIGANJ, GAZIPUR</t>
  </si>
  <si>
    <t>02 9257285, 019 11353278</t>
  </si>
  <si>
    <t>kaligonjgazi@pubalibankbd.com</t>
  </si>
  <si>
    <t>175330913</t>
  </si>
  <si>
    <t>KASHIMPUR, JOYDEBPUR, GAZIPUR 1741</t>
  </si>
  <si>
    <t>02 9298473, 018 19242292</t>
  </si>
  <si>
    <t>kashimpur@pubalibankbd.com</t>
  </si>
  <si>
    <t>175331004</t>
  </si>
  <si>
    <t>HAJI MALEK MASTER COMPLEX, WARD 8, MAWNA, SREEPUR, GAZIPUR</t>
  </si>
  <si>
    <t>175331633</t>
  </si>
  <si>
    <t>MILL GATE, MONNO NAGAR, TONGI, GAZIPUR</t>
  </si>
  <si>
    <t>02 9800387, 017 11837454</t>
  </si>
  <si>
    <t>tongi@pubalibankbd.com</t>
  </si>
  <si>
    <t>175350377</t>
  </si>
  <si>
    <t>97 THEATRE ROAD, GOPALGANJ SADAR, GOPALGANJ</t>
  </si>
  <si>
    <t>00423 55507</t>
  </si>
  <si>
    <t>gopalgonj@pubalibankbd.com</t>
  </si>
  <si>
    <t>175360046</t>
  </si>
  <si>
    <t>017 39955076</t>
  </si>
  <si>
    <t>ajmirigonj@pubalibankbd.com</t>
  </si>
  <si>
    <t>175360167</t>
  </si>
  <si>
    <t>BANIACHANG BRANCH</t>
  </si>
  <si>
    <t>BANIACHANG_BRANCH</t>
  </si>
  <si>
    <t>BANIACHANG, HABIGANJ</t>
  </si>
  <si>
    <t>0831 3346/4</t>
  </si>
  <si>
    <t>baniachong@pubalibankbd.com</t>
  </si>
  <si>
    <t>175360341</t>
  </si>
  <si>
    <t>0831 3349</t>
  </si>
  <si>
    <t>chunarughat@pubalibankbd.com</t>
  </si>
  <si>
    <t>175360370</t>
  </si>
  <si>
    <t>DHARMAGHAR BRANCH</t>
  </si>
  <si>
    <t>DHARMAGHAR_BRANCH</t>
  </si>
  <si>
    <t>DHARMAGHAR, MADHABPUR, HABIGANJ</t>
  </si>
  <si>
    <t>dharmaghar@pubalibankbd.com</t>
  </si>
  <si>
    <t>175360462</t>
  </si>
  <si>
    <t>ASHAMPARA BAZAR, GAZIPUR, HABIGANJ</t>
  </si>
  <si>
    <t>gazipur@pubalibankbd.com</t>
  </si>
  <si>
    <t>175360491</t>
  </si>
  <si>
    <t>GAZNAIPUR BRANCH</t>
  </si>
  <si>
    <t>GAZNAIPUR_BRANCH</t>
  </si>
  <si>
    <t>GAZNAIPUR, DEOPARA, HABIGANJ</t>
  </si>
  <si>
    <t>gajnaipur@pubalibankbd.com</t>
  </si>
  <si>
    <t>175360583</t>
  </si>
  <si>
    <t>GUNINGANJ BRANCH</t>
  </si>
  <si>
    <t>GUNINGANJ_BRANCH</t>
  </si>
  <si>
    <t>GUNINGANJ BAZAR, JATRAPASHA, BANIACHONG, HABIGANJ</t>
  </si>
  <si>
    <t>guningonj@pubalibankbd.com</t>
  </si>
  <si>
    <t>175360196</t>
  </si>
  <si>
    <t>HABIGANJ BAR LIBRARY BRANCH</t>
  </si>
  <si>
    <t>HABIGANJ_BAR_LIBRARY_BRANCH</t>
  </si>
  <si>
    <t>COURT STATION ROAD, BAR LIBRARY BHABAN, HABIGANJ</t>
  </si>
  <si>
    <t>0831 2585</t>
  </si>
  <si>
    <t>barlibhobi@pubalibankbd.com</t>
  </si>
  <si>
    <t>175360617</t>
  </si>
  <si>
    <t>POST OFFICE ROAD, HABIGANJ 3300</t>
  </si>
  <si>
    <t>0831 2337</t>
  </si>
  <si>
    <t>habigonj@pubalibankbd.com</t>
  </si>
  <si>
    <t>175360888</t>
  </si>
  <si>
    <t>08327 8330</t>
  </si>
  <si>
    <t>madhabpur@pubalibankbd.com</t>
  </si>
  <si>
    <t>175361090</t>
  </si>
  <si>
    <t>0831 3383</t>
  </si>
  <si>
    <t>nabigonj@pubalibankbd.com</t>
  </si>
  <si>
    <t>175360017</t>
  </si>
  <si>
    <t>PUTIJURI BRANCH</t>
  </si>
  <si>
    <t>PUTIJURI_BRANCH</t>
  </si>
  <si>
    <t>PUTIJURI, BAHUBAL, HABIGANJ</t>
  </si>
  <si>
    <t>putijuri@pubalibankbd.com</t>
  </si>
  <si>
    <t>175361474</t>
  </si>
  <si>
    <t>RAZAR BAZAR BRANCH</t>
  </si>
  <si>
    <t>RAZAR_BAZAR_BRANCH</t>
  </si>
  <si>
    <t>RAZAR BAZAR, CHUNARUGHAT, HABIGANJ</t>
  </si>
  <si>
    <t>019 26996304</t>
  </si>
  <si>
    <t>razarbazar@pubalibankbd.com</t>
  </si>
  <si>
    <t>175361395</t>
  </si>
  <si>
    <t>CHUNARUGHAT, SHAISTAGANJ, HABIGANJ</t>
  </si>
  <si>
    <t>0831 3387</t>
  </si>
  <si>
    <t>shaistagonj@pubalibankbd.com</t>
  </si>
  <si>
    <t>175361487</t>
  </si>
  <si>
    <t>SUTANG BAZAR BRANCH</t>
  </si>
  <si>
    <t>SUTANG_BAZAR_BRANCH</t>
  </si>
  <si>
    <t>SUTANG BAZAR, SURABOY, HABIGANJ</t>
  </si>
  <si>
    <t>sutang@pubalibankbd.com</t>
  </si>
  <si>
    <t>175361511</t>
  </si>
  <si>
    <t>SYEDPUR BAZAAR BRANCH</t>
  </si>
  <si>
    <t>SYEDPUR_BAZAAR_BRANCH</t>
  </si>
  <si>
    <t>SYEDPUR BAZAAR UMARPUR, NABIGANJ, HABIGANJ</t>
  </si>
  <si>
    <t>syedpurbazar@pubalibankbd.com</t>
  </si>
  <si>
    <t>175361579</t>
  </si>
  <si>
    <t>TOWN MASJID ROAD BRANCH</t>
  </si>
  <si>
    <t>TOWN_MASJID_ROAD_BRANCH</t>
  </si>
  <si>
    <t>TOWN MASJID ROAD, HABIGANJ SADAR, HABIGANJ</t>
  </si>
  <si>
    <t>0831 2542</t>
  </si>
  <si>
    <t>tmr@pubalibankbd.com</t>
  </si>
  <si>
    <t>175390166</t>
  </si>
  <si>
    <t>BAKULTALA BRANCH</t>
  </si>
  <si>
    <t>BAKULTALA_BRANCH</t>
  </si>
  <si>
    <t>BAKULTALA ROAD, JAMALPUR SADAR, JAMALPUR</t>
  </si>
  <si>
    <t>0981 3482</t>
  </si>
  <si>
    <t>bakultala@pubalibankbd.com</t>
  </si>
  <si>
    <t>175390858</t>
  </si>
  <si>
    <t>MEDICAL ROAD, JAMALPUR SADAR, JAMALPUR</t>
  </si>
  <si>
    <t>0981 3149</t>
  </si>
  <si>
    <t>jamalpur@pubalibankbd.com</t>
  </si>
  <si>
    <t>175391307</t>
  </si>
  <si>
    <t>NANDINA BAZAR BRANCH</t>
  </si>
  <si>
    <t>NANDINA_BAZAR_BRANCH</t>
  </si>
  <si>
    <t>NANDINA BAZAR, JAMALPUR</t>
  </si>
  <si>
    <t>019 37404327</t>
  </si>
  <si>
    <t>nandina@pubalibankbd.com</t>
  </si>
  <si>
    <t>175391486</t>
  </si>
  <si>
    <t>MUNICIPAL MARKET, ARAMNAGAR BAZAR, SARISHABARI, JAMALPUR</t>
  </si>
  <si>
    <t>0 981 3072/23</t>
  </si>
  <si>
    <t>sarishabari@pubalibankbd.com</t>
  </si>
  <si>
    <t>175410288</t>
  </si>
  <si>
    <t>HERA SUPPER MARKET, BENAPOLE, JESSORE</t>
  </si>
  <si>
    <t>04228 76140</t>
  </si>
  <si>
    <t>benapole@pubalibankbd.com</t>
  </si>
  <si>
    <t>175410941</t>
  </si>
  <si>
    <t>PUBABDDH221</t>
  </si>
  <si>
    <t>EDEN MARKET, MISTRIKHANA ROAD, JESSORE</t>
  </si>
  <si>
    <t>0421 73940</t>
  </si>
  <si>
    <t>jessore@pubalibankbd.com</t>
  </si>
  <si>
    <t>175411616</t>
  </si>
  <si>
    <t>NAVARAN BAZAR BRANCH</t>
  </si>
  <si>
    <t>NAVARAN_BAZAR_BRANCH</t>
  </si>
  <si>
    <t>161</t>
  </si>
  <si>
    <t>SONALI COMPLEX, NAVARAN BAZAR, SHARSHA, JESSORE</t>
  </si>
  <si>
    <t>navaron@pubalibankbd.com</t>
  </si>
  <si>
    <t>175411661</t>
  </si>
  <si>
    <t>KHULNA-JESSORE ROAD, NOAPARA, ABHAYNAGAR, JESSORE</t>
  </si>
  <si>
    <t>04222 415</t>
  </si>
  <si>
    <t>noaparajsr@pubalibankbd.com</t>
  </si>
  <si>
    <t>175420315</t>
  </si>
  <si>
    <t>HALIMA BOARDING COMPLEX, SATTYASRAM ROAD, JHALAKATI</t>
  </si>
  <si>
    <t>0496 3379</t>
  </si>
  <si>
    <t>jhalakati@pubalibankbd.com</t>
  </si>
  <si>
    <t>175420494</t>
  </si>
  <si>
    <t>11 STATION ROAD, NALCHITY, JHALAKATI</t>
  </si>
  <si>
    <t>019 37404326</t>
  </si>
  <si>
    <t>nalcity@pubalibankbd.com</t>
  </si>
  <si>
    <t>175420557</t>
  </si>
  <si>
    <t>THANA ROAD, RAJAPUR, JHALAKATI</t>
  </si>
  <si>
    <t>rajapur@pubalibankbd.com</t>
  </si>
  <si>
    <t>175440645</t>
  </si>
  <si>
    <t>181 MAGURA ROAD, JHENAIDAH SADAR, JHENAIDAH</t>
  </si>
  <si>
    <t>0451 2437</t>
  </si>
  <si>
    <t>jhenaidah@pubalibankbd.com</t>
  </si>
  <si>
    <t>175380376</t>
  </si>
  <si>
    <t>COLLEGE ROAD, JAMALGANJ BAZAR, JOYPURHAT</t>
  </si>
  <si>
    <t>0571 936</t>
  </si>
  <si>
    <t>jamalgonjht@pubalibankbd.com</t>
  </si>
  <si>
    <t>175380400</t>
  </si>
  <si>
    <t>ANSER ALI COMPLEX, THANA ROAD, JOYPURHAT 5900</t>
  </si>
  <si>
    <t>0571 412, 325</t>
  </si>
  <si>
    <t>jaipurhat@pubalibankbd.com</t>
  </si>
  <si>
    <t>175460070</t>
  </si>
  <si>
    <t>KHAGRACHHARI BAZAR, KHAGRACHHARI</t>
  </si>
  <si>
    <t>037 1838</t>
  </si>
  <si>
    <t>khagrachari@pubalibankbd.com</t>
  </si>
  <si>
    <t>175470310</t>
  </si>
  <si>
    <t>BATIAGHATA, KHULNA</t>
  </si>
  <si>
    <t>batiaghata@pubalibankbd.com</t>
  </si>
  <si>
    <t>175470707</t>
  </si>
  <si>
    <t>KHAN-E-SABUR ROAD, DAULATPUR, KHULNA</t>
  </si>
  <si>
    <t>041 762832</t>
  </si>
  <si>
    <t>daulatpurkln@pubalibankbd.com</t>
  </si>
  <si>
    <t>175471335</t>
  </si>
  <si>
    <t>KAYERBAZAR BRANCH</t>
  </si>
  <si>
    <t>KAYERBAZAR_BRANCH</t>
  </si>
  <si>
    <t>KAYER BAZAR, BATIAGHATA, KHULNA 9260</t>
  </si>
  <si>
    <t>017 14012446</t>
  </si>
  <si>
    <t>kayerbazar@pubalibankbd.com</t>
  </si>
  <si>
    <t>175471456</t>
  </si>
  <si>
    <t>30 BIDC ROAD, KHALISHPUR, KHULNA</t>
  </si>
  <si>
    <t>041 760637</t>
  </si>
  <si>
    <t>khalishpur@pubalibankbd.com</t>
  </si>
  <si>
    <t>175471722</t>
  </si>
  <si>
    <t>PUBABDDH211</t>
  </si>
  <si>
    <t>92 SIR IQBAL ROAD, KHULNA SADAR, KHULNA</t>
  </si>
  <si>
    <t>041 24589, 722583</t>
  </si>
  <si>
    <t>khulna@pubalibankbd.com</t>
  </si>
  <si>
    <t>175471872</t>
  </si>
  <si>
    <t>KHAN-E-SABUR ROAD, SONALI JUTE MILL, KHULNA</t>
  </si>
  <si>
    <t>041 774359</t>
  </si>
  <si>
    <t>mirerdanga@pubalibankbd.com</t>
  </si>
  <si>
    <t>175470873</t>
  </si>
  <si>
    <t>DAMODAR, PHULTALA, KHULNA</t>
  </si>
  <si>
    <t>041 701738, 019 17704735</t>
  </si>
  <si>
    <t>phultala@pubalibankbd.com</t>
  </si>
  <si>
    <t>175472471</t>
  </si>
  <si>
    <t>SHAIKHPARA BRANCH</t>
  </si>
  <si>
    <t>SHAIKHPARA_BRANCH</t>
  </si>
  <si>
    <t>SHER-E-BANGLA ROAD, SONADANGA, KHULNA</t>
  </si>
  <si>
    <t>041 720771</t>
  </si>
  <si>
    <t>shaikhpara@pubalibankbd.com</t>
  </si>
  <si>
    <t>175472684</t>
  </si>
  <si>
    <t>UPPER JESSORE ROAD BRANCH</t>
  </si>
  <si>
    <t>UPPER_JESSORE_ROAD_BRANCH</t>
  </si>
  <si>
    <t>7 KDA COMMERCIAL AREA, KHULNA</t>
  </si>
  <si>
    <t>041 720437</t>
  </si>
  <si>
    <t>ujr@pubalibankbd.com</t>
  </si>
  <si>
    <t>175480221</t>
  </si>
  <si>
    <t>MISTY PATTY, BHAIRAB BAZAR, KISHOREGANJ</t>
  </si>
  <si>
    <t>09431 545</t>
  </si>
  <si>
    <t>bhairab@pubalibankbd.com</t>
  </si>
  <si>
    <t>175480526</t>
  </si>
  <si>
    <t>KAMALPUR BRANCH</t>
  </si>
  <si>
    <t>KAMALPUR_BRANCH</t>
  </si>
  <si>
    <t>KAMALPUR, KISHOREGANJ</t>
  </si>
  <si>
    <t>09431 632</t>
  </si>
  <si>
    <t>kamalpur@pubalibankbd.com</t>
  </si>
  <si>
    <t>175480676</t>
  </si>
  <si>
    <t>BARA BAZAR, ISHAKHAN ROAD, KISHOREGANJ</t>
  </si>
  <si>
    <t>0941 55513</t>
  </si>
  <si>
    <t>kishoregonj@pubalibankbd.com</t>
  </si>
  <si>
    <t>175490190</t>
  </si>
  <si>
    <t>CHANDRAKHANA UPAZILLA COMPLEX, FULBARI, KURIGRAM</t>
  </si>
  <si>
    <t>fulbari@pubalibankbd.com</t>
  </si>
  <si>
    <t>175490408</t>
  </si>
  <si>
    <t>GHOSHPARA, KURIGRAM</t>
  </si>
  <si>
    <t>0581 475</t>
  </si>
  <si>
    <t>kurigram@pubalibankbd.com</t>
  </si>
  <si>
    <t>175500280</t>
  </si>
  <si>
    <t>KUSTIA PRAGPUR ROAD, BHERAMARA, KUSHTIA</t>
  </si>
  <si>
    <t>07022 315</t>
  </si>
  <si>
    <t>bheramara@pubalibankbd.com</t>
  </si>
  <si>
    <t>175500943</t>
  </si>
  <si>
    <t>CHAMBER BUILDING, 28/27 NS ROAD, KUSHTIA</t>
  </si>
  <si>
    <t>071 53475</t>
  </si>
  <si>
    <t>kushtia@pubalibankbd.com</t>
  </si>
  <si>
    <t>175510733</t>
  </si>
  <si>
    <t>CHAWK BAZAR, LAKSHMIPUR SADAR, LAKSHMIPUR</t>
  </si>
  <si>
    <t>0381 55319</t>
  </si>
  <si>
    <t>laxmipur@pubalibankbd.com</t>
  </si>
  <si>
    <t>175510854</t>
  </si>
  <si>
    <t>MIRERHAT BRANCH</t>
  </si>
  <si>
    <t>MIRERHAT_BRANCH</t>
  </si>
  <si>
    <t>EAST KEROA, RAIPUR, LAKSHMIPUR 3710</t>
  </si>
  <si>
    <t>017 11435039</t>
  </si>
  <si>
    <t>mirerhat@pubalibankbd.com</t>
  </si>
  <si>
    <t>175510975</t>
  </si>
  <si>
    <t>272-273 DENAYETPUR, RAIPUR, LAKSHMIPUR</t>
  </si>
  <si>
    <t>raipur@pubalibankbd.com</t>
  </si>
  <si>
    <t>175511037</t>
  </si>
  <si>
    <t>NOOR PLAZA, RAMGANJ, LAKSHMIPUR</t>
  </si>
  <si>
    <t>03824 75274</t>
  </si>
  <si>
    <t>ramgonj@pubalibankbd.com</t>
  </si>
  <si>
    <t>175520460</t>
  </si>
  <si>
    <t>GOSHALA BAZAR ROAD, LALMONIRHAT SADAR, LALMONIRHAT</t>
  </si>
  <si>
    <t>0591 498</t>
  </si>
  <si>
    <t>lalmonirhat@pubalibankbd.com</t>
  </si>
  <si>
    <t>175520707</t>
  </si>
  <si>
    <t>TUSHBHANDER BRANCH</t>
  </si>
  <si>
    <t>TUSHBHANDER_BRANCH</t>
  </si>
  <si>
    <t>UTTAR GHANASHYAM, TUSHBHANDER, LALMONIRHAT</t>
  </si>
  <si>
    <t>tushbhander@pubalibankbd.com</t>
  </si>
  <si>
    <t>175540408</t>
  </si>
  <si>
    <t>MAIN ROAD, PURAN BAZAR, MADARIPUR</t>
  </si>
  <si>
    <t>0661 55584</t>
  </si>
  <si>
    <t>madaripur@pubalibankbd.com</t>
  </si>
  <si>
    <t>175550551</t>
  </si>
  <si>
    <t>SYED ATAR ALI ROAD, MAGURA SADAR, MAGURA</t>
  </si>
  <si>
    <t>0611 2520</t>
  </si>
  <si>
    <t>magura@pubalibankbd.com</t>
  </si>
  <si>
    <t>175560288</t>
  </si>
  <si>
    <t>0651 4328</t>
  </si>
  <si>
    <t>daulatpurmanik@pubalibankbd.com</t>
  </si>
  <si>
    <t>175560617</t>
  </si>
  <si>
    <t>SHAHID RAFIQUE SHARAK, MANIKGANJ SADAR, MANIKGANJ</t>
  </si>
  <si>
    <t>017 11401282</t>
  </si>
  <si>
    <t>manikgonj@pubalibankbd.com</t>
  </si>
  <si>
    <t>175560820</t>
  </si>
  <si>
    <t>SINGAIR, MANIKGANJ</t>
  </si>
  <si>
    <t>0651 71010, 017 11401283</t>
  </si>
  <si>
    <t>singair@pubalibankbd.com</t>
  </si>
  <si>
    <t>175570373</t>
  </si>
  <si>
    <t>MAIN ROAD, MEHERPUR SADAR, MEHERPUR</t>
  </si>
  <si>
    <t>0791 481</t>
  </si>
  <si>
    <t>meherpur@pubalibankbd.com</t>
  </si>
  <si>
    <t>175580042</t>
  </si>
  <si>
    <t>ADAMPUR BAZAR, KAMALGANJ, MOULVIBAZAR</t>
  </si>
  <si>
    <t>017 11415982</t>
  </si>
  <si>
    <t>adampur@pubalibankbd.com</t>
  </si>
  <si>
    <t>175580105</t>
  </si>
  <si>
    <t>BARLEKHA, MOULVIBAZAR 3250</t>
  </si>
  <si>
    <t>baralekha@pubalibankbd.com</t>
  </si>
  <si>
    <t>175580255</t>
  </si>
  <si>
    <t>BRAHMANBAZAR BRANCH</t>
  </si>
  <si>
    <t>BRAHMANBAZAR_BRANCH</t>
  </si>
  <si>
    <t>BRAHMANBAZAR, KAZALDHARA, MOULVIBAZAR</t>
  </si>
  <si>
    <t>brahmanbazar@pubalibankbd.com</t>
  </si>
  <si>
    <t>175580376</t>
  </si>
  <si>
    <t>CHOWMOHANA BRANCH</t>
  </si>
  <si>
    <t>CHOWMOHANA_BRANCH</t>
  </si>
  <si>
    <t>CHOWMOHANA, MOULVIBAZAR SADAR, MOULVIBAZAR</t>
  </si>
  <si>
    <t>0861 52209</t>
  </si>
  <si>
    <t>chowmuhana@pubalibankbd.com</t>
  </si>
  <si>
    <t>175580439</t>
  </si>
  <si>
    <t>DAKSHINBAGH BRANCH</t>
  </si>
  <si>
    <t>DAKSHINBAGH_BRANCH</t>
  </si>
  <si>
    <t>DAKSHINBAGH, MOULVIBAZAR</t>
  </si>
  <si>
    <t>0861 53080</t>
  </si>
  <si>
    <t>dakshinbagh@pubalibankbd.com</t>
  </si>
  <si>
    <t>175580655</t>
  </si>
  <si>
    <t>JOGIDAHAR BRANCH</t>
  </si>
  <si>
    <t>JOGIDAHAR_BRANCH</t>
  </si>
  <si>
    <t>MOSTAFAPUR, MOULVIBAZAR SADAR, MOULVIBAZAR</t>
  </si>
  <si>
    <t>019 37404332</t>
  </si>
  <si>
    <t>jogidahar@pubalibankbd.com</t>
  </si>
  <si>
    <t>175580671</t>
  </si>
  <si>
    <t>JURI, MOULVIBAZAR SADAR, MOULVIBAZAR</t>
  </si>
  <si>
    <t>juri@pubalibankbd.com</t>
  </si>
  <si>
    <t>175580763</t>
  </si>
  <si>
    <t>0861 53012</t>
  </si>
  <si>
    <t>kamolgonj@pubalibankbd.com</t>
  </si>
  <si>
    <t>175580947</t>
  </si>
  <si>
    <t>KULAURA, MOULVIBAZAR</t>
  </si>
  <si>
    <t>0861 53050</t>
  </si>
  <si>
    <t>kulaura@pubalibankbd.com</t>
  </si>
  <si>
    <t>175581188</t>
  </si>
  <si>
    <t>CENTRAL ROAD, MOULVIBAZAR SADAR, MOULVIBAZAR</t>
  </si>
  <si>
    <t>0861 52208</t>
  </si>
  <si>
    <t>moulvibazar@pubalibankbd.com</t>
  </si>
  <si>
    <t>175581609</t>
  </si>
  <si>
    <t>SHAMSHERNAGAR BRANCH</t>
  </si>
  <si>
    <t>SHAMSHERNAGAR_BRANCH</t>
  </si>
  <si>
    <t>SHAMSHERNAGAR, KAMALGANJ, MOULVIBAZAR</t>
  </si>
  <si>
    <t>shamshernagar@pubalibankbd.com</t>
  </si>
  <si>
    <t>175581667</t>
  </si>
  <si>
    <t>sherpurbazar@pubalibankbd.com</t>
  </si>
  <si>
    <t>175581720</t>
  </si>
  <si>
    <t>COLLEGE ROAD, SREEMANGAL, MOULVIBAZAR</t>
  </si>
  <si>
    <t>08626 71501, 017 11426847</t>
  </si>
  <si>
    <t>sreemongal@pubalibankbd.com</t>
  </si>
  <si>
    <t>175581788</t>
  </si>
  <si>
    <t>TENGRA BAZAR BRANCH</t>
  </si>
  <si>
    <t>TENGRA_BAZAR_BRANCH</t>
  </si>
  <si>
    <t>TENGRA BAZAR, RAJNAGAR, MOULVIBAZAR</t>
  </si>
  <si>
    <t>019 17704810, 019 17704810</t>
  </si>
  <si>
    <t>tengrabazar@pubalibankbd.com</t>
  </si>
  <si>
    <t>175581841</t>
  </si>
  <si>
    <t>WAPDA GATE BRANCH</t>
  </si>
  <si>
    <t>WAPDA_GATE_BRANCH</t>
  </si>
  <si>
    <t>0861 52270</t>
  </si>
  <si>
    <t>wapdagate@pubalibankbd.com</t>
  </si>
  <si>
    <t>175580497</t>
  </si>
  <si>
    <t>EKATONA</t>
  </si>
  <si>
    <t>175590287</t>
  </si>
  <si>
    <t>BHABERCHAR, MUNSHIGANJ</t>
  </si>
  <si>
    <t>0692 88021</t>
  </si>
  <si>
    <t>bhaberchar@pubalibankbd.com</t>
  </si>
  <si>
    <t>175590379</t>
  </si>
  <si>
    <t>DHALAGAON BRANCH</t>
  </si>
  <si>
    <t>DHALAGAON_BRANCH</t>
  </si>
  <si>
    <t>DHALAGAON BAZAR, RAMPAL, MUNSHIGANJ</t>
  </si>
  <si>
    <t>0691 3080</t>
  </si>
  <si>
    <t>dhalagaon@pubalibankbd.com</t>
  </si>
  <si>
    <t>175590461</t>
  </si>
  <si>
    <t>gazaria@pubalibankbd.com</t>
  </si>
  <si>
    <t>175590766</t>
  </si>
  <si>
    <t>KATAKHALI</t>
  </si>
  <si>
    <t>175591031</t>
  </si>
  <si>
    <t>SADAR ROAD, MUNSHIGANJ SADAR, MUNSHIGANJ</t>
  </si>
  <si>
    <t>0691 3159</t>
  </si>
  <si>
    <t>munshiganj@pubalibankbd.com</t>
  </si>
  <si>
    <t>175591099</t>
  </si>
  <si>
    <t>NAOPARA BRANCH</t>
  </si>
  <si>
    <t>NAOPARA_BRANCH</t>
  </si>
  <si>
    <t>NAOPARA BAZAR, MUNSHIGANJ</t>
  </si>
  <si>
    <t>017 11426134</t>
  </si>
  <si>
    <t>naopara@pubalibankbd.com</t>
  </si>
  <si>
    <t>175591123</t>
  </si>
  <si>
    <t>BINODPUR, MUNSHIGANJ SADAR, MUNSHIGANJ</t>
  </si>
  <si>
    <t>0691 3362</t>
  </si>
  <si>
    <t>nurpur@pubalibankbd.com</t>
  </si>
  <si>
    <t>175591431</t>
  </si>
  <si>
    <t>019 17704871</t>
  </si>
  <si>
    <t>sreenagar@pubalibankbd.com</t>
  </si>
  <si>
    <t>175610312</t>
  </si>
  <si>
    <t>ROY MARKET, BHALUKA BAZAR, MYMENSINGH</t>
  </si>
  <si>
    <t>019 87706859</t>
  </si>
  <si>
    <t>175610491</t>
  </si>
  <si>
    <t>CHARPARA, MYMENSINGH SADAR, MYMENSINGH</t>
  </si>
  <si>
    <t>091 54750</t>
  </si>
  <si>
    <t>charpara@pubalibankbd.com</t>
  </si>
  <si>
    <t>175610646</t>
  </si>
  <si>
    <t>DARIRAMPUR BRANCH</t>
  </si>
  <si>
    <t>DARIRAMPUR_BRANCH</t>
  </si>
  <si>
    <t>DARIRAMPUR, TRISHAL, MYMENSINGH</t>
  </si>
  <si>
    <t>091 54599, 52183</t>
  </si>
  <si>
    <t>175611690</t>
  </si>
  <si>
    <t>MAIN ROAD, BARAHISYA BAZAR, MUKTAGACHHA, MYMENSINGH</t>
  </si>
  <si>
    <t>091 09028, 52189, 54762</t>
  </si>
  <si>
    <t>muktagacha@pubalibankbd.com</t>
  </si>
  <si>
    <t>175611845</t>
  </si>
  <si>
    <t>PUBABDDH203</t>
  </si>
  <si>
    <t>35 DURGABARI ROAD, MYMENSINGH SADAR, MYMENSINGH</t>
  </si>
  <si>
    <t>091 54547</t>
  </si>
  <si>
    <t>mymensingh@pubalibankbd.com</t>
  </si>
  <si>
    <t>175612202</t>
  </si>
  <si>
    <t>SWADESHI BAZAR BRANCH</t>
  </si>
  <si>
    <t>SWADESHI_BAZAR_BRANCH</t>
  </si>
  <si>
    <t>SWADESHI BAZAR, 2/KHA RAMESH SEN ROAD, MYMENSINGH</t>
  </si>
  <si>
    <t>091 54286</t>
  </si>
  <si>
    <t>shawdeshi@pubalibankbd.com</t>
  </si>
  <si>
    <t>175612231</t>
  </si>
  <si>
    <t>KATGOLA BAZAR, MYMENSINGH SADAR, MYMENSINGH</t>
  </si>
  <si>
    <t>091 54012</t>
  </si>
  <si>
    <t>taltalabazar@pubalibankbd.com</t>
  </si>
  <si>
    <t>175612415</t>
  </si>
  <si>
    <t>UNIVERSITY CAMPUS BRANCH</t>
  </si>
  <si>
    <t>UNIVERSITY_CAMPUS_BRANCH</t>
  </si>
  <si>
    <t>AGRI-VARSITY CAMPUS, MYMENSINGH</t>
  </si>
  <si>
    <t>091 54595, 017 11562504</t>
  </si>
  <si>
    <t>uc@pubalibankbd.com</t>
  </si>
  <si>
    <t>NARIA SME</t>
  </si>
  <si>
    <t>NARIA_SME</t>
  </si>
  <si>
    <t>175640058</t>
  </si>
  <si>
    <t>DELUABARI BRANCH</t>
  </si>
  <si>
    <t>DELUABARI_BRANCH</t>
  </si>
  <si>
    <t>KUSHUMBHA, CHAWKKANU, NOAGAON</t>
  </si>
  <si>
    <t>019 17704866</t>
  </si>
  <si>
    <t>175641099</t>
  </si>
  <si>
    <t>MOHADEBPUR, NAOGAON</t>
  </si>
  <si>
    <t>mohadebpur@pubalibankbd.com</t>
  </si>
  <si>
    <t>175641181</t>
  </si>
  <si>
    <t>MAIN ROAD, NAOGAON SADAR, NAOGAON</t>
  </si>
  <si>
    <t>0741 52108, 52152</t>
  </si>
  <si>
    <t>naogaon@pubalibankbd.com</t>
  </si>
  <si>
    <t>175650648</t>
  </si>
  <si>
    <t>NARAIL-JESSORE ROAD, NARAIL SADAR, NARAIL</t>
  </si>
  <si>
    <t>0481 561</t>
  </si>
  <si>
    <t>narail@pubalibankbd.com</t>
  </si>
  <si>
    <t>175670044</t>
  </si>
  <si>
    <t>COLLEGE ROAD, ARAIHAZAR, NARAYANGANJ</t>
  </si>
  <si>
    <t>017 11827709</t>
  </si>
  <si>
    <t>araihazar@pubalibankbd.com</t>
  </si>
  <si>
    <t>175670499</t>
  </si>
  <si>
    <t>DUPTARA BRANCH</t>
  </si>
  <si>
    <t>DUPTARA_BRANCH</t>
  </si>
  <si>
    <t>KALIBARI BAZAR, DUPTARA, ARAIHAZAR, NARAYANGANJ</t>
  </si>
  <si>
    <t>duptara@pubalibankbd.com</t>
  </si>
  <si>
    <t>175670736</t>
  </si>
  <si>
    <t>AC DHAR ROAD, KALIRBAZAR, NARAYANGANJ</t>
  </si>
  <si>
    <t>02 9711355, 9716017</t>
  </si>
  <si>
    <t>kalirbazar@pubalibankbd.com</t>
  </si>
  <si>
    <t>175671180</t>
  </si>
  <si>
    <t>PUBABDDH202</t>
  </si>
  <si>
    <t>2 BANGABANDHU ROAD, NARAYANGANJ</t>
  </si>
  <si>
    <t>02 7630112, 9711393, 017 11404351</t>
  </si>
  <si>
    <t>ngonj@pubalibankbd.com</t>
  </si>
  <si>
    <t>175671272</t>
  </si>
  <si>
    <t>1 BB ROAD, NETAIGANJ, NARAYANGANJ</t>
  </si>
  <si>
    <t>019 87706857</t>
  </si>
  <si>
    <t>175671551</t>
  </si>
  <si>
    <t>SHIBU MARKET BRANCH</t>
  </si>
  <si>
    <t>SHIBU_MARKET_BRANCH</t>
  </si>
  <si>
    <t>KUTUBALI, ROAD NO 2, FATULLAH ROAD, NARAYANGANJ</t>
  </si>
  <si>
    <t>019 37404321</t>
  </si>
  <si>
    <t>shibu@pubalibankbd.com</t>
  </si>
  <si>
    <t>175671751</t>
  </si>
  <si>
    <t>SM MALEH ROAD, TANBAZAR, NARAYANGANJ</t>
  </si>
  <si>
    <t>02 7630391, 017 11437456</t>
  </si>
  <si>
    <t>tanbazarngonj@pubalibankbd.com</t>
  </si>
  <si>
    <t>175680342</t>
  </si>
  <si>
    <t>CHARSINDUR BRANCH</t>
  </si>
  <si>
    <t>CHARSINDUR_BRANCH</t>
  </si>
  <si>
    <t>CHARSINDUR BAZAR, PAKRAGANJ, NARSINGDI</t>
  </si>
  <si>
    <t>011 862642</t>
  </si>
  <si>
    <t>charsindur@pubalibankbd.com</t>
  </si>
  <si>
    <t>175680492</t>
  </si>
  <si>
    <t>GHORASHAL BAZAR, GHORASHAL, NARSINGDI</t>
  </si>
  <si>
    <t>0934 5550 (Ext 104)</t>
  </si>
  <si>
    <t>ghorashal@pubalibankbd.com</t>
  </si>
  <si>
    <t>175680676</t>
  </si>
  <si>
    <t>209 BANK ROAD, MADHABDI, NARSINGDI</t>
  </si>
  <si>
    <t>madhabdi@pubalibankbd.com</t>
  </si>
  <si>
    <t>175680850</t>
  </si>
  <si>
    <t>HAMID MENSION, C &amp;amp; B ROAD, NARSINGDI SADAR, NARSINGDI</t>
  </si>
  <si>
    <t>0621 2426</t>
  </si>
  <si>
    <t>narsingdi@pubalibankbd.com</t>
  </si>
  <si>
    <t>175680913</t>
  </si>
  <si>
    <t>PALASH BAZAR, PALASH, NARSINGDI</t>
  </si>
  <si>
    <t>06254 261</t>
  </si>
  <si>
    <t>palash@pubalibankbd.com</t>
  </si>
  <si>
    <t>175690853</t>
  </si>
  <si>
    <t>KUSHUMBI BRANCH</t>
  </si>
  <si>
    <t>KUSHUMBI_BRANCH</t>
  </si>
  <si>
    <t>KALIGANJ BAZAR, SINGRA, NATORE 6450</t>
  </si>
  <si>
    <t>017 11401327</t>
  </si>
  <si>
    <t>kushumbi@pubalibankbd.com</t>
  </si>
  <si>
    <t>175691094</t>
  </si>
  <si>
    <t>SHANKAR GOBINDACHY ROAD, NIKABAZAR, NATORE SADAR, NATORE</t>
  </si>
  <si>
    <t>0771 6815</t>
  </si>
  <si>
    <t>natore@pubalibankbd.com</t>
  </si>
  <si>
    <t>175720615</t>
  </si>
  <si>
    <t>HEAD QUARTER, MADAN, NETROKONA</t>
  </si>
  <si>
    <t>madan@pubalibankbd.com</t>
  </si>
  <si>
    <t>175720736</t>
  </si>
  <si>
    <t>CHHOTO BAZAR, NETROKONA SADAR, NETROKONA</t>
  </si>
  <si>
    <t>0951 524</t>
  </si>
  <si>
    <t>netrakona@pubalibankbd.com</t>
  </si>
  <si>
    <t>175730739</t>
  </si>
  <si>
    <t>BARA MASJID ROAD, NILPHAMARI SADAR, NILPHAMARI</t>
  </si>
  <si>
    <t>0551 409</t>
  </si>
  <si>
    <t>nilphamari@pubalibankbd.com</t>
  </si>
  <si>
    <t>175730797</t>
  </si>
  <si>
    <t>SHAHEED DR ZIKRUL HAQUE ROAD, SAIDPUR, NILPHAMARI</t>
  </si>
  <si>
    <t>0552 2167</t>
  </si>
  <si>
    <t>saidpur@pubalibankbd.com</t>
  </si>
  <si>
    <t>175730050</t>
  </si>
  <si>
    <t>SHUTIBARI BRANCH</t>
  </si>
  <si>
    <t>SHUTIBARI_BRANCH</t>
  </si>
  <si>
    <t>GOYAKHARIBARI, DIMLA, NILPHAMARI</t>
  </si>
  <si>
    <t>019 17704865</t>
  </si>
  <si>
    <t>175750043</t>
  </si>
  <si>
    <t>AFAZIA BAZAR BRANCH</t>
  </si>
  <si>
    <t>AFAZIA_BAZAR_BRANCH</t>
  </si>
  <si>
    <t>CHAR ISHWAR, AFAZIA BAZAR, HATIYA, NOAKHALI</t>
  </si>
  <si>
    <t>017 11435027</t>
  </si>
  <si>
    <t>afaziabazar@pubalibankbd.com</t>
  </si>
  <si>
    <t>175750256</t>
  </si>
  <si>
    <t>BASURHAT, COMPANIGANJ NOAKHALI</t>
  </si>
  <si>
    <t>basurhat@pubalibankbd.com</t>
  </si>
  <si>
    <t>175750672</t>
  </si>
  <si>
    <t>DB ROAD, CHOWUMUHANI, BEGUMGANJ, NOAKHALI</t>
  </si>
  <si>
    <t>0321 4005</t>
  </si>
  <si>
    <t>chowmuhani@pubalibankbd.com</t>
  </si>
  <si>
    <t>175750793</t>
  </si>
  <si>
    <t>84 GOPAI RAM SANKER, DATTER HAT, NOAKHALI</t>
  </si>
  <si>
    <t>0321 5551</t>
  </si>
  <si>
    <t>datterhat@pubalibankbd.com</t>
  </si>
  <si>
    <t>175751576</t>
  </si>
  <si>
    <t>MAIN ROAD, MAIJDEE COURT, NOAKHALI</t>
  </si>
  <si>
    <t>0321 5366</t>
  </si>
  <si>
    <t>mcourt@pubalibankbd.com</t>
  </si>
  <si>
    <t>175751992</t>
  </si>
  <si>
    <t>SAMIR MUNSHIRHAT BRANCH</t>
  </si>
  <si>
    <t>SAMIR_MUNSHIRHAT_BRANCH</t>
  </si>
  <si>
    <t>YARPUR, SAMIR MUNSHIRHAT, SENBAG, NOAKHALI</t>
  </si>
  <si>
    <t>0321 52628</t>
  </si>
  <si>
    <t>smhat@pubalibankbd.com</t>
  </si>
  <si>
    <t>175752425</t>
  </si>
  <si>
    <t>THANARHAT BAZAR BRANCH</t>
  </si>
  <si>
    <t>THANARHAT_BAZAR_BRANCH</t>
  </si>
  <si>
    <t>THANARHAT BAZAR, SONAIMURI, NOAKHALI</t>
  </si>
  <si>
    <t>019 37404325</t>
  </si>
  <si>
    <t>thanarhat@pubalibankbd.com</t>
  </si>
  <si>
    <t>175760220</t>
  </si>
  <si>
    <t>ATAIKULA BRANCH</t>
  </si>
  <si>
    <t>ATAIKULA_BRANCH</t>
  </si>
  <si>
    <t>ATAIKULA, SANTHIA, PABNA</t>
  </si>
  <si>
    <t>0731 89000</t>
  </si>
  <si>
    <t>ataikula@pubalibankbd.com</t>
  </si>
  <si>
    <t>175761216</t>
  </si>
  <si>
    <t>STATION ROAD, ISHWARDI BAZAR, PABNA</t>
  </si>
  <si>
    <t>ishurdi@pubalibankbd.com</t>
  </si>
  <si>
    <t>175761458</t>
  </si>
  <si>
    <t>MALIGACHHA BRANCH</t>
  </si>
  <si>
    <t>MALIGACHHA_BRANCH</t>
  </si>
  <si>
    <t>TEBUNIA BAZAR, TEBUNIA, PABNA</t>
  </si>
  <si>
    <t>0731 6175</t>
  </si>
  <si>
    <t>maligacha@pubalibankbd.com</t>
  </si>
  <si>
    <t>175761782</t>
  </si>
  <si>
    <t>A HAMID ROAD, PABNA SADAR, PABNA</t>
  </si>
  <si>
    <t>0731 6185</t>
  </si>
  <si>
    <t>pabna@pubalibankbd.com</t>
  </si>
  <si>
    <t>175762110</t>
  </si>
  <si>
    <t>SALGARIA BRANCH</t>
  </si>
  <si>
    <t>SALGARIA_BRANCH</t>
  </si>
  <si>
    <t>MRIDHA SUPER MARKET, BANIA PATTY, PABNA SADAR, PABNA</t>
  </si>
  <si>
    <t>0731 65841</t>
  </si>
  <si>
    <t>salgaria@pubalibankbd.com</t>
  </si>
  <si>
    <t>175770557</t>
  </si>
  <si>
    <t>KADAMTALA ROAD, PANCHAGARH BAZAR, PANCHAGARH</t>
  </si>
  <si>
    <t>0562 245</t>
  </si>
  <si>
    <t>panchagarh@pubalibankbd.com</t>
  </si>
  <si>
    <t>175780497</t>
  </si>
  <si>
    <t>HOLDING NO 54, WARD 4, GALACHIPA, PATUAKHALI</t>
  </si>
  <si>
    <t>04424 56245, 019 17704885</t>
  </si>
  <si>
    <t>galachipa@pubalibankbd.com</t>
  </si>
  <si>
    <t>175780589</t>
  </si>
  <si>
    <t>KALAIYA BANDAR BRANCH</t>
  </si>
  <si>
    <t>KALAIYA_BANDAR_BRANCH</t>
  </si>
  <si>
    <t>KALAIYA BANDAR, PATUAKHALI</t>
  </si>
  <si>
    <t>0441 4422, 017 11437483</t>
  </si>
  <si>
    <t>kalaiya@pubalibankbd.com</t>
  </si>
  <si>
    <t>175781096</t>
  </si>
  <si>
    <t>0441 62482</t>
  </si>
  <si>
    <t>patuakhali@pubalibankbd.com</t>
  </si>
  <si>
    <t>175781270</t>
  </si>
  <si>
    <t>EAST SUBIDKHALI, MIRZAGANJ, PATUAKHALI</t>
  </si>
  <si>
    <t>175790137</t>
  </si>
  <si>
    <t>BHANDARIA</t>
  </si>
  <si>
    <t>175790524</t>
  </si>
  <si>
    <t>04625 75498</t>
  </si>
  <si>
    <t>mathbaria@pubalibankbd.com</t>
  </si>
  <si>
    <t>175790582</t>
  </si>
  <si>
    <t>KAWRIKHARA, STATION ROAD, MERHAT, PIROJPUR</t>
  </si>
  <si>
    <t>mearhat@pubalibankbd.com</t>
  </si>
  <si>
    <t>175790708</t>
  </si>
  <si>
    <t>SADAR ROAD, NAZIRPUR, PIROJPUR 8540</t>
  </si>
  <si>
    <t>017 14098889, 017 12145773</t>
  </si>
  <si>
    <t>nazirpur@pubalibankbd.com</t>
  </si>
  <si>
    <t>175790766</t>
  </si>
  <si>
    <t>CLUB ROAD (CB ROAD), PIROJPUR SADAR, PIROJPUR</t>
  </si>
  <si>
    <t>0461 316</t>
  </si>
  <si>
    <t>pirojpur@pubalibankbd.com</t>
  </si>
  <si>
    <t>175790858</t>
  </si>
  <si>
    <t>SARSINA BRANCH</t>
  </si>
  <si>
    <t>SARSINA_BRANCH</t>
  </si>
  <si>
    <t>SARSINA, DARUS SUNNAT, NESARABAD, PIROJPUR</t>
  </si>
  <si>
    <t>0461 286</t>
  </si>
  <si>
    <t>sarsina@pubalibankbd.com</t>
  </si>
  <si>
    <t>175820681</t>
  </si>
  <si>
    <t>017 16608505</t>
  </si>
  <si>
    <t>pangsha@pubalibankbd.com</t>
  </si>
  <si>
    <t>175820731</t>
  </si>
  <si>
    <t>COLLEGE ROAD, RAJBARI SADAR, RAJBARI</t>
  </si>
  <si>
    <t>0641 5411</t>
  </si>
  <si>
    <t>rajbari@pubalibankbd.com</t>
  </si>
  <si>
    <t>175811366</t>
  </si>
  <si>
    <t>MIRZAPUR</t>
  </si>
  <si>
    <t>175811937</t>
  </si>
  <si>
    <t>PUBABDDH213</t>
  </si>
  <si>
    <t>NATORE ROAD, SHAHEB BAZAR, GHORAMARA, RAJSHAHI</t>
  </si>
  <si>
    <t>0721 2681, 774102</t>
  </si>
  <si>
    <t>rajshahi@pubalibankbd.com</t>
  </si>
  <si>
    <t>175811632</t>
  </si>
  <si>
    <t>STATION ROAD, BOALIA, GHORAMARA, RAJSHAHI</t>
  </si>
  <si>
    <t>017 11426552</t>
  </si>
  <si>
    <t>rajnewmarket@pubalibankbd.com</t>
  </si>
  <si>
    <t>175812231</t>
  </si>
  <si>
    <t>SERICULTURE BRANCH</t>
  </si>
  <si>
    <t>SERICULTURE_BRANCH</t>
  </si>
  <si>
    <t>STATION ROAD, BISIC SILK FACTORY COMPOUND, GHORAMARA, RAJSHAHI</t>
  </si>
  <si>
    <t>0721 774957</t>
  </si>
  <si>
    <t>sericulture@pubalibankbd.com</t>
  </si>
  <si>
    <t>175840524</t>
  </si>
  <si>
    <t>RESERVE BAZAR, RANGAMATI</t>
  </si>
  <si>
    <t>0351 62223</t>
  </si>
  <si>
    <t>rangamati@pubalibankbd.com</t>
  </si>
  <si>
    <t>175851450</t>
  </si>
  <si>
    <t>STREET NO 1, CENTRAL ROAD, RANGPUR SADAR, RANGPUR</t>
  </si>
  <si>
    <t>0521 62246</t>
  </si>
  <si>
    <t>rangpur@pubalibankbd.com</t>
  </si>
  <si>
    <t>175851755</t>
  </si>
  <si>
    <t>SHAPLA CHATTAR BRANCH</t>
  </si>
  <si>
    <t>SHAPLA_CHATTAR_BRANCH</t>
  </si>
  <si>
    <t>SHAPLA CHATTAR, RANGPUR SADAR, RANGPUR</t>
  </si>
  <si>
    <t>0521 62572</t>
  </si>
  <si>
    <t>shaplachattar@pubalibankbd.com</t>
  </si>
  <si>
    <t>175851876</t>
  </si>
  <si>
    <t>BARNA SAJYA BHABAN, RANGPUR SADAR, RANGPUR</t>
  </si>
  <si>
    <t>0521 64894</t>
  </si>
  <si>
    <t>stationroad@pubalibankbd.com</t>
  </si>
  <si>
    <t>175871030</t>
  </si>
  <si>
    <t>GAFUR PLAZA, RAJENDRAPUR, PATKELGHATA, TALA, SATKHIRA</t>
  </si>
  <si>
    <t>019 87706849</t>
  </si>
  <si>
    <t>175871098</t>
  </si>
  <si>
    <t>BARA BAZAR ROAD, SATKHIRA SADAR, SATKHIRA</t>
  </si>
  <si>
    <t>0471 3493</t>
  </si>
  <si>
    <t>satkhira@pubalibankbd.com</t>
  </si>
  <si>
    <t>175860591</t>
  </si>
  <si>
    <t>NARIA, SHARIATPUR</t>
  </si>
  <si>
    <t>naria@pubalibankbd.com</t>
  </si>
  <si>
    <t>175860670</t>
  </si>
  <si>
    <t>SADAR ROAD, SHARIATPUR</t>
  </si>
  <si>
    <t>0601 55627</t>
  </si>
  <si>
    <t>shariatpur@pubalibankbd.com</t>
  </si>
  <si>
    <t>175890587</t>
  </si>
  <si>
    <t>ROAD NO 1, SAJBARKHILA, SHERPUR</t>
  </si>
  <si>
    <t>0931 371</t>
  </si>
  <si>
    <t>sherpur@pubalibankbd.com</t>
  </si>
  <si>
    <t>175881125</t>
  </si>
  <si>
    <t>KHAMARGRAM BRANCH</t>
  </si>
  <si>
    <t>KHAMARGRAM_BRANCH</t>
  </si>
  <si>
    <t>GOPALPUR BOTTOLA BAZAR, BETIL, SIRAJGANJ</t>
  </si>
  <si>
    <t>0751 73891</t>
  </si>
  <si>
    <t>khamargram@pubalibankbd.com</t>
  </si>
  <si>
    <t>175881875</t>
  </si>
  <si>
    <t>SS ROAD, SIRAJGANJ SADAR, SIRAJGANJ</t>
  </si>
  <si>
    <t>sirajgonj@pubalibankbd.com</t>
  </si>
  <si>
    <t>175882179</t>
  </si>
  <si>
    <t>CHAND SUPER MARKET, TARASH COLLEGE COMPOUND, TARASH, SIRAJGANJ</t>
  </si>
  <si>
    <t>0751 7528</t>
  </si>
  <si>
    <t>tarash@pubalibankbd.com</t>
  </si>
  <si>
    <t>175900222</t>
  </si>
  <si>
    <t>NOARAI, CHHATAK CEMENT FACTORY, SUNAMGANJ</t>
  </si>
  <si>
    <t>chhatak@pubalibankbd.com</t>
  </si>
  <si>
    <t>175900251</t>
  </si>
  <si>
    <t>DERAI BAZAR, SUNAMGANJ</t>
  </si>
  <si>
    <t>derai@pubalibankbd.com</t>
  </si>
  <si>
    <t>175900435</t>
  </si>
  <si>
    <t>NATUN BAZAR, GOINDAGANJ, SUNAMGANJ</t>
  </si>
  <si>
    <t>gobindagonj@pubalibankbd.com</t>
  </si>
  <si>
    <t>175900493</t>
  </si>
  <si>
    <t>BANIK SUPER MARKET, JAGANNATHPUR, SUNAMGANJ</t>
  </si>
  <si>
    <t>08727 88122</t>
  </si>
  <si>
    <t>jagannathpur@pubalibankbd.com</t>
  </si>
  <si>
    <t>175900527</t>
  </si>
  <si>
    <t>SACHNA BAZAR, SUNAMGANJ</t>
  </si>
  <si>
    <t>jamalgonj@pubalibankbd.com</t>
  </si>
  <si>
    <t>175900822</t>
  </si>
  <si>
    <t>PAGLA BAZAR, SUNAMGANJ</t>
  </si>
  <si>
    <t>paglabazar@pubalibankbd.com</t>
  </si>
  <si>
    <t>175900972</t>
  </si>
  <si>
    <t>RASULGANJ BRANCH</t>
  </si>
  <si>
    <t>RASULGANJ_BRANCH</t>
  </si>
  <si>
    <t>RASULGANJ, JAGANNATHPUR, SUNAMGANJ</t>
  </si>
  <si>
    <t>rasulgonj@pubalibankbd.com</t>
  </si>
  <si>
    <t>175901092</t>
  </si>
  <si>
    <t>SREERAMISHI BAZAR BRANCH</t>
  </si>
  <si>
    <t>SREERAMISHI_BAZAR_BRANCH</t>
  </si>
  <si>
    <t>SREERAMISHI, JAGANNATHPUR, SUNAMGANJ</t>
  </si>
  <si>
    <t>sreeramshi@pubalibankbd.com</t>
  </si>
  <si>
    <t>175901126</t>
  </si>
  <si>
    <t>PUBABDDH214</t>
  </si>
  <si>
    <t>STATION ROAD, SUNAMGANJ</t>
  </si>
  <si>
    <t>0871 55320</t>
  </si>
  <si>
    <t>sunamgonj@pubalibankbd.com</t>
  </si>
  <si>
    <t>175901247</t>
  </si>
  <si>
    <t>TAKERGHAT</t>
  </si>
  <si>
    <t>175910104</t>
  </si>
  <si>
    <t>ASHIRGANJ BRANCH</t>
  </si>
  <si>
    <t>ASHIRGANJ_BRANCH</t>
  </si>
  <si>
    <t>ASHIRGANJ BAZAR,  BEANIBAZAR, SYLHET</t>
  </si>
  <si>
    <t>017 11415993</t>
  </si>
  <si>
    <t>asirgonj@pubalibankbd.com</t>
  </si>
  <si>
    <t>175910162</t>
  </si>
  <si>
    <t>BAZAR ROAD, BALAGANJ, SYLHET</t>
  </si>
  <si>
    <t>08222 89045</t>
  </si>
  <si>
    <t>balagonj@pubalibankbd.com</t>
  </si>
  <si>
    <t>175910191</t>
  </si>
  <si>
    <t>HOLDING NO 2056, WARD 14, LALDIGHIR PAR, KOTWALI, SYLHET</t>
  </si>
  <si>
    <t>0821 714632</t>
  </si>
  <si>
    <t>175910283</t>
  </si>
  <si>
    <t>BARAIGRAM BAZAR BRANCH</t>
  </si>
  <si>
    <t>BARAIGRAM_BAZAR_BRANCH</t>
  </si>
  <si>
    <t>BEANI BAZAR, SYLHET</t>
  </si>
  <si>
    <t>baroigram@pubalibankbd.com</t>
  </si>
  <si>
    <t>175910254</t>
  </si>
  <si>
    <t>BARAIKANDI BRANCH</t>
  </si>
  <si>
    <t>BARAIKANDI_BRANCH</t>
  </si>
  <si>
    <t>MOULVIBAZAR ROAD, SOUTH SURMA, SYLHET</t>
  </si>
  <si>
    <t>0821 716105</t>
  </si>
  <si>
    <t>baraikandi@pubalibankbd.com</t>
  </si>
  <si>
    <t>175910317</t>
  </si>
  <si>
    <t>MAIN ROAD, BEANI BAZAR, SYLHET</t>
  </si>
  <si>
    <t>08223 88181</t>
  </si>
  <si>
    <t>bbazar@pubalibankbd.com</t>
  </si>
  <si>
    <t>175910438</t>
  </si>
  <si>
    <t>BISHWANATH BAZAR, BISHWANATH, SYLHET</t>
  </si>
  <si>
    <t>08224 88090</t>
  </si>
  <si>
    <t>biswanath@pubalibankbd.com</t>
  </si>
  <si>
    <t>175910559</t>
  </si>
  <si>
    <t>BUDHBARI BRANCH</t>
  </si>
  <si>
    <t>BUDHBARI_BRANCH</t>
  </si>
  <si>
    <t>KALIJURI, BUDHBARI BAZAR, GOLAPGONJ, SYLHET</t>
  </si>
  <si>
    <t>08227 85213</t>
  </si>
  <si>
    <t>budhbari@pubalibankbd.com</t>
  </si>
  <si>
    <t>175910670</t>
  </si>
  <si>
    <t>CHANDARPUR BAZAR BRANCH</t>
  </si>
  <si>
    <t>CHANDARPUR_BAZAR_BRANCH</t>
  </si>
  <si>
    <t>CHANDARPUR, SYLHET</t>
  </si>
  <si>
    <t>chandarpur@pubalibankbd.com</t>
  </si>
  <si>
    <t>175910825</t>
  </si>
  <si>
    <t>TURUKKHOLA, RENGA DAUDPUR, SOUTH SURMA, SYLHET</t>
  </si>
  <si>
    <t>chowbazar@pubalibankbd.com</t>
  </si>
  <si>
    <t>175910883</t>
  </si>
  <si>
    <t>CHOWKIDEKHI BRANCH</t>
  </si>
  <si>
    <t>CHOWKIDEKHI_BRANCH</t>
  </si>
  <si>
    <t>AIRPORT ROAD, SYLHET SADAR, SYLHET</t>
  </si>
  <si>
    <t>0821 721498</t>
  </si>
  <si>
    <t>chowkidekhi@pubalibankbd.com</t>
  </si>
  <si>
    <t>175911037</t>
  </si>
  <si>
    <t>DARGA GATE BRANCH</t>
  </si>
  <si>
    <t>DARGA_GATE_BRANCH</t>
  </si>
  <si>
    <t>PUBABDDH218</t>
  </si>
  <si>
    <t>DARGA GATE, AMBARKHANA, SYLHET</t>
  </si>
  <si>
    <t>0821 714208, 710649</t>
  </si>
  <si>
    <t>dargagate@pubalibankbd.com</t>
  </si>
  <si>
    <t>175911158</t>
  </si>
  <si>
    <t>DASPAIKA BAZAR BRANCH</t>
  </si>
  <si>
    <t>DASPAIKA_BAZAR_BRANCH</t>
  </si>
  <si>
    <t>DASPAIKA BAZAR, DAULATPUR, SYLHET</t>
  </si>
  <si>
    <t>daspaika@pubalibankbd.com</t>
  </si>
  <si>
    <t>175911303</t>
  </si>
  <si>
    <t>S A COMPLEX, U P ROAD, DHAKADAKSHIN BAZAR, GOLAPGANJ, SYLHET</t>
  </si>
  <si>
    <t>019 37404330</t>
  </si>
  <si>
    <t>dhkdakshin@pubalibankbd.com</t>
  </si>
  <si>
    <t>175911008</t>
  </si>
  <si>
    <t>DORBOST BRANCH</t>
  </si>
  <si>
    <t>DORBOST_BRANCH</t>
  </si>
  <si>
    <t>DORBOST, JAINTAPUR, SYLHET</t>
  </si>
  <si>
    <t>darbost@pubalibankbd.com</t>
  </si>
  <si>
    <t>175911361</t>
  </si>
  <si>
    <t>FENCHUGANJ BAZAR ROAD, FENCHUGANJ, SYLHET</t>
  </si>
  <si>
    <t>08226 88029</t>
  </si>
  <si>
    <t>fenchugonj@pubalibankbd.com</t>
  </si>
  <si>
    <t>175911516</t>
  </si>
  <si>
    <t>GACHHBARI BRANCH</t>
  </si>
  <si>
    <t>GACHHBARI_BRANCH</t>
  </si>
  <si>
    <t>GACHHBARI BAZAR, KANAIGHAT, SYLHET</t>
  </si>
  <si>
    <t>gachhbari@pubalibankbd.com</t>
  </si>
  <si>
    <t>175911545</t>
  </si>
  <si>
    <t>DHAKA-SYLHET ROAD, GOALABAZAR, SYLHET</t>
  </si>
  <si>
    <t>08222 87025</t>
  </si>
  <si>
    <t>goalabazar@pubalibankbd.com</t>
  </si>
  <si>
    <t>175911608</t>
  </si>
  <si>
    <t>ZAKIGANJ ROAD, GOLAPGANJ, SYLHET</t>
  </si>
  <si>
    <t>08227 88208</t>
  </si>
  <si>
    <t>golapgonj@pubalibankbd.com</t>
  </si>
  <si>
    <t>175911666</t>
  </si>
  <si>
    <t>gowainghat@pubalibankbd.com</t>
  </si>
  <si>
    <t>175911758</t>
  </si>
  <si>
    <t>HETIMGANJ BRANCH</t>
  </si>
  <si>
    <t>HETIMGANJ_BRANCH</t>
  </si>
  <si>
    <t>HAJI QUAIM SHOPPING COMPLEX, FULBARI, GOLAPGANJ, SYLHET</t>
  </si>
  <si>
    <t>019 26996305</t>
  </si>
  <si>
    <t>hetimgonj@pubalibankbd.com</t>
  </si>
  <si>
    <t>175911866</t>
  </si>
  <si>
    <t>JALALPUR BRANCH</t>
  </si>
  <si>
    <t>JALALPUR_BRANCH</t>
  </si>
  <si>
    <t>186</t>
  </si>
  <si>
    <t>JALALPUR, SOUTH SURMA, SYLHET</t>
  </si>
  <si>
    <t>019 37404331</t>
  </si>
  <si>
    <t>jalalpur@pubalibankbd.com</t>
  </si>
  <si>
    <t>175911903</t>
  </si>
  <si>
    <t>MUKTIJODDHA CHATTAR, KADAMTALI POINT, SYLHET 3100</t>
  </si>
  <si>
    <t>0821 713107</t>
  </si>
  <si>
    <t>175911990</t>
  </si>
  <si>
    <t>KALIGANJ BAZAR, ICHHAMOTI, ZAKIGANJ, SYLHET</t>
  </si>
  <si>
    <t>019 11353278</t>
  </si>
  <si>
    <t>kaligonjsyl@pubalibankbd.com</t>
  </si>
  <si>
    <t>175912023</t>
  </si>
  <si>
    <t>KALIGHAT BRANCH</t>
  </si>
  <si>
    <t>KALIGHAT_BRANCH</t>
  </si>
  <si>
    <t>KALIGHAT ROAD, SYLHET SADAR, SYLHET</t>
  </si>
  <si>
    <t>0821 714660</t>
  </si>
  <si>
    <t>kalighat@pubalibankbd.com</t>
  </si>
  <si>
    <t>175912081</t>
  </si>
  <si>
    <t>ALFAT MANSION, UTTAR BAZAR, KANAIGHAT, SYLHET</t>
  </si>
  <si>
    <t>019 17704729</t>
  </si>
  <si>
    <t>kanaighat@pubalibankbd.com</t>
  </si>
  <si>
    <t>175912478</t>
  </si>
  <si>
    <t>LALABAZAR, SYLHET</t>
  </si>
  <si>
    <t>019 12706710</t>
  </si>
  <si>
    <t>lalabazar@pubalibankbd.com</t>
  </si>
  <si>
    <t>175912623</t>
  </si>
  <si>
    <t>FATHEPUR, MIRGANJ BAZAR, GOLAPGANJ, SYLHET 3162</t>
  </si>
  <si>
    <t>mirgonj@pubalibankbd.com</t>
  </si>
  <si>
    <t>175912744</t>
  </si>
  <si>
    <t>MOHILA COLLEGE BRANCH</t>
  </si>
  <si>
    <t>MOHILA_COLLEGE_BRANCH</t>
  </si>
  <si>
    <t>ZINDABAZAR ROAD, SYLHET SADAR, SYLHET</t>
  </si>
  <si>
    <t>0821 718554</t>
  </si>
  <si>
    <t>mcollege@pubalibankbd.com</t>
  </si>
  <si>
    <t>175912773</t>
  </si>
  <si>
    <t>MUKAAM BAZAR BRANCH</t>
  </si>
  <si>
    <t>MUKAAM_BAZAR_BRANCH</t>
  </si>
  <si>
    <t>DAKSHINBAGH, MUKAAM BAZAR, BHADESWAR, GOLAPGANJ, SYLHET</t>
  </si>
  <si>
    <t>0821 719899</t>
  </si>
  <si>
    <t>mokambazar@pubalibankbd.com</t>
  </si>
  <si>
    <t>175912865</t>
  </si>
  <si>
    <t>PATHANTULA BRANCH</t>
  </si>
  <si>
    <t>PATHANTULA_BRANCH</t>
  </si>
  <si>
    <t>PATHANTULA, SYLHET SADAR, SYLHET</t>
  </si>
  <si>
    <t>0821 716575</t>
  </si>
  <si>
    <t>pathantula@pubalibankbd.com</t>
  </si>
  <si>
    <t>175913219</t>
  </si>
  <si>
    <t>SHAHGALI BAZAR BRANCH</t>
  </si>
  <si>
    <t>SHAHGALI_BAZAR_BRANCH</t>
  </si>
  <si>
    <t>321</t>
  </si>
  <si>
    <t>BARHAL, ZAKIGANJ, SYLHET</t>
  </si>
  <si>
    <t>019 37404329</t>
  </si>
  <si>
    <t>shahgali@pubalibankbd.com</t>
  </si>
  <si>
    <t>175913222</t>
  </si>
  <si>
    <t>SHAHI EIDGAH BRANCH</t>
  </si>
  <si>
    <t>SHAHI_EIDGAH_BRANCH</t>
  </si>
  <si>
    <t>SHAHI EIDGAH ROAD, SYLHET SADAR, SYLHET</t>
  </si>
  <si>
    <t>0821 718299</t>
  </si>
  <si>
    <t>shahieidgah@pubalibankbd.com</t>
  </si>
  <si>
    <t>175913251</t>
  </si>
  <si>
    <t>SHAHJALAL UPASHAHAR ROAD, SYLHET SADAR, SYLHET</t>
  </si>
  <si>
    <t>0821 710921</t>
  </si>
  <si>
    <t>shahjalalup@pubalibankbd.com</t>
  </si>
  <si>
    <t>175913130</t>
  </si>
  <si>
    <t>SHAHPARAN GATE BRANCH</t>
  </si>
  <si>
    <t>SHAHPARAN_GATE_BRANCH</t>
  </si>
  <si>
    <t>SHAH PARAN GATE, AMBERKHANA, SYLHET</t>
  </si>
  <si>
    <t>017 15643607</t>
  </si>
  <si>
    <t>shahporan@pubalibankbd.com</t>
  </si>
  <si>
    <t>175913435</t>
  </si>
  <si>
    <t>SINGERKACH BRANCH</t>
  </si>
  <si>
    <t>SINGERKACH_BRANCH</t>
  </si>
  <si>
    <t>MAJGAON, SINGERKACH BAZAR, BISWANATH, SYLHET</t>
  </si>
  <si>
    <t>singerkatch@pubalibankbd.com</t>
  </si>
  <si>
    <t>175913701</t>
  </si>
  <si>
    <t>STADIUM BRANCH</t>
  </si>
  <si>
    <t>STADIUM_BRANCH</t>
  </si>
  <si>
    <t>SOUTH DARGAH ROAD, DARGAH MAHALLA, SYLHET</t>
  </si>
  <si>
    <t>0821 717301, 017 11401302</t>
  </si>
  <si>
    <t>stdsylhet@pubalibankbd.com</t>
  </si>
  <si>
    <t>175913798</t>
  </si>
  <si>
    <t>PUBABDDH208</t>
  </si>
  <si>
    <t>BANDAR BAZAR, SYLHET</t>
  </si>
  <si>
    <t>0821 714029</t>
  </si>
  <si>
    <t>sylhet@pubalibankbd.com</t>
  </si>
  <si>
    <t>175913822</t>
  </si>
  <si>
    <t>TAJPUR KADAMTALI, OSMANINAGAR, SYLHET 3123</t>
  </si>
  <si>
    <t>08222 88051</t>
  </si>
  <si>
    <t>tajpur@pubalibankbd.com</t>
  </si>
  <si>
    <t>175913880</t>
  </si>
  <si>
    <t>TECHNICAL ROAD BRANCH</t>
  </si>
  <si>
    <t>TECHNICAL_ROAD_BRANCH</t>
  </si>
  <si>
    <t>TECHNICAL ROAD, SYLHET SADAR, SYLHET</t>
  </si>
  <si>
    <t>0821 716361</t>
  </si>
  <si>
    <t>technical@pubalibankbd.com</t>
  </si>
  <si>
    <t>175910083</t>
  </si>
  <si>
    <t>TUKER BAZAR BRANCH</t>
  </si>
  <si>
    <t>TUKER_BAZAR_BRANCH</t>
  </si>
  <si>
    <t>KUMARGAON, TUKER BAZAR, SYLHET</t>
  </si>
  <si>
    <t>019 87706870</t>
  </si>
  <si>
    <t>175914126</t>
  </si>
  <si>
    <t>DAK BANGLA ROAD, ZAKIGANJ, SYLHET</t>
  </si>
  <si>
    <t>0821 713843-5</t>
  </si>
  <si>
    <t>zakigonj@pubalibankbd.com</t>
  </si>
  <si>
    <t>175930076</t>
  </si>
  <si>
    <t>AKUR TAKUR BRANCH</t>
  </si>
  <si>
    <t>AKUR_TAKUR_BRANCH</t>
  </si>
  <si>
    <t>ZILLA SADAR ROAD, TANGAIL</t>
  </si>
  <si>
    <t>0921 53209</t>
  </si>
  <si>
    <t>akurtakur@pubalibankbd.com</t>
  </si>
  <si>
    <t>175930050</t>
  </si>
  <si>
    <t>BHAIGHAT BAZAR BRANCH</t>
  </si>
  <si>
    <t>BHAIGHAT_BAZAR_BRANCH</t>
  </si>
  <si>
    <t>DHOPAKHALI, DHANBARI, TANGAIL</t>
  </si>
  <si>
    <t>019 17704869</t>
  </si>
  <si>
    <t>175931004</t>
  </si>
  <si>
    <t>KONABARI BAZAR ROAD, GOPALPUR, TANGAIL</t>
  </si>
  <si>
    <t>0921 53074</t>
  </si>
  <si>
    <t>gopalpur@pubalibankbd.com</t>
  </si>
  <si>
    <t>175931367</t>
  </si>
  <si>
    <t>KARATIA, TANGAIL SADAR, TANGAIL</t>
  </si>
  <si>
    <t>karatia@pubalibankbd.com</t>
  </si>
  <si>
    <t>175931909</t>
  </si>
  <si>
    <t>PAKUTIA BRANCH</t>
  </si>
  <si>
    <t>PAKUTIA_BRANCH</t>
  </si>
  <si>
    <t>PAKUTIA, TANGAIL</t>
  </si>
  <si>
    <t>pakutia@pubalibankbd.com</t>
  </si>
  <si>
    <t>175931967</t>
  </si>
  <si>
    <t>PATHRAIL BAZAR BRANCH</t>
  </si>
  <si>
    <t>PATHRAIL_BAZAR_BRANCH</t>
  </si>
  <si>
    <t>PATHRAIL BAZAR, DELDUAR, TANGAIL</t>
  </si>
  <si>
    <t>pathrail@pubalibankbd.com</t>
  </si>
  <si>
    <t>175932353</t>
  </si>
  <si>
    <t>MASJID ROAD, TANGAIL SADAR, TANGAIL</t>
  </si>
  <si>
    <t>0921 53109</t>
  </si>
  <si>
    <t>tangail@pubalibankbd.com</t>
  </si>
  <si>
    <t>175932445</t>
  </si>
  <si>
    <t>ZILLA SARAK BRANCH</t>
  </si>
  <si>
    <t>ZILLA_SARAK_BRANCH</t>
  </si>
  <si>
    <t>REGISTRY PARA, TANGAIL SADAR, TANGAIL</t>
  </si>
  <si>
    <t>0921 53297</t>
  </si>
  <si>
    <t>zstangail@pubalibankbd.com</t>
  </si>
  <si>
    <t>175940974</t>
  </si>
  <si>
    <t>BANGABANDHU SARAK, THAKURGAON SADAR, THAKURGAON</t>
  </si>
  <si>
    <t>0561 52065</t>
  </si>
  <si>
    <t>thakurgaon@pubalibankbd.com</t>
  </si>
  <si>
    <t>175941007</t>
  </si>
  <si>
    <t>THAKURGAON ROAD BRANCH</t>
  </si>
  <si>
    <t>THAKURGAON_ROAD_BRANCH</t>
  </si>
  <si>
    <t>THAKURGAON ROAD, THAKURGAON</t>
  </si>
  <si>
    <t>0561 53617</t>
  </si>
  <si>
    <t>thakurgaonrd@pubalibankbd.com</t>
  </si>
  <si>
    <t>RAJSHAHI_KRISHI_UNNAYAN_BANK</t>
  </si>
  <si>
    <t>180</t>
  </si>
  <si>
    <t>RAJSHAHI KRISHI UNNAYAN BANK</t>
  </si>
  <si>
    <t>180100046</t>
  </si>
  <si>
    <t>ADAMDIGHI, BOGRA</t>
  </si>
  <si>
    <t>0741 69223</t>
  </si>
  <si>
    <t>180100075</t>
  </si>
  <si>
    <t>ALIARHAT BRANCH</t>
  </si>
  <si>
    <t>ALIARHAT_BRANCH</t>
  </si>
  <si>
    <t>ALIARHAT, SHIBGANJ, BOGRA</t>
  </si>
  <si>
    <t>180100259</t>
  </si>
  <si>
    <t>BARAIHAT BRANCH</t>
  </si>
  <si>
    <t>BARAIHAT_BRANCH</t>
  </si>
  <si>
    <t>BARAIHAT, SHIBGANJ, BOGRA</t>
  </si>
  <si>
    <t>180100288</t>
  </si>
  <si>
    <t>BHATRA, NANDIGRAM, BOGRA</t>
  </si>
  <si>
    <t>180103193</t>
  </si>
  <si>
    <t>BHELABARI JORGACHA BRANCH</t>
  </si>
  <si>
    <t>BHELABARI_JORGACHA_BRANCH</t>
  </si>
  <si>
    <t>BHELABARI JORGACHA, SHARIAKANDI, BOGRA</t>
  </si>
  <si>
    <t>180100341</t>
  </si>
  <si>
    <t>BIJRUL BRANCH</t>
  </si>
  <si>
    <t>BIJRUL_BRANCH</t>
  </si>
  <si>
    <t>BIJRUL, NANDIGRAM, BOGRA</t>
  </si>
  <si>
    <t>180100370</t>
  </si>
  <si>
    <t>SARIFUDDIN SUPER MARKET, BOGRA SADAR, BOGRA</t>
  </si>
  <si>
    <t>051 66287</t>
  </si>
  <si>
    <t>180100617</t>
  </si>
  <si>
    <t>CHAMPAPUR BRANCH</t>
  </si>
  <si>
    <t>CHAMPAPUR_BRANCH</t>
  </si>
  <si>
    <t>CHAMPAPUR, ADAMDIGHI, BOGRA</t>
  </si>
  <si>
    <t>180101816</t>
  </si>
  <si>
    <t>DARIDAH MAIDANHATA BRANCH</t>
  </si>
  <si>
    <t>DARIDAH_MAIDANHATA_BRANCH</t>
  </si>
  <si>
    <t>DARIDAH, SHIBGANJ, BOGRA</t>
  </si>
  <si>
    <t>180100888</t>
  </si>
  <si>
    <t>DHUNAT, BOGRA</t>
  </si>
  <si>
    <t>180100859</t>
  </si>
  <si>
    <t>DHUNDAR BRANCH</t>
  </si>
  <si>
    <t>DHUNDAR_BRANCH</t>
  </si>
  <si>
    <t>DHUNDAR, NANDIGRAM, BOGRA</t>
  </si>
  <si>
    <t>05023 56106</t>
  </si>
  <si>
    <t>180100912</t>
  </si>
  <si>
    <t>DHUPCHANCHIA BRANCH</t>
  </si>
  <si>
    <t>DHUPCHANCHIA_BRANCH</t>
  </si>
  <si>
    <t>DHUPCHANCHIA, BOGRA</t>
  </si>
  <si>
    <t>05024 88085</t>
  </si>
  <si>
    <t>180100941</t>
  </si>
  <si>
    <t>DURGAHATA BRANCH</t>
  </si>
  <si>
    <t>DURGAHATA_BRANCH</t>
  </si>
  <si>
    <t>DURGAHATA, GABTALI, BOGRA</t>
  </si>
  <si>
    <t>180101032</t>
  </si>
  <si>
    <t>GABTALI, BOGRA</t>
  </si>
  <si>
    <t>05025 75007</t>
  </si>
  <si>
    <t>180101458</t>
  </si>
  <si>
    <t>JAMGRAMHAT BRANCH</t>
  </si>
  <si>
    <t>JAMGRAMHAT_BRANCH</t>
  </si>
  <si>
    <t>JAMGRAMHAT, KAHALU, BOGRA</t>
  </si>
  <si>
    <t>180101511</t>
  </si>
  <si>
    <t>JORGACHHA BRANCH</t>
  </si>
  <si>
    <t>JORGACHHA_BRANCH</t>
  </si>
  <si>
    <t>JORGACHHA, SONATOLA, BOGRA</t>
  </si>
  <si>
    <t>180101540</t>
  </si>
  <si>
    <t>KAHALU BRANCH</t>
  </si>
  <si>
    <t>KAHALU_BRANCH</t>
  </si>
  <si>
    <t>KAHALU, BOGRA</t>
  </si>
  <si>
    <t>05026 56009</t>
  </si>
  <si>
    <t>180101724</t>
  </si>
  <si>
    <t>LANGLUHAT BRANCH</t>
  </si>
  <si>
    <t>LANGLUHAT_BRANCH</t>
  </si>
  <si>
    <t>LANGLUHAT, GABTALI, BOGRA</t>
  </si>
  <si>
    <t>180101874</t>
  </si>
  <si>
    <t>MATHURAPUR, PIRHATTI, DHUNAT, BOGRA</t>
  </si>
  <si>
    <t>180102028</t>
  </si>
  <si>
    <t>NANDIGRAM, BOGRA</t>
  </si>
  <si>
    <t>05027 76063</t>
  </si>
  <si>
    <t>180102057</t>
  </si>
  <si>
    <t>NARHATTA BRANCH</t>
  </si>
  <si>
    <t>NARHATTA_BRANCH</t>
  </si>
  <si>
    <t>NARHATTA, KAHALU, BOGRA</t>
  </si>
  <si>
    <t>180102149</t>
  </si>
  <si>
    <t>PALLIMANGALHAT BRANCH</t>
  </si>
  <si>
    <t>PALLIMANGALHAT_BRANCH</t>
  </si>
  <si>
    <t>PALLIMANGALHAT, BOGRA SADAR, BOGRA</t>
  </si>
  <si>
    <t>180102231</t>
  </si>
  <si>
    <t>RAHBAL BRANCH</t>
  </si>
  <si>
    <t>RAHBAL_BRANCH</t>
  </si>
  <si>
    <t>DEULI, SHIBGANJ, BOGRA</t>
  </si>
  <si>
    <t>180102299</t>
  </si>
  <si>
    <t>RAMESHWARPUR BRANCH</t>
  </si>
  <si>
    <t>RAMESHWARPUR_BRANCH</t>
  </si>
  <si>
    <t>RAMESHWARPUR, GABTALI, BOGRA</t>
  </si>
  <si>
    <t>180102260</t>
  </si>
  <si>
    <t>RAZABAZAR BRANCH</t>
  </si>
  <si>
    <t>RAZABAZAR_BRANCH</t>
  </si>
  <si>
    <t>RAZABAZAR, BOGRA SADAR, BOGRA</t>
  </si>
  <si>
    <t>051 64183</t>
  </si>
  <si>
    <t>180102415</t>
  </si>
  <si>
    <t>SANTAHAR, ADAMDIGHI, BOGRA</t>
  </si>
  <si>
    <t>0741 69442</t>
  </si>
  <si>
    <t>180102473</t>
  </si>
  <si>
    <t>SARIAKANDI BRANCH</t>
  </si>
  <si>
    <t>SARIAKANDI_BRANCH</t>
  </si>
  <si>
    <t>SARIAKANDI, BOGRA</t>
  </si>
  <si>
    <t>180102536</t>
  </si>
  <si>
    <t>SEHALIHAT BRANCH</t>
  </si>
  <si>
    <t>SEHALIHAT_BRANCH</t>
  </si>
  <si>
    <t>SEHALIHAT, SHIBGANJ, BOGRA</t>
  </si>
  <si>
    <t>180102707</t>
  </si>
  <si>
    <t>SHAHJAHANPUR BRANCH</t>
  </si>
  <si>
    <t>SHAHJAHANPUR_BRANCH</t>
  </si>
  <si>
    <t>270</t>
  </si>
  <si>
    <t>MAJHIRA, SHAJAHANPUR, BOGRA</t>
  </si>
  <si>
    <t>180102710</t>
  </si>
  <si>
    <t>SHAHNAGAR BRANCH</t>
  </si>
  <si>
    <t>SHAHNAGAR_BRANCH</t>
  </si>
  <si>
    <t>KAMARPARA, BOGRA SADAR, BOGRA</t>
  </si>
  <si>
    <t>180102565</t>
  </si>
  <si>
    <t>SHEKHAHAR BRANCH</t>
  </si>
  <si>
    <t>SHEKHAHAR_BRANCH</t>
  </si>
  <si>
    <t>SHEKHAHAR, KAHALU, BOGRA</t>
  </si>
  <si>
    <t>180102749</t>
  </si>
  <si>
    <t>SHERPUR, BOGRA</t>
  </si>
  <si>
    <t>180102802</t>
  </si>
  <si>
    <t>SHIBGANJ, BOGRA</t>
  </si>
  <si>
    <t>05033 69014</t>
  </si>
  <si>
    <t>180102923</t>
  </si>
  <si>
    <t>SONAHATABAZAR BRANCH</t>
  </si>
  <si>
    <t>SONAHATABAZAR_BRANCH</t>
  </si>
  <si>
    <t>SONAHATABAZAR,	NIMGACHI, DHUNAT, BOGRA</t>
  </si>
  <si>
    <t>180102981</t>
  </si>
  <si>
    <t>SONATOLA, BOGRA</t>
  </si>
  <si>
    <t>05062 79005</t>
  </si>
  <si>
    <t>CHAPAINAWABGANJ</t>
  </si>
  <si>
    <t>180700046</t>
  </si>
  <si>
    <t>AMNURA, CHAPAINAWABGANJ SADAR, CHAPAINAWABGANJ</t>
  </si>
  <si>
    <t>180700075</t>
  </si>
  <si>
    <t>ANUPNAGAR BRANCH</t>
  </si>
  <si>
    <t>ANUPNAGAR_BRANCH</t>
  </si>
  <si>
    <t>ANUPNAGAR, BASUDEVPUR, CHAPAINAWABGANJ</t>
  </si>
  <si>
    <t>180700167</t>
  </si>
  <si>
    <t>BHOLAHAT BRANCH</t>
  </si>
  <si>
    <t>BHOLAHAT_BRANCH</t>
  </si>
  <si>
    <t>BHOLAHAT, CHAPAINAWABGANJ</t>
  </si>
  <si>
    <t>07822 5610</t>
  </si>
  <si>
    <t>180700220</t>
  </si>
  <si>
    <t>CHAITANNAPUR BRANCH</t>
  </si>
  <si>
    <t>CHAITANNAPUR_BRANCH</t>
  </si>
  <si>
    <t>CHAITANNAPUR, DHAINNAGAR, SHIBGANJ, CHAPAINAWABGANJ</t>
  </si>
  <si>
    <t>180700259</t>
  </si>
  <si>
    <t>CHAPAINAWABGANJ SADAR, CHAPAINAWABGANJ</t>
  </si>
  <si>
    <t>0781 52361</t>
  </si>
  <si>
    <t>180700312</t>
  </si>
  <si>
    <t>CHHATRAJITPUR BRANCH</t>
  </si>
  <si>
    <t>CHHATRAJITPUR_BRANCH</t>
  </si>
  <si>
    <t>CHHATRAJITPUR, SHIBGANJ, CHAPAINAWABGANJ</t>
  </si>
  <si>
    <t>180700433</t>
  </si>
  <si>
    <t>GHORAPAKHIA BRANCH</t>
  </si>
  <si>
    <t>GHORAPAKHIA_BRANCH</t>
  </si>
  <si>
    <t>GHORAPAKHIA, KALINAGAR, SHIBGANJ, CHAPAINAWABGANJ</t>
  </si>
  <si>
    <t>180700462</t>
  </si>
  <si>
    <t>GOMOSTAPUR BRANCH</t>
  </si>
  <si>
    <t>GOMOSTAPUR_BRANCH</t>
  </si>
  <si>
    <t>GOMOSTAPUR, CHAPAINAWABGANJ</t>
  </si>
  <si>
    <t>180700491</t>
  </si>
  <si>
    <t>JAMBARIA BRANCH</t>
  </si>
  <si>
    <t>JAMBARIA_BRANCH</t>
  </si>
  <si>
    <t>JAMBARIA, BARAGACHIHAT, BHOLAHAT, CHAPAINAWABGANJ</t>
  </si>
  <si>
    <t>180700738</t>
  </si>
  <si>
    <t>NACHOL BRANCH</t>
  </si>
  <si>
    <t>NACHOL_BRANCH</t>
  </si>
  <si>
    <t>NACHOL, CHAPAINAWABGANJ</t>
  </si>
  <si>
    <t>07824 56012</t>
  </si>
  <si>
    <t>180700796</t>
  </si>
  <si>
    <t>NEJAMPUR BRANCH</t>
  </si>
  <si>
    <t>NEJAMPUR_BRANCH</t>
  </si>
  <si>
    <t>NEJAMPUR, HATBAKAIL, NACHOL, CHAPAINAWABGANJ</t>
  </si>
  <si>
    <t>180700888</t>
  </si>
  <si>
    <t>RAHANPUR BRANCH</t>
  </si>
  <si>
    <t>RAHANPUR_BRANCH</t>
  </si>
  <si>
    <t>RAHANPUR, GOMOSTAPUR, CHAPAINAWABGANJ</t>
  </si>
  <si>
    <t>07823 74044</t>
  </si>
  <si>
    <t>180700941</t>
  </si>
  <si>
    <t>SHIBGANJ, CHAPAINAWABGANJ</t>
  </si>
  <si>
    <t>07825 75019</t>
  </si>
  <si>
    <t>180700970</t>
  </si>
  <si>
    <t>KANSHAT, SHIBGANJ, CHAPAINAWABGANJ</t>
  </si>
  <si>
    <t>180701003</t>
  </si>
  <si>
    <t>SONAICHANDIHAT BRANCH</t>
  </si>
  <si>
    <t>SONAICHANDIHAT_BRANCH</t>
  </si>
  <si>
    <t>SONAICHANDIHAT, NACHOL, CHAPAINAWABGANJ</t>
  </si>
  <si>
    <t>180701032</t>
  </si>
  <si>
    <t>SONA MASJID BRANCH</t>
  </si>
  <si>
    <t>SONA_MASJID_BRANCH</t>
  </si>
  <si>
    <t>AZMATPUR, SHIBGANJ, CHAPAINAWABGANJ</t>
  </si>
  <si>
    <t>180271517</t>
  </si>
  <si>
    <t>180270000</t>
  </si>
  <si>
    <t>180280087</t>
  </si>
  <si>
    <t>ATPUKARHAT BRANCH</t>
  </si>
  <si>
    <t>ATPUKARHAT_BRANCH</t>
  </si>
  <si>
    <t>ATPUKARHAT, DINAJPUR</t>
  </si>
  <si>
    <t>180280137</t>
  </si>
  <si>
    <t>BARAIHAT, KHAZAPUR, FULBARI, DINAJPUR</t>
  </si>
  <si>
    <t>180280229</t>
  </si>
  <si>
    <t>BHADURIA BRANCH</t>
  </si>
  <si>
    <t>BHADURIA_BRANCH</t>
  </si>
  <si>
    <t>BHADURIA, NAWABGANJ, DINAJPUR</t>
  </si>
  <si>
    <t>180280340</t>
  </si>
  <si>
    <t>BIRAMPUR, DINAJPUR</t>
  </si>
  <si>
    <t>180280379</t>
  </si>
  <si>
    <t>BIRGANJ BRANCH</t>
  </si>
  <si>
    <t>BIRGANJ_BRANCH</t>
  </si>
  <si>
    <t>BIRGANJ, DINAJPUR</t>
  </si>
  <si>
    <t>05323 72211</t>
  </si>
  <si>
    <t>180280403</t>
  </si>
  <si>
    <t>BIROL BRANCH</t>
  </si>
  <si>
    <t>BIROL_BRANCH</t>
  </si>
  <si>
    <t>BIROL, DINAJPUR</t>
  </si>
  <si>
    <t>05325 56006</t>
  </si>
  <si>
    <t>180280432</t>
  </si>
  <si>
    <t>BOARDHAT BRANCH</t>
  </si>
  <si>
    <t>BOARDHAT_BRANCH</t>
  </si>
  <si>
    <t>BOARDHAT, BIROL, DINAJPUR</t>
  </si>
  <si>
    <t>180280461</t>
  </si>
  <si>
    <t>BULIABAZAR BRANCH</t>
  </si>
  <si>
    <t>BULIABAZAR_BRANCH</t>
  </si>
  <si>
    <t>BOGDERHAT, KAHAROLE, DINAJPUR</t>
  </si>
  <si>
    <t>180280524</t>
  </si>
  <si>
    <t>CHIRIRBANDAR BRANCH</t>
  </si>
  <si>
    <t>CHIRIRBANDAR_BRANCH</t>
  </si>
  <si>
    <t>CHIRIRBANDAR, DINAJPUR</t>
  </si>
  <si>
    <t>180280582</t>
  </si>
  <si>
    <t>DANGAPARA BRANCH</t>
  </si>
  <si>
    <t>DANGAPARA_BRANCH</t>
  </si>
  <si>
    <t>DANGAPARA, HAKIMPUR, DINAJPUR</t>
  </si>
  <si>
    <t>180280645</t>
  </si>
  <si>
    <t>DHUKURJHARIHAT BRANCH</t>
  </si>
  <si>
    <t>DHUKURJHARIHAT_BRANCH</t>
  </si>
  <si>
    <t>DHUKURJHARIHAT, BAZNAHAR, BIROL, DINAJPUR</t>
  </si>
  <si>
    <t>180281244</t>
  </si>
  <si>
    <t>MALDAHAPATTI, DINAJPUR SADAR, DINAJPUR</t>
  </si>
  <si>
    <t>0531 63202</t>
  </si>
  <si>
    <t>180280766</t>
  </si>
  <si>
    <t>DUGDUGIRHAT BRANCH</t>
  </si>
  <si>
    <t>DUGDUGIRHAT_BRANCH</t>
  </si>
  <si>
    <t>DUGDUGIRHAT, GOPALPUR, GHORAGHAT, DINAJPUR</t>
  </si>
  <si>
    <t>180281873</t>
  </si>
  <si>
    <t>05327 56232</t>
  </si>
  <si>
    <t>180280829</t>
  </si>
  <si>
    <t>GHORAGHAT BRANCH</t>
  </si>
  <si>
    <t>GHORAGHAT_BRANCH</t>
  </si>
  <si>
    <t>HATSAMGANJ, GHORAGHAT, DINAJPUR</t>
  </si>
  <si>
    <t>180280858</t>
  </si>
  <si>
    <t>GODAGARIHAT BRANCH</t>
  </si>
  <si>
    <t>GODAGARIHAT_BRANCH</t>
  </si>
  <si>
    <t>GODAGARIHAT, UTHRAIL, DINAJPUR</t>
  </si>
  <si>
    <t>180280911</t>
  </si>
  <si>
    <t>HAKIMPUR, BANGLAHILI, PARBATIPUR, DINAJPUR</t>
  </si>
  <si>
    <t>05329 75007</t>
  </si>
  <si>
    <t>180280940</t>
  </si>
  <si>
    <t>HAMIDPUR, BAROPUKURIA, FULBARI, DINAJPUR</t>
  </si>
  <si>
    <t>180281099</t>
  </si>
  <si>
    <t>KAHAROLE BRANCH</t>
  </si>
  <si>
    <t>KAHAROLE_BRANCH</t>
  </si>
  <si>
    <t>MAHARAJGANJ, KAHAROLE, DINAJPUR</t>
  </si>
  <si>
    <t>05335 56007</t>
  </si>
  <si>
    <t>180281123</t>
  </si>
  <si>
    <t>KALIAGANJ BRANCH</t>
  </si>
  <si>
    <t>KALIAGANJ_BRANCH</t>
  </si>
  <si>
    <t>KALIAGANJ, SARANJAI PALASHBARI, BIROL, DINAJPUR</t>
  </si>
  <si>
    <t>180281181</t>
  </si>
  <si>
    <t>KETRAHAT BRANCH</t>
  </si>
  <si>
    <t>KETRAHAT_BRANCH</t>
  </si>
  <si>
    <t>KETRAHAT, BIRAMPUR, DINAJPUR</t>
  </si>
  <si>
    <t>180281215</t>
  </si>
  <si>
    <t>KHANSAMA BRANCH</t>
  </si>
  <si>
    <t>KHANSAMA_BRANCH</t>
  </si>
  <si>
    <t>KHANSAMA, DINAJPUR</t>
  </si>
  <si>
    <t>180281273</t>
  </si>
  <si>
    <t>KUTUBDANGA BRANCH</t>
  </si>
  <si>
    <t>KUTUBDANGA_BRANCH</t>
  </si>
  <si>
    <t>KUTUBDANGA, MOSTOFAPUR, CHIRIRBANDAR, DINAJPUR</t>
  </si>
  <si>
    <t>180281310</t>
  </si>
  <si>
    <t>MADDHAPARA BRANCH</t>
  </si>
  <si>
    <t>MADDHAPARA_BRANCH</t>
  </si>
  <si>
    <t>MADDHAPARA BAZAR, PARBATIPUR, DINAJPUR</t>
  </si>
  <si>
    <t>180281394</t>
  </si>
  <si>
    <t>MAJHIPARA BRANCH</t>
  </si>
  <si>
    <t>MAJHIPARA_BRANCH</t>
  </si>
  <si>
    <t>MAJHIPARA, PULHAT, DINAJPUR SADAR, DINAJPUR</t>
  </si>
  <si>
    <t>0531 64840</t>
  </si>
  <si>
    <t>180281486</t>
  </si>
  <si>
    <t>MANGALPUR BRANCH</t>
  </si>
  <si>
    <t>MANGALPUR_BRANCH</t>
  </si>
  <si>
    <t>MANGALPUR, BIROL, DINAJPUR</t>
  </si>
  <si>
    <t>180281549</t>
  </si>
  <si>
    <t>MOSTAFAPUR, AMBARI, PARBATIPUR, DINAJPUR</t>
  </si>
  <si>
    <t>180281631</t>
  </si>
  <si>
    <t>NAWABGANJ, DINAJPUR</t>
  </si>
  <si>
    <t>05333 56005</t>
  </si>
  <si>
    <t>180281699</t>
  </si>
  <si>
    <t>NURULHUDA BRANCH</t>
  </si>
  <si>
    <t>NURULHUDA_BRANCH</t>
  </si>
  <si>
    <t>NURULHUDA, PARBATIPUR, DINAJPUR</t>
  </si>
  <si>
    <t>180281781</t>
  </si>
  <si>
    <t>PANCHKUR BRANCH</t>
  </si>
  <si>
    <t>PANCHKUR_BRANCH</t>
  </si>
  <si>
    <t>PANCHKUR, JALALPUR, DINAJPUR SADAR, DINAJPUR</t>
  </si>
  <si>
    <t>180281815</t>
  </si>
  <si>
    <t>PARBATIPUR, DINAJPUR</t>
  </si>
  <si>
    <t>05334 74362</t>
  </si>
  <si>
    <t>180281994</t>
  </si>
  <si>
    <t>RAMDUBIRHAT BRANCH</t>
  </si>
  <si>
    <t>RAMDUBIRHAT_BRANCH</t>
  </si>
  <si>
    <t>RAMDUBIRHAT, DINAJPUR SADAR, DINAJPUR</t>
  </si>
  <si>
    <t>180282085</t>
  </si>
  <si>
    <t>RANIRBANDAR BRANCH</t>
  </si>
  <si>
    <t>RANIRBANDAR_BRANCH</t>
  </si>
  <si>
    <t>RANIRBANDAR, CHIRIRBANDAR, DINAJPUR</t>
  </si>
  <si>
    <t>180282119</t>
  </si>
  <si>
    <t>RATANPUR, BIRAMPUR, DINAJPUR</t>
  </si>
  <si>
    <t>180282177</t>
  </si>
  <si>
    <t>SETABGANJ, BOCHAGANJ, DINAJPUR</t>
  </si>
  <si>
    <t>180282269</t>
  </si>
  <si>
    <t>SHIBRAMPUR, MURARIPUR, BIRGANJ, DINAJPUR</t>
  </si>
  <si>
    <t>180282380</t>
  </si>
  <si>
    <t>SULTANPUR BRANCH</t>
  </si>
  <si>
    <t>SULTANPUR_BRANCH</t>
  </si>
  <si>
    <t>SULTANPUR, BOCHAGANJ, DINAJPUR</t>
  </si>
  <si>
    <t>180320071</t>
  </si>
  <si>
    <t>BALUAHAT BRANCH</t>
  </si>
  <si>
    <t>BALUAHAT_BRANCH</t>
  </si>
  <si>
    <t>BALUAHAT, PALASHBARI, GAIBANDHA</t>
  </si>
  <si>
    <t>180320134</t>
  </si>
  <si>
    <t>BARAKONA BRANCH</t>
  </si>
  <si>
    <t>BARAKONA_BRANCH</t>
  </si>
  <si>
    <t>BARAKONA, SAGHATA, GAIBANDHA</t>
  </si>
  <si>
    <t>180320226</t>
  </si>
  <si>
    <t>BONARPARA, SAGHATA, GAIBANDHA</t>
  </si>
  <si>
    <t>180320284</t>
  </si>
  <si>
    <t>DARIAPUR BAZAR, GAIBANDHA SADAR, GAIBANDHA</t>
  </si>
  <si>
    <t>180320347</t>
  </si>
  <si>
    <t>DHARMAPUR, SUNDARGANJ, GAIBANDHA</t>
  </si>
  <si>
    <t>180320376</t>
  </si>
  <si>
    <t>180320400</t>
  </si>
  <si>
    <t>DOMERHAT BRANCH</t>
  </si>
  <si>
    <t>DOMERHAT_BRANCH</t>
  </si>
  <si>
    <t>DOMERHAT, BAZARPARA, SUNDARGONJ, GAIBANDHA</t>
  </si>
  <si>
    <t>180320468</t>
  </si>
  <si>
    <t>FULCHARY BRANCH</t>
  </si>
  <si>
    <t>FULCHARY_BRANCH</t>
  </si>
  <si>
    <t>FULCHARY, SAGHATA, GAIBANDHA</t>
  </si>
  <si>
    <t>05422 56046</t>
  </si>
  <si>
    <t>180320521</t>
  </si>
  <si>
    <t>GAIBANDHA SADAR, GAIBANDHA</t>
  </si>
  <si>
    <t>0541 61532</t>
  </si>
  <si>
    <t>180320589</t>
  </si>
  <si>
    <t>05423 75016</t>
  </si>
  <si>
    <t>180320642</t>
  </si>
  <si>
    <t>HARINATHPUR BRANCH</t>
  </si>
  <si>
    <t>HARINATHPUR_BRANCH</t>
  </si>
  <si>
    <t>HARINATHPUR,TALUK JAMIRA,PALASHBARI,GAIBANDHA</t>
  </si>
  <si>
    <t>180320068</t>
  </si>
  <si>
    <t>JUMARBARI BRANCH</t>
  </si>
  <si>
    <t>JUMARBARI_BRANCH</t>
  </si>
  <si>
    <t>JUMARBARI, SAGHATA, GAIBANDHA</t>
  </si>
  <si>
    <t>180320855</t>
  </si>
  <si>
    <t>KAMORPUR BRANCH</t>
  </si>
  <si>
    <t>KAMORPUR_BRANCH</t>
  </si>
  <si>
    <t>KAMORPUR, BASUDEVPUR, GOBINDAGANJ GAIBANDHA</t>
  </si>
  <si>
    <t>180320763</t>
  </si>
  <si>
    <t>KANTANAGAR BRANCH</t>
  </si>
  <si>
    <t>KANTANAGAR_BRANCH</t>
  </si>
  <si>
    <t>KANTA NAGAR, SADULLAPUR, GAIBANDHA</t>
  </si>
  <si>
    <t>180320792</t>
  </si>
  <si>
    <t>KATABARI BRANCH</t>
  </si>
  <si>
    <t>KATABARI_BRANCH</t>
  </si>
  <si>
    <t>KATABARI, GOBINDAGANJ, GAIBANDHA</t>
  </si>
  <si>
    <t>180320826</t>
  </si>
  <si>
    <t>KOCHA SHAHAR BRANCH</t>
  </si>
  <si>
    <t>KOCHA_SHAHAR_BRANCH</t>
  </si>
  <si>
    <t>KOCHA SHAHAR, GOBINDAGANJ, GAIBANDHA</t>
  </si>
  <si>
    <t>180320884</t>
  </si>
  <si>
    <t>KUPTALA BRANCH</t>
  </si>
  <si>
    <t>KUPTALA_BRANCH</t>
  </si>
  <si>
    <t>KUPTALA, GAIBANDHA SADAR, GAIBANDHA</t>
  </si>
  <si>
    <t>180320976</t>
  </si>
  <si>
    <t>MAHIMAGANJ BRANCH</t>
  </si>
  <si>
    <t>MAHIMAGANJ_BRANCH</t>
  </si>
  <si>
    <t>MAHIMAGANJ, GOBINDAGANJ, GAIBANDHA 5741</t>
  </si>
  <si>
    <t>180321009</t>
  </si>
  <si>
    <t>NAKAIHAT BRANCH</t>
  </si>
  <si>
    <t>NAKAIHAT_BRANCH</t>
  </si>
  <si>
    <t>NAKAIHAT, GOBINDAGANJ, GAIBANDHA</t>
  </si>
  <si>
    <t>180321067</t>
  </si>
  <si>
    <t>NAYA BANDAR, SAGHATA, GAIBANDHA</t>
  </si>
  <si>
    <t>180321096</t>
  </si>
  <si>
    <t>PALASHBARI, GAIBANDHA</t>
  </si>
  <si>
    <t>05426 88075</t>
  </si>
  <si>
    <t>180321241</t>
  </si>
  <si>
    <t>SADULLAPUR, GAIBANDHA</t>
  </si>
  <si>
    <t>05425 56011</t>
  </si>
  <si>
    <t>180321270</t>
  </si>
  <si>
    <t>SAGHATA, GAIBANDHA</t>
  </si>
  <si>
    <t>180321304</t>
  </si>
  <si>
    <t>SUNDARGANJ, GAIBANDHA</t>
  </si>
  <si>
    <t>05427 64001</t>
  </si>
  <si>
    <t>180321333</t>
  </si>
  <si>
    <t>TULSIGHAT BRANCH</t>
  </si>
  <si>
    <t>TULSIGHAT_BRANCH</t>
  </si>
  <si>
    <t>TULSI GHAT, PALASHBARI, GAIBANDHA</t>
  </si>
  <si>
    <t>180380040</t>
  </si>
  <si>
    <t>AKKELPUR, JOYPURHAT</t>
  </si>
  <si>
    <t>05722 62479</t>
  </si>
  <si>
    <t>180380079</t>
  </si>
  <si>
    <t>ATTAPUR BRANCH</t>
  </si>
  <si>
    <t>ATTAPUR_BRANCH</t>
  </si>
  <si>
    <t>ATTAPUR, PANCHBIBI, JOYPURHAT</t>
  </si>
  <si>
    <t>180380132</t>
  </si>
  <si>
    <t>BAGZANA BRANCH</t>
  </si>
  <si>
    <t>BAGZANA_BRANCH</t>
  </si>
  <si>
    <t>BAGZANA, PANCHBIBI, JOYPURHAT</t>
  </si>
  <si>
    <t>180380161</t>
  </si>
  <si>
    <t>BATALI BRANCH</t>
  </si>
  <si>
    <t>BATALI_BRANCH</t>
  </si>
  <si>
    <t>BATALI, BALIADANGA, KHETLAL, JOYPURHAT</t>
  </si>
  <si>
    <t>0571 62205</t>
  </si>
  <si>
    <t>180380190</t>
  </si>
  <si>
    <t>CHATINALI BRANCH</t>
  </si>
  <si>
    <t>CHATINALI_BRANCH</t>
  </si>
  <si>
    <t>CHATINALI, PANCHBIBI, JOYPURHAT</t>
  </si>
  <si>
    <t>180380253</t>
  </si>
  <si>
    <t>DHARANJI BRANCH</t>
  </si>
  <si>
    <t>DHARANJI_BRANCH</t>
  </si>
  <si>
    <t>DHARANJI, PANCHBIBI, JOYPURHAT</t>
  </si>
  <si>
    <t>180380282</t>
  </si>
  <si>
    <t>DOGACHI BRANCH</t>
  </si>
  <si>
    <t>DOGACHI_BRANCH</t>
  </si>
  <si>
    <t>DOGACHI, BAGZANA,  KALAI, JOYPURHAT</t>
  </si>
  <si>
    <t>180380408</t>
  </si>
  <si>
    <t>JOYPURHAT SADAR, JOYPURHAT</t>
  </si>
  <si>
    <t>0571 62342</t>
  </si>
  <si>
    <t>180380466</t>
  </si>
  <si>
    <t>KALAI, JOYPURHAT</t>
  </si>
  <si>
    <t>05725 56004</t>
  </si>
  <si>
    <t>180380495</t>
  </si>
  <si>
    <t>KHETLAL BRANCH</t>
  </si>
  <si>
    <t>KHETLAL_BRANCH</t>
  </si>
  <si>
    <t>KHETLAL, JOYPURHAT</t>
  </si>
  <si>
    <t>180380558</t>
  </si>
  <si>
    <t>MADHAINAGAR BRANCH</t>
  </si>
  <si>
    <t>MADHAINAGAR_BRANCH</t>
  </si>
  <si>
    <t>MADHAINAGAR, AMDAI, JOYPURHAT SADAR, JOYPURHAT</t>
  </si>
  <si>
    <t>180380640</t>
  </si>
  <si>
    <t>MOSLEMGANJ BRANCH</t>
  </si>
  <si>
    <t>MOSLEMGANJ_BRANCH</t>
  </si>
  <si>
    <t>MOSLEMGANJ, KALAI, JOYPURHAT</t>
  </si>
  <si>
    <t>180380679</t>
  </si>
  <si>
    <t>PANCHBIBI, JOYPURHAT</t>
  </si>
  <si>
    <t>0571 75020</t>
  </si>
  <si>
    <t>180380732</t>
  </si>
  <si>
    <t>PURONAPAIL BRANCH</t>
  </si>
  <si>
    <t>PURONAPAIL_BRANCH</t>
  </si>
  <si>
    <t>PURONAPAIL, JOYPURHAT SADAR, JOYPURHAT</t>
  </si>
  <si>
    <t>0571 63023</t>
  </si>
  <si>
    <t>180380761</t>
  </si>
  <si>
    <t>RAIKALI BRANCH</t>
  </si>
  <si>
    <t>RAIKALI_BRANCH</t>
  </si>
  <si>
    <t>RAIKALI, AKKELPUR, JOYPURHAT</t>
  </si>
  <si>
    <t>180490048</t>
  </si>
  <si>
    <t>BAMUNERHAT BRANCH</t>
  </si>
  <si>
    <t>BAMUNERHAT_BRANCH</t>
  </si>
  <si>
    <t>BAMUNERHAT, ULIPUR, KURIGRAM</t>
  </si>
  <si>
    <t>180490101</t>
  </si>
  <si>
    <t>BHURUNGAMARI, KURIGRAM</t>
  </si>
  <si>
    <t>180490619</t>
  </si>
  <si>
    <t>CHAR RAJIBPUR BRANCH</t>
  </si>
  <si>
    <t>CHAR_RAJIBPUR_BRANCH</t>
  </si>
  <si>
    <t>CHAR RAJIBPUR, KURIGRAM</t>
  </si>
  <si>
    <t>05823 56003</t>
  </si>
  <si>
    <t>180490130</t>
  </si>
  <si>
    <t>CHILMARI, KURIGRAM</t>
  </si>
  <si>
    <t>05824 56005</t>
  </si>
  <si>
    <t>180490222</t>
  </si>
  <si>
    <t>HASNABAD, PAYRADANGA, NAGESHWARI, KURIGRAM</t>
  </si>
  <si>
    <t>180490251</t>
  </si>
  <si>
    <t>JATRAPUR BRANCH</t>
  </si>
  <si>
    <t>JATRAPUR_BRANCH</t>
  </si>
  <si>
    <t>JATRAPUR, KURIGRAM SADAR, KURIGRAM 5600</t>
  </si>
  <si>
    <t>180490280</t>
  </si>
  <si>
    <t>KACHAKATA BRANCH</t>
  </si>
  <si>
    <t>KACHAKATA_BRANCH</t>
  </si>
  <si>
    <t>KACHAKATA BAZAR, NAGESHWARI, KURIGRAM</t>
  </si>
  <si>
    <t>180490343</t>
  </si>
  <si>
    <t>KASHIMBAZAR BRANCH</t>
  </si>
  <si>
    <t>KASHIMBAZAR_BRANCH</t>
  </si>
  <si>
    <t>KASHIM BAZAR, BALDIA, BHURUNGAMARI,KURIGRAM</t>
  </si>
  <si>
    <t>180490314</t>
  </si>
  <si>
    <t>KATHALBARI BRANCH</t>
  </si>
  <si>
    <t>KATHALBARI_BRANCH</t>
  </si>
  <si>
    <t>KATHALBARI, KURIGRAM SADAR, KURIGRAM</t>
  </si>
  <si>
    <t>180490372</t>
  </si>
  <si>
    <t>KHARIBARI BAZAR</t>
  </si>
  <si>
    <t>KHARIBARI_BAZAR</t>
  </si>
  <si>
    <t>180490406</t>
  </si>
  <si>
    <t>STATION ROAD, KURIGRAM</t>
  </si>
  <si>
    <t>0581 61419</t>
  </si>
  <si>
    <t>180490435</t>
  </si>
  <si>
    <t>MONDOLERHAT BRANCH</t>
  </si>
  <si>
    <t>MONDOLERHAT_BRANCH</t>
  </si>
  <si>
    <t>MONDOLERHAT, ULIPUR, KURIGRAM 5620</t>
  </si>
  <si>
    <t>180490464</t>
  </si>
  <si>
    <t>NAGESHWARI, KURIGRAM</t>
  </si>
  <si>
    <t>05826 56213</t>
  </si>
  <si>
    <t>180490527</t>
  </si>
  <si>
    <t>PATESWARI BRANCH</t>
  </si>
  <si>
    <t>PATESWARI_BRANCH</t>
  </si>
  <si>
    <t>PATESWARI, BHURUNGAMARI, KURIGRAM</t>
  </si>
  <si>
    <t>180490198</t>
  </si>
  <si>
    <t>PHULBARI, KURIGRAM</t>
  </si>
  <si>
    <t>05825 56004</t>
  </si>
  <si>
    <t>180490556</t>
  </si>
  <si>
    <t>RAIGANJ, NAGESHWARI, KURIGRAM</t>
  </si>
  <si>
    <t>180490585</t>
  </si>
  <si>
    <t>RAJARHAT, KURIGRAM</t>
  </si>
  <si>
    <t>05827 56042</t>
  </si>
  <si>
    <t>180490648</t>
  </si>
  <si>
    <t>ROWMARI, KURIGRAM</t>
  </si>
  <si>
    <t>05828 56019</t>
  </si>
  <si>
    <t>180490677</t>
  </si>
  <si>
    <t>SINGER DABRIHAT BRANCH</t>
  </si>
  <si>
    <t>SINGER_DABRIHAT_BRANCH</t>
  </si>
  <si>
    <t>SINGER DABRIHAT, RAJARHAT, KURIGRAM</t>
  </si>
  <si>
    <t>180490701</t>
  </si>
  <si>
    <t>ULIPUR, KURIGRAM</t>
  </si>
  <si>
    <t>05829 56021</t>
  </si>
  <si>
    <t>180520042</t>
  </si>
  <si>
    <t>ADITMAR BRANCH</t>
  </si>
  <si>
    <t>ADITMAR_BRANCH</t>
  </si>
  <si>
    <t>ADITMAR, LALMONIRHAT</t>
  </si>
  <si>
    <t>05922 56012</t>
  </si>
  <si>
    <t>180520226</t>
  </si>
  <si>
    <t>CHANPARHAT BRANCH</t>
  </si>
  <si>
    <t>CHANPARHAT_BRANCH</t>
  </si>
  <si>
    <t>CHANPARHAT, CHANPARA, KALIGANJ, LALMONIRHAT</t>
  </si>
  <si>
    <t>180520255</t>
  </si>
  <si>
    <t>DAIKHAOWA BRANCH</t>
  </si>
  <si>
    <t>DAIKHAOWA_BRANCH</t>
  </si>
  <si>
    <t>DAIKHAOWA, HATIBANDHA, LALMONIRHAT</t>
  </si>
  <si>
    <t>180520284</t>
  </si>
  <si>
    <t>DOANI BRANCH</t>
  </si>
  <si>
    <t>DOANI_BRANCH</t>
  </si>
  <si>
    <t>DOANI, BARABARI, HATIBANDHA, LALMONIRHAT</t>
  </si>
  <si>
    <t>180520318</t>
  </si>
  <si>
    <t>FAKIRER TAKEYA BRANCH</t>
  </si>
  <si>
    <t>FAKIRER_TAKEYA_BRANCH</t>
  </si>
  <si>
    <t>FAKIRER TAKEYA, LALMONIRHAT SADAR, LALMONIRHAT</t>
  </si>
  <si>
    <t>180520347</t>
  </si>
  <si>
    <t>GOROL BRANCH</t>
  </si>
  <si>
    <t>GOROL_BRANCH</t>
  </si>
  <si>
    <t>GOROL, ADITMARI, LALMONIRHAT</t>
  </si>
  <si>
    <t>180520376</t>
  </si>
  <si>
    <t>HARATI BANDAR BRANCH</t>
  </si>
  <si>
    <t>HARATI_BANDAR_BRANCH</t>
  </si>
  <si>
    <t>HARATI BANDAR, MAHENDRANAGAR, LALMONIRHAT</t>
  </si>
  <si>
    <t>180520400</t>
  </si>
  <si>
    <t>HATIBANDHA BRANCH</t>
  </si>
  <si>
    <t>HATIBANDHA_BRANCH</t>
  </si>
  <si>
    <t>HATIBANDHA, LALMONIRHAT</t>
  </si>
  <si>
    <t>05923 56226</t>
  </si>
  <si>
    <t>180520439</t>
  </si>
  <si>
    <t>KARIMPUR, KALIGANJ, LALMONIRHAT</t>
  </si>
  <si>
    <t>0594 56019</t>
  </si>
  <si>
    <t>180520468</t>
  </si>
  <si>
    <t>LALMONIRHAT SADAR, LALMONIRHAT</t>
  </si>
  <si>
    <t>0591 5520</t>
  </si>
  <si>
    <t>180520497</t>
  </si>
  <si>
    <t>MOGALHAT BRANCH</t>
  </si>
  <si>
    <t>MOGALHAT_BRANCH</t>
  </si>
  <si>
    <t>MOGOLHAT, VELABARI, ADITMARI, LALMONIRHAT</t>
  </si>
  <si>
    <t>180520550</t>
  </si>
  <si>
    <t>NAMURIHAT BRANCH</t>
  </si>
  <si>
    <t>NAMURIHAT_BRANCH</t>
  </si>
  <si>
    <t>NAMURIHAT, DUHALI, ADITMARI, LALMONIRHAT</t>
  </si>
  <si>
    <t>180520589</t>
  </si>
  <si>
    <t>PATGRAM, LALMONIRHAT</t>
  </si>
  <si>
    <t>05925 56219</t>
  </si>
  <si>
    <t>180520613</t>
  </si>
  <si>
    <t>SAPTIBARI BRANCH</t>
  </si>
  <si>
    <t>SAPTIBARI_BRANCH</t>
  </si>
  <si>
    <t>SAPTIBARI, ADITMARI, LALMONIRHAT</t>
  </si>
  <si>
    <t>0591 61817</t>
  </si>
  <si>
    <t>180520642</t>
  </si>
  <si>
    <t>SARKARERHAT BRANCH</t>
  </si>
  <si>
    <t>SARKARERHAT_BRANCH</t>
  </si>
  <si>
    <t>SARKARERHAT, PATGRAM, LALMONIRHAT</t>
  </si>
  <si>
    <t>180520671</t>
  </si>
  <si>
    <t>TISTA BRANCH</t>
  </si>
  <si>
    <t>TISTA_BRANCH</t>
  </si>
  <si>
    <t>TISTA, LALMONIRHAT SADAR, LALMONIRHAT</t>
  </si>
  <si>
    <t>180520734</t>
  </si>
  <si>
    <t>VELABARI BRANCH</t>
  </si>
  <si>
    <t>VELABARI_BRANCH</t>
  </si>
  <si>
    <t>VELABARI, ADITMARI, LALMONIRHAT</t>
  </si>
  <si>
    <t>180640164</t>
  </si>
  <si>
    <t>ATRAI</t>
  </si>
  <si>
    <t>180640193</t>
  </si>
  <si>
    <t>BADALGACHHI BRANCH</t>
  </si>
  <si>
    <t>BADALGACHHI_BRANCH</t>
  </si>
  <si>
    <t>BADALGACHHI, NAOGAON</t>
  </si>
  <si>
    <t>07423 56018</t>
  </si>
  <si>
    <t>180640319</t>
  </si>
  <si>
    <t>BETGARI, GHOSGRAM, RANINAGAR, NAOGAON</t>
  </si>
  <si>
    <t>180640498</t>
  </si>
  <si>
    <t>DHAMOIRHAT, NAOGAON</t>
  </si>
  <si>
    <t>07424 56015</t>
  </si>
  <si>
    <t>180640522</t>
  </si>
  <si>
    <t>DUBALHATI BRANCH</t>
  </si>
  <si>
    <t>DUBALHATI_BRANCH</t>
  </si>
  <si>
    <t>DUBALHATI, NAOGAON SADAR, NAOGAON</t>
  </si>
  <si>
    <t>180640551</t>
  </si>
  <si>
    <t>FATEHPUR BRANCH</t>
  </si>
  <si>
    <t>FATEHPUR_BRANCH</t>
  </si>
  <si>
    <t>FATEHPUR, DHAMOIRHAT, NAOGAON</t>
  </si>
  <si>
    <t>180640706</t>
  </si>
  <si>
    <t>HAJINAGAR BRANCH</t>
  </si>
  <si>
    <t>HAJINAGAR_BRANCH</t>
  </si>
  <si>
    <t>HAJINAGAR, NIAMATPUR, NAOGAON</t>
  </si>
  <si>
    <t>180640672</t>
  </si>
  <si>
    <t>HAT CHAKGOURI BRANCH</t>
  </si>
  <si>
    <t>HAT_CHAKGOURI_BRANCH</t>
  </si>
  <si>
    <t>HAT CHAKGOURI, MAHADEBPUR, NAOGAON</t>
  </si>
  <si>
    <t>180640764</t>
  </si>
  <si>
    <t>JOTBAZAR BRANCH</t>
  </si>
  <si>
    <t>JOTBAZAR_BRANCH</t>
  </si>
  <si>
    <t>JOTBAZAR, MANDA, NAOGAON</t>
  </si>
  <si>
    <t>180640856</t>
  </si>
  <si>
    <t>KIRTIPUR BRANCH</t>
  </si>
  <si>
    <t>KIRTIPUR_BRANCH</t>
  </si>
  <si>
    <t>KIRTIPUR, NAOGAON SADAR, NAOGAON</t>
  </si>
  <si>
    <t>180640885</t>
  </si>
  <si>
    <t>KRISHNAPUR, MODHUIL, PATNITALA, NAOGAON</t>
  </si>
  <si>
    <t>180641097</t>
  </si>
  <si>
    <t>MAHADEBPUR, NAOGAON 6530</t>
  </si>
  <si>
    <t>07426 75015</t>
  </si>
  <si>
    <t>180640014</t>
  </si>
  <si>
    <t>MESERBAZAR BRANCH</t>
  </si>
  <si>
    <t>MESERBAZAR_BRANCH</t>
  </si>
  <si>
    <t>MESERBAZAR, PATNITALA, NAOGAON</t>
  </si>
  <si>
    <t>180641189</t>
  </si>
  <si>
    <t>BAZAR ROAD, NAOGAON</t>
  </si>
  <si>
    <t>0741 62451</t>
  </si>
  <si>
    <t>180641271</t>
  </si>
  <si>
    <t>NIAMATPUR, NAOGAON</t>
  </si>
  <si>
    <t>07427 56006</t>
  </si>
  <si>
    <t>180641363</t>
  </si>
  <si>
    <t>PAHARPUR-1</t>
  </si>
  <si>
    <t>180641392</t>
  </si>
  <si>
    <t>PAHARPUR-2</t>
  </si>
  <si>
    <t>180641426</t>
  </si>
  <si>
    <t>PATISHOR RABINDRA KUTTI BARI</t>
  </si>
  <si>
    <t>PATISHOR_RABINDRA_KUTTI_BARI</t>
  </si>
  <si>
    <t>180641455</t>
  </si>
  <si>
    <t>PATNITALA</t>
  </si>
  <si>
    <t>180641518</t>
  </si>
  <si>
    <t>PORSHA BRANCH</t>
  </si>
  <si>
    <t>PORSHA_BRANCH</t>
  </si>
  <si>
    <t>PORSHA, NAOGAON</t>
  </si>
  <si>
    <t>180641547</t>
  </si>
  <si>
    <t>PRASADPUR BRANCH</t>
  </si>
  <si>
    <t>PRASADPUR_BRANCH</t>
  </si>
  <si>
    <t>07425 62003</t>
  </si>
  <si>
    <t>180641576</t>
  </si>
  <si>
    <t>RANGAMATIHAT BRANCH</t>
  </si>
  <si>
    <t>RANGAMATIHAT_BRANCH</t>
  </si>
  <si>
    <t>RANGAMATI, DHAMOIR HAT, NAOGAON</t>
  </si>
  <si>
    <t>180641600</t>
  </si>
  <si>
    <t>RANINAGAR BRANCH</t>
  </si>
  <si>
    <t>RANINAGAR_BRANCH</t>
  </si>
  <si>
    <t>RANINAGAR, NAOGAON</t>
  </si>
  <si>
    <t>07433 56011</t>
  </si>
  <si>
    <t>180641668</t>
  </si>
  <si>
    <t>SABAIHAT BRANCH</t>
  </si>
  <si>
    <t>SABAIHAT_BRANCH</t>
  </si>
  <si>
    <t>SABAI HAT, TETULIA, MANDA, NAOGAON</t>
  </si>
  <si>
    <t>180641813</t>
  </si>
  <si>
    <t>SAMASPARAHAT BRANCH</t>
  </si>
  <si>
    <t>SAMASPARAHAT_BRANCH</t>
  </si>
  <si>
    <t>SAMASPARAHAT, BHANGAJANGAL, ATRAI, NAOGAON</t>
  </si>
  <si>
    <t>180641750</t>
  </si>
  <si>
    <t>SAPAHAR, NAOGAON</t>
  </si>
  <si>
    <t>07432 74026</t>
  </si>
  <si>
    <t>180641789</t>
  </si>
  <si>
    <t>SATIHAT BRANCH</t>
  </si>
  <si>
    <t>SATIHAT_BRANCH</t>
  </si>
  <si>
    <t>SATIHAT, MANDA, NAOGAON</t>
  </si>
  <si>
    <t>180641721</t>
  </si>
  <si>
    <t>SHAILGACHI BRANCH</t>
  </si>
  <si>
    <t>SHAILGACHI_BRANCH</t>
  </si>
  <si>
    <t>SHAILGACHI, NAOGAON SADAR, NAOGAON</t>
  </si>
  <si>
    <t>180641963</t>
  </si>
  <si>
    <t>UTTARGRAM BRANCH</t>
  </si>
  <si>
    <t>UTTARGRAM_BRANCH</t>
  </si>
  <si>
    <t>UTTARGRAM, MOHADEBPUR, NAOGAON</t>
  </si>
  <si>
    <t>180690048</t>
  </si>
  <si>
    <t>ABDULPUR BRANCH</t>
  </si>
  <si>
    <t>ABDULPUR_BRANCH</t>
  </si>
  <si>
    <t>ABDULPUR, LALPUR, NATORE</t>
  </si>
  <si>
    <t>180690077</t>
  </si>
  <si>
    <t>AHMEDPUR BRANCH</t>
  </si>
  <si>
    <t>AHMEDPUR_BRANCH</t>
  </si>
  <si>
    <t>AHMEDPUR, BARAIGRAM, NATORE</t>
  </si>
  <si>
    <t>180690130</t>
  </si>
  <si>
    <t>LAKSHMAN HATI, BAGATIPARA, NATORE</t>
  </si>
  <si>
    <t>07722 72016</t>
  </si>
  <si>
    <t>180690169</t>
  </si>
  <si>
    <t>BARAIGRAM BRANCH</t>
  </si>
  <si>
    <t>BARAIGRAM_BRANCH</t>
  </si>
  <si>
    <t>HAROA, BARAIGRAM, NATORE</t>
  </si>
  <si>
    <t>0723 56018</t>
  </si>
  <si>
    <t>180690222</t>
  </si>
  <si>
    <t>BERILABARI BRANCH</t>
  </si>
  <si>
    <t>BERILABARI_BRANCH</t>
  </si>
  <si>
    <t>BERILABARI, LALPUR, NATORE</t>
  </si>
  <si>
    <t>180690343</t>
  </si>
  <si>
    <t>CHAPILA BRANCH</t>
  </si>
  <si>
    <t>CHAPILA_BRANCH</t>
  </si>
  <si>
    <t>CHAPILA, GURUDASPUR, NATORE</t>
  </si>
  <si>
    <t>180690372</t>
  </si>
  <si>
    <t>CHOWGRAM BRANCH</t>
  </si>
  <si>
    <t>CHOWGRAM_BRANCH</t>
  </si>
  <si>
    <t>CHOWGRAM, SINGRA, NATORE 6450</t>
  </si>
  <si>
    <t>180690493</t>
  </si>
  <si>
    <t>GOPALPUR, RAJAPUR, BARAIGRAM, NATORE</t>
  </si>
  <si>
    <t>180690527</t>
  </si>
  <si>
    <t>GOURIPUR, DHAPARI, LALPUR, NATORE</t>
  </si>
  <si>
    <t>07725 75056</t>
  </si>
  <si>
    <t>180690556</t>
  </si>
  <si>
    <t>GURUDASPUR, NATORE</t>
  </si>
  <si>
    <t>07724 74044</t>
  </si>
  <si>
    <t>180690585</t>
  </si>
  <si>
    <t>HALSA BRANCH</t>
  </si>
  <si>
    <t>HALSA_BRANCH</t>
  </si>
  <si>
    <t>HALSA, BIPROHALSA, NATORE SADAR, NATORE 6400</t>
  </si>
  <si>
    <t>180690648</t>
  </si>
  <si>
    <t>IMAMNAGAR</t>
  </si>
  <si>
    <t>IMAMNAGAR_</t>
  </si>
  <si>
    <t>180690730</t>
  </si>
  <si>
    <t>KADAMCHILAN BRANCH</t>
  </si>
  <si>
    <t>KADAMCHILAN_BRANCH</t>
  </si>
  <si>
    <t>KADAM CHILAN, LALPUR, NATORE</t>
  </si>
  <si>
    <t>180690769</t>
  </si>
  <si>
    <t>KAFURIA BRANCH</t>
  </si>
  <si>
    <t>KAFURIA_BRANCH</t>
  </si>
  <si>
    <t>KAFURIA, NATORE SADAR, NATORE</t>
  </si>
  <si>
    <t>180690064</t>
  </si>
  <si>
    <t>KHEJURTALA BRANCH</t>
  </si>
  <si>
    <t>KHEJURTALA_BRANCH</t>
  </si>
  <si>
    <t>KHEJURTALA, NATORE SADAR, NATORE</t>
  </si>
  <si>
    <t>180690822</t>
  </si>
  <si>
    <t>KHOLABARIA BRANCH</t>
  </si>
  <si>
    <t>KHOLABARIA_BRANCH</t>
  </si>
  <si>
    <t>KHOLABARIA, LAKSHMIPURHAT, BARAIGRAM, NATORE</t>
  </si>
  <si>
    <t>180690914</t>
  </si>
  <si>
    <t>LALPUR BRANCH</t>
  </si>
  <si>
    <t>LALPUR_BRANCH</t>
  </si>
  <si>
    <t>180691063</t>
  </si>
  <si>
    <t>NALDANGAHAT BRANCH</t>
  </si>
  <si>
    <t>NALDANGAHAT_BRANCH</t>
  </si>
  <si>
    <t>NALDANGAHAT, NALDANGA, NATORE</t>
  </si>
  <si>
    <t>07732 51028</t>
  </si>
  <si>
    <t>180691092</t>
  </si>
  <si>
    <t>NATORE SADAR, NATORE</t>
  </si>
  <si>
    <t>0771 62265</t>
  </si>
  <si>
    <t>180690051</t>
  </si>
  <si>
    <t>SHIKARPUR BRANCH</t>
  </si>
  <si>
    <t>SHIKARPUR_BRANCH</t>
  </si>
  <si>
    <t>SHIKARPUR, GURUDASPUR, NATORE</t>
  </si>
  <si>
    <t>180691489</t>
  </si>
  <si>
    <t>SINGRA, NATORE</t>
  </si>
  <si>
    <t>07726 63003</t>
  </si>
  <si>
    <t>180691571</t>
  </si>
  <si>
    <t>WALIA BRANCH</t>
  </si>
  <si>
    <t>WALIA_BRANCH</t>
  </si>
  <si>
    <t>WALIA, LALPUR, NATORE 6420</t>
  </si>
  <si>
    <t>180730045</t>
  </si>
  <si>
    <t>BALAPARA BRANCH</t>
  </si>
  <si>
    <t>BALAPARA_BRANCH</t>
  </si>
  <si>
    <t>BALAPARA, KHAGA KHARI BARI, DIMLA, NILPHAMARI</t>
  </si>
  <si>
    <t>180730074</t>
  </si>
  <si>
    <t>BANGABANDHUHAT BRANCH</t>
  </si>
  <si>
    <t>BANGABANDHUHAT_BRANCH</t>
  </si>
  <si>
    <t>BANGABANDHU HAT, GOALNA KALIGANJ, JALDHAKA, NILPHAMARI</t>
  </si>
  <si>
    <t>180730108</t>
  </si>
  <si>
    <t>BARAVITA BRANCH</t>
  </si>
  <si>
    <t>BARAVITA_BRANCH</t>
  </si>
  <si>
    <t>BARAVITA, JALDHAKA, NILPHAMARI</t>
  </si>
  <si>
    <t>180730166</t>
  </si>
  <si>
    <t>BODI BRANCH</t>
  </si>
  <si>
    <t>BODI_BRANCH</t>
  </si>
  <si>
    <t>BODI, KAIMARI, KISHOREGANJ, NILPHAMARI</t>
  </si>
  <si>
    <t>180730195</t>
  </si>
  <si>
    <t>CHAPANIHAT BRANCH</t>
  </si>
  <si>
    <t>CHAPANIHAT_BRANCH</t>
  </si>
  <si>
    <t>CHAPANIHAT, DIMLA, NILPHAMARI</t>
  </si>
  <si>
    <t>180730311</t>
  </si>
  <si>
    <t>DIMLA BRANCH</t>
  </si>
  <si>
    <t>DIMLA_BRANCH</t>
  </si>
  <si>
    <t>DIMLA, NILPHAMARI</t>
  </si>
  <si>
    <t>05522 56312</t>
  </si>
  <si>
    <t>180730340</t>
  </si>
  <si>
    <t>DOMAR, NILPHAMARI</t>
  </si>
  <si>
    <t>05523 75019</t>
  </si>
  <si>
    <t>180730379</t>
  </si>
  <si>
    <t>GORGRAM BRANCH</t>
  </si>
  <si>
    <t>GORGRAM_BRANCH</t>
  </si>
  <si>
    <t>GORGRAM, NILPHAMARI SADAR, NILPHAMARI</t>
  </si>
  <si>
    <t>180730403</t>
  </si>
  <si>
    <t>HAZARIHAT BRANCH</t>
  </si>
  <si>
    <t>HAZARIHAT_BRANCH</t>
  </si>
  <si>
    <t>HAZARIHAT, SAIDPUR, NILPHAMARI</t>
  </si>
  <si>
    <t>180730432</t>
  </si>
  <si>
    <t>JADURHAT BRANCH</t>
  </si>
  <si>
    <t>JADURHAT_BRANCH</t>
  </si>
  <si>
    <t>JADURHAT, BABRIJAR, NILPHAMARI SADAR, NILPHAMARI</t>
  </si>
  <si>
    <t>180730461</t>
  </si>
  <si>
    <t>JALDHAKA, NILPHAMARI</t>
  </si>
  <si>
    <t>05542 64011</t>
  </si>
  <si>
    <t>180730553</t>
  </si>
  <si>
    <t>KAZIRHAT, SAIDPUR, NILPHAMARI</t>
  </si>
  <si>
    <t>180730582</t>
  </si>
  <si>
    <t>KISHOREGANJ, NILPHAMARI</t>
  </si>
  <si>
    <t>05525 56020</t>
  </si>
  <si>
    <t>180730616</t>
  </si>
  <si>
    <t>MELAPANGA BRANCH</t>
  </si>
  <si>
    <t>MELAPANGA_BRANCH</t>
  </si>
  <si>
    <t>MELA PANGA, DOMAR, NILPHAMARI</t>
  </si>
  <si>
    <t>180730674</t>
  </si>
  <si>
    <t>MIRZAGANJ, DOMAR, NILPHAMARI</t>
  </si>
  <si>
    <t>180730708</t>
  </si>
  <si>
    <t>NAUTARA BRANCH</t>
  </si>
  <si>
    <t>NAUTARA_BRANCH</t>
  </si>
  <si>
    <t>NAUTARA, DIMLA, NILPHAMARI</t>
  </si>
  <si>
    <t>180730737</t>
  </si>
  <si>
    <t>NILPHAMARI SADAR, NILPHAMARI</t>
  </si>
  <si>
    <t>0551 61423</t>
  </si>
  <si>
    <t>180730795</t>
  </si>
  <si>
    <t>SAIDPUR, NILPHAMARI</t>
  </si>
  <si>
    <t>05526 72603</t>
  </si>
  <si>
    <t>180730858</t>
  </si>
  <si>
    <t>TENGONMARIHAT BRANCH</t>
  </si>
  <si>
    <t>TENGONMARIHAT_BRANCH</t>
  </si>
  <si>
    <t>TENGONMARI HAT, KHUTAMARA, JALDHAKA, NILPHAMARI</t>
  </si>
  <si>
    <t>180730887</t>
  </si>
  <si>
    <t>TEPARHAT BRANCH</t>
  </si>
  <si>
    <t>TEPARHAT_BRANCH</t>
  </si>
  <si>
    <t>TEPARHAT, KISHOREGANJ, NILPHAMARI</t>
  </si>
  <si>
    <t>180760073</t>
  </si>
  <si>
    <t>AMINPUR BRANCH</t>
  </si>
  <si>
    <t>AMINPUR_BRANCH</t>
  </si>
  <si>
    <t>AMINPUR BAZAR, BERA, PABNA</t>
  </si>
  <si>
    <t>180760257</t>
  </si>
  <si>
    <t>CHANDVA, ATGHORIA, PABNA</t>
  </si>
  <si>
    <t>180760136</t>
  </si>
  <si>
    <t>AURANGZEB ROAD BRANCH</t>
  </si>
  <si>
    <t>AURANGZEB_ROAD_BRANCH</t>
  </si>
  <si>
    <t>AURANGZEB ROAD, PABNA SADAR, PABNA 6600</t>
  </si>
  <si>
    <t>0731 51881</t>
  </si>
  <si>
    <t>180760581</t>
  </si>
  <si>
    <t>BANWARINAGAR BRANCH</t>
  </si>
  <si>
    <t>BANWARINAGAR_BRANCH</t>
  </si>
  <si>
    <t>BANWARINAGAR, FARIDPUR, PABNA</t>
  </si>
  <si>
    <t>07325 64008</t>
  </si>
  <si>
    <t>180760460</t>
  </si>
  <si>
    <t>BERA, PABNA</t>
  </si>
  <si>
    <t>07323 75047</t>
  </si>
  <si>
    <t>180760499</t>
  </si>
  <si>
    <t>BHANGURA BRANCH</t>
  </si>
  <si>
    <t>BHANGURA_BRANCH</t>
  </si>
  <si>
    <t>BHANGURA, PABNA</t>
  </si>
  <si>
    <t>7328 56048</t>
  </si>
  <si>
    <t>180760552</t>
  </si>
  <si>
    <t>BONKOLAHAT BRANCH</t>
  </si>
  <si>
    <t>BONKOLAHAT_BRANCH</t>
  </si>
  <si>
    <t>BONKOLAHAT, SUJANAGAR, PABNA</t>
  </si>
  <si>
    <t>180760644</t>
  </si>
  <si>
    <t>CHATMOHAR, PABNA</t>
  </si>
  <si>
    <t>07324 56135</t>
  </si>
  <si>
    <t>180760673</t>
  </si>
  <si>
    <t>CHINAKHORA BRANCH</t>
  </si>
  <si>
    <t>CHINAKHORA_BRANCH</t>
  </si>
  <si>
    <t>CHINAKHORA BAZAR, SUJANAGAR, PABNA</t>
  </si>
  <si>
    <t>180760765</t>
  </si>
  <si>
    <t>DAPUNIA BRANCH</t>
  </si>
  <si>
    <t>DAPUNIA_BRANCH</t>
  </si>
  <si>
    <t>DAPUNIA, PABNA SADAR, PABNA</t>
  </si>
  <si>
    <t>0731 51068</t>
  </si>
  <si>
    <t>180760886</t>
  </si>
  <si>
    <t>DHULAURI BRANCH</t>
  </si>
  <si>
    <t>DHULAURI_BRANCH</t>
  </si>
  <si>
    <t>DHULAURI, NURDAHA, SANTHIA, PABNA</t>
  </si>
  <si>
    <t>180761001</t>
  </si>
  <si>
    <t>DURGAPUR, GOBINDAPUR, SUJANAGAR, PABNA</t>
  </si>
  <si>
    <t>07332 54117</t>
  </si>
  <si>
    <t>180761069</t>
  </si>
  <si>
    <t>FAILJANA BRANCH</t>
  </si>
  <si>
    <t>FAILJANA_BRANCH</t>
  </si>
  <si>
    <t>FAILJANA, CHATMOHAR, PABNA</t>
  </si>
  <si>
    <t>180761151</t>
  </si>
  <si>
    <t>HADOL BRANCH</t>
  </si>
  <si>
    <t>HADOL_BRANCH</t>
  </si>
  <si>
    <t>HADOL, DHANUAGHATA, FARIDPUR, PABNA</t>
  </si>
  <si>
    <t>180761180</t>
  </si>
  <si>
    <t>HANDIAL BRANCH</t>
  </si>
  <si>
    <t>HANDIAL_BRANCH</t>
  </si>
  <si>
    <t>HANDIAL BAZAR, CHATMOHAR, PABNA</t>
  </si>
  <si>
    <t>180761214</t>
  </si>
  <si>
    <t>ISHWARDI, PABNA</t>
  </si>
  <si>
    <t>0731 60732</t>
  </si>
  <si>
    <t>180761243</t>
  </si>
  <si>
    <t>JOYNAGAR, ISHWARDI, PABNA 6620</t>
  </si>
  <si>
    <t>180760057</t>
  </si>
  <si>
    <t>KHALILPUR BRANCH</t>
  </si>
  <si>
    <t>KHALILPUR_BRANCH</t>
  </si>
  <si>
    <t>KHALILPUR, SUJANAGAR, PABNA</t>
  </si>
  <si>
    <t>180761364</t>
  </si>
  <si>
    <t>KHETUPARA BRANCH</t>
  </si>
  <si>
    <t>KHETUPARA_BRANCH</t>
  </si>
  <si>
    <t>KHETUPARA, BANAGRAM, SANTHIA, PABNA</t>
  </si>
  <si>
    <t>180761427</t>
  </si>
  <si>
    <t>MOYDANDIGHI BRANCH</t>
  </si>
  <si>
    <t>MOYDANDIGHI_BRANCH</t>
  </si>
  <si>
    <t>MOYDANDIGHI, VANGURA, PABNA</t>
  </si>
  <si>
    <t>180761780</t>
  </si>
  <si>
    <t>ABDUL HAMID ROAD, PABNA</t>
  </si>
  <si>
    <t>0731 65770</t>
  </si>
  <si>
    <t>180762055</t>
  </si>
  <si>
    <t>SANTHIA, PABNA</t>
  </si>
  <si>
    <t>180762084</t>
  </si>
  <si>
    <t>SATBARIA, SUJANAGAR, PABNA</t>
  </si>
  <si>
    <t>0731 65082</t>
  </si>
  <si>
    <t>180760060</t>
  </si>
  <si>
    <t>SILANDA BRANCH</t>
  </si>
  <si>
    <t>SILANDA_BRANCH</t>
  </si>
  <si>
    <t>SILANDA, SANTHIA, PABNA</t>
  </si>
  <si>
    <t>180762239</t>
  </si>
  <si>
    <t>SINGA BRANCH</t>
  </si>
  <si>
    <t>SINGA_BRANCH</t>
  </si>
  <si>
    <t>SINGA, PABNA SADAR, PABNA 6600</t>
  </si>
  <si>
    <t>0731 65994</t>
  </si>
  <si>
    <t>180762268</t>
  </si>
  <si>
    <t>SUJANAGAR, PABNA</t>
  </si>
  <si>
    <t>0329 56113</t>
  </si>
  <si>
    <t>180770047</t>
  </si>
  <si>
    <t>CHOTA DHAP, ATWARI, PANCHAGARH</t>
  </si>
  <si>
    <t>05652 56007</t>
  </si>
  <si>
    <t>180770100</t>
  </si>
  <si>
    <t>BHAJANPUR BRANCH</t>
  </si>
  <si>
    <t>BHAJANPUR_BRANCH</t>
  </si>
  <si>
    <t>BHAJANPUR, TETULIA, PANCHAGARH</t>
  </si>
  <si>
    <t>180770139</t>
  </si>
  <si>
    <t>BODA BRANCH</t>
  </si>
  <si>
    <t>BODA_BRANCH</t>
  </si>
  <si>
    <t>BODA, PANCHAGARH</t>
  </si>
  <si>
    <t>05653 56106</t>
  </si>
  <si>
    <t>180770197</t>
  </si>
  <si>
    <t>DEBIGANJ, PANCHAGARH</t>
  </si>
  <si>
    <t>05654 56043</t>
  </si>
  <si>
    <t>180770221</t>
  </si>
  <si>
    <t>DHAKKAMARA BRANCH</t>
  </si>
  <si>
    <t>DHAKKAMARA_BRANCH</t>
  </si>
  <si>
    <t>DHAKKAMARA, PANCHAGARH SADAR,PANCHAGARH</t>
  </si>
  <si>
    <t>0568 61259</t>
  </si>
  <si>
    <t>180770289</t>
  </si>
  <si>
    <t>GOALJHARHAT BRANCH</t>
  </si>
  <si>
    <t>GOALJHARHAT_BRANCH</t>
  </si>
  <si>
    <t>GOALJHARHAT, SATHMERA, PANCHAGARH SADAR, PANCHAGARH</t>
  </si>
  <si>
    <t>180770313</t>
  </si>
  <si>
    <t>HARIBHASA BRANCH</t>
  </si>
  <si>
    <t>HARIBHASA_BRANCH</t>
  </si>
  <si>
    <t>HARIBHASA, PANCHAGARH SADAR,PANCHAGARH</t>
  </si>
  <si>
    <t>180770647</t>
  </si>
  <si>
    <t>JAGANNATHHAT BRANCH</t>
  </si>
  <si>
    <t>JAGANNATHHAT_BRANCH</t>
  </si>
  <si>
    <t>JAGANNATH HAT, SONAHAR, DEBIGANJ, PANCHAGARH</t>
  </si>
  <si>
    <t>180770371</t>
  </si>
  <si>
    <t>JHALAISHALSHIRI BRANCH</t>
  </si>
  <si>
    <t>JHALAISHALSHIRI_BRANCH</t>
  </si>
  <si>
    <t>JHALAISHALSHIRI, NATUN HAT, BODA, PANCHAGARH</t>
  </si>
  <si>
    <t>180770434</t>
  </si>
  <si>
    <t>KALIAGANJHAT BRANCH</t>
  </si>
  <si>
    <t>KALIAGANJHAT_BRANCH</t>
  </si>
  <si>
    <t>KALIAGANJ HAT, DEBIGANJ, PANCHAGARH</t>
  </si>
  <si>
    <t>180770405</t>
  </si>
  <si>
    <t>KALIAGANJ, AMTALA KAZIPARA, BODA, PANCHAGARH</t>
  </si>
  <si>
    <t>180770463</t>
  </si>
  <si>
    <t>LAKSHMIRHAT BRANCH</t>
  </si>
  <si>
    <t>LAKSHMIRHAT_BRANCH</t>
  </si>
  <si>
    <t>LAKSHMIRHAT, DEBIGANJ, PANCHAGARH</t>
  </si>
  <si>
    <t>180770526</t>
  </si>
  <si>
    <t>MIRZAPUR, ATWARI, PANCHAGARH</t>
  </si>
  <si>
    <t>180770555</t>
  </si>
  <si>
    <t>ISLAMBAGH, PANCHAGARH</t>
  </si>
  <si>
    <t>0568 61218</t>
  </si>
  <si>
    <t>180770584</t>
  </si>
  <si>
    <t>SAKWA BRANCH</t>
  </si>
  <si>
    <t>SAKWA_BRANCH</t>
  </si>
  <si>
    <t>SAKWA, BODA, PANCHAGARH</t>
  </si>
  <si>
    <t>180770739</t>
  </si>
  <si>
    <t>TETULIA BRANCH</t>
  </si>
  <si>
    <t>TETULIA_BRANCH</t>
  </si>
  <si>
    <t>TETULIA, PANCHAGARH</t>
  </si>
  <si>
    <t>05655 75006</t>
  </si>
  <si>
    <t>180770676</t>
  </si>
  <si>
    <t>TIRNAIHAT BRANCH</t>
  </si>
  <si>
    <t>TIRNAIHAT_BRANCH</t>
  </si>
  <si>
    <t>TIRNAIHAT, TETULIA, PANCHAGARH</t>
  </si>
  <si>
    <t>180770700</t>
  </si>
  <si>
    <t>TOREYA BRANCH</t>
  </si>
  <si>
    <t>TOREYA_BRANCH</t>
  </si>
  <si>
    <t>TOREYA, ATWARI, PANCHAGARH</t>
  </si>
  <si>
    <t>180810044</t>
  </si>
  <si>
    <t>ALOKNAGAR BRANCH</t>
  </si>
  <si>
    <t>ALOKNAGAR_BRANCH</t>
  </si>
  <si>
    <t>ALOKNAGAR, GOALKANDI, BAGMARA, RAJSHAHI</t>
  </si>
  <si>
    <t>180810107</t>
  </si>
  <si>
    <t>BAGHA BRANCH</t>
  </si>
  <si>
    <t>BAGHA_BRANCH</t>
  </si>
  <si>
    <t>BAGHA, RAJSHAHI</t>
  </si>
  <si>
    <t>07233 56008</t>
  </si>
  <si>
    <t>180810257</t>
  </si>
  <si>
    <t>BARGACHI BRANCH</t>
  </si>
  <si>
    <t>BARGACHI_BRANCH</t>
  </si>
  <si>
    <t>BARGACHI, PABA, RAJSHAHI</t>
  </si>
  <si>
    <t>0721 800179</t>
  </si>
  <si>
    <t>180810349</t>
  </si>
  <si>
    <t>07222 56010</t>
  </si>
  <si>
    <t>180810310</t>
  </si>
  <si>
    <t>BINODPUR BAZAR, SADAR, RAJSHAHI 6206</t>
  </si>
  <si>
    <t>0721 750627</t>
  </si>
  <si>
    <t>180810552</t>
  </si>
  <si>
    <t>DURGAPUR, RAJSHAHI</t>
  </si>
  <si>
    <t>07224 56006</t>
  </si>
  <si>
    <t>180810615</t>
  </si>
  <si>
    <t>GODAGARI, RAJSHAHI</t>
  </si>
  <si>
    <t>07225 56004</t>
  </si>
  <si>
    <t>180810644</t>
  </si>
  <si>
    <t>GOGRAM BRANCH</t>
  </si>
  <si>
    <t>GOGRAM_BRANCH</t>
  </si>
  <si>
    <t>GOGRAM, GODAGARI, RAJSHAHI</t>
  </si>
  <si>
    <t>180810857</t>
  </si>
  <si>
    <t>HUJURIPARA BRANCH</t>
  </si>
  <si>
    <t>HUJURIPARA_BRANCH</t>
  </si>
  <si>
    <t>HUJURIPARA, DARUSHA, PABA, RAJSHAHI</t>
  </si>
  <si>
    <t>180810978</t>
  </si>
  <si>
    <t>KALIGANJ, SARANJAI, TANORE, RAJSHAHI</t>
  </si>
  <si>
    <t>07229 56087</t>
  </si>
  <si>
    <t>180811001</t>
  </si>
  <si>
    <t>KAMARGOAN BRANCH</t>
  </si>
  <si>
    <t>KAMARGOAN_BRANCH</t>
  </si>
  <si>
    <t>KAMARGOAN, TANORE, RAJSHAHI</t>
  </si>
  <si>
    <t>180810686</t>
  </si>
  <si>
    <t>KAZIHATA GREATER ROAD BRANCH</t>
  </si>
  <si>
    <t>KAZIHATA_GREATER_ROAD_BRANCH</t>
  </si>
  <si>
    <t>SADHARAN BIMA BHABAN, KAZIHATA, SADAR, RAJSHAHI 6000</t>
  </si>
  <si>
    <t>180811098</t>
  </si>
  <si>
    <t>KHARKHARI BRANCH</t>
  </si>
  <si>
    <t>KHARKHARI_BRANCH</t>
  </si>
  <si>
    <t>KHARKHARI, PABA, RAJSHAHI</t>
  </si>
  <si>
    <t>180811122</t>
  </si>
  <si>
    <t>LPO</t>
  </si>
  <si>
    <t>180811306</t>
  </si>
  <si>
    <t>MAUGACHI BRANCH</t>
  </si>
  <si>
    <t>MAUGACHI_BRANCH</t>
  </si>
  <si>
    <t>MAUGACHI, MOHANPUR, RAJSHAHI</t>
  </si>
  <si>
    <t>0721 800176</t>
  </si>
  <si>
    <t>180811214</t>
  </si>
  <si>
    <t>MOCHMOIL BAZAR BRANCH</t>
  </si>
  <si>
    <t>MOCHMOIL_BAZAR_BRANCH</t>
  </si>
  <si>
    <t>MOCHMOIL BAZAR, BAGMARA, RAJSHAHI</t>
  </si>
  <si>
    <t>180811393</t>
  </si>
  <si>
    <t>MOHANPUR, RAJSHAHI</t>
  </si>
  <si>
    <t>07226 56005</t>
  </si>
  <si>
    <t>180811456</t>
  </si>
  <si>
    <t>MOLLAPARAHAT BRANCH</t>
  </si>
  <si>
    <t>MOLLAPARAHAT_BRANCH</t>
  </si>
  <si>
    <t>MOLLAPARAHAT, PUTHIA, RAJSHAHI</t>
  </si>
  <si>
    <t>180811698</t>
  </si>
  <si>
    <t>PABA BRANCH</t>
  </si>
  <si>
    <t>PABA_BRANCH</t>
  </si>
  <si>
    <t>SAPURA, PABA, RAJSHAHI</t>
  </si>
  <si>
    <t>180811722</t>
  </si>
  <si>
    <t>PAKRI BRANCH</t>
  </si>
  <si>
    <t>PAKRI_BRANCH</t>
  </si>
  <si>
    <t>PAKRI, KAKANHAT, GODAGARI, RAJSHAHI</t>
  </si>
  <si>
    <t>07234 51015</t>
  </si>
  <si>
    <t>180811751</t>
  </si>
  <si>
    <t>PANCHANDAR BRANCH</t>
  </si>
  <si>
    <t>PANCHANDAR_BRANCH</t>
  </si>
  <si>
    <t>PANCHANDAR, KRISHNAPUR, TANORE, RAJSHAHI</t>
  </si>
  <si>
    <t>180811843</t>
  </si>
  <si>
    <t>PUTHIA, RAJSHAHI</t>
  </si>
  <si>
    <t>07228 56101</t>
  </si>
  <si>
    <t>180811935</t>
  </si>
  <si>
    <t>180812200</t>
  </si>
  <si>
    <t>SARDAH BRANCH</t>
  </si>
  <si>
    <t>SARDAH_BRANCH</t>
  </si>
  <si>
    <t>SARDAH, CHARGHAT, RAJSHAHI</t>
  </si>
  <si>
    <t>07223 56008</t>
  </si>
  <si>
    <t>180812271</t>
  </si>
  <si>
    <t>SHIKDARIBAZAR BRANCH</t>
  </si>
  <si>
    <t>SHIKDARIBAZAR_BRANCH</t>
  </si>
  <si>
    <t>SHIKDARI BAZAR, BAGMARA, RAJSHAHI</t>
  </si>
  <si>
    <t>180812389</t>
  </si>
  <si>
    <t>TANORE, RAJSHAHI</t>
  </si>
  <si>
    <t>07229 56012</t>
  </si>
  <si>
    <t>180850109</t>
  </si>
  <si>
    <t>BADARGANJ, RANGPUR</t>
  </si>
  <si>
    <t>05222 56235</t>
  </si>
  <si>
    <t>180850167</t>
  </si>
  <si>
    <t>BALARHAT BRANCH</t>
  </si>
  <si>
    <t>BALARHAT_BRANCH</t>
  </si>
  <si>
    <t>BALARHAT, MITHAPUKUR, RANGPUR</t>
  </si>
  <si>
    <t>180850196</t>
  </si>
  <si>
    <t>BALUAMASIMPUR BRANCH</t>
  </si>
  <si>
    <t>BALUAMASIMPUR_BRANCH</t>
  </si>
  <si>
    <t>BALUAMASIMPUR, MITHAPUKUR, RANGPUR</t>
  </si>
  <si>
    <t>180850138</t>
  </si>
  <si>
    <t>BERATIHAT BRANCH</t>
  </si>
  <si>
    <t>BERATIHAT_BRANCH</t>
  </si>
  <si>
    <t>BERATIHAT, MITHAPUKUR, RANGPUR</t>
  </si>
  <si>
    <t>180850433</t>
  </si>
  <si>
    <t>DAMODARPUR BRANCH</t>
  </si>
  <si>
    <t>DAMODARPUR_BRANCH</t>
  </si>
  <si>
    <t>DAMODARPUR, TARAGANJ, RANGPUR</t>
  </si>
  <si>
    <t>180850462</t>
  </si>
  <si>
    <t>DAMUR CHAKLA BRANCH</t>
  </si>
  <si>
    <t>DAMUR_CHAKLA_BRANCH</t>
  </si>
  <si>
    <t>DAMUR CHAKLA, PIRGACHHA, RABGPUR</t>
  </si>
  <si>
    <t>180850491</t>
  </si>
  <si>
    <t>DHANTOLA BRANCH</t>
  </si>
  <si>
    <t>DHANTOLA_BRANCH</t>
  </si>
  <si>
    <t>DHANTOLA, GANGACHHARA, RANGPUR</t>
  </si>
  <si>
    <t>180850617</t>
  </si>
  <si>
    <t>GANGACHHARA, RANGPUR</t>
  </si>
  <si>
    <t>05223 56023</t>
  </si>
  <si>
    <t>180850646</t>
  </si>
  <si>
    <t>GURJIPARA BRANCH</t>
  </si>
  <si>
    <t>GURJIPARA_BRANCH</t>
  </si>
  <si>
    <t>GURJIPARA, PIRGANJ, RANGPUR</t>
  </si>
  <si>
    <t>180850554</t>
  </si>
  <si>
    <t>IKRACHALI BRANCH</t>
  </si>
  <si>
    <t>IKRACHALI_BRANCH</t>
  </si>
  <si>
    <t>IKRACHALI, TARAGANJ, RANGPUR</t>
  </si>
  <si>
    <t>180850767</t>
  </si>
  <si>
    <t>KAUNIA, RANGPUR</t>
  </si>
  <si>
    <t>05224 56013</t>
  </si>
  <si>
    <t>180850820</t>
  </si>
  <si>
    <t>KHEJMATPUR BRANCH</t>
  </si>
  <si>
    <t>KHEJMATPUR_BRANCH</t>
  </si>
  <si>
    <t>KHEJMATPUR, PIRGANG, RANGPUR</t>
  </si>
  <si>
    <t>180851003</t>
  </si>
  <si>
    <t>MATHERHAT BRANCH</t>
  </si>
  <si>
    <t>MATHERHAT_BRANCH</t>
  </si>
  <si>
    <t>MATHERHAT, MITHAPUKUR, RANGPUR</t>
  </si>
  <si>
    <t>180851090</t>
  </si>
  <si>
    <t>MITHAPUKUR BRANCH</t>
  </si>
  <si>
    <t>MITHAPUKUR_BRANCH</t>
  </si>
  <si>
    <t>MITHAPUKUR, RANGPUR</t>
  </si>
  <si>
    <t>05225 56166</t>
  </si>
  <si>
    <t>180851124</t>
  </si>
  <si>
    <t>MODHUPUR BRANCH</t>
  </si>
  <si>
    <t>MODHUPUR_BRANCH</t>
  </si>
  <si>
    <t>MODHUPUR, BADARGANJ, RANGPUR</t>
  </si>
  <si>
    <t>180851153</t>
  </si>
  <si>
    <t>NAGERHAT BRANCH</t>
  </si>
  <si>
    <t>NAGERHAT_BRANCH</t>
  </si>
  <si>
    <t>NAGERHAT, BADARGANJ, RANGPUR</t>
  </si>
  <si>
    <t>180851245</t>
  </si>
  <si>
    <t>PAIRABAND BRANCH</t>
  </si>
  <si>
    <t>PAIRABAND_BRANCH</t>
  </si>
  <si>
    <t>PAIRABAND, MITHAPUKUR, RANGPUR</t>
  </si>
  <si>
    <t>180851337</t>
  </si>
  <si>
    <t>PIRGACHHA, RABGPUR</t>
  </si>
  <si>
    <t>05226 56016</t>
  </si>
  <si>
    <t>180851366</t>
  </si>
  <si>
    <t>PIRGANJ, RANGPUR</t>
  </si>
  <si>
    <t>05227 56016</t>
  </si>
  <si>
    <t>180851395</t>
  </si>
  <si>
    <t>PORSHURAM BRANCH</t>
  </si>
  <si>
    <t>PORSHURAM_BRANCH</t>
  </si>
  <si>
    <t>PORSHURAM, GANGACHARA, RANGPUR</t>
  </si>
  <si>
    <t>180851458</t>
  </si>
  <si>
    <t>RANGPUR SADAR, RANGPUR</t>
  </si>
  <si>
    <t>0521 62376</t>
  </si>
  <si>
    <t>180851579</t>
  </si>
  <si>
    <t>RANIPUKUR BRANCH</t>
  </si>
  <si>
    <t>RANIPUKUR_BRANCH</t>
  </si>
  <si>
    <t>RANIPUKUR, MITHAPUKUR, RANGPUR</t>
  </si>
  <si>
    <t>180851632</t>
  </si>
  <si>
    <t>SADDAPUSKARINI BRANCH</t>
  </si>
  <si>
    <t>SADDAPUSKARINI_BRANCH</t>
  </si>
  <si>
    <t>SADDAPUSKARINI, RANGPUR</t>
  </si>
  <si>
    <t>180851816</t>
  </si>
  <si>
    <t>SHANERHAT, PIRGANJ, RANGPUR</t>
  </si>
  <si>
    <t>180851908</t>
  </si>
  <si>
    <t>SHUKURERHAT BRANCH</t>
  </si>
  <si>
    <t>SHUKURERHAT_BRANCH</t>
  </si>
  <si>
    <t>SHUKURERHAT, MITHAPUKUR, RANGPUR</t>
  </si>
  <si>
    <t>180851937</t>
  </si>
  <si>
    <t>TARAGANJ, RANGPUR</t>
  </si>
  <si>
    <t>05228 56019</t>
  </si>
  <si>
    <t>180851940</t>
  </si>
  <si>
    <t>TAXERHAT BRANCH</t>
  </si>
  <si>
    <t>TAXERHAT_BRANCH</t>
  </si>
  <si>
    <t>TAXERHAT, BADARGANG, RANGPUR</t>
  </si>
  <si>
    <t>180880229</t>
  </si>
  <si>
    <t>BELKUCHI, SIRAJGANJ</t>
  </si>
  <si>
    <t>07522 56450</t>
  </si>
  <si>
    <t>180880311</t>
  </si>
  <si>
    <t>BHADRAGHAT BRANCH</t>
  </si>
  <si>
    <t>BHADRAGHAT_BRANCH</t>
  </si>
  <si>
    <t>BHADRAGHAT, KAMARKANDA, SIRAJGANJ</t>
  </si>
  <si>
    <t>0751 64486</t>
  </si>
  <si>
    <t>180880403</t>
  </si>
  <si>
    <t>CHALITADANGA BRANCH</t>
  </si>
  <si>
    <t>CHALITADANGA_BRANCH</t>
  </si>
  <si>
    <t>CHALITADANGA, KAZIPUR, SIRAJGANJ</t>
  </si>
  <si>
    <t>180880461</t>
  </si>
  <si>
    <t>CHONGACHA HAT BRANCH</t>
  </si>
  <si>
    <t>CHONGACHA_HAT_BRANCH</t>
  </si>
  <si>
    <t>CHONGACHA HAT, SIRAJGANJ SADAR, SIRAJGANJ</t>
  </si>
  <si>
    <t>180880524</t>
  </si>
  <si>
    <t>CHOWHALI BRANCH</t>
  </si>
  <si>
    <t>CHOWHALI_BRANCH</t>
  </si>
  <si>
    <t>KHASKAULIA, CHOWHALI, SIRAJGANJ</t>
  </si>
  <si>
    <t>0751 63822-23</t>
  </si>
  <si>
    <t>180880858</t>
  </si>
  <si>
    <t>GABDHAIL BAZAR BRANCH</t>
  </si>
  <si>
    <t>GABDHAIL_BAZAR_BRANCH</t>
  </si>
  <si>
    <t>GABDHAIL, KAZIPUR, SIRAJGANJ</t>
  </si>
  <si>
    <t>180880887</t>
  </si>
  <si>
    <t>GHURKA, RAIGANJ, SIRAJGANJ</t>
  </si>
  <si>
    <t>180881031</t>
  </si>
  <si>
    <t>KAMARKAND BRANCH</t>
  </si>
  <si>
    <t>KAMARKAND_BRANCH</t>
  </si>
  <si>
    <t>BODIJAMTOLI, KAMARKAND, SIRAJGANJ</t>
  </si>
  <si>
    <t>07524 56007</t>
  </si>
  <si>
    <t>180881060</t>
  </si>
  <si>
    <t>KASHINATHPUR, KAYAMPUR, SHAHJADPUR, SIRAJGANJ</t>
  </si>
  <si>
    <t>180881244</t>
  </si>
  <si>
    <t>KHOKSHABARI BRANCH</t>
  </si>
  <si>
    <t>KHOKSHABARI_BRANCH</t>
  </si>
  <si>
    <t>KHOKSHABARI, SIRAJGANJ SADAR, SIRAJGANJ</t>
  </si>
  <si>
    <t>180881365</t>
  </si>
  <si>
    <t>MEGHAI BRANCH</t>
  </si>
  <si>
    <t>MEGHAI_BRANCH</t>
  </si>
  <si>
    <t>MEGHAI, KAZIPUR, SIRAJGANJ</t>
  </si>
  <si>
    <t>07525 56295</t>
  </si>
  <si>
    <t>180881486</t>
  </si>
  <si>
    <t>NEWARGACHA BRANCH</t>
  </si>
  <si>
    <t>NEWARGACHA_BRANCH</t>
  </si>
  <si>
    <t>NEWARGACHA, ULLAHPARA, SIRAJGANJ</t>
  </si>
  <si>
    <t>07529 56340</t>
  </si>
  <si>
    <t>180881549</t>
  </si>
  <si>
    <t>PANCHAKUSHI BRANCH</t>
  </si>
  <si>
    <t>PANCHAKUSHI_BRANCH</t>
  </si>
  <si>
    <t>PANCHAKUSHI, ULLAHPARA, SIRAJGANJ</t>
  </si>
  <si>
    <t>180881631</t>
  </si>
  <si>
    <t>PURNIMAHAT BRANCH</t>
  </si>
  <si>
    <t>PURNIMAHAT_BRANCH</t>
  </si>
  <si>
    <t>PURNIMAHAT, ULLAHPARA, SIRAJGANJ</t>
  </si>
  <si>
    <t>07529 56180</t>
  </si>
  <si>
    <t>180881699</t>
  </si>
  <si>
    <t>DHANGARA, RAIGANJ, SIRAJGANJ</t>
  </si>
  <si>
    <t>07526 56117</t>
  </si>
  <si>
    <t>180881815</t>
  </si>
  <si>
    <t>SAYDABAD BRANCH</t>
  </si>
  <si>
    <t>SAYDABAD_BRANCH</t>
  </si>
  <si>
    <t>SAYDABAD, SHAHJADPUR, SIRAJGANJ</t>
  </si>
  <si>
    <t>180881907</t>
  </si>
  <si>
    <t>SHAHJADPUR, SIRAJGANJ</t>
  </si>
  <si>
    <t>07527 64536</t>
  </si>
  <si>
    <t>180881873</t>
  </si>
  <si>
    <t>SIRAJGANJ SADAR, SIRAJGANJ</t>
  </si>
  <si>
    <t>0751 62041</t>
  </si>
  <si>
    <t>180882148</t>
  </si>
  <si>
    <t>TAMAI, BELKUCHI, SIRAJGANJ</t>
  </si>
  <si>
    <t>180882177</t>
  </si>
  <si>
    <t>TARASH, SIRAJGANJ</t>
  </si>
  <si>
    <t>07528 56207</t>
  </si>
  <si>
    <t>180882201</t>
  </si>
  <si>
    <t>UDHUNIA BAZAR BRANCH</t>
  </si>
  <si>
    <t>UDHUNIA_BAZAR_BRANCH</t>
  </si>
  <si>
    <t>UDHUNIA BAZAR, ULLAHPARA, SIRAJGANJ</t>
  </si>
  <si>
    <t>180882230</t>
  </si>
  <si>
    <t>ULLAHPARA, SIRAJGANJ</t>
  </si>
  <si>
    <t>07529 56140</t>
  </si>
  <si>
    <t>180940077</t>
  </si>
  <si>
    <t>AWLIAPUR, KACHUBARI, THAKURGAON</t>
  </si>
  <si>
    <t>180940101</t>
  </si>
  <si>
    <t>BALIADANGI BRANCH</t>
  </si>
  <si>
    <t>BALIADANGI_BRANCH</t>
  </si>
  <si>
    <t>BALIADANGI, THAKURGAON</t>
  </si>
  <si>
    <t>05622 56008</t>
  </si>
  <si>
    <t>180940130</t>
  </si>
  <si>
    <t>BEGUNBARI, THAKURGAON SADAR, THAKURGAON</t>
  </si>
  <si>
    <t>180940169</t>
  </si>
  <si>
    <t>BHABNAGANJ BRANCH</t>
  </si>
  <si>
    <t>BHABNAGANJ_BRANCH</t>
  </si>
  <si>
    <t>BHABNAGANJ, BHADUA, PIRGANJ, THAKURGAON</t>
  </si>
  <si>
    <t>180941063</t>
  </si>
  <si>
    <t>BHELAZAN BRANCH</t>
  </si>
  <si>
    <t>BHELAZAN_BRANCH</t>
  </si>
  <si>
    <t>BHELAZAN, THAKURGAON SADAR, THAKURGAON</t>
  </si>
  <si>
    <t>180940198</t>
  </si>
  <si>
    <t>BHOMRADAHA BRANCH</t>
  </si>
  <si>
    <t>BHOMRADAHA_BRANCH</t>
  </si>
  <si>
    <t>BHOMRADAHA, PIRGANJ, THAKURGAON</t>
  </si>
  <si>
    <t>180940251</t>
  </si>
  <si>
    <t>CHAROL BRANCH</t>
  </si>
  <si>
    <t>CHAROL_BRANCH</t>
  </si>
  <si>
    <t>CHAROL, LAHIRIHAT, BALIADANGI, THAKURGAON</t>
  </si>
  <si>
    <t>180940314</t>
  </si>
  <si>
    <t>CHOWRANGI BAZAR BRANCH</t>
  </si>
  <si>
    <t>CHOWRANGI_BAZAR_BRANCH</t>
  </si>
  <si>
    <t>CHOWRANGI BAZAR, PIRGANJ, HARIPUR, THAKURGAON</t>
  </si>
  <si>
    <t>180940343</t>
  </si>
  <si>
    <t>DHARMAGARH BRANCH</t>
  </si>
  <si>
    <t>DHARMAGARH_BRANCH</t>
  </si>
  <si>
    <t>DHARMAGARH, MUZAHIDABAD, RANISANKAIL, THAKURGAON</t>
  </si>
  <si>
    <t>180940372</t>
  </si>
  <si>
    <t>FARABARIHAT BRANCH</t>
  </si>
  <si>
    <t>FARABARIHAT_BRANCH</t>
  </si>
  <si>
    <t>FARABARI, THAKURGAON SADAR, THAKURGAON</t>
  </si>
  <si>
    <t>180940406</t>
  </si>
  <si>
    <t>GOGORE HAT BRANCH</t>
  </si>
  <si>
    <t>GOGORE_HAT_BRANCH</t>
  </si>
  <si>
    <t>GOGORE, RANISANKAIL, THAKURGAON</t>
  </si>
  <si>
    <t>180940464</t>
  </si>
  <si>
    <t>JIBANPUR, HARIPUR, THAKURGAON</t>
  </si>
  <si>
    <t>05623 56002</t>
  </si>
  <si>
    <t>180940527</t>
  </si>
  <si>
    <t>JADURANIHAT BRANCH</t>
  </si>
  <si>
    <t>JADURANIHAT_BRANCH</t>
  </si>
  <si>
    <t>JADURANIHAT, KAMARPUR, HARIPUR, THAKURGAON</t>
  </si>
  <si>
    <t>180940556</t>
  </si>
  <si>
    <t>KARTIKTOLA BRANCH</t>
  </si>
  <si>
    <t>KARTIKTOLA_BRANCH</t>
  </si>
  <si>
    <t>KARTIKTOLA, THAKURGAON</t>
  </si>
  <si>
    <t>180940648</t>
  </si>
  <si>
    <t>MADDERGANJ BRANCH</t>
  </si>
  <si>
    <t>MADDERGANJ_BRANCH</t>
  </si>
  <si>
    <t>MADDERGANJ, THAKURGAON SADAR, THAKURGAON</t>
  </si>
  <si>
    <t>180940701</t>
  </si>
  <si>
    <t>NARGUN BRANCH</t>
  </si>
  <si>
    <t>NARGUN_BRANCH</t>
  </si>
  <si>
    <t>NARGUN, KAHORPARA, THAKURGAON SADAR, THAKURGAON</t>
  </si>
  <si>
    <t>180940769</t>
  </si>
  <si>
    <t>PIRGANJ, THAKURGAON</t>
  </si>
  <si>
    <t>180940822</t>
  </si>
  <si>
    <t>RANISANKAIL, THAKURGAON</t>
  </si>
  <si>
    <t>05625-56003</t>
  </si>
  <si>
    <t>180940972</t>
  </si>
  <si>
    <t>NORTH CIRCULAR ROAD, THAKURGAON</t>
  </si>
  <si>
    <t>0561 52013</t>
  </si>
  <si>
    <t>RUPALI_BANK_LIMITED</t>
  </si>
  <si>
    <t>RUPALI BANK LIMITED</t>
  </si>
  <si>
    <t>185010078</t>
  </si>
  <si>
    <t>2840 / 007</t>
  </si>
  <si>
    <t>RUPBBDDH</t>
  </si>
  <si>
    <t>BAGERHAT SADAR, BAGERHAT</t>
  </si>
  <si>
    <t>0468 62332, 019 22872007</t>
  </si>
  <si>
    <t>185010131</t>
  </si>
  <si>
    <t>BARAIKHALI BRANCH</t>
  </si>
  <si>
    <t>BARAIKHALI_BRANCH</t>
  </si>
  <si>
    <t>3038 / 013</t>
  </si>
  <si>
    <t>BARAIKHALI, BAGERHAT</t>
  </si>
  <si>
    <t>04656 56211, 017 15855845</t>
  </si>
  <si>
    <t>185010160</t>
  </si>
  <si>
    <t>BETAGA BAZAR BRANCH</t>
  </si>
  <si>
    <t>BETAGA_BAZAR_BRANCH</t>
  </si>
  <si>
    <t>2980 / 016</t>
  </si>
  <si>
    <t>BETAGA BAZAR, BAGERHAT</t>
  </si>
  <si>
    <t>019 12477152</t>
  </si>
  <si>
    <t>185010465</t>
  </si>
  <si>
    <t>2865 / 046</t>
  </si>
  <si>
    <t>FAKIRHAT, BAGERHAT</t>
  </si>
  <si>
    <t>04653 56204, 016 72514161</t>
  </si>
  <si>
    <t>185010760</t>
  </si>
  <si>
    <t>2873 / 076</t>
  </si>
  <si>
    <t>KACHUA BAZAR, BAGERHAT</t>
  </si>
  <si>
    <t>04654 56012, 019 17138601</t>
  </si>
  <si>
    <t>185010881</t>
  </si>
  <si>
    <t>MANSA BAZAR BRANCH</t>
  </si>
  <si>
    <t>MANSA_BAZAR_BRANCH</t>
  </si>
  <si>
    <t>2998 / 088</t>
  </si>
  <si>
    <t>MANSA BAZAR, BAGERHAT</t>
  </si>
  <si>
    <t>017 16022896</t>
  </si>
  <si>
    <t>185010915</t>
  </si>
  <si>
    <t>2915 / 091</t>
  </si>
  <si>
    <t>MOLLAHAT, BAGERHAT</t>
  </si>
  <si>
    <t>04655 56009, 017 26601554</t>
  </si>
  <si>
    <t>185010973</t>
  </si>
  <si>
    <t>2857 / 097</t>
  </si>
  <si>
    <t>MONGLA PORT, BAGERHAT</t>
  </si>
  <si>
    <t>04658 73275, 019 17415934</t>
  </si>
  <si>
    <t>185011093</t>
  </si>
  <si>
    <t>NAGER BAZAR BRANCH</t>
  </si>
  <si>
    <t>NAGER_BAZAR_BRANCH</t>
  </si>
  <si>
    <t>2972 / 109</t>
  </si>
  <si>
    <t>NAGER BAZAR, BAGERHAT</t>
  </si>
  <si>
    <t>0468 62260, 017 12555939</t>
  </si>
  <si>
    <t>185030137</t>
  </si>
  <si>
    <t>1511 / 013</t>
  </si>
  <si>
    <t>0361 62443, 018 19903450</t>
  </si>
  <si>
    <t>185040048</t>
  </si>
  <si>
    <t>AMTOLI BRANCH</t>
  </si>
  <si>
    <t>AMTOLI_BRANCH</t>
  </si>
  <si>
    <t>5439 /</t>
  </si>
  <si>
    <t>185040130</t>
  </si>
  <si>
    <t>3467 / 013</t>
  </si>
  <si>
    <t>185040222</t>
  </si>
  <si>
    <t>3459 / 022</t>
  </si>
  <si>
    <t>04454 56008, 017 10965186</t>
  </si>
  <si>
    <t>185060044</t>
  </si>
  <si>
    <t>AGARPUR BRANCH</t>
  </si>
  <si>
    <t>AGARPUR_BRANCH</t>
  </si>
  <si>
    <t>3426 / 004</t>
  </si>
  <si>
    <t>AGARPUR, BABUGANJ, BARISAL</t>
  </si>
  <si>
    <t>017 52353221, 017 16398850</t>
  </si>
  <si>
    <t>185060402</t>
  </si>
  <si>
    <t>3251 / 040</t>
  </si>
  <si>
    <t>BAZAR ROAD, BARISAL</t>
  </si>
  <si>
    <t>0431 63824, 017 18436795</t>
  </si>
  <si>
    <t>185060460</t>
  </si>
  <si>
    <t>3236 / 046</t>
  </si>
  <si>
    <t>BHAWANIPUR, BARISAL</t>
  </si>
  <si>
    <t>017 52353220, 017 20023975</t>
  </si>
  <si>
    <t>185060615</t>
  </si>
  <si>
    <t>CENTRAL BUS TERMINAL BRANCH</t>
  </si>
  <si>
    <t>CENTRAL_BUS_TERMINAL_BRANCH</t>
  </si>
  <si>
    <t>5041 / 061</t>
  </si>
  <si>
    <t>CENTRAL BUS TERMINAL, BARISAL</t>
  </si>
  <si>
    <t>0431 63806, 017 12610888</t>
  </si>
  <si>
    <t>185060886</t>
  </si>
  <si>
    <t>HEMAYETUDDIN ROAD BRANCH</t>
  </si>
  <si>
    <t>HEMAYETUDDIN_ROAD_BRANCH</t>
  </si>
  <si>
    <t>3228 / 088</t>
  </si>
  <si>
    <t>HEMAYETUDDIN ROAD, BARISAL</t>
  </si>
  <si>
    <t>0431 65015, 017 12796898</t>
  </si>
  <si>
    <t>185061364</t>
  </si>
  <si>
    <t>5546 /</t>
  </si>
  <si>
    <t>MEHENDIGANJ, BARISAL</t>
  </si>
  <si>
    <t>04325 56006, 017 19092686</t>
  </si>
  <si>
    <t>185060060</t>
  </si>
  <si>
    <t>MULADI PORT BRANCH</t>
  </si>
  <si>
    <t>MULADI_PORT_BRANCH</t>
  </si>
  <si>
    <t>5645 /</t>
  </si>
  <si>
    <t>MINA MEDICAL HALL, HOLDING NO 90, MODHYA BAZAR, MULADI, BARISAL</t>
  </si>
  <si>
    <t>019 26974882</t>
  </si>
  <si>
    <t>185061722</t>
  </si>
  <si>
    <t>RAHMATPUR BRANCH</t>
  </si>
  <si>
    <t>RAHMATPUR_BRANCH</t>
  </si>
  <si>
    <t>3244 / 172</t>
  </si>
  <si>
    <t>RAHMATPUR, BARISAL</t>
  </si>
  <si>
    <t>04327 73388, 017 12619724</t>
  </si>
  <si>
    <t>185061814</t>
  </si>
  <si>
    <t>3210 / 181</t>
  </si>
  <si>
    <t>SADAR ROAD, BARISAL</t>
  </si>
  <si>
    <t>0431 43839, 017 15452044</t>
  </si>
  <si>
    <t>185061872</t>
  </si>
  <si>
    <t>SAGARDI BAZAR BRANCH</t>
  </si>
  <si>
    <t>SAGARDI_BAZAR_BRANCH</t>
  </si>
  <si>
    <t>3418 / 187</t>
  </si>
  <si>
    <t>SAGARDI BAZAR, BARISAL</t>
  </si>
  <si>
    <t>0431 71620, 017 15309883</t>
  </si>
  <si>
    <t>185062084</t>
  </si>
  <si>
    <t>3384 / 208</t>
  </si>
  <si>
    <t>SHIKARPUR, UZIRPUR, BARISAL</t>
  </si>
  <si>
    <t>04329 56096, 017 18063655</t>
  </si>
  <si>
    <t>185060257</t>
  </si>
  <si>
    <t>BANARI PARA</t>
  </si>
  <si>
    <t>BANARI_PARA</t>
  </si>
  <si>
    <t>185090072</t>
  </si>
  <si>
    <t>3400 / 007</t>
  </si>
  <si>
    <t>BANGLA BAZAR, BHOLA</t>
  </si>
  <si>
    <t>017 52353226, 017 27456330</t>
  </si>
  <si>
    <t>185090106</t>
  </si>
  <si>
    <t>3319 / 010</t>
  </si>
  <si>
    <t>0491 61321, 017 16412109</t>
  </si>
  <si>
    <t>185090377</t>
  </si>
  <si>
    <t>DOULATKHAN BRANCH</t>
  </si>
  <si>
    <t>DOULATKHAN_BRANCH</t>
  </si>
  <si>
    <t>5512 /</t>
  </si>
  <si>
    <t>DOULATKHAN, BHOLA</t>
  </si>
  <si>
    <t>04924 56236, 017 15592605</t>
  </si>
  <si>
    <t>185090056</t>
  </si>
  <si>
    <t>ILISHA JUNCTION BAZAR BRANCH</t>
  </si>
  <si>
    <t>ILISHA_JUNCTION_BAZAR_BRANCH</t>
  </si>
  <si>
    <t>5538 /</t>
  </si>
  <si>
    <t>ILISHA JUNCTION BAZAR, BHOLA</t>
  </si>
  <si>
    <t>185090522</t>
  </si>
  <si>
    <t>JINNAHGARH BRANCH</t>
  </si>
  <si>
    <t>JINNAHGARH_BRANCH</t>
  </si>
  <si>
    <t>3335 / 052</t>
  </si>
  <si>
    <t>JINNAHGARH, BHOLA</t>
  </si>
  <si>
    <t>04923 74008, 018 24266827</t>
  </si>
  <si>
    <t>185090643</t>
  </si>
  <si>
    <t>KUNJERHAT</t>
  </si>
  <si>
    <t>185090672</t>
  </si>
  <si>
    <t>KUTBA BRANCH</t>
  </si>
  <si>
    <t>KUTBA_BRANCH</t>
  </si>
  <si>
    <t>3327 / 067</t>
  </si>
  <si>
    <t>KUTBA, BORHANUDDIN, BHOLA</t>
  </si>
  <si>
    <t>04922 56108, 017 16274473</t>
  </si>
  <si>
    <t>185090706</t>
  </si>
  <si>
    <t>4945 / 070</t>
  </si>
  <si>
    <t>04925 75639, 017 27295044</t>
  </si>
  <si>
    <t>185090764</t>
  </si>
  <si>
    <t>MAHAJANPATTY BRANCH</t>
  </si>
  <si>
    <t>MAHAJANPATTY_BRANCH</t>
  </si>
  <si>
    <t>3434 / 076</t>
  </si>
  <si>
    <t>MAHAJANPATTY, SADAR, BHOLA</t>
  </si>
  <si>
    <t>0491 61329, 017 17407805</t>
  </si>
  <si>
    <t>185091000</t>
  </si>
  <si>
    <t>5306 /</t>
  </si>
  <si>
    <t>04927 56167, 017 25597963</t>
  </si>
  <si>
    <t>185100104</t>
  </si>
  <si>
    <t>ALTAFNAGAR BRANCH</t>
  </si>
  <si>
    <t>ALTAFNAGAR_BRANCH</t>
  </si>
  <si>
    <t>4226 / 010</t>
  </si>
  <si>
    <t>ALTAFNAGAR, BOGRA</t>
  </si>
  <si>
    <t>017 16010354</t>
  </si>
  <si>
    <t>185100317</t>
  </si>
  <si>
    <t>BHAIRPUKUR BRANCH</t>
  </si>
  <si>
    <t>BHAIRPUKUR_BRANCH</t>
  </si>
  <si>
    <t>4804 / 031</t>
  </si>
  <si>
    <t>BHAIRPUKUR, SHIBGANJ, BOGRA</t>
  </si>
  <si>
    <t>017 23733897</t>
  </si>
  <si>
    <t>185100438</t>
  </si>
  <si>
    <t>BOGRA CONTONMENT BRANCH</t>
  </si>
  <si>
    <t>BOGRA_CONTONMENT_BRANCH</t>
  </si>
  <si>
    <t>4200 / 043</t>
  </si>
  <si>
    <t>BOGRA CONTONMENT, BOGRA</t>
  </si>
  <si>
    <t>051 82165, 017 21422181</t>
  </si>
  <si>
    <t>185101695</t>
  </si>
  <si>
    <t>BOGRA LADIES BRANCH</t>
  </si>
  <si>
    <t>BOGRA_LADIES_BRANCH</t>
  </si>
  <si>
    <t>4010 / 169</t>
  </si>
  <si>
    <t>BOGRA SADAR, BOGRA</t>
  </si>
  <si>
    <t>051 63607, 017 10453381</t>
  </si>
  <si>
    <t>185100496</t>
  </si>
  <si>
    <t>BOROGOLA</t>
  </si>
  <si>
    <t>185100559</t>
  </si>
  <si>
    <t>4259 / 055</t>
  </si>
  <si>
    <t>BUS STAND, BOGRA</t>
  </si>
  <si>
    <t>05029 77004, 017 12113085</t>
  </si>
  <si>
    <t>185100917</t>
  </si>
  <si>
    <t>4028 / 091</t>
  </si>
  <si>
    <t>05024 51004, 017 18628591</t>
  </si>
  <si>
    <t>185101037</t>
  </si>
  <si>
    <t>4036 / 103</t>
  </si>
  <si>
    <t>05025 75004, 017 56742377</t>
  </si>
  <si>
    <t>185101240</t>
  </si>
  <si>
    <t>GOLABARI BRANCH</t>
  </si>
  <si>
    <t>GOLABARI_BRANCH</t>
  </si>
  <si>
    <t>4135 / 124</t>
  </si>
  <si>
    <t>GOLABARI, BOGRA</t>
  </si>
  <si>
    <t>017 21696211</t>
  </si>
  <si>
    <t>185101279</t>
  </si>
  <si>
    <t>GOSHAIBARI BRANCH</t>
  </si>
  <si>
    <t>GOSHAIBARI_BRANCH</t>
  </si>
  <si>
    <t>4093 / 127</t>
  </si>
  <si>
    <t>GOSHAIBARI, BOGRA</t>
  </si>
  <si>
    <t>017 17585544</t>
  </si>
  <si>
    <t>185101361</t>
  </si>
  <si>
    <t>HATFULBARI BRANCH</t>
  </si>
  <si>
    <t>HATFULBARI_BRANCH</t>
  </si>
  <si>
    <t>4192 / 136</t>
  </si>
  <si>
    <t>HATFULBARI, BOGRA</t>
  </si>
  <si>
    <t>017 16594355</t>
  </si>
  <si>
    <t>185101424</t>
  </si>
  <si>
    <t>JAHANGIRABAD CANTONMENT BRANCH</t>
  </si>
  <si>
    <t>JAHANGIRABAD_CANTONMENT_BRANCH</t>
  </si>
  <si>
    <t>4127 / 142</t>
  </si>
  <si>
    <t>JAHANGIRABAD CANTONMENT, BOGRA</t>
  </si>
  <si>
    <t>051 63484, 017 11191170</t>
  </si>
  <si>
    <t>185101545</t>
  </si>
  <si>
    <t>KAHALOO BRANCH</t>
  </si>
  <si>
    <t>KAHALOO_BRANCH</t>
  </si>
  <si>
    <t>4051 / 154</t>
  </si>
  <si>
    <t>KAHALOO, BOGRA</t>
  </si>
  <si>
    <t>0502 656019, 017 12276557</t>
  </si>
  <si>
    <t>185101637</t>
  </si>
  <si>
    <t>KICHAK BRANCH</t>
  </si>
  <si>
    <t>KICHAK_BRANCH</t>
  </si>
  <si>
    <t>4218 / 163</t>
  </si>
  <si>
    <t>KICHAK, SHIBGANJ, BOGRA</t>
  </si>
  <si>
    <t>017 16872063</t>
  </si>
  <si>
    <t>185101787</t>
  </si>
  <si>
    <t>MAHASTHAN BRANCH</t>
  </si>
  <si>
    <t>MAHASTHAN_BRANCH</t>
  </si>
  <si>
    <t>4085 / 178</t>
  </si>
  <si>
    <t>MAHASTHAN, BOGRA</t>
  </si>
  <si>
    <t>017 20095501</t>
  </si>
  <si>
    <t>185101932</t>
  </si>
  <si>
    <t>MOKAMTOLA BRANCH</t>
  </si>
  <si>
    <t>MOKAMTOLA_BRANCH</t>
  </si>
  <si>
    <t>4069 / 193</t>
  </si>
  <si>
    <t>MOKAMTOLA, SHIBGANJ, BOGRA</t>
  </si>
  <si>
    <t>017 16036449</t>
  </si>
  <si>
    <t>185101961</t>
  </si>
  <si>
    <t>NAMAJGARH BRANCH</t>
  </si>
  <si>
    <t>NAMAJGARH_BRANCH</t>
  </si>
  <si>
    <t>4143 / 196</t>
  </si>
  <si>
    <t>NAMAJGARH, SHANTAHAR ROAD, BOGRA</t>
  </si>
  <si>
    <t>051 63552, 017 16726235</t>
  </si>
  <si>
    <t>185102623</t>
  </si>
  <si>
    <t>SHABGRAMHAT</t>
  </si>
  <si>
    <t>185102599</t>
  </si>
  <si>
    <t>SHAHEKPARA BRANCH</t>
  </si>
  <si>
    <t>SHAHEKPARA_BRANCH</t>
  </si>
  <si>
    <t>4150 / 259</t>
  </si>
  <si>
    <t>SHAHEKPARA, BOGRA</t>
  </si>
  <si>
    <t>017 17127474</t>
  </si>
  <si>
    <t>185102807</t>
  </si>
  <si>
    <t>4044 / 280</t>
  </si>
  <si>
    <t>05033 69004, 017 156394761</t>
  </si>
  <si>
    <t>185103019</t>
  </si>
  <si>
    <t>SUKHANPUKUR BRANCH</t>
  </si>
  <si>
    <t>SUKHANPUKUR_BRANCH</t>
  </si>
  <si>
    <t>4077 / 301</t>
  </si>
  <si>
    <t>SUKHANPUKUR, GABTALI, BOGRA</t>
  </si>
  <si>
    <t>017 20689088</t>
  </si>
  <si>
    <t>185103169</t>
  </si>
  <si>
    <t>3988 / 316</t>
  </si>
  <si>
    <t>RUPBBDDHTRB</t>
  </si>
  <si>
    <t>THANA ROAD, BOGRA</t>
  </si>
  <si>
    <t>051 66543, 63592, 017 17412181</t>
  </si>
  <si>
    <t>185120100</t>
  </si>
  <si>
    <t>5264 /</t>
  </si>
  <si>
    <t>185120434</t>
  </si>
  <si>
    <t>2279 / 043</t>
  </si>
  <si>
    <t>BRAHMANBARIA SADAR, BRAHMANBARIA</t>
  </si>
  <si>
    <t>0851 58178, 019 13365066</t>
  </si>
  <si>
    <t>185121367</t>
  </si>
  <si>
    <t>5280 /</t>
  </si>
  <si>
    <t>08525 75217, 017 16074366</t>
  </si>
  <si>
    <t>185130587</t>
  </si>
  <si>
    <t>CHITOSHI BAZAR BRANCH</t>
  </si>
  <si>
    <t>CHITOSHI_BAZAR_BRANCH</t>
  </si>
  <si>
    <t>2329 / 058</t>
  </si>
  <si>
    <t>CHITOSHI BAZAR, CHANDPUR</t>
  </si>
  <si>
    <t>017 12540641</t>
  </si>
  <si>
    <t>185130882</t>
  </si>
  <si>
    <t>2303 / 088</t>
  </si>
  <si>
    <t>HAJIGANJ, CHANDPUR</t>
  </si>
  <si>
    <t>08424 75203, 017 12805026</t>
  </si>
  <si>
    <t>185131128</t>
  </si>
  <si>
    <t>MAHAMAYA BAZAR</t>
  </si>
  <si>
    <t>MAHAMAYA_BAZAR</t>
  </si>
  <si>
    <t>185131481</t>
  </si>
  <si>
    <t>2287 / 148</t>
  </si>
  <si>
    <t>NATUN BAZAR, CHANDPUR</t>
  </si>
  <si>
    <t>0841 63360, 017 20547675</t>
  </si>
  <si>
    <t>185131573</t>
  </si>
  <si>
    <t>NAZIRPARA BRANCH</t>
  </si>
  <si>
    <t>NAZIRPARA_BRANCH</t>
  </si>
  <si>
    <t>2352 / 157</t>
  </si>
  <si>
    <t>NAZIRPARA, CHANDPUR</t>
  </si>
  <si>
    <t>0841 63138, 017 26771171</t>
  </si>
  <si>
    <t>185131665</t>
  </si>
  <si>
    <t>185131757</t>
  </si>
  <si>
    <t>2394 / 175</t>
  </si>
  <si>
    <t>RAMPURA BAZAR, CHANDPUR</t>
  </si>
  <si>
    <t>017 12573342</t>
  </si>
  <si>
    <t>185131931</t>
  </si>
  <si>
    <t>SHAHTALI BAZAR BRANCH</t>
  </si>
  <si>
    <t>SHAHTALI_BAZAR_BRANCH</t>
  </si>
  <si>
    <t>2337 / 193</t>
  </si>
  <si>
    <t>SHAHTALI BAZAR, CHANDPUR</t>
  </si>
  <si>
    <t>017 32198950</t>
  </si>
  <si>
    <t>185700104</t>
  </si>
  <si>
    <t>BALIADANGA BRANCH</t>
  </si>
  <si>
    <t>BALIADANGA_BRANCH</t>
  </si>
  <si>
    <t>3665 / 010</t>
  </si>
  <si>
    <t>BALIADANGA, CHAPAI NAWABGANJ</t>
  </si>
  <si>
    <t>0781 625338, 017 12480362</t>
  </si>
  <si>
    <t>185700162</t>
  </si>
  <si>
    <t>3558 / 016</t>
  </si>
  <si>
    <t>BHOLAHAT, CHAPAI NAWABGANJ</t>
  </si>
  <si>
    <t>07822 56006, 017 16960650</t>
  </si>
  <si>
    <t>185700254</t>
  </si>
  <si>
    <t>3541 / 025</t>
  </si>
  <si>
    <t>CHAPAI NAWABGANJ SADAR, CHAPAI NAWABGANJ</t>
  </si>
  <si>
    <t>0781 52232, 017 40880396</t>
  </si>
  <si>
    <t>185700762</t>
  </si>
  <si>
    <t>NAMASANKARBATI BRANCH</t>
  </si>
  <si>
    <t>NAMASANKARBATI_BRANCH</t>
  </si>
  <si>
    <t>3673 / 076</t>
  </si>
  <si>
    <t>NAMASANKARBATI, CHAPAI NAWABGANJ</t>
  </si>
  <si>
    <t>0781 52142, 017 16844083</t>
  </si>
  <si>
    <t>185701095</t>
  </si>
  <si>
    <t>3681 / 109</t>
  </si>
  <si>
    <t>ROHANPUR, CHAPAI NAWABGANJ</t>
  </si>
  <si>
    <t>07823 74048, 017 17035107</t>
  </si>
  <si>
    <t>185150109</t>
  </si>
  <si>
    <t>1420 / 010</t>
  </si>
  <si>
    <t>KDS BHABAN, ABU TORAB BAZAR, MIRSARAI, CHITTAGONG</t>
  </si>
  <si>
    <t>018 61565349</t>
  </si>
  <si>
    <t>185150138</t>
  </si>
  <si>
    <t>1297 / 013</t>
  </si>
  <si>
    <t>RUPBBDDHAGC</t>
  </si>
  <si>
    <t>AGRABAD, CHITTAGONG</t>
  </si>
  <si>
    <t>031 723959, 018 9616402</t>
  </si>
  <si>
    <t>185150370</t>
  </si>
  <si>
    <t>1560 / 037</t>
  </si>
  <si>
    <t>AMIR MARKET, RANGUNIA HWY, NOAPARA, CHITTAGONG</t>
  </si>
  <si>
    <t>031 611240, 018 17705638</t>
  </si>
  <si>
    <t>185150491</t>
  </si>
  <si>
    <t>1552 / 049</t>
  </si>
  <si>
    <t>OR NIZAM ROAD, 15 BAGH MONIRAMPUR, CHITTAGONG</t>
  </si>
  <si>
    <t>031 73959, 018 19616402</t>
  </si>
  <si>
    <t>185150525</t>
  </si>
  <si>
    <t>5504 /</t>
  </si>
  <si>
    <t>03029 56054, 017 16882336</t>
  </si>
  <si>
    <t>185151366</t>
  </si>
  <si>
    <t>BAKSHIRHAT BRANCH</t>
  </si>
  <si>
    <t>BAKSHIRHAT_BRANCH</t>
  </si>
  <si>
    <t>1719 / 136</t>
  </si>
  <si>
    <t>BAKSHIRHAT, CHITTAGONG</t>
  </si>
  <si>
    <t>031 611300, 018 36318931</t>
  </si>
  <si>
    <t>185151245</t>
  </si>
  <si>
    <t>5082 / 124</t>
  </si>
  <si>
    <t>031 683612, 018 19066092</t>
  </si>
  <si>
    <t>185151690</t>
  </si>
  <si>
    <t>CHAITANYAGALI BRANCH</t>
  </si>
  <si>
    <t>CHAITANYAGALI_BRANCH</t>
  </si>
  <si>
    <t>5090 / 169</t>
  </si>
  <si>
    <t>CHAITANYAGALI, CHITTAGONG</t>
  </si>
  <si>
    <t>031 613218, 017 11178804</t>
  </si>
  <si>
    <t>185151753</t>
  </si>
  <si>
    <t>1610 / 175</t>
  </si>
  <si>
    <t>CHAKTAI, CHITTAGONG</t>
  </si>
  <si>
    <t>031 634404, 017 12267220</t>
  </si>
  <si>
    <t>185151845</t>
  </si>
  <si>
    <t>1750 / 184</t>
  </si>
  <si>
    <t>CHANDGAON, CHITTAGONG</t>
  </si>
  <si>
    <t>031 650625, 018 19861964</t>
  </si>
  <si>
    <t>185151937</t>
  </si>
  <si>
    <t>1602 / 193</t>
  </si>
  <si>
    <t>CHAWK BAZAR, CHITTAGONG</t>
  </si>
  <si>
    <t>031 655447, 018 17709530</t>
  </si>
  <si>
    <t>185154484</t>
  </si>
  <si>
    <t>1479 / 448</t>
  </si>
  <si>
    <t>CHITTAGONG SADAR, CHITTAGONG</t>
  </si>
  <si>
    <t>031 614420, 018 16362966</t>
  </si>
  <si>
    <t>185152323</t>
  </si>
  <si>
    <t>COMMERCIAL AREA BRANCH</t>
  </si>
  <si>
    <t>COMMERCIAL_AREA_BRANCH</t>
  </si>
  <si>
    <t>1313 / 232</t>
  </si>
  <si>
    <t>COMMERCIAL AREA, CHITTAGONG</t>
  </si>
  <si>
    <t>031 727146, 018 19522125</t>
  </si>
  <si>
    <t>185152415</t>
  </si>
  <si>
    <t>1453 / 241</t>
  </si>
  <si>
    <t>DEWAN BAZAR, CHITTAGONG</t>
  </si>
  <si>
    <t>031 613078, 018 19616494</t>
  </si>
  <si>
    <t>185152473</t>
  </si>
  <si>
    <t>DHANIALAPARA BRANCH</t>
  </si>
  <si>
    <t>DHANIALAPARA_BRANCH</t>
  </si>
  <si>
    <t>1487 / 247</t>
  </si>
  <si>
    <t>DHANIALAPARA, CHITTAGONG 4000</t>
  </si>
  <si>
    <t>031 728037, 018 16517043</t>
  </si>
  <si>
    <t>185150091</t>
  </si>
  <si>
    <t>5496 /</t>
  </si>
  <si>
    <t>ENAYETPUR, CHITTAGONG</t>
  </si>
  <si>
    <t>017 82166299, 018 17353580</t>
  </si>
  <si>
    <t>185153043</t>
  </si>
  <si>
    <t>GOMDANDI BRANCH</t>
  </si>
  <si>
    <t>GOMDANDI_BRANCH</t>
  </si>
  <si>
    <t>1396 / 304</t>
  </si>
  <si>
    <t>GOMDANDI, BOALKHALI, CHITTAGONG</t>
  </si>
  <si>
    <t>017 8877438, 018 15458218</t>
  </si>
  <si>
    <t>185152981</t>
  </si>
  <si>
    <t>GORCHI BRANCH</t>
  </si>
  <si>
    <t>GORCHI_BRANCH</t>
  </si>
  <si>
    <t>1768 / 298</t>
  </si>
  <si>
    <t>GORCHI, RAWZAN, CHITTAGONG</t>
  </si>
  <si>
    <t>018 57212663, 018 17774772</t>
  </si>
  <si>
    <t>185153106</t>
  </si>
  <si>
    <t>185153348</t>
  </si>
  <si>
    <t>IQBAL ROAD BRANCH</t>
  </si>
  <si>
    <t>IQBAL_ROAD_BRANCH</t>
  </si>
  <si>
    <t>1529 / 334</t>
  </si>
  <si>
    <t>IQBAL ROAD, CHITTAGONG</t>
  </si>
  <si>
    <t>031 634834, 018 15619000</t>
  </si>
  <si>
    <t>185153401</t>
  </si>
  <si>
    <t>ISHAN MISTRY HAT</t>
  </si>
  <si>
    <t>ISHAN_MISTRY_HAT</t>
  </si>
  <si>
    <t>185153498</t>
  </si>
  <si>
    <t>JAHAN BUILDING BRANCH</t>
  </si>
  <si>
    <t>JAHAN_BUILDING_BRANCH</t>
  </si>
  <si>
    <t>1305 / 349</t>
  </si>
  <si>
    <t>JAHAN BUILDING, AGRABAD COMMERCIAL AREA, CHITTAGONG</t>
  </si>
  <si>
    <t>031 715706, 017 15183400</t>
  </si>
  <si>
    <t>185153643</t>
  </si>
  <si>
    <t>1651 / 364</t>
  </si>
  <si>
    <t>JUBILEE ROAD, CHITTAGONG</t>
  </si>
  <si>
    <t>031 614402, 018 18130920</t>
  </si>
  <si>
    <t>185153919</t>
  </si>
  <si>
    <t>1669 / 391</t>
  </si>
  <si>
    <t>KALURGHAT, CHITTAGONG</t>
  </si>
  <si>
    <t>031 670596, 017 14491239</t>
  </si>
  <si>
    <t>185154242</t>
  </si>
  <si>
    <t>KHANSHAT</t>
  </si>
  <si>
    <t>185154392</t>
  </si>
  <si>
    <t>1685 / 439</t>
  </si>
  <si>
    <t>KORBANIGANG, TERRIBAZAR, CHITTAGONG</t>
  </si>
  <si>
    <t>031 631782, 018 16810094</t>
  </si>
  <si>
    <t>185154600</t>
  </si>
  <si>
    <t>LAMABAZAR BRANCH</t>
  </si>
  <si>
    <t>LAMABAZAR_BRANCH</t>
  </si>
  <si>
    <t>1578 / 460</t>
  </si>
  <si>
    <t>LAMAR BAZAR, CHITTAGONG</t>
  </si>
  <si>
    <t>185154639</t>
  </si>
  <si>
    <t>LICHUBAGAN BAZAR BRANCH</t>
  </si>
  <si>
    <t>LICHUBAGAN_BAZAR_BRANCH</t>
  </si>
  <si>
    <t>1735 / 463</t>
  </si>
  <si>
    <t>LICHUBAGAN BAZAR, CHITTAGONG 4000</t>
  </si>
  <si>
    <t>0351 51024, 018 37600870</t>
  </si>
  <si>
    <t>185155746</t>
  </si>
  <si>
    <t>NURALIBARI BRANCH</t>
  </si>
  <si>
    <t>NURALIBARI_BRANCH</t>
  </si>
  <si>
    <t>1693 / 574</t>
  </si>
  <si>
    <t>NURALIBARI, HATHAZARI, CHITTAGONG</t>
  </si>
  <si>
    <t>031 670433, 018 18882853</t>
  </si>
  <si>
    <t>185155867</t>
  </si>
  <si>
    <t>OMAR ALI MARKET BRANCH</t>
  </si>
  <si>
    <t>OMAR_ALI_MARKET_BRANCH</t>
  </si>
  <si>
    <t>1743 / 586</t>
  </si>
  <si>
    <t>OMAR ALI MARKET, ASHRAF ALI ROAD, CHITTAGONG 4000</t>
  </si>
  <si>
    <t>031 633334, 017 20178995</t>
  </si>
  <si>
    <t>185155920</t>
  </si>
  <si>
    <t>1321 / 592</t>
  </si>
  <si>
    <t>PAHARTALI, CHITTAGONG</t>
  </si>
  <si>
    <t>031 751793, 019 86433587</t>
  </si>
  <si>
    <t>185156040</t>
  </si>
  <si>
    <t>1727 / 604</t>
  </si>
  <si>
    <t>PANCHLAISH, CHITTAGONG</t>
  </si>
  <si>
    <t>031 652898, 018 17255942</t>
  </si>
  <si>
    <t>185156132</t>
  </si>
  <si>
    <t>1701 / 613</t>
  </si>
  <si>
    <t>PATHER HAT, CHITTAGONG</t>
  </si>
  <si>
    <t>03125 72705, 018 16514458</t>
  </si>
  <si>
    <t>185156161</t>
  </si>
  <si>
    <t>1461 / 616</t>
  </si>
  <si>
    <t>03035 56226, 018 13904135</t>
  </si>
  <si>
    <t>185156495</t>
  </si>
  <si>
    <t>1446 / 649</t>
  </si>
  <si>
    <t>03026 56011, 017 12943939</t>
  </si>
  <si>
    <t>185156611</t>
  </si>
  <si>
    <t>RUPALI SADAN BRANCH</t>
  </si>
  <si>
    <t>RUPALI_SADAN_BRANCH</t>
  </si>
  <si>
    <t>1271 / 661</t>
  </si>
  <si>
    <t>RUPBBDDHRSC</t>
  </si>
  <si>
    <t>RUPALI SADAN, CHITTAGONG</t>
  </si>
  <si>
    <t>031 619426, 017 11101938</t>
  </si>
  <si>
    <t>185156732</t>
  </si>
  <si>
    <t>1644 / 673</t>
  </si>
  <si>
    <t>SADARGHAT, CHITTAGONG</t>
  </si>
  <si>
    <t>031 614449, 018 19385747</t>
  </si>
  <si>
    <t>185156761</t>
  </si>
  <si>
    <t>SAGARIKA ROAD BRANCH</t>
  </si>
  <si>
    <t>SAGARIKA_ROAD_BRANCH</t>
  </si>
  <si>
    <t>5157 / 676</t>
  </si>
  <si>
    <t>SAGARIKA ROAD, CHITTAGONG</t>
  </si>
  <si>
    <t>031 751451, 011 95101410</t>
  </si>
  <si>
    <t>185156824</t>
  </si>
  <si>
    <t>SHAKPURA CHOWMUHANI BRANCH</t>
  </si>
  <si>
    <t>SHAKPURA_CHOWMUHANI_BRANCH</t>
  </si>
  <si>
    <t>1537 / 682</t>
  </si>
  <si>
    <t>SHAKPURA CHOWMUHANI, BOALKHALI, CHITTAGONG</t>
  </si>
  <si>
    <t>01817269538</t>
  </si>
  <si>
    <t>185156974</t>
  </si>
  <si>
    <t>1438 / 697</t>
  </si>
  <si>
    <t>MIR MARKET, MAHAJANHAT, MIRSARAI, CHITAGONG</t>
  </si>
  <si>
    <t>018 61565350</t>
  </si>
  <si>
    <t>185157515</t>
  </si>
  <si>
    <t>1636 / 751</t>
  </si>
  <si>
    <t>STATION ROAD, CHITTAGONG</t>
  </si>
  <si>
    <t>031 613886, 015 52374678</t>
  </si>
  <si>
    <t>185157481</t>
  </si>
  <si>
    <t>1628 / 748</t>
  </si>
  <si>
    <t>STRAND ROAD, CHITTAGONG</t>
  </si>
  <si>
    <t>017 10800894</t>
  </si>
  <si>
    <t>185157636</t>
  </si>
  <si>
    <t>1594 / 763</t>
  </si>
  <si>
    <t>TERRI BAZAR, CHITTAGONG</t>
  </si>
  <si>
    <t>031 611106, 017 20234453</t>
  </si>
  <si>
    <t>185157665</t>
  </si>
  <si>
    <t>URKIRCHAR BRANCH</t>
  </si>
  <si>
    <t>URKIRCHAR_BRANCH</t>
  </si>
  <si>
    <t>1495 / 766</t>
  </si>
  <si>
    <t>URKIRCHAR, RAOZAN, CHITTAGONG</t>
  </si>
  <si>
    <t>031 671039, 018 18604274</t>
  </si>
  <si>
    <t>185180045</t>
  </si>
  <si>
    <t>5223 / 004</t>
  </si>
  <si>
    <t>ALAMDANGA, CHUADANGA</t>
  </si>
  <si>
    <t>07622 56247, 017 17013195</t>
  </si>
  <si>
    <t>185180195</t>
  </si>
  <si>
    <t>3178 / 019</t>
  </si>
  <si>
    <t>CHUADANGA SADAR, CHUADANGA</t>
  </si>
  <si>
    <t>0761 63140, 017 18209813</t>
  </si>
  <si>
    <t>185180287</t>
  </si>
  <si>
    <t>4721 / 028</t>
  </si>
  <si>
    <t>185180737</t>
  </si>
  <si>
    <t>MOMINPUR BRANCH</t>
  </si>
  <si>
    <t>MOMINPUR_BRANCH</t>
  </si>
  <si>
    <t>4705 / 073</t>
  </si>
  <si>
    <t>MOMINPUR, CHUADANGA</t>
  </si>
  <si>
    <t>0761 64243, 017 16606701</t>
  </si>
  <si>
    <t>185190314</t>
  </si>
  <si>
    <t>2238 / 031</t>
  </si>
  <si>
    <t>BAGMARA BAZAR, COMILLA</t>
  </si>
  <si>
    <t>017 12563954</t>
  </si>
  <si>
    <t>185190464</t>
  </si>
  <si>
    <t>BARERA BAZAR BRANCH</t>
  </si>
  <si>
    <t>BARERA_BAZAR_BRANCH</t>
  </si>
  <si>
    <t>4911 / 046</t>
  </si>
  <si>
    <t>BARERA BAZAR, CHANDINA, COMILLA</t>
  </si>
  <si>
    <t>185190648</t>
  </si>
  <si>
    <t>BIPULASAR BRANCH</t>
  </si>
  <si>
    <t>BIPULASAR_BRANCH</t>
  </si>
  <si>
    <t>2253 / 064</t>
  </si>
  <si>
    <t>BIPULASAR, LAKSAM, COMILLA</t>
  </si>
  <si>
    <t>017 12552858</t>
  </si>
  <si>
    <t>185190851</t>
  </si>
  <si>
    <t>BUSCHI BAZAR BRANCH</t>
  </si>
  <si>
    <t>BUSCHI_BAZAR_BRANCH</t>
  </si>
  <si>
    <t>2402 / 085</t>
  </si>
  <si>
    <t>BUSCHI BAZAR, COMILLA</t>
  </si>
  <si>
    <t>017 12564843</t>
  </si>
  <si>
    <t>185191092</t>
  </si>
  <si>
    <t>CHOWARA BAZAR BRANCH</t>
  </si>
  <si>
    <t>CHOWARA_BAZAR_BRANCH</t>
  </si>
  <si>
    <t>2311 / 109</t>
  </si>
  <si>
    <t>CHOWARA BAZAR, COMILLA</t>
  </si>
  <si>
    <t>017 12552855</t>
  </si>
  <si>
    <t>185191218</t>
  </si>
  <si>
    <t>COMILLA CANTONMENT BRANCH</t>
  </si>
  <si>
    <t>COMILLA_CANTONMENT_BRANCH</t>
  </si>
  <si>
    <t>2220 / 121</t>
  </si>
  <si>
    <t>COMILLA CANTONMENT, COMILLA</t>
  </si>
  <si>
    <t>081 76445, 016 74373244</t>
  </si>
  <si>
    <t>185191571</t>
  </si>
  <si>
    <t>DAULATGANJ BAZAR</t>
  </si>
  <si>
    <t>DAULATGANJ_BAZAR</t>
  </si>
  <si>
    <t>185192088</t>
  </si>
  <si>
    <t>GANGCHAR TIMBER MARKET BRANCH</t>
  </si>
  <si>
    <t>GANGCHAR_TIMBER_MARKET_BRANCH</t>
  </si>
  <si>
    <t>2410 / 208</t>
  </si>
  <si>
    <t>GANGCHAR TIMBER MARKET, COMILLA</t>
  </si>
  <si>
    <t>081 65235, 017 16985689</t>
  </si>
  <si>
    <t>185190051</t>
  </si>
  <si>
    <t>5413 /</t>
  </si>
  <si>
    <t>GAZIRHAT, COMILLA</t>
  </si>
  <si>
    <t>019 19558955</t>
  </si>
  <si>
    <t>185192804</t>
  </si>
  <si>
    <t>MAHAMAYA BAZAR BRANCH</t>
  </si>
  <si>
    <t>MAHAMAYA_BAZAR_BRANCH</t>
  </si>
  <si>
    <t>2360 / 280</t>
  </si>
  <si>
    <t>MAHAMAYA BAZAR, COMILLA</t>
  </si>
  <si>
    <t>017 12545642</t>
  </si>
  <si>
    <t>185192833</t>
  </si>
  <si>
    <t>MAINAMATI BAZAR BRANCH</t>
  </si>
  <si>
    <t>MAINAMATI_BAZAR_BRANCH</t>
  </si>
  <si>
    <t>2386 / 283</t>
  </si>
  <si>
    <t>MAINAMATI BAZAR, COMILLA</t>
  </si>
  <si>
    <t>081 76765, 018 19060682</t>
  </si>
  <si>
    <t>185193045</t>
  </si>
  <si>
    <t>2345 / 304</t>
  </si>
  <si>
    <t>MANOHARGANJ, COMILLA</t>
  </si>
  <si>
    <t>017 26421020</t>
  </si>
  <si>
    <t>185193074</t>
  </si>
  <si>
    <t>MONOHARPUR BRANCH</t>
  </si>
  <si>
    <t>MONOHARPUR_BRANCH</t>
  </si>
  <si>
    <t>2204 / 307</t>
  </si>
  <si>
    <t>081 76021, 65521, 018 17089394</t>
  </si>
  <si>
    <t>185193137</t>
  </si>
  <si>
    <t>MUDAFFARGANJ BRANCH</t>
  </si>
  <si>
    <t>MUDAFFARGANJ_BRANCH</t>
  </si>
  <si>
    <t>2246 / 313</t>
  </si>
  <si>
    <t>MUDAFFARGANJ, COMILLA</t>
  </si>
  <si>
    <t>017 12540640</t>
  </si>
  <si>
    <t>185193616</t>
  </si>
  <si>
    <t>2212 / 361</t>
  </si>
  <si>
    <t>RAJGANJ, COMILLA SADAR, COMILLA</t>
  </si>
  <si>
    <t>081 76042, 019 15359924</t>
  </si>
  <si>
    <t>185220134</t>
  </si>
  <si>
    <t>BAZARGHATA</t>
  </si>
  <si>
    <t>185220192</t>
  </si>
  <si>
    <t>185220226</t>
  </si>
  <si>
    <t>185220400</t>
  </si>
  <si>
    <t>185220855</t>
  </si>
  <si>
    <t>185220884</t>
  </si>
  <si>
    <t>RUPALI SADAN</t>
  </si>
  <si>
    <t>RUPALI_SADAN</t>
  </si>
  <si>
    <t>185270584</t>
  </si>
  <si>
    <t>0117 / 058</t>
  </si>
  <si>
    <t>1 PK RAY LANE, ISLAMPUR ROAD, KOTWALI, DHAKA 1100</t>
  </si>
  <si>
    <t>02 7392285, 018 14923554</t>
  </si>
  <si>
    <t>185270647</t>
  </si>
  <si>
    <t>0265 / 064</t>
  </si>
  <si>
    <t>TOKYO MENSION, HASNABAD, NAWABGANJ, DHAKA 1321</t>
  </si>
  <si>
    <t>018 13640621</t>
  </si>
  <si>
    <t>185270434</t>
  </si>
  <si>
    <t>0356 / 043</t>
  </si>
  <si>
    <t>37 BANGABANDHU AVENUE, RAMNA, DHAKA 1000</t>
  </si>
  <si>
    <t>02 955610, 95603952, 017 16409076</t>
  </si>
  <si>
    <t>185270889</t>
  </si>
  <si>
    <t>0125 / 088</t>
  </si>
  <si>
    <t>169 BANGSHAL ROAD, DHAKA 1000</t>
  </si>
  <si>
    <t>02 7317354, 017 11789543</t>
  </si>
  <si>
    <t>185271275</t>
  </si>
  <si>
    <t>0141 / 127</t>
  </si>
  <si>
    <t>336-337 CHAWKBAZAR, LALBAGH, DHAKA 1211</t>
  </si>
  <si>
    <t>02 7318724, 011 99561455</t>
  </si>
  <si>
    <t>185273978</t>
  </si>
  <si>
    <t>CHOWDHURYPARA BRANCH</t>
  </si>
  <si>
    <t>CHOWDHURYPARA_BRANCH</t>
  </si>
  <si>
    <t>0539 / 397</t>
  </si>
  <si>
    <t>579/C KHILGOAN, DHAKA 1219</t>
  </si>
  <si>
    <t>02 7214321, 017 12308299</t>
  </si>
  <si>
    <t>185261001</t>
  </si>
  <si>
    <t>0448 / 100</t>
  </si>
  <si>
    <t>30/10-A DHAKA CANTONMENT, DHAKA 1206</t>
  </si>
  <si>
    <t>02 8711045, 015 58397419</t>
  </si>
  <si>
    <t>185262776</t>
  </si>
  <si>
    <t>DHAKA LADIES BRANCH</t>
  </si>
  <si>
    <t>DHAKA_LADIES_BRANCH</t>
  </si>
  <si>
    <t>0398 / 277</t>
  </si>
  <si>
    <t>BALAKA BHABAN, 3 MIRPUR ROAD, DHAKA 1205</t>
  </si>
  <si>
    <t>02 8625580, 019 11956433</t>
  </si>
  <si>
    <t>185263520</t>
  </si>
  <si>
    <t>0364 / 352</t>
  </si>
  <si>
    <t>307-310 NEW MARKET, DHAKA 1205</t>
  </si>
  <si>
    <t>02 8628898, 015 52406486</t>
  </si>
  <si>
    <t>185261180</t>
  </si>
  <si>
    <t>0588 / 118</t>
  </si>
  <si>
    <t>HOUSE NO 40/2, ROAD 14/A, SATMASJID ROAD, DHANMONDI R/A, DHAKA 1209</t>
  </si>
  <si>
    <t>185272179</t>
  </si>
  <si>
    <t>FAKIRAPOOL BAZAR BRANCH</t>
  </si>
  <si>
    <t>FAKIRAPOOL_BAZAR_BRANCH</t>
  </si>
  <si>
    <t>0604 / 217</t>
  </si>
  <si>
    <t>119/C FAKIRAPOOL, DHAKA 1000</t>
  </si>
  <si>
    <t>02 7194502, 017 24050309</t>
  </si>
  <si>
    <t>185261456</t>
  </si>
  <si>
    <t>0414 / 145</t>
  </si>
  <si>
    <t>SHAJEEDA MANSION, GREEN ROAD, DHAKA 1215</t>
  </si>
  <si>
    <t>016 76993007</t>
  </si>
  <si>
    <t>185272353</t>
  </si>
  <si>
    <t>0067 / 235</t>
  </si>
  <si>
    <t>RUPBBDDHRFB</t>
  </si>
  <si>
    <t>FOREIGN EXCHANGE, DHAKA</t>
  </si>
  <si>
    <t>02 9560858, 017 49398440</t>
  </si>
  <si>
    <t>185261577</t>
  </si>
  <si>
    <t>GABTALI HAT BRANCH</t>
  </si>
  <si>
    <t>GABTALI_HAT_BRANCH</t>
  </si>
  <si>
    <t>0497 / 157</t>
  </si>
  <si>
    <t>ALMAS MANSION, 282/1 1ST COLONY, MAJAR ROAD, MIRPUR 1, DHAKA 1218</t>
  </si>
  <si>
    <t>02 9038324</t>
  </si>
  <si>
    <t>185272445</t>
  </si>
  <si>
    <t>0190 / 244</t>
  </si>
  <si>
    <t>87 KESHAB BANERJEE ROAD, SUTRAPUR, DHAKA 1204</t>
  </si>
  <si>
    <t>02 7440959, 017 15278543</t>
  </si>
  <si>
    <t>185261722</t>
  </si>
  <si>
    <t>0620 / 172</t>
  </si>
  <si>
    <t>34 GULSHAN, ROAD 46, GULSHAN 2, DHAKA 1212</t>
  </si>
  <si>
    <t>02 9884795, 017 15295913</t>
  </si>
  <si>
    <t>185272595</t>
  </si>
  <si>
    <t>0208 / 259</t>
  </si>
  <si>
    <t>7 HATKHOLA ROAD, TIKATULI, DHAKA 1203</t>
  </si>
  <si>
    <t>02 9553973, 019 12091312</t>
  </si>
  <si>
    <t>185261964</t>
  </si>
  <si>
    <t>0596 / 196</t>
  </si>
  <si>
    <t>59 MONESSOR ROAD, ZIGATALA, DHAKA 1209</t>
  </si>
  <si>
    <t>02 9631225, 018 17538289</t>
  </si>
  <si>
    <t>185272687</t>
  </si>
  <si>
    <t>34 DILKUSHA COMMERCIAL AREA, DHAKA 1000</t>
  </si>
  <si>
    <t>02 9551624-25, 9551525, 9552184</t>
  </si>
  <si>
    <t>185272803</t>
  </si>
  <si>
    <t>0091 / 280</t>
  </si>
  <si>
    <t>46 IMAMGANJ, POSTA, LALBAGH, DHAKA 1211</t>
  </si>
  <si>
    <t>02 7310580, 019 29762241</t>
  </si>
  <si>
    <t>185262176</t>
  </si>
  <si>
    <t>INDIRA ROAD BRANCH</t>
  </si>
  <si>
    <t>INDIRA_ROAD_BRANCH</t>
  </si>
  <si>
    <t>0422 / 217</t>
  </si>
  <si>
    <t>27 INDIRA ROAD, FIRMGATE, TEJGOAN, DHAKA 1215</t>
  </si>
  <si>
    <t>02 9113419, 011 99078662</t>
  </si>
  <si>
    <t>185272982</t>
  </si>
  <si>
    <t>0083 / 298</t>
  </si>
  <si>
    <t>MABUD MANSION, 105 ISLAMPUR ROAD, DHAKA 1100</t>
  </si>
  <si>
    <t>017 12689974</t>
  </si>
  <si>
    <t>185273257</t>
  </si>
  <si>
    <t>0075 / 325</t>
  </si>
  <si>
    <t>RUPBBDDHJRD</t>
  </si>
  <si>
    <t>51 NORTH BROOKE HALL ROAD, SUTRAPUR, DHAKA 1100</t>
  </si>
  <si>
    <t>02 7117800, 7114328, 017 15194413</t>
  </si>
  <si>
    <t>185273615</t>
  </si>
  <si>
    <t>4929 / 361</t>
  </si>
  <si>
    <t>21 KAPTAN BAZAR, DHAKA 1203</t>
  </si>
  <si>
    <t>02 7123450, 018 17090229</t>
  </si>
  <si>
    <t>185262684</t>
  </si>
  <si>
    <t>KUSHURA BRANCH</t>
  </si>
  <si>
    <t>KUSHURA_BRANCH</t>
  </si>
  <si>
    <t>4879 / 268</t>
  </si>
  <si>
    <t>KUSHURA ABBAS ALI HIGH SCHOOL, TEPO BARI, DHAMRAI, DHAKA 1350</t>
  </si>
  <si>
    <t>017 89949691</t>
  </si>
  <si>
    <t>185273886</t>
  </si>
  <si>
    <t>0018 / 388</t>
  </si>
  <si>
    <t>RUPBBDDHLOD</t>
  </si>
  <si>
    <t>LOCAL OFFICE, DHAKA</t>
  </si>
  <si>
    <t>185262868</t>
  </si>
  <si>
    <t>MAHMUD MANSION BRANCH</t>
  </si>
  <si>
    <t>MAHMUD_MANSION_BRANCH</t>
  </si>
  <si>
    <t>0372 / 286</t>
  </si>
  <si>
    <t>MAHMUD MANSION, 27 MIRPUR ROAD, DHAKA 1205</t>
  </si>
  <si>
    <t>02 8627776, 017 12000795</t>
  </si>
  <si>
    <t>185273949</t>
  </si>
  <si>
    <t>0513 / 394</t>
  </si>
  <si>
    <t>477 DIT ROAD, MALIBAGH, DHAKA 1217</t>
  </si>
  <si>
    <t>02 9356775, 019 28283953</t>
  </si>
  <si>
    <t>185262989</t>
  </si>
  <si>
    <t>0489 / 298</t>
  </si>
  <si>
    <t>FOIZ MENSION, 6/A BLOCK B, SECTION 1, MIRPUR, DHAKA 1216</t>
  </si>
  <si>
    <t>02 9002314, 017 15109187</t>
  </si>
  <si>
    <t>185274122</t>
  </si>
  <si>
    <t>0042 / 412</t>
  </si>
  <si>
    <t>RUPBBDDHMFD</t>
  </si>
  <si>
    <t>94 CHAWK MUGHALTULY, LALBAGH, DHAKA</t>
  </si>
  <si>
    <t>02 7317644-5, 017 10958745</t>
  </si>
  <si>
    <t>185274180</t>
  </si>
  <si>
    <t>0547 / 418</t>
  </si>
  <si>
    <t>115 SHAHID TAJUDDIN SARANI, DHAKA 1215</t>
  </si>
  <si>
    <t>02 9356761, 019 11779872</t>
  </si>
  <si>
    <t>185263191</t>
  </si>
  <si>
    <t>0430 / 319</t>
  </si>
  <si>
    <t>BIBIR PLAZA, 103 MOHAKHALI R/A, DHAKA 1213</t>
  </si>
  <si>
    <t>02 9898846, 9889722, 019 11519354</t>
  </si>
  <si>
    <t>185263283</t>
  </si>
  <si>
    <t>0455 / 328</t>
  </si>
  <si>
    <t>54C ASAD AVENUE, MOHAMMADPUR, DHAKA 1207</t>
  </si>
  <si>
    <t>02 9113457, 017 20023500</t>
  </si>
  <si>
    <t>185263409</t>
  </si>
  <si>
    <t>MOHAMMADPUR LADIES BRANCH</t>
  </si>
  <si>
    <t>MOHAMMADPUR_LADIES_BRANCH</t>
  </si>
  <si>
    <t>0570 / 340</t>
  </si>
  <si>
    <t>KHUDEZA HERMAT TRUST, 2 COMMERCIAL PLOT, MOHAMMADPUR HOUSING, DHAKA 1207</t>
  </si>
  <si>
    <t>02 9115410, 018 19104423</t>
  </si>
  <si>
    <t>185274214</t>
  </si>
  <si>
    <t>MOKIM KATRA BRANCH</t>
  </si>
  <si>
    <t>MOKIM_KATRA_BRANCH</t>
  </si>
  <si>
    <t>0232 / 421</t>
  </si>
  <si>
    <t>16 MOKIM KATRA, MOULVIBAZAR, LALBAGH, DHAKA 1100</t>
  </si>
  <si>
    <t>02 7310340, 017 15285778</t>
  </si>
  <si>
    <t>185274272</t>
  </si>
  <si>
    <t>0034 / 427</t>
  </si>
  <si>
    <t>RUPBBDDHMCD</t>
  </si>
  <si>
    <t>MOTIJHEEL, DHAKA 1000</t>
  </si>
  <si>
    <t>02 9566073, 018 17515057</t>
  </si>
  <si>
    <t>185274456</t>
  </si>
  <si>
    <t>0612 / 445</t>
  </si>
  <si>
    <t>45/1-H NORTH MUGDAPARA, DHAKA 1214</t>
  </si>
  <si>
    <t>02 7272719, 019 18594763</t>
  </si>
  <si>
    <t>185274485</t>
  </si>
  <si>
    <t>5231 / 448</t>
  </si>
  <si>
    <t>MUKSUDPUR, DOHAR, DHAKA 1330</t>
  </si>
  <si>
    <t>017 21061025</t>
  </si>
  <si>
    <t>185274698</t>
  </si>
  <si>
    <t>0174 / 469</t>
  </si>
  <si>
    <t>44 NAWABGANJ ROAD, POSTA, LALBAGH, DHAKA 1211</t>
  </si>
  <si>
    <t>02 8626456, 017 28810487</t>
  </si>
  <si>
    <t>185274751</t>
  </si>
  <si>
    <t>0166 / 475</t>
  </si>
  <si>
    <t>IMPERIAL SUPER MARKET,104-106 NAWABPUR ROAD, DHAKA 1203</t>
  </si>
  <si>
    <t>02 7115654, 7117680, 018 18084886</t>
  </si>
  <si>
    <t>185274906</t>
  </si>
  <si>
    <t>NAYATOLA BRANCH</t>
  </si>
  <si>
    <t>NAYATOLA_BRANCH</t>
  </si>
  <si>
    <t>0554 / 490</t>
  </si>
  <si>
    <t>HAZI TOWER, 395 MODHUBAGH, MOGHBAZER, DHAKA 1217</t>
  </si>
  <si>
    <t>02 9357191, 017 15766270</t>
  </si>
  <si>
    <t>185274872</t>
  </si>
  <si>
    <t>0505 / 487</t>
  </si>
  <si>
    <t>69 NAYA PALTAN, DHAKA 1000</t>
  </si>
  <si>
    <t>02 8315533, 9358984, 017 31568676</t>
  </si>
  <si>
    <t>185261335</t>
  </si>
  <si>
    <t>0406 / 133</t>
  </si>
  <si>
    <t>238 NEW ELEPHANT ROAD, DHAKA 1205</t>
  </si>
  <si>
    <t>02 8610022, 019 13281309</t>
  </si>
  <si>
    <t>185260181</t>
  </si>
  <si>
    <t>NIKUNJA BRANCH</t>
  </si>
  <si>
    <t>NIKUNJA_BRANCH</t>
  </si>
  <si>
    <t>5553 /</t>
  </si>
  <si>
    <t>NIKUNJA, KHILKHET, DHAKA</t>
  </si>
  <si>
    <t>02 8959644, 017 16233373</t>
  </si>
  <si>
    <t>185275118</t>
  </si>
  <si>
    <t>5173 / 511</t>
  </si>
  <si>
    <t>KAMRU MANSION, 137 HAZI OSMAN GANI ROAD, DHAKA 1000</t>
  </si>
  <si>
    <t>02 9554730, 017 12168498</t>
  </si>
  <si>
    <t>185263588</t>
  </si>
  <si>
    <t>0471 / 358</t>
  </si>
  <si>
    <t>PLOT 34, MAIN ROAD 3, BLOCK D, SECTION 11, PALLABI, DHAKA 1216</t>
  </si>
  <si>
    <t>02 9001805, 017 20001318</t>
  </si>
  <si>
    <t>185275239</t>
  </si>
  <si>
    <t>1330 / 523</t>
  </si>
  <si>
    <t>41 PATUATULY ROAD, KOTWALI, DHAKA 1100</t>
  </si>
  <si>
    <t>02 7393025, 7394723, 018 19282955</t>
  </si>
  <si>
    <t>185275321</t>
  </si>
  <si>
    <t>5124 / 532</t>
  </si>
  <si>
    <t>38 DIT SHILPA AREA, POSTAGOLA, DHAKA 1204</t>
  </si>
  <si>
    <t>02 7441643, 018 14999590</t>
  </si>
  <si>
    <t>185275413</t>
  </si>
  <si>
    <t>0349 / 541</t>
  </si>
  <si>
    <t>RUPBBDDHPPD</t>
  </si>
  <si>
    <t>PURANA PALTAN, DHAKA</t>
  </si>
  <si>
    <t>02 9560544, 015 52353850</t>
  </si>
  <si>
    <t>185275534</t>
  </si>
  <si>
    <t>0562 / 553</t>
  </si>
  <si>
    <t>872 OUTER CIRCULAR ROAD, SOUTH SHAHJAHANPUR, DHAKA 1217</t>
  </si>
  <si>
    <t>02 9356656, 018 19481357</t>
  </si>
  <si>
    <t>185275684</t>
  </si>
  <si>
    <t>0059 / 568</t>
  </si>
  <si>
    <t>RUPBBDDHRBD</t>
  </si>
  <si>
    <t>RAMNA, DHAKA</t>
  </si>
  <si>
    <t>02 9551069, 017 31879848</t>
  </si>
  <si>
    <t>185275747</t>
  </si>
  <si>
    <t>0521 / 574</t>
  </si>
  <si>
    <t>5/1 WEST RAMPURA, DIT ROAD, DHAKA 1219</t>
  </si>
  <si>
    <t>02 9356937, 017 53597951</t>
  </si>
  <si>
    <t>185275800</t>
  </si>
  <si>
    <t>RATHKHOLA BRANCH</t>
  </si>
  <si>
    <t>RATHKHOLA_BRANCH</t>
  </si>
  <si>
    <t>0158 / 580</t>
  </si>
  <si>
    <t>36 NAWABPUR ROAD, SUTRAPUR, DHAKA 1100</t>
  </si>
  <si>
    <t>02 7116600, 018 43439231</t>
  </si>
  <si>
    <t>185264008</t>
  </si>
  <si>
    <t>5520 /</t>
  </si>
  <si>
    <t>ROKEYA SARANI, DHAKA</t>
  </si>
  <si>
    <t>02 8090478, 017 11019989</t>
  </si>
  <si>
    <t>185275868</t>
  </si>
  <si>
    <t>0026 / 586</t>
  </si>
  <si>
    <t>RUPBBDDHRSD</t>
  </si>
  <si>
    <t>RUPALI SADAN, MOTIJHEEL, DHAKA</t>
  </si>
  <si>
    <t>02 7126137, 019 12190494</t>
  </si>
  <si>
    <t>185275921</t>
  </si>
  <si>
    <t>5116 / 592</t>
  </si>
  <si>
    <t>77 PATUATULI ROAD, KOTWALI, DHAKA 1100</t>
  </si>
  <si>
    <t>02 7118650, 017 15340958</t>
  </si>
  <si>
    <t>185264158</t>
  </si>
  <si>
    <t>5140 / 415</t>
  </si>
  <si>
    <t>BILASH CINEMA HALL, B/22 BAZAR ROAD, SAVAR, DHAKA 1343</t>
  </si>
  <si>
    <t>02 7743868, 017 16401257</t>
  </si>
  <si>
    <t>185264187</t>
  </si>
  <si>
    <t>SAVAR CANTONMENT BRANCH</t>
  </si>
  <si>
    <t>SAVAR_CANTONMENT_BRANCH</t>
  </si>
  <si>
    <t>0240 / 418</t>
  </si>
  <si>
    <t>BHAI BHAI SUPER MARKET, DENDABOR, SAVAR CANTONMENT, DHAKA 1343</t>
  </si>
  <si>
    <t>02 7791936, 017 13548910</t>
  </si>
  <si>
    <t>185276409</t>
  </si>
  <si>
    <t>SHIKARIPARA BRANCH</t>
  </si>
  <si>
    <t>SHIKARIPARA_BRANCH</t>
  </si>
  <si>
    <t>0323 / 640</t>
  </si>
  <si>
    <t>SHIKARI PARA, NAWABGANJ, DHAKA 1320</t>
  </si>
  <si>
    <t>018 25775767</t>
  </si>
  <si>
    <t>185276283</t>
  </si>
  <si>
    <t>SHYAMBAZAR BRANCH</t>
  </si>
  <si>
    <t>SHYAMBAZAR_BRANCH</t>
  </si>
  <si>
    <t>0224 / 628</t>
  </si>
  <si>
    <t>5 FARASHGANJ ROAD, LALKUTI SHYAMBAZAR, SUTRAPUR, DHAKA 1100</t>
  </si>
  <si>
    <t>02 7114610, 017 15021838</t>
  </si>
  <si>
    <t>185264303</t>
  </si>
  <si>
    <t>0463 / 430</t>
  </si>
  <si>
    <t>SHYAMOLI SINEMA HALL BHABAN, 1 KHILJI ROAD, SHER-E-BANGLA NAGAR, MOHAMMADPUR, DHAKA 1207</t>
  </si>
  <si>
    <t>02 9119260, 017 15970404</t>
  </si>
  <si>
    <t>185264424</t>
  </si>
  <si>
    <t>TCB BHABAN BRANCH</t>
  </si>
  <si>
    <t>TCB_BHABAN_BRANCH</t>
  </si>
  <si>
    <t>4689 / 442</t>
  </si>
  <si>
    <t>RUPBBDDHTCB</t>
  </si>
  <si>
    <t>TCB BHABAN, KARWAN BAZAR, DHAKA</t>
  </si>
  <si>
    <t>02 8120409, 9141422, 017 12172882</t>
  </si>
  <si>
    <t>185276762</t>
  </si>
  <si>
    <t>TOTAIL BRANCH</t>
  </si>
  <si>
    <t>TOTAIL_BRANCH</t>
  </si>
  <si>
    <t>4838 / 676</t>
  </si>
  <si>
    <t>OLD TOTAIL, DAUDPUR, NAWABGANJ, DHAKA 1322</t>
  </si>
  <si>
    <t>018 18696028</t>
  </si>
  <si>
    <t>185276791</t>
  </si>
  <si>
    <t>0331 / 679</t>
  </si>
  <si>
    <t>39 URDU ROAD, LALBAGH, DHAKA 1100</t>
  </si>
  <si>
    <t>02 7315796, 017 15089001</t>
  </si>
  <si>
    <t>185264695</t>
  </si>
  <si>
    <t>5132 / 469</t>
  </si>
  <si>
    <t>NAWAB HABIBULLAH IDEAL HIGH SCHOOL BHABAN, PLOT NO 2, SHAHJALAL AVENUE, SECTOR 4, UTTARA MODEL TOWN, DHAKA</t>
  </si>
  <si>
    <t>02 891164, 8917360, 017 11942504</t>
  </si>
  <si>
    <t>185277066</t>
  </si>
  <si>
    <t>YOUSUF MARKET BRANCH</t>
  </si>
  <si>
    <t>YOUSUF_MARKET_BRANCH</t>
  </si>
  <si>
    <t>0182 / 706</t>
  </si>
  <si>
    <t>30/5 ZINDABAHAR 1ST LANE, NAYABAZAR, DHAKA 1100</t>
  </si>
  <si>
    <t>02 7391469, 019 11236927</t>
  </si>
  <si>
    <t>185277095</t>
  </si>
  <si>
    <t>0257 / 709</t>
  </si>
  <si>
    <t>CHUNKUTIA, MODHHAPARA, SHUVADDA, SOUTH KERANIGANJ, DHAKA 1310</t>
  </si>
  <si>
    <t>02 7771137, 019 13180004</t>
  </si>
  <si>
    <t>185261519</t>
  </si>
  <si>
    <t>FERDOWSI PLAZA</t>
  </si>
  <si>
    <t>FERDOWSI_PLAZA</t>
  </si>
  <si>
    <t>185270005</t>
  </si>
  <si>
    <t>185280408</t>
  </si>
  <si>
    <t>BIRAL BRANCH</t>
  </si>
  <si>
    <t>BIRAL_BRANCH</t>
  </si>
  <si>
    <t>4549 / 040</t>
  </si>
  <si>
    <t>BIRAL, DINAJPUR</t>
  </si>
  <si>
    <t>05324 56008, 017 21767511</t>
  </si>
  <si>
    <t>185280345</t>
  </si>
  <si>
    <t>5454 /</t>
  </si>
  <si>
    <t>05322 56384, 017 18031179</t>
  </si>
  <si>
    <t>185280374</t>
  </si>
  <si>
    <t>4598 / 037</t>
  </si>
  <si>
    <t>05323 72216, 017 17874281</t>
  </si>
  <si>
    <t>185280495</t>
  </si>
  <si>
    <t>CHEHELGAZI BRANCH</t>
  </si>
  <si>
    <t>CHEHELGAZI_BRANCH</t>
  </si>
  <si>
    <t>4622 / 049</t>
  </si>
  <si>
    <t>CHEHEL GAZI, DINAJPUR</t>
  </si>
  <si>
    <t>0531 63081, 017 15359565</t>
  </si>
  <si>
    <t>185280611</t>
  </si>
  <si>
    <t>DAWOODPUR BRANCH</t>
  </si>
  <si>
    <t>DAWOODPUR_BRANCH</t>
  </si>
  <si>
    <t>4564 / 061</t>
  </si>
  <si>
    <t>DAWOODPUR, DINAJPUR</t>
  </si>
  <si>
    <t>017 24678099</t>
  </si>
  <si>
    <t>185281302</t>
  </si>
  <si>
    <t>DINAJPUR LADIES BRANCH</t>
  </si>
  <si>
    <t>DINAJPUR_LADIES_BRANCH</t>
  </si>
  <si>
    <t>4648 / 130</t>
  </si>
  <si>
    <t>DINAJPUR SADAR, DINAJPUR</t>
  </si>
  <si>
    <t>0531 64398, 016 85347309</t>
  </si>
  <si>
    <t>185280882</t>
  </si>
  <si>
    <t>HSTU BRANCH</t>
  </si>
  <si>
    <t>HSTU_BRANCH</t>
  </si>
  <si>
    <t>5074 / 088</t>
  </si>
  <si>
    <t>HAJEE MOHAMMAD DANESH SCIENCE &amp;amp; TECHNOLOGY UNIVERSITY, DINAJPUR 5200</t>
  </si>
  <si>
    <t>0531 64328, 017 40950875</t>
  </si>
  <si>
    <t>185281036</t>
  </si>
  <si>
    <t>4630 / 103</t>
  </si>
  <si>
    <t>KABIRAJHAT, DINAJPUR</t>
  </si>
  <si>
    <t>017 14946517</t>
  </si>
  <si>
    <t>185281423</t>
  </si>
  <si>
    <t>MALDAPATTY BRANCH</t>
  </si>
  <si>
    <t>MALDAPATTY_BRANCH</t>
  </si>
  <si>
    <t>4523 / 142</t>
  </si>
  <si>
    <t>MALDAPATTY, DINAJPUR</t>
  </si>
  <si>
    <t>0531 63181, 017 19470706</t>
  </si>
  <si>
    <t>185281665</t>
  </si>
  <si>
    <t>4515 / 166</t>
  </si>
  <si>
    <t>NIMTALA, DINAJPUR</t>
  </si>
  <si>
    <t>0531 65016, 017 19513170</t>
  </si>
  <si>
    <t>185282080</t>
  </si>
  <si>
    <t>4556 / 208</t>
  </si>
  <si>
    <t>RANIRBANDAR, DINAJPUR</t>
  </si>
  <si>
    <t>05342 51043, 017 17669777</t>
  </si>
  <si>
    <t>185282293</t>
  </si>
  <si>
    <t>SHIKDERHAT BRANCH</t>
  </si>
  <si>
    <t>SHIKDERHAT_BRANCH</t>
  </si>
  <si>
    <t>4614 / 229</t>
  </si>
  <si>
    <t>SHIKDERHAT, DINAJPUR</t>
  </si>
  <si>
    <t>0531 63448, 017 18232864</t>
  </si>
  <si>
    <t>185290043</t>
  </si>
  <si>
    <t>1123 / 004</t>
  </si>
  <si>
    <t>06322 56006, 017 13542552</t>
  </si>
  <si>
    <t>185290164</t>
  </si>
  <si>
    <t>1230 / 016</t>
  </si>
  <si>
    <t>BADARPUR, FARIDPUR</t>
  </si>
  <si>
    <t>0631 62752, 019 18122123</t>
  </si>
  <si>
    <t>185290106</t>
  </si>
  <si>
    <t>BAITUL MUKADDAM MOSQUE BRANCH</t>
  </si>
  <si>
    <t>BAITUL_MUKADDAM_MOSQUE_BRANCH</t>
  </si>
  <si>
    <t>1248 / 010</t>
  </si>
  <si>
    <t>SHARIYAT ULLAH BAZAR ROAD, KOTWALI, FARIDPUR</t>
  </si>
  <si>
    <t>0631 62578, 017 15488555</t>
  </si>
  <si>
    <t>185290672</t>
  </si>
  <si>
    <t>BOALMARI BAZAR BRANCH</t>
  </si>
  <si>
    <t>BOALMARI_BAZAR_BRANCH</t>
  </si>
  <si>
    <t>4887 / 067</t>
  </si>
  <si>
    <t>GUNBAHA, BOALMARI BAZAR, FARIDPUR</t>
  </si>
  <si>
    <t>06324 56134, 017 13542552</t>
  </si>
  <si>
    <t>185290469</t>
  </si>
  <si>
    <t>CHARHAJIGANJ BRANCH</t>
  </si>
  <si>
    <t>CHARHAJIGANJ_BRANCH</t>
  </si>
  <si>
    <t>1180 / 046</t>
  </si>
  <si>
    <t>CHAR HAJIGANJ, FARIDPUR</t>
  </si>
  <si>
    <t>016 77860668</t>
  </si>
  <si>
    <t>185290522</t>
  </si>
  <si>
    <t>1107 / 052</t>
  </si>
  <si>
    <t>FARIDPUR SADAR, FARIDPUR</t>
  </si>
  <si>
    <t>0631 62517, 63336, 017 12965264</t>
  </si>
  <si>
    <t>185300070</t>
  </si>
  <si>
    <t>AMIRUDDIN MUNSHIRHAT BRANCH</t>
  </si>
  <si>
    <t>AMIRUDDIN_MUNSHIRHAT_BRANCH</t>
  </si>
  <si>
    <t>5033 / 007</t>
  </si>
  <si>
    <t>AMIRUDDIN MUNSHIRHAT, FENI</t>
  </si>
  <si>
    <t>018 18305177</t>
  </si>
  <si>
    <t>185300409</t>
  </si>
  <si>
    <t>DHALIA BAZAR BRANCH</t>
  </si>
  <si>
    <t>DHALIA_BAZAR_BRANCH</t>
  </si>
  <si>
    <t>2642 / 040</t>
  </si>
  <si>
    <t>DHALIA BAZAR, FENI</t>
  </si>
  <si>
    <t>017 11204247</t>
  </si>
  <si>
    <t>185300496</t>
  </si>
  <si>
    <t>FAZILPUR BRANCH</t>
  </si>
  <si>
    <t>FAZILPUR_BRANCH</t>
  </si>
  <si>
    <t>2568 / 049</t>
  </si>
  <si>
    <t>FAZILPUR, FENI</t>
  </si>
  <si>
    <t>018 18051186</t>
  </si>
  <si>
    <t>185300520</t>
  </si>
  <si>
    <t>2550 / 052</t>
  </si>
  <si>
    <t>FENI SADAR, FENI</t>
  </si>
  <si>
    <t>0331 74319, 74746, 017 12877907</t>
  </si>
  <si>
    <t>185300733</t>
  </si>
  <si>
    <t>2592 / 073</t>
  </si>
  <si>
    <t>ISLAMPUR ROAD, FENI</t>
  </si>
  <si>
    <t>0331 73353, 018 18380015</t>
  </si>
  <si>
    <t>185300825</t>
  </si>
  <si>
    <t>KARIYA BAZAR</t>
  </si>
  <si>
    <t>KARIYA_BAZAR</t>
  </si>
  <si>
    <t>185300883</t>
  </si>
  <si>
    <t>KRISHNA MAZUMDERHAT BRANCH</t>
  </si>
  <si>
    <t>KRISHNA_MAZUMDERHAT_BRANCH</t>
  </si>
  <si>
    <t>4994 / 088</t>
  </si>
  <si>
    <t>KRISHNA MAZUMDERHAT, FENI</t>
  </si>
  <si>
    <t>018 13382447</t>
  </si>
  <si>
    <t>185300946</t>
  </si>
  <si>
    <t>2600 / 094</t>
  </si>
  <si>
    <t>KUTIRHAT, SONAGAZI, FENI</t>
  </si>
  <si>
    <t>017 20203802</t>
  </si>
  <si>
    <t>185301129</t>
  </si>
  <si>
    <t>2584 / 112</t>
  </si>
  <si>
    <t>017 16889312</t>
  </si>
  <si>
    <t>185301187</t>
  </si>
  <si>
    <t>NEW RANIRHAT BRANCH</t>
  </si>
  <si>
    <t>NEW_RANIRHAT_BRANCH</t>
  </si>
  <si>
    <t>2576 / 118</t>
  </si>
  <si>
    <t>NEW RANIR HAT, KAZIRBAG, FENI</t>
  </si>
  <si>
    <t>0331 74658, 019 14381702</t>
  </si>
  <si>
    <t>185301390</t>
  </si>
  <si>
    <t>SARISHADI BAZAR BRANCH</t>
  </si>
  <si>
    <t>SARISHADI_BAZAR_BRANCH</t>
  </si>
  <si>
    <t>2634 / 139</t>
  </si>
  <si>
    <t>SARISHADI BAZAR, FENI</t>
  </si>
  <si>
    <t>017 12513702</t>
  </si>
  <si>
    <t>185320047</t>
  </si>
  <si>
    <t>BADIAKHALI BRANCH</t>
  </si>
  <si>
    <t>BADIAKHALI_BRANCH</t>
  </si>
  <si>
    <t>4416 / 004</t>
  </si>
  <si>
    <t>BADIAKHALI, GAIBANDHA</t>
  </si>
  <si>
    <t>017 16388940</t>
  </si>
  <si>
    <t>185320313</t>
  </si>
  <si>
    <t>DHAPERHAT BRANCH</t>
  </si>
  <si>
    <t>DHAPERHAT_BRANCH</t>
  </si>
  <si>
    <t>4408 / 031</t>
  </si>
  <si>
    <t>DHAPERHAT, GAIBANDHA</t>
  </si>
  <si>
    <t>017 10289231</t>
  </si>
  <si>
    <t>185320526</t>
  </si>
  <si>
    <t>4374 / 052</t>
  </si>
  <si>
    <t>0541 61501, 017 16390057</t>
  </si>
  <si>
    <t>185330732</t>
  </si>
  <si>
    <t>0646 / 073</t>
  </si>
  <si>
    <t>HOSSAIN SHOPING COMPLEX, JOYDEBPUR, GAGIPUR 1700</t>
  </si>
  <si>
    <t>02 9252222, 019 27378711</t>
  </si>
  <si>
    <t>185331636</t>
  </si>
  <si>
    <t>0638 / 163</t>
  </si>
  <si>
    <t>JALIL MARKET, BATA GATE, MONNUNAGAR, TONGI, GAJIPUR 1710</t>
  </si>
  <si>
    <t>02 9810325, 019 11216875</t>
  </si>
  <si>
    <t>185350291</t>
  </si>
  <si>
    <t>GHAGAR BAZAR BRANCH</t>
  </si>
  <si>
    <t>GHAGAR_BAZAR_BRANCH</t>
  </si>
  <si>
    <t>5355 /</t>
  </si>
  <si>
    <t>017 12258650</t>
  </si>
  <si>
    <t>185350370</t>
  </si>
  <si>
    <t>1131 / 037</t>
  </si>
  <si>
    <t>019 17563356</t>
  </si>
  <si>
    <t>185350525</t>
  </si>
  <si>
    <t>1156 / 052</t>
  </si>
  <si>
    <t>JOYNAGAR, GOPALGANJ</t>
  </si>
  <si>
    <t>06652 56503, 017 16745446</t>
  </si>
  <si>
    <t>185351003</t>
  </si>
  <si>
    <t>1149 / 100</t>
  </si>
  <si>
    <t>185351090</t>
  </si>
  <si>
    <t>5678 /</t>
  </si>
  <si>
    <t>019 12689248</t>
  </si>
  <si>
    <t>185360102</t>
  </si>
  <si>
    <t>AUSHKANDI BRANCH</t>
  </si>
  <si>
    <t>AUSHKANDI_BRANCH</t>
  </si>
  <si>
    <t>1917 / 010</t>
  </si>
  <si>
    <t>AUSHKANDI, NABIGANJ, HABIGANJ</t>
  </si>
  <si>
    <t>017 15336101, 019 12825833</t>
  </si>
  <si>
    <t>185360436</t>
  </si>
  <si>
    <t>ENAYETGANJ BRANCH</t>
  </si>
  <si>
    <t>ENAYETGANJ_BRANCH</t>
  </si>
  <si>
    <t>1925 / 043</t>
  </si>
  <si>
    <t>ENAYETGANJ, NABIGANJ, HABIGANJ</t>
  </si>
  <si>
    <t>017 15336102, 017 17875459</t>
  </si>
  <si>
    <t>185360610</t>
  </si>
  <si>
    <t>1909 / 061</t>
  </si>
  <si>
    <t>0831 61147, 017 10461932</t>
  </si>
  <si>
    <t>185390077</t>
  </si>
  <si>
    <t>BOIRA BAZAR BRANCH</t>
  </si>
  <si>
    <t>BOIRA_BAZAR_BRANCH</t>
  </si>
  <si>
    <t>1081 / 007</t>
  </si>
  <si>
    <t>BOIRA BAZAR, SARISHABARI, JAMALPUR</t>
  </si>
  <si>
    <t>017 91202575, 019 26054066</t>
  </si>
  <si>
    <t>185390585</t>
  </si>
  <si>
    <t>DHARMAKURA BAZAR BRANCH</t>
  </si>
  <si>
    <t>DHARMAKURA_BAZAR_BRANCH</t>
  </si>
  <si>
    <t>1065 / 058</t>
  </si>
  <si>
    <t>DHARMAKURA BAZAR, JAMALPUR</t>
  </si>
  <si>
    <t>09824 74015, 019 19881000</t>
  </si>
  <si>
    <t>185390619</t>
  </si>
  <si>
    <t>DHURMUT BAZAR BRANCH</t>
  </si>
  <si>
    <t>DHURMUT_BAZAR_BRANCH</t>
  </si>
  <si>
    <t>4796 / 061</t>
  </si>
  <si>
    <t>DHURMUT BAZAR, JAMALPUR</t>
  </si>
  <si>
    <t>185390851</t>
  </si>
  <si>
    <t>1032 / 085</t>
  </si>
  <si>
    <t>JAMALPUR SADAR, JAMALPUR</t>
  </si>
  <si>
    <t>0981 63265, 017 18122199</t>
  </si>
  <si>
    <t>185390972</t>
  </si>
  <si>
    <t>JAMUNA SHAR KARKHANA BRANCH</t>
  </si>
  <si>
    <t>JAMUNA_SHAR_KARKHANA_BRANCH</t>
  </si>
  <si>
    <t>5181 / 097</t>
  </si>
  <si>
    <t>JAMUNA SAR KARKHANA, JAMALPUR</t>
  </si>
  <si>
    <t>017 75782308, 017 5158175</t>
  </si>
  <si>
    <t>185391063</t>
  </si>
  <si>
    <t>KOYRA BAZAR BRANCH</t>
  </si>
  <si>
    <t>KOYRA_BAZAR_BRANCH</t>
  </si>
  <si>
    <t>4762 / 106</t>
  </si>
  <si>
    <t>KOYRA BAZAR, MADARGANJ, JAMALPUR</t>
  </si>
  <si>
    <t>017 18144236</t>
  </si>
  <si>
    <t>185391218</t>
  </si>
  <si>
    <t>1040 / 121</t>
  </si>
  <si>
    <t>MELANDAH, JAMALPUR</t>
  </si>
  <si>
    <t>09826 56014, 017 20471537</t>
  </si>
  <si>
    <t>185391489</t>
  </si>
  <si>
    <t>1057 / 148</t>
  </si>
  <si>
    <t>SARISHABARI, JAMALPUR</t>
  </si>
  <si>
    <t>09827 56011, 017 12718215</t>
  </si>
  <si>
    <t>185410102</t>
  </si>
  <si>
    <t>BAGHANCHRA BRANCH</t>
  </si>
  <si>
    <t>BAGHANCHRA_BRANCH</t>
  </si>
  <si>
    <t>5595 /</t>
  </si>
  <si>
    <t>BAGH ANCHRA BAZAR, SHARSHA, JESSORE</t>
  </si>
  <si>
    <t>04232 51220, 019 18927430</t>
  </si>
  <si>
    <t>185411248</t>
  </si>
  <si>
    <t>KHAJURA BRANCH</t>
  </si>
  <si>
    <t>KHAJURA_BRANCH</t>
  </si>
  <si>
    <t>3061 / 124</t>
  </si>
  <si>
    <t>KHAJURA, JESSORE</t>
  </si>
  <si>
    <t>017 20094047, 017 18208898</t>
  </si>
  <si>
    <t>185411398</t>
  </si>
  <si>
    <t>MISTRIKHANA ROAD BRANCH</t>
  </si>
  <si>
    <t>MISTRIKHANA_ROAD_BRANCH</t>
  </si>
  <si>
    <t>3046 / 139</t>
  </si>
  <si>
    <t>MISTRIKHANA ROAD, JESSORE</t>
  </si>
  <si>
    <t>0421 68583, 017 10622978</t>
  </si>
  <si>
    <t>185411514</t>
  </si>
  <si>
    <t>4820 / 151</t>
  </si>
  <si>
    <t>MONIRAMPUR, JESSORE</t>
  </si>
  <si>
    <t>04227 78433, 019 18785547</t>
  </si>
  <si>
    <t>185411606</t>
  </si>
  <si>
    <t>3079 / 160</t>
  </si>
  <si>
    <t>NAVARON, JESSORE</t>
  </si>
  <si>
    <t>04228 75343, 017 18904226</t>
  </si>
  <si>
    <t>185411693</t>
  </si>
  <si>
    <t>PAJIA BAZAR BRANCH</t>
  </si>
  <si>
    <t>PAJIA_BAZAR_BRANCH</t>
  </si>
  <si>
    <t>3152 / 169</t>
  </si>
  <si>
    <t>PAJIA BAZAR, JESSORE</t>
  </si>
  <si>
    <t>017 20094038, 017 31446687</t>
  </si>
  <si>
    <t>185411930</t>
  </si>
  <si>
    <t>RAIPUR BAZAR BRANCH</t>
  </si>
  <si>
    <t>RAIPUR_BAZAR_BRANCH</t>
  </si>
  <si>
    <t>4812 / 193</t>
  </si>
  <si>
    <t>RAIPUR BAZAR, JESSORE</t>
  </si>
  <si>
    <t>017 20141922, 019 15773640</t>
  </si>
  <si>
    <t>185412050</t>
  </si>
  <si>
    <t>SMR ROAD</t>
  </si>
  <si>
    <t>SMR_ROAD</t>
  </si>
  <si>
    <t>185420318</t>
  </si>
  <si>
    <t>3301 / 031</t>
  </si>
  <si>
    <t>JHALAKATI SADAR, JHALAKATI</t>
  </si>
  <si>
    <t>0498 63262, 017 16950757</t>
  </si>
  <si>
    <t>185420376</t>
  </si>
  <si>
    <t>KATHALIA BRANCH</t>
  </si>
  <si>
    <t>KATHALIA_BRANCH</t>
  </si>
  <si>
    <t>5637 /</t>
  </si>
  <si>
    <t>NEWMARKET, KATHALIA BUS STAND, JHALAKATI 8400</t>
  </si>
  <si>
    <t>04952 56050, 018 18332774</t>
  </si>
  <si>
    <t>185420521</t>
  </si>
  <si>
    <t>PUTIAKHALI BANDAR BRANCH</t>
  </si>
  <si>
    <t>PUTIAKHALI_BANDAR_BRANCH</t>
  </si>
  <si>
    <t>5249 / 052</t>
  </si>
  <si>
    <t>PUTIAKHALI BANDAR, JHALAKATI</t>
  </si>
  <si>
    <t>017 52353222, 017 14900892</t>
  </si>
  <si>
    <t>185440585</t>
  </si>
  <si>
    <t>HAT KHALISHPUR BRANCH</t>
  </si>
  <si>
    <t>HAT_KHALISHPUR_BRANCH</t>
  </si>
  <si>
    <t>3137 / 058</t>
  </si>
  <si>
    <t>HAT KHALISHPUR, JHINAIDAH</t>
  </si>
  <si>
    <t>04525 56403, 017 22653230</t>
  </si>
  <si>
    <t>185440648</t>
  </si>
  <si>
    <t>3087 / 064</t>
  </si>
  <si>
    <t>JHENAIDAH SADAR, JHENAIDAH</t>
  </si>
  <si>
    <t>0451 62404, 017 16205099</t>
  </si>
  <si>
    <t>185441005</t>
  </si>
  <si>
    <t>3095 / 100</t>
  </si>
  <si>
    <t>04524 65008, 017 12291719</t>
  </si>
  <si>
    <t>185441155</t>
  </si>
  <si>
    <t>SAFDERPUR BRANCH</t>
  </si>
  <si>
    <t>SAFDERPUR_BRANCH</t>
  </si>
  <si>
    <t>3129 / 115</t>
  </si>
  <si>
    <t>SAFDERPUR, KOTCHANDPUR, JHENAIDAH</t>
  </si>
  <si>
    <t>017 20093420, 019 20265266</t>
  </si>
  <si>
    <t>185380311</t>
  </si>
  <si>
    <t>4234 / 031</t>
  </si>
  <si>
    <t>GOPINATHPUR, JOYPURHAT</t>
  </si>
  <si>
    <t>019 83206534</t>
  </si>
  <si>
    <t>185380403</t>
  </si>
  <si>
    <t>4101 / 040</t>
  </si>
  <si>
    <t>0571 62338, 017 20458753</t>
  </si>
  <si>
    <t>185380490</t>
  </si>
  <si>
    <t>4119 / 049</t>
  </si>
  <si>
    <t>05723 56006, 017 18875195</t>
  </si>
  <si>
    <t>185380616</t>
  </si>
  <si>
    <t>MOLAMGARIHAT BRANCH</t>
  </si>
  <si>
    <t>MOLAMGARIHAT_BRANCH</t>
  </si>
  <si>
    <t>4184 / 061</t>
  </si>
  <si>
    <t>MOLAMGARIHAT, JOYPURHAT</t>
  </si>
  <si>
    <t>017 58963725</t>
  </si>
  <si>
    <t>185380795</t>
  </si>
  <si>
    <t>SONAMUKHI BRANCH</t>
  </si>
  <si>
    <t>SONAMUKHI_BRANCH</t>
  </si>
  <si>
    <t>SONAMUKHI, AKKELPUR, JOYPURHAT</t>
  </si>
  <si>
    <t>185460310</t>
  </si>
  <si>
    <t>1503 / 031</t>
  </si>
  <si>
    <t>CHAPAI MARKET, 365 MAIN ROAD, RAMGARH, KHAGRACHARI</t>
  </si>
  <si>
    <t>0371 46083, 018 15917302</t>
  </si>
  <si>
    <t>185470221</t>
  </si>
  <si>
    <t>2808 / 022</t>
  </si>
  <si>
    <t>BARA BAZAR, KHULNA</t>
  </si>
  <si>
    <t>041 725606, 019 13711558</t>
  </si>
  <si>
    <t>185470313</t>
  </si>
  <si>
    <t>3012 / 031</t>
  </si>
  <si>
    <t>04022 56009, 017 16134028</t>
  </si>
  <si>
    <t>185470492</t>
  </si>
  <si>
    <t>CHALNA BAZAR BRANCH</t>
  </si>
  <si>
    <t>CHALNA_BAZAR_BRANCH</t>
  </si>
  <si>
    <t>2907 / 049</t>
  </si>
  <si>
    <t>CHALNA BAZAR, KHULNA</t>
  </si>
  <si>
    <t>04023 56008, 017 12773282</t>
  </si>
  <si>
    <t>185470700</t>
  </si>
  <si>
    <t>2816 / 070</t>
  </si>
  <si>
    <t>RUPBBDDHDPK</t>
  </si>
  <si>
    <t>DAULATPUR, KHULNA</t>
  </si>
  <si>
    <t>017 12824922</t>
  </si>
  <si>
    <t>185470942</t>
  </si>
  <si>
    <t>GARAIKHALI HAT BRANCH</t>
  </si>
  <si>
    <t>GARAIKHALI_HAT_BRANCH</t>
  </si>
  <si>
    <t>3004 / 094</t>
  </si>
  <si>
    <t>GARAIKHALI HAT, KHULNA</t>
  </si>
  <si>
    <t>017 20561668</t>
  </si>
  <si>
    <t>185471033</t>
  </si>
  <si>
    <t>2782 / 103</t>
  </si>
  <si>
    <t>IWTA TERMINAL, KHULNA</t>
  </si>
  <si>
    <t>041 721187, 019 37876715</t>
  </si>
  <si>
    <t>185471217</t>
  </si>
  <si>
    <t>KDA NEW MARKET BRANCH</t>
  </si>
  <si>
    <t>KDA_NEW_MARKET_BRANCH</t>
  </si>
  <si>
    <t>2790 / 121</t>
  </si>
  <si>
    <t>KDA NEW MARKET, KHULNA</t>
  </si>
  <si>
    <t>041 730929, 017 12744668</t>
  </si>
  <si>
    <t>185471154</t>
  </si>
  <si>
    <t>KD GHOSH ROAD BRANCH</t>
  </si>
  <si>
    <t>KD_GHOSH_ROAD_BRANCH</t>
  </si>
  <si>
    <t>2766 / 115</t>
  </si>
  <si>
    <t>K D GHOSE ROAD, KHULNA</t>
  </si>
  <si>
    <t>185471459</t>
  </si>
  <si>
    <t>2824 / 145</t>
  </si>
  <si>
    <t>KHALISHPUR, KHULNA</t>
  </si>
  <si>
    <t>041 762656, 017 26884968</t>
  </si>
  <si>
    <t>185472058</t>
  </si>
  <si>
    <t>2774 / 205</t>
  </si>
  <si>
    <t>NATUN BAZAR, KHULNA</t>
  </si>
  <si>
    <t>041 722457, 017 15276170</t>
  </si>
  <si>
    <t>185472087</t>
  </si>
  <si>
    <t>2832 / 208</t>
  </si>
  <si>
    <t>PAIKGACHHA, KHULNA</t>
  </si>
  <si>
    <t>04027 56006, 017 18852558</t>
  </si>
  <si>
    <t>185472179</t>
  </si>
  <si>
    <t>2956 / 217</t>
  </si>
  <si>
    <t>RAJAPUR, KHULNA</t>
  </si>
  <si>
    <t>041 800043, 018 16680868</t>
  </si>
  <si>
    <t>185472566</t>
  </si>
  <si>
    <t>SHAMS BUILDING BRANCH</t>
  </si>
  <si>
    <t>SHAMS_BUILDING_BRANCH</t>
  </si>
  <si>
    <t>2741 / 256</t>
  </si>
  <si>
    <t>RUPBBDDHSBK</t>
  </si>
  <si>
    <t>SHAMS BUILDING, KHULNA</t>
  </si>
  <si>
    <t>041 722064, 017 11029495</t>
  </si>
  <si>
    <t>185480103</t>
  </si>
  <si>
    <t>5611 /</t>
  </si>
  <si>
    <t>AB SIDDIQUE TOWER, HOLDING NO 457, HAJI ELIAS ROAD, BAJITPUR, KISHOREGANJ</t>
  </si>
  <si>
    <t>017 12731248</t>
  </si>
  <si>
    <t>185480224</t>
  </si>
  <si>
    <t>0869 / 022</t>
  </si>
  <si>
    <t>BHAIRAB BAZAR, KISHOREGANJ</t>
  </si>
  <si>
    <t>02 9470407, 019 13560468</t>
  </si>
  <si>
    <t>185480679</t>
  </si>
  <si>
    <t>0851 / 067</t>
  </si>
  <si>
    <t>KISHOREGANJ SADAR, KISHOREGANJ</t>
  </si>
  <si>
    <t>0941 62322, 017 63302026</t>
  </si>
  <si>
    <t>185481036</t>
  </si>
  <si>
    <t>NILGANJ BRANCH</t>
  </si>
  <si>
    <t>NILGANJ_BRANCH</t>
  </si>
  <si>
    <t>0919 / 103</t>
  </si>
  <si>
    <t>NILGANJ, KISHOREGANJ SADAR, KISHOREGANJ</t>
  </si>
  <si>
    <t>019 24724079</t>
  </si>
  <si>
    <t>185480066</t>
  </si>
  <si>
    <t>PATUAVANGA BRANCH</t>
  </si>
  <si>
    <t>PATUAVANGA_BRANCH</t>
  </si>
  <si>
    <t>5397 /</t>
  </si>
  <si>
    <t>PATUAVANGA, PAKUNDIA, KISHOREGANJ</t>
  </si>
  <si>
    <t>017 11662774</t>
  </si>
  <si>
    <t>185490401</t>
  </si>
  <si>
    <t>4358 / 040</t>
  </si>
  <si>
    <t>KURIGRAM SADAR, KURIGRAM</t>
  </si>
  <si>
    <t>0581 61390, 019 12446134</t>
  </si>
  <si>
    <t>185500283</t>
  </si>
  <si>
    <t>5371 / 5371</t>
  </si>
  <si>
    <t>BHERAMARA, KUSHTIA</t>
  </si>
  <si>
    <t>017 17657077</t>
  </si>
  <si>
    <t>185500641</t>
  </si>
  <si>
    <t>HOSSAINABAD BRANCH</t>
  </si>
  <si>
    <t>HOSSAINABAD_BRANCH</t>
  </si>
  <si>
    <t>3194 / 064</t>
  </si>
  <si>
    <t>HOSSAINABAD, KUSHTIA</t>
  </si>
  <si>
    <t>07023 75243, 017 20535312</t>
  </si>
  <si>
    <t>185500946</t>
  </si>
  <si>
    <t>3160 / 094</t>
  </si>
  <si>
    <t>KUSHTIA SADAR, KUSHTIA</t>
  </si>
  <si>
    <t>071 61868, 017 27182290</t>
  </si>
  <si>
    <t>185501129</t>
  </si>
  <si>
    <t>MOSHAN BRANCH</t>
  </si>
  <si>
    <t>MOSHAN_BRANCH</t>
  </si>
  <si>
    <t>4713 / 112</t>
  </si>
  <si>
    <t>SHELAIDAH, KUMARKHALI, KUSHTIA</t>
  </si>
  <si>
    <t>07026 56018, 017 14673967</t>
  </si>
  <si>
    <t>185501637</t>
  </si>
  <si>
    <t>SWASTIPUR BRANCH</t>
  </si>
  <si>
    <t>SWASTIPUR_BRANCH</t>
  </si>
  <si>
    <t>3202 / 163</t>
  </si>
  <si>
    <t>SWASTIPUR, KUSHTIA SADAR, KUSHTIA</t>
  </si>
  <si>
    <t>071 71169, 017 16621277</t>
  </si>
  <si>
    <t>185510044</t>
  </si>
  <si>
    <t>BALUA CHOWMUHANI BRANCH</t>
  </si>
  <si>
    <t>BALUA_CHOWMUHANI_BRANCH</t>
  </si>
  <si>
    <t>4986 / 004</t>
  </si>
  <si>
    <t>BALUA CHOWMUHANI, RAMGANJ, LAKSHMIPUR</t>
  </si>
  <si>
    <t>017 12508383</t>
  </si>
  <si>
    <t>185510165</t>
  </si>
  <si>
    <t>2543 / 016</t>
  </si>
  <si>
    <t>BIBIRHAT, RAMGATI, LAKSHMIPUR</t>
  </si>
  <si>
    <t>017 16280572</t>
  </si>
  <si>
    <t>185510431</t>
  </si>
  <si>
    <t>DALTA BAZAR BRANCH</t>
  </si>
  <si>
    <t>DALTA_BAZAR_BRANCH</t>
  </si>
  <si>
    <t>2626 / 043</t>
  </si>
  <si>
    <t>DALTA BAZAR, LAKSHMIPUR</t>
  </si>
  <si>
    <t>017 15873595</t>
  </si>
  <si>
    <t>185510499</t>
  </si>
  <si>
    <t>DATTAPARA BRANCH</t>
  </si>
  <si>
    <t>DATTAPARA_BRANCH</t>
  </si>
  <si>
    <t>2451 / 049</t>
  </si>
  <si>
    <t>DATTAPARA,LAKSHMIPUR</t>
  </si>
  <si>
    <t>017 18178674</t>
  </si>
  <si>
    <t>185510736</t>
  </si>
  <si>
    <t>2477 / 073</t>
  </si>
  <si>
    <t>LAKSHMIPUR SADAR, LAKSHMIPUR</t>
  </si>
  <si>
    <t>0381 55449, 017 12769891</t>
  </si>
  <si>
    <t>185510828</t>
  </si>
  <si>
    <t>2485 / 082</t>
  </si>
  <si>
    <t>MANDARI BAZAR, LAKSHMIPUR</t>
  </si>
  <si>
    <t>018 16326953</t>
  </si>
  <si>
    <t>185510949</t>
  </si>
  <si>
    <t>2618 / 094</t>
  </si>
  <si>
    <t>PODDAR BAZAR, LAKSHMIPUR</t>
  </si>
  <si>
    <t>017 19144800</t>
  </si>
  <si>
    <t>185511098</t>
  </si>
  <si>
    <t>RAMGATI BAZAR BRANCH</t>
  </si>
  <si>
    <t>RAMGATI_BAZAR_BRANCH</t>
  </si>
  <si>
    <t>2709 / 109</t>
  </si>
  <si>
    <t>RAMGATI BAZAR, LAKSHMIPUR</t>
  </si>
  <si>
    <t>018 13504589</t>
  </si>
  <si>
    <t>185511151</t>
  </si>
  <si>
    <t>2444 / 115</t>
  </si>
  <si>
    <t>SONAPUR, RAMGANJ, LAKSHMIPUR</t>
  </si>
  <si>
    <t>015 58496001</t>
  </si>
  <si>
    <t>185520047</t>
  </si>
  <si>
    <t>4473 / 004</t>
  </si>
  <si>
    <t>ADITMARI, LALMONIRHAT</t>
  </si>
  <si>
    <t>05922 56007, 017 29169826</t>
  </si>
  <si>
    <t>185520100</t>
  </si>
  <si>
    <t>BARAKHATA BRANCH</t>
  </si>
  <si>
    <t>BARAKHATA_BRANCH</t>
  </si>
  <si>
    <t>4424 / 010</t>
  </si>
  <si>
    <t>BARAKHATA, LALMONIRHAT</t>
  </si>
  <si>
    <t>017 17499733</t>
  </si>
  <si>
    <t>185520463</t>
  </si>
  <si>
    <t>4432 / 046</t>
  </si>
  <si>
    <t>0591 61239, 017 21541070</t>
  </si>
  <si>
    <t>185520584</t>
  </si>
  <si>
    <t>4366 / 058</t>
  </si>
  <si>
    <t>05925 56214, 019 12894457</t>
  </si>
  <si>
    <t>185540401</t>
  </si>
  <si>
    <t>1164 / 040</t>
  </si>
  <si>
    <t>MADARIPUR SADAR, MADARIPUR</t>
  </si>
  <si>
    <t>0661 61546, 017 15963070</t>
  </si>
  <si>
    <t>185540735</t>
  </si>
  <si>
    <t>SHIBCHAR PAURASABHA BRANCH</t>
  </si>
  <si>
    <t>SHIBCHAR_PAURASABHA_BRANCH</t>
  </si>
  <si>
    <t>1222 / 073</t>
  </si>
  <si>
    <t>PAURASABHA BHAVAN, SHIBCHAR, MADARIPUR</t>
  </si>
  <si>
    <t>06624 56309, 019 26975008</t>
  </si>
  <si>
    <t>185550288</t>
  </si>
  <si>
    <t>CHAULIA BUS STAND</t>
  </si>
  <si>
    <t>CHAULIA_BUS_STAND</t>
  </si>
  <si>
    <t>185550554</t>
  </si>
  <si>
    <t>3103 / 055</t>
  </si>
  <si>
    <t>MAGURA SADAR, MAGURA</t>
  </si>
  <si>
    <t>0488 62470, 017 15168458</t>
  </si>
  <si>
    <t>185560078</t>
  </si>
  <si>
    <t>BAIRA BAZAR BRANCH</t>
  </si>
  <si>
    <t>BAIRA_BAZAR_BRANCH</t>
  </si>
  <si>
    <t>0307 / 007</t>
  </si>
  <si>
    <t>BAIRA BAZAR, BAIRA, MANIKGANJ</t>
  </si>
  <si>
    <t>017 41336302, 019 26396028</t>
  </si>
  <si>
    <t>185560052</t>
  </si>
  <si>
    <t>DAULATPUR BAZAR BRANCH</t>
  </si>
  <si>
    <t>DAULATPUR_BAZAR_BRANCH</t>
  </si>
  <si>
    <t>5488 /</t>
  </si>
  <si>
    <t>DAULATPUR BAZAR, MANIKGANJ</t>
  </si>
  <si>
    <t>017 11156359</t>
  </si>
  <si>
    <t>185560344</t>
  </si>
  <si>
    <t>DHANKURA BRANCH</t>
  </si>
  <si>
    <t>DHANKURA_BRANCH</t>
  </si>
  <si>
    <t>0299 / 034</t>
  </si>
  <si>
    <t>BIBIJAN HALIMA RASHID SUPER MARKET, KAMTA GOLRA BUS STAND, SATURIA, MANIKGANJ</t>
  </si>
  <si>
    <t>017 17297625</t>
  </si>
  <si>
    <t>185560386</t>
  </si>
  <si>
    <t>5272 /</t>
  </si>
  <si>
    <t>GHIOR, MANIKGANJ</t>
  </si>
  <si>
    <t>017 12058588</t>
  </si>
  <si>
    <t>185560557</t>
  </si>
  <si>
    <t>0315 / 055</t>
  </si>
  <si>
    <t>JHITKA, HARIRAMPUR, MANIKGANJ 1831</t>
  </si>
  <si>
    <t>019 41203083</t>
  </si>
  <si>
    <t>185560610</t>
  </si>
  <si>
    <t>0273 / 061</t>
  </si>
  <si>
    <t>BAZAR ROAD, MANIKGANJ 1800</t>
  </si>
  <si>
    <t>016 70964571</t>
  </si>
  <si>
    <t>185560760</t>
  </si>
  <si>
    <t>0281 / 076</t>
  </si>
  <si>
    <t>SATURIA BAZAR, MANIKGANJ 1800</t>
  </si>
  <si>
    <t>017 13520633</t>
  </si>
  <si>
    <t>185570468</t>
  </si>
  <si>
    <t>MAJIBNAGAR BRANCH</t>
  </si>
  <si>
    <t>MAJIBNAGAR_BRANCH</t>
  </si>
  <si>
    <t>4903 / 046</t>
  </si>
  <si>
    <t>MAJIB NAGAR, MEHERPUR</t>
  </si>
  <si>
    <t>07923 74015, 017 12555775</t>
  </si>
  <si>
    <t>185570376</t>
  </si>
  <si>
    <t>3186 / 037</t>
  </si>
  <si>
    <t>MEHERPUR SADAR, MEHERPUR</t>
  </si>
  <si>
    <t>0791 62539, 017 15166775</t>
  </si>
  <si>
    <t>185580074</t>
  </si>
  <si>
    <t>AZIMGANJ BRANCH</t>
  </si>
  <si>
    <t>AZIMGANJ_BRANCH</t>
  </si>
  <si>
    <t>1990 / 007</t>
  </si>
  <si>
    <t>AZIMGANJ, MOULVIBAZAR</t>
  </si>
  <si>
    <t>017 12875204, 017 15379705</t>
  </si>
  <si>
    <t>185580311</t>
  </si>
  <si>
    <t>CHANDNIGHAT BRANCH</t>
  </si>
  <si>
    <t>CHANDNIGHAT_BRANCH</t>
  </si>
  <si>
    <t>2170 / 031</t>
  </si>
  <si>
    <t>CHANDNIGHAT, MOULVIBAZAR</t>
  </si>
  <si>
    <t>0861 52280, 017 11449477</t>
  </si>
  <si>
    <t>185580379</t>
  </si>
  <si>
    <t>1867 / 037</t>
  </si>
  <si>
    <t>CHOWMOHANA, MOULVIBAZAR</t>
  </si>
  <si>
    <t>0861 52284, 017 33691425</t>
  </si>
  <si>
    <t>185580058</t>
  </si>
  <si>
    <t>GOBINDAPUR BAZAR BRANCH</t>
  </si>
  <si>
    <t>GOBINDAPUR_BAZAR_BRANCH</t>
  </si>
  <si>
    <t>5421 /</t>
  </si>
  <si>
    <t>GOBINDAPUR BAZAR, MOULVIBAZAR</t>
  </si>
  <si>
    <t>016 87099060, 017 50004618, 019 12734379</t>
  </si>
  <si>
    <t>185581273</t>
  </si>
  <si>
    <t>KALAR BAZAR BRANCH</t>
  </si>
  <si>
    <t>KALAR_BAZAR_BRANCH</t>
  </si>
  <si>
    <t>2196 / 127</t>
  </si>
  <si>
    <t>KALAR BAZAR, MOULVIBAZAR</t>
  </si>
  <si>
    <t>017 25866914</t>
  </si>
  <si>
    <t>185580911</t>
  </si>
  <si>
    <t>KERAMATNAGAR BRANCH</t>
  </si>
  <si>
    <t>KERAMATNAGAR_BRANCH</t>
  </si>
  <si>
    <t>1883 / 091</t>
  </si>
  <si>
    <t>KERAMATNAGAR, MOULVIBAZAR</t>
  </si>
  <si>
    <t>08623 56025, 017 18509156</t>
  </si>
  <si>
    <t>185580940</t>
  </si>
  <si>
    <t>5322 /</t>
  </si>
  <si>
    <t>08624 57023, 017 17620634</t>
  </si>
  <si>
    <t>185581307</t>
  </si>
  <si>
    <t>2147 / 130</t>
  </si>
  <si>
    <t>NATUN BAZAR, SREEMANGAL, MOULVIBAZAR</t>
  </si>
  <si>
    <t>08626 71359, 017 26238878</t>
  </si>
  <si>
    <t>185581457</t>
  </si>
  <si>
    <t>SHAMRAR BAZAR BRANCH</t>
  </si>
  <si>
    <t>SHAMRAR_BAZAR_BRANCH</t>
  </si>
  <si>
    <t>2022 / 145</t>
  </si>
  <si>
    <t>SHAMRAR BAZAR, MOULVIBAZAR</t>
  </si>
  <si>
    <t>017 86619062</t>
  </si>
  <si>
    <t>185581723</t>
  </si>
  <si>
    <t>1875 / 172</t>
  </si>
  <si>
    <t>08626 71504, 015 52448932</t>
  </si>
  <si>
    <t>185581781</t>
  </si>
  <si>
    <t>TENGRABAZAR BRANCH</t>
  </si>
  <si>
    <t>TENGRABAZAR_BRANCH</t>
  </si>
  <si>
    <t>1891 / 178</t>
  </si>
  <si>
    <t>08625 75071, 017 24795588</t>
  </si>
  <si>
    <t>185581060</t>
  </si>
  <si>
    <t>MARKET</t>
  </si>
  <si>
    <t>185590222</t>
  </si>
  <si>
    <t>BENODPUR BRANCH</t>
  </si>
  <si>
    <t>BENODPUR_BRANCH</t>
  </si>
  <si>
    <t>0760 / 022</t>
  </si>
  <si>
    <t>BINODPUR, MUNSHIGANJ</t>
  </si>
  <si>
    <t>0691 63237, 017 15872929</t>
  </si>
  <si>
    <t>185590851</t>
  </si>
  <si>
    <t>LOUHAJONG BRANCH</t>
  </si>
  <si>
    <t>LOUHAJONG_BRANCH</t>
  </si>
  <si>
    <t>0752 / 085</t>
  </si>
  <si>
    <t>LOHAJANG, MUNSHIGANJ</t>
  </si>
  <si>
    <t>06923 56010, 017 15790909</t>
  </si>
  <si>
    <t>185590972</t>
  </si>
  <si>
    <t>0745 / 097</t>
  </si>
  <si>
    <t>MIRKADIM, MUNSHIGANJ</t>
  </si>
  <si>
    <t>0691 62207, 017 10297692</t>
  </si>
  <si>
    <t>185591034</t>
  </si>
  <si>
    <t>0737 / 103</t>
  </si>
  <si>
    <t>0691 63176, 018 24690696</t>
  </si>
  <si>
    <t>185610252</t>
  </si>
  <si>
    <t>BALIPARA BRANCH</t>
  </si>
  <si>
    <t>BALIPARA_BRANCH</t>
  </si>
  <si>
    <t>0828 / 025</t>
  </si>
  <si>
    <t>BALIPARA, TRISHAL, MYMENSINGH</t>
  </si>
  <si>
    <t>017 12569314</t>
  </si>
  <si>
    <t>185610586</t>
  </si>
  <si>
    <t>CHHOTO BAZAR BRANCH</t>
  </si>
  <si>
    <t>CHHOTO_BAZAR_BRANCH</t>
  </si>
  <si>
    <t>0786 / 058</t>
  </si>
  <si>
    <t>RUPBBDDHCBM</t>
  </si>
  <si>
    <t>CHHOTO BAZAR, MYMENSINGH</t>
  </si>
  <si>
    <t>017 18115426</t>
  </si>
  <si>
    <t>185610610</t>
  </si>
  <si>
    <t>DAPUNIA BAZAR BRANCH</t>
  </si>
  <si>
    <t>DAPUNIA_BAZAR_BRANCH</t>
  </si>
  <si>
    <t>0893 / 061</t>
  </si>
  <si>
    <t>DAPUNIA BAZAR, MYMENSINGH</t>
  </si>
  <si>
    <t>091 66233, 017 18232855</t>
  </si>
  <si>
    <t>185610823</t>
  </si>
  <si>
    <t>0943 / 082</t>
  </si>
  <si>
    <t>DHARA BAZAR, MYMENSINGH</t>
  </si>
  <si>
    <t>017 16924773</t>
  </si>
  <si>
    <t>185610915</t>
  </si>
  <si>
    <t>FATEMA NAGAR BRANCH</t>
  </si>
  <si>
    <t>FATEMA_NAGAR_BRANCH</t>
  </si>
  <si>
    <t>0935 / 091</t>
  </si>
  <si>
    <t>FATEMA NAGAR, MYMENSINGH</t>
  </si>
  <si>
    <t>019 62474827</t>
  </si>
  <si>
    <t>185612021</t>
  </si>
  <si>
    <t>0877 / 202</t>
  </si>
  <si>
    <t>FULBARIA, MYMENSINGH</t>
  </si>
  <si>
    <t>09023 73429, 017 19682269</t>
  </si>
  <si>
    <t>185611398</t>
  </si>
  <si>
    <t>KHAGDAHAR BAZAR BRANCH</t>
  </si>
  <si>
    <t>KHAGDAHAR_BAZAR_BRANCH</t>
  </si>
  <si>
    <t>0885 / 139</t>
  </si>
  <si>
    <t>KHAGDAHAR BAZAR, MYMENSINGH</t>
  </si>
  <si>
    <t>091 67386, 017 18031967</t>
  </si>
  <si>
    <t>185611514</t>
  </si>
  <si>
    <t>MALLIKBARI BRANCH</t>
  </si>
  <si>
    <t>MALLIKBARI_BRANCH</t>
  </si>
  <si>
    <t>4754 / 151</t>
  </si>
  <si>
    <t>MALLIKBARI, MYMENSINGH</t>
  </si>
  <si>
    <t>017 10176356</t>
  </si>
  <si>
    <t>185611693</t>
  </si>
  <si>
    <t>0927 / 169</t>
  </si>
  <si>
    <t>09028 5346, 019 28829946</t>
  </si>
  <si>
    <t>185612113</t>
  </si>
  <si>
    <t>SHAYMGANJ</t>
  </si>
  <si>
    <t>185612205</t>
  </si>
  <si>
    <t>SWADESHI BAZAR</t>
  </si>
  <si>
    <t>SWADESHI_BAZAR</t>
  </si>
  <si>
    <t>185612326</t>
  </si>
  <si>
    <t>THANA GHAT BRANCH</t>
  </si>
  <si>
    <t>THANA_GHAT_BRANCH</t>
  </si>
  <si>
    <t>0794 / 232</t>
  </si>
  <si>
    <t>43 THANA GHAT CONGRESS, JUBILEE ROAD, MYMENSINGH</t>
  </si>
  <si>
    <t>091 67605, 017 27502144</t>
  </si>
  <si>
    <t>185612355</t>
  </si>
  <si>
    <t>0810 / 235</t>
  </si>
  <si>
    <t>09032 56013, 017 27502144</t>
  </si>
  <si>
    <t>185612384</t>
  </si>
  <si>
    <t>UCHAKHILA</t>
  </si>
  <si>
    <t>185640198</t>
  </si>
  <si>
    <t>3608 / 019</t>
  </si>
  <si>
    <t>BADALGACHHI, NOAGOAN</t>
  </si>
  <si>
    <t>07423 56020, 017 18835133</t>
  </si>
  <si>
    <t>185640730</t>
  </si>
  <si>
    <t>3590 / 073</t>
  </si>
  <si>
    <t>HOSPITAL ROAD, NOAGOAN</t>
  </si>
  <si>
    <t>0741 62460, 017 18843049</t>
  </si>
  <si>
    <t>185641276</t>
  </si>
  <si>
    <t>3657 / 127</t>
  </si>
  <si>
    <t>NIAMATPUR, NOAGAON</t>
  </si>
  <si>
    <t>0742 756001, 017 1913351</t>
  </si>
  <si>
    <t>185641692</t>
  </si>
  <si>
    <t>3582 / 169</t>
  </si>
  <si>
    <t>SADAR ROAD, NAOGAON</t>
  </si>
  <si>
    <t>0741 62370, 017 18076509</t>
  </si>
  <si>
    <t>185650496</t>
  </si>
  <si>
    <t>LOHAGARA BAZAR</t>
  </si>
  <si>
    <t>LOHAGARA_BAZAR</t>
  </si>
  <si>
    <t>185650641</t>
  </si>
  <si>
    <t>3111 / 064</t>
  </si>
  <si>
    <t>NARAIL SADAR, NARAIL</t>
  </si>
  <si>
    <t>0481 62554, 017 15855650</t>
  </si>
  <si>
    <t>185670076</t>
  </si>
  <si>
    <t>0687 / 007</t>
  </si>
  <si>
    <t>6 SS ROAD, CHAMBER ROAD, NARAYANGANJ 1400</t>
  </si>
  <si>
    <t>02 7633153, 011 99144802</t>
  </si>
  <si>
    <t>185670197</t>
  </si>
  <si>
    <t>0778 / 019</t>
  </si>
  <si>
    <t>BANGLABAAR, FATULLA, NARAYANGANJ 1420</t>
  </si>
  <si>
    <t>02 7633289, 017 12288679</t>
  </si>
  <si>
    <t>185670221</t>
  </si>
  <si>
    <t>5363 /</t>
  </si>
  <si>
    <t>VULTA, RUPGANJ, NARAYANGANJ</t>
  </si>
  <si>
    <t>019 21061690</t>
  </si>
  <si>
    <t>185670526</t>
  </si>
  <si>
    <t>0703 / 052</t>
  </si>
  <si>
    <t>FATULLAH BAZAR, NARAYANGANJ 1421</t>
  </si>
  <si>
    <t>02 7670155, 017 15362490</t>
  </si>
  <si>
    <t>185670768</t>
  </si>
  <si>
    <t>KANAINAGAR BRANCH</t>
  </si>
  <si>
    <t>KANAINAGAR_BRANCH</t>
  </si>
  <si>
    <t>4697 / 076</t>
  </si>
  <si>
    <t>KANAI NAGAR, NARAYANGANJ</t>
  </si>
  <si>
    <t>017 13511338</t>
  </si>
  <si>
    <t>185671420</t>
  </si>
  <si>
    <t>RK DAS ROAD</t>
  </si>
  <si>
    <t>RK_DAS_ROAD</t>
  </si>
  <si>
    <t>185671488</t>
  </si>
  <si>
    <t>SK ROAD BRANCH</t>
  </si>
  <si>
    <t>SK_ROAD_BRANCH</t>
  </si>
  <si>
    <t>0653 / 148</t>
  </si>
  <si>
    <t>RUPBBDDHSKN</t>
  </si>
  <si>
    <t>SHAISTA KHAN ROAD, NARAYANGANJ</t>
  </si>
  <si>
    <t>02 7633691, 017 77321518</t>
  </si>
  <si>
    <t>185671754</t>
  </si>
  <si>
    <t>0695 / 175</t>
  </si>
  <si>
    <t>27 SM MALLEH ROAD, TANBAZAR, NARAYANGONJ 1400</t>
  </si>
  <si>
    <t>02 7633691, 7632581, 017 12012863</t>
  </si>
  <si>
    <t>185680103</t>
  </si>
  <si>
    <t>0729 / 010</t>
  </si>
  <si>
    <t>BABURHAT, MADHABDI, NARSINGDI 1604</t>
  </si>
  <si>
    <t>02 9446251, 019 13374401</t>
  </si>
  <si>
    <t>185680853</t>
  </si>
  <si>
    <t>0711 / 085</t>
  </si>
  <si>
    <t>NARSINGDI SADAR, NARSINGDI</t>
  </si>
  <si>
    <t>017 13517929</t>
  </si>
  <si>
    <t>185690043</t>
  </si>
  <si>
    <t>3632 / 004</t>
  </si>
  <si>
    <t>ABDULPUR, NATORE</t>
  </si>
  <si>
    <t>017 27144501</t>
  </si>
  <si>
    <t>185691334</t>
  </si>
  <si>
    <t>KADIRABAD CANTONMENT BRANCH</t>
  </si>
  <si>
    <t>KADIRABAD_CANTONMENT_BRANCH</t>
  </si>
  <si>
    <t>3640 / 133</t>
  </si>
  <si>
    <t>KADIRABAD CANTONMENT, DAYARAMPUR, NATORE</t>
  </si>
  <si>
    <t>07722 72051, 017 48982057</t>
  </si>
  <si>
    <t>185691068</t>
  </si>
  <si>
    <t>NALDANGARHAT BRANCH</t>
  </si>
  <si>
    <t>NALDANGARHAT_BRANCH</t>
  </si>
  <si>
    <t>3624 / 106</t>
  </si>
  <si>
    <t>NALDANGARHAT, NATORE</t>
  </si>
  <si>
    <t>07732 51034, 017 14461514</t>
  </si>
  <si>
    <t>185691097</t>
  </si>
  <si>
    <t>3616 / 109</t>
  </si>
  <si>
    <t>0771 62967</t>
  </si>
  <si>
    <t>185691242</t>
  </si>
  <si>
    <t>NICHABAZAR BRANCH</t>
  </si>
  <si>
    <t>NICHABAZAR_BRANCH</t>
  </si>
  <si>
    <t>3749 / 124</t>
  </si>
  <si>
    <t>NICHA BAZAR, NATORE</t>
  </si>
  <si>
    <t>0771 62990, 015 56319552</t>
  </si>
  <si>
    <t>185691484</t>
  </si>
  <si>
    <t>3731 / 148</t>
  </si>
  <si>
    <t>07726 63044, 017 14529665</t>
  </si>
  <si>
    <t>185720463</t>
  </si>
  <si>
    <t>0950 / 046</t>
  </si>
  <si>
    <t>KENDUA, NETROKONA</t>
  </si>
  <si>
    <t>09528 56006, 019 61706370</t>
  </si>
  <si>
    <t>185720739</t>
  </si>
  <si>
    <t>0836 / 073</t>
  </si>
  <si>
    <t>NETROKONA SADAR, NETROKONA</t>
  </si>
  <si>
    <t>0951 61533, 017 15250574</t>
  </si>
  <si>
    <t>185720821</t>
  </si>
  <si>
    <t>RAYER BAZAR</t>
  </si>
  <si>
    <t>RAYER_BAZAR</t>
  </si>
  <si>
    <t>185730282</t>
  </si>
  <si>
    <t>DALIA BRANCH</t>
  </si>
  <si>
    <t>DALIA_BRANCH</t>
  </si>
  <si>
    <t>4465 / 028</t>
  </si>
  <si>
    <t>TISTA BARRAGE, DALIA, NILPHAMARI</t>
  </si>
  <si>
    <t>017 17255454</t>
  </si>
  <si>
    <t>185730316</t>
  </si>
  <si>
    <t>4341 / 031</t>
  </si>
  <si>
    <t>05522 56228, 017 35690184</t>
  </si>
  <si>
    <t>185730587</t>
  </si>
  <si>
    <t>KISHORIGANJ BRANCH</t>
  </si>
  <si>
    <t>KISHORIGANJ_BRANCH</t>
  </si>
  <si>
    <t>4291 / 058</t>
  </si>
  <si>
    <t>KISHORIGANJ, NILPHAMARI</t>
  </si>
  <si>
    <t>05525 56014, 017 16305359</t>
  </si>
  <si>
    <t>185730732</t>
  </si>
  <si>
    <t>4325 / 073</t>
  </si>
  <si>
    <t>0551 61304, 017 16918785</t>
  </si>
  <si>
    <t>185730790</t>
  </si>
  <si>
    <t>4333 / 079</t>
  </si>
  <si>
    <t>05526 72251, 017 22373797</t>
  </si>
  <si>
    <t>185750109</t>
  </si>
  <si>
    <t>2493 / 010</t>
  </si>
  <si>
    <t>AMISHAPARA, SONAIMURI, NOAKHALI</t>
  </si>
  <si>
    <t>018 18763294</t>
  </si>
  <si>
    <t>185750196</t>
  </si>
  <si>
    <t>185750259</t>
  </si>
  <si>
    <t>2527 / 025</t>
  </si>
  <si>
    <t>BASURHAT, COMPANIGANJ, NOAKHALI</t>
  </si>
  <si>
    <t>03223 56220, 019 12379516</t>
  </si>
  <si>
    <t>185750583</t>
  </si>
  <si>
    <t>2469 / 058</t>
  </si>
  <si>
    <t>CHATKHIL, NOAKHALI</t>
  </si>
  <si>
    <t>03222 75006, 019 44941124</t>
  </si>
  <si>
    <t>185750675</t>
  </si>
  <si>
    <t>2436 / 067</t>
  </si>
  <si>
    <t>CHOWMUHANI, NOAKHALI</t>
  </si>
  <si>
    <t>0321 52060, 017 13635398</t>
  </si>
  <si>
    <t>185750059</t>
  </si>
  <si>
    <t>DELIYAI BAZAR BRANCH</t>
  </si>
  <si>
    <t>DELIYAI_BAZAR_BRANCH</t>
  </si>
  <si>
    <t>5405 /</t>
  </si>
  <si>
    <t>DELIYAI BAZAR, NOAKHALI</t>
  </si>
  <si>
    <t>185750941</t>
  </si>
  <si>
    <t>EKLASHPUR BRANCH</t>
  </si>
  <si>
    <t>EKLASHPUR_BRANCH</t>
  </si>
  <si>
    <t>2667 / 094</t>
  </si>
  <si>
    <t>EKLASHPUR, BEGUMGANJ, NOAKHALI</t>
  </si>
  <si>
    <t>017 17293705</t>
  </si>
  <si>
    <t>185750970</t>
  </si>
  <si>
    <t>2725 / 097</t>
  </si>
  <si>
    <t>GOLABARIA, CHOWMUHANI, BEGUMGANJ, NOAKHALI</t>
  </si>
  <si>
    <t>0321 52085, 017 10981656</t>
  </si>
  <si>
    <t>185751216</t>
  </si>
  <si>
    <t>2519 / 121</t>
  </si>
  <si>
    <t>KABIRHAT, NOAKHALI</t>
  </si>
  <si>
    <t>03232 53277, 019 12173193</t>
  </si>
  <si>
    <t>185751337</t>
  </si>
  <si>
    <t>KARAMBOX BAZAR BRANCH</t>
  </si>
  <si>
    <t>KARAMBOX_BAZAR_BRANCH</t>
  </si>
  <si>
    <t>2733 / 133</t>
  </si>
  <si>
    <t>KARAMBOX BAZAR, NOAKHALI 3820</t>
  </si>
  <si>
    <t>017 12794815</t>
  </si>
  <si>
    <t>185751366</t>
  </si>
  <si>
    <t>KARIHATI BAZAR BRANCH</t>
  </si>
  <si>
    <t>KARIHATI_BAZAR_BRANCH</t>
  </si>
  <si>
    <t>2675 / 136</t>
  </si>
  <si>
    <t>KARIHATI BAZAR, CHATKHIL, NOAKHALI</t>
  </si>
  <si>
    <t>018 30002581</t>
  </si>
  <si>
    <t>185751579</t>
  </si>
  <si>
    <t>2428 / 157</t>
  </si>
  <si>
    <t>MAIJDEE COURT, NOAKHALI</t>
  </si>
  <si>
    <t>0321 61581, 018 19843640</t>
  </si>
  <si>
    <t>185751782</t>
  </si>
  <si>
    <t>PALLA BAZAR BRANCH</t>
  </si>
  <si>
    <t>PALLA_BAZAR_BRANCH</t>
  </si>
  <si>
    <t>2691 / 178</t>
  </si>
  <si>
    <t>PALLA BAZAR, CHATKHIL, NOAKHALI</t>
  </si>
  <si>
    <t>017 14674343</t>
  </si>
  <si>
    <t>185751874</t>
  </si>
  <si>
    <t>POURASAVA MARKET BRANCH</t>
  </si>
  <si>
    <t>POURASAVA_MARKET_BRANCH</t>
  </si>
  <si>
    <t>2683 / 187</t>
  </si>
  <si>
    <t>POURASHAVA MARKET, NOAKHALI</t>
  </si>
  <si>
    <t>0321 62197, 019 26168172</t>
  </si>
  <si>
    <t>185751908</t>
  </si>
  <si>
    <t>RAJGANJ BAZAR BRANCH</t>
  </si>
  <si>
    <t>RAJGANJ_BAZAR_BRANCH</t>
  </si>
  <si>
    <t>2501 / 190</t>
  </si>
  <si>
    <t>RAJGANJ BAZAR, BEGUMGANJ, NOAKHALI</t>
  </si>
  <si>
    <t>0321 62250, 017 27905090</t>
  </si>
  <si>
    <t>185752381</t>
  </si>
  <si>
    <t>TALMOHAMMAD HAT BRANCH</t>
  </si>
  <si>
    <t>TALMOHAMMAD_HAT_BRANCH</t>
  </si>
  <si>
    <t>2535 / 238</t>
  </si>
  <si>
    <t>TAL MOHAMMAD HAT, COMPANIGANJ, NOAKHALI</t>
  </si>
  <si>
    <t>016 84318051</t>
  </si>
  <si>
    <t>185760315</t>
  </si>
  <si>
    <t>AUTAPARA BRANCH</t>
  </si>
  <si>
    <t>AUTAPARA_BRANCH</t>
  </si>
  <si>
    <t>3905 / 031</t>
  </si>
  <si>
    <t>AUTAPARA, ISHWARDI, PABNA</t>
  </si>
  <si>
    <t>0731 6515, 019 20774094</t>
  </si>
  <si>
    <t>185760407</t>
  </si>
  <si>
    <t>3939 / 040</t>
  </si>
  <si>
    <t>BANAGRAM, PABNA</t>
  </si>
  <si>
    <t>017 13827777</t>
  </si>
  <si>
    <t>185760586</t>
  </si>
  <si>
    <t>BANAWARI NAGAR BRANCH</t>
  </si>
  <si>
    <t>BANAWARI_NAGAR_BRANCH</t>
  </si>
  <si>
    <t>3814 / 058</t>
  </si>
  <si>
    <t>BANAWARI NAGAR, FARIDPUR, PABNA 6650</t>
  </si>
  <si>
    <t>07325 64002, 017 15051368</t>
  </si>
  <si>
    <t>185760465</t>
  </si>
  <si>
    <t>3780 / 046</t>
  </si>
  <si>
    <t>07323 75011, 019 11983221</t>
  </si>
  <si>
    <t>185760823</t>
  </si>
  <si>
    <t>DEBOTTAR BRANCH</t>
  </si>
  <si>
    <t>DEBOTTAR_BRANCH</t>
  </si>
  <si>
    <t>3798 / 082</t>
  </si>
  <si>
    <t>DEBOTTAR, PABNA</t>
  </si>
  <si>
    <t>07322 56010, 017 12341521</t>
  </si>
  <si>
    <t>185760915</t>
  </si>
  <si>
    <t>3871 / 091</t>
  </si>
  <si>
    <t>DOGACHI, PABNA</t>
  </si>
  <si>
    <t>0731 65261, 017 12344134</t>
  </si>
  <si>
    <t>185761093</t>
  </si>
  <si>
    <t>3962 / 109</t>
  </si>
  <si>
    <t>GOPALPUR, PABNA</t>
  </si>
  <si>
    <t>0731 65159, 017 15057333</t>
  </si>
  <si>
    <t>185761219</t>
  </si>
  <si>
    <t>3772 / 121</t>
  </si>
  <si>
    <t>07326 63666, 63662, 019 93337609</t>
  </si>
  <si>
    <t>185761514</t>
  </si>
  <si>
    <t>MATHURAHAT BRANCH</t>
  </si>
  <si>
    <t>MATHURAHAT_BRANCH</t>
  </si>
  <si>
    <t>3855 / 151</t>
  </si>
  <si>
    <t>MATHURAHAT, PABNA</t>
  </si>
  <si>
    <t>017 17136069</t>
  </si>
  <si>
    <t>185761635</t>
  </si>
  <si>
    <t>NAKALIA BRANCH</t>
  </si>
  <si>
    <t>NAKALIA_BRANCH</t>
  </si>
  <si>
    <t>3822 / 163</t>
  </si>
  <si>
    <t>NAKALIA, PABNA</t>
  </si>
  <si>
    <t>017 20265018</t>
  </si>
  <si>
    <t>185761785</t>
  </si>
  <si>
    <t>3756 / 178</t>
  </si>
  <si>
    <t>PABNA SADAR, PABNA</t>
  </si>
  <si>
    <t>0731 66171, 017 10457379</t>
  </si>
  <si>
    <t>185761848</t>
  </si>
  <si>
    <t>PABNA CADET COLLEGE BRANCH</t>
  </si>
  <si>
    <t>PABNA_CADET_COLLEGE_BRANCH</t>
  </si>
  <si>
    <t>3921 / 184</t>
  </si>
  <si>
    <t>PABNA CADET COLLEGE, PABNA</t>
  </si>
  <si>
    <t>0731 65334, 017 53671668</t>
  </si>
  <si>
    <t>185762050</t>
  </si>
  <si>
    <t>3806 / 205</t>
  </si>
  <si>
    <t>07327 56142, 017 20265016</t>
  </si>
  <si>
    <t>185762142</t>
  </si>
  <si>
    <t>SHIBPUR, PABNA</t>
  </si>
  <si>
    <t>0751 62690, 017 20265012</t>
  </si>
  <si>
    <t>185770497</t>
  </si>
  <si>
    <t>MAIDANDIGHI BRANCH</t>
  </si>
  <si>
    <t>MAIDANDIGHI_BRANCH</t>
  </si>
  <si>
    <t>4655 / 049</t>
  </si>
  <si>
    <t>MAIDANDIGHI, PANCHAGARH</t>
  </si>
  <si>
    <t>017 12915249</t>
  </si>
  <si>
    <t>185770550</t>
  </si>
  <si>
    <t>4663 / 055</t>
  </si>
  <si>
    <t>PANCHAGARH SADAR, PANCHAGARH</t>
  </si>
  <si>
    <t>0568 61247, 017 10219132</t>
  </si>
  <si>
    <t>185780108</t>
  </si>
  <si>
    <t>BAHERCHAR BRANCH</t>
  </si>
  <si>
    <t>BAHERCHAR_BRANCH</t>
  </si>
  <si>
    <t>3491 / 010</t>
  </si>
  <si>
    <t>BAHERCHAR, PATUAKHALI</t>
  </si>
  <si>
    <t>017 82936501</t>
  </si>
  <si>
    <t>185780403</t>
  </si>
  <si>
    <t>DIBUYAPUR BRANCH</t>
  </si>
  <si>
    <t>DIBUYAPUR_BRANCH</t>
  </si>
  <si>
    <t>5058 / 040</t>
  </si>
  <si>
    <t>DIBUYAPUR, PATUAKHALI</t>
  </si>
  <si>
    <t>04454 56008, 017 10956186</t>
  </si>
  <si>
    <t>185780490</t>
  </si>
  <si>
    <t>5629 /</t>
  </si>
  <si>
    <t>THANA ROAD, GALACHIPA, PATUAKHALI</t>
  </si>
  <si>
    <t>04424 56244, 017 32256663</t>
  </si>
  <si>
    <t>185780616</t>
  </si>
  <si>
    <t>KALISURI BANDAR BRANCH</t>
  </si>
  <si>
    <t>KALISURI_BANDAR_BRANCH</t>
  </si>
  <si>
    <t>3483 / 061</t>
  </si>
  <si>
    <t>KALISURI BANDAR, PATUAKHALI</t>
  </si>
  <si>
    <t>017 27058445, 017 12834162</t>
  </si>
  <si>
    <t>185780766</t>
  </si>
  <si>
    <t>5256 / 076</t>
  </si>
  <si>
    <t>KHEPUPARA, PATUAKHALI</t>
  </si>
  <si>
    <t>04425 56312, 017 63190562</t>
  </si>
  <si>
    <t>185780979</t>
  </si>
  <si>
    <t>NEW TOWN BRANCH</t>
  </si>
  <si>
    <t>NEW_TOWN_BRANCH</t>
  </si>
  <si>
    <t>3475 / 097</t>
  </si>
  <si>
    <t>NEW TOWN, PATUAKHALI</t>
  </si>
  <si>
    <t>0441 62298, 019 21380485</t>
  </si>
  <si>
    <t>185781099</t>
  </si>
  <si>
    <t>3442 / 109</t>
  </si>
  <si>
    <t>0441 62284, 017 27223089</t>
  </si>
  <si>
    <t>185781123</t>
  </si>
  <si>
    <t>PATUAKHALI S AND TU</t>
  </si>
  <si>
    <t>PATUAKHALI_S_AND_TU</t>
  </si>
  <si>
    <t>185790130</t>
  </si>
  <si>
    <t>5314 /</t>
  </si>
  <si>
    <t>04623 56458, 017 26261036</t>
  </si>
  <si>
    <t>185790343</t>
  </si>
  <si>
    <t>HULARHAT BRANCH</t>
  </si>
  <si>
    <t>HULARHAT_BRANCH</t>
  </si>
  <si>
    <t>3350 / 034</t>
  </si>
  <si>
    <t>HULARHAT, PIROJPUR</t>
  </si>
  <si>
    <t>0461 62202, 017 15490462</t>
  </si>
  <si>
    <t>185790372</t>
  </si>
  <si>
    <t>INDERHAT BRANCH</t>
  </si>
  <si>
    <t>INDERHAT_BRANCH</t>
  </si>
  <si>
    <t>3376 / 037</t>
  </si>
  <si>
    <t>INDERHAT, PIROJPUR</t>
  </si>
  <si>
    <t>017 52353225, 017 12777888</t>
  </si>
  <si>
    <t>185790435</t>
  </si>
  <si>
    <t>3285 / 043</t>
  </si>
  <si>
    <t>KAWKHALI, PIROJPUR</t>
  </si>
  <si>
    <t>04624 56108, 017 58318505</t>
  </si>
  <si>
    <t>185790464</t>
  </si>
  <si>
    <t>3293 / 046</t>
  </si>
  <si>
    <t>017 52353224, 017 11476218</t>
  </si>
  <si>
    <t>185790527</t>
  </si>
  <si>
    <t>5462 /</t>
  </si>
  <si>
    <t>185790769</t>
  </si>
  <si>
    <t>3277 / 076</t>
  </si>
  <si>
    <t>0461 62555, 017 22378555</t>
  </si>
  <si>
    <t>185790972</t>
  </si>
  <si>
    <t>SWARUPKATI BRANCH</t>
  </si>
  <si>
    <t>SWARUPKATI_BRANCH</t>
  </si>
  <si>
    <t>4952 / 097</t>
  </si>
  <si>
    <t>SWARUPKATI, PIROJPUR</t>
  </si>
  <si>
    <t>0462 756022, 017 12725317</t>
  </si>
  <si>
    <t>185791063</t>
  </si>
  <si>
    <t>3343 / 106</t>
  </si>
  <si>
    <t>ZIANAGAR, PIROJPUR</t>
  </si>
  <si>
    <t>04622 56165, 019 11954715</t>
  </si>
  <si>
    <t>185820192</t>
  </si>
  <si>
    <t>BHANIBAHA BAZAR BRANCH</t>
  </si>
  <si>
    <t>BHANIBAHA_BAZAR_BRANCH</t>
  </si>
  <si>
    <t>4861 / 019</t>
  </si>
  <si>
    <t>BHANIBAHA BAZAR, RAJBARI</t>
  </si>
  <si>
    <t>017 15473555</t>
  </si>
  <si>
    <t>185820255</t>
  </si>
  <si>
    <t>GOALANDA TEXTILE MILL BRANCH</t>
  </si>
  <si>
    <t>GOALANDA_TEXTILE_MILL_BRANCH</t>
  </si>
  <si>
    <t>1206 / 025</t>
  </si>
  <si>
    <t>GOALANDA TEXTILE MILL, RAJBARI</t>
  </si>
  <si>
    <t>0641 65222, 017 15342770</t>
  </si>
  <si>
    <t>185820671</t>
  </si>
  <si>
    <t>1198 / 067</t>
  </si>
  <si>
    <t>NEW DATTA MARKET, PANGSHA, RAJBARI</t>
  </si>
  <si>
    <t>016 76946280</t>
  </si>
  <si>
    <t>185820705</t>
  </si>
  <si>
    <t>1255 / 070</t>
  </si>
  <si>
    <t>POURASHAVA MARKET, RAJBARI</t>
  </si>
  <si>
    <t>0641 65433, 017 12193837</t>
  </si>
  <si>
    <t>185820734</t>
  </si>
  <si>
    <t>1115 / 073</t>
  </si>
  <si>
    <t>RAJBARI SADAR, RAJBARI</t>
  </si>
  <si>
    <t>0641 65424, 017 15488555</t>
  </si>
  <si>
    <t>185810944</t>
  </si>
  <si>
    <t>3566 / 094</t>
  </si>
  <si>
    <t>KAKANHAT, RAJSHAHI</t>
  </si>
  <si>
    <t>07234 51046, 017 15841274</t>
  </si>
  <si>
    <t>185810881</t>
  </si>
  <si>
    <t>KAZI NAZRUL ISLAM ROAD BRANCH</t>
  </si>
  <si>
    <t>KAZI_NAZRUL_ISLAM_ROAD_BRANCH</t>
  </si>
  <si>
    <t>3525 / 088</t>
  </si>
  <si>
    <t>KAZI NAZRUL ISLAM ROAD, RAJSHAI</t>
  </si>
  <si>
    <t>0721 773211, 017 45870598</t>
  </si>
  <si>
    <t>185811185</t>
  </si>
  <si>
    <t>3707 / 118</t>
  </si>
  <si>
    <t>LAKSHMIPUR, RAJSHAHI</t>
  </si>
  <si>
    <t>0721 773218, 017 16569236</t>
  </si>
  <si>
    <t>185811998</t>
  </si>
  <si>
    <t>3715 / 199</t>
  </si>
  <si>
    <t>RAJSHAHI CANTONMENT, RAJSHAHI</t>
  </si>
  <si>
    <t>0721 761126, 017 15673008</t>
  </si>
  <si>
    <t>185812171</t>
  </si>
  <si>
    <t>RUET BRANCH</t>
  </si>
  <si>
    <t>RUET_BRANCH</t>
  </si>
  <si>
    <t>3723 / 217</t>
  </si>
  <si>
    <t>RUET, RAJSHAHI</t>
  </si>
  <si>
    <t>0721 750100, 017 11057641</t>
  </si>
  <si>
    <t>185812263</t>
  </si>
  <si>
    <t>3517 / 226</t>
  </si>
  <si>
    <t>RUPBBDDHSBR</t>
  </si>
  <si>
    <t>SHAHEB BAZAR, RAJSHAHI</t>
  </si>
  <si>
    <t>0721 772730, 017 29725800</t>
  </si>
  <si>
    <t>185812384</t>
  </si>
  <si>
    <t>3574 / 238</t>
  </si>
  <si>
    <t>0722 956004, 019 17796211</t>
  </si>
  <si>
    <t>185840077</t>
  </si>
  <si>
    <t>BANARUPA BRANCH</t>
  </si>
  <si>
    <t>BANARUPA_BRANCH</t>
  </si>
  <si>
    <t>1784 / 007</t>
  </si>
  <si>
    <t>BANARUPA, RANGAMATI</t>
  </si>
  <si>
    <t>0351 63145, 018 28818530</t>
  </si>
  <si>
    <t>185840527</t>
  </si>
  <si>
    <t>1776 / 052</t>
  </si>
  <si>
    <t>0351 63110, 018 9724682</t>
  </si>
  <si>
    <t>185840556</t>
  </si>
  <si>
    <t>TABALCHHARI BAZAR BRANCH</t>
  </si>
  <si>
    <t>TABALCHHARI_BAZAR_BRANCH</t>
  </si>
  <si>
    <t>1792 / 055</t>
  </si>
  <si>
    <t>TABALCHARI BAZAR, RANGAMATI</t>
  </si>
  <si>
    <t>0351 63176, 018 20250199</t>
  </si>
  <si>
    <t>185850070</t>
  </si>
  <si>
    <t>ANANDANAGAR BRANCH</t>
  </si>
  <si>
    <t>ANANDANAGAR_BRANCH</t>
  </si>
  <si>
    <t>4390 / 007</t>
  </si>
  <si>
    <t>ANANDANAGAR, RANGPUR</t>
  </si>
  <si>
    <t>017 17888055</t>
  </si>
  <si>
    <t>185850225</t>
  </si>
  <si>
    <t>BARAIBARI</t>
  </si>
  <si>
    <t>185850283</t>
  </si>
  <si>
    <t>BHENDABARI BRANCH</t>
  </si>
  <si>
    <t>BHENDABARI_BRANCH</t>
  </si>
  <si>
    <t>4382 / 028</t>
  </si>
  <si>
    <t>BHENDABARI, RANGPUR</t>
  </si>
  <si>
    <t>017 34244722</t>
  </si>
  <si>
    <t>185850346</t>
  </si>
  <si>
    <t>4275 / 034</t>
  </si>
  <si>
    <t>CENTRAL ROAD, RANGPUR</t>
  </si>
  <si>
    <t>0521 65384, 017 32989835</t>
  </si>
  <si>
    <t>185850588</t>
  </si>
  <si>
    <t>GL ROY ROAD BRANCH</t>
  </si>
  <si>
    <t>GL_ROY_ROAD_BRANCH</t>
  </si>
  <si>
    <t>4267 / 058</t>
  </si>
  <si>
    <t>G L ROY ROAD, RANGPUR</t>
  </si>
  <si>
    <t>0521 62328, 017 16401391</t>
  </si>
  <si>
    <t>185850670</t>
  </si>
  <si>
    <t>4317 / 067</t>
  </si>
  <si>
    <t>HARAGACH, RANGPUR</t>
  </si>
  <si>
    <t>0521 65461, 017 13783382</t>
  </si>
  <si>
    <t>185850975</t>
  </si>
  <si>
    <t>MAHIGANJ BRANCH</t>
  </si>
  <si>
    <t>MAHIGANJ_BRANCH</t>
  </si>
  <si>
    <t>4309 / 097</t>
  </si>
  <si>
    <t>MAHIGANJ, RANGPUR 5400</t>
  </si>
  <si>
    <t>0521 65284, 017 12016248</t>
  </si>
  <si>
    <t>185851608</t>
  </si>
  <si>
    <t>RAILWAY CROSSING BRANCH</t>
  </si>
  <si>
    <t>RAILWAY_CROSSING_BRANCH</t>
  </si>
  <si>
    <t>4457 / 160</t>
  </si>
  <si>
    <t>RAILWAY CROSSING, RANGPUR</t>
  </si>
  <si>
    <t>0521 65402, 017 13761425</t>
  </si>
  <si>
    <t>185850854</t>
  </si>
  <si>
    <t>RANGPUR LADIES BRANCH</t>
  </si>
  <si>
    <t>RANGPUR_LADIES_BRANCH</t>
  </si>
  <si>
    <t>4499 / 085</t>
  </si>
  <si>
    <t>0521 65397, 017 37888399</t>
  </si>
  <si>
    <t>185851424</t>
  </si>
  <si>
    <t>RK ROAD BRANCH</t>
  </si>
  <si>
    <t>RK_ROAD_BRANCH</t>
  </si>
  <si>
    <t>4507 / 142</t>
  </si>
  <si>
    <t>R K ROAD, RANGPUR</t>
  </si>
  <si>
    <t>0521 65649, 017 15394499</t>
  </si>
  <si>
    <t>185851932</t>
  </si>
  <si>
    <t>4283 / 193</t>
  </si>
  <si>
    <t>0522 856196, 017 12703661</t>
  </si>
  <si>
    <t>185851961</t>
  </si>
  <si>
    <t>TETULTALA BRANCH</t>
  </si>
  <si>
    <t>TETULTALA_BRANCH</t>
  </si>
  <si>
    <t>4481 / 196</t>
  </si>
  <si>
    <t>TETULTALA, RANGPUR</t>
  </si>
  <si>
    <t>0521 65231, 017 12518633</t>
  </si>
  <si>
    <t>185870221</t>
  </si>
  <si>
    <t>BARDAL BRANCH</t>
  </si>
  <si>
    <t>BARDAL_BRANCH</t>
  </si>
  <si>
    <t>BARDAL, SATKHIRA</t>
  </si>
  <si>
    <t>185870555</t>
  </si>
  <si>
    <t>JHAUDANGA BRANCH</t>
  </si>
  <si>
    <t>JHAUDANGA_BRANCH</t>
  </si>
  <si>
    <t>2964 / 055</t>
  </si>
  <si>
    <t>JHAUDANGA, SATKHIRA</t>
  </si>
  <si>
    <t>04724 75510, 017 16070305</t>
  </si>
  <si>
    <t>185870584</t>
  </si>
  <si>
    <t>2881 / 058</t>
  </si>
  <si>
    <t>04724 75313, 017 12773455</t>
  </si>
  <si>
    <t>185870913</t>
  </si>
  <si>
    <t>NALTA MUBARAKNAGAR BRANCH</t>
  </si>
  <si>
    <t>NALTA_MUBARAKNAGAR_BRANCH</t>
  </si>
  <si>
    <t>2923 / 091</t>
  </si>
  <si>
    <t>NALTA MUBARAKNAGAR, SATKHIRA</t>
  </si>
  <si>
    <t>04733 51005, 019 11700888</t>
  </si>
  <si>
    <t>185870942</t>
  </si>
  <si>
    <t>NAWBENKY BRANCH</t>
  </si>
  <si>
    <t>NAWBENKY_BRANCH</t>
  </si>
  <si>
    <t>2931 / 094</t>
  </si>
  <si>
    <t>NAWBENKY, SHYAMNAGAR, SATKHIRA</t>
  </si>
  <si>
    <t>017 77501782, 019 17258401</t>
  </si>
  <si>
    <t>185871091</t>
  </si>
  <si>
    <t>2899 / 109</t>
  </si>
  <si>
    <t>0471 63379, 017 20524415</t>
  </si>
  <si>
    <t>185860349</t>
  </si>
  <si>
    <t>1172 / 034</t>
  </si>
  <si>
    <t>GOSHAIRHAT, SHARIATPUR</t>
  </si>
  <si>
    <t>06024 75007, 017 18901902</t>
  </si>
  <si>
    <t>185860673</t>
  </si>
  <si>
    <t>1214 / 067</t>
  </si>
  <si>
    <t>SHARIATPUR SADAR, SHARIATPUR</t>
  </si>
  <si>
    <t>0601 61543, 017 53145113</t>
  </si>
  <si>
    <t>185890580</t>
  </si>
  <si>
    <t>1073 / 058</t>
  </si>
  <si>
    <t>SHERPUR TOWN, SHERPUR</t>
  </si>
  <si>
    <t>0931 61524, 017 21082574</t>
  </si>
  <si>
    <t>185880224</t>
  </si>
  <si>
    <t>3830 / 022</t>
  </si>
  <si>
    <t>07522 56466, 017 24133760</t>
  </si>
  <si>
    <t>185880282</t>
  </si>
  <si>
    <t>BETIL BRANCH</t>
  </si>
  <si>
    <t>BETIL_BRANCH</t>
  </si>
  <si>
    <t>3863 / 028</t>
  </si>
  <si>
    <t>BETIL, SIRAJGANJ</t>
  </si>
  <si>
    <t>185880079</t>
  </si>
  <si>
    <t>BHAGABATIHAT BRANCH</t>
  </si>
  <si>
    <t>BHAGABATIHAT_BRANCH</t>
  </si>
  <si>
    <t>3947 / 007</t>
  </si>
  <si>
    <t>BHAGABATIHAT, SIRAJGANJ</t>
  </si>
  <si>
    <t>019 18749386</t>
  </si>
  <si>
    <t>185880345</t>
  </si>
  <si>
    <t>3889 / 034</t>
  </si>
  <si>
    <t>BOALIA, SIRAJGANJ</t>
  </si>
  <si>
    <t>017 13734917, 019 13018403</t>
  </si>
  <si>
    <t>185880587</t>
  </si>
  <si>
    <t>DARIAPUR BAZAR BRANCH</t>
  </si>
  <si>
    <t>DARIAPUR_BAZAR_BRANCH</t>
  </si>
  <si>
    <t>3897 / 058</t>
  </si>
  <si>
    <t>DARIAPUR BAZAR, SIRAJGANJ</t>
  </si>
  <si>
    <t>07527 64516, 017 18513664</t>
  </si>
  <si>
    <t>185881931</t>
  </si>
  <si>
    <t>SHIYALKOL BRANCH</t>
  </si>
  <si>
    <t>SHIYALKOL_BRANCH</t>
  </si>
  <si>
    <t>4960 / 193</t>
  </si>
  <si>
    <t>SHIYALKOL, SIRAJGANJ</t>
  </si>
  <si>
    <t>017 24551674</t>
  </si>
  <si>
    <t>185881878</t>
  </si>
  <si>
    <t>3764 / 187</t>
  </si>
  <si>
    <t>0751 62690, 017 20065012</t>
  </si>
  <si>
    <t>185900162</t>
  </si>
  <si>
    <t>BHOBER BAZAR BRANCH</t>
  </si>
  <si>
    <t>BHOBER_BAZAR_BRANCH</t>
  </si>
  <si>
    <t>2154 / 016</t>
  </si>
  <si>
    <t>BHOBER BAZAR, JAGANNATHPUR, SUNAMGANJ</t>
  </si>
  <si>
    <t>017 28262733</t>
  </si>
  <si>
    <t>185900225</t>
  </si>
  <si>
    <t>1941 / 022</t>
  </si>
  <si>
    <t>08723 56227, 017 12596038</t>
  </si>
  <si>
    <t>185900317</t>
  </si>
  <si>
    <t>DULAR BAZAR BRANCH</t>
  </si>
  <si>
    <t>DULAR_BAZAR_BRANCH</t>
  </si>
  <si>
    <t>2105 / 031</t>
  </si>
  <si>
    <t>DULAR BAZAR, CHATTAK, SUNAMGANJ</t>
  </si>
  <si>
    <t>017 12580841</t>
  </si>
  <si>
    <t>185900496</t>
  </si>
  <si>
    <t>1958 / 049</t>
  </si>
  <si>
    <t>08727 56006, 017 21039669</t>
  </si>
  <si>
    <t>185900612</t>
  </si>
  <si>
    <t>KENBARI BAZAR BRANCH</t>
  </si>
  <si>
    <t>KENBARI_BAZAR_BRANCH</t>
  </si>
  <si>
    <t>1974 / 061</t>
  </si>
  <si>
    <t>KENBARI BAZAR, SUNAMGANJ</t>
  </si>
  <si>
    <t>017 18262733</t>
  </si>
  <si>
    <t>185901129</t>
  </si>
  <si>
    <t>1933 / 112</t>
  </si>
  <si>
    <t>SUNAMGANJ SADAR, SUNAMGANJ</t>
  </si>
  <si>
    <t>0871 961319, 019 1765693</t>
  </si>
  <si>
    <t>185901187</t>
  </si>
  <si>
    <t>SYEDPUR BRANCH</t>
  </si>
  <si>
    <t>SYEDPUR_BRANCH</t>
  </si>
  <si>
    <t>2030 / 118</t>
  </si>
  <si>
    <t>SYEDPUR, JAGANNATHPUR, SUNAMGANJ</t>
  </si>
  <si>
    <t>01834 866420, 017 15575059</t>
  </si>
  <si>
    <t>185913575</t>
  </si>
  <si>
    <t>2063 /</t>
  </si>
  <si>
    <t>AGRICULTURAL UNIVERSITY CAMPUS, SYLHET 3100</t>
  </si>
  <si>
    <t>o821 761548, 017 11476587</t>
  </si>
  <si>
    <t>185910110</t>
  </si>
  <si>
    <t>BABUR BAZAR BRANCH</t>
  </si>
  <si>
    <t>BABUR_BAZAR_BRANCH</t>
  </si>
  <si>
    <t>5660 /</t>
  </si>
  <si>
    <t>BABUR BAZAR, ZAKIGANJ, SYLHET 3190</t>
  </si>
  <si>
    <t>017 15009219, 017 15009219</t>
  </si>
  <si>
    <t>185910194</t>
  </si>
  <si>
    <t>1818 / 019</t>
  </si>
  <si>
    <t>0821 716297, 019 28127243</t>
  </si>
  <si>
    <t>185911180</t>
  </si>
  <si>
    <t>DATTARAIL BRANCH</t>
  </si>
  <si>
    <t>DATTARAIL_BRANCH</t>
  </si>
  <si>
    <t>2014 / 118</t>
  </si>
  <si>
    <t>DATTARAIL, SYLHET</t>
  </si>
  <si>
    <t>017 12543232</t>
  </si>
  <si>
    <t>185911214</t>
  </si>
  <si>
    <t>DAYAMIR BRANCH</t>
  </si>
  <si>
    <t>DAYAMIR_BRANCH</t>
  </si>
  <si>
    <t>1842 / 121</t>
  </si>
  <si>
    <t>DAYAMIR, SYLHET</t>
  </si>
  <si>
    <t>08242 56143, 019 11132696</t>
  </si>
  <si>
    <t>185911698</t>
  </si>
  <si>
    <t>HABRA BAZAR BRANCH</t>
  </si>
  <si>
    <t>HABRA_BAZAR_BRANCH</t>
  </si>
  <si>
    <t>2006 / 169</t>
  </si>
  <si>
    <t>HABRA BAZAR, SYLHET</t>
  </si>
  <si>
    <t>019 14360462</t>
  </si>
  <si>
    <t>185911780</t>
  </si>
  <si>
    <t>2097 / 178</t>
  </si>
  <si>
    <t>ISLAMPUR,SHAHPORAN, SYLHET</t>
  </si>
  <si>
    <t>0821 760702, 017 18508642</t>
  </si>
  <si>
    <t>185911993</t>
  </si>
  <si>
    <t>5330 /</t>
  </si>
  <si>
    <t>KALIGANJ, ZAKIGANJ, SYLHET</t>
  </si>
  <si>
    <t>017 30980005</t>
  </si>
  <si>
    <t>185912084</t>
  </si>
  <si>
    <t>5348 /</t>
  </si>
  <si>
    <t>KANAIGHAT, SYLHET</t>
  </si>
  <si>
    <t>08233 26256, 016 80152757</t>
  </si>
  <si>
    <t>185912147</t>
  </si>
  <si>
    <t>1826 / 214</t>
  </si>
  <si>
    <t>KAZIR BAZAR, SYLHET</t>
  </si>
  <si>
    <t>0821 716474, 017 2637468</t>
  </si>
  <si>
    <t>185912239</t>
  </si>
  <si>
    <t>KHADIMPUR BRANCH</t>
  </si>
  <si>
    <t>KHADIMPUR_BRANCH</t>
  </si>
  <si>
    <t>1834 / 223</t>
  </si>
  <si>
    <t>KHADIMPUR, BALAGANJ, SYLHET</t>
  </si>
  <si>
    <t>017 27571146</t>
  </si>
  <si>
    <t>185912297</t>
  </si>
  <si>
    <t>KHALOMUKH BRANCH</t>
  </si>
  <si>
    <t>KHALOMUKH_BRANCH</t>
  </si>
  <si>
    <t>2121 / 229</t>
  </si>
  <si>
    <t>KHALOMUKH, SOUTH SURMA, SYLHET</t>
  </si>
  <si>
    <t>017 12566321</t>
  </si>
  <si>
    <t>185912389</t>
  </si>
  <si>
    <t>KURAR BAZAR BRANCH</t>
  </si>
  <si>
    <t>KURAR_BAZAR_BRANCH</t>
  </si>
  <si>
    <t>1982 / 238</t>
  </si>
  <si>
    <t>KURAR BAZAR, BIANIBAZAR, SYLHET</t>
  </si>
  <si>
    <t>017 10012375</t>
  </si>
  <si>
    <t>185912413</t>
  </si>
  <si>
    <t>KURUA BRANCH</t>
  </si>
  <si>
    <t>KURUA_BRANCH</t>
  </si>
  <si>
    <t>2162 / 241</t>
  </si>
  <si>
    <t>KURUA, OSMANINAGAR, SYLHET</t>
  </si>
  <si>
    <t>08242 56452, 017 16627115</t>
  </si>
  <si>
    <t>185912534</t>
  </si>
  <si>
    <t>MADAR BAZAR BRANCH</t>
  </si>
  <si>
    <t>MADAR_BAZAR_BRANCH</t>
  </si>
  <si>
    <t>2113 / 253</t>
  </si>
  <si>
    <t>MADAR BAZAR, SYLHET 3120</t>
  </si>
  <si>
    <t>017 12233220</t>
  </si>
  <si>
    <t>185912547</t>
  </si>
  <si>
    <t>5447 /</t>
  </si>
  <si>
    <t>MADINA MARKET, SYLHET</t>
  </si>
  <si>
    <t>019 12083656</t>
  </si>
  <si>
    <t>185912592</t>
  </si>
  <si>
    <t>MIRABAZAR BRANCH</t>
  </si>
  <si>
    <t>MIRABAZAR_BRANCH</t>
  </si>
  <si>
    <t>2055 / 259</t>
  </si>
  <si>
    <t>RUPBBDDHMBS</t>
  </si>
  <si>
    <t>MIRABAZAR, SYLHET</t>
  </si>
  <si>
    <t>017 11067144</t>
  </si>
  <si>
    <t>185912839</t>
  </si>
  <si>
    <t>185912950</t>
  </si>
  <si>
    <t>RAKHALGANJ BAZAR BRANCH</t>
  </si>
  <si>
    <t>RAKHALGANJ_BAZAR_BRANCH</t>
  </si>
  <si>
    <t>2139 / 295</t>
  </si>
  <si>
    <t>RAKHALGANJ BAZAR, DAKSHIN SURMA, SYLHET</t>
  </si>
  <si>
    <t>017 89370766</t>
  </si>
  <si>
    <t>185910123</t>
  </si>
  <si>
    <t>RAZAGANJ BRANCH</t>
  </si>
  <si>
    <t>RAZAGANJ_BRANCH</t>
  </si>
  <si>
    <t>5652 /</t>
  </si>
  <si>
    <t>RAZAGANJ, KANAIGHAT, SYLHET 3163</t>
  </si>
  <si>
    <t>019 12946582, 019 12946582</t>
  </si>
  <si>
    <t>185913041</t>
  </si>
  <si>
    <t>REKABI BAZAR BRANCH</t>
  </si>
  <si>
    <t>REKABI_BAZAR_BRANCH</t>
  </si>
  <si>
    <t>1966 / 304</t>
  </si>
  <si>
    <t>REKABI BAZAR, SYLHET</t>
  </si>
  <si>
    <t>0821 714978, 017 11357177</t>
  </si>
  <si>
    <t>185913467</t>
  </si>
  <si>
    <t>2048 / 346</t>
  </si>
  <si>
    <t>STATION ROAD, SYLHET</t>
  </si>
  <si>
    <t>0821 714830, 017 12273658</t>
  </si>
  <si>
    <t>185913520</t>
  </si>
  <si>
    <t>2089 / 352</t>
  </si>
  <si>
    <t>SULTANPUR, BALAGANJ, SYLHET</t>
  </si>
  <si>
    <t>017 31983919</t>
  </si>
  <si>
    <t>185912442</t>
  </si>
  <si>
    <t>SYLHET LADIES BRANCH</t>
  </si>
  <si>
    <t>SYLHET_LADIES_BRANCH</t>
  </si>
  <si>
    <t>2071 / 244</t>
  </si>
  <si>
    <t>SYLHET SADAR, SYLHET</t>
  </si>
  <si>
    <t>0821 716562, 017 214882718</t>
  </si>
  <si>
    <t>185913854</t>
  </si>
  <si>
    <t>TALTALA BRANCH</t>
  </si>
  <si>
    <t>TALTALA_BRANCH</t>
  </si>
  <si>
    <t>2188 / 385</t>
  </si>
  <si>
    <t>TALTALA, SYLHET</t>
  </si>
  <si>
    <t>0821 714098, 017 15945150</t>
  </si>
  <si>
    <t>185914066</t>
  </si>
  <si>
    <t>VARTHA KHOLA</t>
  </si>
  <si>
    <t>VARTHA_KHOLA</t>
  </si>
  <si>
    <t>185930316</t>
  </si>
  <si>
    <t>0984 / 031</t>
  </si>
  <si>
    <t>BALLA BAZAR, KALIHATI, TANGAIL</t>
  </si>
  <si>
    <t>017 31309371, 017 62617499</t>
  </si>
  <si>
    <t>185930790</t>
  </si>
  <si>
    <t>ELASIN BRANCH</t>
  </si>
  <si>
    <t>ELASIN_BRANCH</t>
  </si>
  <si>
    <t>1008 / 079</t>
  </si>
  <si>
    <t>ELASIN, DELDUAR, TANGAIL</t>
  </si>
  <si>
    <t>017 12529311, 017 32514446</t>
  </si>
  <si>
    <t>185930853</t>
  </si>
  <si>
    <t>ELENGA BUS STAND</t>
  </si>
  <si>
    <t>ELENGA_BUS_STAND</t>
  </si>
  <si>
    <t>185930916</t>
  </si>
  <si>
    <t>5298 /</t>
  </si>
  <si>
    <t>GHATAIL, TANGAIL</t>
  </si>
  <si>
    <t>09225 56510, 017 16459701</t>
  </si>
  <si>
    <t>185931302</t>
  </si>
  <si>
    <t>0976 / 130</t>
  </si>
  <si>
    <t>KALIHATI, TANGAIL</t>
  </si>
  <si>
    <t>09227 74008, 017 40853962</t>
  </si>
  <si>
    <t>185931786</t>
  </si>
  <si>
    <t>NATIAPARA BRANCH</t>
  </si>
  <si>
    <t>NATIAPARA_BRANCH</t>
  </si>
  <si>
    <t>1016 / 178</t>
  </si>
  <si>
    <t>NATIAPARA, TANGAIL</t>
  </si>
  <si>
    <t>017 15326475, 017 14818933</t>
  </si>
  <si>
    <t>185931849</t>
  </si>
  <si>
    <t>PAKULLA BRANCH</t>
  </si>
  <si>
    <t>PAKULLA_BRANCH</t>
  </si>
  <si>
    <t>PAKULLA, MIRZAPUR, TANGAIL</t>
  </si>
  <si>
    <t>017 12560218, 017 28286162</t>
  </si>
  <si>
    <t>185931960</t>
  </si>
  <si>
    <t>1024 / 196</t>
  </si>
  <si>
    <t>PATHRAIL BAZAR, TANGAIL</t>
  </si>
  <si>
    <t>0921 62685, 017 15161464</t>
  </si>
  <si>
    <t>185932051</t>
  </si>
  <si>
    <t>4739 / 205</t>
  </si>
  <si>
    <t>RATANGANJ BAZAR, KALIHATI, TANGAIL</t>
  </si>
  <si>
    <t>017 15326474, 017 15110438</t>
  </si>
  <si>
    <t>185932206</t>
  </si>
  <si>
    <t>SOKHIPUR BRANCH</t>
  </si>
  <si>
    <t>SOKHIPUR_BRANCH</t>
  </si>
  <si>
    <t>5470 /</t>
  </si>
  <si>
    <t>SOKHIPUR, TANGAIL</t>
  </si>
  <si>
    <t>0923 256280, 017 16991051</t>
  </si>
  <si>
    <t>185932293</t>
  </si>
  <si>
    <t>0968 / 229</t>
  </si>
  <si>
    <t>TANGAIL SADAR, TANGAIL</t>
  </si>
  <si>
    <t>0921 63361, 011 93034295</t>
  </si>
  <si>
    <t>185940106</t>
  </si>
  <si>
    <t>4580 / 010</t>
  </si>
  <si>
    <t>05622 56004, 017 19347296</t>
  </si>
  <si>
    <t>185940227</t>
  </si>
  <si>
    <t>BHULLI BRANCH</t>
  </si>
  <si>
    <t>BHULLI_BRANCH</t>
  </si>
  <si>
    <t>4606 / 022</t>
  </si>
  <si>
    <t>BHULLI, KAMARPUR, THAKURGAON</t>
  </si>
  <si>
    <t>017 19666595</t>
  </si>
  <si>
    <t>185940977</t>
  </si>
  <si>
    <t>4572 / 097</t>
  </si>
  <si>
    <t>THAKURGAON SADAR, THAKURGAON</t>
  </si>
  <si>
    <t>0561 53402, 017 16872975</t>
  </si>
  <si>
    <t>SHAHJALAL_ISLAMI_BANK_LIMITED</t>
  </si>
  <si>
    <t>SHAHJALAL ISLAMI BANK LIMITED</t>
  </si>
  <si>
    <t>190100373</t>
  </si>
  <si>
    <t>SJBLBDDH</t>
  </si>
  <si>
    <t>NURUL HAQUE TOWER, 357/395, BARAGALA MORE, BOGRA</t>
  </si>
  <si>
    <t>017 55556140, 051 67646, 67656</t>
  </si>
  <si>
    <t>bogra@sjiblbd.com</t>
  </si>
  <si>
    <t>051 67205</t>
  </si>
  <si>
    <t>190120108</t>
  </si>
  <si>
    <t>DOCTOR PLAZA, KACHARI ROAD, ASHUGANJ, BRAHMANBARIA</t>
  </si>
  <si>
    <t>017 55556144, 0852 874103, 874104</t>
  </si>
  <si>
    <t>ashugonj@sjiblbd.com</t>
  </si>
  <si>
    <t>0852 874104</t>
  </si>
  <si>
    <t>190120432</t>
  </si>
  <si>
    <t>CITY CENTER SHOPPING COMPLEX, 1072 COURT ROAD, BRAHMANBARIA</t>
  </si>
  <si>
    <t>017 55556159, 0851 61270, 61170</t>
  </si>
  <si>
    <t>bbaria@sjiblbd.com</t>
  </si>
  <si>
    <t>0851 61370</t>
  </si>
  <si>
    <t>190150136</t>
  </si>
  <si>
    <t>SJBLBDDHAGB</t>
  </si>
  <si>
    <t>104 AGRABAD C/A, CHITTAGONG</t>
  </si>
  <si>
    <t>017 55556105, 017 55556205, 031 2523051-3 , 2517781-2</t>
  </si>
  <si>
    <t>agra@sjiblbd.com</t>
  </si>
  <si>
    <t>031 716960</t>
  </si>
  <si>
    <t>190150460</t>
  </si>
  <si>
    <t>PUBALI ART PRESS BHABAN, 320 ANDERKILLA, CHITTAGONG</t>
  </si>
  <si>
    <t>017 55556180, 031 2869703, 2869701-2</t>
  </si>
  <si>
    <t>anderkilla@sjiblbd.com</t>
  </si>
  <si>
    <t>031 2869703</t>
  </si>
  <si>
    <t>190150949</t>
  </si>
  <si>
    <t>190151935</t>
  </si>
  <si>
    <t>2 KAPASHGOLA ROAD, CHAWKBAZAR, CHITTAGONG</t>
  </si>
  <si>
    <t>017 55556146, 031 2865283</t>
  </si>
  <si>
    <t>chawkbazar@sjiblbd.com</t>
  </si>
  <si>
    <t>0312 865284</t>
  </si>
  <si>
    <t>190153641</t>
  </si>
  <si>
    <t>SJBLBDDHJUB</t>
  </si>
  <si>
    <t>HAQUE TOWER, 610/11 JUBILEE ROAD, CHITTAGONG</t>
  </si>
  <si>
    <t>017 55556121, 017 55556221, 031 2853151-2</t>
  </si>
  <si>
    <t>jubilee@sjiblbd.com</t>
  </si>
  <si>
    <t>031 2853153</t>
  </si>
  <si>
    <t>190154279</t>
  </si>
  <si>
    <t>SJBLBDDHKTG</t>
  </si>
  <si>
    <t>398/A KHATUNGANJ, CHITTAGONG</t>
  </si>
  <si>
    <t>017 55556107, 031 637256-7, 637275</t>
  </si>
  <si>
    <t>khatungonj@sjiblbd.com</t>
  </si>
  <si>
    <t>031 637281</t>
  </si>
  <si>
    <t>190154758</t>
  </si>
  <si>
    <t>MADUNAGHAT BRANCH</t>
  </si>
  <si>
    <t>MADUNAGHAT_BRANCH</t>
  </si>
  <si>
    <t>ABUL FARAH MARKET, MADUNAGHAT BAZAR ROAD, MADARSHA, HATHAZARI, CHITTAGONG</t>
  </si>
  <si>
    <t>017 55556172, 031 2573263, 2573261-2</t>
  </si>
  <si>
    <t>madunaghat@sjiblbd.com</t>
  </si>
  <si>
    <t>031 2573264</t>
  </si>
  <si>
    <t>190155328</t>
  </si>
  <si>
    <t>85 MURADPUR, CHITTAGONG</t>
  </si>
  <si>
    <t>017 55556126, 031 656411, 656413, 656414</t>
  </si>
  <si>
    <t>muradpur@sjiblbd.com</t>
  </si>
  <si>
    <t>031 656415</t>
  </si>
  <si>
    <t>190155599</t>
  </si>
  <si>
    <t>559 / 559</t>
  </si>
  <si>
    <t>BA CENTER, NAZIRHAT, FATIKCHHARI, CHITTAGONG</t>
  </si>
  <si>
    <t>017 55556147</t>
  </si>
  <si>
    <t>nazirhat@sjiblbd.com</t>
  </si>
  <si>
    <t>21 DECEMBER 2009</t>
  </si>
  <si>
    <t>190155928</t>
  </si>
  <si>
    <t>592 / 592</t>
  </si>
  <si>
    <t>NAZIR SALEH COMPLEX, 612/544 DT ROAD, PAHARTALI, CHITTAGONG</t>
  </si>
  <si>
    <t>017 55556191</t>
  </si>
  <si>
    <t>pahartoli@sjiblbd.com</t>
  </si>
  <si>
    <t>26 DECEMBER 2013</t>
  </si>
  <si>
    <t>190157768</t>
  </si>
  <si>
    <t>WASA MORE BRANCH</t>
  </si>
  <si>
    <t>WASA_MORE_BRANCH</t>
  </si>
  <si>
    <t>776 / 776</t>
  </si>
  <si>
    <t>MIM HASNAT TOWER, 88 HIGH LEVEL ROAD, WASA MORE, LALKHAN BAZAR, CHITTAGONG</t>
  </si>
  <si>
    <t>017 55556173, 031 633063, 633060-1</t>
  </si>
  <si>
    <t>wmoor@sjiblbd.com</t>
  </si>
  <si>
    <t>031 633062</t>
  </si>
  <si>
    <t>190191153</t>
  </si>
  <si>
    <t>SALAHUDDIN COMPLEX, LAKSAM ROAD, MANAHARPUR, COMILLA</t>
  </si>
  <si>
    <t>017 55556142, 081 61655, 61645</t>
  </si>
  <si>
    <t>comilla@sjiblbd.com</t>
  </si>
  <si>
    <t>081 61545</t>
  </si>
  <si>
    <t>190192178</t>
  </si>
  <si>
    <t>FARAIJI SHOPPING COMPLEX, COLLEGE ROAD, GUNABATI, CHAUDDAGRAM, COMILLA</t>
  </si>
  <si>
    <t>017 55556189</t>
  </si>
  <si>
    <t>gunabati@sjiblbd.com</t>
  </si>
  <si>
    <t>11 DECEMBER 2013</t>
  </si>
  <si>
    <t>190260200</t>
  </si>
  <si>
    <t>020 / 020</t>
  </si>
  <si>
    <t>CITY PORT, 398 ASHKONA BAZAR ROAD, HAJI CAMP, DHAKA</t>
  </si>
  <si>
    <t>017 55556138, 02 8956762, 7911606</t>
  </si>
  <si>
    <t>ashkona@sjiblbd.com</t>
  </si>
  <si>
    <t>02 8956762</t>
  </si>
  <si>
    <t>190260376</t>
  </si>
  <si>
    <t>BAIPAIL DEPZ BRANCH</t>
  </si>
  <si>
    <t>BAIPAIL_DEPZ_BRANCH</t>
  </si>
  <si>
    <t>SWAPNEEL TOWER, BAIPAIL, DHAKA EPZ, ASHULIA, SAVAR, DHAKA</t>
  </si>
  <si>
    <t>017 55556115, 02 7788292, 7790517</t>
  </si>
  <si>
    <t>baipail@sjiblbd.com</t>
  </si>
  <si>
    <t>02 7790517</t>
  </si>
  <si>
    <t>190260439</t>
  </si>
  <si>
    <t>SJBLBDDHBAN</t>
  </si>
  <si>
    <t>ATATURK TOWER, 22 KEMAL ATATURK AVENUE, BANANI, DHAKA 1213</t>
  </si>
  <si>
    <t>017 55556118, 02 9820627-8, 9820625</t>
  </si>
  <si>
    <t>banani@sjiblbd.com</t>
  </si>
  <si>
    <t>02 9820626</t>
  </si>
  <si>
    <t>190270645</t>
  </si>
  <si>
    <t>ROKSANA SHOPPING COMPLEX AND PAWL &amp;amp; ELIZABETH HOLY GARDEN, 592 OLD BANDURA BAZAR, NAWABGANJ, DHAKA</t>
  </si>
  <si>
    <t>017 55556187</t>
  </si>
  <si>
    <t>bandura@sjiblbd.com</t>
  </si>
  <si>
    <t>190270887</t>
  </si>
  <si>
    <t>SJBLBDDHBNG</t>
  </si>
  <si>
    <t>215/1 BANGSHAL, DHAKA 1100</t>
  </si>
  <si>
    <t>017 55556114, 02 9552922, 7172901</t>
  </si>
  <si>
    <t>02 9581859</t>
  </si>
  <si>
    <t>7 DECEMBER 2005</t>
  </si>
  <si>
    <t>190270953</t>
  </si>
  <si>
    <t>BARUAKHALI BRANCH</t>
  </si>
  <si>
    <t>BARUAKHALI_BRANCH</t>
  </si>
  <si>
    <t>095 / 095</t>
  </si>
  <si>
    <t>BARUAKHALI HIGH SCHOOL MARKET, NAWABGANJ, DHAKA</t>
  </si>
  <si>
    <t>017 55556136, 017 55556236</t>
  </si>
  <si>
    <t>baruakhali@sjiblbd.com</t>
  </si>
  <si>
    <t>03894 552598</t>
  </si>
  <si>
    <t>190273947</t>
  </si>
  <si>
    <t>394 / 394</t>
  </si>
  <si>
    <t>HOLDING NO 34-B, DIT ROAD, CHOWDHURY PARA, MALIBAGH, DHAKA 1219</t>
  </si>
  <si>
    <t>017 55556175, 02 9357317, 48319725, 48317935</t>
  </si>
  <si>
    <t>malibagh@sjiblbd.com</t>
  </si>
  <si>
    <t>02 9334356</t>
  </si>
  <si>
    <t>190260826</t>
  </si>
  <si>
    <t>UNION CENTER, 1/5 MOHAMMADPUR HOUSING ESTATE, MIRPUR ROAD, DHAKA</t>
  </si>
  <si>
    <t>017 55556135, 02 9136197, 9136291</t>
  </si>
  <si>
    <t>collegegate@sjiblbd.com</t>
  </si>
  <si>
    <t>02 9136197</t>
  </si>
  <si>
    <t>190271781</t>
  </si>
  <si>
    <t>DHAKA MAIN BRANCH</t>
  </si>
  <si>
    <t>DHAKA_MAIN_BRANCH</t>
  </si>
  <si>
    <t>SJBLBDDHDMB</t>
  </si>
  <si>
    <t>58 DILKUSHA C/A, DHAKA 1000</t>
  </si>
  <si>
    <t>017 55556101, 02 9570795-8, 9570804</t>
  </si>
  <si>
    <t>dhakamain@sjiblbd.com</t>
  </si>
  <si>
    <t>02 9556011,9565269</t>
  </si>
  <si>
    <t>190261188</t>
  </si>
  <si>
    <t>SJBLBDDHDHN</t>
  </si>
  <si>
    <t>MOMTAZ PLAZA, HOUSE NO 7, ROAD 4, DHANMONDI R/A, DHAKA 1205</t>
  </si>
  <si>
    <t>017 55556103, 02 9665766-7, 862059</t>
  </si>
  <si>
    <t>dhanmondi@sjiblbd.com</t>
  </si>
  <si>
    <t>02 9665768</t>
  </si>
  <si>
    <t>190271428</t>
  </si>
  <si>
    <t>FATEMA MONJIL, 436 DONIA, ZIA SARANI MORE, KADAMTALI, DHAKA</t>
  </si>
  <si>
    <t>02 7549878, 017 55556183</t>
  </si>
  <si>
    <t>donia@sjiblbd.com</t>
  </si>
  <si>
    <t>02 7549873</t>
  </si>
  <si>
    <t>190261333</t>
  </si>
  <si>
    <t>FAHIM MANSION, 23 ELEPHANT ROAD, NEW MARKET, DHAKA 1205</t>
  </si>
  <si>
    <t>017 55556190</t>
  </si>
  <si>
    <t>elephantrd@sjiblbd.com</t>
  </si>
  <si>
    <t>17 DECEMBER 2013</t>
  </si>
  <si>
    <t>190261391</t>
  </si>
  <si>
    <t>SJBLBDDHESK</t>
  </si>
  <si>
    <t>ESKATON FANTASIA, HOLDING NO 122-123, NEW ESKATON, DHAKA</t>
  </si>
  <si>
    <t>017 55556155, 017 55556255, 02 9355681</t>
  </si>
  <si>
    <t>eskaton@sjiblbd.com</t>
  </si>
  <si>
    <t>02 9355672</t>
  </si>
  <si>
    <t>190272322</t>
  </si>
  <si>
    <t>SJBLBDDHFEX</t>
  </si>
  <si>
    <t>017 55556109, 02 9574726-8, 9514852</t>
  </si>
  <si>
    <t>fex@sjiblbd.com</t>
  </si>
  <si>
    <t>02 9574729</t>
  </si>
  <si>
    <t>190261720</t>
  </si>
  <si>
    <t>SJBLBDDHGUL</t>
  </si>
  <si>
    <t>40/5 NORTH AVENUE, GULSHAN 2, DHAKA 1212</t>
  </si>
  <si>
    <t>017 55556108, 02 9890520-1, 9893454</t>
  </si>
  <si>
    <t>gulshan@sjiblbd.com</t>
  </si>
  <si>
    <t>02 9893008</t>
  </si>
  <si>
    <t>190261917</t>
  </si>
  <si>
    <t>GULSHAN SOUTH AVENUE BRANCH</t>
  </si>
  <si>
    <t>GULSHAN_SOUTH_AVENUE_BRANCH</t>
  </si>
  <si>
    <t>191 / 191</t>
  </si>
  <si>
    <t>SJBLBDDHCPC</t>
  </si>
  <si>
    <t>NASA HEIGHTS, HOLDING NO 47, GULSHAN AVENUE, GULSHAN 1, DHAKA 1212</t>
  </si>
  <si>
    <t>017 55556152, 017 55556252</t>
  </si>
  <si>
    <t>gsa@sjiblbd.com</t>
  </si>
  <si>
    <t>02 9847406</t>
  </si>
  <si>
    <t>190273284</t>
  </si>
  <si>
    <t>MONOWARA MANSION, JOYPARA, DOHAR, DHAKA</t>
  </si>
  <si>
    <t>017 55556120, 02 7768155</t>
  </si>
  <si>
    <t>joypara@sjiblbd.com</t>
  </si>
  <si>
    <t>02 7768155</t>
  </si>
  <si>
    <t>190262532</t>
  </si>
  <si>
    <t>SJBLBDDHKAW</t>
  </si>
  <si>
    <t>T K BHABAN, 13 KAZI NAZRUL ISLAM AVENUE, KARWAN BAZAR, DHAKA</t>
  </si>
  <si>
    <t>017 55556111, 02 9114044 , 9122396</t>
  </si>
  <si>
    <t>kawran@sjiblbd.com</t>
  </si>
  <si>
    <t>02 9126604</t>
  </si>
  <si>
    <t>190273642</t>
  </si>
  <si>
    <t>MA PLAZA, SHAHID NAGAR, KERANIGANJ, DHAKA</t>
  </si>
  <si>
    <t>017 55556130, 02 7762291, 7762293-4</t>
  </si>
  <si>
    <t>keranigonj@sjiblbd.com</t>
  </si>
  <si>
    <t>02 7762292</t>
  </si>
  <si>
    <t>190262987</t>
  </si>
  <si>
    <t>SALEHA COMPLEX, HOLDING NO 142/1, BEGUM ROKEYA SARANI, MIRPUR 10, DHAKA</t>
  </si>
  <si>
    <t>017 55556123, 02 9012962-3, 9012045</t>
  </si>
  <si>
    <t>mirpur@sjiblbd.com</t>
  </si>
  <si>
    <t>02 9012857</t>
  </si>
  <si>
    <t>190274067</t>
  </si>
  <si>
    <t>SJBLBDDHMFB</t>
  </si>
  <si>
    <t>MOULVI BAZAR TOWER, 69-70 MOULVIBAZAR, DHAKA 1100</t>
  </si>
  <si>
    <t>017 55556102, 02 7313788, 7315533</t>
  </si>
  <si>
    <t>mitford@sjiblbd.com</t>
  </si>
  <si>
    <t>02 7315534</t>
  </si>
  <si>
    <t>190263199</t>
  </si>
  <si>
    <t>VENTURE TOWER, PLOT NO 3, BIR UTTAM AK KHANDAKER ROAD, MOHAKHALI C/A, DHAKA 1212</t>
  </si>
  <si>
    <t>017 55556169, 02 9888586, 9884782, 9884784</t>
  </si>
  <si>
    <t>mohakhali@sjiblbd.com</t>
  </si>
  <si>
    <t>02 9881103</t>
  </si>
  <si>
    <t>190274241</t>
  </si>
  <si>
    <t>SJBLBDDHMOT</t>
  </si>
  <si>
    <t>KARIM CHAMBER, 99 MOTIJHEEL C/A, DHAKA 1000</t>
  </si>
  <si>
    <t>017 55556122, 02 9563156, 9562763</t>
  </si>
  <si>
    <t>motijheel@sjiblbd.com</t>
  </si>
  <si>
    <t>02 9564029</t>
  </si>
  <si>
    <t>190274696</t>
  </si>
  <si>
    <t>ISAMOTI PLAZA, BAGHMARA BAZAR, KALAKOPA, NAWABGANJ, DHAKA</t>
  </si>
  <si>
    <t>017 55556179</t>
  </si>
  <si>
    <t>nawabgonj@sjiblbd.com</t>
  </si>
  <si>
    <t>14 NOVEMBER 2012</t>
  </si>
  <si>
    <t>190274559</t>
  </si>
  <si>
    <t>455 / 455</t>
  </si>
  <si>
    <t>FAZLUR RAHMAN PLAZA, HOLDING NO 218, NAWABPUR ROAD, DHAKA</t>
  </si>
  <si>
    <t>017 55556170, 017 55556270, 02 57164212, 47114377</t>
  </si>
  <si>
    <t>nawabpur@sjiblbd.com</t>
  </si>
  <si>
    <t>02 7125982</t>
  </si>
  <si>
    <t>190263610</t>
  </si>
  <si>
    <t>ENA TOWER, DI-OLIE, 57/3-4 LAKE CIRCUS ROAD, KALABAGAN, DHANMONDI, DHAKA 1212</t>
  </si>
  <si>
    <t>017 55556134, 02 9137723, 9125754</t>
  </si>
  <si>
    <t>panthapath@sjiblbd.com</t>
  </si>
  <si>
    <t>02 9133745</t>
  </si>
  <si>
    <t>190276049</t>
  </si>
  <si>
    <t>604 / 604</t>
  </si>
  <si>
    <t>KHANDAKER SUPER MARKET, TENGRA ROAD, SARULIA BAZAR, DEMRA, DHAKA</t>
  </si>
  <si>
    <t>017 55556182, 02 7500985, 7501002</t>
  </si>
  <si>
    <t>sarulia@sjiblbd.com</t>
  </si>
  <si>
    <t>02 7500654</t>
  </si>
  <si>
    <t>190264035</t>
  </si>
  <si>
    <t>SJBLBDDHSMR</t>
  </si>
  <si>
    <t>KHUDA BUKSH FOUNDATION, HOUSE NO 99, ROAD 11/A, DHANMONDI, DHAKA 1209</t>
  </si>
  <si>
    <t>017 55556117, 02 9129848, 9127931</t>
  </si>
  <si>
    <t>satmasjid@sjiblbd.com</t>
  </si>
  <si>
    <t>02 9129848</t>
  </si>
  <si>
    <t>190264093</t>
  </si>
  <si>
    <t>409 / 409</t>
  </si>
  <si>
    <t>BISMILLAH SUPER MARKET, 71/1 BAZAR ROAD, SAVAR, DHAKA</t>
  </si>
  <si>
    <t>017 55556125, 017 55556225, 02 7742894-5</t>
  </si>
  <si>
    <t>savar@sjiblbd.com</t>
  </si>
  <si>
    <t>02 7742893</t>
  </si>
  <si>
    <t>190264635</t>
  </si>
  <si>
    <t>SJBLBDDHUTR</t>
  </si>
  <si>
    <t>ANWER COMPLEX, HOUSE NO 12, ROAD 14/C, SECTOR 4, UTTARA MODEL TOWN, DHAKA 1230</t>
  </si>
  <si>
    <t>017 55556113, 017 55556213, 02 48953553, 7912660, 8932084</t>
  </si>
  <si>
    <t>uttara@sjiblbd.com</t>
  </si>
  <si>
    <t>02 58953586</t>
  </si>
  <si>
    <t>190220253</t>
  </si>
  <si>
    <t>UTTARA LADIES BRANCH</t>
  </si>
  <si>
    <t>UTTARA_LADIES_BRANCH</t>
  </si>
  <si>
    <t>SOLAR TRADE CENTER, PLOT NO 16, SECTOR 11, GARIB-E-NEWAZ AVENUE, UTTARA, DHAKA 1230</t>
  </si>
  <si>
    <t>017 55556174, 017 55556274, 02 8991901-2</t>
  </si>
  <si>
    <t>uttaraladies@sjiblbd.com</t>
  </si>
  <si>
    <t>27 MARCH 2012</t>
  </si>
  <si>
    <t>190260718</t>
  </si>
  <si>
    <t>BHATARA</t>
  </si>
  <si>
    <t>071</t>
  </si>
  <si>
    <t>190271099</t>
  </si>
  <si>
    <t>BIJOY NAGAR</t>
  </si>
  <si>
    <t>BIJOY_NAGAR</t>
  </si>
  <si>
    <t>190273376</t>
  </si>
  <si>
    <t>KAKRAIL</t>
  </si>
  <si>
    <t>190270003</t>
  </si>
  <si>
    <t>190280677</t>
  </si>
  <si>
    <t>HOLDING NO 887/848, GANESHTALA, KOTWALI, DINAJPUR</t>
  </si>
  <si>
    <t>017 55556157, 0531 52052, 52053</t>
  </si>
  <si>
    <t>dinajpur@sjiblbd.com</t>
  </si>
  <si>
    <t>0531 52054</t>
  </si>
  <si>
    <t>190290520</t>
  </si>
  <si>
    <t>110 THANA ROAD, FARIDPUR</t>
  </si>
  <si>
    <t>017 55556160, 017 55556260, 0631 67155-56</t>
  </si>
  <si>
    <t>faridpur@sjiblbd.com</t>
  </si>
  <si>
    <t>0631 67154</t>
  </si>
  <si>
    <t>190330769</t>
  </si>
  <si>
    <t>JOYDEBPUR CHOWRASTA BRANCH</t>
  </si>
  <si>
    <t>JOYDEBPUR_CHOWRASTA_BRANCH</t>
  </si>
  <si>
    <t>076 / 076</t>
  </si>
  <si>
    <t>KHALEQUE COMPLEX, JOYDEVPUR CHOWRASTA, GAZIPUR</t>
  </si>
  <si>
    <t>017 55556110, 017 55556210, 02 49262393-4</t>
  </si>
  <si>
    <t>jcb@sjiblbd.com</t>
  </si>
  <si>
    <t>02 49262393</t>
  </si>
  <si>
    <t>190331005</t>
  </si>
  <si>
    <t>NS BHABAN, MAWNA CHOWRASTA, SREEPUR, GAZIPUR</t>
  </si>
  <si>
    <t>017 55556156, 017 55556256, 06825 52906-7</t>
  </si>
  <si>
    <t>mawna@sjiblbd.com</t>
  </si>
  <si>
    <t>06825 52908</t>
  </si>
  <si>
    <t>190331421</t>
  </si>
  <si>
    <t>HAJI OSMAN MARKET, SHAFIPUR BAZAR, KALIAKAIR, GAZIPUR</t>
  </si>
  <si>
    <t>017 55556151, 017 55556251, 02 49271203-5</t>
  </si>
  <si>
    <t>shafipur@sjiblbd.com</t>
  </si>
  <si>
    <t>02 49271206</t>
  </si>
  <si>
    <t>190331650</t>
  </si>
  <si>
    <t>RUPALI PLAZA, HOLDING NO 24, ANARKOLI ROAD, TONGI BAZAR, GAZIPUR</t>
  </si>
  <si>
    <t>017 55556153, 017 55556253, 02 9817391-3</t>
  </si>
  <si>
    <t>tongi@sjiblbd.com</t>
  </si>
  <si>
    <t>02 9817394</t>
  </si>
  <si>
    <t>190410942</t>
  </si>
  <si>
    <t>SJBLBDDHJSR</t>
  </si>
  <si>
    <t>SADHINATA BHABAN, HOLDING NO 91, MK ROAD, KOTWALI, JESSORE</t>
  </si>
  <si>
    <t>017 55556131, 0421 64641, 64640-41</t>
  </si>
  <si>
    <t>jessore@sjiblbd.com</t>
  </si>
  <si>
    <t>0421 65386</t>
  </si>
  <si>
    <t>190440796</t>
  </si>
  <si>
    <t>079 / 079</t>
  </si>
  <si>
    <t>MUNSUR PLAZA, 162 MADHUGANJ BAZAR, KALIGANJ, JHENAIDAH</t>
  </si>
  <si>
    <t>017 55556149, 017 55556249, 04523 56677</t>
  </si>
  <si>
    <t>kaligonj@sjiblbd.com</t>
  </si>
  <si>
    <t>04523 56678</t>
  </si>
  <si>
    <t>190471549</t>
  </si>
  <si>
    <t>SJBLBDDHKLN</t>
  </si>
  <si>
    <t>UNITED TOWER, 4 KDA AVENUE, KHULNA</t>
  </si>
  <si>
    <t>017 55556124, 017 55556224, 041 2830458-60, 830458</t>
  </si>
  <si>
    <t>khulna@sjiblbd.com</t>
  </si>
  <si>
    <t>041 2830457</t>
  </si>
  <si>
    <t>190510497</t>
  </si>
  <si>
    <t>CHOWDHURY BHABAN, 549 DATTAPARA ROAD, DATTAPARA BAZAR, LAKSHMIPUR</t>
  </si>
  <si>
    <t>017 55556188</t>
  </si>
  <si>
    <t>dattapara@sjiblbd.com</t>
  </si>
  <si>
    <t>10 DECEMBER 2013</t>
  </si>
  <si>
    <t>190510734</t>
  </si>
  <si>
    <t>HAIDER SHOPPING COMPLEX, 339 HOSPITAL ROAD, LAKSHMIPUR</t>
  </si>
  <si>
    <t>017 55556168, 0381 62303, 62306</t>
  </si>
  <si>
    <t>laxmipur@sjiblbd.com</t>
  </si>
  <si>
    <t>0381 61360</t>
  </si>
  <si>
    <t>190511038</t>
  </si>
  <si>
    <t>ISLAM PLAZA, SONAPUR BAZAR, RAMGANJ, LAKSHMIPUR</t>
  </si>
  <si>
    <t>017 55556148, 017 55556248, 0382 475405, 475079</t>
  </si>
  <si>
    <t>ramgonj@sjiblbd.com</t>
  </si>
  <si>
    <t>0382 475072</t>
  </si>
  <si>
    <t>190581189</t>
  </si>
  <si>
    <t>AHMED MANSION, 286/300 SAIFUR RAHMAN ROAD, MOULVIBAZAR 3200</t>
  </si>
  <si>
    <t>017 55556119, 0861 62874, 62876</t>
  </si>
  <si>
    <t>moulvi@sjiblbd.com</t>
  </si>
  <si>
    <t>0861 62875</t>
  </si>
  <si>
    <t>190610326</t>
  </si>
  <si>
    <t>032 / 032</t>
  </si>
  <si>
    <t>MASUD MARKET, HOLDING NO 58, BHALUKA, MYMENSINGH</t>
  </si>
  <si>
    <t>017 55556154, 017 55556254, 09022 56175</t>
  </si>
  <si>
    <t>bhaluka@sjiblbd.com</t>
  </si>
  <si>
    <t>09022 56237</t>
  </si>
  <si>
    <t>190611154</t>
  </si>
  <si>
    <t>UTTAR BAZAR, HALUAGHAT, MYMENSINGH</t>
  </si>
  <si>
    <t>017 55556177, 090 2656136</t>
  </si>
  <si>
    <t>haluaghat@sjiblbd.com</t>
  </si>
  <si>
    <t>190611754</t>
  </si>
  <si>
    <t>NOOR FATEMA TOWER, 25 SWADESHI BAZAR, MYMENSINGH</t>
  </si>
  <si>
    <t>017 55556133, 017 55556233, 091 64397</t>
  </si>
  <si>
    <t>mymensingh@sjiblbd.com</t>
  </si>
  <si>
    <t>091 62370</t>
  </si>
  <si>
    <t>190641182</t>
  </si>
  <si>
    <t>HOLDING NO 3366, MAIN ROAD, CHAWKDEV, WARD 3, NAOGAON</t>
  </si>
  <si>
    <t>017 55556139, 017 55556239, 0741 62174</t>
  </si>
  <si>
    <t>naogaon@sjiblbd.com</t>
  </si>
  <si>
    <t>0741 61496</t>
  </si>
  <si>
    <t>190671181</t>
  </si>
  <si>
    <t>SJBLBDDHNGJ</t>
  </si>
  <si>
    <t>OSMAN TOWER, 56/1 SM MALEH ROAD, NARAYANGANJ</t>
  </si>
  <si>
    <t>017 55556116, 017 55556216, 02 7635172</t>
  </si>
  <si>
    <t>narayanganj@sjiblbd.com</t>
  </si>
  <si>
    <t>02 7635173</t>
  </si>
  <si>
    <t>190680677</t>
  </si>
  <si>
    <t>JALPATTI ROAD, MADHABDI, NARSINGDI</t>
  </si>
  <si>
    <t>017 55556137, 02 9446017, 9446166</t>
  </si>
  <si>
    <t>madhabdi@sjiblbd.com</t>
  </si>
  <si>
    <t>02 9446167</t>
  </si>
  <si>
    <t>190730798</t>
  </si>
  <si>
    <t>SAIDPUR PLAZA, SHER-E-BANGLA ROAD, SAIDPUR, NILPHAMARI</t>
  </si>
  <si>
    <t>017 55556128, 017 55556228, 0552 673025-26</t>
  </si>
  <si>
    <t>saidpur@sjiblbd.com</t>
  </si>
  <si>
    <t>0552 673027</t>
  </si>
  <si>
    <t>190750349</t>
  </si>
  <si>
    <t>ALI BHABAN, 1523 KARIMPUR ROAD, CHOWMUHANI, BEGUMGANJ, NOAKHALI</t>
  </si>
  <si>
    <t>017 55556163, 017 55556263, 0321 56646</t>
  </si>
  <si>
    <t>chowmuhani@sjiblbd.com</t>
  </si>
  <si>
    <t>0321 56645</t>
  </si>
  <si>
    <t>190780764</t>
  </si>
  <si>
    <t>116 OIL MILL ROAD, KHEPUPARA, KALAPARA, PATUAKHALI</t>
  </si>
  <si>
    <t>017 55556143, 04425 56507, 56506</t>
  </si>
  <si>
    <t>khepupara@sjiblbd.com</t>
  </si>
  <si>
    <t>04425 56508</t>
  </si>
  <si>
    <t>190811938</t>
  </si>
  <si>
    <t>HABIB PLAZA, HOLDING NO 111, SHAHEB BAZAR, ZERO POINT, RAJSHAHI</t>
  </si>
  <si>
    <t>017 55556132, 017 55556232, 0721 772401</t>
  </si>
  <si>
    <t>rajshahi@sjiblbd.com</t>
  </si>
  <si>
    <t>0721 772427</t>
  </si>
  <si>
    <t>190851451</t>
  </si>
  <si>
    <t>MH RASHID SHOPPING COMPLEX, 88 STATION ROAD, RANGPUR</t>
  </si>
  <si>
    <t>017 55556158, 0521 63012, 67901</t>
  </si>
  <si>
    <t>rangpur@sjiblbd.com</t>
  </si>
  <si>
    <t>0521 63082</t>
  </si>
  <si>
    <t>190910318</t>
  </si>
  <si>
    <t>CITY CENTRE BHABAN, SOUTH BEANIBAZAR, SYLHET</t>
  </si>
  <si>
    <t>017 55556104, 017 55556204, 08223 56134</t>
  </si>
  <si>
    <t>beani@sjiblbd.com</t>
  </si>
  <si>
    <t>08223 56133</t>
  </si>
  <si>
    <t>190911096</t>
  </si>
  <si>
    <t>DARGAH GATE BRANCH</t>
  </si>
  <si>
    <t>DARGAH_GATE_BRANCH</t>
  </si>
  <si>
    <t>297 AMBERKHANA, DARGAH GATE, AIRPORT ROAD, SYLHET</t>
  </si>
  <si>
    <t>017 55556112, 017 55556212, 0821 727234</t>
  </si>
  <si>
    <t>dargah@sjiblbd.com</t>
  </si>
  <si>
    <t>0821 727239</t>
  </si>
  <si>
    <t>190911546</t>
  </si>
  <si>
    <t>AFJAL MANSION, GOALABAZAR, OSMANINAGAR, SYLHET</t>
  </si>
  <si>
    <t>017 55556141, 08242 56307, 56304</t>
  </si>
  <si>
    <t>goalabazar@sjiblbd.com</t>
  </si>
  <si>
    <t>08242 56238</t>
  </si>
  <si>
    <t>190913557</t>
  </si>
  <si>
    <t>SJBLBDDHSYL</t>
  </si>
  <si>
    <t>AL-FALAH TOWER, DHUPADIGHIR PURBAPAR, KOTWALI, SYLHET</t>
  </si>
  <si>
    <t>017 55556106, 017 55556206, 0821 725115, 725834</t>
  </si>
  <si>
    <t>sylhet@sjiblbd.com</t>
  </si>
  <si>
    <t>0821 725225</t>
  </si>
  <si>
    <t>190930356</t>
  </si>
  <si>
    <t>BARACHOWNA BRANCH</t>
  </si>
  <si>
    <t>BARACHOWNA_BRANCH</t>
  </si>
  <si>
    <t>035 / 035</t>
  </si>
  <si>
    <t>BARACHOWNA BAZAR, SHAKHIPUR, TANGAIL</t>
  </si>
  <si>
    <t>017 55556145, 017 55556245</t>
  </si>
  <si>
    <t>barachowna@sjiblbd.com</t>
  </si>
  <si>
    <t>19 NOVEMBER 2009</t>
  </si>
  <si>
    <t>190931368</t>
  </si>
  <si>
    <t>136 / 136</t>
  </si>
  <si>
    <t>KARATIA BAZAR, KARATIA, TANGAIL</t>
  </si>
  <si>
    <t>017 55556178</t>
  </si>
  <si>
    <t>karatia@sjiblbd.com</t>
  </si>
  <si>
    <t>8 NOVEMBER 2012</t>
  </si>
  <si>
    <t>190931692</t>
  </si>
  <si>
    <t>169 / 169</t>
  </si>
  <si>
    <t>REFAZ UDDIN PLAZA, 369 SADAR ROAD, NAGARPUR, TANGAIL</t>
  </si>
  <si>
    <t>017 55556186, 09233 73212, 73214</t>
  </si>
  <si>
    <t>nagarpur@sjiblbd.com</t>
  </si>
  <si>
    <t>09233 73213</t>
  </si>
  <si>
    <t>190932291</t>
  </si>
  <si>
    <t>NIRALA COMPLEX, NIRALA MORE, MAIN ROAD, TANGAIL</t>
  </si>
  <si>
    <t>017 55556161, 017 55556261, 0921 62434</t>
  </si>
  <si>
    <t>tangail@sjiblbd.com</t>
  </si>
  <si>
    <t>0921 62435</t>
  </si>
  <si>
    <t>SOCIAL_ISLAMI_BANK_LIMITED</t>
  </si>
  <si>
    <t>195</t>
  </si>
  <si>
    <t>SOCIAL ISLAMI BANK LIMITED</t>
  </si>
  <si>
    <t>195010071</t>
  </si>
  <si>
    <t>SOIVBDDH</t>
  </si>
  <si>
    <t>13 KHAN JAHAN ALI ROAD, BAGERHAT</t>
  </si>
  <si>
    <t>0468 64347, 64348</t>
  </si>
  <si>
    <t>29 NOVEMBER 2012</t>
  </si>
  <si>
    <t>195010921</t>
  </si>
  <si>
    <t>MOLLAHAT SME</t>
  </si>
  <si>
    <t>MOLLAHAT_SME</t>
  </si>
  <si>
    <t>092</t>
  </si>
  <si>
    <t>195100378</t>
  </si>
  <si>
    <t>SOIVBDDHBOG</t>
  </si>
  <si>
    <t>BHANDARY MONJIL, 776 RANGPUR RAOD, BARAGALA, BOGRA</t>
  </si>
  <si>
    <t>051 65833, 63943, 61458</t>
  </si>
  <si>
    <t>051 63943</t>
  </si>
  <si>
    <t>25 OCTOBER 1998</t>
  </si>
  <si>
    <t>195100910</t>
  </si>
  <si>
    <t>JOBEDA SHOPPING COMPLEX, CO OFFICE BUS STAND, DHUPCHANCHIA, BOGRA</t>
  </si>
  <si>
    <t>05024 51250, 51251</t>
  </si>
  <si>
    <t>25 NOVEMBER 2010</t>
  </si>
  <si>
    <t>195130319</t>
  </si>
  <si>
    <t>FAISAL SHOPPING COMPLEX, BISHNUDI, CHANDPUR BUS STAND, CHANDPUR</t>
  </si>
  <si>
    <t>0841 67931, 67932</t>
  </si>
  <si>
    <t>16 AUGUST 2009</t>
  </si>
  <si>
    <t>195130885</t>
  </si>
  <si>
    <t>CHITTAGONG MANSION, HAJIGANJ MODHHOBAZAR, MAIN ROAD, HAJIGANJ, CHANDPUR</t>
  </si>
  <si>
    <t>08424 75129, 75130</t>
  </si>
  <si>
    <t>19 SEPTEMBER 2010</t>
  </si>
  <si>
    <t>195130919</t>
  </si>
  <si>
    <t>KACHUA SME BRANCH</t>
  </si>
  <si>
    <t>KACHUA_SME_BRANCH</t>
  </si>
  <si>
    <t>TALUKDER SUPER MARKET, HOLDING NO 111, WARD 8, KACHUA, CHANDPUR</t>
  </si>
  <si>
    <t>08425 56275</t>
  </si>
  <si>
    <t>18 JULY 2010</t>
  </si>
  <si>
    <t>195150131</t>
  </si>
  <si>
    <t>SOIVBDDHAGB</t>
  </si>
  <si>
    <t>WORLD TRADE CENTRE, 102-103 AGRABAD C/A,CHITTAGONG</t>
  </si>
  <si>
    <t>031 728342, 713947, 714041</t>
  </si>
  <si>
    <t>031 710084</t>
  </si>
  <si>
    <t>10 APRIL 1996</t>
  </si>
  <si>
    <t>195150144</t>
  </si>
  <si>
    <t>ALANKER MORE BRANCH</t>
  </si>
  <si>
    <t>ALANKER_MORE_BRANCH</t>
  </si>
  <si>
    <t>HOLDING NO 68(A), PC ROAD, PAHARTOLI, CHITTAGONG</t>
  </si>
  <si>
    <t>031 2773378, 2773379, 2773380</t>
  </si>
  <si>
    <t>27 OCTOBER 2011</t>
  </si>
  <si>
    <t>195150702</t>
  </si>
  <si>
    <t>H S TOWER, HOLDING NO 1006, HATHAZARI ROAD, PANCHLAISH, CHITTAGONG</t>
  </si>
  <si>
    <t>26 JUNE 2013</t>
  </si>
  <si>
    <t>195150207</t>
  </si>
  <si>
    <t>BARYERHAT SME BRANCH</t>
  </si>
  <si>
    <t>BARYERHAT_SME_BRANCH</t>
  </si>
  <si>
    <t>AL-AMIN SHOPPING COMPLEX, JAMALPUR, BARYERHAT, MIRSHARAI, CHITTAGONG</t>
  </si>
  <si>
    <t>018 18402020</t>
  </si>
  <si>
    <t>17 AUGUST 2010</t>
  </si>
  <si>
    <t>195151251</t>
  </si>
  <si>
    <t>BIBIRHAT SME BRANCH</t>
  </si>
  <si>
    <t>BIBIRHAT_SME_BRANCH</t>
  </si>
  <si>
    <t>125 / 125</t>
  </si>
  <si>
    <t>FATIKCHHARI COLLAGE MARKET, FATIKCHHARI, CHITTAGONG</t>
  </si>
  <si>
    <t>03022 56321, 56318</t>
  </si>
  <si>
    <t>21 OCTOBER 2010</t>
  </si>
  <si>
    <t>195151930</t>
  </si>
  <si>
    <t>MANNAN TOWER, 174/A CHATTESHWARI ROAD, CHAWKBAZAR, KOTWALI, CHITTAGONG</t>
  </si>
  <si>
    <t>031 2867367, 2867368, 018 15661194</t>
  </si>
  <si>
    <t>195152447</t>
  </si>
  <si>
    <t>700/B DT ROAD, DEWANHAT, PATHANTULI, DOUBLE MOORING, CHITTAGONG</t>
  </si>
  <si>
    <t>031 2515260, 2515261, 2515262</t>
  </si>
  <si>
    <t>4 OCTOBER 2012</t>
  </si>
  <si>
    <t>195152968</t>
  </si>
  <si>
    <t>GEC MORE BRANCH</t>
  </si>
  <si>
    <t>GEC_MORE_BRANCH</t>
  </si>
  <si>
    <t>296 / 296</t>
  </si>
  <si>
    <t>GOLDEN PLAZA, 358 CDA AVENUE, EAST NASIRABAD, CHITTAGONG</t>
  </si>
  <si>
    <t>031 2555891, 2555892</t>
  </si>
  <si>
    <t>031 2555893</t>
  </si>
  <si>
    <t>25 NOVEMBER 2009</t>
  </si>
  <si>
    <t>195153167</t>
  </si>
  <si>
    <t>VIP PLAZA, PLOT NO 5/4, ROAD 2, BLOCK G, HALISHAHAR HOUSING ESTATE, CHITTAGONG</t>
  </si>
  <si>
    <t>031 717201, 2525702, 815702</t>
  </si>
  <si>
    <t>031 2519284</t>
  </si>
  <si>
    <t>9 FEBRUARY 2002</t>
  </si>
  <si>
    <t>195153233</t>
  </si>
  <si>
    <t>HATHAZARI SME BRANCH</t>
  </si>
  <si>
    <t>HATHAZARI_SME_BRANCH</t>
  </si>
  <si>
    <t>323 / 323</t>
  </si>
  <si>
    <t>HAZI M SIDDIK MARKET, BLOCK B, HATHAZARI BUS STAND, WARD 3, CHITTAGONG</t>
  </si>
  <si>
    <t>031 2601914, 2601915</t>
  </si>
  <si>
    <t>16 AUGUST 2010</t>
  </si>
  <si>
    <t>195153646</t>
  </si>
  <si>
    <t>SOIVBDDHJUB</t>
  </si>
  <si>
    <t>HAQUE MARKET, 610/11 JUBILEE ROAD, CHITTAGONG</t>
  </si>
  <si>
    <t>031 628288, 627155, 840897</t>
  </si>
  <si>
    <t>031 628288</t>
  </si>
  <si>
    <t>30 JULY 2003</t>
  </si>
  <si>
    <t>195154274</t>
  </si>
  <si>
    <t>SOIVBDDHKTJ</t>
  </si>
  <si>
    <t>HOLDING NO 276-277,WARD 35, MAIN ROAD, KHATUNGANJ, CHITTAGONG</t>
  </si>
  <si>
    <t>031 636358, 624682, 624683</t>
  </si>
  <si>
    <t>031 639014</t>
  </si>
  <si>
    <t>12 DECEMBER 1999</t>
  </si>
  <si>
    <t>195154661</t>
  </si>
  <si>
    <t>466 / 466</t>
  </si>
  <si>
    <t>ICE PARK, NEAR LOHAGARA CENTRAL MOSJID, LOHAGARA, CHITTAGONG</t>
  </si>
  <si>
    <t>03034 56517, 56518, 018 15065948</t>
  </si>
  <si>
    <t>18 JUNE 2009</t>
  </si>
  <si>
    <t>195155444</t>
  </si>
  <si>
    <t>544 / 544</t>
  </si>
  <si>
    <t>NANUPUR BAZAR, FATIKCHHARI, CHITTAGONG</t>
  </si>
  <si>
    <t>044 37151939, 044 37151949, 018 65111511</t>
  </si>
  <si>
    <t>8 OCTOBER 2009</t>
  </si>
  <si>
    <t>195156135</t>
  </si>
  <si>
    <t>KHAYEZ SHOPPING COMPLEX, PATHERHAT, NOAPARA, RAOZAN, CHITTAGONG</t>
  </si>
  <si>
    <t>031 2572315, 2572316</t>
  </si>
  <si>
    <t>19 AUGUST 2009</t>
  </si>
  <si>
    <t>195156551</t>
  </si>
  <si>
    <t>ROAZARHAT BRANCH</t>
  </si>
  <si>
    <t>ROAZARHAT_BRANCH</t>
  </si>
  <si>
    <t>655 / 655</t>
  </si>
  <si>
    <t>A FARIDA SHOPPING COMPLEX, KAPTAI ROAD, ROAZARHAT, RANGUNIA, CHITTAGONG</t>
  </si>
  <si>
    <t>030 2556244, 2556245</t>
  </si>
  <si>
    <t>24 NOVEMBER 2012</t>
  </si>
  <si>
    <t>195157163</t>
  </si>
  <si>
    <t>SHAH MOHSEN AULIA BRANCH</t>
  </si>
  <si>
    <t>SHAH_MOHSEN_AULIA_BRANCH</t>
  </si>
  <si>
    <t>716 / 716</t>
  </si>
  <si>
    <t>HAZI IMAM SHOPPING CENTRE, BATTALI, ANWARA, CHITTAGONG</t>
  </si>
  <si>
    <t>096 12001122 (Ext 77901)</t>
  </si>
  <si>
    <t>3 OCTOBER 2012</t>
  </si>
  <si>
    <t>195190146</t>
  </si>
  <si>
    <t>HAQUE PLAZA, COLLEGE ROAD, DEBIDWAR, COMILLA</t>
  </si>
  <si>
    <t>4 JULY 2013</t>
  </si>
  <si>
    <t>195191158</t>
  </si>
  <si>
    <t>95-96 CHAWKBAZAR, KOTWALI, COMILLA</t>
  </si>
  <si>
    <t>081 61363, 61364</t>
  </si>
  <si>
    <t>30 JULY 2009</t>
  </si>
  <si>
    <t>195191903</t>
  </si>
  <si>
    <t>ELLIOTGANJ BRANCH</t>
  </si>
  <si>
    <t>ELLIOTGANJ_BRANCH</t>
  </si>
  <si>
    <t>ELLIOTGANJ BAZAR, DAUDKHANDI, COMILLA</t>
  </si>
  <si>
    <t>017 53856638</t>
  </si>
  <si>
    <t>30 OCTOBER 2008</t>
  </si>
  <si>
    <t>195192236</t>
  </si>
  <si>
    <t>223 / 223</t>
  </si>
  <si>
    <t>POPY TOWER, HOMNA BAZAR, HOMNA, COMILLA</t>
  </si>
  <si>
    <t>08025 54640, 54641</t>
  </si>
  <si>
    <t>29 DECEMBER 2011</t>
  </si>
  <si>
    <t>195220258</t>
  </si>
  <si>
    <t>195270558</t>
  </si>
  <si>
    <t>SOIVBDDHBBR</t>
  </si>
  <si>
    <t>31 NAWAB YOUSUF ROAD, NAYA BAZAR, DHAKA</t>
  </si>
  <si>
    <t>02 57395118, 57395119</t>
  </si>
  <si>
    <t>02 57395119</t>
  </si>
  <si>
    <t>26 APRIL 1998</t>
  </si>
  <si>
    <t>195260434</t>
  </si>
  <si>
    <t>SOIVBDDHBAN</t>
  </si>
  <si>
    <t>48 KEMAL ATTATURK AVENUE, BANANI, DHAKA 1213</t>
  </si>
  <si>
    <t>02 89820996, 9820997, 9820998</t>
  </si>
  <si>
    <t>02 9820995</t>
  </si>
  <si>
    <t>16 OCTOBER 2008</t>
  </si>
  <si>
    <t>195260726</t>
  </si>
  <si>
    <t>PLOT NO 2, ROAD 13, BLOCK L, SOUTH BANASREE, KHILGAON, DHAKA</t>
  </si>
  <si>
    <t>02 7811611, 7811612, 7811613</t>
  </si>
  <si>
    <t>22 SEPTEMBER 2011</t>
  </si>
  <si>
    <t>195270882</t>
  </si>
  <si>
    <t>HOLDING NO 45, WARD 68, BANGSHAL ROAD, DHAKA</t>
  </si>
  <si>
    <t>02 7317175, 7317396</t>
  </si>
  <si>
    <t>21 SEPTEMBER 2011</t>
  </si>
  <si>
    <t>195260555</t>
  </si>
  <si>
    <t>HOUSE NO 16, BLOCK A, BASHUNDHARA AVENUE, DHAKA 1229</t>
  </si>
  <si>
    <t>02 8402501, 8402502</t>
  </si>
  <si>
    <t>27 DECEMBER 2011</t>
  </si>
  <si>
    <t>195271465</t>
  </si>
  <si>
    <t>DEMRA BRANCH</t>
  </si>
  <si>
    <t>DEMRA_BRANCH</t>
  </si>
  <si>
    <t>146 / 146</t>
  </si>
  <si>
    <t>HAZI HOSSAIN PLAZA, STAFF QUARTER, DEMRA, DHAKA</t>
  </si>
  <si>
    <t>02 7502915, 7502916</t>
  </si>
  <si>
    <t>7 OCTOBER 2012</t>
  </si>
  <si>
    <t>195261167</t>
  </si>
  <si>
    <t>116 / 116</t>
  </si>
  <si>
    <t>DHAMRAI BAZAR, A-6 GAAP NAGAR, DHAMRAI, DHAKA</t>
  </si>
  <si>
    <t>06222 71908, 71909</t>
  </si>
  <si>
    <t>195261183</t>
  </si>
  <si>
    <t>HOUSE NO 84, ROAD 7/A, SATMASJID ROAD, DHANMONDI R/A, DHAKA</t>
  </si>
  <si>
    <t>02 9144682</t>
  </si>
  <si>
    <t>02 9120088</t>
  </si>
  <si>
    <t>14 MAY 2002</t>
  </si>
  <si>
    <t>195272327</t>
  </si>
  <si>
    <t>SOIVBDDHFEX</t>
  </si>
  <si>
    <t>BIWTA BHABAN, 141-143 MOTIJHEEL C/A, DHAKA 1000</t>
  </si>
  <si>
    <t>02 9571254, 9571100</t>
  </si>
  <si>
    <t>02 9571100</t>
  </si>
  <si>
    <t>4 FEBRUARY 2002</t>
  </si>
  <si>
    <t>195272019</t>
  </si>
  <si>
    <t>GALIMPUR SME BRANCH</t>
  </si>
  <si>
    <t>GALIMPUR_SME_BRANCH</t>
  </si>
  <si>
    <t>201 / 201</t>
  </si>
  <si>
    <t>KHAN SUPER MARKET, GALIMPUR BAZAR, NAWABGANJ, DHAKA</t>
  </si>
  <si>
    <t>096 12001122 (Ext 75901, 75902), 019 13112121</t>
  </si>
  <si>
    <t>10 OCTOBER 2010</t>
  </si>
  <si>
    <t>195261725</t>
  </si>
  <si>
    <t>SOIVBDDHGUL</t>
  </si>
  <si>
    <t>80 GULSHAN AVENUE, GULSHAN, DHAKA 1212</t>
  </si>
  <si>
    <t>02 8829137, 8813793</t>
  </si>
  <si>
    <t>02 9888857</t>
  </si>
  <si>
    <t>22 APRIL 1998</t>
  </si>
  <si>
    <t>195272569</t>
  </si>
  <si>
    <t>HASNABAD SUPER MARKET, SUVADDA, KERANIGANJ, DHAKA</t>
  </si>
  <si>
    <t>02 7761723</t>
  </si>
  <si>
    <t>17 APRIL 2002</t>
  </si>
  <si>
    <t>195262061</t>
  </si>
  <si>
    <t>HORIRAMPUR UNION BRANCH</t>
  </si>
  <si>
    <t>HORIRAMPUR_UNION_BRANCH</t>
  </si>
  <si>
    <t>206 / 206</t>
  </si>
  <si>
    <t>AK TOWER, 285 MEDICAL ROAD, TOMALTOLA MORE, JAMALPUR</t>
  </si>
  <si>
    <t>27 MARCH 2016</t>
  </si>
  <si>
    <t>195272985</t>
  </si>
  <si>
    <t>LIONS TOWER, 108 ISLAMPUR ROAD DHAKA</t>
  </si>
  <si>
    <t>02 57392332, 57393208</t>
  </si>
  <si>
    <t>02 57393208</t>
  </si>
  <si>
    <t>26 AUGUST 2010</t>
  </si>
  <si>
    <t>195262379</t>
  </si>
  <si>
    <t>KADERIA TAYEBIA MADRASHA BRANCH</t>
  </si>
  <si>
    <t>KADERIA_TAYEBIA_MADRASHA_BRANCH</t>
  </si>
  <si>
    <t>237 / 237</t>
  </si>
  <si>
    <t>9/2A MADRASHA ROAD, JOINT QUARTER, BLOCK F, MOHAMMADPUR, DHAKA 1207</t>
  </si>
  <si>
    <t>02 8142572, 9132398</t>
  </si>
  <si>
    <t>02 9132253</t>
  </si>
  <si>
    <t>18 MAY 2009</t>
  </si>
  <si>
    <t>195262537</t>
  </si>
  <si>
    <t>KHANSONS CENTRE, 37 KAWRAN BAZAR, DHAKA</t>
  </si>
  <si>
    <t>02 8180206, 8180207</t>
  </si>
  <si>
    <t>27 NOVEMBER 2012</t>
  </si>
  <si>
    <t>195273647</t>
  </si>
  <si>
    <t>EAST AGANAGAR MASJID MARKET, SHUVADDA, KERANIGANJ, DHAKA</t>
  </si>
  <si>
    <t>02 7763253, 7763765</t>
  </si>
  <si>
    <t>195262982</t>
  </si>
  <si>
    <t>RABEYA COMPLEX, PLOT NO 33, BLOCK KHA, SECTION 6, MIRPUR 10, DHAKA</t>
  </si>
  <si>
    <t>02 9029720, 9013584</t>
  </si>
  <si>
    <t>02 9013584</t>
  </si>
  <si>
    <t>29 DECEMBER 2003</t>
  </si>
  <si>
    <t>195263194</t>
  </si>
  <si>
    <t>16 STORIED BUILDING, 99 MOHAKHALI C/A, GULSHAN, DHAKA</t>
  </si>
  <si>
    <t>02 9888943</t>
  </si>
  <si>
    <t>20 SEPTEMBER 2011</t>
  </si>
  <si>
    <t>195274367</t>
  </si>
  <si>
    <t>436 / 436</t>
  </si>
  <si>
    <t>ADVANCED MELINDA, 72 MALIBAGH, MOUCHAK MORE, DHAKA 1217</t>
  </si>
  <si>
    <t>02 9341679, 9341854</t>
  </si>
  <si>
    <t>18 JUNE 2013</t>
  </si>
  <si>
    <t>195274420</t>
  </si>
  <si>
    <t>SOIVBDDHMVR</t>
  </si>
  <si>
    <t>WAHID CENTER, 77/7 MOULVIBAZAR, DHAKA</t>
  </si>
  <si>
    <t>02 7316225, 7315323, 7312911</t>
  </si>
  <si>
    <t>02 7312911</t>
  </si>
  <si>
    <t>30 SEPTEMBER 1998</t>
  </si>
  <si>
    <t>195274754</t>
  </si>
  <si>
    <t>82 NAWABPUR ROAD, DHAKA</t>
  </si>
  <si>
    <t>02 9576948, 9576950, 9591193</t>
  </si>
  <si>
    <t>02 9591193</t>
  </si>
  <si>
    <t>26 JULY 2003</t>
  </si>
  <si>
    <t>195275029</t>
  </si>
  <si>
    <t>NEW ESKATON ROAD BRANCH</t>
  </si>
  <si>
    <t>NEW_ESKATON_ROAD_BRANCH</t>
  </si>
  <si>
    <t>27 NEW ESKATON ROAD, RAMNA, DHAKA 1000</t>
  </si>
  <si>
    <t>02 9359620, 8311592</t>
  </si>
  <si>
    <t>02 8311591</t>
  </si>
  <si>
    <t>31 AUGUST 2010</t>
  </si>
  <si>
    <t>195263615</t>
  </si>
  <si>
    <t>LEVEL 2, BLACK A, BASHUNDHARA CITY, 13/KA/1 PANTHAPATH, DHAKA</t>
  </si>
  <si>
    <t>02 9136819, 9135229</t>
  </si>
  <si>
    <t>02 9135229</t>
  </si>
  <si>
    <t>7 DECEMBER 2000</t>
  </si>
  <si>
    <t>195275353</t>
  </si>
  <si>
    <t>SOIVBDDHPRN</t>
  </si>
  <si>
    <t>15 DILKUSHA C/A, DHAKA 1000</t>
  </si>
  <si>
    <t>02 9550195, 9559241, 9572303</t>
  </si>
  <si>
    <t>02 9562002</t>
  </si>
  <si>
    <t>22 NOVEMBER 1995</t>
  </si>
  <si>
    <t>195275740</t>
  </si>
  <si>
    <t>574 / 574</t>
  </si>
  <si>
    <t>MODINA TOWER, 464/1 WEST RAMPURA, DIT ROAD, DHAKA</t>
  </si>
  <si>
    <t>02 7281320, 7281879</t>
  </si>
  <si>
    <t>24 NOVEMBER 2009</t>
  </si>
  <si>
    <t>195260142</t>
  </si>
  <si>
    <t>SATARKUL ROAD BRANCH</t>
  </si>
  <si>
    <t>SATARKUL_ROAD_BRANCH</t>
  </si>
  <si>
    <t>287 NORTH BADDA, ALIR MORE, SATARKUL ROAD, NORTH BADDA, DHAKA</t>
  </si>
  <si>
    <t>02 9858072, 9858073</t>
  </si>
  <si>
    <t>16 OCTOBER 2012</t>
  </si>
  <si>
    <t>195264098</t>
  </si>
  <si>
    <t>YOUSUF TOWER, 35 TATTI, DILKUSHABAGH, SAVAR BUS STAND, DHAKA</t>
  </si>
  <si>
    <t>02 7743707, 7745585, 018 16596888</t>
  </si>
  <si>
    <t>27 NOVEMBER 2008</t>
  </si>
  <si>
    <t>195264630</t>
  </si>
  <si>
    <t>SOIVBDDHUTR</t>
  </si>
  <si>
    <t>LATIF EMPORIUM, 27 UTTARA C/A, ROAD NO 7, SECTOR 3, UTTARA, DHAKA</t>
  </si>
  <si>
    <t>02 8959731, 8959732, 8959733</t>
  </si>
  <si>
    <t>02 8961124</t>
  </si>
  <si>
    <t>7 DECEMBER 2003</t>
  </si>
  <si>
    <t>195262140</t>
  </si>
  <si>
    <t>IDB BHABAN</t>
  </si>
  <si>
    <t>IDB_BHABAN</t>
  </si>
  <si>
    <t>195275766</t>
  </si>
  <si>
    <t>RASULPUR</t>
  </si>
  <si>
    <t>576</t>
  </si>
  <si>
    <t>195270008</t>
  </si>
  <si>
    <t>195280672</t>
  </si>
  <si>
    <t>HOLDING NO 1191/1150, LILIR MORE, PRANONATHPUR, WARD 3, DINAJPUR</t>
  </si>
  <si>
    <t>0531 63692, 61588</t>
  </si>
  <si>
    <t>23 AUGUST 2010</t>
  </si>
  <si>
    <t>195320590</t>
  </si>
  <si>
    <t>059 / 059</t>
  </si>
  <si>
    <t>GOLEZA SUPER MARKET, HOLDING NO 318, WARD 6, GOBINDAGANJ, GAIBANDHA</t>
  </si>
  <si>
    <t>05423 75396, 75397</t>
  </si>
  <si>
    <t>22 AUGUST 2010</t>
  </si>
  <si>
    <t>195410550</t>
  </si>
  <si>
    <t>CHOUGACHA BRANCH</t>
  </si>
  <si>
    <t>CHOUGACHA_BRANCH</t>
  </si>
  <si>
    <t>DHONI PLAZA, CHOWGACHA BUS STAND, WARD 1, CHOWGACHA, JESSORE</t>
  </si>
  <si>
    <t>30 JUNE 2013</t>
  </si>
  <si>
    <t>195410947</t>
  </si>
  <si>
    <t>36 RAIL ROAD, KOTWALI, JESSORE</t>
  </si>
  <si>
    <t>0421 64404</t>
  </si>
  <si>
    <t>19 DECEMBER 2010</t>
  </si>
  <si>
    <t>195411520</t>
  </si>
  <si>
    <t>MONIRAMPUR SME BRANCH</t>
  </si>
  <si>
    <t>MONIRAMPUR_SME_BRANCH</t>
  </si>
  <si>
    <t>152 / 152</t>
  </si>
  <si>
    <t>HOLDING NO 2145, MONIRAMPUR BAZAR, WARD 3, MONIRAMPUR, JESSORE</t>
  </si>
  <si>
    <t>04227 78400</t>
  </si>
  <si>
    <t>8 AUGUST 2010</t>
  </si>
  <si>
    <t>195411638</t>
  </si>
  <si>
    <t>NOORBAGH MORE, NOAPARA, ABHAYNAGAR, JESSORE</t>
  </si>
  <si>
    <t>04222 72300</t>
  </si>
  <si>
    <t>195471544</t>
  </si>
  <si>
    <t>SOIVBDDHKHU</t>
  </si>
  <si>
    <t>GM BAKSH TOWER, 22 SIR IQBAL ROAD, KHULNA</t>
  </si>
  <si>
    <t>041 722133</t>
  </si>
  <si>
    <t>041 730533</t>
  </si>
  <si>
    <t>20 JUNE 1996</t>
  </si>
  <si>
    <t>195472080</t>
  </si>
  <si>
    <t>MAIN ROAD, PAIKGACHHA, KHULNA</t>
  </si>
  <si>
    <t>04027 56678</t>
  </si>
  <si>
    <t>6 DECEMBER 2009</t>
  </si>
  <si>
    <t>195670237</t>
  </si>
  <si>
    <t>023 / 023</t>
  </si>
  <si>
    <t>MIR MARKET, SALAM MANSION, BHULTA, RUPGANJ, NARAYANGANJ</t>
  </si>
  <si>
    <t>017 27602777</t>
  </si>
  <si>
    <t>5 SEPTEMBER 2010</t>
  </si>
  <si>
    <t>195670529</t>
  </si>
  <si>
    <t>FATULLA BAZAR, NARAYANGANJ</t>
  </si>
  <si>
    <t>02 7602144, 7670393</t>
  </si>
  <si>
    <t>02 7672144</t>
  </si>
  <si>
    <t>23 DECEMBER 2003</t>
  </si>
  <si>
    <t>195670608</t>
  </si>
  <si>
    <t>GOPALDI BRANCH</t>
  </si>
  <si>
    <t>GOPALDI_BRANCH</t>
  </si>
  <si>
    <t>060 / 060</t>
  </si>
  <si>
    <t>GOPALDI BAZAR, ARAIHAZAR, NARAYANGANJ</t>
  </si>
  <si>
    <t>018 19494734</t>
  </si>
  <si>
    <t>11 AUGUST 2009</t>
  </si>
  <si>
    <t>195671186</t>
  </si>
  <si>
    <t>SOIVBDDHNGJ</t>
  </si>
  <si>
    <t>RUPSI HEIGHT, 3 SM MALEH ROAD, TANBAZAR, NARAYANGANJ</t>
  </si>
  <si>
    <t>02 7641621-23</t>
  </si>
  <si>
    <t>195671694</t>
  </si>
  <si>
    <t>HAJI JALAL TOWER, MOGRAPARA, SONARGAON, NARAYANGANJ</t>
  </si>
  <si>
    <t>017 27153757, 018 16406067</t>
  </si>
  <si>
    <t>9 JUNE 2001</t>
  </si>
  <si>
    <t>195680685</t>
  </si>
  <si>
    <t>068 / 068</t>
  </si>
  <si>
    <t>MADHABDI PLAZA, MADHABDI, NARSINGDI</t>
  </si>
  <si>
    <t>02 9446882, 9446883</t>
  </si>
  <si>
    <t>02 9446884</t>
  </si>
  <si>
    <t>15 JULY 2010</t>
  </si>
  <si>
    <t>195680148</t>
  </si>
  <si>
    <t>PANCHDONA BRANCH</t>
  </si>
  <si>
    <t>PANCHDONA_BRANCH</t>
  </si>
  <si>
    <t>ISFAR TOWER, PANCHDONA, NARSINGDI SADAR, NARSINGDI</t>
  </si>
  <si>
    <t>017 33664400</t>
  </si>
  <si>
    <t>30 SEPTEMBER 2014</t>
  </si>
  <si>
    <t>195750678</t>
  </si>
  <si>
    <t>HOSSAIN MARKET, 276-284 DB ROAD, CHOWMUHANI, BEGUMGANJ, NOAKHALI</t>
  </si>
  <si>
    <t>0321 56122, 53622</t>
  </si>
  <si>
    <t>12 NOVEMBER 2008</t>
  </si>
  <si>
    <t>195750065</t>
  </si>
  <si>
    <t>006 / 006</t>
  </si>
  <si>
    <t>BISMILLAH TOWER, HOLDING NO 428/B, MAIN ROAD, MAIJDEE BAZAR, NOAKHALI</t>
  </si>
  <si>
    <t>0321 71814, 71815</t>
  </si>
  <si>
    <t>18 AUGUST 2013</t>
  </si>
  <si>
    <t>195811933</t>
  </si>
  <si>
    <t>SOIVBDDHRAJ</t>
  </si>
  <si>
    <t>A H TOWER, HOLDING NO 328-331 &amp;amp; 333-336, ALOKAR MORE, STATION ROAD, BOALIA, RAJSHAHI</t>
  </si>
  <si>
    <t>0721 812317, 812452, 096 12001122 (Ext 70701)</t>
  </si>
  <si>
    <t>0721 812317</t>
  </si>
  <si>
    <t>10 AUGUST 1996</t>
  </si>
  <si>
    <t>195871036</t>
  </si>
  <si>
    <t>PATKELGHATA BAZAR, WARD 5, PATKELGHATA, SATKHIRA</t>
  </si>
  <si>
    <t>22 MAY 2013</t>
  </si>
  <si>
    <t>195871094</t>
  </si>
  <si>
    <t>LONDON PLAZA, BARA BAZAR ROAD, SATKHIRA</t>
  </si>
  <si>
    <t>0471 65078, 65444</t>
  </si>
  <si>
    <t>0471 65444</t>
  </si>
  <si>
    <t>20 DECEMBER 2010</t>
  </si>
  <si>
    <t>195880430</t>
  </si>
  <si>
    <t>PABNA BAZAR, RAIGANJ, SIRAJGANJ</t>
  </si>
  <si>
    <t>07526 56122, 017 15805435</t>
  </si>
  <si>
    <t>07526 56122</t>
  </si>
  <si>
    <t>19 DECEMBER 2000</t>
  </si>
  <si>
    <t>195882504</t>
  </si>
  <si>
    <t>ALHAJ RAJJAK PLAZA, MONIRAMPUR BAZAR, SHAHJADPUR, SIRAJGANJ</t>
  </si>
  <si>
    <t>07527 64049, 64050</t>
  </si>
  <si>
    <t>3 OCTOBER 2010</t>
  </si>
  <si>
    <t>195881871</t>
  </si>
  <si>
    <t>187 / 187</t>
  </si>
  <si>
    <t>ZAMAN COMPLEX, S S ROAD, SIRAJGANJ 6700</t>
  </si>
  <si>
    <t>0751 63203, 64360, 63203</t>
  </si>
  <si>
    <t>26 OCTOBER 1998</t>
  </si>
  <si>
    <t>195911367</t>
  </si>
  <si>
    <t>AKUL SHAH SHOPPING CITY, GENERAL OSMANI SHARAK, THANA ROAD POINT, FENCHUGANJ, SYLHET</t>
  </si>
  <si>
    <t>096 12001122 (Ext 78301)</t>
  </si>
  <si>
    <t>11 OCTOBER 2012</t>
  </si>
  <si>
    <t>195913444</t>
  </si>
  <si>
    <t>SOUTH SURMA BRANCH</t>
  </si>
  <si>
    <t>SOUTH_SURMA_BRANCH</t>
  </si>
  <si>
    <t>344 / 344</t>
  </si>
  <si>
    <t>CHANDIPOOL BIPASS ROAD, SOUTH SURMA, SYLHET</t>
  </si>
  <si>
    <t>0821 2833431, 2833432</t>
  </si>
  <si>
    <t>23 JULY 2009</t>
  </si>
  <si>
    <t>195913552</t>
  </si>
  <si>
    <t>SOIVBDDHSYL</t>
  </si>
  <si>
    <t>KARIMA MANSION, 781 AIRPORT ROAD, DARGAH GATE, SYLHET 3100</t>
  </si>
  <si>
    <t>0821 711282, 710485</t>
  </si>
  <si>
    <t>0821 711282</t>
  </si>
  <si>
    <t>27 JUNE 1996</t>
  </si>
  <si>
    <t>SONALI_BANK_LIMITED</t>
  </si>
  <si>
    <t>SONALI BANK LIMITED</t>
  </si>
  <si>
    <t>200010858</t>
  </si>
  <si>
    <t>BAGERHAT BAZAR BRANCH</t>
  </si>
  <si>
    <t>BAGERHAT_BAZAR_BRANCH</t>
  </si>
  <si>
    <t>BSONBDDH</t>
  </si>
  <si>
    <t>SADAR BAZAR, BAGERHAT</t>
  </si>
  <si>
    <t>brbazar@sonalibank.com.bd</t>
  </si>
  <si>
    <t>200010074</t>
  </si>
  <si>
    <t>007 / 007</t>
  </si>
  <si>
    <t>0468 62365</t>
  </si>
  <si>
    <t>brbagerhat@sonalibank.com.bd</t>
  </si>
  <si>
    <t>200010229</t>
  </si>
  <si>
    <t>CHITALMARI BRANCH</t>
  </si>
  <si>
    <t>CHITALMARI_BRANCH</t>
  </si>
  <si>
    <t>0468 62751 (Ext 5), 62752</t>
  </si>
  <si>
    <t>brchitolmari@sonalibank.com.bd</t>
  </si>
  <si>
    <t>200010290</t>
  </si>
  <si>
    <t>COURT BUILDING BRANCH</t>
  </si>
  <si>
    <t>COURT_BUILDING_BRANCH</t>
  </si>
  <si>
    <t>029 / 029</t>
  </si>
  <si>
    <t>brcbsyl@sonalibank.com.bd</t>
  </si>
  <si>
    <t>200010461</t>
  </si>
  <si>
    <t>0468 62780 (Ext 205)</t>
  </si>
  <si>
    <t>brfakirhat@sonalibank.com.bd</t>
  </si>
  <si>
    <t>200010582</t>
  </si>
  <si>
    <t>GILATALA BRANCH</t>
  </si>
  <si>
    <t>GILATALA_BRANCH</t>
  </si>
  <si>
    <t>GILATALA, RAMPAL, BAGERHAT</t>
  </si>
  <si>
    <t>017 11434618</t>
  </si>
  <si>
    <t>brgilatala@sonalibank.com.bd</t>
  </si>
  <si>
    <t>200010645</t>
  </si>
  <si>
    <t>GOURAMBHA BAZAR BRANCH</t>
  </si>
  <si>
    <t>GOURAMBHA_BAZAR_BRANCH</t>
  </si>
  <si>
    <t>GOURAMBHA, RAMPAL, BAGERHAT</t>
  </si>
  <si>
    <t>017 11434619</t>
  </si>
  <si>
    <t>brgourambhabazar@sonalibank.com.bd</t>
  </si>
  <si>
    <t>200010737</t>
  </si>
  <si>
    <t>KACHUA, BAGERHAT</t>
  </si>
  <si>
    <t>0468 62777, 62778 (Ext 1)</t>
  </si>
  <si>
    <t>brkachuacpur@sonalibank.com.bd</t>
  </si>
  <si>
    <t>200010911</t>
  </si>
  <si>
    <t>0468 62762 (Ext 5), 62763</t>
  </si>
  <si>
    <t>brmollahat@sonalibank.com.bd</t>
  </si>
  <si>
    <t>200010940</t>
  </si>
  <si>
    <t>MONGLA, BAGERHAT</t>
  </si>
  <si>
    <t>0468 6364</t>
  </si>
  <si>
    <t>brmongla@sonalibank.com.bd</t>
  </si>
  <si>
    <t>200010979</t>
  </si>
  <si>
    <t>MONGLA PORT, BURIDANGA, BAGERHAT</t>
  </si>
  <si>
    <t>0468 75225</t>
  </si>
  <si>
    <t>brmonglaport@sonalibank.com.bd</t>
  </si>
  <si>
    <t>200011031</t>
  </si>
  <si>
    <t>0468 62730-31 (Ext 14)</t>
  </si>
  <si>
    <t>brmorelgonj@sonalibank.com.bd</t>
  </si>
  <si>
    <t>200011215</t>
  </si>
  <si>
    <t>0468 62790-91 (Ext 14)</t>
  </si>
  <si>
    <t>brrampal@sonalibank.com.bd</t>
  </si>
  <si>
    <t>200011244</t>
  </si>
  <si>
    <t>124 / 124</t>
  </si>
  <si>
    <t>SHARANKHOLA, BAGERHAT</t>
  </si>
  <si>
    <t>0468 62740-41 (Ext 21)</t>
  </si>
  <si>
    <t>brrayendabazar@sonalibank.com.bd</t>
  </si>
  <si>
    <t>200030041</t>
  </si>
  <si>
    <t>0361 62298, 62244, 017 30031873</t>
  </si>
  <si>
    <t>bralikadam@sonalibank.com.bd</t>
  </si>
  <si>
    <t>200030133</t>
  </si>
  <si>
    <t>0361 62313, 63245</t>
  </si>
  <si>
    <t>brbandarban@sonalibank.com.bd</t>
  </si>
  <si>
    <t>200030191</t>
  </si>
  <si>
    <t>015 52204593</t>
  </si>
  <si>
    <t>brlama@sonalibank.com.bd</t>
  </si>
  <si>
    <t>200030225</t>
  </si>
  <si>
    <t>NAIKHANGCHHARI, BANDARBAN</t>
  </si>
  <si>
    <t>0361 62240, 64190, 017 30031872</t>
  </si>
  <si>
    <t>brnaikhangchari@sonalibank.com.bd</t>
  </si>
  <si>
    <t>200030254</t>
  </si>
  <si>
    <t>0361 62238, 62201, 015 52204590</t>
  </si>
  <si>
    <t>brroangchari@sonalibank.com.bd</t>
  </si>
  <si>
    <t>200030283</t>
  </si>
  <si>
    <t>015 52204592</t>
  </si>
  <si>
    <t>brruma@sonalibank.com.bd</t>
  </si>
  <si>
    <t>200030317</t>
  </si>
  <si>
    <t>0361 62210, 62247, 015 52204591</t>
  </si>
  <si>
    <t>brthanchi@sonalibank.com.bd</t>
  </si>
  <si>
    <t>200040044</t>
  </si>
  <si>
    <t>04452 56017</t>
  </si>
  <si>
    <t>bramtoli@sonalibank.com.bd</t>
  </si>
  <si>
    <t>200040107</t>
  </si>
  <si>
    <t>04453 56004</t>
  </si>
  <si>
    <t>brbamna@sonalibank.com.bd</t>
  </si>
  <si>
    <t>200040228</t>
  </si>
  <si>
    <t>04454 56007</t>
  </si>
  <si>
    <t>brbetagi@sonalibank.com.bd</t>
  </si>
  <si>
    <t>200040165</t>
  </si>
  <si>
    <t>COURT BUILDING, BARGUNA</t>
  </si>
  <si>
    <t>0448 62562, 62349</t>
  </si>
  <si>
    <t>brbargunacourt@sonalibank.com.bd</t>
  </si>
  <si>
    <t>200040673</t>
  </si>
  <si>
    <t>PATHARGHATA, BARGUNA</t>
  </si>
  <si>
    <t>04455 75006</t>
  </si>
  <si>
    <t>brpatharghata@sonalibank.com.bd</t>
  </si>
  <si>
    <t>200060079</t>
  </si>
  <si>
    <t>AGAILJHARA, BARISAL</t>
  </si>
  <si>
    <t>04323 56103</t>
  </si>
  <si>
    <t>bragoiljhara@sonalibank.com.bd</t>
  </si>
  <si>
    <t>200060132</t>
  </si>
  <si>
    <t>ARATDER PATTY BRANCH</t>
  </si>
  <si>
    <t>ARATDER_PATTY_BRANCH</t>
  </si>
  <si>
    <t>ARATDER PATTY, BARISAL</t>
  </si>
  <si>
    <t>013 3256319</t>
  </si>
  <si>
    <t>braratpatty@sonalibank.com.bd</t>
  </si>
  <si>
    <t>200060224</t>
  </si>
  <si>
    <t>BAKERGANJ  BRANCH</t>
  </si>
  <si>
    <t>BAKERGANJ__BRANCH</t>
  </si>
  <si>
    <t>BAKERGANJ, BARISAL</t>
  </si>
  <si>
    <t>0431 74012</t>
  </si>
  <si>
    <t>brbakergonj@sonalibank.com.bd</t>
  </si>
  <si>
    <t>200060253</t>
  </si>
  <si>
    <t>04332 56243</t>
  </si>
  <si>
    <t>brbanaripara@sonalibank.com.bd</t>
  </si>
  <si>
    <t>200060345</t>
  </si>
  <si>
    <t>BARISAL SADAR, BARISAL</t>
  </si>
  <si>
    <t>0431 52152, 55150, 55180</t>
  </si>
  <si>
    <t>barishalcorp@sonalibank.com.bd</t>
  </si>
  <si>
    <t>200060316</t>
  </si>
  <si>
    <t>BARISAL CADET COLLEGE BRANCH</t>
  </si>
  <si>
    <t>BARISAL_CADET_COLLEGE_BRANCH</t>
  </si>
  <si>
    <t>CADET COLLEGE, RAHMATPUR, BARISAL</t>
  </si>
  <si>
    <t>0431 54772</t>
  </si>
  <si>
    <t>brcadetcollege@sonalibank.com.bd</t>
  </si>
  <si>
    <t>200060587</t>
  </si>
  <si>
    <t>200060640</t>
  </si>
  <si>
    <t>CHAKHAR BRANCH</t>
  </si>
  <si>
    <t>CHAKHAR_BRANCH</t>
  </si>
  <si>
    <t>CHAKHAR, BARISAL</t>
  </si>
  <si>
    <t>017 14087113</t>
  </si>
  <si>
    <t>brchakhar@sonalibank.com.bd</t>
  </si>
  <si>
    <t>200060679</t>
  </si>
  <si>
    <t>CHARAMUDDI BRANCH</t>
  </si>
  <si>
    <t>CHARAMUDDI_BRANCH</t>
  </si>
  <si>
    <t>0431 89002</t>
  </si>
  <si>
    <t>brcharamuddi@sonalibank.com.bd</t>
  </si>
  <si>
    <t>200060703</t>
  </si>
  <si>
    <t>CHAWK BAZAR, BARISAL</t>
  </si>
  <si>
    <t>0431 52536</t>
  </si>
  <si>
    <t>brchawkbazar@sonalibank.com.bd</t>
  </si>
  <si>
    <t>200060732</t>
  </si>
  <si>
    <t>BEGUMGANJ, BARISAL</t>
  </si>
  <si>
    <t>0431 53363</t>
  </si>
  <si>
    <t>brcolroad@sonalibank.com.bd</t>
  </si>
  <si>
    <t>200060761</t>
  </si>
  <si>
    <t>DHAMURA BRANCH</t>
  </si>
  <si>
    <t>DHAMURA_BRANCH</t>
  </si>
  <si>
    <t>DHAMURA, THIRPUR, BARISAL</t>
  </si>
  <si>
    <t>0432 98015</t>
  </si>
  <si>
    <t>brdhamura@sonalibank.com.bd</t>
  </si>
  <si>
    <t>200060790</t>
  </si>
  <si>
    <t>GOILA BRANCH</t>
  </si>
  <si>
    <t>GOILA_BRANCH</t>
  </si>
  <si>
    <t>GOILA, AGAILJHARA, BARISAL</t>
  </si>
  <si>
    <t>04323 56110</t>
  </si>
  <si>
    <t>brgoila@sonalibank.com.bd</t>
  </si>
  <si>
    <t>200060824</t>
  </si>
  <si>
    <t>GOURNADI, BARISAL</t>
  </si>
  <si>
    <t>04322 56113</t>
  </si>
  <si>
    <t>brgouronadi@sonalibank.com.bd</t>
  </si>
  <si>
    <t>200060853</t>
  </si>
  <si>
    <t>GUTHIA BRANCH</t>
  </si>
  <si>
    <t>GUTHIA_BRANCH</t>
  </si>
  <si>
    <t>GUTHIA, THIRPUR, BARISAL</t>
  </si>
  <si>
    <t>04329 8008</t>
  </si>
  <si>
    <t>brguthia@sonalibank.com.bd</t>
  </si>
  <si>
    <t>200060945</t>
  </si>
  <si>
    <t>HALTA BANDAR BRANCH</t>
  </si>
  <si>
    <t>HALTA_BANDAR_BRANCH</t>
  </si>
  <si>
    <t>HALTA BANDAR, BAKERGANJ, BARISAL</t>
  </si>
  <si>
    <t>0431 8034</t>
  </si>
  <si>
    <t>brhaltabandar@sonalibank.com.bd</t>
  </si>
  <si>
    <t>200060974</t>
  </si>
  <si>
    <t>HIZLA, BARISAL</t>
  </si>
  <si>
    <t>0431 71124-26</t>
  </si>
  <si>
    <t>brhizla@sonalibank.com.bd</t>
  </si>
  <si>
    <t>200061094</t>
  </si>
  <si>
    <t>KAMARKHALI BRANCH</t>
  </si>
  <si>
    <t>KAMARKHALI_BRANCH</t>
  </si>
  <si>
    <t>KAMARKHALI, DARAIL, BAKERGANJ, BARISAL</t>
  </si>
  <si>
    <t>0431 89020</t>
  </si>
  <si>
    <t>brkamarkhali@sonalibank.com.bd</t>
  </si>
  <si>
    <t>200061157</t>
  </si>
  <si>
    <t>KHANPURA BRANCH</t>
  </si>
  <si>
    <t>KHANPURA_BRANCH</t>
  </si>
  <si>
    <t>KHANPURA, RAHMATPUR, BABUGANJ, BARISAL</t>
  </si>
  <si>
    <t>0431 73029</t>
  </si>
  <si>
    <t>brkhanpura@sonalibank.com.bd</t>
  </si>
  <si>
    <t>200061302</t>
  </si>
  <si>
    <t>MEDAKUL BRANCH</t>
  </si>
  <si>
    <t>MEDAKUL_BRANCH</t>
  </si>
  <si>
    <t>MEDAKUL, HAKAL, GOURNADI, BARISAL</t>
  </si>
  <si>
    <t>0661 56117</t>
  </si>
  <si>
    <t>brmedakul@sonalibank.com.bd</t>
  </si>
  <si>
    <t>200061360</t>
  </si>
  <si>
    <t>MEHENDIGANJ, PATERHAT, BARISAL</t>
  </si>
  <si>
    <t>017 11219041</t>
  </si>
  <si>
    <t>brmehendigonj@sonalibank.com.bd</t>
  </si>
  <si>
    <t>200061452</t>
  </si>
  <si>
    <t>MULADI, BARISAL</t>
  </si>
  <si>
    <t>0431 75211</t>
  </si>
  <si>
    <t>brmuladi@sonalibank.com.bd</t>
  </si>
  <si>
    <t>200061481</t>
  </si>
  <si>
    <t>NALCHIRA BANDAR BRANCH</t>
  </si>
  <si>
    <t>NALCHIRA_BANDAR_BRANCH</t>
  </si>
  <si>
    <t>NALCHIRA BANDAR, GOURNADI, BARISAL</t>
  </si>
  <si>
    <t>04322 8002</t>
  </si>
  <si>
    <t>brnalchira@sonalibank.com.bd</t>
  </si>
  <si>
    <t>200061515</t>
  </si>
  <si>
    <t>NEAMOTI BANDAR BRANCH</t>
  </si>
  <si>
    <t>NEAMOTI_BANDAR_BRANCH</t>
  </si>
  <si>
    <t>NEAMOTI BANDAR, BAKERGANJ, BARISAL</t>
  </si>
  <si>
    <t>04328 8014</t>
  </si>
  <si>
    <t>brneamotibandar@sonalibank.com.bd</t>
  </si>
  <si>
    <t>200061607</t>
  </si>
  <si>
    <t>PAISARHAT BRANCH</t>
  </si>
  <si>
    <t>PAISARHAT_BRANCH</t>
  </si>
  <si>
    <t>160 / 160</t>
  </si>
  <si>
    <t>PAISARHAT, AGAILJHARA, BARISAL</t>
  </si>
  <si>
    <t>017 11514663</t>
  </si>
  <si>
    <t>brpaisharhat@sonalibank.com.bd</t>
  </si>
  <si>
    <t>200061849</t>
  </si>
  <si>
    <t>SAGARDI BRANCH</t>
  </si>
  <si>
    <t>SAGARDI_BRANCH</t>
  </si>
  <si>
    <t>SAGARDI, BARISAL</t>
  </si>
  <si>
    <t>0431 52098</t>
  </si>
  <si>
    <t>brsagardi@sonalibank.com.bd</t>
  </si>
  <si>
    <t>200061960</t>
  </si>
  <si>
    <t>SHAHEBERHAT BRANCH</t>
  </si>
  <si>
    <t>SHAHEBERHAT_BRANCH</t>
  </si>
  <si>
    <t>SHAHEBERHAT, BARISAL</t>
  </si>
  <si>
    <t>017 11219660</t>
  </si>
  <si>
    <t>brshaheberhat@sonalibank.com.bd</t>
  </si>
  <si>
    <t>200062172</t>
  </si>
  <si>
    <t>TORKI BANDAR, GOURNADI, BARISAL</t>
  </si>
  <si>
    <t>04322 56138</t>
  </si>
  <si>
    <t>brtorkeybander@sonalibank.com.bd</t>
  </si>
  <si>
    <t>200062327</t>
  </si>
  <si>
    <t>UZIRPUR BANDAR BRANCH</t>
  </si>
  <si>
    <t>UZIRPUR_BANDAR_BRANCH</t>
  </si>
  <si>
    <t>0431 71136-37 (Ext 8)</t>
  </si>
  <si>
    <t>bruzirpurbandar@sonalibank.com.bd</t>
  </si>
  <si>
    <t>200090102</t>
  </si>
  <si>
    <t>SADAR ROAD, BHOLA</t>
  </si>
  <si>
    <t>0491 61410</t>
  </si>
  <si>
    <t>brbhola@sonalibank.com.bd</t>
  </si>
  <si>
    <t>200090199</t>
  </si>
  <si>
    <t>04922 56116</t>
  </si>
  <si>
    <t>brborhanuddin@sonalibank.com.bd</t>
  </si>
  <si>
    <t>200090223</t>
  </si>
  <si>
    <t>0491 55990, 55960 (Ext 18)</t>
  </si>
  <si>
    <t>brcharfashion@sonalibank.com.bd</t>
  </si>
  <si>
    <t>200090373</t>
  </si>
  <si>
    <t>04924 56116</t>
  </si>
  <si>
    <t>brdaulatkhan@sonalibank.com.bd</t>
  </si>
  <si>
    <t>200090436</t>
  </si>
  <si>
    <t>0491 55991, 55951 (Ext 13)</t>
  </si>
  <si>
    <t>brgazaria@sonalibank.com.bd</t>
  </si>
  <si>
    <t>200090702</t>
  </si>
  <si>
    <t>0491 75859</t>
  </si>
  <si>
    <t>brlalmohon@sonalibank.com.bd</t>
  </si>
  <si>
    <t>200090881</t>
  </si>
  <si>
    <t>MAHAJAN PATTY BRANCH</t>
  </si>
  <si>
    <t>MAHAJAN_PATTY_BRANCH</t>
  </si>
  <si>
    <t>MAHAJAN PATTY, CHAWKBAZAR, BHOLA</t>
  </si>
  <si>
    <t>0491 61487</t>
  </si>
  <si>
    <t>brmohazanpatty@sonalibank.com.bd</t>
  </si>
  <si>
    <t>200090823</t>
  </si>
  <si>
    <t>0491 55989, 55921 (Ext 17)</t>
  </si>
  <si>
    <t>brmvstu@sonalibank.com.bd</t>
  </si>
  <si>
    <t>200091006</t>
  </si>
  <si>
    <t>0491 55992, 55911 (Ext 27)</t>
  </si>
  <si>
    <t>brtozumuddin@sonalibank.com.bd</t>
  </si>
  <si>
    <t>200090944</t>
  </si>
  <si>
    <t>UTTAR DIGHALDI BRANCH</t>
  </si>
  <si>
    <t>UTTAR_DIGHALDI_BRANCH</t>
  </si>
  <si>
    <t>UTTAR DIGHALDI, BHOLA SADAR, BHOLA</t>
  </si>
  <si>
    <t>017 14100869</t>
  </si>
  <si>
    <t>200100047</t>
  </si>
  <si>
    <t>0741 69205</t>
  </si>
  <si>
    <t>200100139</t>
  </si>
  <si>
    <t>AZIZUL HAQUE COLLEGE BRANCH</t>
  </si>
  <si>
    <t>AZIZUL_HAQUE_COLLEGE_BRANCH</t>
  </si>
  <si>
    <t>AZIZUL HAQUE COLLEGE, BOGRA</t>
  </si>
  <si>
    <t>051 63613</t>
  </si>
  <si>
    <t>200100221</t>
  </si>
  <si>
    <t>BALUAHAT, SONATOLA, BOGRA</t>
  </si>
  <si>
    <t>017 13082817</t>
  </si>
  <si>
    <t>200100405</t>
  </si>
  <si>
    <t>BOGRA BAZAR BRANCH</t>
  </si>
  <si>
    <t>BOGRA_BAZAR_BRANCH</t>
  </si>
  <si>
    <t>051 66176</t>
  </si>
  <si>
    <t>200100463</t>
  </si>
  <si>
    <t>BSONBDDHBOG</t>
  </si>
  <si>
    <t>051 66070, 63569</t>
  </si>
  <si>
    <t>200100434</t>
  </si>
  <si>
    <t>BOGRA CANTONMENT BRANCH</t>
  </si>
  <si>
    <t>BOGRA_CANTONMENT_BRANCH</t>
  </si>
  <si>
    <t>BOGRA CANTONMENT, BOGRA</t>
  </si>
  <si>
    <t>051 66510</t>
  </si>
  <si>
    <t>200100797</t>
  </si>
  <si>
    <t>BEGUMGANJ, BOGRA</t>
  </si>
  <si>
    <t>051 63612</t>
  </si>
  <si>
    <t>200100889</t>
  </si>
  <si>
    <t>051 56105</t>
  </si>
  <si>
    <t>200100913</t>
  </si>
  <si>
    <t>DUPCHANCHIA, BOGRA</t>
  </si>
  <si>
    <t>051 88054</t>
  </si>
  <si>
    <t>200100971</t>
  </si>
  <si>
    <t>DURGAPUR, BOGRA</t>
  </si>
  <si>
    <t>017 13082810</t>
  </si>
  <si>
    <t>200101033</t>
  </si>
  <si>
    <t>GABTOLI, BOGRA</t>
  </si>
  <si>
    <t>051 75006</t>
  </si>
  <si>
    <t>200101062</t>
  </si>
  <si>
    <t>GANGNAGAR</t>
  </si>
  <si>
    <t>200101154</t>
  </si>
  <si>
    <t>GOHAILHAT BRANCH</t>
  </si>
  <si>
    <t>GOHAILHAT_BRANCH</t>
  </si>
  <si>
    <t>GOHAILHAT, BOGRA</t>
  </si>
  <si>
    <t>200101309</t>
  </si>
  <si>
    <t>GUZIA BRANCH</t>
  </si>
  <si>
    <t>GUZIA_BRANCH</t>
  </si>
  <si>
    <t>GUZIA, SHIBGANJ, BOGRA</t>
  </si>
  <si>
    <t>017 13082812</t>
  </si>
  <si>
    <t>200101183</t>
  </si>
  <si>
    <t>JAMADAR PUKUR HAT BRANCH</t>
  </si>
  <si>
    <t>JAMADAR_PUKUR_HAT_BRANCH</t>
  </si>
  <si>
    <t>JAMADAR PUKUR HAT, SHAHJAHANPUR, BOGRA</t>
  </si>
  <si>
    <t>017 13082809</t>
  </si>
  <si>
    <t>200101488</t>
  </si>
  <si>
    <t>JAMURHAT BRANCH</t>
  </si>
  <si>
    <t>JAMURHAT_BRANCH</t>
  </si>
  <si>
    <t>JAMPURHAT, BURIGANJ, BOGRA</t>
  </si>
  <si>
    <t>017 13082813</t>
  </si>
  <si>
    <t>200101541</t>
  </si>
  <si>
    <t>051 71130, 71131 (Ext 40)</t>
  </si>
  <si>
    <t>200101938</t>
  </si>
  <si>
    <t>MOKAMTOLA, BOGRA</t>
  </si>
  <si>
    <t>200101996</t>
  </si>
  <si>
    <t>NAMUZAHAT BRANCH</t>
  </si>
  <si>
    <t>NAMUZAHAT_BRANCH</t>
  </si>
  <si>
    <t>199 / 199</t>
  </si>
  <si>
    <t>NAMUZAHAT, BURIGANJ, BOGRA</t>
  </si>
  <si>
    <t>017 13082811</t>
  </si>
  <si>
    <t>200102029</t>
  </si>
  <si>
    <t>202 / 202</t>
  </si>
  <si>
    <t>051 76016</t>
  </si>
  <si>
    <t>200102087</t>
  </si>
  <si>
    <t>NASRATPUR, ADITMARI, BOGRA</t>
  </si>
  <si>
    <t>0741 98063</t>
  </si>
  <si>
    <t>200102179</t>
  </si>
  <si>
    <t>PALLY UNNANYAN ACEDEMY BRANCH</t>
  </si>
  <si>
    <t>PALLY_UNNANYAN_ACEDEMY_BRANCH</t>
  </si>
  <si>
    <t>PALLY UNNANYAN ACEDEMY, BOGRA</t>
  </si>
  <si>
    <t>051 75006 (Ext 02)</t>
  </si>
  <si>
    <t>200102324</t>
  </si>
  <si>
    <t>RANBAGHA BAZAR BRANCH</t>
  </si>
  <si>
    <t>RANBAGHA_BAZAR_BRANCH</t>
  </si>
  <si>
    <t>RANBAGHA BAZAR,	NANDIGRAM, BOGRA</t>
  </si>
  <si>
    <t>200102416</t>
  </si>
  <si>
    <t>241 / 241</t>
  </si>
  <si>
    <t>SANTAHAR, BOGRA</t>
  </si>
  <si>
    <t>051 55304</t>
  </si>
  <si>
    <t>200102474</t>
  </si>
  <si>
    <t>247 / 247</t>
  </si>
  <si>
    <t>051 56212</t>
  </si>
  <si>
    <t>200102658</t>
  </si>
  <si>
    <t>SHAHARPUKUR BRANCH</t>
  </si>
  <si>
    <t>SHAHARPUKUR_BRANCH</t>
  </si>
  <si>
    <t>265 / 265</t>
  </si>
  <si>
    <t>SHAHARPUKUR, BOGRA</t>
  </si>
  <si>
    <t>017 13082815</t>
  </si>
  <si>
    <t>200102687</t>
  </si>
  <si>
    <t>SHAHID ZIA MEDICAL COLLEGE BRANCH</t>
  </si>
  <si>
    <t>SHAHID_ZIA_MEDICAL_COLLEGE_BRANCH</t>
  </si>
  <si>
    <t>268 / 268</t>
  </si>
  <si>
    <t>SHAHID ZIAUR RAHMAN MEDICAL COLLEGE, BOGRA CITY BYPASS, BOGRA 5800</t>
  </si>
  <si>
    <t>051 63559</t>
  </si>
  <si>
    <t>200102740</t>
  </si>
  <si>
    <t>051 77005</t>
  </si>
  <si>
    <t>200102779</t>
  </si>
  <si>
    <t>SHERPUR ROAD BRANCH</t>
  </si>
  <si>
    <t>SHERPUR_ROAD_BRANCH</t>
  </si>
  <si>
    <t>277 / 277</t>
  </si>
  <si>
    <t>SHERPUR ROAD, BOGRA</t>
  </si>
  <si>
    <t>051 63639</t>
  </si>
  <si>
    <t>200102803</t>
  </si>
  <si>
    <t>051 71122, 71123</t>
  </si>
  <si>
    <t>200102982</t>
  </si>
  <si>
    <t>051 71124, 71125 (Ext 14)</t>
  </si>
  <si>
    <t>200101338</t>
  </si>
  <si>
    <t>SYED AHMED COLLEGE STATION BRANCH</t>
  </si>
  <si>
    <t>SYED_AHMED_COLLEGE_STATION_BRANCH</t>
  </si>
  <si>
    <t>SYED AHMED COLLEGE STATION, BOGRA</t>
  </si>
  <si>
    <t>200103073</t>
  </si>
  <si>
    <t>TALORA, BOGRA</t>
  </si>
  <si>
    <t>051 71126, 71127 (Ext 18)</t>
  </si>
  <si>
    <t>200120043</t>
  </si>
  <si>
    <t>08522 56006</t>
  </si>
  <si>
    <t>200120106</t>
  </si>
  <si>
    <t>0851 08528 (Ext 225)</t>
  </si>
  <si>
    <t>200120256</t>
  </si>
  <si>
    <t>0851 56004</t>
  </si>
  <si>
    <t>200120430</t>
  </si>
  <si>
    <t>344 COURT ROAD, BRAHMANBARIA</t>
  </si>
  <si>
    <t>0851 53811, 52131</t>
  </si>
  <si>
    <t>200120522</t>
  </si>
  <si>
    <t>CHANDPUR BAZAR BRANCH</t>
  </si>
  <si>
    <t>CHANDPUR_BAZAR_BRANCH</t>
  </si>
  <si>
    <t>CHANDPUR BAZAR, PABBACHANG, BRAHMANBARIA</t>
  </si>
  <si>
    <t>017 14070297</t>
  </si>
  <si>
    <t>200120672</t>
  </si>
  <si>
    <t>CHATALPUR BAZAR BRANCH</t>
  </si>
  <si>
    <t>CHATALPUR_BAZAR_BRANCH</t>
  </si>
  <si>
    <t>CHATALPUR BAZAR, NASIRNAGAR, BRAHMANBARIA</t>
  </si>
  <si>
    <t>017 14013194</t>
  </si>
  <si>
    <t>200120764</t>
  </si>
  <si>
    <t>FANDAUK BRANCH</t>
  </si>
  <si>
    <t>FANDAUK_BRANCH</t>
  </si>
  <si>
    <t>FANDAUK, NASIRNAGAR, BRAHMANBARIA</t>
  </si>
  <si>
    <t>017 14013193</t>
  </si>
  <si>
    <t>200120793</t>
  </si>
  <si>
    <t>GOKARNA GHAT BRANCH</t>
  </si>
  <si>
    <t>GOKARNA_GHAT_BRANCH</t>
  </si>
  <si>
    <t>GOKARNA LAUNCH GHAT, BRAHMANBARIA</t>
  </si>
  <si>
    <t>017 14013192</t>
  </si>
  <si>
    <t>200120885</t>
  </si>
  <si>
    <t>HARINBER BAZAR BRANCH</t>
  </si>
  <si>
    <t>HARINBER_BAZAR_BRANCH</t>
  </si>
  <si>
    <t>HARINBER BAZAR BRANCH, BRAHMANBARIA</t>
  </si>
  <si>
    <t>017 14013252</t>
  </si>
  <si>
    <t>200121039</t>
  </si>
  <si>
    <t>KHARERA, KASBA, BRAHMANBARIA</t>
  </si>
  <si>
    <t>0851 73029</t>
  </si>
  <si>
    <t>200121097</t>
  </si>
  <si>
    <t>0851 51015-16</t>
  </si>
  <si>
    <t>200121242</t>
  </si>
  <si>
    <t>MEDDA UPAZILLA COMPLEX BRANCH</t>
  </si>
  <si>
    <t>MEDDA_UPAZILLA_COMPLEX_BRANCH</t>
  </si>
  <si>
    <t>MEDDA UPAZILLA COMPLEX, BRAHMANBARIA</t>
  </si>
  <si>
    <t>0851 52177</t>
  </si>
  <si>
    <t>200121271</t>
  </si>
  <si>
    <t>MIRASHANI BRANCH</t>
  </si>
  <si>
    <t>MIRASHANI_BRANCH</t>
  </si>
  <si>
    <t>MIRASHANI, MIRASHAUI, BRAHMANBARIA</t>
  </si>
  <si>
    <t>017 14013191</t>
  </si>
  <si>
    <t>200121363</t>
  </si>
  <si>
    <t>0851 75205</t>
  </si>
  <si>
    <t>200121392</t>
  </si>
  <si>
    <t>NASIR NAGAR BRANCH</t>
  </si>
  <si>
    <t>NASIR_NAGAR_BRANCH</t>
  </si>
  <si>
    <t>NASIR NAGAR, BRAHMANBARIA</t>
  </si>
  <si>
    <t>0851 51003-4</t>
  </si>
  <si>
    <t>200121426</t>
  </si>
  <si>
    <t>NEW MARKET, BRAHMANBARIA</t>
  </si>
  <si>
    <t>0851 52118</t>
  </si>
  <si>
    <t>200121518</t>
  </si>
  <si>
    <t>RASULLABAD BRANCH</t>
  </si>
  <si>
    <t>RASULLABAD_BRANCH</t>
  </si>
  <si>
    <t>RASULLABAD, NABINAGAR, BRAHMANBARIA</t>
  </si>
  <si>
    <t>017 14013195</t>
  </si>
  <si>
    <t>200121547</t>
  </si>
  <si>
    <t>RUPASDI BAZAR BRANCH</t>
  </si>
  <si>
    <t>RUPASDI_BAZAR_BRANCH</t>
  </si>
  <si>
    <t>RUPASDI, BANCHARAMPUR, BRAHMANBARIA</t>
  </si>
  <si>
    <t>017 14013196</t>
  </si>
  <si>
    <t>200121600</t>
  </si>
  <si>
    <t>SARAIL, BRAHMANBARIA</t>
  </si>
  <si>
    <t>0951 51000-1</t>
  </si>
  <si>
    <t>200121789</t>
  </si>
  <si>
    <t>SHAMGRAM BRANCH</t>
  </si>
  <si>
    <t>SHAMGRAM_BRANCH</t>
  </si>
  <si>
    <t>SHAMGRAM, NABINAGAR, BRAHMANBARIA</t>
  </si>
  <si>
    <t>017 14013197</t>
  </si>
  <si>
    <t>200121813</t>
  </si>
  <si>
    <t>SINGERBIEL BRANCH</t>
  </si>
  <si>
    <t>SINGERBIEL_BRANCH</t>
  </si>
  <si>
    <t>SINGER BIL, BRAHMANBARIA</t>
  </si>
  <si>
    <t>017 14070296</t>
  </si>
  <si>
    <t>200121121</t>
  </si>
  <si>
    <t>112 / 112</t>
  </si>
  <si>
    <t>TA ROAD BRAHMANBARIA</t>
  </si>
  <si>
    <t>0851 52521</t>
  </si>
  <si>
    <t>200121934</t>
  </si>
  <si>
    <t>200130046</t>
  </si>
  <si>
    <t>ALIGANJ BRANCH</t>
  </si>
  <si>
    <t>ALIGANJ_BRANCH</t>
  </si>
  <si>
    <t>ALIGANJ, HAZIGANJ, CHANDPUR</t>
  </si>
  <si>
    <t>200130312</t>
  </si>
  <si>
    <t>CHANDPUR SADAR, CHANDPUR</t>
  </si>
  <si>
    <t>0841 63154</t>
  </si>
  <si>
    <t>200131874</t>
  </si>
  <si>
    <t>CHHANGER CHAR BRANCH</t>
  </si>
  <si>
    <t>CHHANGER_CHAR_BRANCH</t>
  </si>
  <si>
    <t>200130646</t>
  </si>
  <si>
    <t>FARAZIKANDI BRANCH</t>
  </si>
  <si>
    <t>FARAZIKANDI_BRANCH</t>
  </si>
  <si>
    <t>FARAZIKANDI, MATLAB NORTH, CHANDPUR 3630</t>
  </si>
  <si>
    <t>017 14013245</t>
  </si>
  <si>
    <t>200130675</t>
  </si>
  <si>
    <t>0841 63399, 63047 (Ext 08)</t>
  </si>
  <si>
    <t>200130767</t>
  </si>
  <si>
    <t>GAZIPUR BAZAR BRANCH</t>
  </si>
  <si>
    <t>GAZIPUR_BAZAR_BRANCH</t>
  </si>
  <si>
    <t>GAZIPUR BAZAR, FARIDGANJ, CHANDPUR</t>
  </si>
  <si>
    <t>017 14013239</t>
  </si>
  <si>
    <t>200130859</t>
  </si>
  <si>
    <t>HAIMCHAR, CHANDPUR</t>
  </si>
  <si>
    <t>0841 63044 (Ext 03)</t>
  </si>
  <si>
    <t>200130888</t>
  </si>
  <si>
    <t>HAZIGANJ, CHANDPUR</t>
  </si>
  <si>
    <t>0841 08424 (Ext 227)</t>
  </si>
  <si>
    <t>200130912</t>
  </si>
  <si>
    <t>08425 56049</t>
  </si>
  <si>
    <t>200131061</t>
  </si>
  <si>
    <t>KHILA BAZAR, SHAHRASTI, CHANDPUR</t>
  </si>
  <si>
    <t>017 14013243</t>
  </si>
  <si>
    <t>200131245</t>
  </si>
  <si>
    <t>MATLABGANJ BRANCH</t>
  </si>
  <si>
    <t>MATLABGANJ_BRANCH</t>
  </si>
  <si>
    <t>MATLABGANJ, MATLAB BAZAR, CHANDPUR</t>
  </si>
  <si>
    <t>08426 56010</t>
  </si>
  <si>
    <t>200131366</t>
  </si>
  <si>
    <t>NABIPUR BRANCH</t>
  </si>
  <si>
    <t>NABIPUR_BRANCH</t>
  </si>
  <si>
    <t>NABIPUR, BAGANBARI, MATLAB, CHANDPUR</t>
  </si>
  <si>
    <t>017 14013248</t>
  </si>
  <si>
    <t>200131090</t>
  </si>
  <si>
    <t>NATUN BAZAR,	CHANDPUR</t>
  </si>
  <si>
    <t>0841 63127</t>
  </si>
  <si>
    <t>200131429</t>
  </si>
  <si>
    <t>NAWRA BRANCH</t>
  </si>
  <si>
    <t>NAWRA_BRANCH</t>
  </si>
  <si>
    <t>NAWRA, SHAHRASTI, CHANDPUR</t>
  </si>
  <si>
    <t>200131661</t>
  </si>
  <si>
    <t>166 / 166</t>
  </si>
  <si>
    <t>PURAN BAZAR, CHANDPUR</t>
  </si>
  <si>
    <t>0841 65452</t>
  </si>
  <si>
    <t>200131690</t>
  </si>
  <si>
    <t>RAHIMA NAGAR BRANCH</t>
  </si>
  <si>
    <t>RAHIMA_NAGAR_BRANCH</t>
  </si>
  <si>
    <t>RAHIMA NAGAR, KACHUA, CHANDPUR</t>
  </si>
  <si>
    <t>08425 56106</t>
  </si>
  <si>
    <t>200131816</t>
  </si>
  <si>
    <t>017 14013238</t>
  </si>
  <si>
    <t>200131995</t>
  </si>
  <si>
    <t>SHAHRASTI, CHANDPUR</t>
  </si>
  <si>
    <t>08427 56004</t>
  </si>
  <si>
    <t>200132028</t>
  </si>
  <si>
    <t>SOLOGHAR BRANCH</t>
  </si>
  <si>
    <t>SOLOGHAR_BRANCH</t>
  </si>
  <si>
    <t>SOLOGHAR, BABURHAT, CHANDPUR</t>
  </si>
  <si>
    <t>0841 63452</t>
  </si>
  <si>
    <t>200132149</t>
  </si>
  <si>
    <t>WARUK BAZAR BRANCH</t>
  </si>
  <si>
    <t>WARUK_BAZAR_BRANCH</t>
  </si>
  <si>
    <t>WARUK BAZAR, SHAHRASTI, CHANDPUR</t>
  </si>
  <si>
    <t>017 14013244</t>
  </si>
  <si>
    <t>200700168</t>
  </si>
  <si>
    <t>0781 55255, 55130</t>
  </si>
  <si>
    <t>200700250</t>
  </si>
  <si>
    <t>0781 55510</t>
  </si>
  <si>
    <t>200700463</t>
  </si>
  <si>
    <t>GOMASTAPUR BRANCH</t>
  </si>
  <si>
    <t>GOMASTAPUR_BRANCH</t>
  </si>
  <si>
    <t>GOMASTAPUR, CHAPAI NAWABGANJ</t>
  </si>
  <si>
    <t>017 14049356</t>
  </si>
  <si>
    <t>200700739</t>
  </si>
  <si>
    <t>NACHOL, CHAPAI NAWABGANJ</t>
  </si>
  <si>
    <t>0781 55114</t>
  </si>
  <si>
    <t>200700584</t>
  </si>
  <si>
    <t>NEW MARKET, CHAPAI NAWABGANJ</t>
  </si>
  <si>
    <t>0781 55276</t>
  </si>
  <si>
    <t>200700889</t>
  </si>
  <si>
    <t>RAHANPUR, GOMASTAPUR, CHAPAI NAWABGANJ</t>
  </si>
  <si>
    <t>0781 74065</t>
  </si>
  <si>
    <t>200700942</t>
  </si>
  <si>
    <t>SHIBGANJ, CHAPAI NAWABGANJ</t>
  </si>
  <si>
    <t>0781 75005</t>
  </si>
  <si>
    <t>200701062</t>
  </si>
  <si>
    <t>SONA MASJID, SHIBGANJ, CHAPAI NAWABGANJ</t>
  </si>
  <si>
    <t>017 14049355</t>
  </si>
  <si>
    <t>200150163</t>
  </si>
  <si>
    <t>BSONBDDHAGR</t>
  </si>
  <si>
    <t>SHEIK MUJIB ROAD, CHITTAGONG</t>
  </si>
  <si>
    <t>031 724446, 716360, 721314</t>
  </si>
  <si>
    <t>200150347</t>
  </si>
  <si>
    <t>AMIN JUTE MILLS BRANCH</t>
  </si>
  <si>
    <t>AMIN_JUTE_MILLS_BRANCH</t>
  </si>
  <si>
    <t>AMIN JUTE MILLS, SHOLASHAHAR, CHITTAGONG</t>
  </si>
  <si>
    <t>031 682083</t>
  </si>
  <si>
    <t>200150521</t>
  </si>
  <si>
    <t>031 630206 (Ext 3)</t>
  </si>
  <si>
    <t>200150589</t>
  </si>
  <si>
    <t>ASADGANJ ROAD, CHITTAGONG</t>
  </si>
  <si>
    <t>031 611607</t>
  </si>
  <si>
    <t>200150792</t>
  </si>
  <si>
    <t>BAHADDARHAT, CHITTAGONG</t>
  </si>
  <si>
    <t>031 670684</t>
  </si>
  <si>
    <t>200150976</t>
  </si>
  <si>
    <t>BANSKHALI BRANCH</t>
  </si>
  <si>
    <t>BANSKHALI_BRANCH</t>
  </si>
  <si>
    <t>BANSKHALI, PAITYA, CHITTAGONG</t>
  </si>
  <si>
    <t>031 630501 (Ext 16)</t>
  </si>
  <si>
    <t>200151009</t>
  </si>
  <si>
    <t>BANUR BAZAR BRANCH</t>
  </si>
  <si>
    <t>BANUR_BAZAR_BRANCH</t>
  </si>
  <si>
    <t>BANUR BAZAR, SITAKUNDA, CHITTAGONG</t>
  </si>
  <si>
    <t>031 2780290</t>
  </si>
  <si>
    <t>200151212</t>
  </si>
  <si>
    <t>BHATIARI BRANCH</t>
  </si>
  <si>
    <t>BHATIARI_BRANCH</t>
  </si>
  <si>
    <t>BHATIARI BMA, SITAKUNDA, CHITTAGONG</t>
  </si>
  <si>
    <t>031 278040-4, 017 30095527</t>
  </si>
  <si>
    <t>200151304</t>
  </si>
  <si>
    <t>200151546</t>
  </si>
  <si>
    <t>CDA MARKET BRANCH</t>
  </si>
  <si>
    <t>CDA_MARKET_BRANCH</t>
  </si>
  <si>
    <t>CDA MARKET, PAHARTOLI, CHITTAGONG</t>
  </si>
  <si>
    <t>031 751910, 018 18816465</t>
  </si>
  <si>
    <t>200154480</t>
  </si>
  <si>
    <t>CDA_R</t>
  </si>
  <si>
    <t>200151759</t>
  </si>
  <si>
    <t>CHAKTAI, CHITTAGONG 4000</t>
  </si>
  <si>
    <t>031 620675</t>
  </si>
  <si>
    <t>200151812</t>
  </si>
  <si>
    <t>CHANDNAISH BRANCH</t>
  </si>
  <si>
    <t>CHANDNAISH_BRANCH</t>
  </si>
  <si>
    <t>CHANDNAISH, CHITTAGONG</t>
  </si>
  <si>
    <t>031 637148 (Ext 30)</t>
  </si>
  <si>
    <t>200151933</t>
  </si>
  <si>
    <t>031 611247</t>
  </si>
  <si>
    <t>200151991</t>
  </si>
  <si>
    <t>CHITTAGONG CANTONMENT, CHITTAGONG</t>
  </si>
  <si>
    <t>031 682187</t>
  </si>
  <si>
    <t>200152024</t>
  </si>
  <si>
    <t>CHITTAGONG MEDICAL COLLEGE, CHITTAGONG</t>
  </si>
  <si>
    <t>031 653495</t>
  </si>
  <si>
    <t>200155650</t>
  </si>
  <si>
    <t>565 / 565</t>
  </si>
  <si>
    <t>NEW MARKET, KOTWALI, CHITTAGONG</t>
  </si>
  <si>
    <t>031 634527</t>
  </si>
  <si>
    <t>200152358</t>
  </si>
  <si>
    <t>COURT HILL BRANCH</t>
  </si>
  <si>
    <t>COURT_HILL_BRANCH</t>
  </si>
  <si>
    <t>COURT HILL, CHITTAGONG</t>
  </si>
  <si>
    <t>031 611491</t>
  </si>
  <si>
    <t>200151609</t>
  </si>
  <si>
    <t>CUET BRANCH</t>
  </si>
  <si>
    <t>CUET_BRANCH</t>
  </si>
  <si>
    <t>CUET, RANGUNIA, CHITTAGONG</t>
  </si>
  <si>
    <t>031 714920-22, 017 30095529</t>
  </si>
  <si>
    <t>200152387</t>
  </si>
  <si>
    <t>CUSTOM HOUSE BRANCH</t>
  </si>
  <si>
    <t>CUSTOM_HOUSE_BRANCH</t>
  </si>
  <si>
    <t>238 / 238</t>
  </si>
  <si>
    <t>CUSTOM HOUSE, BANDAR, CHITTAGONG</t>
  </si>
  <si>
    <t>031 721517, 723831, 018 19331775</t>
  </si>
  <si>
    <t>200152561</t>
  </si>
  <si>
    <t>DOHAZARI, CHITTAGONG</t>
  </si>
  <si>
    <t>200152745</t>
  </si>
  <si>
    <t>031 630389 (Ext 8)</t>
  </si>
  <si>
    <t>200153199</t>
  </si>
  <si>
    <t>HALISHAHAR HOUSING ESTATE BRANCH</t>
  </si>
  <si>
    <t>HALISHAHAR_HOUSING_ESTATE_BRANCH</t>
  </si>
  <si>
    <t>BLOCK H, HALISHAHAR, CHITTAGONG</t>
  </si>
  <si>
    <t>031 712496, 017 30303452</t>
  </si>
  <si>
    <t>200153223</t>
  </si>
  <si>
    <t>031 620126 (Ext 37)</t>
  </si>
  <si>
    <t>200153586</t>
  </si>
  <si>
    <t>JAMALKHAN ROAD BRANCH</t>
  </si>
  <si>
    <t>JAMALKHAN_ROAD_BRANCH</t>
  </si>
  <si>
    <t>JAMALKHAN ROAD,	CHITTAGONG</t>
  </si>
  <si>
    <t>031 615490</t>
  </si>
  <si>
    <t>200153760</t>
  </si>
  <si>
    <t>KAGATIAHAT BRANCH</t>
  </si>
  <si>
    <t>KAGATIAHAT_BRANCH</t>
  </si>
  <si>
    <t>376 / 376</t>
  </si>
  <si>
    <t>KAGATIA, RAOZAN, CHITTAGONG</t>
  </si>
  <si>
    <t>018 19316162</t>
  </si>
  <si>
    <t>200153799</t>
  </si>
  <si>
    <t>KALARPUL BRANCH</t>
  </si>
  <si>
    <t>KALARPUL_BRANCH</t>
  </si>
  <si>
    <t>KALARPUL, ANWARA, CHITTAGONG</t>
  </si>
  <si>
    <t>200153823</t>
  </si>
  <si>
    <t>KALIBARI BRANCH</t>
  </si>
  <si>
    <t>KALIBARI_BRANCH</t>
  </si>
  <si>
    <t>44 NEW KALIBARI, KOTWALI, CHITTAGONG</t>
  </si>
  <si>
    <t>031 637360, 011 91260685</t>
  </si>
  <si>
    <t>200153881</t>
  </si>
  <si>
    <t>KALUMUNSHIR HAT BRANCH</t>
  </si>
  <si>
    <t>KALUMUNSHIR_HAT_BRANCH</t>
  </si>
  <si>
    <t>388 / 388</t>
  </si>
  <si>
    <t>KALUMUNSHIR HAT, CHITTAGONG 4100</t>
  </si>
  <si>
    <t>031 637156, 620129</t>
  </si>
  <si>
    <t>200153944</t>
  </si>
  <si>
    <t>KALURGHAT INDUSTRIAL ESTATE, CHITTAGONG</t>
  </si>
  <si>
    <t>031 670342</t>
  </si>
  <si>
    <t>200154219</t>
  </si>
  <si>
    <t>KHANBAHADUR BAZAR BRANCH</t>
  </si>
  <si>
    <t>KHANBAHADUR_BAZAR_BRANCH</t>
  </si>
  <si>
    <t>421 / 421</t>
  </si>
  <si>
    <t>KHANBAHADUR BAZAR, BANSKHALI, CHITTAGONG</t>
  </si>
  <si>
    <t>031 635066 (Ext 6)</t>
  </si>
  <si>
    <t>200154277</t>
  </si>
  <si>
    <t>BSONBDDHKHA</t>
  </si>
  <si>
    <t>KHATUNGANJ, CHITTAGONG</t>
  </si>
  <si>
    <t>031 618299</t>
  </si>
  <si>
    <t>200154398</t>
  </si>
  <si>
    <t>KORBANIGANJ, KOTWALI, CHITTAGONG</t>
  </si>
  <si>
    <t>031 611580</t>
  </si>
  <si>
    <t>200153702</t>
  </si>
  <si>
    <t>LALDIGHI BRANCH</t>
  </si>
  <si>
    <t>LALDIGHI_BRANCH</t>
  </si>
  <si>
    <t>LALDIGHI, CHITTAGONG</t>
  </si>
  <si>
    <t>031 634692, 637242, 634692</t>
  </si>
  <si>
    <t>200154664</t>
  </si>
  <si>
    <t>031 630720 (Ext 57)</t>
  </si>
  <si>
    <t>200154819</t>
  </si>
  <si>
    <t>MAJIRGHAT BRANCH</t>
  </si>
  <si>
    <t>MAJIRGHAT_BRANCH</t>
  </si>
  <si>
    <t>STRAND ROAD, MAJIRGHAT, CHITTAGONG</t>
  </si>
  <si>
    <t>031 724470, 018 17401494</t>
  </si>
  <si>
    <t>200154848</t>
  </si>
  <si>
    <t>MARIAM NAGAR BRANCH</t>
  </si>
  <si>
    <t>MARIAM_NAGAR_BRANCH</t>
  </si>
  <si>
    <t>484 / 484</t>
  </si>
  <si>
    <t>MARIAM NAGAR, RANGUNIA, CHITTAGONG</t>
  </si>
  <si>
    <t>017 14082320</t>
  </si>
  <si>
    <t>200154877</t>
  </si>
  <si>
    <t>MARINE ACADEMY BRANCH</t>
  </si>
  <si>
    <t>MARINE_ACADEMY_BRANCH</t>
  </si>
  <si>
    <t>MARINE ACADEMY, KARNAPHULI, CHITTAGONG</t>
  </si>
  <si>
    <t>031 2514161, 017 30095530</t>
  </si>
  <si>
    <t>200155050</t>
  </si>
  <si>
    <t>505 / 505</t>
  </si>
  <si>
    <t>03024 56009, 018 17713825</t>
  </si>
  <si>
    <t>200155113</t>
  </si>
  <si>
    <t>MITHAGOLI BRANCH</t>
  </si>
  <si>
    <t>MITHAGOLI_BRANCH</t>
  </si>
  <si>
    <t>511 / 511</t>
  </si>
  <si>
    <t>MITHAGOLI, DEWANHAT, CHITTAGONG</t>
  </si>
  <si>
    <t>031 716176</t>
  </si>
  <si>
    <t>200155292</t>
  </si>
  <si>
    <t>529 / 529</t>
  </si>
  <si>
    <t>MOULVIBAZAR, CHANDANISH, CHITTAGONG</t>
  </si>
  <si>
    <t>200152682</t>
  </si>
  <si>
    <t>018 19316017</t>
  </si>
  <si>
    <t>200155384</t>
  </si>
  <si>
    <t>NA CHOWDHURY ROAD BRANCH</t>
  </si>
  <si>
    <t>NA_CHOWDHURY_ROAD_BRANCH</t>
  </si>
  <si>
    <t>538 / 538</t>
  </si>
  <si>
    <t>NAZIR AHMED CHOWDHURY ROAD, CHITTAGONG</t>
  </si>
  <si>
    <t>031 618943</t>
  </si>
  <si>
    <t>200155689</t>
  </si>
  <si>
    <t>NIZAMPUR BRANCH</t>
  </si>
  <si>
    <t>NIZAMPUR_BRANCH</t>
  </si>
  <si>
    <t>568 / 568</t>
  </si>
  <si>
    <t>NIZAMPUR, MIRSARAI, CHITTAGONG</t>
  </si>
  <si>
    <t>017 14082226, 011 90164454</t>
  </si>
  <si>
    <t>200155984</t>
  </si>
  <si>
    <t>598 / 598</t>
  </si>
  <si>
    <t>PAHARTOLI MAIN ROAD, CHITTAGONG</t>
  </si>
  <si>
    <t>031 751838, 018 18092206</t>
  </si>
  <si>
    <t>200156046</t>
  </si>
  <si>
    <t>PANCHLAISH, KOTWALI, CHITTAGONG</t>
  </si>
  <si>
    <t>031 654418</t>
  </si>
  <si>
    <t>200156167</t>
  </si>
  <si>
    <t>616 / 616</t>
  </si>
  <si>
    <t>PAMRA AREA, PATIYA, CHITTAGONG</t>
  </si>
  <si>
    <t>200156220</t>
  </si>
  <si>
    <t>622 / 622</t>
  </si>
  <si>
    <t>BANDAR BHABAN, CHITTAGONG</t>
  </si>
  <si>
    <t>031 712999</t>
  </si>
  <si>
    <t>200156370</t>
  </si>
  <si>
    <t>RAILWAY BUILDING BRANCH</t>
  </si>
  <si>
    <t>RAILWAY_BUILDING_BRANCH</t>
  </si>
  <si>
    <t>637 / 637</t>
  </si>
  <si>
    <t>RAILWAY BUILDING, KOTWALI, CHITTAGONG</t>
  </si>
  <si>
    <t>200156554</t>
  </si>
  <si>
    <t>RAJARHAT, RANGUNIA, CHITTAGONG</t>
  </si>
  <si>
    <t>017 14082225</t>
  </si>
  <si>
    <t>200156404</t>
  </si>
  <si>
    <t>640 / 640</t>
  </si>
  <si>
    <t>03025 56022, 018 16900466</t>
  </si>
  <si>
    <t>200156491</t>
  </si>
  <si>
    <t>031 637522, 630970</t>
  </si>
  <si>
    <t>200156583</t>
  </si>
  <si>
    <t>RAWSHANHAT BRANCH</t>
  </si>
  <si>
    <t>RAWSHANHAT_BRANCH</t>
  </si>
  <si>
    <t>658 / 658</t>
  </si>
  <si>
    <t>RAWSHANHAT, CHANDNAISH, CHITTAGONG</t>
  </si>
  <si>
    <t>200156525</t>
  </si>
  <si>
    <t>652 / 652</t>
  </si>
  <si>
    <t>REAZUDDIN SIDDIQUE ROAD, CHITTAGONG</t>
  </si>
  <si>
    <t>031 612777, 017 12989695</t>
  </si>
  <si>
    <t>200156675</t>
  </si>
  <si>
    <t>RUSTAMHAT BRANCH</t>
  </si>
  <si>
    <t>RUSTAMHAT_BRANCH</t>
  </si>
  <si>
    <t>667 / 667</t>
  </si>
  <si>
    <t>RUSTAMHAT, SATKANIA, CHITTAGONG</t>
  </si>
  <si>
    <t>017 14085255</t>
  </si>
  <si>
    <t>200156738</t>
  </si>
  <si>
    <t>673 / 673</t>
  </si>
  <si>
    <t>SADARGHAT ROAD, KOTWALI, CHITTAGONG</t>
  </si>
  <si>
    <t>031 637886, 018 19640540</t>
  </si>
  <si>
    <t>200156912</t>
  </si>
  <si>
    <t>691 / 691</t>
  </si>
  <si>
    <t>UPAZILL COMPLEX, SANDWIP, CHITTAGONG</t>
  </si>
  <si>
    <t>017 14082227, 011 99704143</t>
  </si>
  <si>
    <t>200155418</t>
  </si>
  <si>
    <t>541 / 541</t>
  </si>
  <si>
    <t>SARKERHAT, HATHAZARI, CHITTAGONG</t>
  </si>
  <si>
    <t>011 99762134</t>
  </si>
  <si>
    <t>200157061</t>
  </si>
  <si>
    <t>706 / 706</t>
  </si>
  <si>
    <t>200157124</t>
  </si>
  <si>
    <t>SHAH AMANAT AIRPORT BRANCH</t>
  </si>
  <si>
    <t>SHAH_AMANAT_AIRPORT_BRANCH</t>
  </si>
  <si>
    <t>712 / 712</t>
  </si>
  <si>
    <t>SHAH AMANAT (R) INTERNATIONAL AIRPORT, PATENGA, CHITTAGONG</t>
  </si>
  <si>
    <t>031 2500646, 017 13108897</t>
  </si>
  <si>
    <t>200157366</t>
  </si>
  <si>
    <t>736 / 736</t>
  </si>
  <si>
    <t>SIRAJUDDOWLA ROAD, KOTWALI, CHITTAGONG</t>
  </si>
  <si>
    <t>031 614799</t>
  </si>
  <si>
    <t>200157395</t>
  </si>
  <si>
    <t>03028 56115, 017 15606546</t>
  </si>
  <si>
    <t>200155205</t>
  </si>
  <si>
    <t>TAKIRHAT BRANCH</t>
  </si>
  <si>
    <t>TAKIRHAT_BRANCH</t>
  </si>
  <si>
    <t>520 / 520</t>
  </si>
  <si>
    <t>FATEHPUR, FATIKCHARI, CHITTAGONG</t>
  </si>
  <si>
    <t>200157632</t>
  </si>
  <si>
    <t>TERRIBAZAR BRANCH</t>
  </si>
  <si>
    <t>TERRIBAZAR_BRANCH</t>
  </si>
  <si>
    <t>763 / 763</t>
  </si>
  <si>
    <t>TERRIBAZAR, CHITTAGONG</t>
  </si>
  <si>
    <t>031 632719</t>
  </si>
  <si>
    <t>200152116</t>
  </si>
  <si>
    <t>UREA FERTILIZER LIMITED BRANCH</t>
  </si>
  <si>
    <t>UREA_FERTILIZER_LIMITED_BRANCH</t>
  </si>
  <si>
    <t>211 / 211</t>
  </si>
  <si>
    <t>UREA FERTILIZER FACTORY, KARNAPHULI, CHITTAGONG</t>
  </si>
  <si>
    <t>031 622301-4, 017 30095528</t>
  </si>
  <si>
    <t>200151270</t>
  </si>
  <si>
    <t>UTTAR PATENGA</t>
  </si>
  <si>
    <t>UTTAR_PATENGA</t>
  </si>
  <si>
    <t>200157690</t>
  </si>
  <si>
    <t>WAGE EARNERS BRANCH</t>
  </si>
  <si>
    <t>WAGE_EARNERS_BRANCH</t>
  </si>
  <si>
    <t>769 / 769</t>
  </si>
  <si>
    <t>DHANIALA PARA, DOUBLEMOORING, CHITTAGONG</t>
  </si>
  <si>
    <t>031 714291, 713405, 713408</t>
  </si>
  <si>
    <t>200180041</t>
  </si>
  <si>
    <t>200180191</t>
  </si>
  <si>
    <t>BARA BAZAR, CHUADANGA</t>
  </si>
  <si>
    <t>0761 63129, 62408</t>
  </si>
  <si>
    <t>200180283</t>
  </si>
  <si>
    <t>DINGIADAH, DAMURHUDA, CHUADANGA</t>
  </si>
  <si>
    <t>0761 62241 (Ext 6)</t>
  </si>
  <si>
    <t>200180317</t>
  </si>
  <si>
    <t>DARSHANA, DAMURHUDA, CHUADANGA</t>
  </si>
  <si>
    <t>0761 89004 (Ext 22)</t>
  </si>
  <si>
    <t>200180346</t>
  </si>
  <si>
    <t>DINGIADAH BRANCH</t>
  </si>
  <si>
    <t>DINGIADAH_BRANCH</t>
  </si>
  <si>
    <t>0761 62831</t>
  </si>
  <si>
    <t>200180409</t>
  </si>
  <si>
    <t>GAKULKHALI BRANCH</t>
  </si>
  <si>
    <t>GAKULKHALI_BRANCH</t>
  </si>
  <si>
    <t>GAKULKHALI, ALAMDANGA, CHUADANGA</t>
  </si>
  <si>
    <t>0761 89031 (Ext 3)</t>
  </si>
  <si>
    <t>200180496</t>
  </si>
  <si>
    <t>HATBOALIA BRANCH</t>
  </si>
  <si>
    <t>HATBOALIA_BRANCH</t>
  </si>
  <si>
    <t>HATBOALIA, ALAMDANGA, CHUADANGA</t>
  </si>
  <si>
    <t>017 14070633</t>
  </si>
  <si>
    <t>200180588</t>
  </si>
  <si>
    <t>JIBAN NAGAR BRANCH</t>
  </si>
  <si>
    <t>JIBAN_NAGAR_BRANCH</t>
  </si>
  <si>
    <t>JIBAN NAGAR, CHUADANGA</t>
  </si>
  <si>
    <t>0761 75025</t>
  </si>
  <si>
    <t>200180762</t>
  </si>
  <si>
    <t>MUNSHIGANJ, ALAMDANGA, CHUADANGA</t>
  </si>
  <si>
    <t>0761 64210</t>
  </si>
  <si>
    <t>200180854</t>
  </si>
  <si>
    <t>SARAJGANJ BAZAR BRANCH</t>
  </si>
  <si>
    <t>SARAJGANJ_BAZAR_BRANCH</t>
  </si>
  <si>
    <t>SARAJGANJ BAZAR, CHUADANGA</t>
  </si>
  <si>
    <t>0761 89031</t>
  </si>
  <si>
    <t>200180883</t>
  </si>
  <si>
    <t>UTHLI, JIBAN NAGAR, CHUADANGA</t>
  </si>
  <si>
    <t>017 14070632</t>
  </si>
  <si>
    <t>200190073</t>
  </si>
  <si>
    <t>ADDABAZAR BRANCH</t>
  </si>
  <si>
    <t>ADDABAZAR_BRANCH</t>
  </si>
  <si>
    <t>ADDABAZAR, BARURA, COMILLA</t>
  </si>
  <si>
    <t>017 14034623</t>
  </si>
  <si>
    <t>200190499</t>
  </si>
  <si>
    <t>081 76378</t>
  </si>
  <si>
    <t>200190615</t>
  </si>
  <si>
    <t>BHARASAR BAZAR BRANCH</t>
  </si>
  <si>
    <t>BHARASAR_BAZAR_BRANCH</t>
  </si>
  <si>
    <t>BHARASAR BAZAR, BURICHANG, COMILLA</t>
  </si>
  <si>
    <t>081 76399</t>
  </si>
  <si>
    <t>200190673</t>
  </si>
  <si>
    <t>BISE BRANCH</t>
  </si>
  <si>
    <t>BISE_BRANCH</t>
  </si>
  <si>
    <t>BOARD OF INTERMEDIATE AND SECONDARY EDUCATION, COMILLA</t>
  </si>
  <si>
    <t>081 76503</t>
  </si>
  <si>
    <t>200190765</t>
  </si>
  <si>
    <t>081 77307</t>
  </si>
  <si>
    <t>200190828</t>
  </si>
  <si>
    <t>BURICHANG, COMILLA</t>
  </si>
  <si>
    <t>081 77306</t>
  </si>
  <si>
    <t>200190886</t>
  </si>
  <si>
    <t>08020 56104</t>
  </si>
  <si>
    <t>200191069</t>
  </si>
  <si>
    <t>CHAUDDAGRAM, COMILLA</t>
  </si>
  <si>
    <t>200191272</t>
  </si>
  <si>
    <t>KOTWALI, COMILLA</t>
  </si>
  <si>
    <t>081 76288, 76362</t>
  </si>
  <si>
    <t>200191214</t>
  </si>
  <si>
    <t>CANTONMENT BOARD, COMILLA</t>
  </si>
  <si>
    <t>081 76253</t>
  </si>
  <si>
    <t>200193733</t>
  </si>
  <si>
    <t>COMPANIGANJ BAZAR BRANCH</t>
  </si>
  <si>
    <t>COMPANIGANJ_BAZAR_BRANCH</t>
  </si>
  <si>
    <t>373 / 373</t>
  </si>
  <si>
    <t>COMPANIGANJ BAZAR, DEBIDAR, COMILLA</t>
  </si>
  <si>
    <t>017 11375781</t>
  </si>
  <si>
    <t>200191456</t>
  </si>
  <si>
    <t>COURT BUILDING, KOTWALI, COMILLA</t>
  </si>
  <si>
    <t>081 76829</t>
  </si>
  <si>
    <t>200191519</t>
  </si>
  <si>
    <t>081 55414</t>
  </si>
  <si>
    <t>200191548</t>
  </si>
  <si>
    <t>081 77323, 017 11114346</t>
  </si>
  <si>
    <t>200191601</t>
  </si>
  <si>
    <t>081 69551</t>
  </si>
  <si>
    <t>200191906</t>
  </si>
  <si>
    <t>ELIATGANJ BRANCH</t>
  </si>
  <si>
    <t>ELIATGANJ_BRANCH</t>
  </si>
  <si>
    <t>EILAT GANJ, DAUDKANDI, COMILLA</t>
  </si>
  <si>
    <t>017 11434614</t>
  </si>
  <si>
    <t>200192118</t>
  </si>
  <si>
    <t>GOURIPUR, DAUDKANDI, COMILLA 3517</t>
  </si>
  <si>
    <t>08023 55439</t>
  </si>
  <si>
    <t>200192239</t>
  </si>
  <si>
    <t>HOMNA, COMILLA</t>
  </si>
  <si>
    <t>081 77302</t>
  </si>
  <si>
    <t>200192534</t>
  </si>
  <si>
    <t>KANGSHA NAGAR BRANCH</t>
  </si>
  <si>
    <t>KANGSHA_NAGAR_BRANCH</t>
  </si>
  <si>
    <t>KANGSHA NAGAR, BURICHANG, COMILLA</t>
  </si>
  <si>
    <t>017 11434622</t>
  </si>
  <si>
    <t>200192655</t>
  </si>
  <si>
    <t>KOTBARI BRANCH</t>
  </si>
  <si>
    <t>KOTBARI_BRANCH</t>
  </si>
  <si>
    <t>KOTBARI, COMILLA</t>
  </si>
  <si>
    <t>081 76087</t>
  </si>
  <si>
    <t>200192868</t>
  </si>
  <si>
    <t>MANIKARCHAR</t>
  </si>
  <si>
    <t>200193041</t>
  </si>
  <si>
    <t>304 / 304</t>
  </si>
  <si>
    <t>017 30338898</t>
  </si>
  <si>
    <t>200193162</t>
  </si>
  <si>
    <t>08026 56115</t>
  </si>
  <si>
    <t>200193254</t>
  </si>
  <si>
    <t>325 / 325</t>
  </si>
  <si>
    <t>HARIPUR, NANGALKOT, COMILLA</t>
  </si>
  <si>
    <t>081 77319, 77309</t>
  </si>
  <si>
    <t>200193375</t>
  </si>
  <si>
    <t>NOYABAZAR BRANCH</t>
  </si>
  <si>
    <t>NOYABAZAR_BRANCH</t>
  </si>
  <si>
    <t>337 / 337</t>
  </si>
  <si>
    <t>NOYABAZAR, CHAUDDAGRAM, COMILLA</t>
  </si>
  <si>
    <t>017 11963436</t>
  </si>
  <si>
    <t>200193438</t>
  </si>
  <si>
    <t>PARAMTOLA BRANCH</t>
  </si>
  <si>
    <t>PARAMTOLA_BRANCH</t>
  </si>
  <si>
    <t>343 / 343</t>
  </si>
  <si>
    <t>PARAMTOLA, MURADNAGAR, COMILLA</t>
  </si>
  <si>
    <t>018 19240222</t>
  </si>
  <si>
    <t>200193467</t>
  </si>
  <si>
    <t>PAYALGACHA BRANCH</t>
  </si>
  <si>
    <t>PAYALGACHA_BRANCH</t>
  </si>
  <si>
    <t>346 / 346</t>
  </si>
  <si>
    <t>PAYALGACHA, BARURA, COMILLA</t>
  </si>
  <si>
    <t>011 99809863</t>
  </si>
  <si>
    <t>200193559</t>
  </si>
  <si>
    <t>RAIPUR, DAUDKANDI, COMILLA</t>
  </si>
  <si>
    <t>011 99807991</t>
  </si>
  <si>
    <t>200193704</t>
  </si>
  <si>
    <t>RAM MOHAN BAZAR BRANCH</t>
  </si>
  <si>
    <t>RAM_MOHAN_BAZAR_BRANCH</t>
  </si>
  <si>
    <t>RAM MOHAN BAZAR, BARURA, COMILLA</t>
  </si>
  <si>
    <t>017 11720917</t>
  </si>
  <si>
    <t>200191335</t>
  </si>
  <si>
    <t>SADAR DAKKHIN BRANCH</t>
  </si>
  <si>
    <t>SADAR_DAKKHIN_BRANCH</t>
  </si>
  <si>
    <t>SADAR DAKKHIN, COMILLA</t>
  </si>
  <si>
    <t>081 71409</t>
  </si>
  <si>
    <t>200193975</t>
  </si>
  <si>
    <t>SHREEKAIL BRANCH</t>
  </si>
  <si>
    <t>SHREEKAIL_BRANCH</t>
  </si>
  <si>
    <t>SHREEKAIL, MURADNAGAR, COMILLA</t>
  </si>
  <si>
    <t>017 11381182</t>
  </si>
  <si>
    <t>200194008</t>
  </si>
  <si>
    <t>400 / 400</t>
  </si>
  <si>
    <t>STATION ROAD, DHARMAPUR, COMILLA</t>
  </si>
  <si>
    <t>081 76479</t>
  </si>
  <si>
    <t>200194037</t>
  </si>
  <si>
    <t>SUAGAZI BRANCH</t>
  </si>
  <si>
    <t>SUAGAZI_BRANCH</t>
  </si>
  <si>
    <t>SUAGAZI, COMILLA</t>
  </si>
  <si>
    <t>081 76379</t>
  </si>
  <si>
    <t>200190181</t>
  </si>
  <si>
    <t>TITAS BRANCH</t>
  </si>
  <si>
    <t>TITAS_BRANCH</t>
  </si>
  <si>
    <t>KARIKANDI, TITAS, COMILLA</t>
  </si>
  <si>
    <t>017 87652853</t>
  </si>
  <si>
    <t>200194187</t>
  </si>
  <si>
    <t>WAPDA BUILDING BRANCH</t>
  </si>
  <si>
    <t>WAPDA_BUILDING_BRANCH</t>
  </si>
  <si>
    <t>WAPDA BUILDING, KOTWALI, COMILLA</t>
  </si>
  <si>
    <t>081 76095</t>
  </si>
  <si>
    <t>200220048</t>
  </si>
  <si>
    <t>BADARKHALI</t>
  </si>
  <si>
    <t>200220169</t>
  </si>
  <si>
    <t>200220251</t>
  </si>
  <si>
    <t>200220372</t>
  </si>
  <si>
    <t>200220677</t>
  </si>
  <si>
    <t>200220769</t>
  </si>
  <si>
    <t>MOHESHKHALI</t>
  </si>
  <si>
    <t>200220851</t>
  </si>
  <si>
    <t>200220914</t>
  </si>
  <si>
    <t>200220943</t>
  </si>
  <si>
    <t>200260040</t>
  </si>
  <si>
    <t>AGARGAON BRANCH</t>
  </si>
  <si>
    <t>AGARGAON_BRANCH</t>
  </si>
  <si>
    <t>BKS BOARD CAMPUS, AGARGAON, DHAKA</t>
  </si>
  <si>
    <t>02 8113170</t>
  </si>
  <si>
    <t>200270164</t>
  </si>
  <si>
    <t>AGLA BRANCH</t>
  </si>
  <si>
    <t>AGLA_BRANCH</t>
  </si>
  <si>
    <t>NAWABGANJ, DHAKA</t>
  </si>
  <si>
    <t>200270193</t>
  </si>
  <si>
    <t>AGRANI BALIKA BIDDALAYA BRANCH</t>
  </si>
  <si>
    <t>AGRANI_BALIKA_BIDDALAYA_BRANCH</t>
  </si>
  <si>
    <t>AGRANI BALIKA BIDDALAYA, LALBAG, DHAKA</t>
  </si>
  <si>
    <t>02 8616400</t>
  </si>
  <si>
    <t>200260132</t>
  </si>
  <si>
    <t>AMINBAZAR, SAVAR, DHAKA</t>
  </si>
  <si>
    <t>02 9001546</t>
  </si>
  <si>
    <t>200270319</t>
  </si>
  <si>
    <t>ARMANITOLA, DHAKA</t>
  </si>
  <si>
    <t>02 7392284</t>
  </si>
  <si>
    <t>200270348</t>
  </si>
  <si>
    <t>ATI BAZAR BRANCH</t>
  </si>
  <si>
    <t>ATI_BAZAR_BRANCH</t>
  </si>
  <si>
    <t>ATI BAZAR, KERANIGONJ, DHAKA</t>
  </si>
  <si>
    <t>017 14013190</t>
  </si>
  <si>
    <t>200260282</t>
  </si>
  <si>
    <t>AWLAD HOSSAIN MARKET BRANCH</t>
  </si>
  <si>
    <t>AWLAD_HOSSAIN_MARKET_BRANCH</t>
  </si>
  <si>
    <t>78 NEW AIRPORT ROAD, TEJGAON, DHAKA</t>
  </si>
  <si>
    <t>02 9111827</t>
  </si>
  <si>
    <t>200270551</t>
  </si>
  <si>
    <t>6-7 AKMAL KHAN ROAD, DHAKA</t>
  </si>
  <si>
    <t>02 7392086</t>
  </si>
  <si>
    <t>200260345</t>
  </si>
  <si>
    <t>198 BADDA, GULSHAN, DHAKA</t>
  </si>
  <si>
    <t>02 9897221</t>
  </si>
  <si>
    <t>200270614</t>
  </si>
  <si>
    <t>BAITUL MUKARRAM BRANCH</t>
  </si>
  <si>
    <t>BAITUL_MUKARRAM_BRANCH</t>
  </si>
  <si>
    <t>BAITUL MUKARRAM, PURANA PALTAN, DHAKA</t>
  </si>
  <si>
    <t>02 9555893, 9561022</t>
  </si>
  <si>
    <t>200260466</t>
  </si>
  <si>
    <t>BANANI BAZAR BRANCH</t>
  </si>
  <si>
    <t>BANANI_BAZAR_BRANCH</t>
  </si>
  <si>
    <t>17 A BANANI, DHAKA</t>
  </si>
  <si>
    <t>02 9820957,  017 13436173</t>
  </si>
  <si>
    <t>200260437</t>
  </si>
  <si>
    <t>95 H BANANI, DHAKA</t>
  </si>
  <si>
    <t>02 9895450</t>
  </si>
  <si>
    <t>200270764</t>
  </si>
  <si>
    <t>BSONBDDHBBA</t>
  </si>
  <si>
    <t>BANGABANDHU AVENUE, RAMNA, DHAKA</t>
  </si>
  <si>
    <t>02 9550284, 9666546,  9555164</t>
  </si>
  <si>
    <t>200270706</t>
  </si>
  <si>
    <t>BANGABANDU NATIONAL STADIUM BRANCH</t>
  </si>
  <si>
    <t>BANGABANDU_NATIONAL_STADIUM_BRANCH</t>
  </si>
  <si>
    <t>BANGABANDU NATIONAL STADIUM, DHAKA</t>
  </si>
  <si>
    <t>02 9554983</t>
  </si>
  <si>
    <t>200270735</t>
  </si>
  <si>
    <t>BANGABHABAN BRANCH</t>
  </si>
  <si>
    <t>BANGABHABAN_BRANCH</t>
  </si>
  <si>
    <t>BANGA BHABAN, MOTIJHEEL, DHAKA</t>
  </si>
  <si>
    <t>02 9563863</t>
  </si>
  <si>
    <t>200260529</t>
  </si>
  <si>
    <t>ROAD NO 12, BARIDHARA, DHAKA</t>
  </si>
  <si>
    <t>02 8849188</t>
  </si>
  <si>
    <t>200270977</t>
  </si>
  <si>
    <t>65 EAST BASABOO, DHAKA 1214</t>
  </si>
  <si>
    <t>02 7219936</t>
  </si>
  <si>
    <t>200271000</t>
  </si>
  <si>
    <t>BAWANY NAGAR BRANCH</t>
  </si>
  <si>
    <t>BAWANY_NAGAR_BRANCH</t>
  </si>
  <si>
    <t>LATIF BAWANY JUTE MILLS COMPOUND, DEMRA, DHAKA</t>
  </si>
  <si>
    <t>02 7400037</t>
  </si>
  <si>
    <t>200260640</t>
  </si>
  <si>
    <t>BAZME QADERIA COMPLEX BRANCH</t>
  </si>
  <si>
    <t>BAZME_QADERIA_COMPLEX_BRANCH</t>
  </si>
  <si>
    <t>10/A NILKHET ROAD, DHANMONDI, DHAKA</t>
  </si>
  <si>
    <t>02 8625115</t>
  </si>
  <si>
    <t>200260679</t>
  </si>
  <si>
    <t>BEGUM ROKEYA SARANI, EAST MONIPUR,  MIRPUR, DHAKA</t>
  </si>
  <si>
    <t>02 9000274</t>
  </si>
  <si>
    <t>200270469</t>
  </si>
  <si>
    <t>BISE BUILDING, DHAKA</t>
  </si>
  <si>
    <t>02 8627061</t>
  </si>
  <si>
    <t>200270401</t>
  </si>
  <si>
    <t>BMEB BRANCH</t>
  </si>
  <si>
    <t>BMEB_BRANCH</t>
  </si>
  <si>
    <t>BAKSHIBAZAR, DHAKA</t>
  </si>
  <si>
    <t>02 8627825</t>
  </si>
  <si>
    <t>200263768</t>
  </si>
  <si>
    <t>BPATC BRANCH</t>
  </si>
  <si>
    <t>BPATC_BRANCH</t>
  </si>
  <si>
    <t>BANGLADESH PUBLIC ADMINISTRATION TRAINING CENTRE, SAVAR, DHAKA</t>
  </si>
  <si>
    <t>02 7743013</t>
  </si>
  <si>
    <t>200270522</t>
  </si>
  <si>
    <t>BUET BRANCH</t>
  </si>
  <si>
    <t>BUET_BRANCH</t>
  </si>
  <si>
    <t>BUET CAMPUS, DHAKA</t>
  </si>
  <si>
    <t>02 8625487</t>
  </si>
  <si>
    <t>200271271</t>
  </si>
  <si>
    <t>CHAWKBAZAR, LALBAGH, DHAKA</t>
  </si>
  <si>
    <t>02 7311121, 7318249, 7311121</t>
  </si>
  <si>
    <t>200271363</t>
  </si>
  <si>
    <t>CHURAIN BRANCH</t>
  </si>
  <si>
    <t>CHURAIN_BRANCH</t>
  </si>
  <si>
    <t>CHURAIN, NAWABGANJ ,DHAKA 1325</t>
  </si>
  <si>
    <t>06225 87186</t>
  </si>
  <si>
    <t>200260824</t>
  </si>
  <si>
    <t>COLLEGE GATE, MOHAMMADPUR, DHAKA</t>
  </si>
  <si>
    <t>02 9112631</t>
  </si>
  <si>
    <t>200260882</t>
  </si>
  <si>
    <t>CUSTOM HOUSE, KURMITOLA, DHAKA</t>
  </si>
  <si>
    <t>02 8911693, 8954919</t>
  </si>
  <si>
    <t>200271455</t>
  </si>
  <si>
    <t>DAYAGANJ BRANCH</t>
  </si>
  <si>
    <t>DAYAGANJ_BRANCH</t>
  </si>
  <si>
    <t>78/2 DAYAGANJ ROAD, SUTRAPUR, DHAKA</t>
  </si>
  <si>
    <t>02 7116068</t>
  </si>
  <si>
    <t>200260974</t>
  </si>
  <si>
    <t>DHAKA AIRPORT BRANCH</t>
  </si>
  <si>
    <t>DHAKA_AIRPORT_BRANCH</t>
  </si>
  <si>
    <t>DHAKA AIRPORT, TEJGAON, DHAKA</t>
  </si>
  <si>
    <t>02 9113403</t>
  </si>
  <si>
    <t>200261036</t>
  </si>
  <si>
    <t>BSONBDDHCNT</t>
  </si>
  <si>
    <t>CANTONMENT, DHAKA</t>
  </si>
  <si>
    <t>02 9899975, 9860068</t>
  </si>
  <si>
    <t>200261094</t>
  </si>
  <si>
    <t>GANAKBARI, SAVAR, DHAKA</t>
  </si>
  <si>
    <t>02 7701015</t>
  </si>
  <si>
    <t>200263526</t>
  </si>
  <si>
    <t>352 / 352</t>
  </si>
  <si>
    <t>NEW MARKET, DHAKA</t>
  </si>
  <si>
    <t>02 9675126, 8626331</t>
  </si>
  <si>
    <t>200263821</t>
  </si>
  <si>
    <t>DHAKA REGISTRATION COMPLEX BRANCH</t>
  </si>
  <si>
    <t>DHAKA_REGISTRATION_COMPLEX_BRANCH</t>
  </si>
  <si>
    <t>TEJGAON INDUSTRIAL AREA, DHAKA</t>
  </si>
  <si>
    <t>02 8870502, 017 30037079</t>
  </si>
  <si>
    <t>200271750</t>
  </si>
  <si>
    <t>UNIVERSITY CAMPUS, 39, KAZI NAZRUL ISLAM AVENUE, DHAKA</t>
  </si>
  <si>
    <t>02 8627982, 8627091</t>
  </si>
  <si>
    <t>200261157</t>
  </si>
  <si>
    <t>DHAMRAI, DHAKA</t>
  </si>
  <si>
    <t>06222 71107</t>
  </si>
  <si>
    <t>200262743</t>
  </si>
  <si>
    <t>9 DHANMONDI, DHAKA</t>
  </si>
  <si>
    <t>02 8628723, 9661801</t>
  </si>
  <si>
    <t>200271934</t>
  </si>
  <si>
    <t>BSONBDDHDIL</t>
  </si>
  <si>
    <t>DILKUSHA, DHAKA</t>
  </si>
  <si>
    <t>02 9563697, 9551668</t>
  </si>
  <si>
    <t>200271992</t>
  </si>
  <si>
    <t>DISTRICT COUNCIL HALL BRANCH</t>
  </si>
  <si>
    <t>DISTRICT_COUNCIL_HALL_BRANCH</t>
  </si>
  <si>
    <t>D C BUILDING, DHAKA</t>
  </si>
  <si>
    <t>02 7111236</t>
  </si>
  <si>
    <t>200271963</t>
  </si>
  <si>
    <t>DISTRILARY ROAD BRANCH</t>
  </si>
  <si>
    <t>DISTRILARY_ROAD_BRANCH</t>
  </si>
  <si>
    <t>GENDARIA, DHAKA</t>
  </si>
  <si>
    <t>02 7410670</t>
  </si>
  <si>
    <t>200272175</t>
  </si>
  <si>
    <t>FAKIRAPOOL, DHAKA</t>
  </si>
  <si>
    <t>02 7100556</t>
  </si>
  <si>
    <t>200272238</t>
  </si>
  <si>
    <t>FARASHGANJ, SUTRAPUR, DHAKA</t>
  </si>
  <si>
    <t>02 7211831</t>
  </si>
  <si>
    <t>200261452</t>
  </si>
  <si>
    <t>FARMGATE, DHAKA</t>
  </si>
  <si>
    <t>02 9112420, 9129868</t>
  </si>
  <si>
    <t>200272320</t>
  </si>
  <si>
    <t>BSONBDDHFEB</t>
  </si>
  <si>
    <t>02 9564014, 9552180</t>
  </si>
  <si>
    <t>200261607</t>
  </si>
  <si>
    <t>GANABHABAN BRANCH</t>
  </si>
  <si>
    <t>GANABHABAN_BRANCH</t>
  </si>
  <si>
    <t>SHER-E-BANGLA NAGAR, DHAKA</t>
  </si>
  <si>
    <t>02 9117350</t>
  </si>
  <si>
    <t>200272470</t>
  </si>
  <si>
    <t>GORAN BRANCH</t>
  </si>
  <si>
    <t>GORAN_BRANCH</t>
  </si>
  <si>
    <t>GORAN, KHILGAON, DHAKA</t>
  </si>
  <si>
    <t>200261694</t>
  </si>
  <si>
    <t>02 9116404</t>
  </si>
  <si>
    <t>200261728</t>
  </si>
  <si>
    <t>48 GULSHAN, DHAKA 1212</t>
  </si>
  <si>
    <t>02 8812659, 9892722</t>
  </si>
  <si>
    <t>200261878</t>
  </si>
  <si>
    <t>GULSHAN NORTH CIRCLE BRANCH</t>
  </si>
  <si>
    <t>GULSHAN_NORTH_CIRCLE_BRANCH</t>
  </si>
  <si>
    <t>GULSHAN NEW NORTH CIRCLE, BILQUIS TOWN, GULSHAN, DHAKA</t>
  </si>
  <si>
    <t>02 9896010, 8834093</t>
  </si>
  <si>
    <t>200261960</t>
  </si>
  <si>
    <t>29/B HAZARIBAGH, DHAKA</t>
  </si>
  <si>
    <t>02 8616823</t>
  </si>
  <si>
    <t>200264817</t>
  </si>
  <si>
    <t>HAZRAT SHAHJALAL INTL AIRPORT BRANCH</t>
  </si>
  <si>
    <t>HAZRAT_SHAHJALAL_INTL_AIRPORT_BRANCH</t>
  </si>
  <si>
    <t>HAZRAT SHAHJALAL (R) INTERNATIONAL AIRPORT, UTTARA, DHAKA</t>
  </si>
  <si>
    <t>02 8953591, 017 13035178</t>
  </si>
  <si>
    <t>200272683</t>
  </si>
  <si>
    <t>02 9550655</t>
  </si>
  <si>
    <t>200271639</t>
  </si>
  <si>
    <t>HOTEL SHERATON, MINTO ROAD, DHAKA</t>
  </si>
  <si>
    <t>02 9341343, 8330155, 9350510</t>
  </si>
  <si>
    <t>200262080</t>
  </si>
  <si>
    <t>DHAKA CANTONMENT, DHAKA</t>
  </si>
  <si>
    <t>02 9871192, 8712502</t>
  </si>
  <si>
    <t>200273040</t>
  </si>
  <si>
    <t>ISHWAR CHANDRA STREET BRANCH</t>
  </si>
  <si>
    <t>ISHWAR_CHANDRA_STREET_BRANCH</t>
  </si>
  <si>
    <t>ISHWAR CHANDRA STREET, KOTWALI, DHAKA</t>
  </si>
  <si>
    <t>02 7390319</t>
  </si>
  <si>
    <t>200262293</t>
  </si>
  <si>
    <t>JATIYA SANGSAD BHABAN BRANCH</t>
  </si>
  <si>
    <t>JATIYA_SANGSAD_BHABAN_BRANCH</t>
  </si>
  <si>
    <t>JATIYA SANGSAD BHABAN, SHER-E-BANGLA NAGAR, DHAKA</t>
  </si>
  <si>
    <t>02 9113019</t>
  </si>
  <si>
    <t>200273224</t>
  </si>
  <si>
    <t>JATRABARI, DHAKA</t>
  </si>
  <si>
    <t>02 7518947</t>
  </si>
  <si>
    <t>200273282</t>
  </si>
  <si>
    <t>06223 88074</t>
  </si>
  <si>
    <t>200273374</t>
  </si>
  <si>
    <t>KAKRAIL, RAMNA, DHAKA</t>
  </si>
  <si>
    <t>02 9330348</t>
  </si>
  <si>
    <t>200273408</t>
  </si>
  <si>
    <t>KALAKOPA BRANCH</t>
  </si>
  <si>
    <t>KALAKOPA_BRANCH</t>
  </si>
  <si>
    <t>340 / 340</t>
  </si>
  <si>
    <t>200262448</t>
  </si>
  <si>
    <t>017 12070299</t>
  </si>
  <si>
    <t>200273437</t>
  </si>
  <si>
    <t>KALATIA, KERANIGANJ, DHAKA</t>
  </si>
  <si>
    <t>011 99865863</t>
  </si>
  <si>
    <t>200262477</t>
  </si>
  <si>
    <t>KALLYANPUR BRANCH</t>
  </si>
  <si>
    <t>KALLYANPUR_BRANCH</t>
  </si>
  <si>
    <t>KALLYANPUR, MIRPUR, DHAKA</t>
  </si>
  <si>
    <t>02 9000438</t>
  </si>
  <si>
    <t>200273558</t>
  </si>
  <si>
    <t>KAMALAPUR RAILWAY STATION BRANCH</t>
  </si>
  <si>
    <t>KAMALAPUR_RAILWAY_STATION_BRANCH</t>
  </si>
  <si>
    <t>KAMALAPUR RAILWAY STATION, DHAKA</t>
  </si>
  <si>
    <t>02 8312403</t>
  </si>
  <si>
    <t>200262530</t>
  </si>
  <si>
    <t>02 8189171, 9110891</t>
  </si>
  <si>
    <t>200273640</t>
  </si>
  <si>
    <t>KERANIGANJ, DHAKA</t>
  </si>
  <si>
    <t>017 14013188</t>
  </si>
  <si>
    <t>200273679</t>
  </si>
  <si>
    <t>367 / 367</t>
  </si>
  <si>
    <t>1414/1 A KHILGAON, DHAKA 1219</t>
  </si>
  <si>
    <t>02 7212682</t>
  </si>
  <si>
    <t>200262622</t>
  </si>
  <si>
    <t>KRISHIBAZAR BRANCH</t>
  </si>
  <si>
    <t>KRISHIBAZAR_BRANCH</t>
  </si>
  <si>
    <t>262 / 262</t>
  </si>
  <si>
    <t>MOHAMMADPUR, DHAKA</t>
  </si>
  <si>
    <t>02 9111841, 8143056</t>
  </si>
  <si>
    <t>200273761</t>
  </si>
  <si>
    <t>KRISHI BHABAN BRANCH</t>
  </si>
  <si>
    <t>KRISHI_BHABAN_BRANCH</t>
  </si>
  <si>
    <t>DILKUSHA, DHAKA 1000</t>
  </si>
  <si>
    <t>02 9551868</t>
  </si>
  <si>
    <t>200262651</t>
  </si>
  <si>
    <t>02 8914259</t>
  </si>
  <si>
    <t>200273853</t>
  </si>
  <si>
    <t>385 / 385</t>
  </si>
  <si>
    <t>CITY CORPORATION BUILDING, DHAKA</t>
  </si>
  <si>
    <t>02 7123130</t>
  </si>
  <si>
    <t>200273824</t>
  </si>
  <si>
    <t>LALBAGH ROAD BRANCH</t>
  </si>
  <si>
    <t>LALBAGH_ROAD_BRANCH</t>
  </si>
  <si>
    <t>LALBAGH, DHAKA</t>
  </si>
  <si>
    <t>02 8631711</t>
  </si>
  <si>
    <t>200262835</t>
  </si>
  <si>
    <t>283 / 283</t>
  </si>
  <si>
    <t>LALMATIA, DHAKA</t>
  </si>
  <si>
    <t>02 8141770, 9113308</t>
  </si>
  <si>
    <t>200273882</t>
  </si>
  <si>
    <t>BSONBDDHLOD</t>
  </si>
  <si>
    <t>35-44 MOTIJHEEL COMMERCIAL AREA, DHAKA 1000</t>
  </si>
  <si>
    <t>02 9553382, 9551482, 9568002</t>
  </si>
  <si>
    <t>200273945</t>
  </si>
  <si>
    <t>12 OUTER CIRCULAR ROAD, DHAKA 1217</t>
  </si>
  <si>
    <t>02 9332270</t>
  </si>
  <si>
    <t>200262893</t>
  </si>
  <si>
    <t>MANIK MIA AVENUE BRANCH</t>
  </si>
  <si>
    <t>MANIK_MIA_AVENUE_BRANCH</t>
  </si>
  <si>
    <t>21 INDIRA ROAD, DHAKA</t>
  </si>
  <si>
    <t>02 9112272</t>
  </si>
  <si>
    <t>200263018</t>
  </si>
  <si>
    <t>MIRPUR CANTONMENT BRANCH</t>
  </si>
  <si>
    <t>MIRPUR_CANTONMENT_BRANCH</t>
  </si>
  <si>
    <t>301 / 301</t>
  </si>
  <si>
    <t>MIRPUR, DHAKA</t>
  </si>
  <si>
    <t>02 9002071</t>
  </si>
  <si>
    <t>200263047</t>
  </si>
  <si>
    <t>MIRPUR INDUSTRIAL AREA BRANCH</t>
  </si>
  <si>
    <t>MIRPUR_INDUSTRIAL_AREA_BRANCH</t>
  </si>
  <si>
    <t>ROAD NO 3, SECTION 7, MIRPUR, DHAKA</t>
  </si>
  <si>
    <t>02 9000399, 9001360</t>
  </si>
  <si>
    <t>200263168</t>
  </si>
  <si>
    <t>MIRPUR SECTION 12 BRANCH</t>
  </si>
  <si>
    <t>MIRPUR_SECTION_12_BRANCH</t>
  </si>
  <si>
    <t>69 MIRPUR, SECTION 12, DHAKA</t>
  </si>
  <si>
    <t>02 9002826</t>
  </si>
  <si>
    <t>200263100</t>
  </si>
  <si>
    <t>MIRPUR SECTION 1 BRANCH</t>
  </si>
  <si>
    <t>MIRPUR_SECTION_1_BRANCH</t>
  </si>
  <si>
    <t>DARUS SALAM ROAD, MIRPUR, DHAKA</t>
  </si>
  <si>
    <t>02 8014618</t>
  </si>
  <si>
    <t>200274128</t>
  </si>
  <si>
    <t>37/1/3  MITFORD, DHAKA</t>
  </si>
  <si>
    <t>02 7318950</t>
  </si>
  <si>
    <t>200274186</t>
  </si>
  <si>
    <t>244 NEW CIRCULAR ROAD, DHAKA</t>
  </si>
  <si>
    <t>02 9331406, 8351747</t>
  </si>
  <si>
    <t>200263197</t>
  </si>
  <si>
    <t>73 MOHAKHALI, DHAKA</t>
  </si>
  <si>
    <t>02 9898957, 8820899</t>
  </si>
  <si>
    <t>200263313</t>
  </si>
  <si>
    <t>MOHAMMADPUR BAZAR BRANCH</t>
  </si>
  <si>
    <t>MOHAMMADPUR_BAZAR_BRANCH</t>
  </si>
  <si>
    <t>331 / 331</t>
  </si>
  <si>
    <t>16/10-11 AZAM ROAD, MOHAMMADPUR, DHAKA</t>
  </si>
  <si>
    <t>02 9112217</t>
  </si>
  <si>
    <t>200274210</t>
  </si>
  <si>
    <t>MUKIMKATRA BRANCH</t>
  </si>
  <si>
    <t>MUKIMKATRA_BRANCH</t>
  </si>
  <si>
    <t>7 MUKIMKATRA, DHAKA</t>
  </si>
  <si>
    <t>02 7314261</t>
  </si>
  <si>
    <t>200274573</t>
  </si>
  <si>
    <t>457 / 457</t>
  </si>
  <si>
    <t>NAGAR BHABAN, FULBARIA, DHAKA</t>
  </si>
  <si>
    <t>02 9563513</t>
  </si>
  <si>
    <t>200274694</t>
  </si>
  <si>
    <t>06225 89031</t>
  </si>
  <si>
    <t>200274757</t>
  </si>
  <si>
    <t>206 NAWABPUR ROAD, DHAKA</t>
  </si>
  <si>
    <t>02 9556740</t>
  </si>
  <si>
    <t>200274810</t>
  </si>
  <si>
    <t>10 BASHA BARI LANE, DHAKA</t>
  </si>
  <si>
    <t>02 7393194</t>
  </si>
  <si>
    <t>200263463</t>
  </si>
  <si>
    <t>MONNU JUTEX COMPLEX, DHAMRAI, DHAKA</t>
  </si>
  <si>
    <t>02 7792196</t>
  </si>
  <si>
    <t>200274931</t>
  </si>
  <si>
    <t>493 / 493</t>
  </si>
  <si>
    <t>62 NAZIMUDDIN ROAD, DHAKA</t>
  </si>
  <si>
    <t>02 7300032</t>
  </si>
  <si>
    <t>200274960</t>
  </si>
  <si>
    <t>NAZIRABAZAR BRANCH</t>
  </si>
  <si>
    <t>NAZIRABAZAR_BRANCH</t>
  </si>
  <si>
    <t>496 / 496</t>
  </si>
  <si>
    <t>1 KAZI ALAUDDIN ROAD, DHAKA</t>
  </si>
  <si>
    <t>02 7557151</t>
  </si>
  <si>
    <t>200274544</t>
  </si>
  <si>
    <t>NCTB BRANCH</t>
  </si>
  <si>
    <t>NCTB_BRANCH</t>
  </si>
  <si>
    <t>69-70 MOTIJHEEL C/A, DHAKA 1000</t>
  </si>
  <si>
    <t>02 9566693</t>
  </si>
  <si>
    <t>200263434</t>
  </si>
  <si>
    <t>NEVAL HEAD QUARTERS BRANCH</t>
  </si>
  <si>
    <t>NEVAL_HEAD_QUARTERS_BRANCH</t>
  </si>
  <si>
    <t>NEVAL HEAD QUARTER COMPLEX, DHAKA</t>
  </si>
  <si>
    <t>02 9860548, 8822741-45</t>
  </si>
  <si>
    <t>200275114</t>
  </si>
  <si>
    <t>NORTH SOUTH ROAD, DHAKA</t>
  </si>
  <si>
    <t>02 9562989</t>
  </si>
  <si>
    <t>200275172</t>
  </si>
  <si>
    <t>PALAMGANJ BRANCH</t>
  </si>
  <si>
    <t>PALAMGANJ_BRANCH</t>
  </si>
  <si>
    <t>517 / 517</t>
  </si>
  <si>
    <t>PALAMGANJ, DOHAR, DHAKA</t>
  </si>
  <si>
    <t>06223 88193</t>
  </si>
  <si>
    <t>200275327</t>
  </si>
  <si>
    <t>A/2 EASTERN HOUSING, POSTAGOLA, DHAKA</t>
  </si>
  <si>
    <t>02 7410946</t>
  </si>
  <si>
    <t>200275622</t>
  </si>
  <si>
    <t>562 / 562</t>
  </si>
  <si>
    <t>RAJUK BHABAN, MOTIJHEEL, DHAKA 1000</t>
  </si>
  <si>
    <t>02 9553396</t>
  </si>
  <si>
    <t>200275714</t>
  </si>
  <si>
    <t>571 / 571</t>
  </si>
  <si>
    <t>BSONBDDHRAM</t>
  </si>
  <si>
    <t>RAMNA, DHAKA 1000</t>
  </si>
  <si>
    <t>02 8615456, 8618421</t>
  </si>
  <si>
    <t>200275743</t>
  </si>
  <si>
    <t>02 9331323</t>
  </si>
  <si>
    <t>200275772</t>
  </si>
  <si>
    <t>RASULPUR BAZAR BRANCH</t>
  </si>
  <si>
    <t>RASULPUR_BAZAR_BRANCH</t>
  </si>
  <si>
    <t>577 / 577</t>
  </si>
  <si>
    <t>ABDULLAHPUR, KERANIGANJ, DHAKA</t>
  </si>
  <si>
    <t>017 14013189</t>
  </si>
  <si>
    <t>200275835</t>
  </si>
  <si>
    <t>RUHITPUR, KERANIGANJ, DHAKA</t>
  </si>
  <si>
    <t>011 99862361</t>
  </si>
  <si>
    <t>200275956</t>
  </si>
  <si>
    <t>595 / 595</t>
  </si>
  <si>
    <t>BSONBDDHSDR</t>
  </si>
  <si>
    <t>SADARGHAT, DHAKA</t>
  </si>
  <si>
    <t>02 7110778, 7121926</t>
  </si>
  <si>
    <t>200275985</t>
  </si>
  <si>
    <t>SAIDABAD BUS TERMINAL BRANCH</t>
  </si>
  <si>
    <t>SAIDABAD_BUS_TERMINAL_BRANCH</t>
  </si>
  <si>
    <t>SAIDABAD, DHAKA</t>
  </si>
  <si>
    <t>02 7515510</t>
  </si>
  <si>
    <t>200264033</t>
  </si>
  <si>
    <t>SAT MASJID ROAD BRANCH</t>
  </si>
  <si>
    <t>SAT_MASJID_ROAD_BRANCH</t>
  </si>
  <si>
    <t>5 SAT MASJID ROAD, MOHAMMADPUR, DHAKA</t>
  </si>
  <si>
    <t>02 9118960</t>
  </si>
  <si>
    <t>200264091</t>
  </si>
  <si>
    <t>02 7710732</t>
  </si>
  <si>
    <t>200264183</t>
  </si>
  <si>
    <t>CANTONMENT ROAD, SAVAR, DHAKA</t>
  </si>
  <si>
    <t>02 7791607</t>
  </si>
  <si>
    <t>200276168</t>
  </si>
  <si>
    <t>SEGUN BAGICHA BRANCH</t>
  </si>
  <si>
    <t>SEGUN_BAGICHA_BRANCH</t>
  </si>
  <si>
    <t>PED BUILDING, SEGUN BAGICHA, DHAKA</t>
  </si>
  <si>
    <t>02 9357851</t>
  </si>
  <si>
    <t>200276250</t>
  </si>
  <si>
    <t>SHAHJANPUR BRANCH</t>
  </si>
  <si>
    <t>SHAHJANPUR_BRANCH</t>
  </si>
  <si>
    <t>625 / 625</t>
  </si>
  <si>
    <t>968/2 NORTH SHAHJANPUR, DHAKA 1217</t>
  </si>
  <si>
    <t>02 9358002</t>
  </si>
  <si>
    <t>200276434</t>
  </si>
  <si>
    <t>SHILPA BHABAN BRANCH</t>
  </si>
  <si>
    <t>SHILPA_BHABAN_BRANCH</t>
  </si>
  <si>
    <t>643 / 643</t>
  </si>
  <si>
    <t>BSONBDDHSLP</t>
  </si>
  <si>
    <t>02 9559377, 9561252</t>
  </si>
  <si>
    <t>200264396</t>
  </si>
  <si>
    <t>SONARGAON HOTEL, TEJGAON, DHAKA</t>
  </si>
  <si>
    <t>02 8140226, 8111641</t>
  </si>
  <si>
    <t>200276584</t>
  </si>
  <si>
    <t>36 SONARGAON ROAD, DHAKA</t>
  </si>
  <si>
    <t>02 8626269</t>
  </si>
  <si>
    <t>200276618</t>
  </si>
  <si>
    <t>SUPREME COURT BRANCH</t>
  </si>
  <si>
    <t>SUPREME_COURT_BRANCH</t>
  </si>
  <si>
    <t>661 / 661</t>
  </si>
  <si>
    <t>SUPREME COURT BUILDING, DHAKA</t>
  </si>
  <si>
    <t>02 7171332, 9561729</t>
  </si>
  <si>
    <t>200264512</t>
  </si>
  <si>
    <t>451 / 451</t>
  </si>
  <si>
    <t>34-34/A  TEJGAON INDUSTRIAL AREA, DHAKA</t>
  </si>
  <si>
    <t>02 9114409, 9120828</t>
  </si>
  <si>
    <t>200276797</t>
  </si>
  <si>
    <t>679 / 679</t>
  </si>
  <si>
    <t>1 URDU ROAD, DHAKA</t>
  </si>
  <si>
    <t>02 7311975</t>
  </si>
  <si>
    <t>200264691</t>
  </si>
  <si>
    <t>ROAD NO 7, SECTOR 4, UTTARA MODEL TOWN, DHAKA</t>
  </si>
  <si>
    <t>02 8914639, 8951211</t>
  </si>
  <si>
    <t>200264604</t>
  </si>
  <si>
    <t>UTTAR KHAN BRANCH</t>
  </si>
  <si>
    <t>UTTAR_KHAN_BRANCH</t>
  </si>
  <si>
    <t>460 / 460</t>
  </si>
  <si>
    <t>UTTAR KHAN, UTTARA, DHAKA</t>
  </si>
  <si>
    <t>02 8923098</t>
  </si>
  <si>
    <t>200276889</t>
  </si>
  <si>
    <t>VIQARUNNESA NOON SCHOOL BRANCH</t>
  </si>
  <si>
    <t>VIQARUNNESA_NOON_SCHOOL_BRANCH</t>
  </si>
  <si>
    <t>688 / 688</t>
  </si>
  <si>
    <t>1/A NEW BAILY ROAD, DHAKA</t>
  </si>
  <si>
    <t>02 9332222</t>
  </si>
  <si>
    <t>200276913</t>
  </si>
  <si>
    <t>BSONBDDHWEB</t>
  </si>
  <si>
    <t>62 DILKUSHA, DHAKA 1000</t>
  </si>
  <si>
    <t>02 9552080, 9552050, 9556054</t>
  </si>
  <si>
    <t>200276971</t>
  </si>
  <si>
    <t>697 / 697</t>
  </si>
  <si>
    <t>02 9558920, 9552683</t>
  </si>
  <si>
    <t>200277004</t>
  </si>
  <si>
    <t>94 RANKING STREET, WARI, DHAKA</t>
  </si>
  <si>
    <t>02 7111768</t>
  </si>
  <si>
    <t>200262327</t>
  </si>
  <si>
    <t>ZIGATOLA, DHANMONDI, DHAKA</t>
  </si>
  <si>
    <t>02 8626354</t>
  </si>
  <si>
    <t>200263739</t>
  </si>
  <si>
    <t>PRIME MINISTERS OFFICE</t>
  </si>
  <si>
    <t>PRIME_MINISTERS_OFFICE</t>
  </si>
  <si>
    <t>200270001</t>
  </si>
  <si>
    <t>200280046</t>
  </si>
  <si>
    <t>AFTABGANJ, NAWABGANJ, DINAJPUR</t>
  </si>
  <si>
    <t>200280167</t>
  </si>
  <si>
    <t>BARAPUKURIA KOYLAKHONI BRANCH</t>
  </si>
  <si>
    <t>BARAPUKURIA_KOYLAKHONI_BRANCH</t>
  </si>
  <si>
    <t>BARAPUKURIA KOYLAKHONI,	PARBATIPUR, DINAJPUR</t>
  </si>
  <si>
    <t>200280259</t>
  </si>
  <si>
    <t>BHABANIPUR BAZAR BRANCH</t>
  </si>
  <si>
    <t>BHABANIPUR_BAZAR_BRANCH</t>
  </si>
  <si>
    <t>BHABANIPUR BAZAR, DINAJPUR</t>
  </si>
  <si>
    <t>017 14090708</t>
  </si>
  <si>
    <t>200280312</t>
  </si>
  <si>
    <t>BINNAKURI BRANCH</t>
  </si>
  <si>
    <t>BINNAKURI_BRANCH</t>
  </si>
  <si>
    <t>BINNAKURI, CHIRIRBANDAR, DINAJPUR</t>
  </si>
  <si>
    <t>200280404</t>
  </si>
  <si>
    <t>0531 64068, 63068 (Ext 7)</t>
  </si>
  <si>
    <t>200280341</t>
  </si>
  <si>
    <t>05322 443</t>
  </si>
  <si>
    <t>200280370</t>
  </si>
  <si>
    <t>05323 63095 (Ext 2)</t>
  </si>
  <si>
    <t>200280525</t>
  </si>
  <si>
    <t>05326 56114</t>
  </si>
  <si>
    <t>200280554</t>
  </si>
  <si>
    <t>COURT BUILDING, DINAJPUR</t>
  </si>
  <si>
    <t>0531 64361</t>
  </si>
  <si>
    <t>200280709</t>
  </si>
  <si>
    <t>0531 65472, 64385</t>
  </si>
  <si>
    <t>200280796</t>
  </si>
  <si>
    <t>FARAKKA BADH BRANCH</t>
  </si>
  <si>
    <t>FARAKKA_BADH_BRANCH</t>
  </si>
  <si>
    <t>FARAKKA BADH, DINAJPUR</t>
  </si>
  <si>
    <t>200281874</t>
  </si>
  <si>
    <t>200280820</t>
  </si>
  <si>
    <t>GHORAGHAT, DINAJPUR</t>
  </si>
  <si>
    <t>200280912</t>
  </si>
  <si>
    <t>HAKIMPUR, DINAJPUR</t>
  </si>
  <si>
    <t>0531 75002</t>
  </si>
  <si>
    <t>200280970</t>
  </si>
  <si>
    <t>HUGLIPARA BRANCH</t>
  </si>
  <si>
    <t>HUGLIPARA_BRANCH</t>
  </si>
  <si>
    <t>HUGLIPARA, PARBOTIPUR, DINAJPUR</t>
  </si>
  <si>
    <t>0531 74331</t>
  </si>
  <si>
    <t>200281003</t>
  </si>
  <si>
    <t>JOINANDAHAT BRANCH</t>
  </si>
  <si>
    <t>JOINANDAHAT_BRANCH</t>
  </si>
  <si>
    <t>JOINANDAHAT, DINAJPUR</t>
  </si>
  <si>
    <t>200281061</t>
  </si>
  <si>
    <t>KACHINIAHAT BRANCH</t>
  </si>
  <si>
    <t>KACHINIAHAT_BRANCH</t>
  </si>
  <si>
    <t>KACHINIAHAT, DINAJPUR</t>
  </si>
  <si>
    <t>200281090</t>
  </si>
  <si>
    <t>KAHAROL BRANCH</t>
  </si>
  <si>
    <t>KAHAROL_BRANCH</t>
  </si>
  <si>
    <t>KAHAROL, TTDC BUILDING, DINAJPUR</t>
  </si>
  <si>
    <t>0531 64093, 63193 (Ext 8)</t>
  </si>
  <si>
    <t>200281216</t>
  </si>
  <si>
    <t>0531 64098, 63098 (Ext 8)</t>
  </si>
  <si>
    <t>200281337</t>
  </si>
  <si>
    <t>MADDAPARA KATHINSHILA PRAKALPA BRANCH</t>
  </si>
  <si>
    <t>MADDAPARA_KATHINSHILA_PRAKALPA_BRANCH</t>
  </si>
  <si>
    <t>200281458</t>
  </si>
  <si>
    <t>MILL ROAD BRANCH</t>
  </si>
  <si>
    <t>MILL_ROAD_BRANCH</t>
  </si>
  <si>
    <t>MILL ROAD, SETABGANJ, DINAJPUR</t>
  </si>
  <si>
    <t>0531 64092 (Ext 48)</t>
  </si>
  <si>
    <t>200281632</t>
  </si>
  <si>
    <t>200281724</t>
  </si>
  <si>
    <t>OSMANPUR BRANCH</t>
  </si>
  <si>
    <t>OSMANPUR_BRANCH</t>
  </si>
  <si>
    <t>OSMANPUR, DINAJPUR</t>
  </si>
  <si>
    <t>0531 64082, 63182</t>
  </si>
  <si>
    <t>200281753</t>
  </si>
  <si>
    <t>PAKERHAT BRANCH</t>
  </si>
  <si>
    <t>PAKERHAT_BRANCH</t>
  </si>
  <si>
    <t>PAKER HAT, DINAJPUR</t>
  </si>
  <si>
    <t>0531 -64098 (Ext 6)</t>
  </si>
  <si>
    <t>200281816</t>
  </si>
  <si>
    <t>0531 74203</t>
  </si>
  <si>
    <t>200281937</t>
  </si>
  <si>
    <t>PULHAT, DINAJPUR</t>
  </si>
  <si>
    <t>0531 4101</t>
  </si>
  <si>
    <t>200282057</t>
  </si>
  <si>
    <t>RANIGANJ BAZAR, HATSAIMGANJ, DINAJPUR</t>
  </si>
  <si>
    <t>200282178</t>
  </si>
  <si>
    <t>SEETABGANJ BRANCH</t>
  </si>
  <si>
    <t>SEETABGANJ_BRANCH</t>
  </si>
  <si>
    <t>SEETABGANJ, DINAJPUR</t>
  </si>
  <si>
    <t>0531 64092, 63092</t>
  </si>
  <si>
    <t>200282202</t>
  </si>
  <si>
    <t>SHAHID MAHBUB CANTONMENT BRANCH</t>
  </si>
  <si>
    <t>SHAHID_MAHBUB_CANTONMENT_BRANCH</t>
  </si>
  <si>
    <t>0521 67401-3</t>
  </si>
  <si>
    <t>200282231</t>
  </si>
  <si>
    <t>SHEIKHPURA BRANCH</t>
  </si>
  <si>
    <t>SHEIKHPURA_BRANCH</t>
  </si>
  <si>
    <t>SHEIKH PURA, DINAJPUR</t>
  </si>
  <si>
    <t>0531 64206</t>
  </si>
  <si>
    <t>200282323</t>
  </si>
  <si>
    <t>STATION ROAD, DINAJPUR</t>
  </si>
  <si>
    <t>0531 64111</t>
  </si>
  <si>
    <t>200282352</t>
  </si>
  <si>
    <t>SUIHARI BRANCH</t>
  </si>
  <si>
    <t>SUIHARI_BRANCH</t>
  </si>
  <si>
    <t>SUIHARI, DINAJPUR</t>
  </si>
  <si>
    <t>0531 64067</t>
  </si>
  <si>
    <t>200290049</t>
  </si>
  <si>
    <t>0631 63102 (Ext 5)</t>
  </si>
  <si>
    <t>200290078</t>
  </si>
  <si>
    <t>ATRASHI BISWA JAKER MANJIL</t>
  </si>
  <si>
    <t>ATRASHI_BISWA_JAKER_MANJIL</t>
  </si>
  <si>
    <t>200290281</t>
  </si>
  <si>
    <t>BHANGA BAZAR BRANCH</t>
  </si>
  <si>
    <t>BHANGA_BAZAR_BRANCH</t>
  </si>
  <si>
    <t>BHANGA BAZAR, BHANGA, FARIDPUR</t>
  </si>
  <si>
    <t>06323 56115</t>
  </si>
  <si>
    <t>200290328</t>
  </si>
  <si>
    <t>BISHWA ZAKER MANZIL BRANCH</t>
  </si>
  <si>
    <t>BISHWA_ZAKER_MANZIL_BRANCH</t>
  </si>
  <si>
    <t>ATRASHI, FARIDPUR</t>
  </si>
  <si>
    <t>06328 75411</t>
  </si>
  <si>
    <t>200290344</t>
  </si>
  <si>
    <t>06324 56117</t>
  </si>
  <si>
    <t>200290436</t>
  </si>
  <si>
    <t>CHAR BHADRASAN, FARIDPUR</t>
  </si>
  <si>
    <t>0631 89048 (Ext 7)</t>
  </si>
  <si>
    <t>200290494</t>
  </si>
  <si>
    <t>COURT BUILDING, FARIDPUR</t>
  </si>
  <si>
    <t>0631 62544</t>
  </si>
  <si>
    <t>200290528</t>
  </si>
  <si>
    <t>0631 63084, 64208, 63084</t>
  </si>
  <si>
    <t>200290610</t>
  </si>
  <si>
    <t>GOALCHAMAT, PWD BUILDING, FARIDPUR</t>
  </si>
  <si>
    <t>0631 63338</t>
  </si>
  <si>
    <t>200290731</t>
  </si>
  <si>
    <t>HAT KRISHNAPUR, SADARPUR, FARIDPUR</t>
  </si>
  <si>
    <t>017 14013201</t>
  </si>
  <si>
    <t>200290702</t>
  </si>
  <si>
    <t>HAZIGANJ, FARIDPUR</t>
  </si>
  <si>
    <t>017 20573659</t>
  </si>
  <si>
    <t>200290881</t>
  </si>
  <si>
    <t>KAMARKHALI, MADHUKHALI, FARIDPUR</t>
  </si>
  <si>
    <t>017 14013199</t>
  </si>
  <si>
    <t>200290915</t>
  </si>
  <si>
    <t>200290973</t>
  </si>
  <si>
    <t>KALIPUR, FARIDPUR</t>
  </si>
  <si>
    <t>0631 89042-43</t>
  </si>
  <si>
    <t>200291093</t>
  </si>
  <si>
    <t>0631 89010 (Ext 27)</t>
  </si>
  <si>
    <t>200291064</t>
  </si>
  <si>
    <t>MADHUKHALI UPAZILLA COMPLEX BRANCH</t>
  </si>
  <si>
    <t>MADHUKHALI_UPAZILLA_COMPLEX_BRANCH</t>
  </si>
  <si>
    <t>UPAZILLA COMPLEX, MADHUKHALI, FARIDPUR</t>
  </si>
  <si>
    <t>0631 89010 (Ext 57)</t>
  </si>
  <si>
    <t>200291156</t>
  </si>
  <si>
    <t>MAYENDIA BAZAR BRANCH</t>
  </si>
  <si>
    <t>MAYENDIA_BAZAR_BRANCH</t>
  </si>
  <si>
    <t>MAYENDIA BAZAR, BOALMARI, FARIDPUR</t>
  </si>
  <si>
    <t>017 12309079</t>
  </si>
  <si>
    <t>200291185</t>
  </si>
  <si>
    <t>06327 56126</t>
  </si>
  <si>
    <t>200291277</t>
  </si>
  <si>
    <t>06328 75220</t>
  </si>
  <si>
    <t>200291248</t>
  </si>
  <si>
    <t>SADAR UPAZILLA COMPLEX BRANCH</t>
  </si>
  <si>
    <t>SADAR_UPAZILLA_COMPLEX_BRANCH</t>
  </si>
  <si>
    <t>UPAZILLA COMPLEX, SADARPUR, FARIDPUR</t>
  </si>
  <si>
    <t>0631 62565</t>
  </si>
  <si>
    <t>200291301</t>
  </si>
  <si>
    <t>SHALTHA BAZAR BRANCH</t>
  </si>
  <si>
    <t>SHALTHA_BAZAR_BRANCH</t>
  </si>
  <si>
    <t>SHALTHA BAZAR, FARIDPUR</t>
  </si>
  <si>
    <t>200291369</t>
  </si>
  <si>
    <t>SHIRGRAM BRANCH</t>
  </si>
  <si>
    <t>SHIRGRAM_BRANCH</t>
  </si>
  <si>
    <t>SHIRGRAM, ALFAGANGA, FARIDPUR</t>
  </si>
  <si>
    <t>017 18309945</t>
  </si>
  <si>
    <t>200291422</t>
  </si>
  <si>
    <t>017 16717610</t>
  </si>
  <si>
    <t>200291451</t>
  </si>
  <si>
    <t>TEPAKHOLA BRANCH</t>
  </si>
  <si>
    <t>TEPAKHOLA_BRANCH</t>
  </si>
  <si>
    <t>TEPAKHOLA, FARIDPUR</t>
  </si>
  <si>
    <t>0631 62684</t>
  </si>
  <si>
    <t>200300197</t>
  </si>
  <si>
    <t>BAKTERMUNSHI BRANCH</t>
  </si>
  <si>
    <t>BAKTERMUNSHI_BRANCH</t>
  </si>
  <si>
    <t>BAKTERMUNSHI, SONAGAZI, FENI</t>
  </si>
  <si>
    <t>017 14039766</t>
  </si>
  <si>
    <t>200300313</t>
  </si>
  <si>
    <t>CHHAGALNAIYA, FENI</t>
  </si>
  <si>
    <t>0331 78010</t>
  </si>
  <si>
    <t>200300371</t>
  </si>
  <si>
    <t>DAGONBHUIYAN BRANCH</t>
  </si>
  <si>
    <t>DAGONBHUIYAN_BRANCH</t>
  </si>
  <si>
    <t>CHOWMUHNI ROAD, DAGONBHUIYAN, FENI</t>
  </si>
  <si>
    <t>0331 79021</t>
  </si>
  <si>
    <t>200300526</t>
  </si>
  <si>
    <t>BARAHIPUR, FENI</t>
  </si>
  <si>
    <t>0331 74041, 74714</t>
  </si>
  <si>
    <t>200300618</t>
  </si>
  <si>
    <t>0331 72111 (Ext 9)</t>
  </si>
  <si>
    <t>200300676</t>
  </si>
  <si>
    <t>GUTHUMA BAZAR BRANCH</t>
  </si>
  <si>
    <t>GUTHUMA_BAZAR_BRANCH</t>
  </si>
  <si>
    <t>GUTHUMA BAZAR, PARSHURAM, FENI</t>
  </si>
  <si>
    <t>017 14039769</t>
  </si>
  <si>
    <t>200300739</t>
  </si>
  <si>
    <t>ISLAMPUR ROAD, RAMPUR, FENI</t>
  </si>
  <si>
    <t>0331 73535</t>
  </si>
  <si>
    <t>200300971</t>
  </si>
  <si>
    <t>LASKERHAT BRANCH</t>
  </si>
  <si>
    <t>LASKERHAT_BRANCH</t>
  </si>
  <si>
    <t>LASKERHAT, FENI 3903</t>
  </si>
  <si>
    <t>0331 72113 (Ext 2)</t>
  </si>
  <si>
    <t>200301004</t>
  </si>
  <si>
    <t>LEMUA, FENI</t>
  </si>
  <si>
    <t>017 14039765</t>
  </si>
  <si>
    <t>200301033</t>
  </si>
  <si>
    <t>MATIAGODA BRANCH</t>
  </si>
  <si>
    <t>MATIAGODA_BRANCH</t>
  </si>
  <si>
    <t>MATIAGODA, CHHAGALNAIYA, FENI</t>
  </si>
  <si>
    <t>017 14039770</t>
  </si>
  <si>
    <t>200301062</t>
  </si>
  <si>
    <t>MOHIPAL, FENI</t>
  </si>
  <si>
    <t>0331 73182</t>
  </si>
  <si>
    <t>200301154</t>
  </si>
  <si>
    <t>MUNSHIRHAT, FULGAZI, FENI</t>
  </si>
  <si>
    <t>03326 77109</t>
  </si>
  <si>
    <t>200301246</t>
  </si>
  <si>
    <t>PANCHGACHIA BRANCH</t>
  </si>
  <si>
    <t>PANCHGACHIA_BRANCH</t>
  </si>
  <si>
    <t>PANCHGACHIA, FENI</t>
  </si>
  <si>
    <t>0331 74378</t>
  </si>
  <si>
    <t>200301275</t>
  </si>
  <si>
    <t>PARSHURAM, FENI</t>
  </si>
  <si>
    <t>03324 56011</t>
  </si>
  <si>
    <t>200301338</t>
  </si>
  <si>
    <t>UPAZILLA COMPLEX, FENI</t>
  </si>
  <si>
    <t>0331 73393</t>
  </si>
  <si>
    <t>200301420</t>
  </si>
  <si>
    <t>SELONIA BAZAR BRANCH</t>
  </si>
  <si>
    <t>SELONIA_BAZAR_BRANCH</t>
  </si>
  <si>
    <t>SELONIA BAZAR, DAGANBHUIYAN, FENI</t>
  </si>
  <si>
    <t>017 14039767</t>
  </si>
  <si>
    <t>200301488</t>
  </si>
  <si>
    <t>SAWDAGERHAT, SONAGAZI, FENI</t>
  </si>
  <si>
    <t>0331 76009</t>
  </si>
  <si>
    <t>200320164</t>
  </si>
  <si>
    <t>BHARATKHALI BRANCH</t>
  </si>
  <si>
    <t>BHARATKHALI_BRANCH</t>
  </si>
  <si>
    <t>BHARATKHALI, PHULCHHARI, GAIBANDHA 5761</t>
  </si>
  <si>
    <t>0541 61313, 61390, 017 55584842</t>
  </si>
  <si>
    <t>200320193</t>
  </si>
  <si>
    <t>BIRATHAT BRANCH</t>
  </si>
  <si>
    <t>BIRATHAT_BRANCH</t>
  </si>
  <si>
    <t>BIRAT HAT, GAIBANDHA</t>
  </si>
  <si>
    <t>017 14039797</t>
  </si>
  <si>
    <t>200320227</t>
  </si>
  <si>
    <t>BONARPARA, GAIBANDHA</t>
  </si>
  <si>
    <t>05426 56115, 017 14584841</t>
  </si>
  <si>
    <t>200320919</t>
  </si>
  <si>
    <t>DB ROAD BRANCH</t>
  </si>
  <si>
    <t>DB_ROAD_BRANCH</t>
  </si>
  <si>
    <t>0541 61354, 017 55584848</t>
  </si>
  <si>
    <t>200320430</t>
  </si>
  <si>
    <t>FASHITOLA BRANCH</t>
  </si>
  <si>
    <t>FASHITOLA_BRANCH</t>
  </si>
  <si>
    <t>CHANDPARA, GOBINDAGANJ, GAIBANDHA</t>
  </si>
  <si>
    <t>017 14039796</t>
  </si>
  <si>
    <t>200320469</t>
  </si>
  <si>
    <t>FULCHARI BRANCH</t>
  </si>
  <si>
    <t>FULCHARI_BRANCH</t>
  </si>
  <si>
    <t>FULCHARI, GAIBANDHA</t>
  </si>
  <si>
    <t>0541 61313, 61390, 017 14584843</t>
  </si>
  <si>
    <t>200320522</t>
  </si>
  <si>
    <t>0541 61615, 61334, 017 14584844</t>
  </si>
  <si>
    <t>200320580</t>
  </si>
  <si>
    <t>0541 75009, 017 14584845</t>
  </si>
  <si>
    <t>200320672</t>
  </si>
  <si>
    <t>KAMARZANI BRANCH</t>
  </si>
  <si>
    <t>KAMARZANI_BRANCH</t>
  </si>
  <si>
    <t>DARIAPUR, GAIBANDHA</t>
  </si>
  <si>
    <t>017 14039795</t>
  </si>
  <si>
    <t>200320735</t>
  </si>
  <si>
    <t>KAMDIA BRANCH</t>
  </si>
  <si>
    <t>KAMDIA_BRANCH</t>
  </si>
  <si>
    <t>KAMDIA, GAIBANDHA 5740</t>
  </si>
  <si>
    <t>017 14039794</t>
  </si>
  <si>
    <t>200320977</t>
  </si>
  <si>
    <t>MAHIMAGANJ, GOBINDAGANJ, GAIBANDHA</t>
  </si>
  <si>
    <t>0541 89002 (Ext 8), 017 55584849</t>
  </si>
  <si>
    <t>200321097</t>
  </si>
  <si>
    <t>0541 61308, 61311, 017 55584846</t>
  </si>
  <si>
    <t>200321189</t>
  </si>
  <si>
    <t>PURATON BAZAR, DB ROAD, GAIBANDHA 5700</t>
  </si>
  <si>
    <t>0541 61577, 017 55584847</t>
  </si>
  <si>
    <t>200321242</t>
  </si>
  <si>
    <t>BANAGRAM, SADULLAPUR, GAIBANDHA</t>
  </si>
  <si>
    <t>0541 61599, 61349, 017 55584850</t>
  </si>
  <si>
    <t>200321271</t>
  </si>
  <si>
    <t>SAGHATA, SUNDARGANJ, GAIBANDHA</t>
  </si>
  <si>
    <t>0541 89004 (Ext 3), 017 55584852</t>
  </si>
  <si>
    <t>200321305</t>
  </si>
  <si>
    <t>05427 64018, 017 55584851</t>
  </si>
  <si>
    <t>200331458</t>
  </si>
  <si>
    <t>ANSAR ACADEMY BRANCH</t>
  </si>
  <si>
    <t>ANSAR_ACADEMY_BRANCH</t>
  </si>
  <si>
    <t>ANSAR ACADEMY, SAFIPUR, GAZIPUR</t>
  </si>
  <si>
    <t>06822 51786</t>
  </si>
  <si>
    <t>200330109</t>
  </si>
  <si>
    <t>BARI BRANCH</t>
  </si>
  <si>
    <t>BARI_BRANCH</t>
  </si>
  <si>
    <t>BARI CAMPUS, JOYDEBPUR, GAZIPUR</t>
  </si>
  <si>
    <t>02 9252232</t>
  </si>
  <si>
    <t>200330138</t>
  </si>
  <si>
    <t>BARMIBAZAR, SREEPUR, GAZIPUR</t>
  </si>
  <si>
    <t>06825 51586</t>
  </si>
  <si>
    <t>200330167</t>
  </si>
  <si>
    <t>BELTALI BAZAR</t>
  </si>
  <si>
    <t>BELTALI_BAZAR</t>
  </si>
  <si>
    <t>200330196</t>
  </si>
  <si>
    <t>BHAWAL JAMALPUR BRANCH</t>
  </si>
  <si>
    <t>BHAWAL_JAMALPUR_BRANCH</t>
  </si>
  <si>
    <t>BHAWAL JAMALPUR, KALIGANJ, GAZIPUR</t>
  </si>
  <si>
    <t>06823 51629</t>
  </si>
  <si>
    <t>200330259</t>
  </si>
  <si>
    <t>BOF GAZIPUR CANTONMENT BRANCH</t>
  </si>
  <si>
    <t>BOF_GAZIPUR_CANTONMENT_BRANCH</t>
  </si>
  <si>
    <t>BOF, GAZIPUR CANTONMENT, GAZIPUR 1703</t>
  </si>
  <si>
    <t>02 9252032, 9252825-27</t>
  </si>
  <si>
    <t>200330312</t>
  </si>
  <si>
    <t>BRRI BRANCH</t>
  </si>
  <si>
    <t>BRRI_BRANCH</t>
  </si>
  <si>
    <t>BANGLADESH RICE RESEARCH INSTITUTE, GAZIPUR 1701</t>
  </si>
  <si>
    <t>02 9252231</t>
  </si>
  <si>
    <t>200330341</t>
  </si>
  <si>
    <t>BSCIC INDUSTRIAL AREA BRANCH</t>
  </si>
  <si>
    <t>BSCIC_INDUSTRIAL_AREA_BRANCH</t>
  </si>
  <si>
    <t>BSCIC INDUSTRIAL AREA, KONABARI, GAZIPUR</t>
  </si>
  <si>
    <t>02 9800298</t>
  </si>
  <si>
    <t>200330370</t>
  </si>
  <si>
    <t>BSMR AGRICULTURAL UNIVERSITY BRANCH</t>
  </si>
  <si>
    <t>BSMR_AGRICULTURAL_UNIVERSITY_BRANCH</t>
  </si>
  <si>
    <t>BANGABANDHU SHEIKH MUJIBUR RAHMAN AGRICULTURAL UNIVERSITY, SALNA, GAZIPUR</t>
  </si>
  <si>
    <t>02 9252020, 9252566-69</t>
  </si>
  <si>
    <t>200330583</t>
  </si>
  <si>
    <t>COURT BUILDING,	GAZIPUR</t>
  </si>
  <si>
    <t>02 9252240</t>
  </si>
  <si>
    <t>200330738</t>
  </si>
  <si>
    <t>JOYDEBPUR, GAZIPUR</t>
  </si>
  <si>
    <t>02 9252230</t>
  </si>
  <si>
    <t>200330796</t>
  </si>
  <si>
    <t>06822 51006</t>
  </si>
  <si>
    <t>200330820</t>
  </si>
  <si>
    <t>06823 51006</t>
  </si>
  <si>
    <t>200330888</t>
  </si>
  <si>
    <t>06824 51276</t>
  </si>
  <si>
    <t>200330709</t>
  </si>
  <si>
    <t>NATIONAL UNIVERSITY BRANCH</t>
  </si>
  <si>
    <t>NATIONAL_UNIVERSITY_BRANCH</t>
  </si>
  <si>
    <t>NATIONAL UNIVERSITY, BOARD BAZAR, GAZIPUR 1704</t>
  </si>
  <si>
    <t>02 9800414</t>
  </si>
  <si>
    <t>200331274</t>
  </si>
  <si>
    <t>PUBAIL BAZAR BRANCH</t>
  </si>
  <si>
    <t>PUBAIL_BAZAR_BRANCH</t>
  </si>
  <si>
    <t>PUBAIL BAZAR, GAZIPUR 1720</t>
  </si>
  <si>
    <t>02 9289165</t>
  </si>
  <si>
    <t>200331337</t>
  </si>
  <si>
    <t>RAJENDRAPUR CANTONMENT BRANCH</t>
  </si>
  <si>
    <t>RAJENDRAPUR_CANTONMENT_BRANCH</t>
  </si>
  <si>
    <t>RAJENDRAPUR CANTONMENT, JOYDEBPUR, GAZIPUR</t>
  </si>
  <si>
    <t>200330617</t>
  </si>
  <si>
    <t>SADAR THANA COMPLEX BRANCH</t>
  </si>
  <si>
    <t>SADAR_THANA_COMPLEX_BRANCH</t>
  </si>
  <si>
    <t>SADAR THANA COMPLEX, GAZIPUR</t>
  </si>
  <si>
    <t>02 9252654</t>
  </si>
  <si>
    <t>200331511</t>
  </si>
  <si>
    <t>SREEPUR THANA HEAD QUARTER BRANCH</t>
  </si>
  <si>
    <t>SREEPUR_THANA_HEAD_QUARTER_BRANCH</t>
  </si>
  <si>
    <t>THANA HEAD QUARTER, SREEPUR, GAZIPUR</t>
  </si>
  <si>
    <t>06825 51026, 017 55580793</t>
  </si>
  <si>
    <t>200331540</t>
  </si>
  <si>
    <t>STATION ROAD, GAZIPUR</t>
  </si>
  <si>
    <t>200331661</t>
  </si>
  <si>
    <t>TONGI BAZAR, GAZIPUR</t>
  </si>
  <si>
    <t>02 9801453</t>
  </si>
  <si>
    <t>200331632</t>
  </si>
  <si>
    <t>TONGI, GAZIPUR</t>
  </si>
  <si>
    <t>02 9801197</t>
  </si>
  <si>
    <t>200350071</t>
  </si>
  <si>
    <t>BANAGRAM BAZAR, GOPALGANJ</t>
  </si>
  <si>
    <t>200350163</t>
  </si>
  <si>
    <t>BHATIAPARA BRANCH</t>
  </si>
  <si>
    <t>BHATIAPARA_BRANCH</t>
  </si>
  <si>
    <t>BHATIAPARA, GOPALGANJ</t>
  </si>
  <si>
    <t>06652 56284</t>
  </si>
  <si>
    <t>200350226</t>
  </si>
  <si>
    <t>BOWLTALI BRANCH</t>
  </si>
  <si>
    <t>BOWLTALI_BRANCH</t>
  </si>
  <si>
    <t>BOWLTALI, GOPALGANJ</t>
  </si>
  <si>
    <t>017 13451947</t>
  </si>
  <si>
    <t>200350705</t>
  </si>
  <si>
    <t>DC COMPLEX BRANCH</t>
  </si>
  <si>
    <t>DC_COMPLEX_BRANCH</t>
  </si>
  <si>
    <t>DC COMPLEX, SADAR, GOPALGANJ</t>
  </si>
  <si>
    <t>0668 55302</t>
  </si>
  <si>
    <t>200350284</t>
  </si>
  <si>
    <t>GHAGOIR BRANCH</t>
  </si>
  <si>
    <t>GHAGOIR_BRANCH</t>
  </si>
  <si>
    <t>GHAGOIR, KOTLIPARA, GOPALGANJ</t>
  </si>
  <si>
    <t>06653 56229</t>
  </si>
  <si>
    <t>200350376</t>
  </si>
  <si>
    <t>GOPALGANJ SADAR,GOPALGANJ</t>
  </si>
  <si>
    <t>0668 55519</t>
  </si>
  <si>
    <t>200350589</t>
  </si>
  <si>
    <t>KASHINANI BRANCH</t>
  </si>
  <si>
    <t>KASHINANI_BRANCH</t>
  </si>
  <si>
    <t>KASHINANI, GOPALGONJ</t>
  </si>
  <si>
    <t>06652 56216</t>
  </si>
  <si>
    <t>200350734</t>
  </si>
  <si>
    <t>06654 56205</t>
  </si>
  <si>
    <t>200350792</t>
  </si>
  <si>
    <t>PACHURIA BRANCH</t>
  </si>
  <si>
    <t>PACHURIA_BRANCH</t>
  </si>
  <si>
    <t>PACHURIA, GOPALGANJ</t>
  </si>
  <si>
    <t>0668 55312</t>
  </si>
  <si>
    <t>200350826</t>
  </si>
  <si>
    <t>PATGATI BRANCH</t>
  </si>
  <si>
    <t>PATGATI_BRANCH</t>
  </si>
  <si>
    <t>PATGATI, TUNGIPARA, GOPALGANJ</t>
  </si>
  <si>
    <t>0668 56217</t>
  </si>
  <si>
    <t>200351096</t>
  </si>
  <si>
    <t>0668 56203</t>
  </si>
  <si>
    <t>200360045</t>
  </si>
  <si>
    <t>0831 53314 (Ext 14)</t>
  </si>
  <si>
    <t>200360108</t>
  </si>
  <si>
    <t>AUSHKANDI</t>
  </si>
  <si>
    <t>200360137</t>
  </si>
  <si>
    <t>0831 53317</t>
  </si>
  <si>
    <t>200360166</t>
  </si>
  <si>
    <t>0831 53346 (Ext 13)</t>
  </si>
  <si>
    <t>200360287</t>
  </si>
  <si>
    <t>CHOWDHURY BAZAR, HABIGANJ</t>
  </si>
  <si>
    <t>200360340</t>
  </si>
  <si>
    <t>0831 53349 (Ext 31)</t>
  </si>
  <si>
    <t>200360616</t>
  </si>
  <si>
    <t>0831 52516</t>
  </si>
  <si>
    <t>200360432</t>
  </si>
  <si>
    <t>INATHGANJ BRANCH</t>
  </si>
  <si>
    <t>INATHGANJ_BRANCH</t>
  </si>
  <si>
    <t>INATHGANJ, NABIGANJ, HABIGANJ</t>
  </si>
  <si>
    <t>017 14013222</t>
  </si>
  <si>
    <t>200360737</t>
  </si>
  <si>
    <t>KAKAILCHEW BRANCH</t>
  </si>
  <si>
    <t>KAKAILCHEW_BRANCH</t>
  </si>
  <si>
    <t>KAKAILCHEW, AZMIRIGANJ, HABIGANJ</t>
  </si>
  <si>
    <t>017 14013221</t>
  </si>
  <si>
    <t>200360858</t>
  </si>
  <si>
    <t>200360887</t>
  </si>
  <si>
    <t>0831 53359 (Ext 14)</t>
  </si>
  <si>
    <t>200361099</t>
  </si>
  <si>
    <t>08328 56027</t>
  </si>
  <si>
    <t>200361394</t>
  </si>
  <si>
    <t>SHAISTAGANJ BRANCH</t>
  </si>
  <si>
    <t>SHAISTAGANJ_BRANCH</t>
  </si>
  <si>
    <t>SHAISTAGANJ, HABIGANJ</t>
  </si>
  <si>
    <t>200390107</t>
  </si>
  <si>
    <t>09822 56099</t>
  </si>
  <si>
    <t>200391098</t>
  </si>
  <si>
    <t>BARA MASJID ROAD BRANCH</t>
  </si>
  <si>
    <t>BARA_MASJID_ROAD_BRANCH</t>
  </si>
  <si>
    <t>BARA MASJID ROAD, JAMALPUR</t>
  </si>
  <si>
    <t>0981 63686, 177 12510310</t>
  </si>
  <si>
    <t>200390378</t>
  </si>
  <si>
    <t>BSCIC INDUSTRIAL AREA, JAMALPUR</t>
  </si>
  <si>
    <t>0981 63563, 017 18236897</t>
  </si>
  <si>
    <t>200390431</t>
  </si>
  <si>
    <t>CHAPARKONA BRANCH</t>
  </si>
  <si>
    <t>CHAPARKONA_BRANCH</t>
  </si>
  <si>
    <t>CHAPARKONA, SHARISABARI, JAMALPUR</t>
  </si>
  <si>
    <t>017 11434627</t>
  </si>
  <si>
    <t>200390499</t>
  </si>
  <si>
    <t>0981 75009</t>
  </si>
  <si>
    <t>200390523</t>
  </si>
  <si>
    <t>DEWANGANJ SUGAR MILL BRANCH</t>
  </si>
  <si>
    <t>DEWANGANJ_SUGAR_MILL_BRANCH</t>
  </si>
  <si>
    <t>DEWANGANJ SUGAR MILL, DEWANGANJ, JAMALPUR</t>
  </si>
  <si>
    <t>09823 75038</t>
  </si>
  <si>
    <t>200390736</t>
  </si>
  <si>
    <t>HAZRABARI BRANCH</t>
  </si>
  <si>
    <t>HAZRABARI_BRANCH</t>
  </si>
  <si>
    <t>HAZRABARI, MELANDAH, JAMALPUR</t>
  </si>
  <si>
    <t>017 11434624</t>
  </si>
  <si>
    <t>200390765</t>
  </si>
  <si>
    <t>0981 74021</t>
  </si>
  <si>
    <t>200390886</t>
  </si>
  <si>
    <t>JAMALPUR BAZAR BRANCH</t>
  </si>
  <si>
    <t>JAMALPUR_BAZAR_BRANCH</t>
  </si>
  <si>
    <t>0981 63266, 017 12028853</t>
  </si>
  <si>
    <t>200390857</t>
  </si>
  <si>
    <t>0981 63121, 017 16173991</t>
  </si>
  <si>
    <t>200391001</t>
  </si>
  <si>
    <t>JAMUNA FERTILIZER FACTORY BRANCH</t>
  </si>
  <si>
    <t>JAMUNA_FERTILIZER_FACTORY_BRANCH</t>
  </si>
  <si>
    <t>09827 87024</t>
  </si>
  <si>
    <t>200391151</t>
  </si>
  <si>
    <t>MADARGANJ, JAMALPUR</t>
  </si>
  <si>
    <t>0981 63532, 63061 (Ext 4)</t>
  </si>
  <si>
    <t>200391243</t>
  </si>
  <si>
    <t>MEDICAL ROAD BRANCH</t>
  </si>
  <si>
    <t>MEDICAL_ROAD_BRANCH</t>
  </si>
  <si>
    <t>0981 63523, 017 18667053</t>
  </si>
  <si>
    <t>200391272</t>
  </si>
  <si>
    <t>0981 62505, 63078 (Ext 18)</t>
  </si>
  <si>
    <t>200391306</t>
  </si>
  <si>
    <t>017 14133284</t>
  </si>
  <si>
    <t>200391485</t>
  </si>
  <si>
    <t>09827 56027, 019 14102900</t>
  </si>
  <si>
    <t>200391519</t>
  </si>
  <si>
    <t>SARISHABARI UPZILA COMPLEX BRANCH</t>
  </si>
  <si>
    <t>SARISHABARI_UPZILA_COMPLEX_BRANCH</t>
  </si>
  <si>
    <t>UPZILA COMPLEX, SARISHABARI, JAMALPUR</t>
  </si>
  <si>
    <t>09827 56073, 017 16375322</t>
  </si>
  <si>
    <t>200391456</t>
  </si>
  <si>
    <t>SHANANDABARI BAZAR BRANCH</t>
  </si>
  <si>
    <t>SHANANDABARI_BAZAR_BRANCH</t>
  </si>
  <si>
    <t>SHANANDABARI BAZAR, DEWANGANJ, JAMALPUR</t>
  </si>
  <si>
    <t>017 11434625</t>
  </si>
  <si>
    <t>200391630</t>
  </si>
  <si>
    <t>SREEPUR KUMARIA BAZAR BRANCH</t>
  </si>
  <si>
    <t>SREEPUR_KUMARIA_BAZAR_BRANCH</t>
  </si>
  <si>
    <t>SREEPUR KUMARIA BAZAR, JAMALPUR</t>
  </si>
  <si>
    <t>017 11434626</t>
  </si>
  <si>
    <t>200410045</t>
  </si>
  <si>
    <t>ALPHA MILL GATE BRANCH</t>
  </si>
  <si>
    <t>ALPHA_MILL_GATE_BRANCH</t>
  </si>
  <si>
    <t>GANGLE BADHAL, JESSORE</t>
  </si>
  <si>
    <t>017 14085254</t>
  </si>
  <si>
    <t>200410108</t>
  </si>
  <si>
    <t>BAGANCHRA BRANCH</t>
  </si>
  <si>
    <t>BAGANCHRA_BRANCH</t>
  </si>
  <si>
    <t>BAGANCHRA, SHARSHA, JESSORE</t>
  </si>
  <si>
    <t>0421 75502 (Ext 14)</t>
  </si>
  <si>
    <t>200410137</t>
  </si>
  <si>
    <t>BAGHARPARA, JESSORE 7470</t>
  </si>
  <si>
    <t>0421 71121 (Ext 7)</t>
  </si>
  <si>
    <t>200410195</t>
  </si>
  <si>
    <t>BARINAGAR BRANCH</t>
  </si>
  <si>
    <t>BARINAGAR_BRANCH</t>
  </si>
  <si>
    <t>BARINAGAR, JESSORE 7400</t>
  </si>
  <si>
    <t>0421 67165</t>
  </si>
  <si>
    <t>200410229</t>
  </si>
  <si>
    <t>BASUNDIA BRANCH</t>
  </si>
  <si>
    <t>BASUNDIA_BRANCH</t>
  </si>
  <si>
    <t>BASUNDIA, JESSORE 7406</t>
  </si>
  <si>
    <t>0421 71128 (Ext 17)</t>
  </si>
  <si>
    <t>200410287</t>
  </si>
  <si>
    <t>BENAPOLE, SAHARSA, JESSORE</t>
  </si>
  <si>
    <t>0421 75255</t>
  </si>
  <si>
    <t>200410379</t>
  </si>
  <si>
    <t>BHATPARA BRANCH</t>
  </si>
  <si>
    <t>BHATPARA_BRANCH</t>
  </si>
  <si>
    <t>BHATPARA, ABHAYNAGAR, JESSORE</t>
  </si>
  <si>
    <t>017 14085253</t>
  </si>
  <si>
    <t>200410074</t>
  </si>
  <si>
    <t>BISE AREA, JESSORE 7400</t>
  </si>
  <si>
    <t>0421 65656</t>
  </si>
  <si>
    <t>200410461</t>
  </si>
  <si>
    <t>CHARAVITA BAZAR BRANCH</t>
  </si>
  <si>
    <t>CHARAVITA_BAZAR_BRANCH</t>
  </si>
  <si>
    <t>CHARAVITA BAZAR, BAGHARPARA, JESSORE 7470</t>
  </si>
  <si>
    <t>017 14085252</t>
  </si>
  <si>
    <t>200410524</t>
  </si>
  <si>
    <t>CHINATOLA BAZAR BRANCH</t>
  </si>
  <si>
    <t>CHINATOLA_BAZAR_BRANCH</t>
  </si>
  <si>
    <t>CHINATOLA BAZAR, MANIRAMPUR, JESSORE</t>
  </si>
  <si>
    <t>017 14085251</t>
  </si>
  <si>
    <t>200410553</t>
  </si>
  <si>
    <t>CHOWGACHA, JESSORE</t>
  </si>
  <si>
    <t>0421 71117 (Ext 29)</t>
  </si>
  <si>
    <t>200410582</t>
  </si>
  <si>
    <t>CHURAMONKHATI BRANCH</t>
  </si>
  <si>
    <t>CHURAMONKHATI_BRANCH</t>
  </si>
  <si>
    <t>CHURAMONKHATI, JESSORE SADAR, JESSORE</t>
  </si>
  <si>
    <t>0421 72852</t>
  </si>
  <si>
    <t>200410645</t>
  </si>
  <si>
    <t>DHALGRAM BRANCH</t>
  </si>
  <si>
    <t>DHALGRAM_BRANCH</t>
  </si>
  <si>
    <t>DHALGRAM, BAGHARPARA, JESSORE</t>
  </si>
  <si>
    <t>017 14085249</t>
  </si>
  <si>
    <t>200410708</t>
  </si>
  <si>
    <t>GARIB SHAH SARAK BRANCH</t>
  </si>
  <si>
    <t>GARIB_SHAH_SARAK_BRANCH</t>
  </si>
  <si>
    <t>HAZRAT GARIB SHAH SARAK, JESSORE</t>
  </si>
  <si>
    <t>0421 66220</t>
  </si>
  <si>
    <t>200411002</t>
  </si>
  <si>
    <t>JESSORE BAZAR BRANCH</t>
  </si>
  <si>
    <t>JESSORE_BAZAR_BRANCH</t>
  </si>
  <si>
    <t>HAJI MUHAMMAD MOHSIN ROAD, JESSORE</t>
  </si>
  <si>
    <t>0421 65711</t>
  </si>
  <si>
    <t>200411060</t>
  </si>
  <si>
    <t>JESSORE SADAR, JESSORE</t>
  </si>
  <si>
    <t>0421 68754, 65057, 61613</t>
  </si>
  <si>
    <t>200410887</t>
  </si>
  <si>
    <t>JESSORE CANTONMENT BRANCH</t>
  </si>
  <si>
    <t>JESSORE_CANTONMENT_BRANCH</t>
  </si>
  <si>
    <t>CANTONMENT AREA, JESSORE</t>
  </si>
  <si>
    <t>0421 63610</t>
  </si>
  <si>
    <t>200411099</t>
  </si>
  <si>
    <t>JHIKARGACHHA, JESSORE</t>
  </si>
  <si>
    <t>0421 71109 (Ext 225)</t>
  </si>
  <si>
    <t>200411152</t>
  </si>
  <si>
    <t>KARBALA ROAD</t>
  </si>
  <si>
    <t>KARBALA_ROAD</t>
  </si>
  <si>
    <t>200411215</t>
  </si>
  <si>
    <t>04226 56238</t>
  </si>
  <si>
    <t>200411257</t>
  </si>
  <si>
    <t>KHAJURA BAZAR, JESSORE 7400</t>
  </si>
  <si>
    <t>017 55606696</t>
  </si>
  <si>
    <t>200411510</t>
  </si>
  <si>
    <t>0421 78229</t>
  </si>
  <si>
    <t>200411578</t>
  </si>
  <si>
    <t>NARIKEL BARIA BRANCH</t>
  </si>
  <si>
    <t>NARIKEL_BARIA_BRANCH</t>
  </si>
  <si>
    <t>017 14085149</t>
  </si>
  <si>
    <t>200411631</t>
  </si>
  <si>
    <t>NOAPARA, ABHOYNAGAR, JESSORE</t>
  </si>
  <si>
    <t>200411723</t>
  </si>
  <si>
    <t>PAR BAZAR BRANCH</t>
  </si>
  <si>
    <t>PAR_BAZAR_BRANCH</t>
  </si>
  <si>
    <t>017 14085147</t>
  </si>
  <si>
    <t>200411815</t>
  </si>
  <si>
    <t>PURAPARA BRANCH</t>
  </si>
  <si>
    <t>PURAPARA_BRANCH</t>
  </si>
  <si>
    <t>MANDERBARIA, CHOWGACHA, JESSORE</t>
  </si>
  <si>
    <t>017 14085148</t>
  </si>
  <si>
    <t>200411907</t>
  </si>
  <si>
    <t>RAIL GATE BRANCH</t>
  </si>
  <si>
    <t>RAIL_GATE_BRANCH</t>
  </si>
  <si>
    <t>RAIL GATE, TATULTALA, JESSORE</t>
  </si>
  <si>
    <t>0421 65146</t>
  </si>
  <si>
    <t>200411994</t>
  </si>
  <si>
    <t>0421 78275 (Ext 9)</t>
  </si>
  <si>
    <t>200411844</t>
  </si>
  <si>
    <t>RN ROAD BRANCH</t>
  </si>
  <si>
    <t>RN_ROAD_BRANCH</t>
  </si>
  <si>
    <t>R N ROAD, JESSORE 7400</t>
  </si>
  <si>
    <t>0421 65202</t>
  </si>
  <si>
    <t>200412027</t>
  </si>
  <si>
    <t>RUPDIA, JESSORE SADAR, JESSORE</t>
  </si>
  <si>
    <t>0421 63813</t>
  </si>
  <si>
    <t>200412085</t>
  </si>
  <si>
    <t>SAGARDARI BAZAR BRANCH</t>
  </si>
  <si>
    <t>SAGARDARI_BAZAR_BRANCH</t>
  </si>
  <si>
    <t>SAGARDARI BAZAR, KESHABPUR, JESSORE</t>
  </si>
  <si>
    <t>200412119</t>
  </si>
  <si>
    <t>SALUA BAZAR BRANCH</t>
  </si>
  <si>
    <t>SALUA_BAZAR_BRANCH</t>
  </si>
  <si>
    <t>SALUA BAZAR, CHOWGACHA, JESSORE</t>
  </si>
  <si>
    <t>017 14085146</t>
  </si>
  <si>
    <t>200412148</t>
  </si>
  <si>
    <t>0421 75203</t>
  </si>
  <si>
    <t>200412230</t>
  </si>
  <si>
    <t>TRIMOHINI BRANCH</t>
  </si>
  <si>
    <t>TRIMOHINI_BRANCH</t>
  </si>
  <si>
    <t>TRIMOHINI, KESHABPUR, JESSORE</t>
  </si>
  <si>
    <t>017 14085145</t>
  </si>
  <si>
    <t>200412269</t>
  </si>
  <si>
    <t>ULSHI BRANCH</t>
  </si>
  <si>
    <t>ULSHI_BRANCH</t>
  </si>
  <si>
    <t>226 / 226</t>
  </si>
  <si>
    <t>ULSHI, SHARSHA, JESSORE</t>
  </si>
  <si>
    <t>017 14085144</t>
  </si>
  <si>
    <t>200420280</t>
  </si>
  <si>
    <t>COURT BUILDING, JHALAKATI</t>
  </si>
  <si>
    <t>0498 63364, 63498</t>
  </si>
  <si>
    <t>200420372</t>
  </si>
  <si>
    <t>KATHALIA, JHALAKATI</t>
  </si>
  <si>
    <t>200420406</t>
  </si>
  <si>
    <t>MOLLARHAT BRANCH</t>
  </si>
  <si>
    <t>MOLLARHAT_BRANCH</t>
  </si>
  <si>
    <t>MOLLAR HAT, NALCHITY, JHALAKATI</t>
  </si>
  <si>
    <t>017 11219383</t>
  </si>
  <si>
    <t>200420464</t>
  </si>
  <si>
    <t>NACHAN MOHAL HAT BRANCH</t>
  </si>
  <si>
    <t>NACHAN_MOHAL_HAT_BRANCH</t>
  </si>
  <si>
    <t>NACHAN MOHAL HAT, NALCHITY, JHALAKATI</t>
  </si>
  <si>
    <t>017 11219558</t>
  </si>
  <si>
    <t>200420493</t>
  </si>
  <si>
    <t>NALCHITY, JHALAKATI</t>
  </si>
  <si>
    <t>04953 74014</t>
  </si>
  <si>
    <t>200420556</t>
  </si>
  <si>
    <t>RAJAPUR, JHALAKATI</t>
  </si>
  <si>
    <t>0498 62206 (Ext 7)</t>
  </si>
  <si>
    <t>200440673</t>
  </si>
  <si>
    <t>ARAPPUR BRANCH</t>
  </si>
  <si>
    <t>ARAPPUR_BRANCH</t>
  </si>
  <si>
    <t>ARAPPUR, JHENAIDAH</t>
  </si>
  <si>
    <t>200440073</t>
  </si>
  <si>
    <t>KALIGANJ, JHENAIDAH</t>
  </si>
  <si>
    <t>017 14013215</t>
  </si>
  <si>
    <t>200440286</t>
  </si>
  <si>
    <t>BARA DOPADI BRANCH</t>
  </si>
  <si>
    <t>BARA_DOPADI_BRANCH</t>
  </si>
  <si>
    <t>200440402</t>
  </si>
  <si>
    <t>GARAGANJ BRANCH</t>
  </si>
  <si>
    <t>GARAGANJ_BRANCH</t>
  </si>
  <si>
    <t>GARAGONG, SAILPUKA, JHENAIDAH</t>
  </si>
  <si>
    <t>04526 56270</t>
  </si>
  <si>
    <t>200440499</t>
  </si>
  <si>
    <t>HARINAKUNDA, JHENAIDAH</t>
  </si>
  <si>
    <t>04522 74017</t>
  </si>
  <si>
    <t>200440552</t>
  </si>
  <si>
    <t>HATGOPALPUR BRANCH</t>
  </si>
  <si>
    <t>HATGOPALPUR_BRANCH</t>
  </si>
  <si>
    <t>HAT GOPALPUR, JHENAIDAH</t>
  </si>
  <si>
    <t>200440644</t>
  </si>
  <si>
    <t>0451 62402, 622329</t>
  </si>
  <si>
    <t>200440828</t>
  </si>
  <si>
    <t>NAIDANGA, KALIGANJ, JHENAIDAH</t>
  </si>
  <si>
    <t>0451 62201, 62277</t>
  </si>
  <si>
    <t>200440978</t>
  </si>
  <si>
    <t>KOLA BAZAR BRANCH</t>
  </si>
  <si>
    <t>KOLA_BAZAR_BRANCH</t>
  </si>
  <si>
    <t>KOLA BAZAR, KALIGANJ, JHENAIDAH</t>
  </si>
  <si>
    <t>200441001</t>
  </si>
  <si>
    <t>04524 65006</t>
  </si>
  <si>
    <t>200441069</t>
  </si>
  <si>
    <t>MADHUPUR, JHENAIDAH</t>
  </si>
  <si>
    <t>200441098</t>
  </si>
  <si>
    <t>04525 56209</t>
  </si>
  <si>
    <t>200441030</t>
  </si>
  <si>
    <t>MOBARAKGANJ SUGAR MILL BRANCH</t>
  </si>
  <si>
    <t>MOBARAKGANJ_SUGAR_MILL_BRANCH</t>
  </si>
  <si>
    <t>04523 56348</t>
  </si>
  <si>
    <t>200441122</t>
  </si>
  <si>
    <t>RABI NARIKEL BARIA BRANCH</t>
  </si>
  <si>
    <t>RABI_NARIKEL_BARIA_BRANCH</t>
  </si>
  <si>
    <t>RABI NARIKEL BARIA, JHENIDAH</t>
  </si>
  <si>
    <t>200441180</t>
  </si>
  <si>
    <t>SHAILKUPA, JHENAIDAH</t>
  </si>
  <si>
    <t>0451 62216, 62262</t>
  </si>
  <si>
    <t>200441243</t>
  </si>
  <si>
    <t>SHEIKHPARA BAZAR BRANCH</t>
  </si>
  <si>
    <t>SHEIKHPARA_BAZAR_BRANCH</t>
  </si>
  <si>
    <t>BASANTAPUR, SHAILKUPA, JHENAIDAH</t>
  </si>
  <si>
    <t>017 14013216</t>
  </si>
  <si>
    <t>200380041</t>
  </si>
  <si>
    <t>0571 62479 (Ext 12)</t>
  </si>
  <si>
    <t>200380346</t>
  </si>
  <si>
    <t>HATIL BRANCH</t>
  </si>
  <si>
    <t>HATIL_BRANCH</t>
  </si>
  <si>
    <t>HATIL, JOYPURHAT SADAR, JOYPURHAT</t>
  </si>
  <si>
    <t>200380409</t>
  </si>
  <si>
    <t>ARAFAT SUPER MARKET, JOYPURHAT</t>
  </si>
  <si>
    <t>0571 62513</t>
  </si>
  <si>
    <t>200380438</t>
  </si>
  <si>
    <t>JOYPURHAT EAST BRANCH</t>
  </si>
  <si>
    <t>JOYPURHAT_EAST_BRANCH</t>
  </si>
  <si>
    <t>0571 62345</t>
  </si>
  <si>
    <t>200380467</t>
  </si>
  <si>
    <t>0571 62420 (Ext 15)</t>
  </si>
  <si>
    <t>200380496</t>
  </si>
  <si>
    <t>0571 89103 (Ext 1)</t>
  </si>
  <si>
    <t>200380670</t>
  </si>
  <si>
    <t>0571 75021</t>
  </si>
  <si>
    <t>200380704</t>
  </si>
  <si>
    <t>PUNATHAT BRANCH</t>
  </si>
  <si>
    <t>PUNATHAT_BRANCH</t>
  </si>
  <si>
    <t>PUNATHAT, JOYPURHAT</t>
  </si>
  <si>
    <t>200460040</t>
  </si>
  <si>
    <t>0371 61948 (Ext 8)</t>
  </si>
  <si>
    <t>200460079</t>
  </si>
  <si>
    <t>KHAGRACHARI SADAR, KHAGRACHHARI</t>
  </si>
  <si>
    <t>0371 61638</t>
  </si>
  <si>
    <t>200460132</t>
  </si>
  <si>
    <t>LAKSHMICHARI BRANCH</t>
  </si>
  <si>
    <t>LAKSHMICHARI_BRANCH</t>
  </si>
  <si>
    <t>LAKSHMICHARI, KHAGRACHHARI</t>
  </si>
  <si>
    <t>0371 61958 (Ext 14)</t>
  </si>
  <si>
    <t>200460161</t>
  </si>
  <si>
    <t>MAHALCHHAI BRANCH</t>
  </si>
  <si>
    <t>MAHALCHHAI_BRANCH</t>
  </si>
  <si>
    <t>MAHALCHHAI, KHAGRACHHARI</t>
  </si>
  <si>
    <t>0371 61956 (Ext 16)</t>
  </si>
  <si>
    <t>200460190</t>
  </si>
  <si>
    <t>MANIKCHHARI, KHAGRACHHARI</t>
  </si>
  <si>
    <t>0371 61941 (Ext 4)</t>
  </si>
  <si>
    <t>200460224</t>
  </si>
  <si>
    <t>0371 61942 (Ext 4)</t>
  </si>
  <si>
    <t>200460282</t>
  </si>
  <si>
    <t>0371 61957 (Ext 35)</t>
  </si>
  <si>
    <t>200460316</t>
  </si>
  <si>
    <t>0371 61943 (Ext 99)</t>
  </si>
  <si>
    <t>200470164</t>
  </si>
  <si>
    <t>BANIAKHALI BAZAR BRANCH</t>
  </si>
  <si>
    <t>BANIAKHALI_BAZAR_BRANCH</t>
  </si>
  <si>
    <t>BANIAKHALI, DAMURIA, KHULNA</t>
  </si>
  <si>
    <t>017 13201653</t>
  </si>
  <si>
    <t>200470319</t>
  </si>
  <si>
    <t>041 760142 (Ext 43)</t>
  </si>
  <si>
    <t>200470401</t>
  </si>
  <si>
    <t>BOYRA, KHULNA</t>
  </si>
  <si>
    <t>041 762296</t>
  </si>
  <si>
    <t>200470469</t>
  </si>
  <si>
    <t>CABLE SHILPA BRANCH</t>
  </si>
  <si>
    <t>CABLE_SHILPA_BRANCH</t>
  </si>
  <si>
    <t>SHIROMONI INDUSTRIAL AREA, KHULNA 9206</t>
  </si>
  <si>
    <t>041 785814</t>
  </si>
  <si>
    <t>200470498</t>
  </si>
  <si>
    <t>041 760162 (Ext 63)</t>
  </si>
  <si>
    <t>200470614</t>
  </si>
  <si>
    <t>CUSTOM HOUSE, KHALISHPUR, KHULNA</t>
  </si>
  <si>
    <t>041 761112</t>
  </si>
  <si>
    <t>200470706</t>
  </si>
  <si>
    <t>BSONBDDHDAU</t>
  </si>
  <si>
    <t>041 762257, 760876, 760549</t>
  </si>
  <si>
    <t>200470735</t>
  </si>
  <si>
    <t>DAULATPUR COLLEGE ROAD BRANCH</t>
  </si>
  <si>
    <t>DAULATPUR_COLLEGE_ROAD_BRANCH</t>
  </si>
  <si>
    <t>BL COLLEGE CAMPUS, KHULNA</t>
  </si>
  <si>
    <t>041 762946</t>
  </si>
  <si>
    <t>200470764</t>
  </si>
  <si>
    <t>DIGHALIA BRANCH</t>
  </si>
  <si>
    <t>DIGHALIA_BRANCH</t>
  </si>
  <si>
    <t>DIGHOLIA, KHULNA</t>
  </si>
  <si>
    <t>041 761315</t>
  </si>
  <si>
    <t>200470793</t>
  </si>
  <si>
    <t>DUMURIA, KHULNA</t>
  </si>
  <si>
    <t>041 760140 (Ext 41)</t>
  </si>
  <si>
    <t>200470856</t>
  </si>
  <si>
    <t>FULBARI, KHULNA</t>
  </si>
  <si>
    <t>041 774831</t>
  </si>
  <si>
    <t>200471363</t>
  </si>
  <si>
    <t>KAZDIA, RUPSHA, KHULNA</t>
  </si>
  <si>
    <t>041 760010-11</t>
  </si>
  <si>
    <t>200471213</t>
  </si>
  <si>
    <t>237-243 NEW MARKET, KHULNA</t>
  </si>
  <si>
    <t>041 731109</t>
  </si>
  <si>
    <t>200471455</t>
  </si>
  <si>
    <t>KHALISHPUR, DAULATPUR, KHULNA</t>
  </si>
  <si>
    <t>041 762380</t>
  </si>
  <si>
    <t>200471600</t>
  </si>
  <si>
    <t>BSONBDDHKHU</t>
  </si>
  <si>
    <t>KHULNA SADAR, KHULNA</t>
  </si>
  <si>
    <t>041 813294, 725435, 722437</t>
  </si>
  <si>
    <t>200471668</t>
  </si>
  <si>
    <t>KHULNA SHIPYARD BRANCH</t>
  </si>
  <si>
    <t>KHULNA_SHIPYARD_BRANCH</t>
  </si>
  <si>
    <t>SHIPYARD ROAD, KHULNA</t>
  </si>
  <si>
    <t>041 720451</t>
  </si>
  <si>
    <t>200471789</t>
  </si>
  <si>
    <t>KOYRA, KHULNA</t>
  </si>
  <si>
    <t>041 760098</t>
  </si>
  <si>
    <t>200472083</t>
  </si>
  <si>
    <t>0402 7305</t>
  </si>
  <si>
    <t>200472146</t>
  </si>
  <si>
    <t>PHULTALA, KHULNA</t>
  </si>
  <si>
    <t>041 785014</t>
  </si>
  <si>
    <t>200472441</t>
  </si>
  <si>
    <t>SHAHPUR, DUMURIA, KHULNA</t>
  </si>
  <si>
    <t>041 761400</t>
  </si>
  <si>
    <t>200472591</t>
  </si>
  <si>
    <t>SIR IQBAL ROAD BRANCH</t>
  </si>
  <si>
    <t>SIR_IQBAL_ROAD_BRANCH</t>
  </si>
  <si>
    <t>259 / 259</t>
  </si>
  <si>
    <t>SIR IQBAL ROAD, KHULNA</t>
  </si>
  <si>
    <t>041 721063</t>
  </si>
  <si>
    <t>200472296</t>
  </si>
  <si>
    <t>SOUTH CENTRAL ROAD BRANCH</t>
  </si>
  <si>
    <t>SOUTH_CENTRAL_ROAD_BRANCH</t>
  </si>
  <si>
    <t>SOUTH CENTRAL ROAD, RUPSHA MARKET, KHULNA</t>
  </si>
  <si>
    <t>041 720793</t>
  </si>
  <si>
    <t>200472654</t>
  </si>
  <si>
    <t>TEROKHADA, KHULNA</t>
  </si>
  <si>
    <t>041 760020-21</t>
  </si>
  <si>
    <t>200480075</t>
  </si>
  <si>
    <t>AUSTAGRAM, KISHOREGANJ</t>
  </si>
  <si>
    <t>0941 55959, 55606 (Ext 6)</t>
  </si>
  <si>
    <t>200480109</t>
  </si>
  <si>
    <t>BAJITPUR, KISHOREGANJ</t>
  </si>
  <si>
    <t>0942 3321</t>
  </si>
  <si>
    <t>200480196</t>
  </si>
  <si>
    <t>BHAIRAB, KISHOREGANJ</t>
  </si>
  <si>
    <t>200480288</t>
  </si>
  <si>
    <t>CHHAYSUTI BRANCH</t>
  </si>
  <si>
    <t>CHHAYSUTI_BRANCH</t>
  </si>
  <si>
    <t>CHHOYSUTI, KULIARCHAR, KISHOREGANJ</t>
  </si>
  <si>
    <t>200480312</t>
  </si>
  <si>
    <t>DOMARAKANDA BRANCH</t>
  </si>
  <si>
    <t>DOMARAKANDA_BRANCH</t>
  </si>
  <si>
    <t>DOMARAKANDA, KULIARCHAR, KISHOREGANJ</t>
  </si>
  <si>
    <t>200480404</t>
  </si>
  <si>
    <t>DIPESHAR, HOSSAINPUR, KISHOREGANJ</t>
  </si>
  <si>
    <t>0941 55393, 55611 (Ext 6)</t>
  </si>
  <si>
    <t>200480433</t>
  </si>
  <si>
    <t>ITNA, KISHOREGANJ</t>
  </si>
  <si>
    <t>09826 56009</t>
  </si>
  <si>
    <t>200480491</t>
  </si>
  <si>
    <t>KALIACHAPRA BRANCH</t>
  </si>
  <si>
    <t>KALIACHAPRA_BRANCH</t>
  </si>
  <si>
    <t>KALIACHAPRA, PAKUNDIA, KISHOREGANJ</t>
  </si>
  <si>
    <t>200480554</t>
  </si>
  <si>
    <t>KARIMGANJ, KISHOREGANJ</t>
  </si>
  <si>
    <t>0941 55456, 55403 (Ext 1)</t>
  </si>
  <si>
    <t>200480617</t>
  </si>
  <si>
    <t>KATIADI, KISHOREGANJ</t>
  </si>
  <si>
    <t>0941 55914, 55068 (Ext 6)</t>
  </si>
  <si>
    <t>200480675</t>
  </si>
  <si>
    <t>0941 55573, 55217</t>
  </si>
  <si>
    <t>200480738</t>
  </si>
  <si>
    <t>KULIARCHAR, KISHOREGANJ</t>
  </si>
  <si>
    <t>0941 55969, 55609 (Ext 1)</t>
  </si>
  <si>
    <t>200480941</t>
  </si>
  <si>
    <t>MITHAMAIN, KISHOREGANJ</t>
  </si>
  <si>
    <t>200480970</t>
  </si>
  <si>
    <t>NIAMATPUR, KARIMGANJ, KISHOREGANJ</t>
  </si>
  <si>
    <t>200481003</t>
  </si>
  <si>
    <t>NIKLI, KISHOREGANJ</t>
  </si>
  <si>
    <t>0941 55949, 55685 (Ext 1)</t>
  </si>
  <si>
    <t>200481061</t>
  </si>
  <si>
    <t>PAKUNDIA, KISHOREGANJ</t>
  </si>
  <si>
    <t>0941 55284, 55600 (Ext 9)</t>
  </si>
  <si>
    <t>200481153</t>
  </si>
  <si>
    <t>TARAIL, KISHOREGANJ</t>
  </si>
  <si>
    <t>09434 75003</t>
  </si>
  <si>
    <t>200490102</t>
  </si>
  <si>
    <t>0581 61339, 61379</t>
  </si>
  <si>
    <t>200490131</t>
  </si>
  <si>
    <t>0581 61351, 61341</t>
  </si>
  <si>
    <t>200490407</t>
  </si>
  <si>
    <t>0581 61604, 61539</t>
  </si>
  <si>
    <t>200490465</t>
  </si>
  <si>
    <t>0581 61338, 61368</t>
  </si>
  <si>
    <t>200490199</t>
  </si>
  <si>
    <t>0581 61377, 61379</t>
  </si>
  <si>
    <t>200490586</t>
  </si>
  <si>
    <t>0581 61375, 61365</t>
  </si>
  <si>
    <t>200490610</t>
  </si>
  <si>
    <t>RAJIBPUR BRANCH</t>
  </si>
  <si>
    <t>RAJIBPUR_BRANCH</t>
  </si>
  <si>
    <t>RAJIBPUR, RAJARHAT, KURIGRAM</t>
  </si>
  <si>
    <t>0581 61378, 61373</t>
  </si>
  <si>
    <t>200490649</t>
  </si>
  <si>
    <t>0581 61372, 61352</t>
  </si>
  <si>
    <t>200490702</t>
  </si>
  <si>
    <t>0581 61360, 61340</t>
  </si>
  <si>
    <t>200500100</t>
  </si>
  <si>
    <t>071 890030 (Ext 5)</t>
  </si>
  <si>
    <t>200500289</t>
  </si>
  <si>
    <t>0702 2233</t>
  </si>
  <si>
    <t>200500313</t>
  </si>
  <si>
    <t>BHERAMARA POWER STATION BRANCH</t>
  </si>
  <si>
    <t>BHERAMARA_POWER_STATION_BRANCH</t>
  </si>
  <si>
    <t>0702 2334</t>
  </si>
  <si>
    <t>200500371</t>
  </si>
  <si>
    <t>COURT BHABAN, KUSHTIA</t>
  </si>
  <si>
    <t>071 61875</t>
  </si>
  <si>
    <t>200500463</t>
  </si>
  <si>
    <t>DAULATPUR, KUSHTIA</t>
  </si>
  <si>
    <t>071 75246</t>
  </si>
  <si>
    <t>200500492</t>
  </si>
  <si>
    <t>DOHAKHULA BRANCH</t>
  </si>
  <si>
    <t>DOHAKHULA_BRANCH</t>
  </si>
  <si>
    <t>DOHAKHULA, KUSHTIA</t>
  </si>
  <si>
    <t>071 89053-54</t>
  </si>
  <si>
    <t>200500526</t>
  </si>
  <si>
    <t>EKTARPURHAT BRANCH</t>
  </si>
  <si>
    <t>EKTARPURHAT_BRANCH</t>
  </si>
  <si>
    <t>EKTARPUR HAT, KHOKSA, KUSHTIA</t>
  </si>
  <si>
    <t>017 12828922</t>
  </si>
  <si>
    <t>200500584</t>
  </si>
  <si>
    <t>HALSHA, MIRPUR, KUSHTIA</t>
  </si>
  <si>
    <t>071 89031</t>
  </si>
  <si>
    <t>200500618</t>
  </si>
  <si>
    <t>HARINARAYANPUR BRANCH</t>
  </si>
  <si>
    <t>HARINARAYANPUR_BRANCH</t>
  </si>
  <si>
    <t>HARINARAYANPUR, KUSHTIA</t>
  </si>
  <si>
    <t>071 89032 (Ext 2)</t>
  </si>
  <si>
    <t>200500821</t>
  </si>
  <si>
    <t>JANIPUR, KHOKSA, KUSHTIA</t>
  </si>
  <si>
    <t>070 24302</t>
  </si>
  <si>
    <t>200500768</t>
  </si>
  <si>
    <t>KOYA BAZAR BRANCH</t>
  </si>
  <si>
    <t>KOYA_BAZAR_BRANCH</t>
  </si>
  <si>
    <t>KOYA BAZAR, KUMARKHALI, KUSHTIA</t>
  </si>
  <si>
    <t>017 12750452</t>
  </si>
  <si>
    <t>200500889</t>
  </si>
  <si>
    <t>KUMARKHALI, KUSHTIA</t>
  </si>
  <si>
    <t>071 76432</t>
  </si>
  <si>
    <t>200500913</t>
  </si>
  <si>
    <t>KUMARKHALI UPAZILLA COMPLEX BRANCH</t>
  </si>
  <si>
    <t>KUMARKHALI_UPAZILLA_COMPLEX_BRANCH</t>
  </si>
  <si>
    <t>UPAZILLA COMPLEX, KUMARKHALI, KUSHTIA</t>
  </si>
  <si>
    <t>071 76442</t>
  </si>
  <si>
    <t>200500942</t>
  </si>
  <si>
    <t>071 61942, 61972</t>
  </si>
  <si>
    <t>200501004</t>
  </si>
  <si>
    <t>KUSHTIA SUGAR MILLS BRANCH</t>
  </si>
  <si>
    <t>KUSHTIA_SUGAR_MILLS_BRANCH</t>
  </si>
  <si>
    <t>MILL AREA, KUSHTIA</t>
  </si>
  <si>
    <t>071 61953</t>
  </si>
  <si>
    <t>200501091</t>
  </si>
  <si>
    <t>MADHUPUR, IMAMPUR, KUMARKHALI, KUSHTIA</t>
  </si>
  <si>
    <t>017 17803935</t>
  </si>
  <si>
    <t>200501062</t>
  </si>
  <si>
    <t>MIRPUR, KUSHTIA</t>
  </si>
  <si>
    <t>071 72008 (Ext 21)</t>
  </si>
  <si>
    <t>200501217</t>
  </si>
  <si>
    <t>NANDALALPUR, KUMARKHALI, KUSHTIA</t>
  </si>
  <si>
    <t>071 89020</t>
  </si>
  <si>
    <t>200501183</t>
  </si>
  <si>
    <t>NS ROAD BRANCH</t>
  </si>
  <si>
    <t>NS_ROAD_BRANCH</t>
  </si>
  <si>
    <t>NS ROAD, KUSHTIA</t>
  </si>
  <si>
    <t>071 62044</t>
  </si>
  <si>
    <t>200501309</t>
  </si>
  <si>
    <t>PASCHIM ABDELPUR BRANCH</t>
  </si>
  <si>
    <t>PASCHIM_ABDELPUR_BRANCH</t>
  </si>
  <si>
    <t>HATIA, ABDELPUR, KUSHTIA</t>
  </si>
  <si>
    <t>017 13068471</t>
  </si>
  <si>
    <t>200501367</t>
  </si>
  <si>
    <t>PORADAHA BRANCH</t>
  </si>
  <si>
    <t>PORADAHA_BRANCH</t>
  </si>
  <si>
    <t>PORADAHA, MIRPUR, KUSHTIA</t>
  </si>
  <si>
    <t>071 62456</t>
  </si>
  <si>
    <t>200501512</t>
  </si>
  <si>
    <t>SAMASPUR BRANCH</t>
  </si>
  <si>
    <t>SAMASPUR_BRANCH</t>
  </si>
  <si>
    <t>SAMASPUR, KHOKSA, KUSHTIA</t>
  </si>
  <si>
    <t>0702 4430</t>
  </si>
  <si>
    <t>200510103</t>
  </si>
  <si>
    <t>BHAWANIGANJ, LAKSHMIPUR</t>
  </si>
  <si>
    <t>017 14039760</t>
  </si>
  <si>
    <t>200510190</t>
  </si>
  <si>
    <t>CHANDRAGANJ, LAKSHMIPUR</t>
  </si>
  <si>
    <t>017 14039757</t>
  </si>
  <si>
    <t>200510345</t>
  </si>
  <si>
    <t>CHARSHITA BRANCH</t>
  </si>
  <si>
    <t>CHARSHITA_BRANCH</t>
  </si>
  <si>
    <t>CHARSHITA, RAMGATI, LAKSHMIPUR</t>
  </si>
  <si>
    <t>017 14039763</t>
  </si>
  <si>
    <t>200510224</t>
  </si>
  <si>
    <t>CHAR ALEXANDER, RAMGATI, LAKSHMIPUR</t>
  </si>
  <si>
    <t>03823 56241</t>
  </si>
  <si>
    <t>200510316</t>
  </si>
  <si>
    <t>CHAR LAWRENCE BRANCH</t>
  </si>
  <si>
    <t>CHAR_LAWRENCE_BRANCH</t>
  </si>
  <si>
    <t>CHAR LAWRENCE, RAMGATI, LAKSHMIPUR</t>
  </si>
  <si>
    <t>200510529</t>
  </si>
  <si>
    <t>HAIDERGANJ, RAIPUR, LAKSHMIPUR</t>
  </si>
  <si>
    <t>017 14039759</t>
  </si>
  <si>
    <t>200510558</t>
  </si>
  <si>
    <t>200510666</t>
  </si>
  <si>
    <t>KAMALNAGAR BRANCH</t>
  </si>
  <si>
    <t>KAMALNAGAR_BRANCH</t>
  </si>
  <si>
    <t>066 / 066</t>
  </si>
  <si>
    <t>KAMALNAGAR, LAKSHMIPUR</t>
  </si>
  <si>
    <t>200510679</t>
  </si>
  <si>
    <t>KANCHANPUR, RAMGANJ, LAKSHMIPUR 3723</t>
  </si>
  <si>
    <t>03824 75403</t>
  </si>
  <si>
    <t>200510732</t>
  </si>
  <si>
    <t>0381 55301</t>
  </si>
  <si>
    <t>200510974</t>
  </si>
  <si>
    <t>RAIPUR, LAKSHMIPUR</t>
  </si>
  <si>
    <t>03822 56001</t>
  </si>
  <si>
    <t>200511007</t>
  </si>
  <si>
    <t>RAKHALIA BAZAR, RAIPUR, LAKSHMIPUR</t>
  </si>
  <si>
    <t>017 14039761</t>
  </si>
  <si>
    <t>200511036</t>
  </si>
  <si>
    <t>RAMGANJ, LAKSHMIPUR</t>
  </si>
  <si>
    <t>03824 75014</t>
  </si>
  <si>
    <t>200520043</t>
  </si>
  <si>
    <t>0591 61110 (Ext 8, 612)</t>
  </si>
  <si>
    <t>200520072</t>
  </si>
  <si>
    <t>BARABARIHAT BRANCH</t>
  </si>
  <si>
    <t>BARABARIHAT_BRANCH</t>
  </si>
  <si>
    <t>BARABARI HAT, LALMONIRHAT</t>
  </si>
  <si>
    <t>200520193</t>
  </si>
  <si>
    <t>BURIMARI, LALMONIRHAT</t>
  </si>
  <si>
    <t>200520401</t>
  </si>
  <si>
    <t>0591 61271 (Ext 17, 61)</t>
  </si>
  <si>
    <t>200520430</t>
  </si>
  <si>
    <t>KALIGANJ, LALMONIRHAT</t>
  </si>
  <si>
    <t>0591 61271 (Ext 27, 61)</t>
  </si>
  <si>
    <t>200520469</t>
  </si>
  <si>
    <t>0591 61423</t>
  </si>
  <si>
    <t>200520522</t>
  </si>
  <si>
    <t>MOHISHKHOCHA BRANCH</t>
  </si>
  <si>
    <t>MOHISHKHOCHA_BRANCH</t>
  </si>
  <si>
    <t>MOHISHKHOCHA, ADITMARI, LALMONIRHAT</t>
  </si>
  <si>
    <t>200520580</t>
  </si>
  <si>
    <t>0591 61204 (Ext 11, 61)</t>
  </si>
  <si>
    <t>200540131</t>
  </si>
  <si>
    <t>CHARMUGURIA, MADARIPUR 7901</t>
  </si>
  <si>
    <t>0661 55508</t>
  </si>
  <si>
    <t>200540160</t>
  </si>
  <si>
    <t>DATTAPARA BAZAR BRANCH</t>
  </si>
  <si>
    <t>DATTAPARA_BAZAR_BRANCH</t>
  </si>
  <si>
    <t>DATTAPARA, SHIBCHAR, MADARIPUR</t>
  </si>
  <si>
    <t>200540281</t>
  </si>
  <si>
    <t>KALKINI, MADARIPUR</t>
  </si>
  <si>
    <t>0661 55297 (Ext 7)</t>
  </si>
  <si>
    <t>200540344</t>
  </si>
  <si>
    <t>KULPADDI BRANCH</t>
  </si>
  <si>
    <t>KULPADDI_BRANCH</t>
  </si>
  <si>
    <t>KULPADDI, MADARIPUR SADAR, MADARIPUR 7902</t>
  </si>
  <si>
    <t>0661 55292</t>
  </si>
  <si>
    <t>200540407</t>
  </si>
  <si>
    <t>0661 55507, 55273</t>
  </si>
  <si>
    <t>200540528</t>
  </si>
  <si>
    <t>MILL GATE BRANCH</t>
  </si>
  <si>
    <t>MILL_GATE_BRANCH</t>
  </si>
  <si>
    <t>ITERPUL, MADARIPUR 7900</t>
  </si>
  <si>
    <t>0661 55506</t>
  </si>
  <si>
    <t>200540373</t>
  </si>
  <si>
    <t>POURASHAVA BRANCH</t>
  </si>
  <si>
    <t>POURASHAVA_BRANCH</t>
  </si>
  <si>
    <t>0661 55574</t>
  </si>
  <si>
    <t>200540649</t>
  </si>
  <si>
    <t>RAJOIR, MADARIPUR</t>
  </si>
  <si>
    <t>06623 56111</t>
  </si>
  <si>
    <t>200540702</t>
  </si>
  <si>
    <t>SHIBCHAR, MADARIPUR</t>
  </si>
  <si>
    <t>06624 56112</t>
  </si>
  <si>
    <t>200540760</t>
  </si>
  <si>
    <t>TAKERHAT, RAJOIR, MADARIPUR</t>
  </si>
  <si>
    <t>06623 56301</t>
  </si>
  <si>
    <t>200550255</t>
  </si>
  <si>
    <t>BUNAGATI BAZAR BRANCH</t>
  </si>
  <si>
    <t>BUNAGATI_BAZAR_BRANCH</t>
  </si>
  <si>
    <t>BUNAGATI, MAGURA</t>
  </si>
  <si>
    <t>017 14070697</t>
  </si>
  <si>
    <t>200550550</t>
  </si>
  <si>
    <t>0488 62415, 62296</t>
  </si>
  <si>
    <t>200550613</t>
  </si>
  <si>
    <t>MOHAMMADPUR, MAGURA</t>
  </si>
  <si>
    <t>04852 75009</t>
  </si>
  <si>
    <t>200550705</t>
  </si>
  <si>
    <t>NOTUN BAZAR BRANCH</t>
  </si>
  <si>
    <t>NOTUN_BAZAR_BRANCH</t>
  </si>
  <si>
    <t>NOTUN BAZAR, MAGURA 7600</t>
  </si>
  <si>
    <t>0488 62348</t>
  </si>
  <si>
    <t>200550497</t>
  </si>
  <si>
    <t>PURATAN BAZAR, MAGURA 7600</t>
  </si>
  <si>
    <t>0488 62421</t>
  </si>
  <si>
    <t>200550884</t>
  </si>
  <si>
    <t>SHALIKHA BRANCH</t>
  </si>
  <si>
    <t>SHALIKHA_BRANCH</t>
  </si>
  <si>
    <t>SHALIKHA, MAGURA</t>
  </si>
  <si>
    <t>0488 62202</t>
  </si>
  <si>
    <t>200550976</t>
  </si>
  <si>
    <t>04854 56109</t>
  </si>
  <si>
    <t>200560108</t>
  </si>
  <si>
    <t>BALIRTEK BAZAR BRANCH</t>
  </si>
  <si>
    <t>BALIRTEK_BAZAR_BRANCH</t>
  </si>
  <si>
    <t>BALIRTEK BAZAR, MANIKGANJ SADAR, MANIKGANJ 1810</t>
  </si>
  <si>
    <t>017 14039786</t>
  </si>
  <si>
    <t>200560195</t>
  </si>
  <si>
    <t>CHANDAHAR BRANCH</t>
  </si>
  <si>
    <t>CHANDAHAR_BRANCH</t>
  </si>
  <si>
    <t>CHANDOIR, SINGAIR, MANIKGANJ</t>
  </si>
  <si>
    <t>017 14039785</t>
  </si>
  <si>
    <t>200560258</t>
  </si>
  <si>
    <t>DARGRAM BRANCH</t>
  </si>
  <si>
    <t>DARGRAM_BRANCH</t>
  </si>
  <si>
    <t>DARGRAM, SATURIA, MANIKGANJ</t>
  </si>
  <si>
    <t>017 14039787</t>
  </si>
  <si>
    <t>200560287</t>
  </si>
  <si>
    <t>0651 74005</t>
  </si>
  <si>
    <t>200560379</t>
  </si>
  <si>
    <t>0651 61791 (Ext 17)</t>
  </si>
  <si>
    <t>200560432</t>
  </si>
  <si>
    <t>HARIRAMPUR, MANIKGANJ</t>
  </si>
  <si>
    <t>0651 61288, 61336</t>
  </si>
  <si>
    <t>200560616</t>
  </si>
  <si>
    <t>MANIKGANJ SADAR, MANIKGANJ</t>
  </si>
  <si>
    <t>0651 61599</t>
  </si>
  <si>
    <t>200560645</t>
  </si>
  <si>
    <t>MANIKGANJ UPAZILA COMPLEX</t>
  </si>
  <si>
    <t>MANIKGANJ_UPAZILA_COMPLEX</t>
  </si>
  <si>
    <t>200560766</t>
  </si>
  <si>
    <t>SATURIA BAZAR, MANIKGANJ</t>
  </si>
  <si>
    <t>0651 61268 (Ext 15)</t>
  </si>
  <si>
    <t>200560795</t>
  </si>
  <si>
    <t>SHIVALAYA BRANCH</t>
  </si>
  <si>
    <t>SHIVALAYA_BRANCH</t>
  </si>
  <si>
    <t>SHIVALAYA, MANIKGANJ</t>
  </si>
  <si>
    <t>0651 75039</t>
  </si>
  <si>
    <t>200560829</t>
  </si>
  <si>
    <t>0651 71012</t>
  </si>
  <si>
    <t>200570048</t>
  </si>
  <si>
    <t>AMJHUPI BRANCH</t>
  </si>
  <si>
    <t>AMJHUPI_BRANCH</t>
  </si>
  <si>
    <t>AMJHUPI, MEHERPUR SADAR, MEHERPUR 7101</t>
  </si>
  <si>
    <t>0791 662562</t>
  </si>
  <si>
    <t>200570406</t>
  </si>
  <si>
    <t>COURT BHABAN, MEHERPUR</t>
  </si>
  <si>
    <t>0791 62503</t>
  </si>
  <si>
    <t>200570222</t>
  </si>
  <si>
    <t>GANGNI, MEHERPUR</t>
  </si>
  <si>
    <t>07922 75015</t>
  </si>
  <si>
    <t>200570251</t>
  </si>
  <si>
    <t>GANGNI THANA PARISHAD BRANCH</t>
  </si>
  <si>
    <t>GANGNI_THANA_PARISHAD_BRANCH</t>
  </si>
  <si>
    <t>THANA PARISHAD, GANGNI, MEHERPUR</t>
  </si>
  <si>
    <t>07922 75071</t>
  </si>
  <si>
    <t>200570280</t>
  </si>
  <si>
    <t>GARADOB BRANCH</t>
  </si>
  <si>
    <t>GARADOB_BRANCH</t>
  </si>
  <si>
    <t>GARADOB, GANGNI, MEHERPUR</t>
  </si>
  <si>
    <t>017 14070627</t>
  </si>
  <si>
    <t>200570314</t>
  </si>
  <si>
    <t>JORE PUKURIA BRANCH</t>
  </si>
  <si>
    <t>JORE_PUKURIA_BRANCH</t>
  </si>
  <si>
    <t>BAMANDI, GANGNI, MEHERPUR</t>
  </si>
  <si>
    <t>017 14070624</t>
  </si>
  <si>
    <t>200570372</t>
  </si>
  <si>
    <t>0791 63091</t>
  </si>
  <si>
    <t>200570493</t>
  </si>
  <si>
    <t>MUJIBNAGAR, MEHERPUR</t>
  </si>
  <si>
    <t>017 14132965</t>
  </si>
  <si>
    <t>200580104</t>
  </si>
  <si>
    <t>BARLEKHA, MOULVIBAZAR</t>
  </si>
  <si>
    <t>08622 56004</t>
  </si>
  <si>
    <t>200580162</t>
  </si>
  <si>
    <t>BHAIRABGANJ BAZAR BRANCH</t>
  </si>
  <si>
    <t>BHAIRABGANJ_BAZAR_BRANCH</t>
  </si>
  <si>
    <t>NARAYANCHARA, SREEMANGAL, MOULVIBAZAR</t>
  </si>
  <si>
    <t>017 14009022</t>
  </si>
  <si>
    <t>200580346</t>
  </si>
  <si>
    <t>CHANDGRAM BRANCH</t>
  </si>
  <si>
    <t>CHANDGRAM_BRANCH</t>
  </si>
  <si>
    <t>CHANDGRAM, BARLEKHA, MOULVIBAZAR</t>
  </si>
  <si>
    <t>017 14009014</t>
  </si>
  <si>
    <t>200580317</t>
  </si>
  <si>
    <t>0861 52281</t>
  </si>
  <si>
    <t>200580975</t>
  </si>
  <si>
    <t>COURT ROAD, MOULVIBAZAR</t>
  </si>
  <si>
    <t>0861 52266</t>
  </si>
  <si>
    <t>200580520</t>
  </si>
  <si>
    <t>MOULVIBAZAR SADAR, MOULVIBAZAR</t>
  </si>
  <si>
    <t>0861 52480</t>
  </si>
  <si>
    <t>200580670</t>
  </si>
  <si>
    <t>JURI, MOULVIBAZAR</t>
  </si>
  <si>
    <t>017 14071478</t>
  </si>
  <si>
    <t>200580704</t>
  </si>
  <si>
    <t>KADAMHATA BRANCH</t>
  </si>
  <si>
    <t>KADAMHATA_BRANCH</t>
  </si>
  <si>
    <t>KADAMHATA, MOULVIBAZAR</t>
  </si>
  <si>
    <t>0861 52399</t>
  </si>
  <si>
    <t>200580762</t>
  </si>
  <si>
    <t>KERAMAT NAGAR, KAMALGANJ, MOULVIBAZAR</t>
  </si>
  <si>
    <t>0861 51106-7 (Ext 15)</t>
  </si>
  <si>
    <t>200580791</t>
  </si>
  <si>
    <t>KAMALPUR BAZAR BRANCH</t>
  </si>
  <si>
    <t>KAMALPUR_BAZAR_BRANCH</t>
  </si>
  <si>
    <t>AKHAILKURA, MOULVIBAZAR</t>
  </si>
  <si>
    <t>0861 52302</t>
  </si>
  <si>
    <t>200580946</t>
  </si>
  <si>
    <t>08624 56005</t>
  </si>
  <si>
    <t>200581187</t>
  </si>
  <si>
    <t>0861 52225, 54472, 53777, 82225</t>
  </si>
  <si>
    <t>200581240</t>
  </si>
  <si>
    <t>MUNSHIBAZAR BRANCH</t>
  </si>
  <si>
    <t>MUNSHIBAZAR_BRANCH</t>
  </si>
  <si>
    <t>MUNSHIBAZAR, KAMALGANJ, MOULVIBAZAR</t>
  </si>
  <si>
    <t>200581332</t>
  </si>
  <si>
    <t>PHULERTAL BAZAR BRANCH</t>
  </si>
  <si>
    <t>PHULERTAL_BAZAR_BRANCH</t>
  </si>
  <si>
    <t>BARAMCHAL, KULAURA, MOULVIBAZAR</t>
  </si>
  <si>
    <t>017 14009015</t>
  </si>
  <si>
    <t>200581390</t>
  </si>
  <si>
    <t>0861 75016</t>
  </si>
  <si>
    <t>200580467</t>
  </si>
  <si>
    <t>SADAR UPAZILA BRANCH</t>
  </si>
  <si>
    <t>SADAR_UPAZILA_BRANCH</t>
  </si>
  <si>
    <t>017 14009017</t>
  </si>
  <si>
    <t>200581482</t>
  </si>
  <si>
    <t>SARKAR BAZAR BRANCH</t>
  </si>
  <si>
    <t>SARKAR_BAZAR_BRANCH</t>
  </si>
  <si>
    <t>SADUHALI, MOULVIBAZAR</t>
  </si>
  <si>
    <t>017 14009016</t>
  </si>
  <si>
    <t>200581516</t>
  </si>
  <si>
    <t>SATGAON, SREEMANGAL, MOULVIBAZAR 3214</t>
  </si>
  <si>
    <t>017 14009018</t>
  </si>
  <si>
    <t>200581545</t>
  </si>
  <si>
    <t>SHAHBAZPUR, BARLEKHA, MOULVIBAZAR 3250</t>
  </si>
  <si>
    <t>017 14009013</t>
  </si>
  <si>
    <t>200581608</t>
  </si>
  <si>
    <t>SHAMSHER NAGAR BRANCH</t>
  </si>
  <si>
    <t>SHAMSHER_NAGAR_BRANCH</t>
  </si>
  <si>
    <t>SHAMSHER NAGAR, KAMALGANJ, MOULVIBAZAR</t>
  </si>
  <si>
    <t>017 14009021</t>
  </si>
  <si>
    <t>200581729</t>
  </si>
  <si>
    <t>200581758</t>
  </si>
  <si>
    <t>TARAPASHA BAZAR BRANCH</t>
  </si>
  <si>
    <t>TARAPASHA_BAZAR_BRANCH</t>
  </si>
  <si>
    <t>TARAPASHA BAZAR, RAJNAGAR, MOULVIBAZAR</t>
  </si>
  <si>
    <t>017 14009023</t>
  </si>
  <si>
    <t>200590165</t>
  </si>
  <si>
    <t>BALURCHAR BRANCH</t>
  </si>
  <si>
    <t>BALURCHAR_BRANCH</t>
  </si>
  <si>
    <t>BALURCHAR, SIRAJDIKHAN, MUNSHIGANJ</t>
  </si>
  <si>
    <t>017 14039780</t>
  </si>
  <si>
    <t>200590194</t>
  </si>
  <si>
    <t>BASHAIL BRANCH</t>
  </si>
  <si>
    <t>BASHAIL_BRANCH</t>
  </si>
  <si>
    <t>BASHAIL, SIRAJDIKHAN, MUNSHIGANJ</t>
  </si>
  <si>
    <t>017 14100932</t>
  </si>
  <si>
    <t>200590286</t>
  </si>
  <si>
    <t>017 14100934</t>
  </si>
  <si>
    <t>200590402</t>
  </si>
  <si>
    <t>DIGHALI BAZAR, LOUHAJONG, MUNSHIGANJ</t>
  </si>
  <si>
    <t>06923 56009</t>
  </si>
  <si>
    <t>200590460</t>
  </si>
  <si>
    <t>017 14039777</t>
  </si>
  <si>
    <t>200590523</t>
  </si>
  <si>
    <t>HALDIA BAZAR BRANCH</t>
  </si>
  <si>
    <t>HALDIA_BAZAR_BRANCH</t>
  </si>
  <si>
    <t>HALDIA, LOUHAJONG, MUNSHIGANJ</t>
  </si>
  <si>
    <t>017 14039782</t>
  </si>
  <si>
    <t>200590794</t>
  </si>
  <si>
    <t>KEYAIN BRANCH</t>
  </si>
  <si>
    <t>KEYAIN_BRANCH</t>
  </si>
  <si>
    <t>KEYAIN, SIRAJDIKHAN, MUNSHIGANJ</t>
  </si>
  <si>
    <t>017 14039778</t>
  </si>
  <si>
    <t>200590910</t>
  </si>
  <si>
    <t>MAWA, LOUHAJONG, MUNSHIGANJ</t>
  </si>
  <si>
    <t>017 14100933</t>
  </si>
  <si>
    <t>200591030</t>
  </si>
  <si>
    <t>0691 62119</t>
  </si>
  <si>
    <t>200591214</t>
  </si>
  <si>
    <t>RIKABI BAZAR BRANCH</t>
  </si>
  <si>
    <t>RIKABI_BAZAR_BRANCH</t>
  </si>
  <si>
    <t>RIKABI BAZAR, MIRKADIM, MUNSHIGANJ</t>
  </si>
  <si>
    <t>0691 62188</t>
  </si>
  <si>
    <t>200591306</t>
  </si>
  <si>
    <t>SHEKHAR NAGAR BRANCH</t>
  </si>
  <si>
    <t>SHEKHAR_NAGAR_BRANCH</t>
  </si>
  <si>
    <t>SHEKHAR NAGAR, SIRAJDIKHAN, MUNSHIGANJ</t>
  </si>
  <si>
    <t>017 14039781</t>
  </si>
  <si>
    <t>200591485</t>
  </si>
  <si>
    <t>SHUKHBASHPUR BRANCH</t>
  </si>
  <si>
    <t>SHUKHBASHPUR_BRANCH</t>
  </si>
  <si>
    <t>SHUKHBASHPUR, MUNSHIGANJ SADAR, MUNSHIGANJ</t>
  </si>
  <si>
    <t>0691 62489</t>
  </si>
  <si>
    <t>200591393</t>
  </si>
  <si>
    <t>06924 63036</t>
  </si>
  <si>
    <t>200591427</t>
  </si>
  <si>
    <t>0691 62093, 62493</t>
  </si>
  <si>
    <t>200591243</t>
  </si>
  <si>
    <t>SYEDPUR, SIRAJDIKHAN, MUNSHIGANJ</t>
  </si>
  <si>
    <t>017 1401714</t>
  </si>
  <si>
    <t>200591519</t>
  </si>
  <si>
    <t>TALTOLA BAZAR BRANCH</t>
  </si>
  <si>
    <t>TALTOLA_BAZAR_BRANCH</t>
  </si>
  <si>
    <t>TALTOLA BAZAR, SIRAJDIKHAN, MUNSHIGANJ</t>
  </si>
  <si>
    <t>017 14039779</t>
  </si>
  <si>
    <t>200591548</t>
  </si>
  <si>
    <t>0691 74003</t>
  </si>
  <si>
    <t>200610108</t>
  </si>
  <si>
    <t>ASIM BAZAR BRANCH</t>
  </si>
  <si>
    <t>ASIM_BAZAR_BRANCH</t>
  </si>
  <si>
    <t>ASIM BAZAR, FULBARIA, MYMENSINGH</t>
  </si>
  <si>
    <t>017 14013249</t>
  </si>
  <si>
    <t>200610229</t>
  </si>
  <si>
    <t>BALIA BAZAR BRANCH</t>
  </si>
  <si>
    <t>BALIA_BAZAR_BRANCH</t>
  </si>
  <si>
    <t>BALIA BAZAR, PHULPUR, MYMENSINGH</t>
  </si>
  <si>
    <t>017 14013223</t>
  </si>
  <si>
    <t>200610311</t>
  </si>
  <si>
    <t>09022 56002</t>
  </si>
  <si>
    <t>200610340</t>
  </si>
  <si>
    <t>BINA BRANCH</t>
  </si>
  <si>
    <t>BINA_BRANCH</t>
  </si>
  <si>
    <t>BINA CAMPUS, KOTWALI, MYMENSINGH</t>
  </si>
  <si>
    <t>091 64375</t>
  </si>
  <si>
    <t>200610858</t>
  </si>
  <si>
    <t>09034 56005</t>
  </si>
  <si>
    <t>200610940</t>
  </si>
  <si>
    <t>09023 73015</t>
  </si>
  <si>
    <t>200611002</t>
  </si>
  <si>
    <t>SOLOHASIA, GAFARGAON MYMENSINGH 2230</t>
  </si>
  <si>
    <t>09025 56004</t>
  </si>
  <si>
    <t>200611060</t>
  </si>
  <si>
    <t>09024 56015</t>
  </si>
  <si>
    <t>200611123</t>
  </si>
  <si>
    <t>GYESHPUR BAZAR BRANCH</t>
  </si>
  <si>
    <t>GYESHPUR_BAZAR_BRANCH</t>
  </si>
  <si>
    <t>GYESHPUR BAZAR, GAFARGAON, MYMENSINGH</t>
  </si>
  <si>
    <t>017 14013224</t>
  </si>
  <si>
    <t>200611152</t>
  </si>
  <si>
    <t>09026 56021</t>
  </si>
  <si>
    <t>200611181</t>
  </si>
  <si>
    <t>09027 56014</t>
  </si>
  <si>
    <t>200611994</t>
  </si>
  <si>
    <t>119 / 199</t>
  </si>
  <si>
    <t>KALIBARI BAZAR, MUKTAGACHHA, MYMENSINGH</t>
  </si>
  <si>
    <t>017 14006792</t>
  </si>
  <si>
    <t>200611365</t>
  </si>
  <si>
    <t>KESHOREGANJ BAZAR BRANCH</t>
  </si>
  <si>
    <t>KESHOREGANJ_BAZAR_BRANCH</t>
  </si>
  <si>
    <t>KESHOREGANJ BAZAR, FULBARIA, MYMENSINGH</t>
  </si>
  <si>
    <t>017 14006509</t>
  </si>
  <si>
    <t>200611549</t>
  </si>
  <si>
    <t>MATSA GABESHANA INSTITUTE BRANCH</t>
  </si>
  <si>
    <t>MATSA_GABESHANA_INSTITUTE_BRANCH</t>
  </si>
  <si>
    <t>KOTWALI, MYMENSINGH</t>
  </si>
  <si>
    <t>091 67539</t>
  </si>
  <si>
    <t>200611699</t>
  </si>
  <si>
    <t>09028 75238</t>
  </si>
  <si>
    <t>200611752</t>
  </si>
  <si>
    <t>091 64378, 67790, 66578</t>
  </si>
  <si>
    <t>200611781</t>
  </si>
  <si>
    <t>MYMENSINGH BUSINESS CENTRE BRANCH</t>
  </si>
  <si>
    <t>MYMENSINGH_BUSINESS_CENTRE_BRANCH</t>
  </si>
  <si>
    <t>HOLDING NO 87, KOTWALI, MYMENSINGH</t>
  </si>
  <si>
    <t>091 67586, 67032</t>
  </si>
  <si>
    <t>200611907</t>
  </si>
  <si>
    <t>09029 64012</t>
  </si>
  <si>
    <t>200610979</t>
  </si>
  <si>
    <t>09033 56043</t>
  </si>
  <si>
    <t>200610524</t>
  </si>
  <si>
    <t>SHAMBHUGANJ BAZAR BRANCH</t>
  </si>
  <si>
    <t>SHAMBHUGANJ_BAZAR_BRANCH</t>
  </si>
  <si>
    <t>SHAMBHUGANJ, KOTWALI, MYMENSINGH</t>
  </si>
  <si>
    <t>091 66745</t>
  </si>
  <si>
    <t>200612148</t>
  </si>
  <si>
    <t>SHIBGANJ, GAFARGAON, MYMENSINGH 2231</t>
  </si>
  <si>
    <t>017 14011853</t>
  </si>
  <si>
    <t>200612298</t>
  </si>
  <si>
    <t>TAHERGHAT BAZAR BRANCH</t>
  </si>
  <si>
    <t>TAHERGHAT_BAZAR_BRANCH</t>
  </si>
  <si>
    <t>TAHERGHAT, NANDAIL, MYMENSINGH</t>
  </si>
  <si>
    <t>017 14012015</t>
  </si>
  <si>
    <t>200612269</t>
  </si>
  <si>
    <t>TARAKANDA, PHULPUR, MYMENSINGH 2252</t>
  </si>
  <si>
    <t>09042 51210</t>
  </si>
  <si>
    <t>200612351</t>
  </si>
  <si>
    <t>09032 56009</t>
  </si>
  <si>
    <t>200640044</t>
  </si>
  <si>
    <t>ABADPUKURHAT BRANCH</t>
  </si>
  <si>
    <t>ABADPUKURHAT_BRANCH</t>
  </si>
  <si>
    <t>ABADPUKURHAT, NAOGAON 6500</t>
  </si>
  <si>
    <t>200640165</t>
  </si>
  <si>
    <t>AHSANGANJ, ATRAI, NAOGAON</t>
  </si>
  <si>
    <t>0741 52158 (Ext 2)</t>
  </si>
  <si>
    <t>200640194</t>
  </si>
  <si>
    <t>0741 52217 (Ext 19)</t>
  </si>
  <si>
    <t>200640349</t>
  </si>
  <si>
    <t>BHANDARPUR BRANCH</t>
  </si>
  <si>
    <t>BHANDARPUR_BRANCH</t>
  </si>
  <si>
    <t>BHANDARPUR, BADALGACHHI, NAOGAON</t>
  </si>
  <si>
    <t>200640378</t>
  </si>
  <si>
    <t>BHAWANIPUR BAZAR BRANCH</t>
  </si>
  <si>
    <t>BHAWANIPUR_BAZAR_BRANCH</t>
  </si>
  <si>
    <t>RAGHURAMPUR, NAOGAON</t>
  </si>
  <si>
    <t>200640499</t>
  </si>
  <si>
    <t>DHAMUIR HAT BRANCH</t>
  </si>
  <si>
    <t>DHAMUIR_HAT_BRANCH</t>
  </si>
  <si>
    <t>DHAMUIR HAT, NAOGAON</t>
  </si>
  <si>
    <t>0741 52315 (Ext 14)</t>
  </si>
  <si>
    <t>200640910</t>
  </si>
  <si>
    <t>KD MORE BRANCH</t>
  </si>
  <si>
    <t>KD_MORE_BRANCH</t>
  </si>
  <si>
    <t>K D MORE, NAOGAON 6500</t>
  </si>
  <si>
    <t>0741 52319</t>
  </si>
  <si>
    <t>200641122</t>
  </si>
  <si>
    <t>MAHISHBATHAN BRANCH</t>
  </si>
  <si>
    <t>MAHISHBATHAN_BRANCH</t>
  </si>
  <si>
    <t>MAHISHBATHAN, NAOGAON</t>
  </si>
  <si>
    <t>200641001</t>
  </si>
  <si>
    <t>MANDA, PRASADPUR, NAOGAON 6511</t>
  </si>
  <si>
    <t>0741 52015 (Ext 2)</t>
  </si>
  <si>
    <t>200641098</t>
  </si>
  <si>
    <t>MOHADEVPUR BRANCH</t>
  </si>
  <si>
    <t>MOHADEVPUR_BRANCH</t>
  </si>
  <si>
    <t>MOHADEVPUR, NAOGAON</t>
  </si>
  <si>
    <t>0741 52186 (Ext 5)</t>
  </si>
  <si>
    <t>200641151</t>
  </si>
  <si>
    <t>MONGALBARIHAT BRANCH</t>
  </si>
  <si>
    <t>MONGALBARIHAT_BRANCH</t>
  </si>
  <si>
    <t>MONGALBARI HAT, NAOGAON</t>
  </si>
  <si>
    <t>200641180</t>
  </si>
  <si>
    <t>NAOGAON SADAR, NAOGAON</t>
  </si>
  <si>
    <t>0741 52107</t>
  </si>
  <si>
    <t>200641272</t>
  </si>
  <si>
    <t>0741 52191 (Ext 2)</t>
  </si>
  <si>
    <t>200641456</t>
  </si>
  <si>
    <t>PATNITALA, NAOGAON</t>
  </si>
  <si>
    <t>200641519</t>
  </si>
  <si>
    <t>0741 52371</t>
  </si>
  <si>
    <t>200641601</t>
  </si>
  <si>
    <t>STATION ROAD, RANINAGAR, NAOGAON</t>
  </si>
  <si>
    <t>0741 52070 (Ext 9)</t>
  </si>
  <si>
    <t>200641751</t>
  </si>
  <si>
    <t>0741 52002 (Ext 16)</t>
  </si>
  <si>
    <t>200641935</t>
  </si>
  <si>
    <t>TRIMOHINI, RANINAGAR, NAOGAON</t>
  </si>
  <si>
    <t>200641630</t>
  </si>
  <si>
    <t>TTDC BRANCH</t>
  </si>
  <si>
    <t>TTDC_BRANCH</t>
  </si>
  <si>
    <t>07433 56014</t>
  </si>
  <si>
    <t>200650168</t>
  </si>
  <si>
    <t>CHACHURI BAZAR BRANCH</t>
  </si>
  <si>
    <t>CHACHURI_BAZAR_BRANCH</t>
  </si>
  <si>
    <t>CHACHURI BAZAR, KALIA, NARAIL 7520</t>
  </si>
  <si>
    <t>017 14094421</t>
  </si>
  <si>
    <t>200650221</t>
  </si>
  <si>
    <t>GOBRA BRANCH</t>
  </si>
  <si>
    <t>GOBRA_BRANCH</t>
  </si>
  <si>
    <t>GOBRA, NARAIL</t>
  </si>
  <si>
    <t>017 14094420</t>
  </si>
  <si>
    <t>200650342</t>
  </si>
  <si>
    <t>KALIA, NARAIL</t>
  </si>
  <si>
    <t>04822 56011</t>
  </si>
  <si>
    <t>200650434</t>
  </si>
  <si>
    <t>LAKSHMIPASHA BRANCH</t>
  </si>
  <si>
    <t>LAKSHMIPASHA_BRANCH</t>
  </si>
  <si>
    <t>LAKSHMIPASHA, LOHAGARA, NARAIL</t>
  </si>
  <si>
    <t>04823 56116</t>
  </si>
  <si>
    <t>200650492</t>
  </si>
  <si>
    <t>LOHAGARA, NARAIL</t>
  </si>
  <si>
    <t>04823 56322</t>
  </si>
  <si>
    <t>200650555</t>
  </si>
  <si>
    <t>MAHAJAN BAZAR BRANCH</t>
  </si>
  <si>
    <t>MAHAJAN_BAZAR_BRANCH</t>
  </si>
  <si>
    <t>MAHAJAN BAZAR, KALIA, NARAIL</t>
  </si>
  <si>
    <t>200650647</t>
  </si>
  <si>
    <t>0481 338</t>
  </si>
  <si>
    <t>200650676</t>
  </si>
  <si>
    <t>PERULI BAZAR BRANCH</t>
  </si>
  <si>
    <t>PERULI_BAZAR_BRANCH</t>
  </si>
  <si>
    <t>PERULI BAZAR, KALIA, NARAIL</t>
  </si>
  <si>
    <t>017 14094422</t>
  </si>
  <si>
    <t>200650739</t>
  </si>
  <si>
    <t>RATANGANJ, NARAIL SADAR, NARAIL 7501</t>
  </si>
  <si>
    <t>0481 204</t>
  </si>
  <si>
    <t>200650797</t>
  </si>
  <si>
    <t>TULARAMPUR BRANCH</t>
  </si>
  <si>
    <t>TULARAMPUR_BRANCH</t>
  </si>
  <si>
    <t>TULARAMPUR, NARAIL</t>
  </si>
  <si>
    <t>017 14094419</t>
  </si>
  <si>
    <t>200650371</t>
  </si>
  <si>
    <t>ZILLA PARISHAD, NARAIL</t>
  </si>
  <si>
    <t>0481 219</t>
  </si>
  <si>
    <t>200670043</t>
  </si>
  <si>
    <t>06722 56019</t>
  </si>
  <si>
    <t>200670164</t>
  </si>
  <si>
    <t>BANDAR TOWER, NARAYANGANJ 1410</t>
  </si>
  <si>
    <t>018 18399776</t>
  </si>
  <si>
    <t>200670377</t>
  </si>
  <si>
    <t>DHARMAGANJ BRANCH</t>
  </si>
  <si>
    <t>DHARMAGANJ_BRANCH</t>
  </si>
  <si>
    <t>HARIHARPARA, FATULLA, NARAYANGANJ</t>
  </si>
  <si>
    <t>02 9712508</t>
  </si>
  <si>
    <t>200670430</t>
  </si>
  <si>
    <t>DHUPTARA BRANCH</t>
  </si>
  <si>
    <t>DHUPTARA_BRANCH</t>
  </si>
  <si>
    <t>DHUPTARA, ARAIHAZAR, NARAYANGANJ</t>
  </si>
  <si>
    <t>017 14039775</t>
  </si>
  <si>
    <t>200670522</t>
  </si>
  <si>
    <t>FATULLAH, NARAYANGANJ</t>
  </si>
  <si>
    <t>02 7370166</t>
  </si>
  <si>
    <t>200670885</t>
  </si>
  <si>
    <t>61/1 BB ROAD, NARAYANGANJ</t>
  </si>
  <si>
    <t>02 9713769</t>
  </si>
  <si>
    <t>200670551</t>
  </si>
  <si>
    <t>GODNAIL, SIDDHIRGANJ, NARAYANGANJ</t>
  </si>
  <si>
    <t>02 7608046</t>
  </si>
  <si>
    <t>200670614</t>
  </si>
  <si>
    <t>GOPALDI, ARAIHAZAR , NARAYANGANJ</t>
  </si>
  <si>
    <t>02 9716940 (Ext 253)</t>
  </si>
  <si>
    <t>200670856</t>
  </si>
  <si>
    <t>KURIPARA BRANCH</t>
  </si>
  <si>
    <t>KURIPARA_BRANCH</t>
  </si>
  <si>
    <t>KURIPARA, BANDAR, NARAYANGANJ</t>
  </si>
  <si>
    <t>017 14039773</t>
  </si>
  <si>
    <t>200670948</t>
  </si>
  <si>
    <t>MADANGANJ, BANDAR, NARAYANGANJ</t>
  </si>
  <si>
    <t>02 7618021</t>
  </si>
  <si>
    <t>200671068</t>
  </si>
  <si>
    <t>MOGRAPARA, SONARGAON, NARAYANGANJ</t>
  </si>
  <si>
    <t>017 14039772</t>
  </si>
  <si>
    <t>200671150</t>
  </si>
  <si>
    <t>NABIGANJ, BANDAR, NARAYANGANJ</t>
  </si>
  <si>
    <t>02 9712369</t>
  </si>
  <si>
    <t>200671213</t>
  </si>
  <si>
    <t>BSONBDDHNAR</t>
  </si>
  <si>
    <t>CHASHARA, NARAYANGANJ</t>
  </si>
  <si>
    <t>02 9716685</t>
  </si>
  <si>
    <t>200671242</t>
  </si>
  <si>
    <t>NARAYANGANJ DOCKYARD BRANCH</t>
  </si>
  <si>
    <t>NARAYANGANJ_DOCKYARD_BRANCH</t>
  </si>
  <si>
    <t>DOCKYARD COMPOUND, NARAYANGANJ</t>
  </si>
  <si>
    <t>02 9714603</t>
  </si>
  <si>
    <t>200671271</t>
  </si>
  <si>
    <t>153 R F ROAD, NARAYANGANJ</t>
  </si>
  <si>
    <t>02 9711489</t>
  </si>
  <si>
    <t>200671392</t>
  </si>
  <si>
    <t>PANCHRUKHI BRANCH</t>
  </si>
  <si>
    <t>PANCHRUKHI_BRANCH</t>
  </si>
  <si>
    <t>PANCHRUKHI, ARAIHAZAR, NARAYANGANJ</t>
  </si>
  <si>
    <t>017 14039774</t>
  </si>
  <si>
    <t>200671455</t>
  </si>
  <si>
    <t>RATANGANJ, RUPGANJ, NARAYANGANJ</t>
  </si>
  <si>
    <t>06725 56040</t>
  </si>
  <si>
    <t>200671697</t>
  </si>
  <si>
    <t>BAIDDER BAZAR, SONARGAON, NARAYANGANJ</t>
  </si>
  <si>
    <t>02 9716960 (Ext 351)</t>
  </si>
  <si>
    <t>200671813</t>
  </si>
  <si>
    <t>TARABO BAZAR BRANCH</t>
  </si>
  <si>
    <t>TARABO_BAZAR_BRANCH</t>
  </si>
  <si>
    <t>TARABO, RUPGANJ, NARAYANGANJ</t>
  </si>
  <si>
    <t>02 88071</t>
  </si>
  <si>
    <t>200680138</t>
  </si>
  <si>
    <t>BAKHAR NAGAR BRANCH</t>
  </si>
  <si>
    <t>BAKHAR_NAGAR_BRANCH</t>
  </si>
  <si>
    <t>BAKHAR NAGAR, RAIPURA, NARSINGDI</t>
  </si>
  <si>
    <t>017 14100792</t>
  </si>
  <si>
    <t>200680259</t>
  </si>
  <si>
    <t>BELABO, NARSINGDI</t>
  </si>
  <si>
    <t>0628 62053 (Ext 13)</t>
  </si>
  <si>
    <t>200680262</t>
  </si>
  <si>
    <t>026 / 026</t>
  </si>
  <si>
    <t>BELTALI BAZAR, NARSINGDI</t>
  </si>
  <si>
    <t>017 14100795</t>
  </si>
  <si>
    <t>200680404</t>
  </si>
  <si>
    <t>COURT BUILDING, NARSINGDI</t>
  </si>
  <si>
    <t>0628 62556</t>
  </si>
  <si>
    <t>200680433</t>
  </si>
  <si>
    <t>DANGA BRANCH</t>
  </si>
  <si>
    <t>DANGA_BRANCH</t>
  </si>
  <si>
    <t>DANGA, PALASH, NARSINGDI</t>
  </si>
  <si>
    <t>017 14100794</t>
  </si>
  <si>
    <t>200680462</t>
  </si>
  <si>
    <t>GHORADIA BRANCH</t>
  </si>
  <si>
    <t>GHORADIA_BRANCH</t>
  </si>
  <si>
    <t>GORADIA, NARSINGDI SADAR, NARSINGDI</t>
  </si>
  <si>
    <t>0628 62391</t>
  </si>
  <si>
    <t>200680491</t>
  </si>
  <si>
    <t>0628 74270</t>
  </si>
  <si>
    <t>200680675</t>
  </si>
  <si>
    <t>MADHABDI, NARSINGDI</t>
  </si>
  <si>
    <t>06257 56488</t>
  </si>
  <si>
    <t>200680738</t>
  </si>
  <si>
    <t>MONOHARDI BRANCH</t>
  </si>
  <si>
    <t>MONOHARDI_BRANCH</t>
  </si>
  <si>
    <t>MONOHARDI, NARSINGDI</t>
  </si>
  <si>
    <t>06253 56002</t>
  </si>
  <si>
    <t>200680820</t>
  </si>
  <si>
    <t>NARAYANPUR, RAIPURA, NARSINGDI</t>
  </si>
  <si>
    <t>017 14100791</t>
  </si>
  <si>
    <t>200680859</t>
  </si>
  <si>
    <t>0628 62443</t>
  </si>
  <si>
    <t>200680912</t>
  </si>
  <si>
    <t>KHANAPUR, PALASH, NARSINGDI</t>
  </si>
  <si>
    <t>200680970</t>
  </si>
  <si>
    <t>PANCHDONA, NARSINGDI</t>
  </si>
  <si>
    <t>06257 56726</t>
  </si>
  <si>
    <t>200681003</t>
  </si>
  <si>
    <t>PORADIA BAZAR, BELABO, NARSINGDI 1640</t>
  </si>
  <si>
    <t>017 55551179</t>
  </si>
  <si>
    <t>200681032</t>
  </si>
  <si>
    <t>PUTIA BRANCH</t>
  </si>
  <si>
    <t>PUTIA_BRANCH</t>
  </si>
  <si>
    <t>PUTIA, SHIBPUR, NARSINGDI</t>
  </si>
  <si>
    <t>017 11100797</t>
  </si>
  <si>
    <t>200681090</t>
  </si>
  <si>
    <t>RAIPURA, NARSINGDI</t>
  </si>
  <si>
    <t>06255 56002</t>
  </si>
  <si>
    <t>200681124</t>
  </si>
  <si>
    <t>RAMPUR, MONOHARDI, NARSINGDI</t>
  </si>
  <si>
    <t>017 14100796</t>
  </si>
  <si>
    <t>200681153</t>
  </si>
  <si>
    <t>SAIDABAD BRANCH</t>
  </si>
  <si>
    <t>SAIDABAD_BRANCH</t>
  </si>
  <si>
    <t>SAIDABAD, RAIPURA, NARSINGDI</t>
  </si>
  <si>
    <t>017 14100793</t>
  </si>
  <si>
    <t>200681216</t>
  </si>
  <si>
    <t>SATIRPARA BRANCH</t>
  </si>
  <si>
    <t>SATIRPARA_BRANCH</t>
  </si>
  <si>
    <t>SATIRPARA, NARSINGDI</t>
  </si>
  <si>
    <t>0628 62156</t>
  </si>
  <si>
    <t>200681308</t>
  </si>
  <si>
    <t>0628 75008</t>
  </si>
  <si>
    <t>200690078</t>
  </si>
  <si>
    <t>AHAMMEDPUR, NATORE</t>
  </si>
  <si>
    <t>200690131</t>
  </si>
  <si>
    <t>BAGATIPARA, NATORE</t>
  </si>
  <si>
    <t>0771 66971, 66515</t>
  </si>
  <si>
    <t>200690160</t>
  </si>
  <si>
    <t>BARAIGRAM, NATORE</t>
  </si>
  <si>
    <t>200690315</t>
  </si>
  <si>
    <t>CHANCHKOIR BRANCH</t>
  </si>
  <si>
    <t>CHANCHKOIR_BRANCH</t>
  </si>
  <si>
    <t>CHANCHKOIR, GURUDASPUR, NATORE</t>
  </si>
  <si>
    <t>07724 74003</t>
  </si>
  <si>
    <t>200690407</t>
  </si>
  <si>
    <t>DAYARAMPUR, NATORE</t>
  </si>
  <si>
    <t>200691301</t>
  </si>
  <si>
    <t>FULBAGAN BRANCH</t>
  </si>
  <si>
    <t>FULBAGAN_BRANCH</t>
  </si>
  <si>
    <t>FULBAGAN, NATORE</t>
  </si>
  <si>
    <t>0771 62236</t>
  </si>
  <si>
    <t>200690557</t>
  </si>
  <si>
    <t>07724 74050</t>
  </si>
  <si>
    <t>200690915</t>
  </si>
  <si>
    <t>LALPUR, NATORE</t>
  </si>
  <si>
    <t>0771 75011</t>
  </si>
  <si>
    <t>200691093</t>
  </si>
  <si>
    <t>0771 66861</t>
  </si>
  <si>
    <t>200690881</t>
  </si>
  <si>
    <t>OLD BUSSTAND BRANCH</t>
  </si>
  <si>
    <t>OLD_BUSSTAND_BRANCH</t>
  </si>
  <si>
    <t>OLD BUS STAND, KANAIKHALI, NATORE</t>
  </si>
  <si>
    <t>0771 62261</t>
  </si>
  <si>
    <t>200691480</t>
  </si>
  <si>
    <t>0771 66973, 66963</t>
  </si>
  <si>
    <t>200691543</t>
  </si>
  <si>
    <t>STATION BAZAR, NATORE 6400</t>
  </si>
  <si>
    <t>0771 62247</t>
  </si>
  <si>
    <t>200720043</t>
  </si>
  <si>
    <t>0951 61563, 61204 (Ext 7)</t>
  </si>
  <si>
    <t>200720072</t>
  </si>
  <si>
    <t>BARHATTA, NETROKONA</t>
  </si>
  <si>
    <t>0951 61280, 61680 (Ext 9)</t>
  </si>
  <si>
    <t>200720193</t>
  </si>
  <si>
    <t>09525 56018</t>
  </si>
  <si>
    <t>200720430</t>
  </si>
  <si>
    <t>0951 61219, 61419 (Ext 2)</t>
  </si>
  <si>
    <t>200720469</t>
  </si>
  <si>
    <t>DIGDAIR, KENDUA, NETROKONA</t>
  </si>
  <si>
    <t>0951 56030</t>
  </si>
  <si>
    <t>200720498</t>
  </si>
  <si>
    <t>KHALIAJURI, NETROKONA</t>
  </si>
  <si>
    <t>0951 61688, 61680 (Ext 8)</t>
  </si>
  <si>
    <t>200720580</t>
  </si>
  <si>
    <t>LEPSIA BRANCH</t>
  </si>
  <si>
    <t>LEPSIA_BRANCH</t>
  </si>
  <si>
    <t>LEPSIA, KHALIAJURI, NETROKONA</t>
  </si>
  <si>
    <t>017 14109374</t>
  </si>
  <si>
    <t>200720643</t>
  </si>
  <si>
    <t>MADANPUR, NETROKONA</t>
  </si>
  <si>
    <t>017 14109375</t>
  </si>
  <si>
    <t>200720614</t>
  </si>
  <si>
    <t>09529 56022</t>
  </si>
  <si>
    <t>200720672</t>
  </si>
  <si>
    <t>MOHANGANJ, NETROKONA</t>
  </si>
  <si>
    <t>09524 56023</t>
  </si>
  <si>
    <t>200720735</t>
  </si>
  <si>
    <t>SATPAI, NETROKONA</t>
  </si>
  <si>
    <t>0951 61559, 61225</t>
  </si>
  <si>
    <t>200720793</t>
  </si>
  <si>
    <t>PURBADHALA, NETROKONA</t>
  </si>
  <si>
    <t>0951 61352, 61852 (Ext 9)</t>
  </si>
  <si>
    <t>200721039</t>
  </si>
  <si>
    <t>THAKURKONA BAZAR BRANCH</t>
  </si>
  <si>
    <t>THAKURKONA_BAZAR_BRANCH</t>
  </si>
  <si>
    <t>THAKURKONA, NETROKONA</t>
  </si>
  <si>
    <t>017 14109376</t>
  </si>
  <si>
    <t>200730259</t>
  </si>
  <si>
    <t>CHILAHATI, DOMAR, NILPHAMARI</t>
  </si>
  <si>
    <t>0551 61213 (Ext 17)</t>
  </si>
  <si>
    <t>200730312</t>
  </si>
  <si>
    <t>0551 61268 (Ext 9)</t>
  </si>
  <si>
    <t>200730341</t>
  </si>
  <si>
    <t>0551 75004</t>
  </si>
  <si>
    <t>200730462</t>
  </si>
  <si>
    <t>0551 61239 (Ext 29)</t>
  </si>
  <si>
    <t>200730583</t>
  </si>
  <si>
    <t>0551 61259 (Ext 13)</t>
  </si>
  <si>
    <t>200730646</t>
  </si>
  <si>
    <t>MIRGANJ BRANCH</t>
  </si>
  <si>
    <t>MIRGANJ_BRANCH</t>
  </si>
  <si>
    <t>MIRGANJ, JALDHAKA, NILPHAMARI</t>
  </si>
  <si>
    <t>017 14081098</t>
  </si>
  <si>
    <t>200730138</t>
  </si>
  <si>
    <t>NILPHAMARI BAZAR BRANCH</t>
  </si>
  <si>
    <t>NILPHAMARI_BAZAR_BRANCH</t>
  </si>
  <si>
    <t>NILPHAMARI BAZAR, NILPHAMARI 5310</t>
  </si>
  <si>
    <t>200730738</t>
  </si>
  <si>
    <t>0551 61481</t>
  </si>
  <si>
    <t>200730796</t>
  </si>
  <si>
    <t>05526 2198</t>
  </si>
  <si>
    <t>200730820</t>
  </si>
  <si>
    <t>SAIDPUR CANTONMENT, SAIDPUR, NILPHAMARI</t>
  </si>
  <si>
    <t>05526 2496</t>
  </si>
  <si>
    <t>200750071</t>
  </si>
  <si>
    <t>AMANULLAPUR BAZAR BRANCH</t>
  </si>
  <si>
    <t>AMANULLAPUR_BAZAR_BRANCH</t>
  </si>
  <si>
    <t>AMANULLAPUR BAZAR, JOYNARAYANPUR, BEGUMGANJ, NOAKHALI 3829</t>
  </si>
  <si>
    <t>017 14013210</t>
  </si>
  <si>
    <t>200750255</t>
  </si>
  <si>
    <t>03223 56208</t>
  </si>
  <si>
    <t>200750439</t>
  </si>
  <si>
    <t>CHAPRASHIRHAT BRANCH</t>
  </si>
  <si>
    <t>CHAPRASHIRHAT_BRANCH</t>
  </si>
  <si>
    <t>CHAPRASHIRHAT BAZAR, KABIRHAT, NOAKHALI</t>
  </si>
  <si>
    <t>017 14013214</t>
  </si>
  <si>
    <t>200750497</t>
  </si>
  <si>
    <t>CHARBATA BRANCH</t>
  </si>
  <si>
    <t>CHARBATA_BRANCH</t>
  </si>
  <si>
    <t>CHAR BATA, NOAKHALI SADAR, NOAKHALI 3813</t>
  </si>
  <si>
    <t>017 14013208</t>
  </si>
  <si>
    <t>200750550</t>
  </si>
  <si>
    <t>CHARMOTUA BRANCH</t>
  </si>
  <si>
    <t>CHARMOTUA_BRANCH</t>
  </si>
  <si>
    <t>CHARMOTUA, BRAHMAPUR, NOAKHALI</t>
  </si>
  <si>
    <t>017 14013207</t>
  </si>
  <si>
    <t>200750589</t>
  </si>
  <si>
    <t>0321 75013</t>
  </si>
  <si>
    <t>200750642</t>
  </si>
  <si>
    <t>CHHAYANI BAZAR BRANCH</t>
  </si>
  <si>
    <t>CHHAYANI_BAZAR_BRANCH</t>
  </si>
  <si>
    <t>CHAYANI BAZAR, BEGUMGANJ, NOAKHALI</t>
  </si>
  <si>
    <t>017 14013213</t>
  </si>
  <si>
    <t>200750705</t>
  </si>
  <si>
    <t>CHOWDHURY HAT, COMPANIGANJ, NOAKHALI</t>
  </si>
  <si>
    <t>03223 56585</t>
  </si>
  <si>
    <t>200750671</t>
  </si>
  <si>
    <t>CHOWMUHANI, BEGUMGANJ, NOAKHALI</t>
  </si>
  <si>
    <t>0321 52015, 51750</t>
  </si>
  <si>
    <t>200750734</t>
  </si>
  <si>
    <t>CHOWMUHANI COLLEGE ROAD BRANCH</t>
  </si>
  <si>
    <t>CHOWMUHANI_COLLEGE_ROAD_BRANCH</t>
  </si>
  <si>
    <t>0321 51783</t>
  </si>
  <si>
    <t>200750826</t>
  </si>
  <si>
    <t>DAYARAMDI BRANCH</t>
  </si>
  <si>
    <t>DAYARAMDI_BRANCH</t>
  </si>
  <si>
    <t>DAYARAMDI, KABIRHAT, NOAKHALI</t>
  </si>
  <si>
    <t>017 14013212</t>
  </si>
  <si>
    <t>200751038</t>
  </si>
  <si>
    <t>AFAZIA, HATIYA, NOAKHALI 3891</t>
  </si>
  <si>
    <t>017 13046197</t>
  </si>
  <si>
    <t>200751067</t>
  </si>
  <si>
    <t>HATIYA THANA PARISHAD BRANCH</t>
  </si>
  <si>
    <t>HATIYA_THANA_PARISHAD_BRANCH</t>
  </si>
  <si>
    <t>UCHKHALI, HATIYA, NOAKHALI</t>
  </si>
  <si>
    <t>0321 62035</t>
  </si>
  <si>
    <t>200751159</t>
  </si>
  <si>
    <t>JAMINDERHAT, BEGUMGANJ, NOAKHALI</t>
  </si>
  <si>
    <t>0321 53140</t>
  </si>
  <si>
    <t>200751270</t>
  </si>
  <si>
    <t>KALAMUNSHIR BAZAR BRANCH</t>
  </si>
  <si>
    <t>KALAMUNSHIR_BAZAR_BRANCH</t>
  </si>
  <si>
    <t>SUDHARAM, NOAKHALI</t>
  </si>
  <si>
    <t>017 14013211</t>
  </si>
  <si>
    <t>200751304</t>
  </si>
  <si>
    <t>KANKIRHAT BRANCH</t>
  </si>
  <si>
    <t>KANKIRHAT_BRANCH</t>
  </si>
  <si>
    <t>KANKIRHAT, SENBAG, NOAKHALI 3863</t>
  </si>
  <si>
    <t>017 14085261</t>
  </si>
  <si>
    <t>200751425</t>
  </si>
  <si>
    <t>KHALIFARHAT BRANCH</t>
  </si>
  <si>
    <t>KHALIFARHAT_BRANCH</t>
  </si>
  <si>
    <t>KHALIFARHAT, NOAKHALI</t>
  </si>
  <si>
    <t>017 14013205</t>
  </si>
  <si>
    <t>200751546</t>
  </si>
  <si>
    <t>MAIJDEE BAZAR BRANCH</t>
  </si>
  <si>
    <t>MAIJDEE_BAZAR_BRANCH</t>
  </si>
  <si>
    <t>MAIJDEE, SUDHARAM, NOAKHALI 3800</t>
  </si>
  <si>
    <t>0321 61604</t>
  </si>
  <si>
    <t>200751575</t>
  </si>
  <si>
    <t>0321 61543, 62081</t>
  </si>
  <si>
    <t>200751841</t>
  </si>
  <si>
    <t>POURA BIPONI BITAN BRANCH</t>
  </si>
  <si>
    <t>POURA_BIPONI_BITAN_BRANCH</t>
  </si>
  <si>
    <t>0321 61157</t>
  </si>
  <si>
    <t>200751962</t>
  </si>
  <si>
    <t>SAGARIA BAZAR BRANCH</t>
  </si>
  <si>
    <t>SAGARIA_BAZAR_BRANCH</t>
  </si>
  <si>
    <t>BURIRCHAR, HATIYA, NOAKHALI</t>
  </si>
  <si>
    <t>017 13046350</t>
  </si>
  <si>
    <t>200752053</t>
  </si>
  <si>
    <t>SEBARHAT, SENBAGH, NOAKHALI</t>
  </si>
  <si>
    <t>017 1413204</t>
  </si>
  <si>
    <t>200752082</t>
  </si>
  <si>
    <t>SENBAGH, NOAKHALI</t>
  </si>
  <si>
    <t>03225 56010</t>
  </si>
  <si>
    <t>200752116</t>
  </si>
  <si>
    <t>SHAHAPUR BRANCH</t>
  </si>
  <si>
    <t>SHAHAPUR_BRANCH</t>
  </si>
  <si>
    <t>SHAHAPUR, CHATKHIL, NOAKHALI 3870</t>
  </si>
  <si>
    <t>017 14013209</t>
  </si>
  <si>
    <t>200752237</t>
  </si>
  <si>
    <t>SONAIMURI, NOAKHALI</t>
  </si>
  <si>
    <t>017 14085262</t>
  </si>
  <si>
    <t>200752295</t>
  </si>
  <si>
    <t>SONAPUR OLD TOWN BRANCH</t>
  </si>
  <si>
    <t>SONAPUR_OLD_TOWN_BRANCH</t>
  </si>
  <si>
    <t>SONAPUR OLD TOWN, SUDHARAM, NOAKHALI</t>
  </si>
  <si>
    <t>0321 61628</t>
  </si>
  <si>
    <t>200752358</t>
  </si>
  <si>
    <t>SUBARNA CHAR, NOAKHALI</t>
  </si>
  <si>
    <t>200752411</t>
  </si>
  <si>
    <t>TAMARUDDI BRANCH</t>
  </si>
  <si>
    <t>TAMARUDDI_BRANCH</t>
  </si>
  <si>
    <t>TAMARUDDI, HATIYA, NOAKHALI</t>
  </si>
  <si>
    <t>017 13046371</t>
  </si>
  <si>
    <t>200760108</t>
  </si>
  <si>
    <t>ANANTABAZAR BRANCH</t>
  </si>
  <si>
    <t>ANANTABAZAR_BRANCH</t>
  </si>
  <si>
    <t>ANANTABAZAR, PABNA</t>
  </si>
  <si>
    <t>0731 66314</t>
  </si>
  <si>
    <t>200760166</t>
  </si>
  <si>
    <t>ARAMBARIA BRANCH</t>
  </si>
  <si>
    <t>ARAMBARIA_BRANCH</t>
  </si>
  <si>
    <t>DAPARI, ARAMBARIA, PABNA</t>
  </si>
  <si>
    <t>200760258</t>
  </si>
  <si>
    <t>DEBUDITOR, ATGHORIA, PABNA</t>
  </si>
  <si>
    <t>0731 65022 (Ext 7)</t>
  </si>
  <si>
    <t>200760340</t>
  </si>
  <si>
    <t>BAGOIL</t>
  </si>
  <si>
    <t>200760432</t>
  </si>
  <si>
    <t>BANWARINAGAR, PABNA 6650</t>
  </si>
  <si>
    <t>07325 64022</t>
  </si>
  <si>
    <t>200760461</t>
  </si>
  <si>
    <t>0731 75018</t>
  </si>
  <si>
    <t>200760524</t>
  </si>
  <si>
    <t>BHANGURA BAZAR BRANCH</t>
  </si>
  <si>
    <t>BHANGURA_BAZAR_BRANCH</t>
  </si>
  <si>
    <t>0731 65060 (Ext 18)</t>
  </si>
  <si>
    <t>200760645</t>
  </si>
  <si>
    <t>07324 56113</t>
  </si>
  <si>
    <t>200760795</t>
  </si>
  <si>
    <t>DASHURIA BRANCH</t>
  </si>
  <si>
    <t>DASHURIA_BRANCH</t>
  </si>
  <si>
    <t>DASHURIA, ISHWARDI, PABNA</t>
  </si>
  <si>
    <t>07326 63386</t>
  </si>
  <si>
    <t>200762322</t>
  </si>
  <si>
    <t>DISTRICT BOARD BRANCH</t>
  </si>
  <si>
    <t>DISTRICT_BOARD_BRANCH</t>
  </si>
  <si>
    <t>0731 65470</t>
  </si>
  <si>
    <t>200761031</t>
  </si>
  <si>
    <t>EKDANTA BRANCH</t>
  </si>
  <si>
    <t>EKDANTA_BRANCH</t>
  </si>
  <si>
    <t>EKDANTA, ATGHORIA, PABNA</t>
  </si>
  <si>
    <t>017 14049152</t>
  </si>
  <si>
    <t>200761215</t>
  </si>
  <si>
    <t>200761273</t>
  </si>
  <si>
    <t>JORGACHA BRANCH</t>
  </si>
  <si>
    <t>JORGACHA_BRANCH</t>
  </si>
  <si>
    <t>JORGACHA, SANTHIA, PABNA</t>
  </si>
  <si>
    <t>200761307</t>
  </si>
  <si>
    <t>KARANJA BAZAR BRANCH</t>
  </si>
  <si>
    <t>KARANJA_BAZAR_BRANCH</t>
  </si>
  <si>
    <t>KARANJA BAZAR, BERA, PABNA</t>
  </si>
  <si>
    <t>0731 75059</t>
  </si>
  <si>
    <t>200761394</t>
  </si>
  <si>
    <t>PABNA BANIJYA KENDRA BRANCH</t>
  </si>
  <si>
    <t>PABNA_BANIJYA_KENDRA_BRANCH</t>
  </si>
  <si>
    <t>0731 66173</t>
  </si>
  <si>
    <t>200761781</t>
  </si>
  <si>
    <t>0731 66155, 62024</t>
  </si>
  <si>
    <t>200762056</t>
  </si>
  <si>
    <t>07327 56109</t>
  </si>
  <si>
    <t>200762269</t>
  </si>
  <si>
    <t>07329 56106</t>
  </si>
  <si>
    <t>200770048</t>
  </si>
  <si>
    <t>ATWARI, PANCHAGARH</t>
  </si>
  <si>
    <t>0568 61392 (Ext 13)</t>
  </si>
  <si>
    <t>200770101</t>
  </si>
  <si>
    <t>BHAJANPUR, PANCHAGARH</t>
  </si>
  <si>
    <t>200770130</t>
  </si>
  <si>
    <t>05653 56116</t>
  </si>
  <si>
    <t>200770198</t>
  </si>
  <si>
    <t>0568 61541 (Ext 07)</t>
  </si>
  <si>
    <t>200770556</t>
  </si>
  <si>
    <t>0568 62073</t>
  </si>
  <si>
    <t>200770730</t>
  </si>
  <si>
    <t>0568 75011</t>
  </si>
  <si>
    <t>200780162</t>
  </si>
  <si>
    <t>BAKULBARIA BRANCH</t>
  </si>
  <si>
    <t>BAKULBARIA_BRANCH</t>
  </si>
  <si>
    <t>BAKUL BARIA, GALACHIPA, PATUAKHALI</t>
  </si>
  <si>
    <t>017 14082102</t>
  </si>
  <si>
    <t>200780191</t>
  </si>
  <si>
    <t>04422 56341</t>
  </si>
  <si>
    <t>200780070</t>
  </si>
  <si>
    <t>BOGABANDAR BRANCH</t>
  </si>
  <si>
    <t>BOGABANDAR_BRANCH</t>
  </si>
  <si>
    <t>BOGA BANDAR, BAUPHAL, PATUAKHALI</t>
  </si>
  <si>
    <t>017 14082101</t>
  </si>
  <si>
    <t>200780346</t>
  </si>
  <si>
    <t>04423 56105</t>
  </si>
  <si>
    <t>200780438</t>
  </si>
  <si>
    <t>04427 56214</t>
  </si>
  <si>
    <t>200780496</t>
  </si>
  <si>
    <t>04424 56319</t>
  </si>
  <si>
    <t>200780559</t>
  </si>
  <si>
    <t>KALAPARA BANDAR BRANCH</t>
  </si>
  <si>
    <t>KALAPARA_BANDAR_BRANCH</t>
  </si>
  <si>
    <t>04425 56329</t>
  </si>
  <si>
    <t>200780854</t>
  </si>
  <si>
    <t>MOHIPUR, KALAPARA, PATUAKHALI</t>
  </si>
  <si>
    <t>017 14082105</t>
  </si>
  <si>
    <t>200780883</t>
  </si>
  <si>
    <t>MOUKARAM BAZAR BRANCH</t>
  </si>
  <si>
    <t>MOUKARAM_BAZAR_BRANCH</t>
  </si>
  <si>
    <t>MOUKARAM, PATUAKHALI</t>
  </si>
  <si>
    <t>017 14082103</t>
  </si>
  <si>
    <t>200780975</t>
  </si>
  <si>
    <t>NEW TOWN MORE, KALIKA PURA, PATUAKHALI 8600</t>
  </si>
  <si>
    <t>0441 62547, 62511</t>
  </si>
  <si>
    <t>200781095</t>
  </si>
  <si>
    <t>NABABPARA, PATUAKHALI</t>
  </si>
  <si>
    <t>0441 62011, 62900</t>
  </si>
  <si>
    <t>200781279</t>
  </si>
  <si>
    <t>SUBIDKHALI, PATUAKHALI</t>
  </si>
  <si>
    <t>04426 75209</t>
  </si>
  <si>
    <t>200781332</t>
  </si>
  <si>
    <t>RATANDI, GALACHIPA, PATUAKHALI</t>
  </si>
  <si>
    <t>017 14082104</t>
  </si>
  <si>
    <t>200790136</t>
  </si>
  <si>
    <t>0461 62282, 62283 (Ext 3)</t>
  </si>
  <si>
    <t>200790431</t>
  </si>
  <si>
    <t>0461 56112</t>
  </si>
  <si>
    <t>200790523</t>
  </si>
  <si>
    <t>0461 75031</t>
  </si>
  <si>
    <t>200790707</t>
  </si>
  <si>
    <t>0461 74006</t>
  </si>
  <si>
    <t>200790736</t>
  </si>
  <si>
    <t>PARERHAT, PIROJPUR SADAR, PIROJPUR 8502</t>
  </si>
  <si>
    <t>0461 62341</t>
  </si>
  <si>
    <t>200790765</t>
  </si>
  <si>
    <t>POST OFFICE ROAD, PIROJPUR</t>
  </si>
  <si>
    <t>0461 62509</t>
  </si>
  <si>
    <t>200790949</t>
  </si>
  <si>
    <t>SREERAMKATHI BRANCH</t>
  </si>
  <si>
    <t>SREERAMKATHI_BRANCH</t>
  </si>
  <si>
    <t>SREE RAM KATHI, NAZIRPUR, PIROJPUR</t>
  </si>
  <si>
    <t>0461 74047</t>
  </si>
  <si>
    <t>200790978</t>
  </si>
  <si>
    <t>0461 62281 (Ext 10)</t>
  </si>
  <si>
    <t>200791030</t>
  </si>
  <si>
    <t>TUSHKHALI BRANCH</t>
  </si>
  <si>
    <t>TUSHKHALI_BRANCH</t>
  </si>
  <si>
    <t>TUSHKHALI, MATHBARIA, PIROJPUR</t>
  </si>
  <si>
    <t>017 13401466</t>
  </si>
  <si>
    <t>200791069</t>
  </si>
  <si>
    <t>0461 62287</t>
  </si>
  <si>
    <t>200820130</t>
  </si>
  <si>
    <t>BAHARPUR BRANCH</t>
  </si>
  <si>
    <t>BAHARPUR_BRANCH</t>
  </si>
  <si>
    <t>BAHARPUR, BALIAKANDI, RAJBARI</t>
  </si>
  <si>
    <t>06422 56104</t>
  </si>
  <si>
    <t>200820169</t>
  </si>
  <si>
    <t>0641 65221 (Ext 13)</t>
  </si>
  <si>
    <t>200820222</t>
  </si>
  <si>
    <t>BELGACHI BRANCH</t>
  </si>
  <si>
    <t>BELGACHI_BRANCH</t>
  </si>
  <si>
    <t>BELGACHI, PANGSHA, RAJBARI</t>
  </si>
  <si>
    <t>017 14070173</t>
  </si>
  <si>
    <t>200820280</t>
  </si>
  <si>
    <t>0641 56120</t>
  </si>
  <si>
    <t>200820314</t>
  </si>
  <si>
    <t>GOALANDA UPAZILLA COMPLEX BRANCH</t>
  </si>
  <si>
    <t>GOALANDA_UPAZILLA_COMPLEX_BRANCH</t>
  </si>
  <si>
    <t>UPAZILLA COMPLEX, GOALANDA, RAJBARI</t>
  </si>
  <si>
    <t>200820372</t>
  </si>
  <si>
    <t>KALUKHALI BRANCH</t>
  </si>
  <si>
    <t>KALUKHALI_BRANCH</t>
  </si>
  <si>
    <t>KALUKHALI BAZAR, RAJBARI 7722</t>
  </si>
  <si>
    <t>017 55532270</t>
  </si>
  <si>
    <t>200820406</t>
  </si>
  <si>
    <t>KASHBA MANZIL BRANCH</t>
  </si>
  <si>
    <t>KASHBA_MANZIL_BRANCH</t>
  </si>
  <si>
    <t>KASHBA MANZIL, PANGSHA, RAJBARI</t>
  </si>
  <si>
    <t>017 14093437</t>
  </si>
  <si>
    <t>200820464</t>
  </si>
  <si>
    <t>MACHPARA BRANCH</t>
  </si>
  <si>
    <t>MACHPARA_BRANCH</t>
  </si>
  <si>
    <t>MACHPARA, PANGSHA, RAJBARI</t>
  </si>
  <si>
    <t>017 14093476</t>
  </si>
  <si>
    <t>200820677</t>
  </si>
  <si>
    <t>0641 75012</t>
  </si>
  <si>
    <t>200820648</t>
  </si>
  <si>
    <t>PANGSHA UPAZILLA COMPLEX BRANCH</t>
  </si>
  <si>
    <t>PANGSHA_UPAZILLA_COMPLEX_BRANCH</t>
  </si>
  <si>
    <t>UPAZILLA COMPLEX, PANGSHA, RAJBARI</t>
  </si>
  <si>
    <t>0641 75024</t>
  </si>
  <si>
    <t>200820730</t>
  </si>
  <si>
    <t>0641 65522</t>
  </si>
  <si>
    <t>200820769</t>
  </si>
  <si>
    <t>RAJBARI UPAZILLA COMPLEX BRANCH</t>
  </si>
  <si>
    <t>RAJBARI_UPAZILLA_COMPLEX_BRANCH</t>
  </si>
  <si>
    <t>UPAZILLA COMPLEX, RAJBARI SADAR, RAJBARI</t>
  </si>
  <si>
    <t>0641 65391</t>
  </si>
  <si>
    <t>200810490</t>
  </si>
  <si>
    <t>200810108</t>
  </si>
  <si>
    <t>0721 773121 (Ext 21)</t>
  </si>
  <si>
    <t>200810340</t>
  </si>
  <si>
    <t>BHABANIGANJ, BAGMARA, RAJSHAHI</t>
  </si>
  <si>
    <t>0721 773123 (Ext 2)</t>
  </si>
  <si>
    <t>200810403</t>
  </si>
  <si>
    <t>CHARGHAT, RAJSHAHI</t>
  </si>
  <si>
    <t>0721 773115 (Ext 35)</t>
  </si>
  <si>
    <t>200811549</t>
  </si>
  <si>
    <t>DHOPAGHATA BRANCH</t>
  </si>
  <si>
    <t>DHOPAGHATA_BRANCH</t>
  </si>
  <si>
    <t>MOUGACHI BAZAR, RAJSHAHI</t>
  </si>
  <si>
    <t>200810553</t>
  </si>
  <si>
    <t>0721 773138 (Ext 4)</t>
  </si>
  <si>
    <t>200810616</t>
  </si>
  <si>
    <t>07225 56017</t>
  </si>
  <si>
    <t>200810674</t>
  </si>
  <si>
    <t>GREATER ROAD BRANCH</t>
  </si>
  <si>
    <t>GREATER_ROAD_BRANCH</t>
  </si>
  <si>
    <t>GREATER ROAD, RAJSHAHI 6000</t>
  </si>
  <si>
    <t>0721 773429</t>
  </si>
  <si>
    <t>200811031</t>
  </si>
  <si>
    <t>KHASHIADANGA BRANCH</t>
  </si>
  <si>
    <t>KHASHIADANGA_BRANCH</t>
  </si>
  <si>
    <t>KHASHIADANGA, RAJSHAHI</t>
  </si>
  <si>
    <t>200811394</t>
  </si>
  <si>
    <t>0721 773104 (Ext 4)</t>
  </si>
  <si>
    <t>200811486</t>
  </si>
  <si>
    <t>MONIGRAM BRANCH</t>
  </si>
  <si>
    <t>MONIGRAM_BRANCH</t>
  </si>
  <si>
    <t>017 14049203</t>
  </si>
  <si>
    <t>200811510</t>
  </si>
  <si>
    <t>MOTIHAR BRANCH</t>
  </si>
  <si>
    <t>MOTIHAR_BRANCH</t>
  </si>
  <si>
    <t>KAZLA, MOTIHAR, RAJSHAHI</t>
  </si>
  <si>
    <t>0721 750253</t>
  </si>
  <si>
    <t>200811578</t>
  </si>
  <si>
    <t>MUNDUMALA HAT BRANCH</t>
  </si>
  <si>
    <t>MUNDUMALA_HAT_BRANCH</t>
  </si>
  <si>
    <t>MUNDUMALA HAT, TANORE, RAJSHAHI</t>
  </si>
  <si>
    <t>017 14049322</t>
  </si>
  <si>
    <t>200811699</t>
  </si>
  <si>
    <t>PABA, RAJSHAHI</t>
  </si>
  <si>
    <t>0721 761196</t>
  </si>
  <si>
    <t>200811781</t>
  </si>
  <si>
    <t>POLICE ACADEMY BRANCH</t>
  </si>
  <si>
    <t>POLICE_ACADEMY_BRANCH</t>
  </si>
  <si>
    <t>SARDA, CHARGHAT, RAJSHAHI</t>
  </si>
  <si>
    <t>0721 773115 (Ext 11)</t>
  </si>
  <si>
    <t>200811844</t>
  </si>
  <si>
    <t>07228 56112</t>
  </si>
  <si>
    <t>200812027</t>
  </si>
  <si>
    <t>BSONBDDHRAJ</t>
  </si>
  <si>
    <t>RAJSHAHI SADAR, RAJSHAHI</t>
  </si>
  <si>
    <t>0721 772358, 773330</t>
  </si>
  <si>
    <t>200811965</t>
  </si>
  <si>
    <t>RAJSHAHI CADET COLLEGE BRANCH</t>
  </si>
  <si>
    <t>RAJSHAHI_CADET_COLLEGE_BRANCH</t>
  </si>
  <si>
    <t>200811994</t>
  </si>
  <si>
    <t>SAPURA, RAJSHAHI</t>
  </si>
  <si>
    <t>200810461</t>
  </si>
  <si>
    <t>RAJSHAHI COURT BUILDING BRANCH</t>
  </si>
  <si>
    <t>RAJSHAHI_COURT_BUILDING_BRANCH</t>
  </si>
  <si>
    <t>COURT BUILDING, RAJSHAHI</t>
  </si>
  <si>
    <t>0721 773459, 770659</t>
  </si>
  <si>
    <t>200812056</t>
  </si>
  <si>
    <t>RAJSHAHI MEDICAL COLLEGE BRANCH</t>
  </si>
  <si>
    <t>RAJSHAHI_MEDICAL_COLLEGE_BRANCH</t>
  </si>
  <si>
    <t>0721 773225</t>
  </si>
  <si>
    <t>200812085</t>
  </si>
  <si>
    <t>RAJSHAHI RAILWAY COMPLEX BRANCH</t>
  </si>
  <si>
    <t>RAJSHAHI_RAILWAY_COMPLEX_BRANCH</t>
  </si>
  <si>
    <t>SHEROIL, BOALIA, RAJSHAHI</t>
  </si>
  <si>
    <t>0721 761132</t>
  </si>
  <si>
    <t>200812380</t>
  </si>
  <si>
    <t>07229 56007</t>
  </si>
  <si>
    <t>200840044</t>
  </si>
  <si>
    <t>BAGHAICHHARI BRANCH</t>
  </si>
  <si>
    <t>BAGHAICHHARI_BRANCH</t>
  </si>
  <si>
    <t>BAGHAICHHARI, RANGAMATI</t>
  </si>
  <si>
    <t>0351 62050 (Ext 6)</t>
  </si>
  <si>
    <t>200840073</t>
  </si>
  <si>
    <t>0351 62349</t>
  </si>
  <si>
    <t>200840107</t>
  </si>
  <si>
    <t>BARAICHHARI BRANCH</t>
  </si>
  <si>
    <t>BARAICHHARI_BRANCH</t>
  </si>
  <si>
    <t>BARAICHHARI, RANGAMATI 4520</t>
  </si>
  <si>
    <t>03529 62084 (Ext 256)</t>
  </si>
  <si>
    <t>200840136</t>
  </si>
  <si>
    <t>BARKAL, RANGAMATI 4570</t>
  </si>
  <si>
    <t>0351 62071 (Ext 13)</t>
  </si>
  <si>
    <t>200840165</t>
  </si>
  <si>
    <t>BILAICHHARI, RANGAMATI 4550</t>
  </si>
  <si>
    <t>0351 62076 (Ext 3)</t>
  </si>
  <si>
    <t>200840194</t>
  </si>
  <si>
    <t>CHANDRAGHONA, KAPTAI, RANGAMATI 4531</t>
  </si>
  <si>
    <t>0351 620137 (Ext 18)</t>
  </si>
  <si>
    <t>200840228</t>
  </si>
  <si>
    <t>GHAGRA BRANCH</t>
  </si>
  <si>
    <t>GHAGRA_BRANCH</t>
  </si>
  <si>
    <t>GHAGRA, RANGAMATI 4511</t>
  </si>
  <si>
    <t>0351 62099 (Ext 05)</t>
  </si>
  <si>
    <t>200840257</t>
  </si>
  <si>
    <t>JURACHURI, RANGAMATI</t>
  </si>
  <si>
    <t>0351 62074 (Ext 8)</t>
  </si>
  <si>
    <t>200840286</t>
  </si>
  <si>
    <t>0351 62084 (Ext 254)</t>
  </si>
  <si>
    <t>200840349</t>
  </si>
  <si>
    <t>0351 63050 (Ext 3)</t>
  </si>
  <si>
    <t>200840378</t>
  </si>
  <si>
    <t>LONGADU BRANCH</t>
  </si>
  <si>
    <t>LONGADU_BRANCH</t>
  </si>
  <si>
    <t>LONGADU, RANGAMATI</t>
  </si>
  <si>
    <t>0351 62070 (Ext 3)</t>
  </si>
  <si>
    <t>200840402</t>
  </si>
  <si>
    <t>0351 63045 (Ext 16)</t>
  </si>
  <si>
    <t>200840431</t>
  </si>
  <si>
    <t>NEW COURT BUILDING BRANCH</t>
  </si>
  <si>
    <t>NEW_COURT_BUILDING_BRANCH</t>
  </si>
  <si>
    <t>0351 62361, 63086</t>
  </si>
  <si>
    <t>200840499</t>
  </si>
  <si>
    <t>RAJASTHALI, RANGAMATI</t>
  </si>
  <si>
    <t>0351 63075 (Ext 15)</t>
  </si>
  <si>
    <t>200840523</t>
  </si>
  <si>
    <t>0351 63172</t>
  </si>
  <si>
    <t>200850100</t>
  </si>
  <si>
    <t>05222 298</t>
  </si>
  <si>
    <t>200850371</t>
  </si>
  <si>
    <t>CHATRAHAT BRANCH</t>
  </si>
  <si>
    <t>CHATRAHAT_BRANCH</t>
  </si>
  <si>
    <t>CHATRA HAT, PIRGANJ, RANGPUR</t>
  </si>
  <si>
    <t>017 14039799</t>
  </si>
  <si>
    <t>200850526</t>
  </si>
  <si>
    <t>DHAP, RANGPUR SADAR, RANGPUR</t>
  </si>
  <si>
    <t>0521 62190</t>
  </si>
  <si>
    <t>200850618</t>
  </si>
  <si>
    <t>0521 63029, 63080 (Ext 8)</t>
  </si>
  <si>
    <t>200850676</t>
  </si>
  <si>
    <t>0521 63589</t>
  </si>
  <si>
    <t>200850700</t>
  </si>
  <si>
    <t>JAYGIRHAT BRANCH</t>
  </si>
  <si>
    <t>JAYGIRHAT_BRANCH</t>
  </si>
  <si>
    <t>JAYGIRHAT, MITHAPUKUR, RANGPUR</t>
  </si>
  <si>
    <t>017 14039791</t>
  </si>
  <si>
    <t>200850739</t>
  </si>
  <si>
    <t>KACHARIBAZAR BRANCH</t>
  </si>
  <si>
    <t>KACHARIBAZAR_BRANCH</t>
  </si>
  <si>
    <t>KACHARI BAZAR, RANGPUR 5400</t>
  </si>
  <si>
    <t>0521 62355</t>
  </si>
  <si>
    <t>200850768</t>
  </si>
  <si>
    <t>0521 63039, 63066 (Ext 1)</t>
  </si>
  <si>
    <t>200850797</t>
  </si>
  <si>
    <t>KHALASHPIR BRANCH</t>
  </si>
  <si>
    <t>KHALASHPIR_BRANCH</t>
  </si>
  <si>
    <t>KHALASHPIR, PIRGANJ, RANGPUR</t>
  </si>
  <si>
    <t>017 14049388</t>
  </si>
  <si>
    <t>200850913</t>
  </si>
  <si>
    <t>LALDIGHI HAT BRANCH</t>
  </si>
  <si>
    <t>LALDIGHI_HAT_BRANCH</t>
  </si>
  <si>
    <t>RADHANAGAR, BADARGANJ, RANGPUR</t>
  </si>
  <si>
    <t>017 14039792</t>
  </si>
  <si>
    <t>200850971</t>
  </si>
  <si>
    <t>MAHIGANJ, RANGPUR SADAR, RANGPUR</t>
  </si>
  <si>
    <t>0521 62533</t>
  </si>
  <si>
    <t>200851062</t>
  </si>
  <si>
    <t>MIRBAGH BRANCH</t>
  </si>
  <si>
    <t>MIRBAGH_BRANCH</t>
  </si>
  <si>
    <t>MIRBAGH, RANGPUR 5440</t>
  </si>
  <si>
    <t>200851091</t>
  </si>
  <si>
    <t>05225 87025</t>
  </si>
  <si>
    <t>200851338</t>
  </si>
  <si>
    <t>PIRGACHHA, RANGPUR</t>
  </si>
  <si>
    <t>0521 63096, 63061 (Ext 9)</t>
  </si>
  <si>
    <t>200851367</t>
  </si>
  <si>
    <t>0521 63069, 63084 (Ext 1)</t>
  </si>
  <si>
    <t>200850850</t>
  </si>
  <si>
    <t>RANGPUR BAZAR BRANCH</t>
  </si>
  <si>
    <t>RANGPUR_BAZAR_BRANCH</t>
  </si>
  <si>
    <t>RANGPUR BAZAR, SADAR, RANGPUR</t>
  </si>
  <si>
    <t>0521 62958</t>
  </si>
  <si>
    <t>200851541</t>
  </si>
  <si>
    <t>BSONBDDHRNG</t>
  </si>
  <si>
    <t>SADAR, RANGPUR</t>
  </si>
  <si>
    <t>0521 62335, 63192</t>
  </si>
  <si>
    <t>200851488</t>
  </si>
  <si>
    <t>RANGPUR CANTONMENT BRANCH</t>
  </si>
  <si>
    <t>RANGPUR_CANTONMENT_BRANCH</t>
  </si>
  <si>
    <t>0521 62618</t>
  </si>
  <si>
    <t>200851938</t>
  </si>
  <si>
    <t>0521 63059, 63082 (Ext 2)</t>
  </si>
  <si>
    <t>200870072</t>
  </si>
  <si>
    <t>0471 64004-7</t>
  </si>
  <si>
    <t>200871363</t>
  </si>
  <si>
    <t>BHOMRA BRANCH</t>
  </si>
  <si>
    <t>BHOMRA_BRANCH</t>
  </si>
  <si>
    <t>BHOMRA, SATKHIRA</t>
  </si>
  <si>
    <t>017 15090610</t>
  </si>
  <si>
    <t>200870348</t>
  </si>
  <si>
    <t>BUDHATA BRANCH</t>
  </si>
  <si>
    <t>BUDHATA_BRANCH</t>
  </si>
  <si>
    <t>BUDHATA, ASASHUNI, SATKHIRA</t>
  </si>
  <si>
    <t>017 14109194</t>
  </si>
  <si>
    <t>200870377</t>
  </si>
  <si>
    <t>0471 64010-7</t>
  </si>
  <si>
    <t>200870498</t>
  </si>
  <si>
    <t>GOYRA BAZAR BRANCH</t>
  </si>
  <si>
    <t>GOYRA_BAZAR_BRANCH</t>
  </si>
  <si>
    <t>CHANDANPUR, KALAROA, SATKHIRA</t>
  </si>
  <si>
    <t>017 14109195</t>
  </si>
  <si>
    <t>200870551</t>
  </si>
  <si>
    <t>JHAUDANGA, KALAROA, SATKHIRA 9412</t>
  </si>
  <si>
    <t>04724 75331</t>
  </si>
  <si>
    <t>200870580</t>
  </si>
  <si>
    <t>04724 75312</t>
  </si>
  <si>
    <t>200870614</t>
  </si>
  <si>
    <t>0471 64008</t>
  </si>
  <si>
    <t>200870643</t>
  </si>
  <si>
    <t>KAMAN NAGAR BRANCH</t>
  </si>
  <si>
    <t>KAMAN_NAGAR_BRANCH</t>
  </si>
  <si>
    <t>KAMAN NAGAR, SATKHIRA 9400</t>
  </si>
  <si>
    <t>0471 63251</t>
  </si>
  <si>
    <t>200870672</t>
  </si>
  <si>
    <t>KHALISHKHALI BRANCH</t>
  </si>
  <si>
    <t>KHALISHKHALI_BRANCH</t>
  </si>
  <si>
    <t>KHALISHKHALI, PATKELGHATA, SATKHIRA</t>
  </si>
  <si>
    <t>017 14109198</t>
  </si>
  <si>
    <t>200870764</t>
  </si>
  <si>
    <t>KULIA BAZAR BRANCH</t>
  </si>
  <si>
    <t>KULIA_BAZAR_BRANCH</t>
  </si>
  <si>
    <t>GURURAMPUR, DEBHATA, SATKHIRA</t>
  </si>
  <si>
    <t>017 14109192</t>
  </si>
  <si>
    <t>200870793</t>
  </si>
  <si>
    <t>KUMIRA BAZAR BRANCH</t>
  </si>
  <si>
    <t>KUMIRA_BAZAR_BRANCH</t>
  </si>
  <si>
    <t>KUMIRA BAZAR, SATKHIRA 9400</t>
  </si>
  <si>
    <t>200870827</t>
  </si>
  <si>
    <t>MAGURA BAZAR BRANCH</t>
  </si>
  <si>
    <t>MAGURA_BAZAR_BRANCH</t>
  </si>
  <si>
    <t>MAGURA BAZAR, TALA, SATKHIRA</t>
  </si>
  <si>
    <t>017 14109196</t>
  </si>
  <si>
    <t>200871000</t>
  </si>
  <si>
    <t>PARULIA BRANCH</t>
  </si>
  <si>
    <t>PARULIA_BRANCH</t>
  </si>
  <si>
    <t>PARULIA, DEBHATA, SATKHIRA</t>
  </si>
  <si>
    <t>0471 64017 (Ext 11)</t>
  </si>
  <si>
    <t>200871097</t>
  </si>
  <si>
    <t>0471 63305, 63553</t>
  </si>
  <si>
    <t>200871213</t>
  </si>
  <si>
    <t>SHYAMNAGAR, SATKHIRA</t>
  </si>
  <si>
    <t>04726 74016</t>
  </si>
  <si>
    <t>200871305</t>
  </si>
  <si>
    <t>0471 64006 (Ext 307)</t>
  </si>
  <si>
    <t>200860040</t>
  </si>
  <si>
    <t>ANGARIA BAZAR BRANCH</t>
  </si>
  <si>
    <t>ANGARIA_BAZAR_BRANCH</t>
  </si>
  <si>
    <t>ANGARIA, SHARIATPUR SADAR, SHARIATPUR 8001</t>
  </si>
  <si>
    <t>0601 55647</t>
  </si>
  <si>
    <t>200860103</t>
  </si>
  <si>
    <t>BHEDARGANJ, SHARIATPUR</t>
  </si>
  <si>
    <t>0601 55851, 55846</t>
  </si>
  <si>
    <t>200860190</t>
  </si>
  <si>
    <t>DAMUDYA, SHARIATPUR</t>
  </si>
  <si>
    <t>06023 56132</t>
  </si>
  <si>
    <t>200860345</t>
  </si>
  <si>
    <t>GOSAIRHAT BRANCH</t>
  </si>
  <si>
    <t>GOSAIRHAT_BRANCH</t>
  </si>
  <si>
    <t>GOSAIRHAT, SHARIATPUR</t>
  </si>
  <si>
    <t>06024 75013</t>
  </si>
  <si>
    <t>200860587</t>
  </si>
  <si>
    <t>200860679</t>
  </si>
  <si>
    <t>0601 55641</t>
  </si>
  <si>
    <t>200860703</t>
  </si>
  <si>
    <t>0601 55837, 55845-7</t>
  </si>
  <si>
    <t>200890160</t>
  </si>
  <si>
    <t>JHINAIGATI BRANCH</t>
  </si>
  <si>
    <t>JHINAIGATI_BRANCH</t>
  </si>
  <si>
    <t>JHINAIGATI, SHERPUR</t>
  </si>
  <si>
    <t>0931 61291, 61238</t>
  </si>
  <si>
    <t>200890315</t>
  </si>
  <si>
    <t>ISHABPUR, NAKLA, SHERPUR</t>
  </si>
  <si>
    <t>0931 75019</t>
  </si>
  <si>
    <t>200890344</t>
  </si>
  <si>
    <t>0931 73011</t>
  </si>
  <si>
    <t>200890436</t>
  </si>
  <si>
    <t>NAYANI BAZAR BRANCH</t>
  </si>
  <si>
    <t>NAYANI_BAZAR_BRANCH</t>
  </si>
  <si>
    <t>NAYANI BAZAR, SHERPUR 2100</t>
  </si>
  <si>
    <t>0931 62336</t>
  </si>
  <si>
    <t>200890557</t>
  </si>
  <si>
    <t>NARAYANPUR, SHERPUR</t>
  </si>
  <si>
    <t>0931 61318, 61403</t>
  </si>
  <si>
    <t>200890649</t>
  </si>
  <si>
    <t>0931 61233, 61273</t>
  </si>
  <si>
    <t>200890678</t>
  </si>
  <si>
    <t>SURJADI BAZAR BRANCH</t>
  </si>
  <si>
    <t>SURJADI_BAZAR_BRANCH</t>
  </si>
  <si>
    <t>SURJADI BAZAR, SHERPUR 2130</t>
  </si>
  <si>
    <t>200880138</t>
  </si>
  <si>
    <t>BAGHABARI GHAT, SIRAJGANJ</t>
  </si>
  <si>
    <t>0751 63801-2 (Ext 315)</t>
  </si>
  <si>
    <t>200880433</t>
  </si>
  <si>
    <t>CHANDAIRKONA BRANCH</t>
  </si>
  <si>
    <t>CHANDAIRKONA_BRANCH</t>
  </si>
  <si>
    <t>CHANDAIRKONA, SIRAJGANJ</t>
  </si>
  <si>
    <t>200880491</t>
  </si>
  <si>
    <t>CHOWBARI BRANCH</t>
  </si>
  <si>
    <t>CHOWBARI_BRANCH</t>
  </si>
  <si>
    <t>CHOWBARI, SIRAJGANJ</t>
  </si>
  <si>
    <t>017 14085247</t>
  </si>
  <si>
    <t>200880554</t>
  </si>
  <si>
    <t>0751 62009</t>
  </si>
  <si>
    <t>200880675</t>
  </si>
  <si>
    <t>DHANGORA BRANCH</t>
  </si>
  <si>
    <t>DHANGORA_BRANCH</t>
  </si>
  <si>
    <t>DHANGORA, SIRAJGANJ 6720</t>
  </si>
  <si>
    <t>07526 56105</t>
  </si>
  <si>
    <t>200880820</t>
  </si>
  <si>
    <t>ENAYETPUR, SIRAJGANJ</t>
  </si>
  <si>
    <t>017 14100836</t>
  </si>
  <si>
    <t>200880912</t>
  </si>
  <si>
    <t>HATIKUMRUL, SIRAJGANJ</t>
  </si>
  <si>
    <t>200880941</t>
  </si>
  <si>
    <t>JAMTOIL BRANCH</t>
  </si>
  <si>
    <t>JAMTOIL_BRANCH</t>
  </si>
  <si>
    <t>JAM TOIL, SIRAJGANJ</t>
  </si>
  <si>
    <t>0751 63816-17 (Ext 19)</t>
  </si>
  <si>
    <t>200881090</t>
  </si>
  <si>
    <t>KAZIPUR BRANCH</t>
  </si>
  <si>
    <t>KAZIPUR_BRANCH</t>
  </si>
  <si>
    <t>KAZIPUR, SIRAJGANJ</t>
  </si>
  <si>
    <t>07525 56115</t>
  </si>
  <si>
    <t>200881153</t>
  </si>
  <si>
    <t>KHASKAWLIA BRANCH</t>
  </si>
  <si>
    <t>KHASKAWLIA_BRANCH</t>
  </si>
  <si>
    <t>KHASKAWLIA, CHOWHALI, SIRAJGANJ</t>
  </si>
  <si>
    <t>0751 63822-23 (Ext 4)</t>
  </si>
  <si>
    <t>200881308</t>
  </si>
  <si>
    <t>LAHIRI MOHANPUR BRANCH</t>
  </si>
  <si>
    <t>LAHIRI_MOHANPUR_BRANCH</t>
  </si>
  <si>
    <t>LAHIRI MOHANPUR, ULLAPARA, SIRAJGANJ 6762</t>
  </si>
  <si>
    <t>017 14100835</t>
  </si>
  <si>
    <t>200881395</t>
  </si>
  <si>
    <t>NAOGAON BAZAR BRANCH</t>
  </si>
  <si>
    <t>NAOGAON_BAZAR_BRANCH</t>
  </si>
  <si>
    <t>SHARIFABAD, TARASH, SIRAJGANJ</t>
  </si>
  <si>
    <t>017 14090737</t>
  </si>
  <si>
    <t>200881429</t>
  </si>
  <si>
    <t>NATUARPARA BRANCH</t>
  </si>
  <si>
    <t>NATUARPARA_BRANCH</t>
  </si>
  <si>
    <t>NATUARPARA, KAZIPUR, SIRAJGANJ</t>
  </si>
  <si>
    <t>07526 8010</t>
  </si>
  <si>
    <t>200881795</t>
  </si>
  <si>
    <t>SADANANDAPUR BRANCH</t>
  </si>
  <si>
    <t>SADANANDAPUR_BRANCH</t>
  </si>
  <si>
    <t>179 / 179</t>
  </si>
  <si>
    <t>SADANANDAPUR, PORABARI, SIRAJGANJ</t>
  </si>
  <si>
    <t>017 45803374</t>
  </si>
  <si>
    <t>200881661</t>
  </si>
  <si>
    <t>SHAHID SOHRAWARDI BRANCH</t>
  </si>
  <si>
    <t>SHAHID_SOHRAWARDI_BRANCH</t>
  </si>
  <si>
    <t>RAIPUR, SIRAJGANJ SADAR, SIRAJGANJ</t>
  </si>
  <si>
    <t>0751 62362</t>
  </si>
  <si>
    <t>200881908</t>
  </si>
  <si>
    <t>SHAHZADPUR, SIRAJGANJ</t>
  </si>
  <si>
    <t>0751 63801, 63802</t>
  </si>
  <si>
    <t>200881874</t>
  </si>
  <si>
    <t>0751 62201, 62101</t>
  </si>
  <si>
    <t>200881966</t>
  </si>
  <si>
    <t>SOHAGPUR BRANCH</t>
  </si>
  <si>
    <t>SOHAGPUR_BRANCH</t>
  </si>
  <si>
    <t>SOHAGPUR, BELKUCHI, SIRAJGANJ 6741</t>
  </si>
  <si>
    <t>07522 564422</t>
  </si>
  <si>
    <t>200882028</t>
  </si>
  <si>
    <t>SONAMUKHI, KAZIPUR, SIRAJGANJ</t>
  </si>
  <si>
    <t>07526 8009</t>
  </si>
  <si>
    <t>200882178</t>
  </si>
  <si>
    <t>07528 56206</t>
  </si>
  <si>
    <t>200882231</t>
  </si>
  <si>
    <t>ULLAPARA, SIRAJGANJ</t>
  </si>
  <si>
    <t>0751 63716</t>
  </si>
  <si>
    <t>200900197</t>
  </si>
  <si>
    <t>BISHWAMBHARPUR BRANCH</t>
  </si>
  <si>
    <t>BISHWAMBHARPUR_BRANCH</t>
  </si>
  <si>
    <t>BISHWAMBHARPUR, SUNAMGANJ</t>
  </si>
  <si>
    <t>017 14013232</t>
  </si>
  <si>
    <t>200900221</t>
  </si>
  <si>
    <t>08723 56219</t>
  </si>
  <si>
    <t>200900063</t>
  </si>
  <si>
    <t>DAKSHIN SUNAMGANJ BRANCH</t>
  </si>
  <si>
    <t>DAKSHIN_SUNAMGANJ_BRANCH</t>
  </si>
  <si>
    <t>017 77734085</t>
  </si>
  <si>
    <t>200900250</t>
  </si>
  <si>
    <t>200900289</t>
  </si>
  <si>
    <t>DHARAMPASHA BRANCH</t>
  </si>
  <si>
    <t>DHARAMPASHA_BRANCH</t>
  </si>
  <si>
    <t>DHARAMPASHA, SUNAMGANJ</t>
  </si>
  <si>
    <t>017 14013235</t>
  </si>
  <si>
    <t>200900342</t>
  </si>
  <si>
    <t>0871 55265, 55497</t>
  </si>
  <si>
    <t>200900492</t>
  </si>
  <si>
    <t>08727 56044</t>
  </si>
  <si>
    <t>200900526</t>
  </si>
  <si>
    <t>JAMALGANJ, SUNAMGANJ</t>
  </si>
  <si>
    <t>200900676</t>
  </si>
  <si>
    <t>MADDANAGAR BRANCH</t>
  </si>
  <si>
    <t>MADDANAGAR_BRANCH</t>
  </si>
  <si>
    <t>MADDANAGAR, SUNAMGANJ</t>
  </si>
  <si>
    <t>017 14013234</t>
  </si>
  <si>
    <t>200901033</t>
  </si>
  <si>
    <t>SALLA</t>
  </si>
  <si>
    <t>200901125</t>
  </si>
  <si>
    <t>0871 55316, 61186</t>
  </si>
  <si>
    <t>200901217</t>
  </si>
  <si>
    <t>TAHERPUR, SUNAMGANJ</t>
  </si>
  <si>
    <t>200910079</t>
  </si>
  <si>
    <t>AMJAD ALI ROAD BRANCH</t>
  </si>
  <si>
    <t>AMJAD_ALI_ROAD_BRANCH</t>
  </si>
  <si>
    <t>AMJAD ALI ROAD, KHALIGHAT, SYLHET 3100</t>
  </si>
  <si>
    <t>0821 717702</t>
  </si>
  <si>
    <t>200910132</t>
  </si>
  <si>
    <t>BAIRAGI BAZAR BRANCH</t>
  </si>
  <si>
    <t>BAIRAGI_BAZAR_BRANCH</t>
  </si>
  <si>
    <t>BAIRAGI BAZAR, BEANIBAZAR, SYLHET</t>
  </si>
  <si>
    <t>08223 88140</t>
  </si>
  <si>
    <t>200910161</t>
  </si>
  <si>
    <t>BALAGANJ, SYLHET</t>
  </si>
  <si>
    <t>0822 89048</t>
  </si>
  <si>
    <t>200910316</t>
  </si>
  <si>
    <t>BEANIBAZAR, SYLHET</t>
  </si>
  <si>
    <t>0821 88428</t>
  </si>
  <si>
    <t>200910437</t>
  </si>
  <si>
    <t>BISHWANATH, SYLHET</t>
  </si>
  <si>
    <t>08224 88161</t>
  </si>
  <si>
    <t>200910703</t>
  </si>
  <si>
    <t>CHARKHAI, BEANIBAZAR, SYLHET</t>
  </si>
  <si>
    <t>017 14013251</t>
  </si>
  <si>
    <t>200913618</t>
  </si>
  <si>
    <t>CITY CORPORATION, SYLHET</t>
  </si>
  <si>
    <t>0821 715480</t>
  </si>
  <si>
    <t>200910916</t>
  </si>
  <si>
    <t>COMPANIGANJ, SYLHET</t>
  </si>
  <si>
    <t>200910945</t>
  </si>
  <si>
    <t>COURT BUILDING, SYLHET</t>
  </si>
  <si>
    <t>0821 716902</t>
  </si>
  <si>
    <t>200910974</t>
  </si>
  <si>
    <t>DAKSHIN FENCHUGANJ BRANCH</t>
  </si>
  <si>
    <t>DAKSHIN_FENCHUGANJ_BRANCH</t>
  </si>
  <si>
    <t>DAKSHIN FENCHUGANJ, SYLHET 3116</t>
  </si>
  <si>
    <t>08226 88084</t>
  </si>
  <si>
    <t>200911065</t>
  </si>
  <si>
    <t>BSONBDDHDGT</t>
  </si>
  <si>
    <t>DARGA GATE, SYLHET 3100</t>
  </si>
  <si>
    <t>0821 717330, 716109</t>
  </si>
  <si>
    <t>200911302</t>
  </si>
  <si>
    <t>08227 87211</t>
  </si>
  <si>
    <t>200911360</t>
  </si>
  <si>
    <t>FENCHUGANJ, SYLHET</t>
  </si>
  <si>
    <t>08226 88139</t>
  </si>
  <si>
    <t>200911399</t>
  </si>
  <si>
    <t>FENCHUGANJ FERTILIZER FACTORY BRANCH</t>
  </si>
  <si>
    <t>FENCHUGANJ_FERTILIZER_FACTORY_BRANCH</t>
  </si>
  <si>
    <t>017 14013257</t>
  </si>
  <si>
    <t>200911607</t>
  </si>
  <si>
    <t>08227 88133</t>
  </si>
  <si>
    <t>200911636</t>
  </si>
  <si>
    <t>0821 713932 (Ext 10)</t>
  </si>
  <si>
    <t>200911810</t>
  </si>
  <si>
    <t>JAINTIAPUR, SYLHET</t>
  </si>
  <si>
    <t>08229 88019</t>
  </si>
  <si>
    <t>200912114</t>
  </si>
  <si>
    <t>KAJAL HAOR BRANCH</t>
  </si>
  <si>
    <t>KAJAL_HAOR_BRANCH</t>
  </si>
  <si>
    <t>KAJAL HAOR, SYLHET</t>
  </si>
  <si>
    <t>0821 713814</t>
  </si>
  <si>
    <t>200912051</t>
  </si>
  <si>
    <t>KAMAL BAZAR, KOTWALI, SYLHET 3112</t>
  </si>
  <si>
    <t>017 14013253</t>
  </si>
  <si>
    <t>200912080</t>
  </si>
  <si>
    <t>0821 713762 (Ext 17)</t>
  </si>
  <si>
    <t>200912206</t>
  </si>
  <si>
    <t>KHADIMNAGAR BRANCH</t>
  </si>
  <si>
    <t>KHADIMNAGAR_BRANCH</t>
  </si>
  <si>
    <t>KHADIM NAGAR, SYLHET</t>
  </si>
  <si>
    <t>0821 2870449</t>
  </si>
  <si>
    <t>200912714</t>
  </si>
  <si>
    <t>MAHAJAN PATTY, SYLHET</t>
  </si>
  <si>
    <t>0821 717490</t>
  </si>
  <si>
    <t>200910408</t>
  </si>
  <si>
    <t>OSMANI BIMAN BANDAR BRANCH</t>
  </si>
  <si>
    <t>OSMANI_BIMAN_BANDAR_BRANCH</t>
  </si>
  <si>
    <t>017 14013256</t>
  </si>
  <si>
    <t>200912893</t>
  </si>
  <si>
    <t>PIRER BAZAR BRANCH</t>
  </si>
  <si>
    <t>PIRER_BAZAR_BRANCH</t>
  </si>
  <si>
    <t>DASHGHAR, BISHWANATH, SYLHET</t>
  </si>
  <si>
    <t>017 14013254</t>
  </si>
  <si>
    <t>200913463</t>
  </si>
  <si>
    <t>STATION ROAD, SYLHET 3156</t>
  </si>
  <si>
    <t>0821 716953</t>
  </si>
  <si>
    <t>200913076</t>
  </si>
  <si>
    <t>SUST BRANCH</t>
  </si>
  <si>
    <t>SUST_BRANCH</t>
  </si>
  <si>
    <t>SHAHJALAL UNIVERSITY OF SCIENCE AND TECHNOLOGY, AKHALIA, KOTWALI, SYLHET</t>
  </si>
  <si>
    <t>0821 713147</t>
  </si>
  <si>
    <t>200913647</t>
  </si>
  <si>
    <t>0821 716849, 719768</t>
  </si>
  <si>
    <t>200913584</t>
  </si>
  <si>
    <t>SYLHET CANTONMENT BRANCH</t>
  </si>
  <si>
    <t>SYLHET_CANTONMENT_BRANCH</t>
  </si>
  <si>
    <t>SYLHET CANTONMENT, SYLHET 3100</t>
  </si>
  <si>
    <t>0821 760438</t>
  </si>
  <si>
    <t>200913821</t>
  </si>
  <si>
    <t>TAJPUR, BALAGANJ, SYLHET</t>
  </si>
  <si>
    <t>08222 88130</t>
  </si>
  <si>
    <t>200913913</t>
  </si>
  <si>
    <t>TIKARPARA BRANCH</t>
  </si>
  <si>
    <t>TIKARPARA_BRANCH</t>
  </si>
  <si>
    <t>391 / 391</t>
  </si>
  <si>
    <t>KAWDIA, BEANIBAZAR, SYLHET</t>
  </si>
  <si>
    <t>017 14013255</t>
  </si>
  <si>
    <t>200913942</t>
  </si>
  <si>
    <t>TILAGARH BRANCH</t>
  </si>
  <si>
    <t>TILAGARH_BRANCH</t>
  </si>
  <si>
    <t>TILAGORH, KOTWALI, SYLHET</t>
  </si>
  <si>
    <t>0821 760431</t>
  </si>
  <si>
    <t>200914125</t>
  </si>
  <si>
    <t>ZAKIGANJ, SYLHET</t>
  </si>
  <si>
    <t>08232 56024</t>
  </si>
  <si>
    <t>200930370</t>
  </si>
  <si>
    <t>BASAIL, TANGAIL</t>
  </si>
  <si>
    <t>09222 53003, 017 55594830</t>
  </si>
  <si>
    <t>200930462</t>
  </si>
  <si>
    <t>BHUAPUR, TANGAIL</t>
  </si>
  <si>
    <t>0921 54041, 54282, 5520, 017 55594829</t>
  </si>
  <si>
    <t>200930312</t>
  </si>
  <si>
    <t>BOLLA BAZAR BRANCH</t>
  </si>
  <si>
    <t>BOLLA_BAZAR_BRANCH</t>
  </si>
  <si>
    <t>BOLLA BAZAR, KALIHATI, TANGAIL</t>
  </si>
  <si>
    <t>017 14090733</t>
  </si>
  <si>
    <t>200930554</t>
  </si>
  <si>
    <t>0921 53441, 017 55594822</t>
  </si>
  <si>
    <t>200930583</t>
  </si>
  <si>
    <t>0921 53025, 53182, 55206, 017 55594834</t>
  </si>
  <si>
    <t>200930675</t>
  </si>
  <si>
    <t>DHANBARI, TANGAIL</t>
  </si>
  <si>
    <t>09228 56299 (Ext 11), 017 55594835</t>
  </si>
  <si>
    <t>200930888</t>
  </si>
  <si>
    <t>FALDA BAZAR BRANCH</t>
  </si>
  <si>
    <t>FALDA_BAZAR_BRANCH</t>
  </si>
  <si>
    <t>FALDA BAZAR, BHUAPUR, TANGAIL</t>
  </si>
  <si>
    <t>017 14090734</t>
  </si>
  <si>
    <t>200930909</t>
  </si>
  <si>
    <t>GARO BAZAR BRANCH</t>
  </si>
  <si>
    <t>GARO_BAZAR_BRANCH</t>
  </si>
  <si>
    <t>090 / 090</t>
  </si>
  <si>
    <t>GARO BAZAR, MODHUPUR, TANGAIL</t>
  </si>
  <si>
    <t>017 55547997</t>
  </si>
  <si>
    <t>200930912</t>
  </si>
  <si>
    <t>09225 56071, 017 55594827</t>
  </si>
  <si>
    <t>200930970</t>
  </si>
  <si>
    <t>GOBINDASI BRANCH</t>
  </si>
  <si>
    <t>GOBINDASI_BRANCH</t>
  </si>
  <si>
    <t>GOBINDASI, BHUAPUR, TANGAIL</t>
  </si>
  <si>
    <t>200931003</t>
  </si>
  <si>
    <t>GOPALPUR, TANGAIL</t>
  </si>
  <si>
    <t>0921 53074, 5427, 55203,	017 55594831</t>
  </si>
  <si>
    <t>200931032</t>
  </si>
  <si>
    <t>GORAI BRANCH</t>
  </si>
  <si>
    <t>GORAI_BRANCH</t>
  </si>
  <si>
    <t>GORAI, MIRZAPUR, TANGAIL</t>
  </si>
  <si>
    <t>017 14090712</t>
  </si>
  <si>
    <t>200931308</t>
  </si>
  <si>
    <t>09227 78028, 017 55594828</t>
  </si>
  <si>
    <t>200931403</t>
  </si>
  <si>
    <t>KENDUA BAZAR BRANCH</t>
  </si>
  <si>
    <t>KENDUA_BAZAR_BRANCH</t>
  </si>
  <si>
    <t>140 / 140</t>
  </si>
  <si>
    <t>KENDUA BAZAR, DHANBARI, TANGAIL</t>
  </si>
  <si>
    <t>200931458</t>
  </si>
  <si>
    <t>LAUHATI BRANCH</t>
  </si>
  <si>
    <t>LAUHATI_BRANCH</t>
  </si>
  <si>
    <t>LAUHATI, DELDUAR, TANGAIL</t>
  </si>
  <si>
    <t>017 14090732</t>
  </si>
  <si>
    <t>200931487</t>
  </si>
  <si>
    <t>09228 56016, 017 55594832</t>
  </si>
  <si>
    <t>200931490</t>
  </si>
  <si>
    <t>MAWLANA BHASHANI TECH UNIVERSITY BRANCH</t>
  </si>
  <si>
    <t>MAWLANA_BHASHANI_TECH_UNIVERSITY_BRANCH</t>
  </si>
  <si>
    <t>149 / 149</t>
  </si>
  <si>
    <t>MAWLANA BHASHANI SCIENCE AND TECHNOLOGY UNIVERSITY, TANGAIL 1902</t>
  </si>
  <si>
    <t>017 29930478</t>
  </si>
  <si>
    <t>200931511</t>
  </si>
  <si>
    <t>0921 54343, 53205, 53005, 017 55594826</t>
  </si>
  <si>
    <t>200931603</t>
  </si>
  <si>
    <t>MOHANPUR, GOPALPUR, TANGAIL</t>
  </si>
  <si>
    <t>017 14090736</t>
  </si>
  <si>
    <t>200931429</t>
  </si>
  <si>
    <t>MYMENSINGH ROAD, TANGAIL 1900</t>
  </si>
  <si>
    <t>0921 53128, 017 55594824</t>
  </si>
  <si>
    <t>200931690</t>
  </si>
  <si>
    <t>09233 73032, 017 55594833</t>
  </si>
  <si>
    <t>200931111</t>
  </si>
  <si>
    <t>NALIN BAZAR BRANCH</t>
  </si>
  <si>
    <t>NALIN_BAZAR_BRANCH</t>
  </si>
  <si>
    <t>111 / 111</t>
  </si>
  <si>
    <t>NALIN BAZAR, GOPALPUR, TANGAIL</t>
  </si>
  <si>
    <t>200931816</t>
  </si>
  <si>
    <t>NIKRAIL BRANCH</t>
  </si>
  <si>
    <t>NIKRAIL_BRANCH</t>
  </si>
  <si>
    <t>NIKRAIL, BHUAPUR, TANGAIL</t>
  </si>
  <si>
    <t>200931874</t>
  </si>
  <si>
    <t>PAKULLA BAZAR BRANCH</t>
  </si>
  <si>
    <t>PAKULLA_BAZAR_BRANCH</t>
  </si>
  <si>
    <t>PAKULLA BAZAR, MIRZAPUR, TANGAIL</t>
  </si>
  <si>
    <t>200931908</t>
  </si>
  <si>
    <t>PAKUTIA, NAGARPUR, TANGAIL</t>
  </si>
  <si>
    <t>017 14090713</t>
  </si>
  <si>
    <t>200932202</t>
  </si>
  <si>
    <t>09232 56005, 017 55594825</t>
  </si>
  <si>
    <t>200932178</t>
  </si>
  <si>
    <t>SHAHEED SALAHUDDIN CANTONMENT BRANCH</t>
  </si>
  <si>
    <t>SHAHEED_SALAHUDDIN_CANTONMENT_BRANCH</t>
  </si>
  <si>
    <t>SHAHEED SALAHUDDIN CANTONMENT, GHATAIL, TANGAIL</t>
  </si>
  <si>
    <t>09225 56204 (Ext 2477)</t>
  </si>
  <si>
    <t>200932323</t>
  </si>
  <si>
    <t>TANGAIL BAZAR BRANCH</t>
  </si>
  <si>
    <t>TANGAIL_BAZAR_BRANCH</t>
  </si>
  <si>
    <t>TANGAIL BAZAR, TULAPATTI ROAD, TANGAIL</t>
  </si>
  <si>
    <t>0921 53599, 017 55594821</t>
  </si>
  <si>
    <t>200932299</t>
  </si>
  <si>
    <t>0921 53310, 53004, 017 55594820</t>
  </si>
  <si>
    <t>200932381</t>
  </si>
  <si>
    <t>VICTORIA ROAD BRANCH</t>
  </si>
  <si>
    <t>VICTORIA_ROAD_BRANCH</t>
  </si>
  <si>
    <t>VICTORIA ROAD, TANGAIL</t>
  </si>
  <si>
    <t>0921 53261, 017 55594823</t>
  </si>
  <si>
    <t>200940049</t>
  </si>
  <si>
    <t>AKHANAGAR BRANCH</t>
  </si>
  <si>
    <t>AKHANAGAR_BRANCH</t>
  </si>
  <si>
    <t>AKHANAGAR, THAKURGAON 5100</t>
  </si>
  <si>
    <t>200940102</t>
  </si>
  <si>
    <t>0561 53560 (Ext 06)</t>
  </si>
  <si>
    <t>200940881</t>
  </si>
  <si>
    <t>BHULLI BAZAR BRANCH</t>
  </si>
  <si>
    <t>BHULLI_BAZAR_BRANCH</t>
  </si>
  <si>
    <t>BHULLI BAZAR, BALIA, THAKURGAON</t>
  </si>
  <si>
    <t>200940281</t>
  </si>
  <si>
    <t>CHOWDHURY HAT, THAKURGAON</t>
  </si>
  <si>
    <t>200940436</t>
  </si>
  <si>
    <t>GAREYAHAT BRANCH</t>
  </si>
  <si>
    <t>GAREYAHAT_BRANCH</t>
  </si>
  <si>
    <t>GAREYAHAT, THAKURGAON</t>
  </si>
  <si>
    <t>200940465</t>
  </si>
  <si>
    <t>HARIPUR, THAKURGAON</t>
  </si>
  <si>
    <t>0561 53548 (Ext 05)</t>
  </si>
  <si>
    <t>200940494</t>
  </si>
  <si>
    <t>JABARHAT BRANCH</t>
  </si>
  <si>
    <t>JABARHAT_BRANCH</t>
  </si>
  <si>
    <t>JABARHAT, PIRGANJ, THAKURGAON</t>
  </si>
  <si>
    <t>200940731</t>
  </si>
  <si>
    <t>NEKMARAD BRANCH</t>
  </si>
  <si>
    <t>NEKMARAD_BRANCH</t>
  </si>
  <si>
    <t>NEKMARAD, RANI SANKAIL, THAKURGAON 5121</t>
  </si>
  <si>
    <t>200940760</t>
  </si>
  <si>
    <t>0561 52078 (Ext 03)</t>
  </si>
  <si>
    <t>200940586</t>
  </si>
  <si>
    <t>PURATAN BUS STAND BRANCH</t>
  </si>
  <si>
    <t>PURATAN_BUS_STAND_BRANCH</t>
  </si>
  <si>
    <t>PURATAN BUS STAND, THAKURGAON 5100</t>
  </si>
  <si>
    <t>200940823</t>
  </si>
  <si>
    <t>RANI SANKAIL, THAKURGAON</t>
  </si>
  <si>
    <t>0561 53523 (Ext 07)</t>
  </si>
  <si>
    <t>200940852</t>
  </si>
  <si>
    <t>0561 52599 (Ext 14)</t>
  </si>
  <si>
    <t>200940915</t>
  </si>
  <si>
    <t>SIBGANJ BAZAR, THAKURGAON</t>
  </si>
  <si>
    <t>0561 61414</t>
  </si>
  <si>
    <t>200940973</t>
  </si>
  <si>
    <t>0561 53480</t>
  </si>
  <si>
    <t>200941035</t>
  </si>
  <si>
    <t>THAKURGAON SUGAR MILLS BRANCH</t>
  </si>
  <si>
    <t>THAKURGAON_SUGAR_MILLS_BRANCH</t>
  </si>
  <si>
    <t>THAKURGAON SUGAR MILLS, THAKURGAON 5100</t>
  </si>
  <si>
    <t>0561 52080</t>
  </si>
  <si>
    <t>SOUTHEAST_BANK_LIMITED</t>
  </si>
  <si>
    <t>SOUTHEAST BANK LIMITED</t>
  </si>
  <si>
    <t>205060287</t>
  </si>
  <si>
    <t>SEBDBDDH</t>
  </si>
  <si>
    <t>54 SADAR ROAD, KOTWALI, BARISAL</t>
  </si>
  <si>
    <t>0431 2176601, 2176602, 2176603, 2176604</t>
  </si>
  <si>
    <t>shirajul.islam@southeastbank.com.bd</t>
  </si>
  <si>
    <t>0431 64056</t>
  </si>
  <si>
    <t>205100376</t>
  </si>
  <si>
    <t>BHANDARI MONZIL, 776-777 BARAGALA, BOGRA</t>
  </si>
  <si>
    <t>051 68083, 68084, 68085, 68086</t>
  </si>
  <si>
    <t>mijanur@southeastbank.com.bd</t>
  </si>
  <si>
    <t>051 51939</t>
  </si>
  <si>
    <t>205120448</t>
  </si>
  <si>
    <t>SIKDER PLAZA, 1001 DR FARIDUL HUDA ROAD, BRAHMANBARIA</t>
  </si>
  <si>
    <t>017 13081613</t>
  </si>
  <si>
    <t>mahfuj@southeastbank.com.bd</t>
  </si>
  <si>
    <t>4 NOVEMBER 2010</t>
  </si>
  <si>
    <t>205700255</t>
  </si>
  <si>
    <t>HOLDING NO 8, BARA INDARA MORE, WARD 15, CHAPAI NAWABGANJ</t>
  </si>
  <si>
    <t>017 30727283</t>
  </si>
  <si>
    <t>khairul.islam@southeastbank.com.bd</t>
  </si>
  <si>
    <t>205150139</t>
  </si>
  <si>
    <t>SEBDBDDHAGR</t>
  </si>
  <si>
    <t>FARUK MAHAL, 93 AGRABAD COMMERCIAL AREA, CHITTAGONG</t>
  </si>
  <si>
    <t>031 713097-98, 713094-95, 721151-53</t>
  </si>
  <si>
    <t>anwar.uddin@southeastbank.com.bd</t>
  </si>
  <si>
    <t>031 713096</t>
  </si>
  <si>
    <t>205151512</t>
  </si>
  <si>
    <t>CDA AVENUE ISLAMI BRANCH</t>
  </si>
  <si>
    <t>CDA_AVENUE_ISLAMI_BRANCH</t>
  </si>
  <si>
    <t>SEBDBDDHCDA</t>
  </si>
  <si>
    <t>ALI VILLA, 1640/1861 CDA AVENUE, ASIAN HIGHWAY, EAST NASIRABAD, PANCHLIASH, CHITTAGONG</t>
  </si>
  <si>
    <t>031 652150, 654875, 2552385-86</t>
  </si>
  <si>
    <t>alvy@southeastbank.com.bd</t>
  </si>
  <si>
    <t>031 2552387</t>
  </si>
  <si>
    <t>205152182</t>
  </si>
  <si>
    <t>CHOWDHURYHAT SME BRANCH</t>
  </si>
  <si>
    <t>CHOWDHURYHAT_SME_BRANCH</t>
  </si>
  <si>
    <t>218 / 218</t>
  </si>
  <si>
    <t>HALIM MANSION, PLOT NO 6286, CHOWDHURY HAT, CHIKANDANDI, HATHAZARI, CHITTAGONG</t>
  </si>
  <si>
    <t>031 2584006, 2584007</t>
  </si>
  <si>
    <t>shajahan@southeastbank.com.bd</t>
  </si>
  <si>
    <t>031 2584005</t>
  </si>
  <si>
    <t>205152740</t>
  </si>
  <si>
    <t>MIR JAHANARA COMPLEX, COLLEGE ROAD, BIBIRHAT, FATIKCHHARI, CHITTAGONG</t>
  </si>
  <si>
    <t>030 2256316, 2256317</t>
  </si>
  <si>
    <t>md.rafiqul@southeastbank.com.bd</t>
  </si>
  <si>
    <t>030 2256315</t>
  </si>
  <si>
    <t>205153165</t>
  </si>
  <si>
    <t>HOUSE NO 3, BLOCK G, PORT CONNECTING ROAD, HALISHAHAR HOUSING ESTATE, CHITTAGONG</t>
  </si>
  <si>
    <t>031 716826, 2526183, 2526184</t>
  </si>
  <si>
    <t>kamaluddin@southeastbank.com.bd</t>
  </si>
  <si>
    <t>031 727949</t>
  </si>
  <si>
    <t>205153236</t>
  </si>
  <si>
    <t>205153231</t>
  </si>
  <si>
    <t>SA SHOPPING COMPLEX, PLOT NO 14238, HATHAZARI BUS STAND, RANGAMATI ROAD, FATEHPUR, HATHAZARI, CHITTAGONG</t>
  </si>
  <si>
    <t>017 13065977</t>
  </si>
  <si>
    <t>mojibul@southeastbank.com.bd</t>
  </si>
  <si>
    <t>20 SEPTEMBER 2010</t>
  </si>
  <si>
    <t>205153644</t>
  </si>
  <si>
    <t>SEBDBDDHJUB</t>
  </si>
  <si>
    <t>HAJI GOLAM RASUL MARKET, 96 JUBILEE ROAD, CHITTAGONG</t>
  </si>
  <si>
    <t>031 611712, 635265, 611713-15, 635245-46</t>
  </si>
  <si>
    <t>mannan@southeastbank.com.bd</t>
  </si>
  <si>
    <t>031 611716</t>
  </si>
  <si>
    <t>205154272</t>
  </si>
  <si>
    <t>SEBDBDDHKTG</t>
  </si>
  <si>
    <t>410-411 KHATUNGANJ, CHITTAGONG</t>
  </si>
  <si>
    <t>031 2863594, 621934, 620166-67, 620516</t>
  </si>
  <si>
    <t>bashar@southeastbank.com.bd</t>
  </si>
  <si>
    <t>031 620517</t>
  </si>
  <si>
    <t>205154401</t>
  </si>
  <si>
    <t>KOTWALI BRANCH</t>
  </si>
  <si>
    <t>KOTWALI_BRANCH</t>
  </si>
  <si>
    <t>440 / 440</t>
  </si>
  <si>
    <t>EQUITY ANITRI, HOLDING NO 32, SHAHID SOHRAWARDI ROAD, WARD 33, KOTWALI, CHITTAGONG</t>
  </si>
  <si>
    <t>031 632750-52</t>
  </si>
  <si>
    <t>kallol@southeastbank.com.bd</t>
  </si>
  <si>
    <t>031 632753</t>
  </si>
  <si>
    <t>205154672</t>
  </si>
  <si>
    <t>467 / 467</t>
  </si>
  <si>
    <t>MOSTAFA CITY CENTER, AMIRABAD, LOHAGARA, CHITTAGONG</t>
  </si>
  <si>
    <t>0303 456623</t>
  </si>
  <si>
    <t>hossain.akbar@southeastbank.com.bd</t>
  </si>
  <si>
    <t>0303 456624</t>
  </si>
  <si>
    <t>205154698</t>
  </si>
  <si>
    <t>MADAMBIBIRHAT UNION, BHATIARY, SITAKUNDA, CHITTAGONG</t>
  </si>
  <si>
    <t>031 2781001, 2781003, 2781004</t>
  </si>
  <si>
    <t>rezaul.islam@southeastbank.com.bd</t>
  </si>
  <si>
    <t>031 2781002</t>
  </si>
  <si>
    <t>205155268</t>
  </si>
  <si>
    <t>526 / 526</t>
  </si>
  <si>
    <t>EQUITY CENTRAL, 42-43 MOMIN ROAD, CHITTAGONG</t>
  </si>
  <si>
    <t>031 2857345, 2857346, 2857347</t>
  </si>
  <si>
    <t>031 2857349</t>
  </si>
  <si>
    <t>21 DECEMBER 2008</t>
  </si>
  <si>
    <t>205155871</t>
  </si>
  <si>
    <t>HOLDING NO 405, OXYGEN MORE, BAYEZID BOSTAMI, CHITTAGONG</t>
  </si>
  <si>
    <t>017 30727281</t>
  </si>
  <si>
    <t>azizul@southeastbank.com.bd</t>
  </si>
  <si>
    <t>2 DECEMBER 2010</t>
  </si>
  <si>
    <t>205155921</t>
  </si>
  <si>
    <t>HAJRAT TAIYABIA COMPLEX, HOLDING NO 801, DT ROAD, ALANGKAR MORE, PAHARTALI, CHITTAGONG</t>
  </si>
  <si>
    <t>031 2771001, 2771002, 2771003, 2771004</t>
  </si>
  <si>
    <t>moheuddin@southeastbank.com.bd</t>
  </si>
  <si>
    <t>031 2771005</t>
  </si>
  <si>
    <t>205156133</t>
  </si>
  <si>
    <t>KHAIZ AHMED SHOPPING CENTRE, NOAPARA, RAOZAN, CHITTAGONG</t>
  </si>
  <si>
    <t>031 2573214, 2573216 (Ext 101)</t>
  </si>
  <si>
    <t>md.aminur@southeastbank.com.bd</t>
  </si>
  <si>
    <t>031 2573215</t>
  </si>
  <si>
    <t>205191156</t>
  </si>
  <si>
    <t>359/328 JHAWTALA, KANDIR PAAR, KOTWALI, COMILLA</t>
  </si>
  <si>
    <t>081 64278, 64279, 64280</t>
  </si>
  <si>
    <t>prabir@southeastbank.com.bd</t>
  </si>
  <si>
    <t>081 61321</t>
  </si>
  <si>
    <t>205191422</t>
  </si>
  <si>
    <t>SAUDIA MANJIL, NORTH TIRISH, NABIPUR WEST, NABINAGAR ROAD, MURADNAGAR, COMILLA</t>
  </si>
  <si>
    <t>08026 59004, 59011</t>
  </si>
  <si>
    <t>mahabubul.islam@southeastbank.com.bd</t>
  </si>
  <si>
    <t>205192926</t>
  </si>
  <si>
    <t>MIANBAZAR BRANCH</t>
  </si>
  <si>
    <t>MIANBAZAR_BRANCH</t>
  </si>
  <si>
    <t>292 / 292</t>
  </si>
  <si>
    <t>HAJI SIRAJ MANSION, ASHRABPUR, UJIRPUR, CHOUDDAGRAM, COMILLA</t>
  </si>
  <si>
    <t>017 66665140</t>
  </si>
  <si>
    <t>azam@southeastbank.com.bd</t>
  </si>
  <si>
    <t>3 OCTOBER 2013</t>
  </si>
  <si>
    <t>205220285</t>
  </si>
  <si>
    <t>COXS BAZAR ISLAMI BANKING</t>
  </si>
  <si>
    <t>COXS_BAZAR_ISLAMI_BANKING</t>
  </si>
  <si>
    <t>205270130</t>
  </si>
  <si>
    <t>HASSAN MARKET, ZINJIRA, AGANAGAR, KERANIGANJ, DHAKA</t>
  </si>
  <si>
    <t>02 7772516, 7761133</t>
  </si>
  <si>
    <t>hazzaj@southeastbank.com.bd</t>
  </si>
  <si>
    <t>02 7761155</t>
  </si>
  <si>
    <t>205260045</t>
  </si>
  <si>
    <t>SEBDBDDHAGA</t>
  </si>
  <si>
    <t>PLOT NO  E-4/B, AGARGAON ADMINISTRATIVE AREA, SHERE-E-BANGLA NAGAR, MOHAMMADPUR, DHAKA 1207</t>
  </si>
  <si>
    <t>02 8151717, 8152634, 9132747, 9134247</t>
  </si>
  <si>
    <t>murad@southeastbank.com.bd</t>
  </si>
  <si>
    <t>02 9132704</t>
  </si>
  <si>
    <t>205260258</t>
  </si>
  <si>
    <t>SHAHID SONA MIA PLAZA, BANGABANDHU ROAD, ASHULIA BAZAR, DHAKA</t>
  </si>
  <si>
    <t>017 55630358</t>
  </si>
  <si>
    <t>maniur@southeastbank.com.bd</t>
  </si>
  <si>
    <t>21 SEPTEMBER 2014</t>
  </si>
  <si>
    <t>205260229</t>
  </si>
  <si>
    <t>HELIM SHOPPING COMPLEX, OPPOSITE OF FANTASY KINGDOM, ASHULIA, DHAKA</t>
  </si>
  <si>
    <t>02 7788440, 7788420, 017 30013449</t>
  </si>
  <si>
    <t>saroj@southeastbank.com.bd</t>
  </si>
  <si>
    <t>02 7788441</t>
  </si>
  <si>
    <t>205270343</t>
  </si>
  <si>
    <t>ATI, SAKTA, KERANIGANJ, DHAKA</t>
  </si>
  <si>
    <t>017 30781275</t>
  </si>
  <si>
    <t>mamunur.rashid@southeastbank.com.bd</t>
  </si>
  <si>
    <t>24 DECEMBER 2012</t>
  </si>
  <si>
    <t>205260429</t>
  </si>
  <si>
    <t>BALIVADRA BRANCH</t>
  </si>
  <si>
    <t>BALIVADRA_BRANCH</t>
  </si>
  <si>
    <t>042 / 042</t>
  </si>
  <si>
    <t>VHANDARI LATIF SUPER MARKET, BALIVADRA BAZAR, GANAKBARI, ASHULIA, DHAKA</t>
  </si>
  <si>
    <t>02 7789994, 7789993 (Ext 101)</t>
  </si>
  <si>
    <t>md.mizanur@southeastbank.com.bd</t>
  </si>
  <si>
    <t>24 SEPTEMBER 2014</t>
  </si>
  <si>
    <t>205260432</t>
  </si>
  <si>
    <t>SEBDBDDHBAN</t>
  </si>
  <si>
    <t>PLOT NO 71, BLOCK B, KAMAL ATATURK AVENUE, BANANI, DHAKA 1213</t>
  </si>
  <si>
    <t>02 55034197, 55034164, 55034188, 55034171</t>
  </si>
  <si>
    <t>shafiur@southeastbank.com.bd</t>
  </si>
  <si>
    <t>02 55034132</t>
  </si>
  <si>
    <t>205260724</t>
  </si>
  <si>
    <t>TWIN TOWER, PLOT NO 13, BLOCK C, MAIN ROAD, BANASREE, RAMPURA, DHAKA 1219</t>
  </si>
  <si>
    <t>02 8399141, 8399143</t>
  </si>
  <si>
    <t>md.saiful@southeastbank.com.bd</t>
  </si>
  <si>
    <t>02 8399142</t>
  </si>
  <si>
    <t>205270648</t>
  </si>
  <si>
    <t>PURATAN BANDURA BAZAR, BANDURA, NAWABGANJ, DHAKA</t>
  </si>
  <si>
    <t>017 30781278</t>
  </si>
  <si>
    <t>rafiqul-islam@southeastbank.com.bd</t>
  </si>
  <si>
    <t>28 MARCH 2013</t>
  </si>
  <si>
    <t>205270880</t>
  </si>
  <si>
    <t>SEBDBDDHBNG</t>
  </si>
  <si>
    <t>14/3 NORTH SOUTH ROAD, DHAKA</t>
  </si>
  <si>
    <t>02 9583342, 9583343, 7121248</t>
  </si>
  <si>
    <t>shafayetur@southeastbank.com.bd</t>
  </si>
  <si>
    <t>02 9567164</t>
  </si>
  <si>
    <t>205260553</t>
  </si>
  <si>
    <t>PLOT NO 142, BLOCK B, BASHUNDHARA R/A, BARIDHARA, DHAKA 1212</t>
  </si>
  <si>
    <t>02 8431034-5, 8431031, 8431032</t>
  </si>
  <si>
    <t>tanim@southeastbank.com.bd</t>
  </si>
  <si>
    <t>02 8431033</t>
  </si>
  <si>
    <t>205271397</t>
  </si>
  <si>
    <t>SEBDBDDHCRP</t>
  </si>
  <si>
    <t>EUNOOS TRADE CENTRE, PLOT NO 52-53, DILKUSHA C/A, DHAKA 1000</t>
  </si>
  <si>
    <t>02 9567764, 9551444, 9554447, 9564878, 9588692, 9565201</t>
  </si>
  <si>
    <t>abid@southeastbank.com.bd</t>
  </si>
  <si>
    <t>02 9571424</t>
  </si>
  <si>
    <t>205260911</t>
  </si>
  <si>
    <t>DAKHINKHAN BRANCH</t>
  </si>
  <si>
    <t>DAKHINKHAN_BRANCH</t>
  </si>
  <si>
    <t>FAISAL MANSION, SHAH KABIR MAZAR ROAD, MOSHAIR, DAKHINKHAN, DHAKA</t>
  </si>
  <si>
    <t>017 55637193</t>
  </si>
  <si>
    <t>masum.billah@southeastbank.com.bd</t>
  </si>
  <si>
    <t>205261181</t>
  </si>
  <si>
    <t>SEBDBDDHDHN</t>
  </si>
  <si>
    <t>NAVANA NEWBERRY PLACE, HOLDING NO 4/1/A, MIRPUR ROAD, SOBHANBAGH, DHAKA</t>
  </si>
  <si>
    <t>02 9120010, 9123167, 9123183</t>
  </si>
  <si>
    <t>quaium@southeastbank.com.bd</t>
  </si>
  <si>
    <t>02 9111427</t>
  </si>
  <si>
    <t>205260474</t>
  </si>
  <si>
    <t>DHANMONDI LADIES BRANCH</t>
  </si>
  <si>
    <t>DHANMONDI_LADIES_BRANCH</t>
  </si>
  <si>
    <t>047 / 047</t>
  </si>
  <si>
    <t>RUPAYAN KHAN PLAZA, PLOT NO 18, ROAD 7, DHANMONDI R/A, DHAKA</t>
  </si>
  <si>
    <t>02 9663924, 9663925, 9663992</t>
  </si>
  <si>
    <t>mahmuda@southeastbank.com.bd</t>
  </si>
  <si>
    <t>29 DECEMBER 2014</t>
  </si>
  <si>
    <t>205271421</t>
  </si>
  <si>
    <t>CHOWDHURY COMPLEX, 440-441 NOYAPARA, DONIA, JATRABARI, DHAKA 1236</t>
  </si>
  <si>
    <t>02 7547955, 7548055</t>
  </si>
  <si>
    <t>perwez@southeastbank.com.bd</t>
  </si>
  <si>
    <t>02 7548122</t>
  </si>
  <si>
    <t>205261723</t>
  </si>
  <si>
    <t>SEBDBDBHGUL</t>
  </si>
  <si>
    <t>HOUSE NO 82 CES(F), 1 GULSHAN AVENUE, DHAKA</t>
  </si>
  <si>
    <t>02 9883491, 9883401-5, 9883492</t>
  </si>
  <si>
    <t>omar.kabir@southeastbank.com.bd</t>
  </si>
  <si>
    <t>02 9883495</t>
  </si>
  <si>
    <t>205272567</t>
  </si>
  <si>
    <t>ROKY TOWER, HASNABAD, EKURIA, SUBATTA, KERANIGANJ, DHAKA</t>
  </si>
  <si>
    <t>017 30781277</t>
  </si>
  <si>
    <t>swapon.kumar@southeastbank.com.bd</t>
  </si>
  <si>
    <t>205262056</t>
  </si>
  <si>
    <t>HEMAYETPUR SUPER MARKET, KULASHUR, TETULJORA, SAVAR, DHAKA</t>
  </si>
  <si>
    <t>017 55594190</t>
  </si>
  <si>
    <t>noor.alam@southeastbank.com.bd</t>
  </si>
  <si>
    <t>205272804</t>
  </si>
  <si>
    <t>SEBDBDDHIMG</t>
  </si>
  <si>
    <t>BHUIYAN MARKET, 163/2 MITFORD ROAD, DHAKA</t>
  </si>
  <si>
    <t>02 7314801, 7316423, 7318567</t>
  </si>
  <si>
    <t>azizul.hakim@southeastbank.com.bd</t>
  </si>
  <si>
    <t>02 7318567 (Ext 120)</t>
  </si>
  <si>
    <t>205272983</t>
  </si>
  <si>
    <t>ROYAL TOWER, 4 AHSAN ULLAH ROAD, ISLAMPUR, DHAKA 1100</t>
  </si>
  <si>
    <t>02 57394570, 57396174, 57394538, 57394589</t>
  </si>
  <si>
    <t>monzurul@southeastbank.com.bd</t>
  </si>
  <si>
    <t>205273287</t>
  </si>
  <si>
    <t>BEGUM AYSHA SHOPPING COMPLEX, HOLDING NO 222, JOYPARA, DOHAR, DHAKA</t>
  </si>
  <si>
    <t>06223 56040, 56041, 56042</t>
  </si>
  <si>
    <t>alauddin.azad@southeastbank.com.bd</t>
  </si>
  <si>
    <t>06223 56040 (Ext 111)</t>
  </si>
  <si>
    <t>205273379</t>
  </si>
  <si>
    <t>TOMA TOWER, HOLDING NO 77/1, ANJUMAN MOFIDUL ISLAM ROAD (VIP ROAD), KAKRAIL, DHAKA</t>
  </si>
  <si>
    <t>02 9356115, 9356116, 9340852</t>
  </si>
  <si>
    <t>habibur.rahman@southeastbank.com.bd</t>
  </si>
  <si>
    <t>02 9355990</t>
  </si>
  <si>
    <t>205273582</t>
  </si>
  <si>
    <t>ELHAM SQUARE, RONY MARKET ROAD, SULTANGANJ, KAMRANGIRCHAR, DHAKA</t>
  </si>
  <si>
    <t>02 9667410, 9667393</t>
  </si>
  <si>
    <t>nazmul@southeastbank.com.bd</t>
  </si>
  <si>
    <t>02 9667428</t>
  </si>
  <si>
    <t>205262535</t>
  </si>
  <si>
    <t>SEBDBDDHKRN</t>
  </si>
  <si>
    <t>JAMUNA BHABAN, 2 KARWAN BAZAR C/A, DHAKA 1215</t>
  </si>
  <si>
    <t>02 9136112, 8189738-40</t>
  </si>
  <si>
    <t>mostafa.kamal@southeastbank.com.bd</t>
  </si>
  <si>
    <t>02 9136510</t>
  </si>
  <si>
    <t>205262980</t>
  </si>
  <si>
    <t>SIMPLETREE, PLOT NO 1, ROAD 8, BLOCK C, SECTION 6, MIRPUR HOUSING ESTATE, PALLABI, DHAKA</t>
  </si>
  <si>
    <t>02 9029568-69</t>
  </si>
  <si>
    <t>kamal-uddin@southeastbank.com.bd</t>
  </si>
  <si>
    <t>02 9029572</t>
  </si>
  <si>
    <t>205270248</t>
  </si>
  <si>
    <t>MOGBAZAR LADIES BRANCH</t>
  </si>
  <si>
    <t>MOGBAZAR_LADIES_BRANCH</t>
  </si>
  <si>
    <t>024 / 024</t>
  </si>
  <si>
    <t>HALL MARS, HOLDING NO 66, 5 SHAHID SANGBADIK SALINA PARVIN SARAK, MOGBAZAR, DHAKA</t>
  </si>
  <si>
    <t>019 34448905</t>
  </si>
  <si>
    <t>sharmina@southeastbank.com.bd</t>
  </si>
  <si>
    <t>205263284</t>
  </si>
  <si>
    <t>MOHMMADPUR BRANCH</t>
  </si>
  <si>
    <t>MOHMMADPUR_BRANCH</t>
  </si>
  <si>
    <t>AXIS DELVISTA, HOLDING NO 7/1, BLOCK A, AURONGAJEB ROAD, MOHMMADPUR HOUSING ESTATE, MOHAMMADPUR, DHAKA</t>
  </si>
  <si>
    <t>02 8129649, 8129604, 8158571</t>
  </si>
  <si>
    <t>alamgir.alam@southeastbank.com.bd</t>
  </si>
  <si>
    <t>02 9119583</t>
  </si>
  <si>
    <t>205274336</t>
  </si>
  <si>
    <t>MOTIJHEEL ISLAMI BRANCH</t>
  </si>
  <si>
    <t>MOTIJHEEL_ISLAMI_BRANCH</t>
  </si>
  <si>
    <t>433 / 433</t>
  </si>
  <si>
    <t>SEBDBDDHMIB</t>
  </si>
  <si>
    <t>125 MOTIJHEEL C/A, DHAKA 1000</t>
  </si>
  <si>
    <t>02 9567286, 9567202, 9567303</t>
  </si>
  <si>
    <t>sadeque@southeastbank.com.bd</t>
  </si>
  <si>
    <t>02 9567701</t>
  </si>
  <si>
    <t>205274365</t>
  </si>
  <si>
    <t>KARNAPHULI POINT, 70 NEW CIRCULAR ROAD, MALIBAGH, DHAKA</t>
  </si>
  <si>
    <t>02 8333347, 8333676, 8333678</t>
  </si>
  <si>
    <t>salim@southeastbank.com.bd</t>
  </si>
  <si>
    <t>02 8333348</t>
  </si>
  <si>
    <t>205263497</t>
  </si>
  <si>
    <t>SEBDBDDHNER</t>
  </si>
  <si>
    <t>KAZI BHABAN, 39 NEW ELEPHANT ROAD, DHANMONDI, DHAKA 1205</t>
  </si>
  <si>
    <t>02 9674588, 9674327, 9674324 - 5</t>
  </si>
  <si>
    <t>zakir.hossain@southeastbank.com.bd</t>
  </si>
  <si>
    <t>02 9674588</t>
  </si>
  <si>
    <t>205275027</t>
  </si>
  <si>
    <t>SEBDBDDHESK</t>
  </si>
  <si>
    <t>CHOWDHURY CENTER, 23/KA NEW ESKATON ROAD, RAMNA, DHAKA 1000</t>
  </si>
  <si>
    <t>02 9360953, 9340001, 9330176</t>
  </si>
  <si>
    <t>mainul.kabir@southeastbank.com.bd</t>
  </si>
  <si>
    <t>02 9362177</t>
  </si>
  <si>
    <t>205263705</t>
  </si>
  <si>
    <t>PLOT NO GA-25/5/1, PRAGATI SARANI, SHAHJADPUR, GULSHAN, DHAKA</t>
  </si>
  <si>
    <t>02 8800238, 8899239, 8899610</t>
  </si>
  <si>
    <t>mrashid@southeastbank.com.bd</t>
  </si>
  <si>
    <t>02 8899208</t>
  </si>
  <si>
    <t>205275351</t>
  </si>
  <si>
    <t>SEBDBDDHSPB</t>
  </si>
  <si>
    <t>1 DILKUSHA C/A, DHAKA 1000</t>
  </si>
  <si>
    <t>02 9563101, 9550081</t>
  </si>
  <si>
    <t>abdul.baten@southeastbank.com.bd</t>
  </si>
  <si>
    <t>02 9551575</t>
  </si>
  <si>
    <t>205264009</t>
  </si>
  <si>
    <t>KUSHOLI BHABAN, HOLDING NO 238/1, WEST KAFRUL, BEGUM ROKEYA SARANI, WARD 16, MIRPUR, DHAKA</t>
  </si>
  <si>
    <t>02 9103246, 9103247, 9103249</t>
  </si>
  <si>
    <t>uzzal@southeastbank.com.bd</t>
  </si>
  <si>
    <t>30 DECEMBER 2010</t>
  </si>
  <si>
    <t>205264012</t>
  </si>
  <si>
    <t>401 / 401</t>
  </si>
  <si>
    <t>RANGAN, PLOT NO 14, ROAD 11, WARD 7, RUPNAGAR RESIDENTIAL AREA, MIRPUR HOUSING ESTATE, MIRPUR, DHAKA</t>
  </si>
  <si>
    <t>02 8051981</t>
  </si>
  <si>
    <t>rashid@southeastbank.com.bd</t>
  </si>
  <si>
    <t>02 8051965</t>
  </si>
  <si>
    <t>205276042</t>
  </si>
  <si>
    <t>SAMSUL HAQUE NILU SHOPPING COMPLEX, SARULIA, DEMRA, DHAKA</t>
  </si>
  <si>
    <t>017 30792169</t>
  </si>
  <si>
    <t>205264038</t>
  </si>
  <si>
    <t>ADC EMPIRE PLAZA, PLOT NO 91, ROAD 12/A, SATMASJID ROAD , DHANMONDI, DHAKA</t>
  </si>
  <si>
    <t>02 8191167, 8191168, 8191170</t>
  </si>
  <si>
    <t>mazharul.haque@southeastbank.com.bd</t>
  </si>
  <si>
    <t>02 8191169</t>
  </si>
  <si>
    <t>205264096</t>
  </si>
  <si>
    <t>PLOT NO A-109, BAZAR ROAD, SAVAR, DHAKA</t>
  </si>
  <si>
    <t>02 7743691, 7743692, 7743693</t>
  </si>
  <si>
    <t>sazzadul@southeastbank.com.bd</t>
  </si>
  <si>
    <t>02 7743690</t>
  </si>
  <si>
    <t>205264304</t>
  </si>
  <si>
    <t>430 / 430</t>
  </si>
  <si>
    <t>SEBDBDDHSYM</t>
  </si>
  <si>
    <t>ASA TOWER, 23/3 &amp;amp; 23/14 KHILJI ROAD, BLOCK B, SHYAMOLI, MOHAMMADPUR, DHAKA</t>
  </si>
  <si>
    <t>02 8141821, 58157150, 9128988, 58157155</t>
  </si>
  <si>
    <t>mahmud.hasan@southeastbank.com.bd</t>
  </si>
  <si>
    <t>02 48110799</t>
  </si>
  <si>
    <t>205264638</t>
  </si>
  <si>
    <t>SEBDBDDHUTT</t>
  </si>
  <si>
    <t>HOUSE NO 1, ROAD 11, SECTOR 1, UTTARA, DHAKA 1230</t>
  </si>
  <si>
    <t>02 58952538, 8932026, 58953680, 58953591</t>
  </si>
  <si>
    <t>muhammed.nizam@southeastbank.com.bd</t>
  </si>
  <si>
    <t>02 58953781</t>
  </si>
  <si>
    <t>205272688</t>
  </si>
  <si>
    <t>205270006</t>
  </si>
  <si>
    <t>205280670</t>
  </si>
  <si>
    <t>HOLDING NO 808/837, GANESH TALA JAIL ROAD, WARD 3, DINAJPUR</t>
  </si>
  <si>
    <t>0531 52025, 52026</t>
  </si>
  <si>
    <t>subrata@southeastbank.com.bd</t>
  </si>
  <si>
    <t>0531 52024</t>
  </si>
  <si>
    <t>205301362</t>
  </si>
  <si>
    <t>CHHAGALNAIYA ISLAMI BRANCH</t>
  </si>
  <si>
    <t>CHHAGALNAIYA_ISLAMI_BRANCH</t>
  </si>
  <si>
    <t>MIR SHOPPING COMPLEX, CHHAGALNAIYA BAZAR, FENI</t>
  </si>
  <si>
    <t>03322 78302, 78432</t>
  </si>
  <si>
    <t>kamal.uddin@southeastbank.com.bd</t>
  </si>
  <si>
    <t>03322 78302 (Ext 111)</t>
  </si>
  <si>
    <t>205300521</t>
  </si>
  <si>
    <t>SURMA SADAN, 176-178 TRUNK ROAD, FENI</t>
  </si>
  <si>
    <t>0331 63004, 62884, 61362</t>
  </si>
  <si>
    <t>kamrul.ahsan@southeastbank.com.bd</t>
  </si>
  <si>
    <t>0331 62884 (Ext 102)</t>
  </si>
  <si>
    <t>205301496</t>
  </si>
  <si>
    <t>HOLDING NO, 431, WARD 4, CHAR GANESH, SONAGAZI, FENI</t>
  </si>
  <si>
    <t>017 13081600</t>
  </si>
  <si>
    <t>nuruddin@southeastbank.com.bd</t>
  </si>
  <si>
    <t>21 NOVEMBER 2010</t>
  </si>
  <si>
    <t>205330733</t>
  </si>
  <si>
    <t>HOLDING NO 235, BLOCK K, SHIB BARI MORE, BIDC ROAD, WARD 3, JOYDEBPUR, GAZIPUR</t>
  </si>
  <si>
    <t>017 55594194</t>
  </si>
  <si>
    <t>mezbah@southeastbank.com.bd</t>
  </si>
  <si>
    <t>205330883</t>
  </si>
  <si>
    <t>AKTER MARKET, KAPASIA MAIN ROAD, BANARHOWLA, KAPASIA, GAZIPUR</t>
  </si>
  <si>
    <t>017 66673597</t>
  </si>
  <si>
    <t>muhibbur@southeastbank.com.bd</t>
  </si>
  <si>
    <t>205330946</t>
  </si>
  <si>
    <t>PLOT NO A-147/148, BSCIC I/R, KONABARI, JOYDEBPUR, GAZIPUR</t>
  </si>
  <si>
    <t>02 9298840</t>
  </si>
  <si>
    <t>syed.hossain@southeastbank.com.bd</t>
  </si>
  <si>
    <t>02 9298837</t>
  </si>
  <si>
    <t>205331040</t>
  </si>
  <si>
    <t>MAWNA SME BRANCH</t>
  </si>
  <si>
    <t>MAWNA_SME_BRANCH</t>
  </si>
  <si>
    <t>104 / 104</t>
  </si>
  <si>
    <t>HOLDING NO 1497, MAWNA BAZAR ROAD, WARD 8, SREEPUR, GAZIPUR</t>
  </si>
  <si>
    <t>017 30727286</t>
  </si>
  <si>
    <t>siddiqul@southeastbank.com.bd</t>
  </si>
  <si>
    <t>205331637</t>
  </si>
  <si>
    <t>8/B ANARKALI ROAD, TONGI BAZAR, GAZIPUR</t>
  </si>
  <si>
    <t>02 9816647, 9816648, 9816650, 9816651</t>
  </si>
  <si>
    <t>saydul@southeastbank.com.bd</t>
  </si>
  <si>
    <t>02 9816649</t>
  </si>
  <si>
    <t>205410958</t>
  </si>
  <si>
    <t>JESSORE SME BRANCH</t>
  </si>
  <si>
    <t>JESSORE_SME_BRANCH</t>
  </si>
  <si>
    <t>11 RN ROAD, KOTWALI, JESSORE</t>
  </si>
  <si>
    <t>017 13065973</t>
  </si>
  <si>
    <t>abdul.jabbar@southeastbank.com.bd</t>
  </si>
  <si>
    <t>205471542</t>
  </si>
  <si>
    <t>SEBDBDDHKLN</t>
  </si>
  <si>
    <t>HAJI HANIF COMPLEX, 12-13 KHAN JAHAN ALI ROAD, KHULNA</t>
  </si>
  <si>
    <t>041 730606, 731406, 731306, 731606</t>
  </si>
  <si>
    <t>faruk.ahmad@southeastbank.com.bd</t>
  </si>
  <si>
    <t>041 731506</t>
  </si>
  <si>
    <t>205472596</t>
  </si>
  <si>
    <t>NOOR JAHAN PLAZA, HOLDING NO 155, SIR IQBAL ROAD, WARD 21, KOTWALI, KHULNA</t>
  </si>
  <si>
    <t>017 55637192</t>
  </si>
  <si>
    <t>asaduzzaman@southeastbank.com.bd</t>
  </si>
  <si>
    <t>205580941</t>
  </si>
  <si>
    <t>AZIZ ROUSHAN SHOPPING CENTER AND GARDEN CITY, HOLDING NO 334, KULAURA, MOULVIBAZAR</t>
  </si>
  <si>
    <t>08624 56208</t>
  </si>
  <si>
    <t>rob@southeastbank.com.bd</t>
  </si>
  <si>
    <t>205581182</t>
  </si>
  <si>
    <t>JARIF TOWER, 199/2 M SAIFUR RAHMAN ROAD, MOULVIBAZAR</t>
  </si>
  <si>
    <t>0861 53727, 53728, 53729</t>
  </si>
  <si>
    <t>shoyeb.ahmed@southeastbank.com.bd</t>
  </si>
  <si>
    <t>0861 53730</t>
  </si>
  <si>
    <t>205641185</t>
  </si>
  <si>
    <t>KAZI HABIBUR RAHMAN MARKET, HOLDING NO 301, WARD 2, OLD HOSPITAL ROAD, NAOGAON</t>
  </si>
  <si>
    <t>0741 63397, 63286, 63397, 61274</t>
  </si>
  <si>
    <t>tariqulislam@southeastbank.com.bd</t>
  </si>
  <si>
    <t>0741 61831</t>
  </si>
  <si>
    <t>205670222</t>
  </si>
  <si>
    <t>BHULTA BUS STAND, GOLAKANDAIL, RUPGANJ, NARAYANGANJ</t>
  </si>
  <si>
    <t>017 55637195</t>
  </si>
  <si>
    <t>mahbubul@southeastbank.com.bd</t>
  </si>
  <si>
    <t>205670606</t>
  </si>
  <si>
    <t>GOPALDI BAZAR, SADASADI, ARAIHAZAR, NARAYANGANJ</t>
  </si>
  <si>
    <t>017 55637194</t>
  </si>
  <si>
    <t>bashir.zillur@southeastbank.com.bd</t>
  </si>
  <si>
    <t>12 DECEMBER 2012</t>
  </si>
  <si>
    <t>205670114</t>
  </si>
  <si>
    <t>011 / 011</t>
  </si>
  <si>
    <t>SABUR MARKET, DUPTARA ADARSHA BAZAR, KALIBARI, ARAIHAZAR, NARAYANGANJ</t>
  </si>
  <si>
    <t>019 34448901</t>
  </si>
  <si>
    <t>sazzad.haque@southeastbank.com.bd</t>
  </si>
  <si>
    <t>11 NOVEMBER 2014</t>
  </si>
  <si>
    <t>205670651</t>
  </si>
  <si>
    <t>MADANPUR SME BRANCH</t>
  </si>
  <si>
    <t>MADANPUR_SME_BRANCH</t>
  </si>
  <si>
    <t>065 / 065</t>
  </si>
  <si>
    <t>EKATA SAMABAY SUPER MARKET, CHANDPUR, MADANPUR, BANDAR, NARAYANGANJ</t>
  </si>
  <si>
    <t>017 05403795</t>
  </si>
  <si>
    <t>mahmud@southeastbank.com.bd</t>
  </si>
  <si>
    <t>205671184</t>
  </si>
  <si>
    <t>SEBDBDDHNAR</t>
  </si>
  <si>
    <t>HOLDING NO 26-29, SM MALEH ROAD, TANBAZAR, NARAYANGANJ</t>
  </si>
  <si>
    <t>02 7648201, 7648202, 7648203</t>
  </si>
  <si>
    <t>bhabesh@southeastbank.com.bd</t>
  </si>
  <si>
    <t>02 7648200</t>
  </si>
  <si>
    <t>205680670</t>
  </si>
  <si>
    <t>PAR KASHIPUR, MADHABDI, NARSINGDI</t>
  </si>
  <si>
    <t>02 9446125, 9446127</t>
  </si>
  <si>
    <t>joyanta@southeastbank.com.bd</t>
  </si>
  <si>
    <t>02 9446126</t>
  </si>
  <si>
    <t>205680854</t>
  </si>
  <si>
    <t>ISLAM PLAZA, HOLDING NO 1, MADDHA KANDA PARA , SADAR ROAD, WARD 4, NARSINGDI</t>
  </si>
  <si>
    <t>02 9452082, 9452080, 9452081</t>
  </si>
  <si>
    <t>maniruzzaman@southeastbank.com.bd</t>
  </si>
  <si>
    <t>205750250</t>
  </si>
  <si>
    <t>AYESHA MOTALEB NEW MARKET, HOLDING NO 428, MAIN ROAD, WARD 5, BASURHAT, COMPANYGANJ, NOAKHALI</t>
  </si>
  <si>
    <t>03223 56415, 56461</t>
  </si>
  <si>
    <t>mizanur-rahman@southeastbank.com.bd</t>
  </si>
  <si>
    <t>03223 56430</t>
  </si>
  <si>
    <t>205750676</t>
  </si>
  <si>
    <t>HOSSAIN MARKET, HOLDING NO 276-284, DB ROAD, CHOWMUHANI, BEGUMGANJ, NOAKHALI</t>
  </si>
  <si>
    <t>0321 53534, 53535, 54018</t>
  </si>
  <si>
    <t>shahidul.islam@southeastbank.com.bd</t>
  </si>
  <si>
    <t>0321 54018</t>
  </si>
  <si>
    <t>205752061</t>
  </si>
  <si>
    <t>SHEBARHAT SME BRANCH</t>
  </si>
  <si>
    <t>SHEBARHAT_SME_BRANCH</t>
  </si>
  <si>
    <t>SHEBARHAT BAZAR, RAZARAMPUR, FENI-CHOWMUHANI ROAD, SHENBAG, NOAKHALI</t>
  </si>
  <si>
    <t>017 13065972</t>
  </si>
  <si>
    <t>mansur.ahmed@southeastbank.com.bd</t>
  </si>
  <si>
    <t>205810224</t>
  </si>
  <si>
    <t>AL-HAJ AMZAD HOSSAIN MARKET, SHIBPUR, BANESHWAR, PUTHIA, RAJSHAHI</t>
  </si>
  <si>
    <t>017 66673596</t>
  </si>
  <si>
    <t>nur.alam@southeastbank.com.bd</t>
  </si>
  <si>
    <t>205811931</t>
  </si>
  <si>
    <t>MANGAL BHABAN, PLOT NO 447, ALUPATTI MORE, GHORAMARA, BOALIA, RAJSHAHI</t>
  </si>
  <si>
    <t>0721 812203-07</t>
  </si>
  <si>
    <t>amm.ariful@southeastbank.com.bd</t>
  </si>
  <si>
    <t>0721 812207</t>
  </si>
  <si>
    <t>205851454</t>
  </si>
  <si>
    <t>RDRS COMPLEX, HODLING NO 9416, JAIL ROAD, RADHABALLAB, RANGPUR</t>
  </si>
  <si>
    <t>0521 64672, 64673, 64778, 64779</t>
  </si>
  <si>
    <t>serazul@southeastbank.com.bd</t>
  </si>
  <si>
    <t>0521 64780</t>
  </si>
  <si>
    <t>205871100</t>
  </si>
  <si>
    <t>SATKHIRA SME BRANCH</t>
  </si>
  <si>
    <t>SATKHIRA_SME_BRANCH</t>
  </si>
  <si>
    <t>HOLDING NO 5896, PALASH POLE, SHAHID NAZMUL SARAK, SATKHIRA BUS STAND, WARD 8, SATKHIRA</t>
  </si>
  <si>
    <t>0471 63568</t>
  </si>
  <si>
    <t>abdul.haye@southeastbank.com.bd</t>
  </si>
  <si>
    <t>0471 63569</t>
  </si>
  <si>
    <t>205910229</t>
  </si>
  <si>
    <t>BANDAR BAZAR ISLAMI BRANCH</t>
  </si>
  <si>
    <t>BANDAR_BAZAR_ISLAMI_BRANCH</t>
  </si>
  <si>
    <t>KARIM ULLAH MARKET, BANDAR BAZAR, SYLHET</t>
  </si>
  <si>
    <t>0821 721243, 714017</t>
  </si>
  <si>
    <t>habibur@southeastbank.com.bd</t>
  </si>
  <si>
    <t>0821 714085</t>
  </si>
  <si>
    <t>205910324</t>
  </si>
  <si>
    <t>BEANIBAZAR SME BRANCH</t>
  </si>
  <si>
    <t>BEANIBAZAR_SME_BRANCH</t>
  </si>
  <si>
    <t>PANCHAKHANDA HARAGOVINDA HIGH SCHOOL MARKET, HOLDING NO 834, BEANIBAZAR, SYLHET</t>
  </si>
  <si>
    <t>017 13081527</t>
  </si>
  <si>
    <t>13 DECEMBER 2010</t>
  </si>
  <si>
    <t>205910445</t>
  </si>
  <si>
    <t>BISHWANATH SME</t>
  </si>
  <si>
    <t>BISHWANATH_SME</t>
  </si>
  <si>
    <t>HAJI MONIR UDDIN MARKET, NATUN BAZAR, BISHWANATH, SYLHET</t>
  </si>
  <si>
    <t>08224 56205, 017 13081566, 017 12560828</t>
  </si>
  <si>
    <t>noor.jamal@southeastbank.com.bd</t>
  </si>
  <si>
    <t>08224 56205</t>
  </si>
  <si>
    <t>205910708</t>
  </si>
  <si>
    <t>ANISHA COMPLEX, KAMARGRAM, CHARKHAI, BEANIBAZAR, SYLHET</t>
  </si>
  <si>
    <t>017 66665141</t>
  </si>
  <si>
    <t>shamsuddin@southeastbank.com.bd</t>
  </si>
  <si>
    <t>6 OCTOBER 2013</t>
  </si>
  <si>
    <t>205910858</t>
  </si>
  <si>
    <t>MANRU SHOPPING CITY, PLOT NO 4953/4943, CHOUHATTA-MIRBOXTOLA ROAD, CHOUHATTA, SYLHET</t>
  </si>
  <si>
    <t>0821 720726, 720277</t>
  </si>
  <si>
    <t>mashudea@southeastbank.com.bd</t>
  </si>
  <si>
    <t>0821 720276</t>
  </si>
  <si>
    <t>205911752</t>
  </si>
  <si>
    <t>KHAYRUGANJ JAME MASJID MARKET COMPLEX, MAIZBAG, FULBARI, HETIMGANJ CHOWRASTA, GOLAPGANJ, SYLHET</t>
  </si>
  <si>
    <t>0821 841471, 841472</t>
  </si>
  <si>
    <t>suranjit@southeastbank.com.bd</t>
  </si>
  <si>
    <t>0821 841473</t>
  </si>
  <si>
    <t>205912506</t>
  </si>
  <si>
    <t>SEBDBDDHLDP</t>
  </si>
  <si>
    <t>MUBARAK TOWER, 1794/1788 NEW MARKET, SYLHET</t>
  </si>
  <si>
    <t>0821 710955, 715382, 710218</t>
  </si>
  <si>
    <t>motiur@southeastbank.com.bd</t>
  </si>
  <si>
    <t>0821 710102</t>
  </si>
  <si>
    <t>205912869</t>
  </si>
  <si>
    <t>286 / 286</t>
  </si>
  <si>
    <t>HAQUE MANSION, HOLDING NO 704, MADINA MARKET, PATHANTULA, WARD 8, JALALABAD, SYLHET</t>
  </si>
  <si>
    <t>0821 724545, 724300</t>
  </si>
  <si>
    <t>ahsan@southeastbank.com.bd</t>
  </si>
  <si>
    <t>0821 724300</t>
  </si>
  <si>
    <t>205913255</t>
  </si>
  <si>
    <t>PLOT NO 7, BLOCK D, MAIN ROAD, SHAHJALAL UPASHAHAR, SYLHET</t>
  </si>
  <si>
    <t>0821 713052, 713057, 713062</t>
  </si>
  <si>
    <t>saber@southeastbank.com.bd</t>
  </si>
  <si>
    <t>0821 711820</t>
  </si>
  <si>
    <t>205913839</t>
  </si>
  <si>
    <t>TAZPUR SME BRANCH</t>
  </si>
  <si>
    <t>TAZPUR_SME_BRANCH</t>
  </si>
  <si>
    <t>383 / 383</t>
  </si>
  <si>
    <t>TAZPUR BAZAR, BORAYA, BALAGANJ, SYLHET</t>
  </si>
  <si>
    <t>017 13065904</t>
  </si>
  <si>
    <t>mutasim.billah@southeastbank.com.bd</t>
  </si>
  <si>
    <t>205932294</t>
  </si>
  <si>
    <t>205932302</t>
  </si>
  <si>
    <t>TANGAIL SME BRANCH</t>
  </si>
  <si>
    <t>TANGAIL_SME_BRANCH</t>
  </si>
  <si>
    <t>NOOR PLAZA, HOLDING NO 263, MAIN ROAD, TANGAIL 1900</t>
  </si>
  <si>
    <t>017 13081580</t>
  </si>
  <si>
    <t>abed@southeastbank.com.bd</t>
  </si>
  <si>
    <t>14 DECEMBER 2010</t>
  </si>
  <si>
    <t>SOUTH_BANGLA_AGRICULTURE_AND_COMMERCE_BANK_LIMITED</t>
  </si>
  <si>
    <t>SOUTH BANGLA AGRICULTURE AND COMMERCE BANK LIMITED</t>
  </si>
  <si>
    <t>270010059</t>
  </si>
  <si>
    <t>KATAKHALI BRANCH</t>
  </si>
  <si>
    <t>KATAKHALI_BRANCH</t>
  </si>
  <si>
    <t>SBACBDDH</t>
  </si>
  <si>
    <t>KATAKHALI MORE, KHULNA-MANGLA ROAD, FAKIRHAT, BAGERHAT</t>
  </si>
  <si>
    <t>046 6356117</t>
  </si>
  <si>
    <t>270100372</t>
  </si>
  <si>
    <t>PADMA MANSION, DUTTA STORE, 742 JHAUTALA, RAJABAZAR, BOGRA</t>
  </si>
  <si>
    <t>051 69727, 62412, 62108</t>
  </si>
  <si>
    <t>270150135</t>
  </si>
  <si>
    <t>SBACBDDHAGB</t>
  </si>
  <si>
    <t>96 AGRABAD C/A, AGRABAD, CHITTAGONG</t>
  </si>
  <si>
    <t>031 2516183-85</t>
  </si>
  <si>
    <t>270151213</t>
  </si>
  <si>
    <t>ND BHABAN, DT ROAD, BHATIARY, SHITAKUNDA, CHITTAGONG</t>
  </si>
  <si>
    <t>037 2781271</t>
  </si>
  <si>
    <t>270153640</t>
  </si>
  <si>
    <t>ALI BUILDING, 837 JUBILEE ROAD, CHITTAGONG</t>
  </si>
  <si>
    <t>031 2856695-96</t>
  </si>
  <si>
    <t>270154757</t>
  </si>
  <si>
    <t>SOUTH MADARSHA, RASHID BARI, MODUNAGHAT, HATHAZARI, CHITTAGONG</t>
  </si>
  <si>
    <t>031 671552, 671542</t>
  </si>
  <si>
    <t>270192827</t>
  </si>
  <si>
    <t>282 / 282</t>
  </si>
  <si>
    <t>MOSTAFA PALACE &amp;amp; HAZI FARUKPLAZA, NISHCHINTAPUR, MAINAMATICANTONMENT, COMILLA</t>
  </si>
  <si>
    <t>081 73740</t>
  </si>
  <si>
    <t>270260225</t>
  </si>
  <si>
    <t>HOLDING NO 4104, BAIPAIL, BASHUNDHARA, ASHULIA, DHAKA</t>
  </si>
  <si>
    <t>02 7789414-15</t>
  </si>
  <si>
    <t>270261187</t>
  </si>
  <si>
    <t>AMM CENTER, HOUSE NO 56/A, ROAD 3/A, SATMASJID ROAD, DHANMONDI, DHAKA</t>
  </si>
  <si>
    <t>017 11169675</t>
  </si>
  <si>
    <t>270261729</t>
  </si>
  <si>
    <t>SBACBDDHGLS</t>
  </si>
  <si>
    <t>CASABLANCA, 114 GULSHAN AVENUE, DHAKA 1212</t>
  </si>
  <si>
    <t>02 9853091</t>
  </si>
  <si>
    <t>270262052</t>
  </si>
  <si>
    <t>ASHRAF SHOPING COMPLEX, JADURCHAR, HEMAYETPUR, BAZAR, SAVAR, DHAKA</t>
  </si>
  <si>
    <t>02 7724939</t>
  </si>
  <si>
    <t>270272800</t>
  </si>
  <si>
    <t>CROWN BHABAN, 59 MITFORD ROAD, IMAMGANJ, DHAKA</t>
  </si>
  <si>
    <t>02 7342223</t>
  </si>
  <si>
    <t>270273641</t>
  </si>
  <si>
    <t>AKTAR TOWER, BRIDGE ROAD, SOUTH KADAMTALI, AGANAGAR, SOUTH KERANIGANJ, DHAKA</t>
  </si>
  <si>
    <t>02 7764456-57</t>
  </si>
  <si>
    <t>270275357</t>
  </si>
  <si>
    <t>SBACBDDHPRN</t>
  </si>
  <si>
    <t>ZAMAN CHAMBER, 47 DILKUSHA C/A, DHAKA 1000</t>
  </si>
  <si>
    <t>02 9587346-48</t>
  </si>
  <si>
    <t>270264634</t>
  </si>
  <si>
    <t>COSMO SHOPPING CENTRE, PLOT NO 71, SECTOR 7, AZAMPUR, UTTARA, DHAKA</t>
  </si>
  <si>
    <t>02 7911951, 7911863, 7911471</t>
  </si>
  <si>
    <t>270330526</t>
  </si>
  <si>
    <t>TAJPUR TOWER, BHAOAL COLLEGE ROAD, CHANDURA SQUARE, GAZIPUR</t>
  </si>
  <si>
    <t>02 9294506-07</t>
  </si>
  <si>
    <t>270331004</t>
  </si>
  <si>
    <t>HAZI ABDUL KHALEQUE MASTER SUPER MARKET, MULAID, TELIHATI, SREEPUR, GAZIPUR</t>
  </si>
  <si>
    <t>044 78984788</t>
  </si>
  <si>
    <t>270471548</t>
  </si>
  <si>
    <t>SBACBDDHKLN</t>
  </si>
  <si>
    <t>CHAMBER BUILDING COMPLEX, 5 KDA AVENUE, KHAN A SOBUR ROAD, KHULNA</t>
  </si>
  <si>
    <t>041 733464, 733426</t>
  </si>
  <si>
    <t>270681396</t>
  </si>
  <si>
    <t>MAHBUB MOLLA CONCORD TOWER, JAILKHANA MORE, DC ROAD, NARSINGDI</t>
  </si>
  <si>
    <t>02 9452487-88</t>
  </si>
  <si>
    <t>270871214</t>
  </si>
  <si>
    <t>MOTI MORAL SUPER MARKET, 469 BADGHATA, SHYAMNAGAR, SATKHIRA</t>
  </si>
  <si>
    <t>04726 44182, 44063</t>
  </si>
  <si>
    <t>270911787</t>
  </si>
  <si>
    <t>SIDDIK MANSION, ISLAMPUR BAZAR, SHAHPARAN, SYLHET</t>
  </si>
  <si>
    <t>0821 762168</t>
  </si>
  <si>
    <t>270913556</t>
  </si>
  <si>
    <t>SYLMART COMPLEX, 11 NAYA SARAK, EAST ZINDABAZAR, SYLHET</t>
  </si>
  <si>
    <t>0821 726297-98</t>
  </si>
  <si>
    <t>STANDARD_BANK_LIMITED</t>
  </si>
  <si>
    <t>210</t>
  </si>
  <si>
    <t>STANDARD BANK LIMITED</t>
  </si>
  <si>
    <t>210060285</t>
  </si>
  <si>
    <t>033 / 028</t>
  </si>
  <si>
    <t>SDBLBDDH</t>
  </si>
  <si>
    <t>MANNAN PLAZA, 84 SADAR ROAD, BARISAL</t>
  </si>
  <si>
    <t>017 12757967, 0431 61273-74</t>
  </si>
  <si>
    <t>barisal@standardbankbd.com</t>
  </si>
  <si>
    <t>210100374</t>
  </si>
  <si>
    <t>034 / 037</t>
  </si>
  <si>
    <t>HELAL MANSION, SHERPUR ROAD, SUTRAPUR, BOGRA</t>
  </si>
  <si>
    <t>051 67507-8, 011 91590041</t>
  </si>
  <si>
    <t>bogra@standardbankbd.com</t>
  </si>
  <si>
    <t>210120433</t>
  </si>
  <si>
    <t>027 / 043</t>
  </si>
  <si>
    <t>PEARA MIAH TOWER, HOLDING NO 1034, COURT ROAD, BRAHMANBARIA</t>
  </si>
  <si>
    <t>0851 61788, 017 26264854</t>
  </si>
  <si>
    <t>brahmanbaria@standardbankbd.com</t>
  </si>
  <si>
    <t>210150137</t>
  </si>
  <si>
    <t>007 / 013</t>
  </si>
  <si>
    <t>SDBLBDDH107</t>
  </si>
  <si>
    <t>WORLD TRADE CENTRE, 102-103 AGRABAD C/A, CHITTAGONG</t>
  </si>
  <si>
    <t>031 711808, 2513856-7,017 89373469</t>
  </si>
  <si>
    <t>agrabad@standardbankbd.com</t>
  </si>
  <si>
    <t>210150153</t>
  </si>
  <si>
    <t>AGRABAD ISLAMI BANKING WINDOW</t>
  </si>
  <si>
    <t>AGRABAD_ISLAMI_BANKING_WINDOW</t>
  </si>
  <si>
    <t>210150795</t>
  </si>
  <si>
    <t>030 / 079</t>
  </si>
  <si>
    <t>MANILA TOWER, BAHADDARHAT MORE, CHITTAGONG</t>
  </si>
  <si>
    <t>031 2552512, 2552513, 017 83108800</t>
  </si>
  <si>
    <t>bahadderhat@standardbankbd.com</t>
  </si>
  <si>
    <t>210150308</t>
  </si>
  <si>
    <t>089 / 030</t>
  </si>
  <si>
    <t>HOSSAIN TOWER, 3615/A SHAH AMANAT BRIDGE CONNECTING ROAD, KALAMIA BAZAR, CHITTAGONG</t>
  </si>
  <si>
    <t>031 2866171, 2866172, 018 15947792</t>
  </si>
  <si>
    <t>bakalia@standardbankbd.com</t>
  </si>
  <si>
    <t>210151486</t>
  </si>
  <si>
    <t>023 / 148</t>
  </si>
  <si>
    <t>HOSNEARA VILLA, OPPOSITE TO GOVT NASIRABAD SCHOOL, 1000/A CDA AVENUE, EAST NASIRABAD, CHITTAGONG</t>
  </si>
  <si>
    <t>031 2553462, 2553463, 610029, 018 19626399</t>
  </si>
  <si>
    <t>cdaavenue@standardbankbd.com</t>
  </si>
  <si>
    <t>031 610029</t>
  </si>
  <si>
    <t>210150087</t>
  </si>
  <si>
    <t>077 / 008</t>
  </si>
  <si>
    <t>330 CHAUL POTTI, NOTUN CHAKTAI, CHITTAGONG</t>
  </si>
  <si>
    <t>031 626794, 626766, 018 17753266</t>
  </si>
  <si>
    <t>chaktai@standardbankbd.com</t>
  </si>
  <si>
    <t>210151578</t>
  </si>
  <si>
    <t>029 / 157</t>
  </si>
  <si>
    <t>GAZI COMPLEX, AIRPORT ROAD, EPZ GATE, CHITTAGONG</t>
  </si>
  <si>
    <t>031 740912, 800868, 018 19376988</t>
  </si>
  <si>
    <t>cepz@standardbankbd.com</t>
  </si>
  <si>
    <t>210152177</t>
  </si>
  <si>
    <t>006 / 217</t>
  </si>
  <si>
    <t>CHIKANDONDI, FATEABAD, HATHAZARI, CHITTAGONG</t>
  </si>
  <si>
    <t>031 683225, 683342, 018 19331290</t>
  </si>
  <si>
    <t>chowduryhat@standardbankbd.com</t>
  </si>
  <si>
    <t>210153071</t>
  </si>
  <si>
    <t>080 / 307</t>
  </si>
  <si>
    <t>SM CHOWDHURY MARKET, GUNAGARI, BANSHKHALI, CHITTAGONG</t>
  </si>
  <si>
    <t>03037 56308, 56309, 011 90748648</t>
  </si>
  <si>
    <t>gunagari@standardbankbd.com</t>
  </si>
  <si>
    <t>210153642</t>
  </si>
  <si>
    <t>012 / 364</t>
  </si>
  <si>
    <t>SDBLBDDH112</t>
  </si>
  <si>
    <t>AZIZ CHAMBER, NOOR AHMED ROAD (JUBILEE ROAD), CHITTAGONG</t>
  </si>
  <si>
    <t>031 610356,621874, 019 70805251</t>
  </si>
  <si>
    <t>jubilee@standardbankbd.com</t>
  </si>
  <si>
    <t>210150324</t>
  </si>
  <si>
    <t>KARNAPHULI BRANCH</t>
  </si>
  <si>
    <t>KARNAPHULI_BRANCH</t>
  </si>
  <si>
    <t>093 / 032</t>
  </si>
  <si>
    <t>HAJI ZAFAR AHMED MARKET, MOIJJARTEK, CHAR PATHARGHATA, KARNAPHULI, CHITTAGONG</t>
  </si>
  <si>
    <t>031 2855002, 2855003, 017 11111269</t>
  </si>
  <si>
    <t>karnaphuli@standardbankbd.com</t>
  </si>
  <si>
    <t>210154270</t>
  </si>
  <si>
    <t>003 / 427</t>
  </si>
  <si>
    <t>SDBLBDDH103</t>
  </si>
  <si>
    <t>KHATUNGANJ TRADE CENTRE, RAMJOY MOHAJAN LANE, POST OFFICE GOLI, KHATUNGANJ, CHITTAGONG</t>
  </si>
  <si>
    <t>031 639594, 628424, 017 10950169, 018 19328491</t>
  </si>
  <si>
    <t>khatungonj@standardbankbd.com</t>
  </si>
  <si>
    <t>031 610192</t>
  </si>
  <si>
    <t>210151752</t>
  </si>
  <si>
    <t>NANGALMARA SME BRANCH</t>
  </si>
  <si>
    <t>NANGALMARA_SME_BRANCH</t>
  </si>
  <si>
    <t>044 / 175</t>
  </si>
  <si>
    <t>NANGALMORA HIGH SCHOOL BHABAN, HATHAZARI, CHITTAGONG</t>
  </si>
  <si>
    <t>017 10999912</t>
  </si>
  <si>
    <t>nangolmora@standardbankbd.com</t>
  </si>
  <si>
    <t>210155903</t>
  </si>
  <si>
    <t>059 / 590</t>
  </si>
  <si>
    <t>ALI NOOR COMPLEX, OXYGEN MORE, CHITTAGONG</t>
  </si>
  <si>
    <t>031 2584461, 2584462, 011 96011143</t>
  </si>
  <si>
    <t>oxyzenmore@standardbankbd.com</t>
  </si>
  <si>
    <t>210155929</t>
  </si>
  <si>
    <t>036 / 592</t>
  </si>
  <si>
    <t>ABUL KHAIR BHABAN, 20/44 DT ROAD, CDA MARKET, PAHARTALI, CHITTAGONG</t>
  </si>
  <si>
    <t>031 2771931-33, 018 17700484</t>
  </si>
  <si>
    <t>pahartali@standardbankbd.com</t>
  </si>
  <si>
    <t>210156049</t>
  </si>
  <si>
    <t>087 / 604</t>
  </si>
  <si>
    <t>SFA TOWER, PLOT NO 132, PRABARTAK MORE, PANCHLAISH, CHITTAGONG</t>
  </si>
  <si>
    <t>031 2558640, 2558643, 017 14852438</t>
  </si>
  <si>
    <t>panchlaish@standardbankbd.com</t>
  </si>
  <si>
    <t>210156131</t>
  </si>
  <si>
    <t>086 / 613</t>
  </si>
  <si>
    <t>SCHOOL MARKET, NOAPARA, RAOZAN, CHITTAGONG</t>
  </si>
  <si>
    <t>031 2572188, 2572199, 018 19948117</t>
  </si>
  <si>
    <t>patherhat@standardbankbd.com</t>
  </si>
  <si>
    <t>210156731</t>
  </si>
  <si>
    <t>049 / 673</t>
  </si>
  <si>
    <t>HARBOURAGE DREAM, 291 SADARGAT ROAD, CHITTAGONG</t>
  </si>
  <si>
    <t>031 619960, 017 14131383</t>
  </si>
  <si>
    <t>sadarghat@standardbankbd.com</t>
  </si>
  <si>
    <t>210220254</t>
  </si>
  <si>
    <t>210270138</t>
  </si>
  <si>
    <t>095 / 013</t>
  </si>
  <si>
    <t>HAJI ALIMULLAH COMPLEX, EAST AGANAGAR, SOUTH KERANIGANJ, DHAKA</t>
  </si>
  <si>
    <t>02 7762380, 7762370, 017 46660008</t>
  </si>
  <si>
    <t>aganagar@standardbankbd.com</t>
  </si>
  <si>
    <t>210260201</t>
  </si>
  <si>
    <t>071 / 020</t>
  </si>
  <si>
    <t>DANA PLAZA, 247 ASHKONA, DAKKHINKHAN, UTTARA, DHAKA</t>
  </si>
  <si>
    <t>02 8961823, 8951540, 017 15366786</t>
  </si>
  <si>
    <t>ashkona@standardbankbd.com</t>
  </si>
  <si>
    <t>210260227</t>
  </si>
  <si>
    <t>097 / 022</t>
  </si>
  <si>
    <t>BHAI BHAI PLAZA, BAIPAIL, DHAMSONA, ASHULIA, SAVAR,DHAKA</t>
  </si>
  <si>
    <t>02 7790004, 7790005, 019 29764524</t>
  </si>
  <si>
    <t>ashulia@standardbankbd.com</t>
  </si>
  <si>
    <t>210260430</t>
  </si>
  <si>
    <t>026 / 043</t>
  </si>
  <si>
    <t>SDBLBDDH119</t>
  </si>
  <si>
    <t>PLOT NO 106, ROAD 11, BLOCK C, BANANI, DHAKA 1213</t>
  </si>
  <si>
    <t>02 9889545,8829022, 017 11675320</t>
  </si>
  <si>
    <t>banani@standardbankbd.com</t>
  </si>
  <si>
    <t>02 9889545</t>
  </si>
  <si>
    <t>210260919</t>
  </si>
  <si>
    <t>DAKKHINKHAN BRANCH</t>
  </si>
  <si>
    <t>DAKKHINKHAN_BRANCH</t>
  </si>
  <si>
    <t>028 / 091</t>
  </si>
  <si>
    <t>SULTAN MARKET, 57 DAKKHIN KHAN BAZAR, DHAKA 1230</t>
  </si>
  <si>
    <t>02 8956056, 8999559, 017 130781553</t>
  </si>
  <si>
    <t>dakhinkhan@standardbankbd.com</t>
  </si>
  <si>
    <t>210261189</t>
  </si>
  <si>
    <t>014 / 118</t>
  </si>
  <si>
    <t>SDBLBDDH114</t>
  </si>
  <si>
    <t>SEEMA BLOSSOM, HOUSE NO 3, ROAD 16 (27 OLD), DHANMONDI R/A, DHAKA 1209</t>
  </si>
  <si>
    <t>02 8156621, 9145737, 018 11483830</t>
  </si>
  <si>
    <t>dhanmondi@standardbankbd.com</t>
  </si>
  <si>
    <t>210272086</t>
  </si>
  <si>
    <t>EKORIA BRANCH</t>
  </si>
  <si>
    <t>EKORIA_BRANCH</t>
  </si>
  <si>
    <t>024 / 208</t>
  </si>
  <si>
    <t>NEAR TO CHINA?BD FRIENDSHIP BRIDGE 1, HASNABAD, EKORIA, SOUTH KERANIGANJ, DHAKA 1311</t>
  </si>
  <si>
    <t>02 7761100, 7763712, 017 11462440</t>
  </si>
  <si>
    <t>ekuria@standardbankbd.com</t>
  </si>
  <si>
    <t>210272323</t>
  </si>
  <si>
    <t>013 / 232</t>
  </si>
  <si>
    <t>SDBLBDDH113</t>
  </si>
  <si>
    <t>NIK TOWER, 55 DILKUSHA C/A, DHAKA 1000</t>
  </si>
  <si>
    <t>02 9571933, 9574356, 017 55680437</t>
  </si>
  <si>
    <t>foreignexchange@standardbankbd.com</t>
  </si>
  <si>
    <t>210261697</t>
  </si>
  <si>
    <t>051 / 169</t>
  </si>
  <si>
    <t>SDBLBDDH122</t>
  </si>
  <si>
    <t>GREEN CASTLE, 142 GREEN ROAD, DHAKA</t>
  </si>
  <si>
    <t>02 9102770, 9120366, 017 55569088</t>
  </si>
  <si>
    <t>greenroad@standardbankbd.com</t>
  </si>
  <si>
    <t>210261934</t>
  </si>
  <si>
    <t>018 / 193</t>
  </si>
  <si>
    <t>SDBLBDDH117</t>
  </si>
  <si>
    <t>UDAY TOWER, 57/A GULSHAN AVENUE, GULSHAN 1, DHAKA 1212</t>
  </si>
  <si>
    <t>02 9862111, 9840907</t>
  </si>
  <si>
    <t>gulshan1@standardbankbd.com</t>
  </si>
  <si>
    <t>02 9840906</t>
  </si>
  <si>
    <t>210261721</t>
  </si>
  <si>
    <t>009 / 172</t>
  </si>
  <si>
    <t>SDBLBDDH109</t>
  </si>
  <si>
    <t>SHEZAD PALACE, 32 GULSHAN AVENUE, NORTH COMMERCIAL AREA, DHAKA 1212</t>
  </si>
  <si>
    <t>02 9881015, 8852679, 017 14136686</t>
  </si>
  <si>
    <t>gulshan@standardbankbd.com</t>
  </si>
  <si>
    <t>210272802</t>
  </si>
  <si>
    <t>004 / 280</t>
  </si>
  <si>
    <t>SDBLBDDH104</t>
  </si>
  <si>
    <t>BELAL MARKET, 79 MOULVIBAZAR, DHAKA 1100</t>
  </si>
  <si>
    <t>02 7316820, 7342525, 017 11648615</t>
  </si>
  <si>
    <t>imamgonj@standardbankbd.com</t>
  </si>
  <si>
    <t>210261518</t>
  </si>
  <si>
    <t>048 / 151</t>
  </si>
  <si>
    <t>AR COMPLEX, 75 KAMARPARA, UTTARA, TURAG, DHAKA</t>
  </si>
  <si>
    <t>02 8981591, 8981592, 017 11692004</t>
  </si>
  <si>
    <t>kamarpara@standardbankbd.com</t>
  </si>
  <si>
    <t>210273948</t>
  </si>
  <si>
    <t>068 / 394</t>
  </si>
  <si>
    <t>FAITH TOWER, 476/A DIT ROAD, MALIBAGH, DHAKA 1217</t>
  </si>
  <si>
    <t>02 9331929, 9331790, 017 14204450</t>
  </si>
  <si>
    <t>malibag@standardbankbd.com</t>
  </si>
  <si>
    <t>210274000</t>
  </si>
  <si>
    <t>032 / 400</t>
  </si>
  <si>
    <t>MOMENBAGH CHOWRASTA, PARADOGAIR, KONAPARA, MATUAIL, DEMRA, DHAKA 1362</t>
  </si>
  <si>
    <t>02 7559147, 019 12965887</t>
  </si>
  <si>
    <t>matuail@standardbankbd.com</t>
  </si>
  <si>
    <t>210262988</t>
  </si>
  <si>
    <t>210263190</t>
  </si>
  <si>
    <t>074 / 319</t>
  </si>
  <si>
    <t>SDBLBDDH121</t>
  </si>
  <si>
    <t>GREEN DELTA AIMS TOWER, 51-52 MOHAKHALI COMMERCIAL AREA, DHAKA</t>
  </si>
  <si>
    <t>02 9855478, 9855480, 017 16224310</t>
  </si>
  <si>
    <t>mohakhali@standardbankbd.com</t>
  </si>
  <si>
    <t>210263282</t>
  </si>
  <si>
    <t>066 / 328</t>
  </si>
  <si>
    <t>MANAMA TURAG, 14/23 SHAHJAHAN ROAD, BLOCK A, MOHAMMADPUR, DHAKA 1207</t>
  </si>
  <si>
    <t>02 9110630, 019 12110778</t>
  </si>
  <si>
    <t>mohammadpur@standardbankbd.com</t>
  </si>
  <si>
    <t>210274697</t>
  </si>
  <si>
    <t>067 / 469</t>
  </si>
  <si>
    <t>ADHUNIK BIPONY, ZILLA PARISHAD MARKET, NAWABGANJ, DHAKA 1320</t>
  </si>
  <si>
    <t>017 16339111</t>
  </si>
  <si>
    <t>nawabgonj@standardbankbd.com</t>
  </si>
  <si>
    <t>210274750</t>
  </si>
  <si>
    <t>042 / 475</t>
  </si>
  <si>
    <t>SHAHI BHABAN, 106 BCC ROAD, THATARI BAZAR, DHAKA 1203</t>
  </si>
  <si>
    <t>02 9512138, 9512140, 017 15364865</t>
  </si>
  <si>
    <t>nawabpur@standardbankbd.com</t>
  </si>
  <si>
    <t>210275025</t>
  </si>
  <si>
    <t>081 / 502</t>
  </si>
  <si>
    <t>ESKATON TOWER, 129 NEW ESKATON ROAD, DHAKA</t>
  </si>
  <si>
    <t>02 9341993, 9341984, 017 11934385</t>
  </si>
  <si>
    <t>neweskaton@standardbankbd.com</t>
  </si>
  <si>
    <t>210263611</t>
  </si>
  <si>
    <t>017 / 361</t>
  </si>
  <si>
    <t>SDBLBDDH118</t>
  </si>
  <si>
    <t>DILARA TOWER, 77 BIR UTTAM CR DUTTA ROAD, SONARGAON ROAD, HATIRPOOL, DHAKA 1205</t>
  </si>
  <si>
    <t>02 9667126, 9666521, 017 30015104</t>
  </si>
  <si>
    <t>panthapath@standardbankbd.com</t>
  </si>
  <si>
    <t>02 9666521</t>
  </si>
  <si>
    <t>210263703</t>
  </si>
  <si>
    <t>038 / 370</t>
  </si>
  <si>
    <t>HAZI AHMED PLAZA, KA-70 PRAGATI SARANI, KURIL, KHILKHET, VATARA, DHAKA 1229</t>
  </si>
  <si>
    <t>02 8410225, 8410227, 018 19434858</t>
  </si>
  <si>
    <t>progotisharani@standardbankbd.com</t>
  </si>
  <si>
    <t>02 8410226</t>
  </si>
  <si>
    <t>210275359</t>
  </si>
  <si>
    <t>002 / 535</t>
  </si>
  <si>
    <t>SDBLBDDH102</t>
  </si>
  <si>
    <t>MCC BUILDING, 122-124 MOTIJHEEL C/A, DHAKA 1000</t>
  </si>
  <si>
    <t>02 9558375, 9515484, 017 11425402</t>
  </si>
  <si>
    <t>principal@standardbankbd.com</t>
  </si>
  <si>
    <t>02 8559049</t>
  </si>
  <si>
    <t>210263974</t>
  </si>
  <si>
    <t>059 / 397</t>
  </si>
  <si>
    <t>PROBAL TOWER, HOUSE NO 45, RING ROAD, SHYAMOLI, MOHAMMADPUR, DHAKA 1207</t>
  </si>
  <si>
    <t>02 9103413, 9103414, 019 77729059</t>
  </si>
  <si>
    <t>ringroad@standardbankbd.com</t>
  </si>
  <si>
    <t>210264094</t>
  </si>
  <si>
    <t>SAVAR SME BRANCH</t>
  </si>
  <si>
    <t>SAVAR_SME_BRANCH</t>
  </si>
  <si>
    <t>052 / 409</t>
  </si>
  <si>
    <t>B-66 BAZAR ROAD, SAVAR, DHAKA</t>
  </si>
  <si>
    <t>02 7745991, 7745992, 017 62120185</t>
  </si>
  <si>
    <t>savar@standardbankbd.com</t>
  </si>
  <si>
    <t>210260243</t>
  </si>
  <si>
    <t>082 / 024</t>
  </si>
  <si>
    <t>MUKTIJODDHA KS TOWER, SONARGAON JANAPATH AVENUE, HOUSE NO 1, ROAD 17/B, SECTOR 12, UTTARA, DHAKA 1230</t>
  </si>
  <si>
    <t>02 8955158</t>
  </si>
  <si>
    <t>sonargaonjanopath@standardbankbd.com</t>
  </si>
  <si>
    <t>210276732</t>
  </si>
  <si>
    <t>005 / 673</t>
  </si>
  <si>
    <t>SDBLBDDH105</t>
  </si>
  <si>
    <t>CRESCENT CENTRE, 36 TOPKHANA ROAD, DHAKA 1000</t>
  </si>
  <si>
    <t>02 9582060, 7125683, 017 13062699</t>
  </si>
  <si>
    <t>topkhana@standardbankbd.com</t>
  </si>
  <si>
    <t>210264694</t>
  </si>
  <si>
    <t>015 / 469</t>
  </si>
  <si>
    <t>SDBLBDDH115</t>
  </si>
  <si>
    <t>PLOT NO 113/C, ROAD 7, SECTOR 4, UTTARA, DHAKA 1230</t>
  </si>
  <si>
    <t>02 58955349, 58955350, 019 77729015</t>
  </si>
  <si>
    <t>uttara@standardbankbd.com</t>
  </si>
  <si>
    <t>02 7911469</t>
  </si>
  <si>
    <t>210274518</t>
  </si>
  <si>
    <t>MUNSHIKHOLA</t>
  </si>
  <si>
    <t>210276758</t>
  </si>
  <si>
    <t>TOPKAHNA ISLAMI BANKING WINDOW</t>
  </si>
  <si>
    <t>TOPKAHNA_ISLAMI_BANKING_WINDOW</t>
  </si>
  <si>
    <t>675</t>
  </si>
  <si>
    <t>210270004</t>
  </si>
  <si>
    <t>210280678</t>
  </si>
  <si>
    <t>056 / 067</t>
  </si>
  <si>
    <t>NORTHERN PLAZA, GANESHTALA, KOTWALI, DINAJPURDINAJPUR</t>
  </si>
  <si>
    <t>0531 63979, 63211, 017 17000538</t>
  </si>
  <si>
    <t>dinajpur@standardbankbd.com</t>
  </si>
  <si>
    <t>210290521</t>
  </si>
  <si>
    <t>058 / 052</t>
  </si>
  <si>
    <t>RK PLAZA, 244 GOALCHAMAT, HAZRATALA, SADAR, FARIDPUR</t>
  </si>
  <si>
    <t>0631 61875, 61877, 017 16346036</t>
  </si>
  <si>
    <t>faridpur@stadndardbankbd.com</t>
  </si>
  <si>
    <t>210330528</t>
  </si>
  <si>
    <t>050 / 052</t>
  </si>
  <si>
    <t>SHAHABUDDIN COMPLEX, JOYDEBPUR BAZAR, GAZIPUR 1700</t>
  </si>
  <si>
    <t>02 9264263, 9264155, 017 16040988</t>
  </si>
  <si>
    <t>gazipur@standardbankbd.com</t>
  </si>
  <si>
    <t>210331422</t>
  </si>
  <si>
    <t>043 / 142</t>
  </si>
  <si>
    <t>SWAPNA JOY TOWER, SHAFIPUR BAZAR, KALIAKAIR, GAZIPUR</t>
  </si>
  <si>
    <t>06822 51058, 51059, 017 17095055</t>
  </si>
  <si>
    <t>shafipur@standardbankbd.com</t>
  </si>
  <si>
    <t>210350379</t>
  </si>
  <si>
    <t>025 / 037</t>
  </si>
  <si>
    <t>CITY SQUARE SHOPPING MALL, COLLEGE ROAD, GOPALGANJ</t>
  </si>
  <si>
    <t>0423 6681570-71, 017 18502269</t>
  </si>
  <si>
    <t>gopalgonj@standardbankbd.com</t>
  </si>
  <si>
    <t>210350674</t>
  </si>
  <si>
    <t>035 / 067</t>
  </si>
  <si>
    <t>KM SUPER MARKER, GHAGAR BAZAR, KOTALIPARA, GOPALGANJ</t>
  </si>
  <si>
    <t>02 6651277, 017 19816944</t>
  </si>
  <si>
    <t>kotalipara@standardbankbd.com</t>
  </si>
  <si>
    <t>210350832</t>
  </si>
  <si>
    <t>079 / 083</t>
  </si>
  <si>
    <t>RAHIMA-RUNGU SUPER MARKET, PATGATI BAZAR, TUNGIPARA, GOPALGANJ</t>
  </si>
  <si>
    <t>019 16481111</t>
  </si>
  <si>
    <t>tungipara@standardbankbd.com</t>
  </si>
  <si>
    <t>210410280</t>
  </si>
  <si>
    <t>020 / 028</t>
  </si>
  <si>
    <t>NAHAR TOWER, MAIN STREET, BENAPOLE BAZAR, JESSORE</t>
  </si>
  <si>
    <t>04228 76076, 017 11159073</t>
  </si>
  <si>
    <t>benapole@Standardbankbd.com</t>
  </si>
  <si>
    <t>210410943</t>
  </si>
  <si>
    <t>021 / 094</t>
  </si>
  <si>
    <t>UTSHAB BHABAN, 6/D RN ROAD, CHOWRASTA, KOTWALI, JESSORE</t>
  </si>
  <si>
    <t>0421 68394-95, 017 33808799</t>
  </si>
  <si>
    <t>jessore@standardbankbd.com</t>
  </si>
  <si>
    <t>210470059</t>
  </si>
  <si>
    <t>KHAN JAHAN ALI BRANCH</t>
  </si>
  <si>
    <t>KHAN_JAHAN_ALI_BRANCH</t>
  </si>
  <si>
    <t>092 / 005</t>
  </si>
  <si>
    <t>017 11352757</t>
  </si>
  <si>
    <t>khanjahanali@standardbankbd.com</t>
  </si>
  <si>
    <t>210471540</t>
  </si>
  <si>
    <t>008 / 154</t>
  </si>
  <si>
    <t>SDBLBDDH108</t>
  </si>
  <si>
    <t>CHAMBER BULDING, 5 KDA AVENUE, KHULNA 9100</t>
  </si>
  <si>
    <t>041 732633, 732655, 018 25922462</t>
  </si>
  <si>
    <t>khulna@standardbankbd.com</t>
  </si>
  <si>
    <t>210480207</t>
  </si>
  <si>
    <t>BHAIRAB BAZAR SME BRANCH</t>
  </si>
  <si>
    <t>BHAIRAB_BAZAR_SME_BRANCH</t>
  </si>
  <si>
    <t>054 / 020</t>
  </si>
  <si>
    <t>595/2 BANGABANDHU SARANI, BHAIRABPUR, BHAIRAB BAZAR, KISHOREGANJ</t>
  </si>
  <si>
    <t>02 9471301, 017 11245471</t>
  </si>
  <si>
    <t>bhairab@standardbankbd.com</t>
  </si>
  <si>
    <t>210500945</t>
  </si>
  <si>
    <t>047 / 094</t>
  </si>
  <si>
    <t>43 NS ROAD, AMLAPARA, KUSHTIA</t>
  </si>
  <si>
    <t>071 72458, 71298, 017 11380390</t>
  </si>
  <si>
    <t>kushtia@standardbankbd.com</t>
  </si>
  <si>
    <t>210540705</t>
  </si>
  <si>
    <t>062 / 070</t>
  </si>
  <si>
    <t>IMAN GOMOSTA MARKET,  286 GUATOLA, SHIBCHAR, MADARIPUR</t>
  </si>
  <si>
    <t>0662 456500, 017 21656895</t>
  </si>
  <si>
    <t>shibchar@standardbankbd.com</t>
  </si>
  <si>
    <t>210540792</t>
  </si>
  <si>
    <t>016 / 079</t>
  </si>
  <si>
    <t>UP ROAD, TAKERHAT BAZAR, RAJOIR, MADARIPUR</t>
  </si>
  <si>
    <t>017 12599795</t>
  </si>
  <si>
    <t>takerhat@standardbankbd.com</t>
  </si>
  <si>
    <t>210581180</t>
  </si>
  <si>
    <t>041 / 118</t>
  </si>
  <si>
    <t>KUSUMBAG SHOPPING CITY, KUSUMBAG, SYLHET ROAD, MOULVIBAZAR</t>
  </si>
  <si>
    <t>0861 63451-52, 017 15082198</t>
  </si>
  <si>
    <t>moulvibazar@standardbankbd.com</t>
  </si>
  <si>
    <t>210611755</t>
  </si>
  <si>
    <t>053 / 175</t>
  </si>
  <si>
    <t>CANADA SQUARE SHOPPING CENTER, 27 RAMBABU ROAD, MYMENSINGH</t>
  </si>
  <si>
    <t>091 63530, 63532, 017 12000663</t>
  </si>
  <si>
    <t>mymensingh@standardbankbd.com</t>
  </si>
  <si>
    <t>210670820</t>
  </si>
  <si>
    <t>072 / 082</t>
  </si>
  <si>
    <t>JAMIR KHAN COMPLEX, KANCHPUR BUS STAND, SONARGAON, NARAYANGANJ</t>
  </si>
  <si>
    <t>017 11008137</t>
  </si>
  <si>
    <t>kanchpur@standardbankbd.com</t>
  </si>
  <si>
    <t>210671182</t>
  </si>
  <si>
    <t>022 / 118</t>
  </si>
  <si>
    <t>SDBLBDDH116</t>
  </si>
  <si>
    <t>KHAN SUPER MARKET, 47/9 BB ROAD, DIT, NARAYANGANJ</t>
  </si>
  <si>
    <t>02 7646153, 7647082, 017 27426037</t>
  </si>
  <si>
    <t>narayangonj@standardbankbd.com</t>
  </si>
  <si>
    <t>02 7646153</t>
  </si>
  <si>
    <t>210730731</t>
  </si>
  <si>
    <t>060 / 073</t>
  </si>
  <si>
    <t>NILPHAMARI CHAMBER OF COMMERCE &amp;amp; INDUSTRY BHABAN, HAZI MAHASIN ROAD, NILPHAMARI</t>
  </si>
  <si>
    <t>0551 62590-91, 017 17134211</t>
  </si>
  <si>
    <t>nilphamari@standardbankbd.com</t>
  </si>
  <si>
    <t>210731198</t>
  </si>
  <si>
    <t>SAIDPUR SME BRANCH</t>
  </si>
  <si>
    <t>SAIDPUR_SME_BRANCH</t>
  </si>
  <si>
    <t>055 / 119</t>
  </si>
  <si>
    <t>KHALED MARKET, SHAHED DR ZHIKRUL HAQUE ROAD, SAIDPUR, NILPHAMARI</t>
  </si>
  <si>
    <t>0552 671454, 671455, 017 16625242</t>
  </si>
  <si>
    <t>saidpur@standardbankbd.com</t>
  </si>
  <si>
    <t>210781098</t>
  </si>
  <si>
    <t>057 / 109</t>
  </si>
  <si>
    <t>GAZI PLAZA, 2 SADAR ROAD, ADALAT PARA, PATUAKHALI</t>
  </si>
  <si>
    <t>0441 62359, 65059, 017 11001734</t>
  </si>
  <si>
    <t>patuakhali@standardbankbd.com</t>
  </si>
  <si>
    <t>210811939</t>
  </si>
  <si>
    <t>019 / 193</t>
  </si>
  <si>
    <t>CHAND &amp;amp; SONS SHOPPING COMPLEX, GORHANGA, GHORAMARA, BOALIA, RAJSHAHI 6100</t>
  </si>
  <si>
    <t>0721 811981, 017 15249880</t>
  </si>
  <si>
    <t>rajshahi@standardbankbd.com</t>
  </si>
  <si>
    <t>0721 811982</t>
  </si>
  <si>
    <t>210851452</t>
  </si>
  <si>
    <t>039 / 145</t>
  </si>
  <si>
    <t>SHAH JAMAL MARKET, 11 STATION ROAD, RANGPUR 5400</t>
  </si>
  <si>
    <t>0521 52127, 51795, 017 12370815</t>
  </si>
  <si>
    <t>rangpur@standardbankbd.com</t>
  </si>
  <si>
    <t>210910319</t>
  </si>
  <si>
    <t>040 / 031</t>
  </si>
  <si>
    <t>ZAMAN PLAZA, HOLDING NO 1803, BEANIBAZAR, SYLHET</t>
  </si>
  <si>
    <t>08223 56097-98, 017 17871082</t>
  </si>
  <si>
    <t>bianibazar@standardbankbd.com</t>
  </si>
  <si>
    <t>210910430</t>
  </si>
  <si>
    <t>BISWANATH SME BRANCH</t>
  </si>
  <si>
    <t>BISWANATH_SME_BRANCH</t>
  </si>
  <si>
    <t>045 / 043</t>
  </si>
  <si>
    <t>HASMAT ALI COMPLEX, COLLEGE ROAD, BISHWANATH, SYLHET</t>
  </si>
  <si>
    <t>08222 456207-08, 017 10186046</t>
  </si>
  <si>
    <t>biswanath@standardbankbd.com</t>
  </si>
  <si>
    <t>210911547</t>
  </si>
  <si>
    <t>GOALABAZAR SME BRANCH</t>
  </si>
  <si>
    <t>GOALABAZAR_SME_BRANCH</t>
  </si>
  <si>
    <t>046 / 154</t>
  </si>
  <si>
    <t>NEW PLAZA, SYLHET ROAD, GOALABAZAR, OSMANI NAGAR, SYLHET</t>
  </si>
  <si>
    <t>0824 256187, 256189, 017 22598295</t>
  </si>
  <si>
    <t>goalabazar@standardbankbd.com</t>
  </si>
  <si>
    <t>210913558</t>
  </si>
  <si>
    <t>010 / 355</t>
  </si>
  <si>
    <t>SDBLBDDH110</t>
  </si>
  <si>
    <t>TIKHANA TOWER, NAYASARAK, SYLHET</t>
  </si>
  <si>
    <t>0821 710434, 728785, 017 27579630</t>
  </si>
  <si>
    <t>sylhet@standardbankbd.com</t>
  </si>
  <si>
    <t>0821 710434</t>
  </si>
  <si>
    <t>STANDARD_CHARTERED_BANK</t>
  </si>
  <si>
    <t>STANDARD CHARTERED BANK</t>
  </si>
  <si>
    <t>215100379</t>
  </si>
  <si>
    <t>SCBLBDDX</t>
  </si>
  <si>
    <t>SHATANI HOUSE, SHERPUR ROAD, BOGRA 5800</t>
  </si>
  <si>
    <t>215150132</t>
  </si>
  <si>
    <t>215150040</t>
  </si>
  <si>
    <t>PHP HOUSE, 31 AGRABAD C/A, CHITTAGONG</t>
  </si>
  <si>
    <t>215152143</t>
  </si>
  <si>
    <t>CHITTAGONG MAIN BRANCH</t>
  </si>
  <si>
    <t>CHITTAGONG_MAIN_BRANCH</t>
  </si>
  <si>
    <t>SCBLBDDXCTG</t>
  </si>
  <si>
    <t>122 SHEIKH MUJIB ROAD, AGRABAD, CHITTAGONG</t>
  </si>
  <si>
    <t>215155537</t>
  </si>
  <si>
    <t>BULBUL CENTRE, 486/B OR NIZAM ROAD, CDA AVENUE, EAST NASIRABAD, CHITTAGONG</t>
  </si>
  <si>
    <t>215157519</t>
  </si>
  <si>
    <t>JIBON BIMA CORPORATION SHOPPING CENTER, 22/23 STATION ROAD, CHITTAGONG</t>
  </si>
  <si>
    <t>215271279</t>
  </si>
  <si>
    <t>12 WATER WORKS ROAD, DALPATTY, CHAWKBAZAR, DHAKA</t>
  </si>
  <si>
    <t>215261247</t>
  </si>
  <si>
    <t>DHANMONDI ROAD 5 BRANCH</t>
  </si>
  <si>
    <t>DHANMONDI_ROAD_5_BRANCH</t>
  </si>
  <si>
    <t>HOUSE 6, ROAD 5, DHANMONDI R/A, DHAKA 1205</t>
  </si>
  <si>
    <t>215261726</t>
  </si>
  <si>
    <t>67 GULSHAN AVENUE, DHAKA 1212</t>
  </si>
  <si>
    <t>02 8833003-4</t>
  </si>
  <si>
    <t>215262538</t>
  </si>
  <si>
    <t>53 KAWRAN BAZAR, DHAKA</t>
  </si>
  <si>
    <t>215262983</t>
  </si>
  <si>
    <t>DYNASTY TOWER, PLOT 01, ROAD 12, BLOCK G, SECTION 6, PALLABI, MIRPUR, DHAKA</t>
  </si>
  <si>
    <t>215274247</t>
  </si>
  <si>
    <t>ALICO BUILDING, 18-20 MOTIJHEEL C/A, DHAKA 1000</t>
  </si>
  <si>
    <t>215261900</t>
  </si>
  <si>
    <t>NORTH GULSHAN BRANCH</t>
  </si>
  <si>
    <t>NORTH_GULSHAN_BRANCH</t>
  </si>
  <si>
    <t>BLOCK NW(A), 189 GULSHAN AVENUE, GULSHAN 2, DHAKA 1212</t>
  </si>
  <si>
    <t>215264099</t>
  </si>
  <si>
    <t>SCBLBDDXSVR</t>
  </si>
  <si>
    <t>DHAKA EXPORT PROCESSING ZONE, ZONE SERVICE COMPLEX, GANAKBARI, SAVAR, DHAKA</t>
  </si>
  <si>
    <t>215261218</t>
  </si>
  <si>
    <t>DHANMONDI ROAD-2</t>
  </si>
  <si>
    <t>DHANMONDI_ROAD-2</t>
  </si>
  <si>
    <t>215271787</t>
  </si>
  <si>
    <t>DHAKA MAIN</t>
  </si>
  <si>
    <t>DHAKA_MAIN</t>
  </si>
  <si>
    <t>215270009</t>
  </si>
  <si>
    <t>215471545</t>
  </si>
  <si>
    <t>JIBON BIMA BHABAN, KDA AVENUE, KHULNA</t>
  </si>
  <si>
    <t>215671187</t>
  </si>
  <si>
    <t>26 SHAISTA KHAN ROAD, NEAR NARAYANGANJ CLUB, NARAYANGANJ</t>
  </si>
  <si>
    <t>215913674</t>
  </si>
  <si>
    <t>7 NOYA SHARAK, JAIL ROAD, WARD 16, SYLHET</t>
  </si>
  <si>
    <t>STATE_BANK_OF_INDIA</t>
  </si>
  <si>
    <t>STATE BANK OF INDIA</t>
  </si>
  <si>
    <t>220151968</t>
  </si>
  <si>
    <t>SBINBDDHCTG</t>
  </si>
  <si>
    <t>HOO PLAZA, 263/1 JUBILEE ROAD, KOTWALI, CHITTAGONG</t>
  </si>
  <si>
    <t>0312 856008</t>
  </si>
  <si>
    <t>220271514</t>
  </si>
  <si>
    <t>DHAKA BRANCH</t>
  </si>
  <si>
    <t>DHAKA_BRANCH</t>
  </si>
  <si>
    <t>SBINBDDH</t>
  </si>
  <si>
    <t>24-25 DILKUSHA COMMERCIAL AREA, DHAKA 1000</t>
  </si>
  <si>
    <t>02 9563992, 9570566</t>
  </si>
  <si>
    <t>220261724</t>
  </si>
  <si>
    <t>SBINBDDHGUL</t>
  </si>
  <si>
    <t>UDAY TOWER, 57 GULSHAN AVENUE, CIRCLE 1, DHAKA 1212</t>
  </si>
  <si>
    <t>02 8835601, 9880469, 9880169</t>
  </si>
  <si>
    <t>220270007</t>
  </si>
  <si>
    <t>220471543</t>
  </si>
  <si>
    <t>SBINBDDH056</t>
  </si>
  <si>
    <t>DR MOTIAR RAHMAN TOWER, 64 KDA AVENUE, KHULNA 9100</t>
  </si>
  <si>
    <t>041 831345</t>
  </si>
  <si>
    <t>220811932</t>
  </si>
  <si>
    <t>SBINBDDH055</t>
  </si>
  <si>
    <t>MORIUM ALI TOWER, HOLDING 18, PLOT 557, WARD 10, GREATER ROAD, BARNALI MORE, RAJSHAHI</t>
  </si>
  <si>
    <t>0721 812534-5</t>
  </si>
  <si>
    <t>220913551</t>
  </si>
  <si>
    <t>SBINBDDHSYL</t>
  </si>
  <si>
    <t>RAHIM TOWER, SUBHANIGHAT, SYLHET 3100</t>
  </si>
  <si>
    <t>08217 19217, 19273</t>
  </si>
  <si>
    <t>THE_CITY_BANK_LIMITED</t>
  </si>
  <si>
    <t>225</t>
  </si>
  <si>
    <t>THE CITY BANK LIMITED</t>
  </si>
  <si>
    <t>225060283</t>
  </si>
  <si>
    <t>CIBLBDDH</t>
  </si>
  <si>
    <t>RAZZAK MANSION, HOUSE 19, KOTWALI, BARISAL 8200</t>
  </si>
  <si>
    <t>0431 64139, 019 71404146</t>
  </si>
  <si>
    <t>225100372</t>
  </si>
  <si>
    <t>HOUSE 200, RAZA BAZAR, BOGRA 5800</t>
  </si>
  <si>
    <t>051 65835, 65836, 017 11404137</t>
  </si>
  <si>
    <t>225102741</t>
  </si>
  <si>
    <t>MOHONA SHOPING CENTER, HOUSE 328, DHAKA-BOGRA HIGHWAY, SHERPUR, BOGRA 5840</t>
  </si>
  <si>
    <t>019 71404138</t>
  </si>
  <si>
    <t>225120431</t>
  </si>
  <si>
    <t>RAZZAQUE PLAZA, HOUSE 1329/1, KAWTALI, BRAHMANBARIA 3400</t>
  </si>
  <si>
    <t>0851 58160, 019 26666070</t>
  </si>
  <si>
    <t>225130313</t>
  </si>
  <si>
    <t>57/54 COMILLA ROAD, CHANDPUR 3600</t>
  </si>
  <si>
    <t>0841 63682, 019 71404321</t>
  </si>
  <si>
    <t>225130889</t>
  </si>
  <si>
    <t>MAIN ROAD, HAJIGANJ, CHANDPUR 3610</t>
  </si>
  <si>
    <t>08424 75369, 019 71404322</t>
  </si>
  <si>
    <t>225130913</t>
  </si>
  <si>
    <t>GOLBAHAR ROAD, KACHUA, CHANDPUR</t>
  </si>
  <si>
    <t>08425 56226, 019 70326069</t>
  </si>
  <si>
    <t>225700251</t>
  </si>
  <si>
    <t>ZEBUNNESSA SUPER MARKET, 11 GODAGARI ROAD, CHAPAI NAWABGANJ 6300</t>
  </si>
  <si>
    <t>0781 55025, 62550, 019 71404136</t>
  </si>
  <si>
    <t>225150135</t>
  </si>
  <si>
    <t>BANANI COMPLEX, 942/A SK MUJIB ROAD, CHITTAGONG</t>
  </si>
  <si>
    <t>031 720631, 716210</t>
  </si>
  <si>
    <t>225150469</t>
  </si>
  <si>
    <t>HOUSE 38, NA CHOW ROAD, ANDARKILLA, KOTWALI, CHITTAGONG 4000</t>
  </si>
  <si>
    <t>031 613476</t>
  </si>
  <si>
    <t>225150948</t>
  </si>
  <si>
    <t>225151226</t>
  </si>
  <si>
    <t>BHATIARY AGRI BRANCH</t>
  </si>
  <si>
    <t>BHATIARY_AGRI_BRANCH</t>
  </si>
  <si>
    <t>122 / 122</t>
  </si>
  <si>
    <t>BHATIARY STATION ROAD, SITAKUNDA, CHITTAGONG 4001</t>
  </si>
  <si>
    <t>031 2781157</t>
  </si>
  <si>
    <t>225151934</t>
  </si>
  <si>
    <t>MARIUM TOWER, HOUSE 452/494, ROAD 210, KAPASHGOLA ROAD, CHAWKBAZAR, PANCHLAISH, CHITTAGONG 4203</t>
  </si>
  <si>
    <t>031 2551697-98</t>
  </si>
  <si>
    <t>225153640</t>
  </si>
  <si>
    <t>GULSHAN PLAZA, HOUSE 181, GOLAP SINGH LANE, KOTWALI, CHITTAGONG 4000</t>
  </si>
  <si>
    <t>031 612104, 636153</t>
  </si>
  <si>
    <t>225153732</t>
  </si>
  <si>
    <t>RAHAT CENTRE, HOUSE 295, DT ROAD, DOUBLE MOORING, CHITTAGONG 4000</t>
  </si>
  <si>
    <t>031 712006, 2520668</t>
  </si>
  <si>
    <t>225154278</t>
  </si>
  <si>
    <t>HOUSE 282 KHATUNGANJ, LAMARBAZAR, KOTWALI, CHITTAGONG 4000</t>
  </si>
  <si>
    <t>031 612681, 638054</t>
  </si>
  <si>
    <t>225154678</t>
  </si>
  <si>
    <t>MOSTAFA CITY, AMIRABAD, LOHAGARA, CHITTAGONG 4396</t>
  </si>
  <si>
    <t>031 2869071</t>
  </si>
  <si>
    <t>225155806</t>
  </si>
  <si>
    <t>RAHIMA CENTER, HOUSE 1839, CDA AVENUE, EAST NASIRABAD, CHITTAGONG 4000</t>
  </si>
  <si>
    <t>031 654421, 2551765</t>
  </si>
  <si>
    <t>225155927</t>
  </si>
  <si>
    <t>SANOWARA GUEST HOUSE, HOUSE 302,DHAKA TRUNK ROAD, PAHARTALI, DOUBLE MOORING, CHITTAGONG 4202</t>
  </si>
  <si>
    <t>031 751570</t>
  </si>
  <si>
    <t>225156139</t>
  </si>
  <si>
    <t>HAZI SIDDIQUE AHMED, KAPTAI ROAD, GUZRA NOAPARA, RAOZAN, CHITTAGONG 4346</t>
  </si>
  <si>
    <t>031 2571175</t>
  </si>
  <si>
    <t>225156326</t>
  </si>
  <si>
    <t>PROBARTAK BRANCH</t>
  </si>
  <si>
    <t>PROBARTAK_BRANCH</t>
  </si>
  <si>
    <t>632 / 632</t>
  </si>
  <si>
    <t>AL-NUR BADRUN CENTER, 1486/1672 OR NIZAM ROAD, PROBARTAK MORE, PANCHLAISH, CHITTAGONG 4203</t>
  </si>
  <si>
    <t>031 2555584, 2555583</t>
  </si>
  <si>
    <t>225157062</t>
  </si>
  <si>
    <t>MOKBUL SERAJI SHOPPING COMPLEX, 580 STATION ROAD, SATKANIA, CHITTAGONG 4386</t>
  </si>
  <si>
    <t>03036 56337</t>
  </si>
  <si>
    <t>225191060</t>
  </si>
  <si>
    <t>MAMUN PATWARI BUILDING, CHAUDDAGRAM BAZAR, COMILLA 3550</t>
  </si>
  <si>
    <t>08020 56181, 019 71404323</t>
  </si>
  <si>
    <t>225191152</t>
  </si>
  <si>
    <t>ARTISAN NASIR CENTRE, 437 NAZRUL AVENUE, KANDIRPAR, COMILLA 3500</t>
  </si>
  <si>
    <t>081 65514, 65214, 019 71404125</t>
  </si>
  <si>
    <t>225191549</t>
  </si>
  <si>
    <t>252 BANK ROAD, DAULATGONJ BAZAR, COMILLA 3570</t>
  </si>
  <si>
    <t>08032 51591, 51390, 019 71404320</t>
  </si>
  <si>
    <t>225220252</t>
  </si>
  <si>
    <t>225260225</t>
  </si>
  <si>
    <t>NIGAR PLAZA, HOUSE 1/94, ROAD 04, LANE 02, JAMGORA, ASHULIA, DHAKA 1339</t>
  </si>
  <si>
    <t>019 36012559, 019 75116655, 018 54000005</t>
  </si>
  <si>
    <t>225260438</t>
  </si>
  <si>
    <t>HOUSE 28, ROAD 11, BLOCK F, BANANI, DHAKA 1213</t>
  </si>
  <si>
    <t>02 9870080-81, 9870038-39, 011 99879385</t>
  </si>
  <si>
    <t>225270431</t>
  </si>
  <si>
    <t>HASAN BUILDING, 12 BANGABANDHU AVENUE, PALTAN, DHAKA 1000</t>
  </si>
  <si>
    <t>02 9552279, 019 71404147</t>
  </si>
  <si>
    <t>225263527</t>
  </si>
  <si>
    <t>NOVERA SQUARE, HOUSE 5, ROAD 2, DHANMONDI R/A, DHAKA 1205</t>
  </si>
  <si>
    <t>02 8614070, 019 71404150</t>
  </si>
  <si>
    <t>225261187</t>
  </si>
  <si>
    <t>SUVASTU ZENIM PLAZA, HOUSE 312, ROAD 32 (OLD 27), DHANMONDI R/A, DHAKA 1205</t>
  </si>
  <si>
    <t>02 8128267, 9124475, 019 74011077, 015 56382749</t>
  </si>
  <si>
    <t>225261279</t>
  </si>
  <si>
    <t>DSE NIKUNJA BRANCH</t>
  </si>
  <si>
    <t>DSE_NIKUNJA_BRANCH</t>
  </si>
  <si>
    <t>LOTUS KAMAL TOWER 1, 57 ZOAR SHAHARA, AIRPORT ROAD, NIKUNJA 2, KHILKHET, DHAKA 1229</t>
  </si>
  <si>
    <t>02 8964013, 8964014, 019 70031857</t>
  </si>
  <si>
    <t>225272321</t>
  </si>
  <si>
    <t>BAITUL HOSSAIN BUILDING), HOUSE 27, DILKUSHA C/A, MOTIJHEEL, DHAKA 1000</t>
  </si>
  <si>
    <t>02 9564315, 9551239, 9559388</t>
  </si>
  <si>
    <t>225261732</t>
  </si>
  <si>
    <t>GULSHAN AVENUE BRANCH</t>
  </si>
  <si>
    <t>GULSHAN_AVENUE_BRANCH</t>
  </si>
  <si>
    <t>173 / 173</t>
  </si>
  <si>
    <t>CITY BANK CENTER, 136 GULSHAN AVENUE, GULSHAN 2, DHAKA 1212</t>
  </si>
  <si>
    <t>02 8813483, 8814375 , 9884457</t>
  </si>
  <si>
    <t>225261729</t>
  </si>
  <si>
    <t>UNITED HOUSE, 10 GULSHAN AVENUE, GULSHAN 1, DHAKA 1212</t>
  </si>
  <si>
    <t>02 9853741, 8855363, 019 26669081</t>
  </si>
  <si>
    <t>225272800</t>
  </si>
  <si>
    <t>HOUSE 44-45/2, RICS BAHADUR ROAD, IMAMGANJ, CHAWKBAZAR, DHAKA 1100</t>
  </si>
  <si>
    <t>02 7313581, 7316498, 011 99860028</t>
  </si>
  <si>
    <t>225272868</t>
  </si>
  <si>
    <t>ISLAMIC BANKING BRANCH</t>
  </si>
  <si>
    <t>ISLAMIC_BANKING_BRANCH</t>
  </si>
  <si>
    <t>AL HABIB TOWER, 207 SS NAZRUL ISLAM SARANI, BIJOY NAGAR, DHAKA 1000</t>
  </si>
  <si>
    <t>02 7110710, 7116335</t>
  </si>
  <si>
    <t>225272989</t>
  </si>
  <si>
    <t>SONAR BANGLA MARKET, 18 ISLAMPUR ROAD, KOTWALI, DHAKA 1100</t>
  </si>
  <si>
    <t>02 7392402, 7391920, 019 71404148</t>
  </si>
  <si>
    <t>225273238</t>
  </si>
  <si>
    <t>JATRABARI AGRI BRANCH</t>
  </si>
  <si>
    <t>JATRABARI_AGRI_BRANCH</t>
  </si>
  <si>
    <t>YOUSUF MANSION, HOUSE 314, ATM HAIDER ROAD, JATRABARI, DHAKA 1204</t>
  </si>
  <si>
    <t>02 7540347, 7541914</t>
  </si>
  <si>
    <t>225273254</t>
  </si>
  <si>
    <t>AZIZ CENTRE, 31 JOHNSON ROAD, RAISHAHEB BAZAR, KOTWALI, DHAKA 1100</t>
  </si>
  <si>
    <t>02 7115439, 7123432, 01971404149</t>
  </si>
  <si>
    <t>225273296</t>
  </si>
  <si>
    <t>JOYPARA AGRI BRANCH</t>
  </si>
  <si>
    <t>JOYPARA_AGRI_BRANCH</t>
  </si>
  <si>
    <t>329 / 329</t>
  </si>
  <si>
    <t>AHMED SHOPPING COMPLEX, 260 JOYPARA, DOHAR, DHAKA 1330</t>
  </si>
  <si>
    <t>02 7768168, 017 11203762, 019 13131099</t>
  </si>
  <si>
    <t>225262531</t>
  </si>
  <si>
    <t>UTC BUILDING, 8 PANTHAPATH, KAWRAN BAZAR, TEJGAON, DHAKA 1215</t>
  </si>
  <si>
    <t>02 8119362, 019 71404152</t>
  </si>
  <si>
    <t>225262986</t>
  </si>
  <si>
    <t>1 DAR-US-SALAM ROAD, MIRPUR, DHAKA 1216</t>
  </si>
  <si>
    <t>02 9002891, 019 71404160</t>
  </si>
  <si>
    <t>225274187</t>
  </si>
  <si>
    <t>RAZZAK PLAZA, 1 NEW ESKATON ROAD, MOGHBAZAR, DHAKA 1000</t>
  </si>
  <si>
    <t>02 9356831, 016 13140434</t>
  </si>
  <si>
    <t>225274361</t>
  </si>
  <si>
    <t>SHAHJALAL TOWER, 80/A SIDDESWARI CIRCULAR ROAD, MALIBAGH, DHAKA 1217</t>
  </si>
  <si>
    <t>02 9357717, 019 71404158</t>
  </si>
  <si>
    <t>225274695</t>
  </si>
  <si>
    <t>YOUNUS SHOPING COMPLEX, NAWABGANJ, DHAKA 1320</t>
  </si>
  <si>
    <t>02 7765248, 017 11404156</t>
  </si>
  <si>
    <t>225274729</t>
  </si>
  <si>
    <t>472 / 472</t>
  </si>
  <si>
    <t>ANOWARA BHAVAN, 12-14 NAWABPUR ROAD, WARI, DHAKA 1100</t>
  </si>
  <si>
    <t>02 9558087, 019 71404161</t>
  </si>
  <si>
    <t>225263585</t>
  </si>
  <si>
    <t>SPRING RAHMAT-E-TUBA COMPLEX, HOUSE 132, ROAD 2, BLOCK A, SECTION 12, MIRPUR, DHAKA 1216</t>
  </si>
  <si>
    <t>02 8055899, 8053226</t>
  </si>
  <si>
    <t>225275294</t>
  </si>
  <si>
    <t>SERAJ COURT, 35 SHAESTA KHAN ROAD, LALBAGH, POSTA, CHAWKBAZAR, DHAKA 1211</t>
  </si>
  <si>
    <t>02 9670537, 8629460, 019 71404154</t>
  </si>
  <si>
    <t>225263701</t>
  </si>
  <si>
    <t>GA-30/G PRAGATI SARANI, SHAHJADPUR, GULSHAN, DHAKA 1212</t>
  </si>
  <si>
    <t>02 8899469, 019 73082744</t>
  </si>
  <si>
    <t>225275357</t>
  </si>
  <si>
    <t>JIBON BIMA TOWER, 10 DILKUSHA COMMERCIAL AREA, MOTIJHEEL, DHAKA 1000</t>
  </si>
  <si>
    <t>02 9565925, 9553147, 019 70338595</t>
  </si>
  <si>
    <t>225275928</t>
  </si>
  <si>
    <t>PATUATULY BHABAN, 78 LOYAL STREET, PATUATULY, SADARGHAT, DHAKA 1100</t>
  </si>
  <si>
    <t>02 9512837, 9591926, 019 71404163</t>
  </si>
  <si>
    <t>225264100</t>
  </si>
  <si>
    <t>SAVAR AGRI BRANCH</t>
  </si>
  <si>
    <t>SAVAR_AGRI_BRANCH</t>
  </si>
  <si>
    <t>410 / 410</t>
  </si>
  <si>
    <t>111/A SAVAR BAZAR ROAD, SAVAR, DHAKA 1340</t>
  </si>
  <si>
    <t>02 7744956, 7744957</t>
  </si>
  <si>
    <t>225264300</t>
  </si>
  <si>
    <t>RUPAYAN SHELFORD, 23/6 KHILJI ROAD, BLOCK B, SHYAMOLI, MOHAMMADPUR, DHAKA 1207</t>
  </si>
  <si>
    <t>02 8150369, 019 71404153</t>
  </si>
  <si>
    <t>225276798</t>
  </si>
  <si>
    <t>HAJI MANSION, 10 URDU ROAD, CHAWKBAZAR, DHAKA 1211</t>
  </si>
  <si>
    <t>02 7318221, 019 71404162</t>
  </si>
  <si>
    <t>225264634</t>
  </si>
  <si>
    <t>BAREK MONJIL, 8 RABINDRO SARANI ROAD, SECTOR 7, AZAMPUR, UTTARA, DHAKA 1230</t>
  </si>
  <si>
    <t>02 8953695, 019 79815065</t>
  </si>
  <si>
    <t>225276851</t>
  </si>
  <si>
    <t>35/1 VIP ROAD, NAYA PALTAN, DHAKA 1000</t>
  </si>
  <si>
    <t>02 9348947, 019 73068477</t>
  </si>
  <si>
    <t>225277092</t>
  </si>
  <si>
    <t>709 / 709</t>
  </si>
  <si>
    <t>HOSSAIN BHABAN, TIN PATTY, KERANIGANJ, DHAKA 1310</t>
  </si>
  <si>
    <t>02 7772742, 017 11933255</t>
  </si>
  <si>
    <t>225271151</t>
  </si>
  <si>
    <t>BOUBAZAR</t>
  </si>
  <si>
    <t>225271548</t>
  </si>
  <si>
    <t>DHAKA CHAMBER</t>
  </si>
  <si>
    <t>DHAKA_CHAMBER</t>
  </si>
  <si>
    <t>225272684</t>
  </si>
  <si>
    <t>225273467</t>
  </si>
  <si>
    <t>KALIGANJ</t>
  </si>
  <si>
    <t>225270002</t>
  </si>
  <si>
    <t>225280676</t>
  </si>
  <si>
    <t>164/167 MAIN MUNSHIPARA ROAD, NIMTOLA, DINAJPUR 5200</t>
  </si>
  <si>
    <t>0531 64707, 019 71432071</t>
  </si>
  <si>
    <t>225290040</t>
  </si>
  <si>
    <t>ALFADANGA BAZAR, FARIDPUR 7870</t>
  </si>
  <si>
    <t>0632 256246, 019 36012558, 017 12168286</t>
  </si>
  <si>
    <t>225290529</t>
  </si>
  <si>
    <t>5/1 SHAIKH MUJIB ROAD, NEELTULY, FARIDPUR 7800</t>
  </si>
  <si>
    <t>0631 62668, 019 71404114</t>
  </si>
  <si>
    <t>225300527</t>
  </si>
  <si>
    <t>JABBAR MARKET, 83 SSK ROAD, FENI 3900</t>
  </si>
  <si>
    <t>0331 62889, 73311, 019 71404126</t>
  </si>
  <si>
    <t>225320581</t>
  </si>
  <si>
    <t>RAJMOTI SUPER MARKET, 575 MADDHAPARA, BUZRUK BOALIA, GOBINDAGANJ, GAIBANDHA 5740</t>
  </si>
  <si>
    <t>05423 75074, 019 71425227</t>
  </si>
  <si>
    <t>225330539</t>
  </si>
  <si>
    <t>GAZIPUR AGRI BRANCH</t>
  </si>
  <si>
    <t>GAZIPUR_AGRI_BRANCH</t>
  </si>
  <si>
    <t>053 / 053</t>
  </si>
  <si>
    <t>KALMESHWAR, BOARD BAZAR, NATIONAL UNIVERSITY, GAGIPUR 1704</t>
  </si>
  <si>
    <t>02 9293978, 9293927</t>
  </si>
  <si>
    <t>225331633</t>
  </si>
  <si>
    <t>ZARZIS BHABAN, 244 ANARKALI ROAD, MONNU NAGAR, TONGI GAZIPUR 1710</t>
  </si>
  <si>
    <t>02 9810265</t>
  </si>
  <si>
    <t>225360620</t>
  </si>
  <si>
    <t>HABIGANJ AGRI BRANCH</t>
  </si>
  <si>
    <t>HABIGANJ_AGRI_BRANCH</t>
  </si>
  <si>
    <t>062 / 062</t>
  </si>
  <si>
    <t>AMIR CHAND COMPLEX, 3557/KA BADIUZZAMAN KHAN ROAD, HABIGANJ 3300</t>
  </si>
  <si>
    <t>0831 63164, 63165</t>
  </si>
  <si>
    <t>225390861</t>
  </si>
  <si>
    <t>JAMALPUR AGRI BRANCH</t>
  </si>
  <si>
    <t>JAMALPUR_AGRI_BRANCH</t>
  </si>
  <si>
    <t>THAKUR BHABAN, 422 STATION ROAD, JAMALPUR 2000</t>
  </si>
  <si>
    <t>0981 64614, 015 54339710</t>
  </si>
  <si>
    <t>225410288</t>
  </si>
  <si>
    <t>SELIM SUMON SUPER MARKET, JESSORE ROAD, BENAPOLE, JESSORE 7431</t>
  </si>
  <si>
    <t>04228 75625, 019 71404143</t>
  </si>
  <si>
    <t>225410941</t>
  </si>
  <si>
    <t>RS TOWER, 28-29 MK ROAD, KOTWALI, JESSORE 7400</t>
  </si>
  <si>
    <t>0421 68749, 35920, 019 71404100</t>
  </si>
  <si>
    <t>225471548</t>
  </si>
  <si>
    <t>7 SIR IQBAL ROAD, KOTWALI, KHULNA 9100</t>
  </si>
  <si>
    <t>041 720380, 720381</t>
  </si>
  <si>
    <t>225480221</t>
  </si>
  <si>
    <t>129 KALI BARI ROAD, BHAIRAB BAZAR, KISHOREGANJ 2350</t>
  </si>
  <si>
    <t>02 9470567</t>
  </si>
  <si>
    <t>225480689</t>
  </si>
  <si>
    <t>KISHOREGANJ AGRI BRANCH</t>
  </si>
  <si>
    <t>KISHOREGANJ_AGRI_BRANCH</t>
  </si>
  <si>
    <t>HANIF BEPARI SUPER MARKET, 238 DHAN MOHOLER MORE, BORO BAZAR, KISHOREGANJ 2300</t>
  </si>
  <si>
    <t>0941 62175, 017 11076066</t>
  </si>
  <si>
    <t>225500943</t>
  </si>
  <si>
    <t>KADERI SUPER MARKET, 14 RA KHAN CHOWDHURY SARAK, KUSHTIA 7000</t>
  </si>
  <si>
    <t>071 61850, 54422</t>
  </si>
  <si>
    <t>225510733</t>
  </si>
  <si>
    <t>ARAT PATTI, THANA ROAD, LAKSHMIPUR 3700</t>
  </si>
  <si>
    <t>0381 55370</t>
  </si>
  <si>
    <t>225560617</t>
  </si>
  <si>
    <t>106/2 SHAHEED RAFIQUE SARAK, MANIKGANJ 1800</t>
  </si>
  <si>
    <t>027 710616, 019 71404115</t>
  </si>
  <si>
    <t>225581188</t>
  </si>
  <si>
    <t>315 CENTRAL ROAD, MOULVIBAZAR 3200</t>
  </si>
  <si>
    <t>0861 52840, 019 71404132</t>
  </si>
  <si>
    <t>225581720</t>
  </si>
  <si>
    <t>AL-AMIN MANSION, 70 MOULVIBAZAR ROAD, SREEMANGAL, MOULVIBAZAR 3210</t>
  </si>
  <si>
    <t>08626 71528</t>
  </si>
  <si>
    <t>225591215</t>
  </si>
  <si>
    <t>REKABI BAZAR</t>
  </si>
  <si>
    <t>REKABI_BAZAR</t>
  </si>
  <si>
    <t>225611753</t>
  </si>
  <si>
    <t>20 CHOTO BAZAR, KOTWALI, MYMENSINGH 2200</t>
  </si>
  <si>
    <t>091 67493, 019 71404111</t>
  </si>
  <si>
    <t>225671272</t>
  </si>
  <si>
    <t>NITAIGANJ BRANCH</t>
  </si>
  <si>
    <t>NITAIGANJ_BRANCH</t>
  </si>
  <si>
    <t>217 BK ROAD, NITAIGANJ, NARAYANGANJ 1400</t>
  </si>
  <si>
    <t>02 7631710, 019 71404106</t>
  </si>
  <si>
    <t>225671751</t>
  </si>
  <si>
    <t>TAN BAZAR</t>
  </si>
  <si>
    <t>TAN_BAZAR</t>
  </si>
  <si>
    <t>225680676</t>
  </si>
  <si>
    <t>BANK ROAD, MADHABDI BAZAR, NARSINGDI 1604</t>
  </si>
  <si>
    <t>02 9446222, 019 73672261</t>
  </si>
  <si>
    <t>225680850</t>
  </si>
  <si>
    <t>192 BAZAR, NARSINGDI 1600</t>
  </si>
  <si>
    <t>02 9464530</t>
  </si>
  <si>
    <t>225691115</t>
  </si>
  <si>
    <t>NATORE AGRI BRANCH</t>
  </si>
  <si>
    <t>NATORE_AGRI_BRANCH</t>
  </si>
  <si>
    <t>FK ZAMAN PLAZA, 240/241 ALAIPUR BOIPOTTY, NATORE 6400</t>
  </si>
  <si>
    <t>0771 66538</t>
  </si>
  <si>
    <t>225730797</t>
  </si>
  <si>
    <t>361 SHAHID DR ZIKRUL HOQUE SARAK, SYEDPUR, NILPHAMARI 5310</t>
  </si>
  <si>
    <t>05526 72350, 017 11435729</t>
  </si>
  <si>
    <t>225750672</t>
  </si>
  <si>
    <t>ROMANA AGENCY, 49 KALITALA ROAD, CHOWMUHANI, BEGUMGANJ, NOAKHALI 3821</t>
  </si>
  <si>
    <t>0321 52068</t>
  </si>
  <si>
    <t>225751589</t>
  </si>
  <si>
    <t>MAIJDEE AGRI BRANCH</t>
  </si>
  <si>
    <t>MAIJDEE_AGRI_BRANCH</t>
  </si>
  <si>
    <t>158 / 158</t>
  </si>
  <si>
    <t>1040 MAIN ROAD, MAIJDEE, NOAKHALI 3800</t>
  </si>
  <si>
    <t>0321 71411, 017 13453180, 019 72397106</t>
  </si>
  <si>
    <t>225761782</t>
  </si>
  <si>
    <t>472 AURANGZEB ROAD, PABNA 6600</t>
  </si>
  <si>
    <t>073 165576, 019 71404139</t>
  </si>
  <si>
    <t>225811937</t>
  </si>
  <si>
    <t>STAR MANSION, 125 NATORE ROAD, SHAHEB BAZAR ZERO POINT, GHORAMARA, BOALIA, RAJSHAHI 6100</t>
  </si>
  <si>
    <t>0721 776311, 774648, 017 11404135</t>
  </si>
  <si>
    <t>225851450</t>
  </si>
  <si>
    <t>CENTRAL POINT, 97/1 CENTRAL ROAD, KOTWALI, RANGPUR 5400</t>
  </si>
  <si>
    <t>0521 64492, 63538, 019 71429429</t>
  </si>
  <si>
    <t>225871098</t>
  </si>
  <si>
    <t>CITY MARKET, BORO BAZAR ROAD, SATKHIRA 9400</t>
  </si>
  <si>
    <t>0471 63223</t>
  </si>
  <si>
    <t>225881875</t>
  </si>
  <si>
    <t>979 SS ROAD, SIRAJGANJ 6700</t>
  </si>
  <si>
    <t>0751 62489, 019 71404140</t>
  </si>
  <si>
    <t>225900493</t>
  </si>
  <si>
    <t>POURASAVA ROAD , JAGANNATHPUR, SUNAMGANJ 3060</t>
  </si>
  <si>
    <t>08727 56429, 88015, 019 71404134</t>
  </si>
  <si>
    <t>225910041</t>
  </si>
  <si>
    <t>CENTRAL PLAZA, AIRPORT ROAD, AMBERKHANA, KOTWALI, SYLHET 3100</t>
  </si>
  <si>
    <t>0821 715516, 019 71404131</t>
  </si>
  <si>
    <t>225913556</t>
  </si>
  <si>
    <t>METRO CENTRE, SOUTH DHOPADIGHIR PAAR, BANDAR BAZAR EAST, KOTWALI, SYLHET 3100</t>
  </si>
  <si>
    <t>0821 714552-53</t>
  </si>
  <si>
    <t>225910317</t>
  </si>
  <si>
    <t>HOSPITAL ROAD, NAYAGRAM, BEANIBAZAR, SYLHET 3170</t>
  </si>
  <si>
    <t>08223 56005</t>
  </si>
  <si>
    <t>225910438</t>
  </si>
  <si>
    <t>K ALI SHOPPING COMPLEX, RAMPASHA ROAD, NATUN BAZAR, BISHWANATH, SYLHET</t>
  </si>
  <si>
    <t>0822 45612, 456122, 011 96000593</t>
  </si>
  <si>
    <t>225911303</t>
  </si>
  <si>
    <t>DHAKADAKSHIN SCHOOL MARKET, DHAKADAKSHIN BAZAR ROAD, GOLAPGANJ, SYLHET 3161</t>
  </si>
  <si>
    <t>019 71431674</t>
  </si>
  <si>
    <t>225914155</t>
  </si>
  <si>
    <t>415 / 415</t>
  </si>
  <si>
    <t>KANIZ PLAZA, ZINDABAZAR, KOTWALI, SYLHET 3100</t>
  </si>
  <si>
    <t>0821 714196, 019 71404130</t>
  </si>
  <si>
    <t>225932290</t>
  </si>
  <si>
    <t>HABIB SUPER MARKET, 1869/77 MAIN ROAD, TANGAIL 1900</t>
  </si>
  <si>
    <t>0921 64065, 019 71404109</t>
  </si>
  <si>
    <t>THE_FARMERS_BANK_LIMITED</t>
  </si>
  <si>
    <t>THE FARMERS BANK LIMITED</t>
  </si>
  <si>
    <t>280100375</t>
  </si>
  <si>
    <t>FRMSBDDH</t>
  </si>
  <si>
    <t>JAMIL BHABAN, 51-52 BOROGOLA, RANGPUR ROAD, BOGRA</t>
  </si>
  <si>
    <t>051 64154, 67373</t>
  </si>
  <si>
    <t>bogura@padmabankbd.com</t>
  </si>
  <si>
    <t>280130316</t>
  </si>
  <si>
    <t>RUPOSHI MARKET, JM SENGUPTA ROAD, CHANDPUR</t>
  </si>
  <si>
    <t>0841 66672-73</t>
  </si>
  <si>
    <t>chandpur@padmabankbd.com</t>
  </si>
  <si>
    <t>0841 66674</t>
  </si>
  <si>
    <t>280130916</t>
  </si>
  <si>
    <t>BIPONI POLASH, HOSPITAL ROAD, KACHUA, CHANDPUR</t>
  </si>
  <si>
    <t>08425 56166, 56183</t>
  </si>
  <si>
    <t>kachua@padmabankbd.com</t>
  </si>
  <si>
    <t>08425 56143</t>
  </si>
  <si>
    <t>280154271</t>
  </si>
  <si>
    <t>ALAM BHABAN, 35 BOKSIR HAT, RAMJOY MOHAJON LANE, ASADGANJ POST OFFICE GOLI, KHATUNGANJ, CHITTAGONG</t>
  </si>
  <si>
    <t>031 636298</t>
  </si>
  <si>
    <t>khatungonj@padmabankbd.com</t>
  </si>
  <si>
    <t>280154668</t>
  </si>
  <si>
    <t>LOHAGARA SHOPPING CENTRE, MOTOR STATION ROAD, LOHAGARA, CHITTAGONG</t>
  </si>
  <si>
    <t>03034 56125-27</t>
  </si>
  <si>
    <t>logahara@padmabankbd.com</t>
  </si>
  <si>
    <t>280270139</t>
  </si>
  <si>
    <t>HAZI ALIMULLAH COMPLEX, EAST AGANAGAR, SOUTH KERANIGANJ, DHAKA</t>
  </si>
  <si>
    <t>02 77645723</t>
  </si>
  <si>
    <t>aganagar@padmabankbd.com</t>
  </si>
  <si>
    <t>280261814</t>
  </si>
  <si>
    <t>LOTUS KAMAL TOWER 2, 59-61 GULSHAN SOUTH AVENUE, GULSHAN 1, DHAKA 1212</t>
  </si>
  <si>
    <t>02 9858066-70</t>
  </si>
  <si>
    <t>gulshancorporate@padmabankbd.com</t>
  </si>
  <si>
    <t>02 9858052</t>
  </si>
  <si>
    <t>280272803</t>
  </si>
  <si>
    <t>SARDER TOWER, 157 BIREN BOSE ROAD, IMAMGANJ, CHAWKBAZAR, DHAKA</t>
  </si>
  <si>
    <t>02 7341320</t>
  </si>
  <si>
    <t>imamgonj@padmabankbd.com</t>
  </si>
  <si>
    <t>280273286</t>
  </si>
  <si>
    <t>MAHIN PLAZA, 328 JOYPARA BAZAR, DOHAR, DHAKA</t>
  </si>
  <si>
    <t>02 7768225-26</t>
  </si>
  <si>
    <t>joypara@padmabankbd.com</t>
  </si>
  <si>
    <t>280274243</t>
  </si>
  <si>
    <t>ELITE HOUSE, 54 MOTIJHEEL C/A, DHAKA 1000</t>
  </si>
  <si>
    <t>02 9587770-73</t>
  </si>
  <si>
    <t>motijheel@padmabankbd.com</t>
  </si>
  <si>
    <t>02 9587774</t>
  </si>
  <si>
    <t>280260394</t>
  </si>
  <si>
    <t>039 / 039</t>
  </si>
  <si>
    <t>GRAPH TOWER, PALASHBARI, SAVAR EPZ, DHAKA</t>
  </si>
  <si>
    <t>017 77761336</t>
  </si>
  <si>
    <t>polashbari@padmabankbd.com</t>
  </si>
  <si>
    <t>280276520</t>
  </si>
  <si>
    <t>SALMAN PLAZA SUPER MARKET, SHYAMPUR, DHAKA</t>
  </si>
  <si>
    <t>02 7440581</t>
  </si>
  <si>
    <t>shyampur@padmabankbd.com</t>
  </si>
  <si>
    <t>280390101</t>
  </si>
  <si>
    <t>CHAND PLAZA, UPAZILA ROAD, BAKSHIGANJ, JAMALPUR</t>
  </si>
  <si>
    <t>09822 56145</t>
  </si>
  <si>
    <t>bakshigonj@padmabankbd.com</t>
  </si>
  <si>
    <t>09822 56146</t>
  </si>
  <si>
    <t>280390851</t>
  </si>
  <si>
    <t>HOTEL SETULI, 8568 STATION ROAD, JAMALPUR</t>
  </si>
  <si>
    <t>0981 62277, 64880</t>
  </si>
  <si>
    <t>jamalpur@padmabankbd.com</t>
  </si>
  <si>
    <t>280611156</t>
  </si>
  <si>
    <t>A RAHMAN PLAZA, OLD BUS STAND, HALUAGHAT, MYMENSINGH</t>
  </si>
  <si>
    <t>09026 56326</t>
  </si>
  <si>
    <t>haluaghat@padmabankbd.com</t>
  </si>
  <si>
    <t>09026 56368</t>
  </si>
  <si>
    <t>280612263</t>
  </si>
  <si>
    <t>KHAN COMPLEX, TARAKANDA, MYMENSINGH</t>
  </si>
  <si>
    <t>09325 56018-19</t>
  </si>
  <si>
    <t>tarakanda@padmabankbd.com</t>
  </si>
  <si>
    <t>280670221</t>
  </si>
  <si>
    <t>RABET AL-HASAM TEXTILE PVT LTD, BHULTA BUS STAND, RUPGANJ, NARAYANGANJ</t>
  </si>
  <si>
    <t>019 87700146, 019 87700132</t>
  </si>
  <si>
    <t>bhulta@padmabankbd.com</t>
  </si>
  <si>
    <t>280680082</t>
  </si>
  <si>
    <t>GM BHUIYAN TOWER, NANDIPARA, CHINISHPUR, NARSINGDI</t>
  </si>
  <si>
    <t>02 9452514</t>
  </si>
  <si>
    <t>chinishpur@padmabankbd.com</t>
  </si>
  <si>
    <t>02 9452515</t>
  </si>
  <si>
    <t>280780432</t>
  </si>
  <si>
    <t>SIKDER MARKET, DUMKI, PATUAKHALI</t>
  </si>
  <si>
    <t>04427 56150, 56160</t>
  </si>
  <si>
    <t>dumki@padmabankbd.com</t>
  </si>
  <si>
    <t>280781099</t>
  </si>
  <si>
    <t>SM TOWER, 63 OLD STEAMER GHAT ROAD, PATUAKHALI</t>
  </si>
  <si>
    <t>0441 65294</t>
  </si>
  <si>
    <t>patuakhali@padmabankbd.com</t>
  </si>
  <si>
    <t>0441 65295</t>
  </si>
  <si>
    <t>280890348</t>
  </si>
  <si>
    <t>HABIB PLAZA, SHAHID MINAR MORE, TARAGANJ UTTAR BAZAR, NALITABARI, SHERPUR</t>
  </si>
  <si>
    <t>09324 73133</t>
  </si>
  <si>
    <t>nalitabari@padmabankbd.com</t>
  </si>
  <si>
    <t>280890551</t>
  </si>
  <si>
    <t>HAZI CHAND MARKET, 67 TINANI BAZAR, COLLEGE ROAD, SHERPUR</t>
  </si>
  <si>
    <t>0931 61056</t>
  </si>
  <si>
    <t>sherpur@padmabankbd.com</t>
  </si>
  <si>
    <t>280890643</t>
  </si>
  <si>
    <t>SREEBARDI BRANCH</t>
  </si>
  <si>
    <t>SREEBARDI_BRANCH</t>
  </si>
  <si>
    <t>SREEBARDI BAZAR, SREEBARDI, SHERPUR</t>
  </si>
  <si>
    <t>09325 56018</t>
  </si>
  <si>
    <t>sreebardi@padmabankbd.com</t>
  </si>
  <si>
    <t>THE_HONGKONG_AND_SHANGHAI_BANKING_CORPORATION_LIMITED</t>
  </si>
  <si>
    <t>THE HONGKONG AND SHANGHAI BANKING CORPORATION LIMITED</t>
  </si>
  <si>
    <t>115151965</t>
  </si>
  <si>
    <t>HSBCBDDHCHG</t>
  </si>
  <si>
    <t>OSMAN COURT, 70 AGRABAD C/A, CHITTAGONG 4100</t>
  </si>
  <si>
    <t>031 710008, 711154, 724406</t>
  </si>
  <si>
    <t>115152951</t>
  </si>
  <si>
    <t>GEC BRANCH</t>
  </si>
  <si>
    <t>GEC_BRANCH</t>
  </si>
  <si>
    <t>HSBCBDDH</t>
  </si>
  <si>
    <t>HOSNA KALAM COMPLEX, PLOT 3439, CDA AVENUE, EAST NASIRABAD, CHITTAGONG 4000</t>
  </si>
  <si>
    <t>031 2551501-4</t>
  </si>
  <si>
    <t>115260430</t>
  </si>
  <si>
    <t>HOUSE 155, ROAD 13/B, BLOCK E, BANANI MODEL TOWN, DHAKA 1213</t>
  </si>
  <si>
    <t>02 8856794, 8852235, 9858268</t>
  </si>
  <si>
    <t>115260522</t>
  </si>
  <si>
    <t>IK TOWER, PLOT CEN A(2), NORTH AVENUE, GULSHAN 2, DHAKA 1212</t>
  </si>
  <si>
    <t>02 8821953, 8821259</t>
  </si>
  <si>
    <t>115261121</t>
  </si>
  <si>
    <t>ANCHOR TOWER, 108 BIR UTTAM CR DUTTA ROAD, DHAKA 1205</t>
  </si>
  <si>
    <t>02 9660536-43</t>
  </si>
  <si>
    <t>115261189</t>
  </si>
  <si>
    <t>HOUSE NO 352, ROAD 27(OLD) DHANMONDI, DHAKA 1205</t>
  </si>
  <si>
    <t>02 9143420, 9143427</t>
  </si>
  <si>
    <t>115261721</t>
  </si>
  <si>
    <t>HOUSE NO SWG-2, GULSHAN AVENUE, DHAKA 1212</t>
  </si>
  <si>
    <t>02 9859134</t>
  </si>
  <si>
    <t>115274242</t>
  </si>
  <si>
    <t>CITY CENTRE, 103 MOTIJHEEL C/A, DHAKA 1000</t>
  </si>
  <si>
    <t>02 9554367, 9565281, 9569668</t>
  </si>
  <si>
    <t>115264636</t>
  </si>
  <si>
    <t>ATLANTA CENTRE, PLOT 1, ROAD 1/A, SECTOR 4, UTTARA, DHAKA 1230</t>
  </si>
  <si>
    <t>02 8932935-6, 8959639</t>
  </si>
  <si>
    <t>115671887</t>
  </si>
  <si>
    <t>50 SM MALEH ROAD, TANBAZAR, NARAYANGANJ 1400</t>
  </si>
  <si>
    <t>02 7648300-307, 7648308</t>
  </si>
  <si>
    <t>115913558</t>
  </si>
  <si>
    <t>PLOT 1, CHOWHATTA, ZINDABAZAR MAIN ROAD, SYLHET</t>
  </si>
  <si>
    <t>0821 724511-19</t>
  </si>
  <si>
    <t>THE_PREMIER_BANK_LIMITED</t>
  </si>
  <si>
    <t>THE PREMIER BANK LIMITED</t>
  </si>
  <si>
    <t>235060286</t>
  </si>
  <si>
    <t>0188 / 028</t>
  </si>
  <si>
    <t>PRMRBDDH</t>
  </si>
  <si>
    <t>54 SADAR ROAD, BARISAL</t>
  </si>
  <si>
    <t>0431 63102, 63103, 017 13450651</t>
  </si>
  <si>
    <t>barisal@premierbankltd.com</t>
  </si>
  <si>
    <t>235100504</t>
  </si>
  <si>
    <t>BARAGALA SME BRANCH</t>
  </si>
  <si>
    <t>BARAGALA_SME_BRANCH</t>
  </si>
  <si>
    <t>0506 / 050</t>
  </si>
  <si>
    <t>HOLDING NO 370-406, BARAGALA, RANGPUR ROAD, BOGRA</t>
  </si>
  <si>
    <t>051 66955, 019 85552812</t>
  </si>
  <si>
    <t>borogolasme@premierbankltd.com</t>
  </si>
  <si>
    <t>235100375</t>
  </si>
  <si>
    <t>0133 / 037</t>
  </si>
  <si>
    <t>HOLDING NO 83/86, WARD 7, SHERPUR ROAD, BOGRA</t>
  </si>
  <si>
    <t>051 78748-49, 017 16948434</t>
  </si>
  <si>
    <t>bogra@premierbankltd.com</t>
  </si>
  <si>
    <t>235120100</t>
  </si>
  <si>
    <t>0105 / 010</t>
  </si>
  <si>
    <t>0852 874448, 017 11826048</t>
  </si>
  <si>
    <t>ashugonj@premierbankltd.com</t>
  </si>
  <si>
    <t>235120447</t>
  </si>
  <si>
    <t>0507 / 044</t>
  </si>
  <si>
    <t>37/34 SARAK BAZAR ROAD, BRAHMANBARIA</t>
  </si>
  <si>
    <t>0851 61510, 017 31986023</t>
  </si>
  <si>
    <t>brahmanbariasme@premierbankltd.com</t>
  </si>
  <si>
    <t>235150138</t>
  </si>
  <si>
    <t>0103 / 013</t>
  </si>
  <si>
    <t>PRMRBDDHAGR</t>
  </si>
  <si>
    <t>AL-ISLAM CHAMBER, 91 AGRABAD C/A, CHITTAGONG</t>
  </si>
  <si>
    <t>031 717204, 728256, 2512363</t>
  </si>
  <si>
    <t>agrabad@premierbankltd.com</t>
  </si>
  <si>
    <t>235152002</t>
  </si>
  <si>
    <t>0167 / 200</t>
  </si>
  <si>
    <t>SHAIKAT MARKET, CHITTAGONG EPZ GATE, CHITTAGONG</t>
  </si>
  <si>
    <t>031 742067, 742061, 017 55642278</t>
  </si>
  <si>
    <t>chittagongepz@premierbankltd.com</t>
  </si>
  <si>
    <t>235153643</t>
  </si>
  <si>
    <t>0147 / 364</t>
  </si>
  <si>
    <t>JK TOWER, HOLDING NO 14, KC DEY ROAD, WARD 22, KOTWALI, CHITTAGONG</t>
  </si>
  <si>
    <t>031 628241, 628242, 017 30000378</t>
  </si>
  <si>
    <t>jubileeroad@premierbankltd.com</t>
  </si>
  <si>
    <t>235153735</t>
  </si>
  <si>
    <t>0153 / 373</t>
  </si>
  <si>
    <t>RAFIQUE PLAZA, 1151 DT ROAD, KADAMTALI, CHITTAGONG</t>
  </si>
  <si>
    <t>031 2524409-13, 018 33324266</t>
  </si>
  <si>
    <t>kodomtoli@premierbankltd.com</t>
  </si>
  <si>
    <t>235154271</t>
  </si>
  <si>
    <t>0111 / 427</t>
  </si>
  <si>
    <t>PRMRBDDHKTG</t>
  </si>
  <si>
    <t>NABI SUPER MARKET, 232 KHATUNGANJ, CHITTAGONG</t>
  </si>
  <si>
    <t>031 639521, 639523, 017 11723119</t>
  </si>
  <si>
    <t>khatungonj@premierbankltd.com</t>
  </si>
  <si>
    <t>235155591</t>
  </si>
  <si>
    <t>0163 / 559</t>
  </si>
  <si>
    <t>SAJIB PLAZA, NAZIRHAT BAZAR, FATIKCHHARI, CHITTAGONG</t>
  </si>
  <si>
    <t>018 19956638, 019 11507053</t>
  </si>
  <si>
    <t>nazirhat@premierbankltd.com</t>
  </si>
  <si>
    <t>235155809</t>
  </si>
  <si>
    <t>0123 / 580</t>
  </si>
  <si>
    <t>PRMRBDDHORN</t>
  </si>
  <si>
    <t>HOTEL HARBOUR VIEW, 721 CDA AVENUE, OR NIZAM ROAD, CHITTAGONG</t>
  </si>
  <si>
    <t>031 2852434, 2852436-38, 017 13124422</t>
  </si>
  <si>
    <t>ornizamroad@premierbankltd.com</t>
  </si>
  <si>
    <t>235155920</t>
  </si>
  <si>
    <t>0132 / 592</t>
  </si>
  <si>
    <t>ALANKAR SHOPPING COMPLEX, PLOT NO P-7, FOUZDARHAT I/A, ALANKAR MORE, PAHARTALI, CHITTAGONG</t>
  </si>
  <si>
    <t>031 2772514-15, 2772517, 017 55642277</t>
  </si>
  <si>
    <t>pahartoli@premierbankltd.com</t>
  </si>
  <si>
    <t>235191155</t>
  </si>
  <si>
    <t>0137 / 115</t>
  </si>
  <si>
    <t>SALAM BUILDERS, MOGULTOLLY, KOTWALI, COMILLA</t>
  </si>
  <si>
    <t>081 61972</t>
  </si>
  <si>
    <t>comilla@premierbankltd.com</t>
  </si>
  <si>
    <t>235260202</t>
  </si>
  <si>
    <t>0148 / 020</t>
  </si>
  <si>
    <t>BHUIYAN SHOPPING COMPLEX, 301/631 ASHKONA, DHOKKHINKHAN, DHAKA</t>
  </si>
  <si>
    <t>02 8953073, 019 29913306</t>
  </si>
  <si>
    <t>ashkona@premierbankltd.com</t>
  </si>
  <si>
    <t>02 8953014</t>
  </si>
  <si>
    <t>235260228</t>
  </si>
  <si>
    <t>0164 / 022</t>
  </si>
  <si>
    <t>HIRON TOWER, UNIQUE BUS STAND, JAMGARA, ASHULIA, SAVAR, DHAKA</t>
  </si>
  <si>
    <t>016 25420688</t>
  </si>
  <si>
    <t>ashulia@premierbankltd.com</t>
  </si>
  <si>
    <t>235270342</t>
  </si>
  <si>
    <t>0175 / 034</t>
  </si>
  <si>
    <t>JANE ALAM MARKET, ATI BAZAR, SHATTA, KERANIGANJ, DHAKA</t>
  </si>
  <si>
    <t>02 55103311, 017 55599965, 019 85552811</t>
  </si>
  <si>
    <t>atibazar@premierbankltd.com</t>
  </si>
  <si>
    <t>235260431</t>
  </si>
  <si>
    <t>0104 / 043</t>
  </si>
  <si>
    <t>PRMRBDDHBNN</t>
  </si>
  <si>
    <t>IQBAL CENTRE, 42 KEMAL ATATURK AVENUE, BANANI, DHAKA 1213</t>
  </si>
  <si>
    <t>02 9820844-8</t>
  </si>
  <si>
    <t>banani@premierbankltd.com</t>
  </si>
  <si>
    <t>235260444</t>
  </si>
  <si>
    <t>BANANI SME BRANCH</t>
  </si>
  <si>
    <t>BANANI_SME_BRANCH</t>
  </si>
  <si>
    <t>0505 / 044</t>
  </si>
  <si>
    <t>PLOT NO 76/A, ROAD 11, BANANI, DHAKA</t>
  </si>
  <si>
    <t>02 8815593</t>
  </si>
  <si>
    <t>bananisme@premierbankltd.com</t>
  </si>
  <si>
    <t>235270834</t>
  </si>
  <si>
    <t>BANGLABAZAR SME BRANCH</t>
  </si>
  <si>
    <t>BANGLABAZAR_SME_BRANCH</t>
  </si>
  <si>
    <t>0502 / 083</t>
  </si>
  <si>
    <t>42 BANGLABAZAR, WARD 73, SUTRAPUR, SADARGHAT, DHAKA</t>
  </si>
  <si>
    <t>02 9515732, 017 41665545</t>
  </si>
  <si>
    <t>banglabazarsme@premierbankltd.com</t>
  </si>
  <si>
    <t>235270889</t>
  </si>
  <si>
    <t>0119 / 088</t>
  </si>
  <si>
    <t>PRMRBDDHBNG</t>
  </si>
  <si>
    <t>70 SHAHID SYED NAZRUL ISLAM SARANI, DHAKA</t>
  </si>
  <si>
    <t>02 7161986, 9565684</t>
  </si>
  <si>
    <t>bangshal@premierbankltd.com</t>
  </si>
  <si>
    <t>235260523</t>
  </si>
  <si>
    <t>0169 / 052</t>
  </si>
  <si>
    <t>HOUSE NO 6, ROAD 2/B, BLOCK J, BARIDHARA, DHAKA</t>
  </si>
  <si>
    <t>02 9841623, 9841625, 017 55558834</t>
  </si>
  <si>
    <t>baridhara@premierbankltd.com</t>
  </si>
  <si>
    <t>235260552</t>
  </si>
  <si>
    <t>0155 / 055</t>
  </si>
  <si>
    <t>PLOT NO 189, BLOCK B, MAIN ROAD, BASUNDHARA RESIDENT AREA, DHAKA</t>
  </si>
  <si>
    <t>02 8402534-35, 017 63225559, 017 12199771</t>
  </si>
  <si>
    <t>basundhara@premierbankltd.com</t>
  </si>
  <si>
    <t>235271938</t>
  </si>
  <si>
    <t>0152 / 193</t>
  </si>
  <si>
    <t>MOON MANSION, 12 DILKUSHA C/A, DHAKA 1000</t>
  </si>
  <si>
    <t>02 7119018, 7122415, 7110341</t>
  </si>
  <si>
    <t>dilkushacorporate@premierbankltd.com</t>
  </si>
  <si>
    <t>235263520</t>
  </si>
  <si>
    <t>0160 / 352</t>
  </si>
  <si>
    <t>RAHIM SQUARE, 44/1 NEW MARKET CITY COMPLEX, NEW MARKET, DHAKA</t>
  </si>
  <si>
    <t>02 9634923, 017 55608393</t>
  </si>
  <si>
    <t>dhakanewmarket@premierbankltd.com</t>
  </si>
  <si>
    <t>235261180</t>
  </si>
  <si>
    <t>0110 / 118</t>
  </si>
  <si>
    <t>PRMRBDDHDHN</t>
  </si>
  <si>
    <t>HOUSE NO 84, ROAD 7/A, DHANMONDI, DHAKA 1209</t>
  </si>
  <si>
    <t>02 8124746, 9143081, 9145186</t>
  </si>
  <si>
    <t>dhanmondi@premierbankltd.com</t>
  </si>
  <si>
    <t>235271909</t>
  </si>
  <si>
    <t>0101 / 190</t>
  </si>
  <si>
    <t>PRMRBDDHDIL</t>
  </si>
  <si>
    <t>44 DILKUSHA C/A, DHAKA 1000</t>
  </si>
  <si>
    <t>02 9552328, 9552303, 9552801</t>
  </si>
  <si>
    <t>dilkusha@premierbankltd.com</t>
  </si>
  <si>
    <t>235271446</t>
  </si>
  <si>
    <t>DONIA SME BRANCH</t>
  </si>
  <si>
    <t>DONIA_SME_BRANCH</t>
  </si>
  <si>
    <t>0508 / 144</t>
  </si>
  <si>
    <t>AKAND VILLA, 1050 NAYAPARA, DONIA, DHAKA</t>
  </si>
  <si>
    <t>02 7544093, 7544116, 017 12878822</t>
  </si>
  <si>
    <t>doniasme@premierbankltd.com</t>
  </si>
  <si>
    <t>235261335</t>
  </si>
  <si>
    <t>0114 / 133</t>
  </si>
  <si>
    <t>PRMRBDDHELE</t>
  </si>
  <si>
    <t>248 NEW ELEPHANT ROAD, DHAKA 1205</t>
  </si>
  <si>
    <t>02 58611883, 58616803, 017 30002661</t>
  </si>
  <si>
    <t>elephantroad@premierbankltd.com</t>
  </si>
  <si>
    <t>235260110</t>
  </si>
  <si>
    <t>0166 / 011</t>
  </si>
  <si>
    <t>PLOT NO 32, GARIB-E-NEWAZ AVENUE, SECTOR 11, UTTARA, DHAKA</t>
  </si>
  <si>
    <t>02 8991402, 8991558</t>
  </si>
  <si>
    <t>garibenewaz@premierbankltd.com</t>
  </si>
  <si>
    <t>235261722</t>
  </si>
  <si>
    <t>0102 / 172</t>
  </si>
  <si>
    <t>PRMRBDDHGUL</t>
  </si>
  <si>
    <t>78 GULSHAN AVENUE, DHAKA 1212</t>
  </si>
  <si>
    <t>02 8815268, 9882781, 9890391</t>
  </si>
  <si>
    <t>gulshan@premierbankltd.com</t>
  </si>
  <si>
    <t>235261777</t>
  </si>
  <si>
    <t>0149 / 177</t>
  </si>
  <si>
    <t>PRMRBDDHGCD</t>
  </si>
  <si>
    <t>DOREEN TOWER, 6-A NORTH AVENUE, GULSHAN 2, DHAKA 1212</t>
  </si>
  <si>
    <t>02 8831732, 8831701</t>
  </si>
  <si>
    <t>gulcircle2@premierbankltd.com</t>
  </si>
  <si>
    <t>02 8831746</t>
  </si>
  <si>
    <t>235260307</t>
  </si>
  <si>
    <t>GULSHAN LINK ROAD BRANCH</t>
  </si>
  <si>
    <t>GULSHAN_LINK_ROAD_BRANCH</t>
  </si>
  <si>
    <t>0168 / 030</t>
  </si>
  <si>
    <t>IRVING RISHTA, HOUSE NO GA-82 &amp;amp; 90/1, GULSHAN LINK ROAD, DHAKA</t>
  </si>
  <si>
    <t>02 9841795, 9841796</t>
  </si>
  <si>
    <t>gullinkroad@premierbankltd.com</t>
  </si>
  <si>
    <t>235272803</t>
  </si>
  <si>
    <t>0106 / 280</t>
  </si>
  <si>
    <t>PRMRBDDHIMG</t>
  </si>
  <si>
    <t>75 MITFORD ROAD, IMAMGANJ, DHAKA</t>
  </si>
  <si>
    <t>02 57317752, 7341969</t>
  </si>
  <si>
    <t>imamgonj@premierbankltd.com</t>
  </si>
  <si>
    <t>02 57313139</t>
  </si>
  <si>
    <t>235330732</t>
  </si>
  <si>
    <t>0121 / 073</t>
  </si>
  <si>
    <t>DILAN COMPLEX, DHAKA ROAD, CHANDANA CHOWRASTA, JOYDEBOPUR, GAZIPUR 1702</t>
  </si>
  <si>
    <t>02 9261836, 9261837, 017 13039774</t>
  </si>
  <si>
    <t>joydebpur@premierbankltd.com</t>
  </si>
  <si>
    <t>235273378</t>
  </si>
  <si>
    <t>0124 / 337</t>
  </si>
  <si>
    <t>46/A VIP ROAD, KAKRAIL, DHAKA 1000</t>
  </si>
  <si>
    <t>02 9344286, 9353963, 9344628</t>
  </si>
  <si>
    <t>kakrail@premierbankltd.com</t>
  </si>
  <si>
    <t>235262534</t>
  </si>
  <si>
    <t>0107 / 253</t>
  </si>
  <si>
    <t>PRMRBDDHKBR</t>
  </si>
  <si>
    <t>BTMC BHABAN, 7-9 KARWAN BAZAR, DHAKA 1215</t>
  </si>
  <si>
    <t>02 9121485, 9139657, 9133645</t>
  </si>
  <si>
    <t>kawranbazar@premierbankltd.com</t>
  </si>
  <si>
    <t>235262547</t>
  </si>
  <si>
    <t>KARWAN BAZAR SME BRANCH</t>
  </si>
  <si>
    <t>KARWAN_BAZAR_SME_BRANCH</t>
  </si>
  <si>
    <t>0501 / 254</t>
  </si>
  <si>
    <t>PRAGATI RPR CENTRE, 20-21 KARWAN BAZAR, DHAKA 1215</t>
  </si>
  <si>
    <t>02 7764010, 015 34684941</t>
  </si>
  <si>
    <t>kawranbazarsme@premierbankltd.com</t>
  </si>
  <si>
    <t>235273657</t>
  </si>
  <si>
    <t>0510 / 365</t>
  </si>
  <si>
    <t>SONY TOWER, AGANAGAR, KERANIGANJ, DHAKA</t>
  </si>
  <si>
    <t>02 7764010, 019 29913310</t>
  </si>
  <si>
    <t>keraniganjsme@premierbankltd.com</t>
  </si>
  <si>
    <t>235274001</t>
  </si>
  <si>
    <t>0159 / 400</t>
  </si>
  <si>
    <t>PURBANI PLAZA, HOUSE NO 6, BLOCK A, PARA DOGAIR, KONAPARA, MATUAIL, DEMRA, DHAKA</t>
  </si>
  <si>
    <t>02 7559756, 7559752, 017 55608395</t>
  </si>
  <si>
    <t>matuail@premierbankltd.com</t>
  </si>
  <si>
    <t>235263070</t>
  </si>
  <si>
    <t>0179 / 307</t>
  </si>
  <si>
    <t>MAA PLAZA, PLOT NO C/2, ROAD 1, SECTION 1, MIRPUR, DHAKA</t>
  </si>
  <si>
    <t>019 85552822</t>
  </si>
  <si>
    <t>mirpursection1@premierbankltd.com</t>
  </si>
  <si>
    <t>235263254</t>
  </si>
  <si>
    <t>0116 / IBB</t>
  </si>
  <si>
    <t>PRMRBDDHMHK</t>
  </si>
  <si>
    <t>99 MOHAKHALI C/A, DHAKA</t>
  </si>
  <si>
    <t>02 8853503, 8859223, 017 13007659</t>
  </si>
  <si>
    <t>mohakhali@premierbankltd.com</t>
  </si>
  <si>
    <t>235263296</t>
  </si>
  <si>
    <t>MOHAMMADPUR SME BRANCH</t>
  </si>
  <si>
    <t>MOHAMMADPUR_SME_BRANCH</t>
  </si>
  <si>
    <t>0504 / 329</t>
  </si>
  <si>
    <t>PLOT NO 1/4, BLOCK E, SATMASJID ROAD, MOHAMMADPUR BUS STAND, MOHAMMADPUR, DHAKA</t>
  </si>
  <si>
    <t>02 9101929, 017 16652604</t>
  </si>
  <si>
    <t>mohammadpursme@premierbankltd.com</t>
  </si>
  <si>
    <t>235274243</t>
  </si>
  <si>
    <t>0108 / 424</t>
  </si>
  <si>
    <t>PRMRBDDHMTJ</t>
  </si>
  <si>
    <t>81 MOTIJHEEL C/A, DHAKA 1000</t>
  </si>
  <si>
    <t>02 9571113-4, 9557656, 9555340</t>
  </si>
  <si>
    <t>motijheel@premierbankltd.com</t>
  </si>
  <si>
    <t>235273952</t>
  </si>
  <si>
    <t>MOUCHAK SME BRANCH</t>
  </si>
  <si>
    <t>MOUCHAK_SME_BRANCH</t>
  </si>
  <si>
    <t>0503 / 395</t>
  </si>
  <si>
    <t>COSMOS CENTER, 69/1 NEW CIRCULAR ROAD, MALIBAGH, DHAKA 1217</t>
  </si>
  <si>
    <t>02 8332820, 017 41665545, 017 14682072</t>
  </si>
  <si>
    <t>mouchaksme@premierbankltd.com</t>
  </si>
  <si>
    <t>235274722</t>
  </si>
  <si>
    <t>0139 / 472</t>
  </si>
  <si>
    <t>243-244 NAWABPUR ROAD, WARD 7, KOTWALI, DHAKA 1100</t>
  </si>
  <si>
    <t>02 9556647, 017 87672651</t>
  </si>
  <si>
    <t>nawabpurroad@premierbankltd.com</t>
  </si>
  <si>
    <t>02 9590692</t>
  </si>
  <si>
    <t>235263612</t>
  </si>
  <si>
    <t>0144 / 361</t>
  </si>
  <si>
    <t>ENVOY TOWER, 18/E PANTHAPATH, DHAKA</t>
  </si>
  <si>
    <t>02 9103497-98, 017 30000371</t>
  </si>
  <si>
    <t>panthapath@premierbankltd.com</t>
  </si>
  <si>
    <t>235275747</t>
  </si>
  <si>
    <t>0136 / 574</t>
  </si>
  <si>
    <t>AGRANI MIDTOWN COMPLEX, 389/B WEST RAMPURA, DHAKA</t>
  </si>
  <si>
    <t>02 9352313, 9343999, 019 85552839</t>
  </si>
  <si>
    <t>rampura@premierbankltd.com</t>
  </si>
  <si>
    <t>235264008</t>
  </si>
  <si>
    <t>0129 / 400</t>
  </si>
  <si>
    <t>ORIENTAL ARABIAN TOWER, 849/3 SHEWRAPARA, BEGUM ROKEYA SARANI, KAFRUL, DHAKA</t>
  </si>
  <si>
    <t>02 9022614, 9022615</t>
  </si>
  <si>
    <t>rokeyasaroni@premierbankltd.com</t>
  </si>
  <si>
    <t>235264024</t>
  </si>
  <si>
    <t>0165 / 402</t>
  </si>
  <si>
    <t>HOUSE NO 24, SATARKUL ROAD, WARD 9, BADDA, DHAKA</t>
  </si>
  <si>
    <t>02 9857761, 9857748, 017 30781856</t>
  </si>
  <si>
    <t>satarkol@premierbankltd.com</t>
  </si>
  <si>
    <t>235260152</t>
  </si>
  <si>
    <t>0162 / 015</t>
  </si>
  <si>
    <t>BIKALPA TOWER, HOUSE NO 74, ROAD 5/A, SATMASJID ROAD, DHANMONDI, DHAKA</t>
  </si>
  <si>
    <t>02 9674915, 9677397</t>
  </si>
  <si>
    <t>dhansatmasjidrd@premierbankltd.com</t>
  </si>
  <si>
    <t>235264095</t>
  </si>
  <si>
    <t>0130 / 409</t>
  </si>
  <si>
    <t>SAVAR NEW MARKET, 3 SAVAR BAZAR BUS STAND, SAVAR, DHAKA</t>
  </si>
  <si>
    <t>02 7743753-54, 016 10568480</t>
  </si>
  <si>
    <t>savar@premierbankltd.com</t>
  </si>
  <si>
    <t>235264303</t>
  </si>
  <si>
    <t>0150 / 430</t>
  </si>
  <si>
    <t>SHYAMOLI CINEMA COMPLEX, 23/8-B &amp;amp; 8-C SHYAMOLI, MIRPUR ROAD, DHAKA</t>
  </si>
  <si>
    <t>02 9133394-95</t>
  </si>
  <si>
    <t>shymoli@premierbankltd.com</t>
  </si>
  <si>
    <t>02 9133395</t>
  </si>
  <si>
    <t>235264637</t>
  </si>
  <si>
    <t>0122 / 463</t>
  </si>
  <si>
    <t>PRMRBDDHUTT</t>
  </si>
  <si>
    <t>HOUSE NO 39, ROAD 7, SECTOR 4, JASHIM UDDIN AVENUE, UTTARA, DHAKA</t>
  </si>
  <si>
    <t>02 8956430, 8933038</t>
  </si>
  <si>
    <t>uttara@premierbankltd.com</t>
  </si>
  <si>
    <t>235277095</t>
  </si>
  <si>
    <t>0127 / 709</t>
  </si>
  <si>
    <t>HAJI NANNU BEPARI MANSION, 2ND BURIGANGA BRIDGE ROAD, ZINZIRA, KERANIGANJ, DHAKA</t>
  </si>
  <si>
    <t>02 7761707-08, 017 30000466</t>
  </si>
  <si>
    <t>zinzira@premierbankltd.com</t>
  </si>
  <si>
    <t>235264129</t>
  </si>
  <si>
    <t>SAVAR BAZAR</t>
  </si>
  <si>
    <t>SAVAR_BAZAR</t>
  </si>
  <si>
    <t>235272708</t>
  </si>
  <si>
    <t>HEAD OFFICE SME</t>
  </si>
  <si>
    <t>HEAD_OFFICE_SME</t>
  </si>
  <si>
    <t>235270005</t>
  </si>
  <si>
    <t>235300520</t>
  </si>
  <si>
    <t>0142 / 052</t>
  </si>
  <si>
    <t>HOSSAIN MANSION, 933 SSK ROAD, FENI 3900</t>
  </si>
  <si>
    <t>0331 73107, 73108, 017 13037293</t>
  </si>
  <si>
    <t>feni@premierbankltd.com</t>
  </si>
  <si>
    <t>235330224</t>
  </si>
  <si>
    <t>0146 / 022</t>
  </si>
  <si>
    <t>KALAMESSOR, NATIONAL UNIVERSITY, JOYDEBPUR, GAZIPUR</t>
  </si>
  <si>
    <t>02 9292260, 9292261, 017 30002789</t>
  </si>
  <si>
    <t>boardbazar@premierbankltd.com</t>
  </si>
  <si>
    <t>235330945</t>
  </si>
  <si>
    <t>0135 / 094</t>
  </si>
  <si>
    <t>PLOT NO A-138, BSCIC I/E, KONABARI, NILNAGAR, TONGI, GAZIPUR</t>
  </si>
  <si>
    <t>02 9297886-87, 017 30002633</t>
  </si>
  <si>
    <t>konabari@premierbankltd.com</t>
  </si>
  <si>
    <t>235331636</t>
  </si>
  <si>
    <t>0126 / 163</t>
  </si>
  <si>
    <t>KAZI MARKET, MYMENSINGH ROAD, TONGI, GAZIPUR</t>
  </si>
  <si>
    <t>02 8956435, 8933038</t>
  </si>
  <si>
    <t>tongi@premierbankltd.com</t>
  </si>
  <si>
    <t>235410944</t>
  </si>
  <si>
    <t>0145 / 094</t>
  </si>
  <si>
    <t>29/A RN ROAD, JESSORE</t>
  </si>
  <si>
    <t>0421 60101, 60102, 019 29913312</t>
  </si>
  <si>
    <t>jessore@premierbankltd.com</t>
  </si>
  <si>
    <t>235471541</t>
  </si>
  <si>
    <t>0113 / 154</t>
  </si>
  <si>
    <t>PRMRBDDHKLN</t>
  </si>
  <si>
    <t>141 SIR IQBAL ROAD, KHULNA</t>
  </si>
  <si>
    <t>041 810253, 810254, 017 11218373</t>
  </si>
  <si>
    <t>khulna@premierbankltd.com</t>
  </si>
  <si>
    <t>235480224</t>
  </si>
  <si>
    <t>0122 / 022</t>
  </si>
  <si>
    <t>HOLDING NO 129 (172 NEW), EAST KALIBARI ROAD, BHAIRAB BAZAR, KISHOREGANJ</t>
  </si>
  <si>
    <t>09424 71122, 71133, 017 13144282</t>
  </si>
  <si>
    <t>bhairabbazar@premierbankltd.com</t>
  </si>
  <si>
    <t>235581181</t>
  </si>
  <si>
    <t>0125 / 118</t>
  </si>
  <si>
    <t>SALEH TOWER, 855/6 SYED MUJTOBA ALI ROAD, MOULVIBAZAR 3200</t>
  </si>
  <si>
    <t>0861 62880, 62881</t>
  </si>
  <si>
    <t>moulvibazar@premierbankltd.com</t>
  </si>
  <si>
    <t>235610315</t>
  </si>
  <si>
    <t>0156 / 031</t>
  </si>
  <si>
    <t>HOLDING NO 69, DHAKA-MYMENSINGH ROAD, NEW BUS STAND, BHALUKA, MYMENSINGH</t>
  </si>
  <si>
    <t>09022 56195, 019 85551853</t>
  </si>
  <si>
    <t>bhaluka@premierbankltd.com</t>
  </si>
  <si>
    <t>235611756</t>
  </si>
  <si>
    <t>0131 / 175</t>
  </si>
  <si>
    <t>HOLDING NO 29, CHOTTO BAZAR, KOTWALI, MYMENSINGH</t>
  </si>
  <si>
    <t>091 62136, 64164, 017 30000487</t>
  </si>
  <si>
    <t>mymensingh@premierbankltd.com</t>
  </si>
  <si>
    <t>235612113</t>
  </si>
  <si>
    <t>SHYAMGANJ BAZAR BRANCH</t>
  </si>
  <si>
    <t>SHYAMGANJ_BAZAR_BRANCH</t>
  </si>
  <si>
    <t>0173 / 211</t>
  </si>
  <si>
    <t>SHYAMGANJ JAME MASJID MARKET, SHYAMGANJ BAZAR, MAILAKANDA, GOURIPUR, MYMENSINGH</t>
  </si>
  <si>
    <t>017 55554465</t>
  </si>
  <si>
    <t>shyamgonjbazar@premierbankltd.com</t>
  </si>
  <si>
    <t>235670221</t>
  </si>
  <si>
    <t>0138 / 022</t>
  </si>
  <si>
    <t>NOOR MANSION, GOLAKANDAIL, BHULTA, RUPGANJ, NARAYANGANJ</t>
  </si>
  <si>
    <t>017 30781854, 019 85552850, 017 30002669</t>
  </si>
  <si>
    <t>bhulta@premierbankltd.com</t>
  </si>
  <si>
    <t>235670092</t>
  </si>
  <si>
    <t>0174 / 009</t>
  </si>
  <si>
    <t>KALIBARI ADARSHA BAZAR, DHUPTARA, ARAIHAZAR, NARAYANGANJ</t>
  </si>
  <si>
    <t>017 55554467, 017 30052080</t>
  </si>
  <si>
    <t>kalibaribazar@premierbankltd.com</t>
  </si>
  <si>
    <t>235670971</t>
  </si>
  <si>
    <t>0157 / 097</t>
  </si>
  <si>
    <t>MADANPUR SHOPPING CENTRE, MADANPUR, BANDAR, NARAYANGANJ</t>
  </si>
  <si>
    <t>018 33147980, 018 33147981</t>
  </si>
  <si>
    <t>madanpur@premierbankltd.com</t>
  </si>
  <si>
    <t>235671004</t>
  </si>
  <si>
    <t>MEGHNAGHAT BRANCH</t>
  </si>
  <si>
    <t>MEGHNAGHAT_BRANCH</t>
  </si>
  <si>
    <t>0109 / 100</t>
  </si>
  <si>
    <t>NEW TOWN COMMERCIAL COMPLEX, MEGHNAGHAT, SONARGAON, NARAYANGANJ</t>
  </si>
  <si>
    <t>0607 8210111, 018 19249836, 019 85551854</t>
  </si>
  <si>
    <t>meghnaghat@premierbankltd.com</t>
  </si>
  <si>
    <t>235671183</t>
  </si>
  <si>
    <t>0120 / 118</t>
  </si>
  <si>
    <t>PRMRBDDHNRG</t>
  </si>
  <si>
    <t>AL-JOYNAL PLAZA, HOLDING NO 56, SM MALEH ROAD, TANBAZAR, NARAYANGANJ</t>
  </si>
  <si>
    <t>02 7648513-14, 017 13031878</t>
  </si>
  <si>
    <t>narayangonj@premierbankltd.com</t>
  </si>
  <si>
    <t>235671309</t>
  </si>
  <si>
    <t>0141 / 130</t>
  </si>
  <si>
    <t>AL-HAJ AFSAR KARIM BHABAN, DN ROAD, PAGLA, FATULLAH, NARAYANGANJ</t>
  </si>
  <si>
    <t>02 7696691-92, 017 3000365</t>
  </si>
  <si>
    <t>pagla@premierbankltd.com</t>
  </si>
  <si>
    <t>235750367</t>
  </si>
  <si>
    <t>CHOWMUHANI SME BRANCH</t>
  </si>
  <si>
    <t>CHOWMUHANI_SME_BRANCH</t>
  </si>
  <si>
    <t>0509 / 036</t>
  </si>
  <si>
    <t>RUPSHA COMPLEX, HOLDING NO 1485, BEGUMGANJ, NOAKHALI</t>
  </si>
  <si>
    <t>0321 56567, 019 29913311</t>
  </si>
  <si>
    <t>chowmuhunisme@premierbankltd.com</t>
  </si>
  <si>
    <t>235811930</t>
  </si>
  <si>
    <t>0128 / 193</t>
  </si>
  <si>
    <t>MM PLAZA, 222 KUMARPARA, OLD NATORE ROAD, SAHEB BAZAR, BOALIA, RAJSHAHI</t>
  </si>
  <si>
    <t>0721 773408-09, 017 30000429</t>
  </si>
  <si>
    <t>rajshahi@premierbankltd.com</t>
  </si>
  <si>
    <t>235851453</t>
  </si>
  <si>
    <t>0140 / 145</t>
  </si>
  <si>
    <t>286 STATION ROAD, GUPTA PARA, RANGPUR</t>
  </si>
  <si>
    <t>0521 53017, 63712, 018 33324269</t>
  </si>
  <si>
    <t>rangpur@premierbankltd.com</t>
  </si>
  <si>
    <t>235910044</t>
  </si>
  <si>
    <t>0143 / 004</t>
  </si>
  <si>
    <t>CENTRAL PLAZA, HOLDING NO 1163, AMBARKHANA, SYLHET</t>
  </si>
  <si>
    <t>0821 715437, 715452, 017 30000414</t>
  </si>
  <si>
    <t>ambarkhana@premierbankltd.com</t>
  </si>
  <si>
    <t>235913762</t>
  </si>
  <si>
    <t>0117 / 376</t>
  </si>
  <si>
    <t>PLOT NO 1835-1836, LALDIGHIRPAR, SYLHET</t>
  </si>
  <si>
    <t>0821 724197-98, 019 29911810</t>
  </si>
  <si>
    <t>sylhet@premierbankltd.com</t>
  </si>
  <si>
    <t>TRUST_BANK_LIMITED</t>
  </si>
  <si>
    <t>240</t>
  </si>
  <si>
    <t>TRUST BANK LIMITED</t>
  </si>
  <si>
    <t>240060284</t>
  </si>
  <si>
    <t>TTBLBDDH051</t>
  </si>
  <si>
    <t>S RAHMAN MARKET, 78 SADAR ROAD, BARISAL</t>
  </si>
  <si>
    <t>0431 64506, 2177324</t>
  </si>
  <si>
    <t>0431 2177323</t>
  </si>
  <si>
    <t>240100436</t>
  </si>
  <si>
    <t>TTBLBDDH004</t>
  </si>
  <si>
    <t>051 69473</t>
  </si>
  <si>
    <t>051 82033</t>
  </si>
  <si>
    <t>240120108</t>
  </si>
  <si>
    <t>TTBLBDDH039</t>
  </si>
  <si>
    <t>CHAR CHAR TALA, ASHUGANJ, BRAHMANBARIA</t>
  </si>
  <si>
    <t>0852 874026</t>
  </si>
  <si>
    <t>0852 874027</t>
  </si>
  <si>
    <t>240150136</t>
  </si>
  <si>
    <t>TTBLBDDH012</t>
  </si>
  <si>
    <t>RAFIQ TOWER, 92 AGRABAD C/A, CHITTAGONG</t>
  </si>
  <si>
    <t>031 2514707, 2524461, 2524462-63, 2514708</t>
  </si>
  <si>
    <t>031 715791</t>
  </si>
  <si>
    <t>240150415</t>
  </si>
  <si>
    <t>041 / 041</t>
  </si>
  <si>
    <t>TTBLBDDH038</t>
  </si>
  <si>
    <t>BEST CHOWDHURY PLAZA, MAIN ROAD, AMIRABAD, LOHAGARA, CHITTAGONG</t>
  </si>
  <si>
    <t>03034 56349</t>
  </si>
  <si>
    <t>03034 56512</t>
  </si>
  <si>
    <t>240151485</t>
  </si>
  <si>
    <t>TTBLBDDH020</t>
  </si>
  <si>
    <t>ELITE HOUSE, HOLDING NO 1827, CDA AVENUE, CHITTAGONG</t>
  </si>
  <si>
    <t>031 2550936, 2553091, 2553093</t>
  </si>
  <si>
    <t>031 2550939</t>
  </si>
  <si>
    <t>240151993</t>
  </si>
  <si>
    <t>TTBLBDDH006</t>
  </si>
  <si>
    <t>BANGLADESH TEA BOARD BHABAN, 171-172 BAIJID BOSTAMI ROAD, NASIRABAD, CHITTAGONG</t>
  </si>
  <si>
    <t>031 2581170, 2581171, 683680</t>
  </si>
  <si>
    <t>031 2581172</t>
  </si>
  <si>
    <t>240152413</t>
  </si>
  <si>
    <t>TTBLBDDH068</t>
  </si>
  <si>
    <t>IQBAL TOWER, 85-86 DEWAN BAZAR, NAWAB SIRAJ-UD-DAWLA ROAD, CHITTAGONG</t>
  </si>
  <si>
    <t>031 2869825, 2869824</t>
  </si>
  <si>
    <t>031 2869826</t>
  </si>
  <si>
    <t>240153162</t>
  </si>
  <si>
    <t>TTBLBDDH024</t>
  </si>
  <si>
    <t>MANIRAT PLAZA, ROAD 4, BLOCK G, PORT CONNECTING ROAD, BARAPOOL, HALISHAHAR, CHITTAGONG</t>
  </si>
  <si>
    <t>031 2512592-3, 017 30358441</t>
  </si>
  <si>
    <t>031 2512591</t>
  </si>
  <si>
    <t>240153641</t>
  </si>
  <si>
    <t>JUBLEE ROAD BRANCH</t>
  </si>
  <si>
    <t>JUBLEE_ROAD_BRANCH</t>
  </si>
  <si>
    <t>TTBLBDDH036</t>
  </si>
  <si>
    <t>64 JUBILEE ROAD, CHITTAGONG</t>
  </si>
  <si>
    <t>031 2857212, 2857662, 2859061-62</t>
  </si>
  <si>
    <t>031 2857213</t>
  </si>
  <si>
    <t>240151951</t>
  </si>
  <si>
    <t>195 / 195</t>
  </si>
  <si>
    <t>TTBLBDDH050</t>
  </si>
  <si>
    <t>ROYAL PLAZA, 431 DT ROAD, KADAMTALI BUS STATION, KADAMTALI, CHITTAGONG</t>
  </si>
  <si>
    <t>031 2529951, 2529954</t>
  </si>
  <si>
    <t>031 2529952</t>
  </si>
  <si>
    <t>240154279</t>
  </si>
  <si>
    <t>TTBLBDDH015</t>
  </si>
  <si>
    <t>PLOT NO 218, 205 MAIN ROAD, KHATUNGANJ, CHITTAGONG</t>
  </si>
  <si>
    <t>031 627860, 2863235, 2863236, 2861718</t>
  </si>
  <si>
    <t>031 2861719</t>
  </si>
  <si>
    <t>240155560</t>
  </si>
  <si>
    <t>NAVAL BASE BRANCH</t>
  </si>
  <si>
    <t>NAVAL_BASE_BRANCH</t>
  </si>
  <si>
    <t>556 / 556</t>
  </si>
  <si>
    <t>TTBLBDDH029</t>
  </si>
  <si>
    <t>BNC, ISHA KHAN, NAVAL BASE ANCHOR BUILDING, PATENGA, CHITTAGONG</t>
  </si>
  <si>
    <t>031 747833, 741834</t>
  </si>
  <si>
    <t>031 741831</t>
  </si>
  <si>
    <t>240191153</t>
  </si>
  <si>
    <t>TTBLBDDH047</t>
  </si>
  <si>
    <t>OMORI MANSION, BADURTALA 1ST LANE, KANDIRPAR, COMILLA</t>
  </si>
  <si>
    <t>081 64249, 64250</t>
  </si>
  <si>
    <t>081 64250</t>
  </si>
  <si>
    <t>240191216</t>
  </si>
  <si>
    <t>TTBLBDDH005</t>
  </si>
  <si>
    <t>MAINAMATI SUPER MARKET, COMILLA CANTONMENT, COMILLA</t>
  </si>
  <si>
    <t>081 65005, 77023, 65004</t>
  </si>
  <si>
    <t>com.m@tblbd.com, com.sm@tblbd.com</t>
  </si>
  <si>
    <t>240190262</t>
  </si>
  <si>
    <t>MALIGAON BRANCH</t>
  </si>
  <si>
    <t>MALIGAON_BRANCH</t>
  </si>
  <si>
    <t>TTBLBDDH083</t>
  </si>
  <si>
    <t>MALIGAON HOSPITAL MEDICINE MARKET, MALIGAON, DAUDKANDI, COMILLA</t>
  </si>
  <si>
    <t>017 87672380</t>
  </si>
  <si>
    <t>240190183</t>
  </si>
  <si>
    <t>TTBLBDDH078</t>
  </si>
  <si>
    <t>BHAI BHAI ITALIAN PLAZA, KARIKANDI BAZAR, TITAS, COMILLA</t>
  </si>
  <si>
    <t>017 30304862</t>
  </si>
  <si>
    <t>240220253</t>
  </si>
  <si>
    <t>240260226</t>
  </si>
  <si>
    <t>TTBLBDDH046</t>
  </si>
  <si>
    <t>CHOWDHURY BHABAN, BAIPAIL, EPZ ROAD, ASHULIA, SAVAR, DHAKA</t>
  </si>
  <si>
    <t>02 7790867</t>
  </si>
  <si>
    <t>240260439</t>
  </si>
  <si>
    <t>TTBLBDDH056</t>
  </si>
  <si>
    <t>DELTA DAHLIA COMPLEX, 36 KEMAL ATATURK AVENUE, BANANI, DHAKA 1213</t>
  </si>
  <si>
    <t>02 9863053, 9863107</t>
  </si>
  <si>
    <t>240261159</t>
  </si>
  <si>
    <t>TTBLBDDH070</t>
  </si>
  <si>
    <t>SIDDIQUE SUPER MARKET, HOLDING NO A-29, DHAMRAI, DHAKA</t>
  </si>
  <si>
    <t>017 55636239, 02 7731027, 7731026</t>
  </si>
  <si>
    <t>02 7731028</t>
  </si>
  <si>
    <t>240261188</t>
  </si>
  <si>
    <t>TTBLBDDH014</t>
  </si>
  <si>
    <t>HOUSE NO 35, ROAD 2, DHANMONDI R/A, DHAKA</t>
  </si>
  <si>
    <t>02 8623401, 9677553</t>
  </si>
  <si>
    <t>02 9677571</t>
  </si>
  <si>
    <t>240271857</t>
  </si>
  <si>
    <t>DHOLAIKHAL SME BRANCH</t>
  </si>
  <si>
    <t>DHOLAIKHAL_SME_BRANCH</t>
  </si>
  <si>
    <t>TTBLBDDH501</t>
  </si>
  <si>
    <t>31/1 LALMOHAN SHAH STREET, DHOLAIKHAL, DHAKA</t>
  </si>
  <si>
    <t>02 9571362, 017 30323274</t>
  </si>
  <si>
    <t>02 9571362</t>
  </si>
  <si>
    <t>240271936</t>
  </si>
  <si>
    <t>DILKUSHA CORPORATE BRANCH</t>
  </si>
  <si>
    <t>DILKUSHA_CORPORATE_BRANCH</t>
  </si>
  <si>
    <t>TTBLBDDH017</t>
  </si>
  <si>
    <t>PEOPLES INSURANCE BHABAN, 36 DILKUSHA C/A, DHAKA 1000</t>
  </si>
  <si>
    <t>02 9576421, 9577186, 9561821</t>
  </si>
  <si>
    <t>02 9560793</t>
  </si>
  <si>
    <t>240261333</t>
  </si>
  <si>
    <t>TTBLBDDH053</t>
  </si>
  <si>
    <t>MR MANSION, 19 ELEPHANT ROAD, DHAKA 1205</t>
  </si>
  <si>
    <t>02 9614126, 9614127</t>
  </si>
  <si>
    <t>02 9611032</t>
  </si>
  <si>
    <t>240261812</t>
  </si>
  <si>
    <t>TTBLBDDH016</t>
  </si>
  <si>
    <t>110 GULSHAN AVENUE, DHAKA</t>
  </si>
  <si>
    <t>02 9848088, 58815594, 9862520</t>
  </si>
  <si>
    <t>02 9881508</t>
  </si>
  <si>
    <t>240273284</t>
  </si>
  <si>
    <t>TTBLBDDH032</t>
  </si>
  <si>
    <t>ASHAN ALI MOSHAN ALI SHOPING COMPLEX, RAYPURA, DOHAR, DHAKA</t>
  </si>
  <si>
    <t>02 7768096, 7768097, 017 30334645, 017 30357732</t>
  </si>
  <si>
    <t>02 7768098</t>
  </si>
  <si>
    <t>240262387</t>
  </si>
  <si>
    <t>TTBLBDDH041</t>
  </si>
  <si>
    <t>MQ PLAZA, 28 NORTH KAFRUL, DHAKA CANTONMENT, DHAKA 1206</t>
  </si>
  <si>
    <t>02 8715459, 8715457</t>
  </si>
  <si>
    <t>02 8715458</t>
  </si>
  <si>
    <t>240273376</t>
  </si>
  <si>
    <t>TTBLBDDH089</t>
  </si>
  <si>
    <t>38 KAKRAIL, INNER CIRCULAR ROAD, BIJOY NAGAR, DHAKA</t>
  </si>
  <si>
    <t>02 9348201, 9361265</t>
  </si>
  <si>
    <t>02 9348202</t>
  </si>
  <si>
    <t>240262532</t>
  </si>
  <si>
    <t>TTBLBDDH030</t>
  </si>
  <si>
    <t>EDB TRADE CENTER, 93 KAZI NAZRUL ISLAM AVENUE, KARWAN BAZAR, DHAKA 1215</t>
  </si>
  <si>
    <t>02 8189602, 8189603, 9120856</t>
  </si>
  <si>
    <t>02 9126544</t>
  </si>
  <si>
    <t>240273642</t>
  </si>
  <si>
    <t>TTBLBDDH065</t>
  </si>
  <si>
    <t>AZHAR PLAZA, FERRY GHAT, BUS ROAD, ZINJIRA, KERANIGANJ, DHAKA</t>
  </si>
  <si>
    <t>02 7764268, 7764267</t>
  </si>
  <si>
    <t>240262611</t>
  </si>
  <si>
    <t>KHAJA GARIB-E-NEWAZ AVENUE BRANCH</t>
  </si>
  <si>
    <t>KHAJA_GARIB-E-NEWAZ_AVENUE_BRANCH</t>
  </si>
  <si>
    <t>261 / 261</t>
  </si>
  <si>
    <t>TTBLBDDH055</t>
  </si>
  <si>
    <t>PLOT NO 36, KHAJA GHARIB-E-NEWAZ AVENUE, SECTOR 11, UTTARA, DHAKA</t>
  </si>
  <si>
    <t>02 7914666, 7914667</t>
  </si>
  <si>
    <t>02 7914668</t>
  </si>
  <si>
    <t>240274009</t>
  </si>
  <si>
    <t>TTBLBDDH082</t>
  </si>
  <si>
    <t>MAINUDDIN BHABAN, SOUTH MATUAIL, KADAMTALI, DHAKA 1213</t>
  </si>
  <si>
    <t>02 7553416</t>
  </si>
  <si>
    <t>02 7553426</t>
  </si>
  <si>
    <t>240262958</t>
  </si>
  <si>
    <t>MILLENIUM CORPORATE BRANCH</t>
  </si>
  <si>
    <t>MILLENIUM_CORPORATE_BRANCH</t>
  </si>
  <si>
    <t>295 / 295</t>
  </si>
  <si>
    <t>TTBLBDDH022</t>
  </si>
  <si>
    <t>SHADHINATA TOWER, BIRSHRESTHA SHAHEED JAHANGIR GATE, 546 DHAKA CANTONMENT ,DHAKA 1206</t>
  </si>
  <si>
    <t>02 8712075-6</t>
  </si>
  <si>
    <t>02 8712075</t>
  </si>
  <si>
    <t>240262987</t>
  </si>
  <si>
    <t>TTBLBDDH028</t>
  </si>
  <si>
    <t>ROAD 3, BLOCK A, SECTION 11, MIRPUR, DHAKA</t>
  </si>
  <si>
    <t>02 9008310, 9008218</t>
  </si>
  <si>
    <t>02 9008359</t>
  </si>
  <si>
    <t>240263199</t>
  </si>
  <si>
    <t>TTBLBDDH074</t>
  </si>
  <si>
    <t>HOLDING NO 100, AK KHANDAKAR ROAD, MOHAKHALI C/A, DHAKA 1212</t>
  </si>
  <si>
    <t>02 9881750, 9881350, 9881360 (Ext 100)</t>
  </si>
  <si>
    <t>02 9881350</t>
  </si>
  <si>
    <t>240275237</t>
  </si>
  <si>
    <t>TTBLBDDH073</t>
  </si>
  <si>
    <t>LUCKY MANSION, 70/A PATUATULY, KOTWALI, DHAKA</t>
  </si>
  <si>
    <t>02 57396167, 57396168</t>
  </si>
  <si>
    <t>02 57396494</t>
  </si>
  <si>
    <t>240263702</t>
  </si>
  <si>
    <t>240275358</t>
  </si>
  <si>
    <t>TTBLBDDH002</t>
  </si>
  <si>
    <t>TRUST BHABAN, 98 SHAHEED SARANI, DHAKA CANTONMENT, DHAKA 1206</t>
  </si>
  <si>
    <t>02 8712751-53</t>
  </si>
  <si>
    <t>02 9832376</t>
  </si>
  <si>
    <t>240263799</t>
  </si>
  <si>
    <t>RADISSON WATER GARDEN HOTEL BRANCH</t>
  </si>
  <si>
    <t>RADISSON_WATER_GARDEN_HOTEL_BRANCH</t>
  </si>
  <si>
    <t>TTBLBDDH018</t>
  </si>
  <si>
    <t>RADISSON WATER GARDEN HOTEL, AIRPORT ROAD, JOAR SAHARA, DHAKA</t>
  </si>
  <si>
    <t>02 9833865</t>
  </si>
  <si>
    <t>240264185</t>
  </si>
  <si>
    <t>TTBLBDDH010</t>
  </si>
  <si>
    <t>SAVAR CANTONMENT, SAVAR, DHAKA</t>
  </si>
  <si>
    <t>02 7791931, 7791263, 019 47355393</t>
  </si>
  <si>
    <t>02 7791263</t>
  </si>
  <si>
    <t>240276199</t>
  </si>
  <si>
    <t>SENA KALYAN BHABAN BRANCH</t>
  </si>
  <si>
    <t>SENA_KALYAN_BHABAN_BRANCH</t>
  </si>
  <si>
    <t>619 / 619</t>
  </si>
  <si>
    <t>TTBLBDDH003</t>
  </si>
  <si>
    <t>02 7126157, 7121263, 9561721</t>
  </si>
  <si>
    <t>02 9590390</t>
  </si>
  <si>
    <t>240264664</t>
  </si>
  <si>
    <t>UTTARA CORPORATE BRANCH</t>
  </si>
  <si>
    <t>UTTARA_CORPORATE_BRANCH</t>
  </si>
  <si>
    <t>TTBLBDDH023</t>
  </si>
  <si>
    <t>HOLDING NO 111/A, ROAD 7, SECTOR 4, UTTARA, DHAKA 1230</t>
  </si>
  <si>
    <t>02 7914732, 7914658, 8921312, 8922650</t>
  </si>
  <si>
    <t>02 8922650</t>
  </si>
  <si>
    <t>240270003</t>
  </si>
  <si>
    <t>240300528</t>
  </si>
  <si>
    <t>TTBLBDDH031</t>
  </si>
  <si>
    <t>0331 63536, 63537, 017 30057300</t>
  </si>
  <si>
    <t>0331 63535</t>
  </si>
  <si>
    <t>240331218</t>
  </si>
  <si>
    <t>TTBLBDDH033</t>
  </si>
  <si>
    <t>VAWAL POINT, VOGRA, BASON, NATIONAL UNIVERSITY, JOYDEBPUR, GAZIPUR</t>
  </si>
  <si>
    <t>02 9262852, 9262853</t>
  </si>
  <si>
    <t>02 9262859</t>
  </si>
  <si>
    <t>240331050</t>
  </si>
  <si>
    <t>MIRERBAZAR SME BRANCH</t>
  </si>
  <si>
    <t>MIRERBAZAR_SME_BRANCH</t>
  </si>
  <si>
    <t>105 / 105</t>
  </si>
  <si>
    <t>TTBLBDDH502</t>
  </si>
  <si>
    <t>ISTIAK COMMERCIAL COMPLEX, 52 MIRERBAZAR CHOWRASTA, PUBAIL, GAZIPUR</t>
  </si>
  <si>
    <t>02 9816765</t>
  </si>
  <si>
    <t>240331339</t>
  </si>
  <si>
    <t>TTBLBDDH052</t>
  </si>
  <si>
    <t>HOLDING NO 551, NAYANPUR, MIRZAPUR, WARD 2, GAZIPUR</t>
  </si>
  <si>
    <t>02 9201791-92</t>
  </si>
  <si>
    <t>02 9201790</t>
  </si>
  <si>
    <t>240331634</t>
  </si>
  <si>
    <t>TTBLBDDH042</t>
  </si>
  <si>
    <t>SENA KALYAN COMMERCIAL COMPLEX, PLOT NO 9, BLOCK 9, TONGI, GAZIPUR</t>
  </si>
  <si>
    <t>02 9816721-3</t>
  </si>
  <si>
    <t>02 9816724</t>
  </si>
  <si>
    <t>240411033</t>
  </si>
  <si>
    <t>TTBLBDDH008</t>
  </si>
  <si>
    <t>JESSORE CANTONMENT, JESSORE</t>
  </si>
  <si>
    <t>0421 61043, 73075 (Ext 3178)</t>
  </si>
  <si>
    <t>0421 61043</t>
  </si>
  <si>
    <t>240471057</t>
  </si>
  <si>
    <t>JAHANABAD CANTONMENT BRANCH</t>
  </si>
  <si>
    <t>JAHANABAD_CANTONMENT_BRANCH</t>
  </si>
  <si>
    <t>TTBLBDDH066</t>
  </si>
  <si>
    <t>CINEMA HALL COMPLEX, JAHANABAD CANTONMENT, GILATALA, FULTALA, KHULNA</t>
  </si>
  <si>
    <t>041 785101, 785100, 017 55552685</t>
  </si>
  <si>
    <t>041 785102</t>
  </si>
  <si>
    <t>240471549</t>
  </si>
  <si>
    <t>TTBLBDDH040</t>
  </si>
  <si>
    <t>041 2831570-2</t>
  </si>
  <si>
    <t>041-2831573</t>
  </si>
  <si>
    <t>240560621</t>
  </si>
  <si>
    <t>MANIKGANJ SME BRANCH</t>
  </si>
  <si>
    <t>MANIKGANJ_SME_BRANCH</t>
  </si>
  <si>
    <t>TTBLBDDH507</t>
  </si>
  <si>
    <t>ANJALI SUPER MARKET, 75 SHAHID RAFIQUE SARAK, KALIBARI, MANIKGANJ</t>
  </si>
  <si>
    <t>02 7711061, 7711058</t>
  </si>
  <si>
    <t>02 7711067</t>
  </si>
  <si>
    <t>240581189</t>
  </si>
  <si>
    <t>TTBLBDDH026</t>
  </si>
  <si>
    <t>HOLDING NO 10, COURT ROAD, CHOWMOHANA, KOTWALI, MOULVIBAZAR</t>
  </si>
  <si>
    <t>0861 62883, 62981, 017 55690427</t>
  </si>
  <si>
    <t>0861 62884</t>
  </si>
  <si>
    <t>240611817</t>
  </si>
  <si>
    <t>TTBLBDDH009</t>
  </si>
  <si>
    <t>MYMENSINGH CANTONMENT, MYMENSINGH</t>
  </si>
  <si>
    <t>091 55601-3, 62371, 017 13039178</t>
  </si>
  <si>
    <t>091 62371</t>
  </si>
  <si>
    <t>240610092</t>
  </si>
  <si>
    <t>SAMBUGANJ BRANCH</t>
  </si>
  <si>
    <t>SAMBUGANJ_BRANCH</t>
  </si>
  <si>
    <t>009 / 009</t>
  </si>
  <si>
    <t>TTBLBDDH088</t>
  </si>
  <si>
    <t>HAZI NURUL ISLAM TOWER, MAIN ROAD, SAMBUGANJ, MYMENSINGH</t>
  </si>
  <si>
    <t>091 65650</t>
  </si>
  <si>
    <t>240670124</t>
  </si>
  <si>
    <t>012 / 012</t>
  </si>
  <si>
    <t>TTBLBDDH086</t>
  </si>
  <si>
    <t>SONARGOAN MEGA SHOPPING COMPLEX, KANCHPUR, SONARGOAN, NARAYANGANJ</t>
  </si>
  <si>
    <t>017 55540561</t>
  </si>
  <si>
    <t>240671181</t>
  </si>
  <si>
    <t>TTBLBDDH035</t>
  </si>
  <si>
    <t>1 BB ROAD, ALAM KHAN ROAD, NARAYANGANJ</t>
  </si>
  <si>
    <t>02 76482832, 7648283</t>
  </si>
  <si>
    <t>02 7648208</t>
  </si>
  <si>
    <t>240680680</t>
  </si>
  <si>
    <t>TTBLBDDH503</t>
  </si>
  <si>
    <t>ROKONUDDIN MOLLA BUILDING NO 3, MADHABDI BAZAR, NARSINGDI</t>
  </si>
  <si>
    <t>02 9446806, 9446053, 017 55620491</t>
  </si>
  <si>
    <t>02 9446807</t>
  </si>
  <si>
    <t>240680851</t>
  </si>
  <si>
    <t>TTBLBDDH034</t>
  </si>
  <si>
    <t>SALAM MANSION, HOLDING NO 13/9, NARSINGDI</t>
  </si>
  <si>
    <t>02 9451684, 9451686, 017 13436152</t>
  </si>
  <si>
    <t>02 9451685</t>
  </si>
  <si>
    <t>240690409</t>
  </si>
  <si>
    <t>TTBLBDDH054</t>
  </si>
  <si>
    <t>MK SHOPPING COMPLEX, DAYARAMPUR BAZAR, KADIRABAD CANTONMENT ROAD, DAYARAMPUR, NATORE</t>
  </si>
  <si>
    <t>07722 72351</t>
  </si>
  <si>
    <t>240691116</t>
  </si>
  <si>
    <t>NATORE SME BRANCH</t>
  </si>
  <si>
    <t>NATORE_SME_BRANCH</t>
  </si>
  <si>
    <t>TTBLBDDH506</t>
  </si>
  <si>
    <t>SHAHARA PLAZA, KANAI KHALI, NATORE</t>
  </si>
  <si>
    <t>0771 66889, 66916, 018 16530774</t>
  </si>
  <si>
    <t>0771 66942</t>
  </si>
  <si>
    <t>240750673</t>
  </si>
  <si>
    <t>TTBLBDDH043</t>
  </si>
  <si>
    <t>HOLDING NO 309-310, CHOWMUHANI, BEGUMGANJ, NOAKHALI</t>
  </si>
  <si>
    <t>0321 54192, 54193</t>
  </si>
  <si>
    <t>0321 54194</t>
  </si>
  <si>
    <t>240811938</t>
  </si>
  <si>
    <t>TTBLBDDH049</t>
  </si>
  <si>
    <t>DAINIK BARTTA COMPLEX, ALUPATTY, GHORAMARA, RAJSHAHI</t>
  </si>
  <si>
    <t>0721 774051, 770958, 770655</t>
  </si>
  <si>
    <t>0721 772820</t>
  </si>
  <si>
    <t>240840525</t>
  </si>
  <si>
    <t>TTBLBDDH048</t>
  </si>
  <si>
    <t>SR TOWER, 107 SHAHID ABDUR RASHID SARAK, BANARUPA, RANGAMATI</t>
  </si>
  <si>
    <t>0351 61885-6, 61934</t>
  </si>
  <si>
    <t>0351 61932</t>
  </si>
  <si>
    <t>240851480</t>
  </si>
  <si>
    <t>TTBLBDDH007</t>
  </si>
  <si>
    <t>SENA SHAMBHAR BUILDING, MEDICAL MORE, DHAP, RANGPUR</t>
  </si>
  <si>
    <t>0521 66653</t>
  </si>
  <si>
    <t>0521 67371</t>
  </si>
  <si>
    <t>240851785</t>
  </si>
  <si>
    <t>TTBLBDDH080</t>
  </si>
  <si>
    <t>ATIQUE MARKET, SHATHIBARI BAZAR, MITHAPUKUR, RANGPUR</t>
  </si>
  <si>
    <t>017 17592300, 017 30304863</t>
  </si>
  <si>
    <t>0522 556314</t>
  </si>
  <si>
    <t>240881184</t>
  </si>
  <si>
    <t>KHAJA YUNNIS ALI MEDICAL COLLEGE BRANCH</t>
  </si>
  <si>
    <t>KHAJA_YUNNIS_ALI_MEDICAL_COLLEGE_BRANCH</t>
  </si>
  <si>
    <t>TTBLBDDH019</t>
  </si>
  <si>
    <t>KHAJA YUNNIS ALI MEDICAL COLLEGE &amp;amp; HOSPITAL, ENAYETPUR, SIRAJGANJ</t>
  </si>
  <si>
    <t>017 13047399, 017 10660415</t>
  </si>
  <si>
    <t>0751 63853</t>
  </si>
  <si>
    <t>240882154</t>
  </si>
  <si>
    <t>TAMAI SME BRANCH</t>
  </si>
  <si>
    <t>TAMAI_SME_BRANCH</t>
  </si>
  <si>
    <t>215 / 215</t>
  </si>
  <si>
    <t>TTBLBDDH504</t>
  </si>
  <si>
    <t>PRATIGYA BAHUMUKHI SAMABAY SAMITY, TAMAI WEST BAZAR, SIRAJGANJ</t>
  </si>
  <si>
    <t>017 30334646, 017 30795591</t>
  </si>
  <si>
    <t>240910318</t>
  </si>
  <si>
    <t>TTBLBDDH025</t>
  </si>
  <si>
    <t>AL-AMIN SUPER MARKET, COLLEGE ROAD, BEANIBAZAR, SYLHET</t>
  </si>
  <si>
    <t>017 13068370</t>
  </si>
  <si>
    <t>08223 56009</t>
  </si>
  <si>
    <t>240911546</t>
  </si>
  <si>
    <t>TTBLBDDH027</t>
  </si>
  <si>
    <t>HAZI NASIRULLAH MARKET, MAIN ROAD, GOALABAZAR, OSMANINAGAR, SYLHET</t>
  </si>
  <si>
    <t>08242 56297, 017 30304858</t>
  </si>
  <si>
    <t>08242 56327</t>
  </si>
  <si>
    <t>240911609</t>
  </si>
  <si>
    <t>TTBLBDDH077</t>
  </si>
  <si>
    <t>RAHMAN SHOPPING COMPLEX, HOLDING NO 76, SYLHET-JAKIGANJ ROAD, GOLAPGONJ, SYLHET</t>
  </si>
  <si>
    <t>08227 56077</t>
  </si>
  <si>
    <t>08227 56078</t>
  </si>
  <si>
    <t>240911841</t>
  </si>
  <si>
    <t>JALALABAD CANTONMENT BRANCH</t>
  </si>
  <si>
    <t>JALALABAD_CANTONMENT_BRANCH</t>
  </si>
  <si>
    <t>TTBLBDDH011</t>
  </si>
  <si>
    <t>JALALABAD CANTONMENT, SYLHET</t>
  </si>
  <si>
    <t>0821 2870115</t>
  </si>
  <si>
    <t>0821 762135</t>
  </si>
  <si>
    <t>240912158</t>
  </si>
  <si>
    <t>KAZIR BAZAR SME</t>
  </si>
  <si>
    <t>KAZIR_BAZAR_SME</t>
  </si>
  <si>
    <t>240912545</t>
  </si>
  <si>
    <t>254 / 254</t>
  </si>
  <si>
    <t>TTBLBDDH505</t>
  </si>
  <si>
    <t>HAQUE MANSION, HOLDING NO 711, SYLHET-SUNAMGANJ ROAD, MADINA MARKET, KOTWALI, SYLHET</t>
  </si>
  <si>
    <t>0821 721811</t>
  </si>
  <si>
    <t>240913252</t>
  </si>
  <si>
    <t>TTBLBDDH037</t>
  </si>
  <si>
    <t>BADAR TOWER, HOLDING NO 14, BLOCK E, MAIN ROAD, SHAHJALAL UPASHAHAR, SYLHET</t>
  </si>
  <si>
    <t>0821 727691</t>
  </si>
  <si>
    <t>0821 727692</t>
  </si>
  <si>
    <t>240913649</t>
  </si>
  <si>
    <t>TTBLBDDH021</t>
  </si>
  <si>
    <t>BMA BHABAN, CHOWATTA, KOTWALI, SYLHET</t>
  </si>
  <si>
    <t>0821 719063</t>
  </si>
  <si>
    <t>0821 719139</t>
  </si>
  <si>
    <t>240930156</t>
  </si>
  <si>
    <t>BBSS CANTONMENT BRANCH</t>
  </si>
  <si>
    <t>BBSS_CANTONMENT_BRANCH</t>
  </si>
  <si>
    <t>TTBLBDDH091</t>
  </si>
  <si>
    <t>98 COMP BDE, NIKRAIL, BHUAPUR, TANGAIL</t>
  </si>
  <si>
    <t>09234 76002, 017 08122920</t>
  </si>
  <si>
    <t>240930943</t>
  </si>
  <si>
    <t>SHAHEED SALAUDDIN CANTONMENT BRANCH</t>
  </si>
  <si>
    <t>SHAHEED_SALAUDDIN_CANTONMENT_BRANCH</t>
  </si>
  <si>
    <t>TTBLBDDH013</t>
  </si>
  <si>
    <t>SHAHEED SALAUDDIN CANTONMENT, GHATAIL, TANGAIL</t>
  </si>
  <si>
    <t>09225 5600-13 (Ext 3178), 017 30057301</t>
  </si>
  <si>
    <t>09225 56141</t>
  </si>
  <si>
    <t>UNION_BANK_LIMITED</t>
  </si>
  <si>
    <t>UNION BANK LIMITED</t>
  </si>
  <si>
    <t>265100374</t>
  </si>
  <si>
    <t>UBLDBDDH</t>
  </si>
  <si>
    <t>SHYAMOLI PLAZA, HOLDING NO 2100, KABI NAZRUL ISLAM ROAD, BOGRA</t>
  </si>
  <si>
    <t>051 67322, 017 48960660</t>
  </si>
  <si>
    <t>bogra@unionbank.com.bd</t>
  </si>
  <si>
    <t>265150137</t>
  </si>
  <si>
    <t>59 AGRABAD C/A, DOUBLE MOORING, CHITTAGONG</t>
  </si>
  <si>
    <t>031 726932, 726935, 019 85508194</t>
  </si>
  <si>
    <t>agrabad@unionbank.com.bd</t>
  </si>
  <si>
    <t>265154270</t>
  </si>
  <si>
    <t>UBLDBDDHKTB</t>
  </si>
  <si>
    <t>SIDDIQUE TOWER, 177 KHATUNGANJ, KOTWALI, CHITTAGONG</t>
  </si>
  <si>
    <t>031 2857715, 2857717, 2857714, 019 85508080</t>
  </si>
  <si>
    <t>khatungonj@unionbank.com.bd</t>
  </si>
  <si>
    <t>265154638</t>
  </si>
  <si>
    <t>LICHU BAGAN BRANCH</t>
  </si>
  <si>
    <t>LICHU_BAGAN_BRANCH</t>
  </si>
  <si>
    <t>AL-IMARAT SHOPING COMPLEX, LICHU BAGAN, CHANDHRAGHONA, CHITTAGONG</t>
  </si>
  <si>
    <t>019 78421895, 017 36539353</t>
  </si>
  <si>
    <t>lichubagan@unionbank.com.bd</t>
  </si>
  <si>
    <t>265155929</t>
  </si>
  <si>
    <t>MY PLAZZA, PAHARTALI, CHOWMUHANI BAZAR, MUHAMUNI, RAWZAN, CHITTAGONG</t>
  </si>
  <si>
    <t>018 17769892</t>
  </si>
  <si>
    <t>pahartoli@unionbank.com.bd</t>
  </si>
  <si>
    <t>265157006</t>
  </si>
  <si>
    <t>SARKARHAT BRANCH</t>
  </si>
  <si>
    <t>SARKARHAT_BRANCH</t>
  </si>
  <si>
    <t>GONI SHOPPING CENTRE, SARKARHAT, HATHAZARI, CHITTAGONG</t>
  </si>
  <si>
    <t>018 14730959</t>
  </si>
  <si>
    <t>sarkarhat@unionbank.com.bd</t>
  </si>
  <si>
    <t>265157248</t>
  </si>
  <si>
    <t>724 / 724</t>
  </si>
  <si>
    <t>ZUBAYEAR SHOPPING COMPLEX, SHANTIRHAT, PATIYA, CHITTAGONG</t>
  </si>
  <si>
    <t>017 88599699, 015 54311844</t>
  </si>
  <si>
    <t>shantirhat@unionbank.com.bd</t>
  </si>
  <si>
    <t>265260322</t>
  </si>
  <si>
    <t>CITY PORT TOWER, ASHKONA BAZAR, DAKKHINKHAN, UTTARA, DHAKA</t>
  </si>
  <si>
    <t>02 48956107, 48956152, 018 16335166</t>
  </si>
  <si>
    <t>ashkona@unionbank.com.bd</t>
  </si>
  <si>
    <t>265260298</t>
  </si>
  <si>
    <t>BOGABARI BRANCH</t>
  </si>
  <si>
    <t>BOGABARI_BRANCH</t>
  </si>
  <si>
    <t>AYMAN PLAZA, TONGI-ASHULIA ROAD, BOGABARI BAZAR, ASHULIA, SAVAR, DHAKA</t>
  </si>
  <si>
    <t>02 7789448, 7789446, 017 57293713</t>
  </si>
  <si>
    <t>bogabari@unionbank.com.bd</t>
  </si>
  <si>
    <t>265271908</t>
  </si>
  <si>
    <t>UBLDBDDHDIL</t>
  </si>
  <si>
    <t>CHAND MANSION, 66 DILKUSHA C/A, DHAKA 1000</t>
  </si>
  <si>
    <t>02 9587832, 9587836, 9587848, 019 85508059</t>
  </si>
  <si>
    <t>dilkusha@unionbank.com.bd</t>
  </si>
  <si>
    <t>265261721</t>
  </si>
  <si>
    <t>UBLDBDDHGUL</t>
  </si>
  <si>
    <t>BAHELA TOWER, 72 GULSHAN AVENUE, GULSHAN 1, DHAKA 1212</t>
  </si>
  <si>
    <t>02 9859315, 018 17140811</t>
  </si>
  <si>
    <t>gulshan@unionbank.com.bd</t>
  </si>
  <si>
    <t>265272594</t>
  </si>
  <si>
    <t>ITTEFAQ BHABAN, 1 RAMKRISHNA MISSION ROAD, DHAKA</t>
  </si>
  <si>
    <t>02 9591961, 019 11385416</t>
  </si>
  <si>
    <t>hatkhola@unionbank.com.bd</t>
  </si>
  <si>
    <t>02 9591964</t>
  </si>
  <si>
    <t>265263611</t>
  </si>
  <si>
    <t>CITY TOWER, HOLDING NO 44/7, PANTHAPATH MAIN ROAD, KALABAGAN, DHAKA</t>
  </si>
  <si>
    <t>02 9119349, 9119350, 017 13431431</t>
  </si>
  <si>
    <t>panthapath@unionbank.com.bd</t>
  </si>
  <si>
    <t>02 9840180, 9119350</t>
  </si>
  <si>
    <t>265330128</t>
  </si>
  <si>
    <t>MA SUPER MARKET, ATC BHABAN, MOUCHAK, KALIAKAIR, GAZIPUR</t>
  </si>
  <si>
    <t>02 9297561, 9297562, 017 11181932</t>
  </si>
  <si>
    <t>mouchak@unionbank.com.bd</t>
  </si>
  <si>
    <t>265471540</t>
  </si>
  <si>
    <t>MUNNA TOWER, HOLDING NO 7, KDA AVENUE, SHIBBARI MORE, KHULNA</t>
  </si>
  <si>
    <t>041 7248036, 724343, 724803, 017 63869551</t>
  </si>
  <si>
    <t>khulna@unionbank.com.bd</t>
  </si>
  <si>
    <t>265752056</t>
  </si>
  <si>
    <t>HALIM MENSION, SEBARHAT, SENBAGH, NOAKHALI</t>
  </si>
  <si>
    <t>044 78014636, 019 19202535</t>
  </si>
  <si>
    <t>sebarhat@unionbank.com.bd</t>
  </si>
  <si>
    <t>265851786</t>
  </si>
  <si>
    <t>ARJU COMPLEX, DURGAPUR, MITAPUKUR, RANGPUR</t>
  </si>
  <si>
    <t>019 57869738, 017 16375799</t>
  </si>
  <si>
    <t>shathibari@unionbank.com.bd</t>
  </si>
  <si>
    <t>265911789</t>
  </si>
  <si>
    <t>KAIYUM COMPLEX, ISLAMPUR, KUSUMBAGH 6, SHAHPARAN, SYLHET</t>
  </si>
  <si>
    <t>0821 762110, 762119, 017 49766445</t>
  </si>
  <si>
    <t>islampur@unionbank.com.bd</t>
  </si>
  <si>
    <t>265914157</t>
  </si>
  <si>
    <t>RB COMPLEX, EAST ZINDABAZAR, SYLHET</t>
  </si>
  <si>
    <t>0821 729116, 729117, 017 11362269</t>
  </si>
  <si>
    <t>zindabazar@unionbank.com.bd</t>
  </si>
  <si>
    <t>0821 729119</t>
  </si>
  <si>
    <t>UNITED_COMMERCIAL_BANK_LIMITED</t>
  </si>
  <si>
    <t>UNITED COMMERCIAL BANK LIMITED</t>
  </si>
  <si>
    <t>245060289</t>
  </si>
  <si>
    <t>UCBLBDDH</t>
  </si>
  <si>
    <t>87-88 HAMAYET UDDIN ROAD, BARISAL</t>
  </si>
  <si>
    <t>0431 57650, 57688, 64289</t>
  </si>
  <si>
    <t>bsl@ucb.com.bd</t>
  </si>
  <si>
    <t>245100378</t>
  </si>
  <si>
    <t>UCBLBDDHBGR</t>
  </si>
  <si>
    <t>PASHARI MANSION, 221 JHAWTALA, BOGRA 5800</t>
  </si>
  <si>
    <t>051 65467, 63630, 69527, 017 11881066</t>
  </si>
  <si>
    <t>bgr@ucb.com.bd</t>
  </si>
  <si>
    <t>245120253</t>
  </si>
  <si>
    <t>SR SUPER MARKET, COLLEGE ROAD, BANCHHARAMPUR, BRAHMANBARIA</t>
  </si>
  <si>
    <t>017 87675594</t>
  </si>
  <si>
    <t>bnc@ucb.com.bd</t>
  </si>
  <si>
    <t>245120437</t>
  </si>
  <si>
    <t>0851 57650, 57688, 017 11809733</t>
  </si>
  <si>
    <t>bbr@ucb.com.bd</t>
  </si>
  <si>
    <t>245121036</t>
  </si>
  <si>
    <t>SIMANTA COMPLEX, HOLDING NO 561, KUTI-KASBA ROAD, KASBA, BRAHMANBARIA</t>
  </si>
  <si>
    <t>017 08126236, 019 51146466</t>
  </si>
  <si>
    <t>kas@ucb.com.bd</t>
  </si>
  <si>
    <t>245130319</t>
  </si>
  <si>
    <t>37/37 COMILLA ROAD, PAUL BAZAR, CHANDPUR</t>
  </si>
  <si>
    <t>0841 63483, 67348, 017 11888361</t>
  </si>
  <si>
    <t>cdp@ucb.com.bd</t>
  </si>
  <si>
    <t>245700257</t>
  </si>
  <si>
    <t>4-5 GUDAGARI ROAD, CHAPAI NAWABGANJ</t>
  </si>
  <si>
    <t>0781 52283, 017 11436595</t>
  </si>
  <si>
    <t>cpn@ucb.com.bd</t>
  </si>
  <si>
    <t>245150131</t>
  </si>
  <si>
    <t>UCBLBDDHAGB</t>
  </si>
  <si>
    <t>KASHFIA PLAZA, 923/A SHEIKH MUJIB ROAD, AGRABAD C/A, CHITTAGONG 4000</t>
  </si>
  <si>
    <t>031 710706, 716020, 711054, 725997, 017 11804129, 017 11725136</t>
  </si>
  <si>
    <t>agb@ucb.com.bd</t>
  </si>
  <si>
    <t>245150465</t>
  </si>
  <si>
    <t>IMAM MANSION, 504 ANDERKILLA, CHITTAGONG</t>
  </si>
  <si>
    <t>031 614639, 612162, 017 11881053</t>
  </si>
  <si>
    <t>ank@ucb.com.bd</t>
  </si>
  <si>
    <t>245150528</t>
  </si>
  <si>
    <t>TALUKDER BHABAN, CHATURI CHOWMUHANI, ANWARA, CHITTAGONG</t>
  </si>
  <si>
    <t>03029 56046, 017 14135877, 018 33312430</t>
  </si>
  <si>
    <t>anb@ucb.com.bd</t>
  </si>
  <si>
    <t>245150731</t>
  </si>
  <si>
    <t>MUNTASIR DM CITY CENTRE, DHARMAPUR, WARD 5, FATIKCHHARI, CHITTAGONG</t>
  </si>
  <si>
    <t>019 18712660, 018 19968254</t>
  </si>
  <si>
    <t>azb@ucb.com.bd</t>
  </si>
  <si>
    <t>245150799</t>
  </si>
  <si>
    <t>RAHMANIA SHOPPING COMPLEX, 63/A CHANDGAON, CHITTAGONG</t>
  </si>
  <si>
    <t>031 652370, 2551185, 017 11883742</t>
  </si>
  <si>
    <t>bdh@ucb.com.bd</t>
  </si>
  <si>
    <t>245151093</t>
  </si>
  <si>
    <t>MIR COMPLEX, DHAKA-CHITTAGONG HIGHWAY, WARD 2, BAROIARHAT, ZORARGANJ, MIRSARAI, CHITTAGONG</t>
  </si>
  <si>
    <t>018 16225270, 018 16611905</t>
  </si>
  <si>
    <t>brh@ucb.com.bd</t>
  </si>
  <si>
    <t>245151172</t>
  </si>
  <si>
    <t>BATTALI BRANCH</t>
  </si>
  <si>
    <t>BATTALI_BRANCH</t>
  </si>
  <si>
    <t>117 / 117</t>
  </si>
  <si>
    <t>IDRIS TOWER, BATTALI RUSTAMHAT, BURUMCHARA, WARD 6, ANWARA, CHITTAGONG</t>
  </si>
  <si>
    <t>018 19185325, 018 18622340</t>
  </si>
  <si>
    <t>btb@ucb.com.bd</t>
  </si>
  <si>
    <t>245151219</t>
  </si>
  <si>
    <t>ALIM BAKSHA SAWDAGAR MARKET, SOUTH BAZAR, BHATIARY, SITAKUNDA, CHITTAGONG</t>
  </si>
  <si>
    <t>031 2781245, 018 18744059</t>
  </si>
  <si>
    <t>bhb@ucb.com.bd</t>
  </si>
  <si>
    <t>245151930</t>
  </si>
  <si>
    <t>371 KAPASHGOLA ROAD, CHAWKBAZAR, CHITTAGONG 4000</t>
  </si>
  <si>
    <t>031 653074, 017 11881054</t>
  </si>
  <si>
    <t>cwk@ucb.com.bd</t>
  </si>
  <si>
    <t>245152021</t>
  </si>
  <si>
    <t>19 FAZLUL KADER ROAD, WARD 16, PANCHLAISH, CHITTAGONG</t>
  </si>
  <si>
    <t>031 2555004, 2553302, 017 87676089</t>
  </si>
  <si>
    <t>cmc@ucb.com.bd</t>
  </si>
  <si>
    <t>245156227</t>
  </si>
  <si>
    <t>SAMAD SUPER MARKET, CHITTAGONG PORT, 200 STRAND ROAD, JETTY GATE, DOUBLE MOORING, CHITTAGONG</t>
  </si>
  <si>
    <t>031 711051, 711052, 017 11809729</t>
  </si>
  <si>
    <t>prt@ucb.com.bd</t>
  </si>
  <si>
    <t>245152171</t>
  </si>
  <si>
    <t>SALMA PLAZA, CHOWDHURY HAT, HATHAZARI, CHITTAGONG</t>
  </si>
  <si>
    <t>018 19084969</t>
  </si>
  <si>
    <t>chc@ucb.com.bd</t>
  </si>
  <si>
    <t>245150128</t>
  </si>
  <si>
    <t>DAMPARA BRANCH</t>
  </si>
  <si>
    <t>DAMPARA_BRANCH</t>
  </si>
  <si>
    <t>HOLDING NO 115/134, M M ALI ROAD, WASA MORE, DAMPARA, CHITTAGONG</t>
  </si>
  <si>
    <t>031 2867052, 2867053, 017 30705200</t>
  </si>
  <si>
    <t>dmp@ucb.com.bd</t>
  </si>
  <si>
    <t>245152568</t>
  </si>
  <si>
    <t>ALHAJ SHAMSUDDIN SUPER MARKET, STATION ROAD, DOHAZARI, CHANDNAISH, CHITTAGONG</t>
  </si>
  <si>
    <t>031 635022, 017 11888357</t>
  </si>
  <si>
    <t>dhz@ucb.com.bd</t>
  </si>
  <si>
    <t>245150052</t>
  </si>
  <si>
    <t>ENAYET BAZAR BRANCH</t>
  </si>
  <si>
    <t>ENAYET_BAZAR_BRANCH</t>
  </si>
  <si>
    <t>59 JUBILEE ROAD, KOTWALI, CHITTAGONG 4000</t>
  </si>
  <si>
    <t>017 14167421, 019 66602204</t>
  </si>
  <si>
    <t>enb@ucb.com.bd</t>
  </si>
  <si>
    <t>245152742</t>
  </si>
  <si>
    <t>MK SHOPPING COMPLEX, COLLEGE ROAD, BIBIRHAT, FATIKCHHARI, CHITTAGONG</t>
  </si>
  <si>
    <t>031 630389 (Ext 120), 637001, 017 11883746</t>
  </si>
  <si>
    <t>ftk@ucb.com.bd</t>
  </si>
  <si>
    <t>245153017</t>
  </si>
  <si>
    <t>GOHIRA, RAOZAN, CHITTAGONG</t>
  </si>
  <si>
    <t>03026 56189, 56190, 017 13068097</t>
  </si>
  <si>
    <t>ghr@ucb.com.bd</t>
  </si>
  <si>
    <t>245153167</t>
  </si>
  <si>
    <t>HOUSE NO 7, ROAD 2, LANE 2, BLOCK G, HALISHAHAR HOUSING ESTATE, CHITTAGONG</t>
  </si>
  <si>
    <t>031 716650, 017 14167388</t>
  </si>
  <si>
    <t>hls@ucb.com.bd</t>
  </si>
  <si>
    <t>245153220</t>
  </si>
  <si>
    <t>SA SHOPPING COMPLEX, FATIKA, HATHAZARI, CHITTAGONG</t>
  </si>
  <si>
    <t>017 30329715</t>
  </si>
  <si>
    <t>hhb@ucb.com.bd</t>
  </si>
  <si>
    <t>245153646</t>
  </si>
  <si>
    <t>UCBLBDDHJBR</t>
  </si>
  <si>
    <t>RIFLE CLUB SHOOTING COMPLEX, NANDAN KANAN, JUBILEE ROAD, CHITTAGONG 4000</t>
  </si>
  <si>
    <t>031 638179, 636024, 624104, 017 11804130, 017 11761053</t>
  </si>
  <si>
    <t>jbr@ucb.com.bd</t>
  </si>
  <si>
    <t>245153738</t>
  </si>
  <si>
    <t>UCBLBDDHKDM</t>
  </si>
  <si>
    <t>BAITUSH SHARAF MARKET, KADAMTALI, CHITTAGONG 4000</t>
  </si>
  <si>
    <t>031 721978, 725939, 727270, 726240</t>
  </si>
  <si>
    <t>kdm@ucb.com.bd</t>
  </si>
  <si>
    <t>245153970</t>
  </si>
  <si>
    <t>KABIR TOWER, KAMAL BAZAR, KALURGHAT, CHANDGAON, CHITTAGONG</t>
  </si>
  <si>
    <t>031 2571196, 2571271, 017 11809725</t>
  </si>
  <si>
    <t>rjk@ucb.com.bd</t>
  </si>
  <si>
    <t>245150331</t>
  </si>
  <si>
    <t>MAIMUNA SHAFI TOWER, AKTARUZZAMAN CHATTAR, CHARPATHARGHATA, KARNAPHULI, CHITTAGONG</t>
  </si>
  <si>
    <t>031 633315, 633316, 017 87676087</t>
  </si>
  <si>
    <t>kfb@ucb.com.bd</t>
  </si>
  <si>
    <t>245154090</t>
  </si>
  <si>
    <t>NUR SHOPPING CENTRE, HOLDING NO 988/1694, M AZIZ ROAD, PATENGA, CHITTAGONG</t>
  </si>
  <si>
    <t>017 15376317, 018 16620730</t>
  </si>
  <si>
    <t>kat@ucb.com.bd</t>
  </si>
  <si>
    <t>245154274</t>
  </si>
  <si>
    <t>KHANTUNGANJ BRANCH</t>
  </si>
  <si>
    <t>KHANTUNGANJ_BRANCH</t>
  </si>
  <si>
    <t>UCBLBDDHKTG</t>
  </si>
  <si>
    <t>601 RAMJOY MOHAJAN LANE, KHANTUNGANJ, CHITTAGONG 4000</t>
  </si>
  <si>
    <t>031 613777, 610786, 613774, 637029, 637027, 017 11804132</t>
  </si>
  <si>
    <t>ktg@ucb.com.bd</t>
  </si>
  <si>
    <t>245154661</t>
  </si>
  <si>
    <t>LIAKAT HOSSAIN MARKET, LOHAGARA, CHITTAGONG</t>
  </si>
  <si>
    <t>03034 56011, 011 99703298</t>
  </si>
  <si>
    <t>lhg@ucb.com.bd</t>
  </si>
  <si>
    <t>245154753</t>
  </si>
  <si>
    <t>MADNUGHAT, HATHAZARI, CHITTAGONG 4337</t>
  </si>
  <si>
    <t>031 670375, 017 11883744</t>
  </si>
  <si>
    <t>mdg@ucb.com.bd</t>
  </si>
  <si>
    <t>245155323</t>
  </si>
  <si>
    <t>CHITTAGONG SHOPPING COMPLEX, 112-129 NASIRABAD MOHALLA, MURADPUR, CHITTAGONG</t>
  </si>
  <si>
    <t>031 651375, 651376, 017 11881055</t>
  </si>
  <si>
    <t>mrd@ucb.com.bd</t>
  </si>
  <si>
    <t>245155594</t>
  </si>
  <si>
    <t>HOSSAIN MARKET, NAZIRHAT, FATIKCHHARI, CHITTAGONG</t>
  </si>
  <si>
    <t>031 637003, 635033 (Ext 115), 017 11883745</t>
  </si>
  <si>
    <t>nzh@ucb.com.bd</t>
  </si>
  <si>
    <t>245155710</t>
  </si>
  <si>
    <t>NOAPARA, PATHERHAT, RAOZAN, CHITTAGONG 4346</t>
  </si>
  <si>
    <t>031 2571215, 017 11883743</t>
  </si>
  <si>
    <t>npc@ucb.com.bd</t>
  </si>
  <si>
    <t>245155802</t>
  </si>
  <si>
    <t>CENTRAL SHOPPING CENTRE, 562/A OR NIZAM ROAD, CHITTAGONG</t>
  </si>
  <si>
    <t>031 636195, 625890, 018 11486290</t>
  </si>
  <si>
    <t>orn@ucb.com.bd</t>
  </si>
  <si>
    <t>245150531</t>
  </si>
  <si>
    <t>OXYGEN BRANCH</t>
  </si>
  <si>
    <t>OXYGEN_BRANCH</t>
  </si>
  <si>
    <t>GAZI MANSION, HOLDING NO 3711/B, OXYGEN-QUAISH LINK ROAD, BAYEZID BOSTAMI, CHITTAGONG 4210</t>
  </si>
  <si>
    <t>017 08451985, 019 51146460</t>
  </si>
  <si>
    <t>oxy@ucb.com.bd</t>
  </si>
  <si>
    <t>245155923</t>
  </si>
  <si>
    <t>SHOURAV BITAN, 3830/B DT ROAD, PAHARTALI, CHITTAGONG</t>
  </si>
  <si>
    <t>017 30318846, 018 11415703</t>
  </si>
  <si>
    <t>ptb@ucb.com.bd</t>
  </si>
  <si>
    <t>245156401</t>
  </si>
  <si>
    <t>HAJEE FAIZ MARKET, CHAWMUHANI, SYED BARI, MORIUM NAGAR, RANGUNIA, CHITTAGONG</t>
  </si>
  <si>
    <t>018 19814109, 017 30329718</t>
  </si>
  <si>
    <t>rgb@ucb.com.bd</t>
  </si>
  <si>
    <t>245156498</t>
  </si>
  <si>
    <t>GT SHOPPING COMPLEX, MAUSHIGHATA, WARD 8, RAOZAN, CHITTAGONG</t>
  </si>
  <si>
    <t>017 14167409</t>
  </si>
  <si>
    <t>rzb@ucb.com.bd</t>
  </si>
  <si>
    <t>245156735</t>
  </si>
  <si>
    <t>HABIB CITY TOWER, 49 SADARGHAT ROAD, WARD 30, DOUBLE MOORING, CHITTAGONG</t>
  </si>
  <si>
    <t>018 19638124</t>
  </si>
  <si>
    <t>sdr@ucb.com.bd</t>
  </si>
  <si>
    <t>245157518</t>
  </si>
  <si>
    <t>HAJEE ABUL HOSSAIN MARKET, 113 STATION ROAD, KOTWALI, CHITTAGONG</t>
  </si>
  <si>
    <t>031 624145, 634152, 017 11881057</t>
  </si>
  <si>
    <t>str@ucb.com.bd</t>
  </si>
  <si>
    <t>245180198</t>
  </si>
  <si>
    <t>147 BARABAZAR, CHUADANGA</t>
  </si>
  <si>
    <t>0761 62515, 017 11883763</t>
  </si>
  <si>
    <t>cdg@ucb.com.bd</t>
  </si>
  <si>
    <t>245191158</t>
  </si>
  <si>
    <t>125/117 RAIGANJ, CHATIPATTY, COMILLA 3500</t>
  </si>
  <si>
    <t>081 65776, 76447, 017 11809726</t>
  </si>
  <si>
    <t>cml@ucb.com.bd</t>
  </si>
  <si>
    <t>245190159</t>
  </si>
  <si>
    <t>JHAUTALA BRANCH</t>
  </si>
  <si>
    <t>JHAUTALA_BRANCH</t>
  </si>
  <si>
    <t>693/1 SHAHID KHAJA NIZAM UDDIN ROAD, JHAUTALA, KOTWALI, COMILLA</t>
  </si>
  <si>
    <t>018 47052270, 019 26666859, 015 54335101</t>
  </si>
  <si>
    <t>jwt@ucb.com.bd</t>
  </si>
  <si>
    <t>245220166</t>
  </si>
  <si>
    <t>245220258</t>
  </si>
  <si>
    <t>245220403</t>
  </si>
  <si>
    <t>245260434</t>
  </si>
  <si>
    <t>UCBLBDDHBNB</t>
  </si>
  <si>
    <t>SHARIF PLAZA, 39 KEMAL ATATURK AVENUE, BANANI, DHAKA 1213</t>
  </si>
  <si>
    <t>02 9891674, 9893166, 018 19814146</t>
  </si>
  <si>
    <t>bnb@ucb.com.bd</t>
  </si>
  <si>
    <t>245260726</t>
  </si>
  <si>
    <t>PLOT 320, ROAD 16, BLOCK K, MAIN ROAD, SOUTH BANASREE, DHAKA</t>
  </si>
  <si>
    <t>017 14167431, 019 66602206</t>
  </si>
  <si>
    <t>bns@ucb.com.bd</t>
  </si>
  <si>
    <t>245270882</t>
  </si>
  <si>
    <t>UCBLBDDHBNG</t>
  </si>
  <si>
    <t>32/3 MALITOLA ROAD, NORTH SOUTH ROAD, DHAKA 1000</t>
  </si>
  <si>
    <t>02 9562520, 9558112, 9564177, 017 13017589</t>
  </si>
  <si>
    <t>bng@ucb.com.bd</t>
  </si>
  <si>
    <t>245260555</t>
  </si>
  <si>
    <t>PLOT NO 6, BLOCK A, MAIN ROAD, BASHUNDHARA R/A, DHAKA</t>
  </si>
  <si>
    <t>02 8401735, 017 30001211, 018 11481287</t>
  </si>
  <si>
    <t>bbd@ucb.com.bd</t>
  </si>
  <si>
    <t>245271094</t>
  </si>
  <si>
    <t>UCBLBDDHBJN</t>
  </si>
  <si>
    <t>AL RAZI COMPLEX, 166-167 SHAHID SAYED NAZRUL ISLAM SARANI, BIJOY NAGAR, PALTAN, DHAKA</t>
  </si>
  <si>
    <t>02 47119385, 47115885, 7122670, 017 14167429</t>
  </si>
  <si>
    <t>bjn@ucb.com.bd</t>
  </si>
  <si>
    <t>245261738</t>
  </si>
  <si>
    <t>UCBLBDDHGAB</t>
  </si>
  <si>
    <t>PLOT NO CWS-(A)-1, ROAD 34, GULSHAN AVENUE, DHAKA 1212</t>
  </si>
  <si>
    <t>02 8852500 (Ext 1001-1015), 017 30318848</t>
  </si>
  <si>
    <t>cob@ucb.com.bd</t>
  </si>
  <si>
    <t>245260942</t>
  </si>
  <si>
    <t>DARUS SALAM ROAD BRANCH</t>
  </si>
  <si>
    <t>DARUS_SALAM_ROAD_BRANCH</t>
  </si>
  <si>
    <t>9 DAKHIN BISHIL, WARD 12, DARUS SALAM ROAD, MIRPUR 1, DHAKA</t>
  </si>
  <si>
    <t>018 47 052269, 019 72315024</t>
  </si>
  <si>
    <t>drs@ucb.com.bd</t>
  </si>
  <si>
    <t>245260913</t>
  </si>
  <si>
    <t>DHAKSHINKHAN BRANCH</t>
  </si>
  <si>
    <t>DHAKSHINKHAN_BRANCH</t>
  </si>
  <si>
    <t>IRISH PLAZA, 848/1 GAOAIR, ASHKONA, DHAKSHINKHAN, DHAKA</t>
  </si>
  <si>
    <t>017 87670976, 019 15479179</t>
  </si>
  <si>
    <t>dkn@ucb.com.bd</t>
  </si>
  <si>
    <t>245261183</t>
  </si>
  <si>
    <t>NAHAR GREEN SUMMIT, PLOT NO 43, ROAD 16, DHANMONDI R/A, DHAKA</t>
  </si>
  <si>
    <t>02 9123343, 018 33102700, 016 78013205, 017 13068100</t>
  </si>
  <si>
    <t>dhn@ucb.com.bd</t>
  </si>
  <si>
    <t>245271902</t>
  </si>
  <si>
    <t>82 MOTIJHEEL C/A, MOTIJHEEL, DHAKA</t>
  </si>
  <si>
    <t>02 7115700, 7123546, 7123547, 019 66602216</t>
  </si>
  <si>
    <t>dkb@ucb.com.bd</t>
  </si>
  <si>
    <t>245271423</t>
  </si>
  <si>
    <t>1067 NAYAPARA, SHYAMPUR, DHAKA</t>
  </si>
  <si>
    <t>02 7550151, 7550152, 018 17032572</t>
  </si>
  <si>
    <t>dnb@ucb.com.bd</t>
  </si>
  <si>
    <t>245261338</t>
  </si>
  <si>
    <t>UCBLBDDHEPR</t>
  </si>
  <si>
    <t>25 ELEPHANT ROAD, DHAKA 1207</t>
  </si>
  <si>
    <t>02 9667370, 8621283, 9664622, 8615947, 011 99803374</t>
  </si>
  <si>
    <t>epr@ucb.com.bd</t>
  </si>
  <si>
    <t>245272327</t>
  </si>
  <si>
    <t>UCBLBDDHFEX</t>
  </si>
  <si>
    <t>20 DILKUSHA C/A, DHAKA 1000</t>
  </si>
  <si>
    <t>02 9563965, 9563966, 9564030, 017 13034312</t>
  </si>
  <si>
    <t>fex@ucb.com.bd</t>
  </si>
  <si>
    <t>245261725</t>
  </si>
  <si>
    <t>UCBLBDDHGSN</t>
  </si>
  <si>
    <t>CONCORD IK TOWER, PLOT NO CEN (A)-2, NORTH AVENUE, GULSHAN 2, DHAKA 1212</t>
  </si>
  <si>
    <t>02 8824198, 8824564, 9895500, 017 11888358</t>
  </si>
  <si>
    <t>gsn@ucb.com.bd</t>
  </si>
  <si>
    <t>245272569</t>
  </si>
  <si>
    <t>HASNABAD, NAWABGANJ, DHAKA 1321</t>
  </si>
  <si>
    <t>017 11881050</t>
  </si>
  <si>
    <t>hsb@ucb.com.bd</t>
  </si>
  <si>
    <t>245260500</t>
  </si>
  <si>
    <t>DIAMOND TOWER, TATULJURA, HEMAYETPUR, SAVAR, DHAKA</t>
  </si>
  <si>
    <t>017 08451986, 019 15146462</t>
  </si>
  <si>
    <t>hem@ucb.com.bd</t>
  </si>
  <si>
    <t>245272985</t>
  </si>
  <si>
    <t>LION TOWER, 108 ISLAMPUR ROAD, KOTWALI, DHAKA</t>
  </si>
  <si>
    <t>02 7392308, 7392661, 017 11809732</t>
  </si>
  <si>
    <t>isp@ucb.com.bd</t>
  </si>
  <si>
    <t>245261512</t>
  </si>
  <si>
    <t>HAJI ABUL HASHEM MARKET, KAMARPARA, HARIRAMPUR, TURAG, DHAKA</t>
  </si>
  <si>
    <t>017 08451988, 019 51146461</t>
  </si>
  <si>
    <t>kma@ucb.com.bd</t>
  </si>
  <si>
    <t>245273584</t>
  </si>
  <si>
    <t>ELHAM SQUARE, RONY MARKET ROAD, PLOT NO 648-649, RASULPUR, SULTANGANJ, KAMRANGIRCHAR, DIST DHAKA</t>
  </si>
  <si>
    <t>017 14167426, 019 66602205</t>
  </si>
  <si>
    <t>krc@ucb.com.bd</t>
  </si>
  <si>
    <t>245262537</t>
  </si>
  <si>
    <t>UCBLBDDHKBZ</t>
  </si>
  <si>
    <t>TITAS GAS BHABAN, 11 KAWRAN BAZAR, DHAKA</t>
  </si>
  <si>
    <t>02 8115757, 9141572, 017 11883738</t>
  </si>
  <si>
    <t>kbz@ucb.com.bd</t>
  </si>
  <si>
    <t>245273647</t>
  </si>
  <si>
    <t>SR SHOPPING MALL, WARD 4, AGANAGAR, SOUTH KERANIGANJ, DHAKA</t>
  </si>
  <si>
    <t>02 7764085, 018 11487856</t>
  </si>
  <si>
    <t>kgb@ucb.com.bd</t>
  </si>
  <si>
    <t>245273676</t>
  </si>
  <si>
    <t>ASHIRBAD BHABAN, HOLDING NO 569/C &amp;amp; 915, KHILGAON, DHAKA</t>
  </si>
  <si>
    <t>02 7253612, 7253613</t>
  </si>
  <si>
    <t>khi@ucb.com.bd</t>
  </si>
  <si>
    <t>245260742</t>
  </si>
  <si>
    <t>074 / 074</t>
  </si>
  <si>
    <t>TALNA BHABAN, HOUSE NO KHA-49/A, BATTALA, WARD 17, KHILKHET, DHAKA</t>
  </si>
  <si>
    <t>02 7911485, 7911524, 017 30034868</t>
  </si>
  <si>
    <t>klk@ucb.com.bd</t>
  </si>
  <si>
    <t>245274004</t>
  </si>
  <si>
    <t>HAJI ABDUL AZIZ TOWER, MATUAIL, DEMRA, DHAKA</t>
  </si>
  <si>
    <t>017 15151132, 017 11991527</t>
  </si>
  <si>
    <t>mat@ucb.com.bd</t>
  </si>
  <si>
    <t>245262982</t>
  </si>
  <si>
    <t>HOUSE NO 1, ROAD 6, BLOCK A, SECTION 6, MIRPUR, DHAKA</t>
  </si>
  <si>
    <t>02 9002043, 017 11881049</t>
  </si>
  <si>
    <t>mpr@ucb.com.bd</t>
  </si>
  <si>
    <t>245263073</t>
  </si>
  <si>
    <t>HOUSE NO 12, ROAD 5, WARD 49, MIRPUR ROAD, DHANMONDI R/A, DHAKA</t>
  </si>
  <si>
    <t>02 9671037, 9671083, 017 14167396, 018 11486284</t>
  </si>
  <si>
    <t>mrb@ucb.com.bd</t>
  </si>
  <si>
    <t>245263194</t>
  </si>
  <si>
    <t>UCBLBDDHMKH</t>
  </si>
  <si>
    <t>MEDONA TOWER, 28 MOHAKHALI C/A, DHAKA</t>
  </si>
  <si>
    <t>02 8813027, 9884883, 9884885</t>
  </si>
  <si>
    <t>mhk@ucb.com.bd</t>
  </si>
  <si>
    <t>245263286</t>
  </si>
  <si>
    <t>14/21, BLOCK A, ASAD AVENUE, MOHAMMADPUR, DHAKA</t>
  </si>
  <si>
    <t>02 9118517, 8114661, 9124325, 9133351, 017 11881048</t>
  </si>
  <si>
    <t>mdp@ucb.com.bd</t>
  </si>
  <si>
    <t>245274420</t>
  </si>
  <si>
    <t>UCBLBDDHMBD</t>
  </si>
  <si>
    <t>GULBADAN HOUSE, 4/1 &amp;amp; 5 MOULVIBAZAR ROAD, DHAKA 1100</t>
  </si>
  <si>
    <t>02 7311407, 7311939, 7311807, 017 11881047</t>
  </si>
  <si>
    <t>mbd@ucb.com.bd</t>
  </si>
  <si>
    <t>245263415</t>
  </si>
  <si>
    <t>HAZI NIZAM PLAZA, DENDABAR, ASHULIA, SAVAR, DHAKA</t>
  </si>
  <si>
    <t>02 7792365, 7792366-7, 017 30329716, 018 11418836</t>
  </si>
  <si>
    <t>nbs@ucb.com.bd</t>
  </si>
  <si>
    <t>245274725</t>
  </si>
  <si>
    <t>UCBLBDDHNWP</t>
  </si>
  <si>
    <t>HAZI ELECTRIC MARKET, 132 NAWABPUR ROAD, WARD 38, WARI, DHAKA 1100</t>
  </si>
  <si>
    <t>02 9566746, 7121083, 7166489, 017 11809723</t>
  </si>
  <si>
    <t>nwp@ucb.com.bd</t>
  </si>
  <si>
    <t>245274817</t>
  </si>
  <si>
    <t>UCBLBDDHNBZ</t>
  </si>
  <si>
    <t>9 BASHABARI LANE, NAYABAZAR, DHAKA</t>
  </si>
  <si>
    <t>02 7393379, 7396082, 7393123, 017 11888359</t>
  </si>
  <si>
    <t>nbz@ucb.com.bd</t>
  </si>
  <si>
    <t>245261396</t>
  </si>
  <si>
    <t>WAQF BHABAN, 4 NEW ESKATON ROAD, DHAKA</t>
  </si>
  <si>
    <t>017 30318847</t>
  </si>
  <si>
    <t>neb@ucb.com.bd</t>
  </si>
  <si>
    <t>245260184</t>
  </si>
  <si>
    <t>LE MERIDIEN HOTEL, HOLDING NO 79/A, AIRPORT ROAD, NIKUNJA 2, KHILKHET, DHAKA</t>
  </si>
  <si>
    <t>02 55098320, 55098321, 019 55515477, 017 09635950</t>
  </si>
  <si>
    <t>nik@ucb.com.bd</t>
  </si>
  <si>
    <t>245275058</t>
  </si>
  <si>
    <t>UCBLBDDHNBH</t>
  </si>
  <si>
    <t>54 NORTH BROOK HALL ROAD, BANGLA BAZAR, DHAKA</t>
  </si>
  <si>
    <t>02 47117030, 47115170, 47119272, 017 11883739</t>
  </si>
  <si>
    <t>nbh@ucb.com.bd</t>
  </si>
  <si>
    <t>245263707</t>
  </si>
  <si>
    <t>CHA-89/1 NORTH BADDA, PRAGATI SARANI, WARD 19, BADDA, DHAKA</t>
  </si>
  <si>
    <t>02 9894192, 018 11487857</t>
  </si>
  <si>
    <t>psb@ucb.com.bd</t>
  </si>
  <si>
    <t>245275353</t>
  </si>
  <si>
    <t>UCBLBDDHPRB</t>
  </si>
  <si>
    <t>02 9555799, 9561054, 9559744, 017 66106275</t>
  </si>
  <si>
    <t>prb@ucb.com.bd</t>
  </si>
  <si>
    <t>245270082</t>
  </si>
  <si>
    <t>SARULIA BAZAR BRANCH</t>
  </si>
  <si>
    <t>SARULIA_BAZAR_BRANCH</t>
  </si>
  <si>
    <t>AWAL KHAN SHOPPING COMPLEX, TENGRA, SARULIA, WARD 5, DEMRA, DHAKA</t>
  </si>
  <si>
    <t>019 66602211, 017 12253579</t>
  </si>
  <si>
    <t>srl@ucb.com.bd</t>
  </si>
  <si>
    <t>245264027</t>
  </si>
  <si>
    <t>402 / 402</t>
  </si>
  <si>
    <t>138 ABDULLAHBAGH, BADDA-SATARKUL ROAD, NORTH BADDA, DHAKA</t>
  </si>
  <si>
    <t>02 9855074, 017 12090243</t>
  </si>
  <si>
    <t>skb@ucb.com.bd</t>
  </si>
  <si>
    <t>245264098</t>
  </si>
  <si>
    <t>SUGANDHA SUPER MARKET, SAVAR BUS STAND, WARD 3, SAVAR, DHAKA</t>
  </si>
  <si>
    <t>02 7744858, 017 30318845, 018 11414282</t>
  </si>
  <si>
    <t>sbd@ucb.com.bd</t>
  </si>
  <si>
    <t>245273942</t>
  </si>
  <si>
    <t>MADINA HIGHTS, 32 NEW CIRCULAR ROAD, SIDDHESHWARI, DHAKA</t>
  </si>
  <si>
    <t>02 8312887, 8352054, 017 11883764</t>
  </si>
  <si>
    <t>snb@ucb.com.bd</t>
  </si>
  <si>
    <t>245260450</t>
  </si>
  <si>
    <t>SONARGAON AVENUE MOHILA BRANCH</t>
  </si>
  <si>
    <t>SONARGAON_AVENUE_MOHILA_BRANCH</t>
  </si>
  <si>
    <t>045 / 045</t>
  </si>
  <si>
    <t>22 SONARGAON JANAPAD SARAK, SECTOR 9, UTTARA, DHAKA</t>
  </si>
  <si>
    <t>017 87670978</t>
  </si>
  <si>
    <t>sal@ucb.com.bd</t>
  </si>
  <si>
    <t>245276581</t>
  </si>
  <si>
    <t>HOUSE NO 10, SONARGAON JANAPATH, SECTOR 11, WARD 1, UTTARA MODEL TOWN, DHAKA</t>
  </si>
  <si>
    <t>02 8991584, 017 14167428</t>
  </si>
  <si>
    <t>sng@ucb.com.bd</t>
  </si>
  <si>
    <t>245264630</t>
  </si>
  <si>
    <t>UCBLBDDHUTR</t>
  </si>
  <si>
    <t>PARADISE TOWER, PLOT NO 11, SECTOR 3, DHAKA-MYMENSINGH ROAD, UTTARA, DHAKA 1230</t>
  </si>
  <si>
    <t>02 8956979, 017 13068098, 016 78013204</t>
  </si>
  <si>
    <t>utr@ucb.com.bd</t>
  </si>
  <si>
    <t>245264601</t>
  </si>
  <si>
    <t>1483 SHAH KABIR MAJAR ROAD, UTTARKHAN, WARD 1, DHAKA</t>
  </si>
  <si>
    <t>02 8921581, 8921592, 017 14167438, 018 11487860</t>
  </si>
  <si>
    <t>ukb@ucb.com.bd</t>
  </si>
  <si>
    <t>245277098</t>
  </si>
  <si>
    <t>STAR FAIR SHOPPING CENTRE, ZINZIRA BAZAR, KERANIGANJ, DHAKA 1310</t>
  </si>
  <si>
    <t>02 7772208, 7770757, 017 11883757</t>
  </si>
  <si>
    <t>znz@ucb.com.bd</t>
  </si>
  <si>
    <t>245264485</t>
  </si>
  <si>
    <t>TEJGAON</t>
  </si>
  <si>
    <t>245272680</t>
  </si>
  <si>
    <t>245270008</t>
  </si>
  <si>
    <t>245280672</t>
  </si>
  <si>
    <t>MALDAHPALTY, DINAJPUR 5200</t>
  </si>
  <si>
    <t>0531 63327, 64042, 017 11436596</t>
  </si>
  <si>
    <t>ngn@ucb.com.bd</t>
  </si>
  <si>
    <t>245290525</t>
  </si>
  <si>
    <t>85 MUJIB SARAK, FARIDPUR</t>
  </si>
  <si>
    <t>0631 64927, 63355, 017 11883740</t>
  </si>
  <si>
    <t>frd@ucb.com.bd</t>
  </si>
  <si>
    <t>245290912</t>
  </si>
  <si>
    <t>KANAIPUR GENERAL &amp;amp; EYE HOSPITAL, KANAIPUR BAZAR, KANAIPUR, FARIDPUR</t>
  </si>
  <si>
    <t>017 14167371, 018 33102704</t>
  </si>
  <si>
    <t>knp@ucb.com.bd</t>
  </si>
  <si>
    <t>245290554</t>
  </si>
  <si>
    <t>SATOIRE BAZAR SME BRANCH</t>
  </si>
  <si>
    <t>SATOIRE_BAZAR_SME_BRANCH</t>
  </si>
  <si>
    <t>SATOIRE BAZAR, WARD 9, BOALMARI, FARIDPUR</t>
  </si>
  <si>
    <t>017 30705199, 018 11449178</t>
  </si>
  <si>
    <t>sbb@ucb.com.bd</t>
  </si>
  <si>
    <t>245300523</t>
  </si>
  <si>
    <t>SHAHEED HOSSAIN UDDIN BIPANI BITAN, 21 STATION ROAD, FENI</t>
  </si>
  <si>
    <t>0331 74296, 61567, 017 11881065</t>
  </si>
  <si>
    <t>fni@ucb.com.bd</t>
  </si>
  <si>
    <t>245330243</t>
  </si>
  <si>
    <t>BHAWAL MIRZAPUR BRANCH</t>
  </si>
  <si>
    <t>BHAWAL_MIRZAPUR_BRANCH</t>
  </si>
  <si>
    <t>HALIMA PLAZA, BHAWAL MIRZAPUR, GAZIPUR SADAR, GAZIPUR</t>
  </si>
  <si>
    <t>017 09635957, 019 55515472</t>
  </si>
  <si>
    <t>bmb@ucb.com.bd</t>
  </si>
  <si>
    <t>245330551</t>
  </si>
  <si>
    <t>UNISAY TOWER, MYMENSINGH ROAD, BASON, CHANDANA, GAZIPUR</t>
  </si>
  <si>
    <t>02 9263951, 9263953-54, 018 17032564</t>
  </si>
  <si>
    <t>gcb@ucb.com.bd</t>
  </si>
  <si>
    <t>245330735</t>
  </si>
  <si>
    <t>TASNIM TOWER, HOLDING NO J-5/4,BIDC ROAD, JOYDEBPUR, GAZIPUR</t>
  </si>
  <si>
    <t>017 08451987, 019 51145463</t>
  </si>
  <si>
    <t>joy@ucb.com.bd</t>
  </si>
  <si>
    <t>245330827</t>
  </si>
  <si>
    <t>MADINA BHABAN, KALIGANJ BAZAR, WARD 4, KALIGANJ, GAZIPUR</t>
  </si>
  <si>
    <t>018 33147914, 019 66602241, 017 16993844</t>
  </si>
  <si>
    <t>klg@ucb.com.bd</t>
  </si>
  <si>
    <t>245330885</t>
  </si>
  <si>
    <t>UPAZILLA ROAD, KAPASIA BAZAR, KAPASIA, GAZIPUR</t>
  </si>
  <si>
    <t>018 33147913, 019 66602242, 017 11488765</t>
  </si>
  <si>
    <t>kps@ucb.com.bd</t>
  </si>
  <si>
    <t>245330948</t>
  </si>
  <si>
    <t>BSCIC INDUSTRIAL ESTATE, PLOT NO A/139, KONABARI, GAZIPUR</t>
  </si>
  <si>
    <t>02 9297132, 017 30076149, 018 33102702</t>
  </si>
  <si>
    <t>kbb@ucb.com.bd</t>
  </si>
  <si>
    <t>245331118</t>
  </si>
  <si>
    <t>ABDUS SHAHID SUPER VIEW, MAWNA CHOWRASTA, SREEPUR ROAD, TELIHATI, SREEPUR, GAZIPUR</t>
  </si>
  <si>
    <t>06825 52904, 52905, 017 14167406, 018 11449179</t>
  </si>
  <si>
    <t>mwn@ucb.com.bd</t>
  </si>
  <si>
    <t>245331639</t>
  </si>
  <si>
    <t>SHAJAHAN MANSION, 8 CHERAGALI MARKET, TONGI, GAZIPUR</t>
  </si>
  <si>
    <t>02 9802332, 9815799, 017 11881046</t>
  </si>
  <si>
    <t>tng@ucb.com.bd</t>
  </si>
  <si>
    <t>245331671</t>
  </si>
  <si>
    <t>TONGI STATION ROAD BRANCH</t>
  </si>
  <si>
    <t>TONGI_STATION_ROAD_BRANCH</t>
  </si>
  <si>
    <t>167 / 167</t>
  </si>
  <si>
    <t>CHAMPAKALI CINEMA COMPLEX, TONGI STATION ROAD, WARD 6, TONGI, GAZIPUR</t>
  </si>
  <si>
    <t>02 9817650-1, 016 78013206</t>
  </si>
  <si>
    <t>tsr@ucb.com.bd</t>
  </si>
  <si>
    <t>245350373</t>
  </si>
  <si>
    <t>127 COLLEGE ROAD, CHOWRANGI, WARD 4, GOPALGANJ</t>
  </si>
  <si>
    <t>02 6682250, 017 14167441</t>
  </si>
  <si>
    <t>gpg@ucb.com.bd</t>
  </si>
  <si>
    <t>245361096</t>
  </si>
  <si>
    <t>038927 88105, 017 11883754</t>
  </si>
  <si>
    <t>nbj@ucb.com.bd</t>
  </si>
  <si>
    <t>245410947</t>
  </si>
  <si>
    <t>36 MK ROAD, JESSORE</t>
  </si>
  <si>
    <t>0421 66606, 66061, 73542, 017 11883758</t>
  </si>
  <si>
    <t>jsr@ucb.com.bd</t>
  </si>
  <si>
    <t>245411667</t>
  </si>
  <si>
    <t>NOAPARA BAZAR, ABHAYNAGAR, JESSORE</t>
  </si>
  <si>
    <t>04222 7189, 017 11883761</t>
  </si>
  <si>
    <t>npj@ucb.com.bd</t>
  </si>
  <si>
    <t>245440641</t>
  </si>
  <si>
    <t>129 SHER-E-BANGLA ROAD, JHENAIDAH</t>
  </si>
  <si>
    <t>0451 62725, 017 11883760</t>
  </si>
  <si>
    <t>jhn@ucb.com.bd</t>
  </si>
  <si>
    <t>245471481</t>
  </si>
  <si>
    <t>HAJI HANIF COMPLEX, HOLDING NO 12-13, KHAN JAHAN ALI ROAD, KHULNA</t>
  </si>
  <si>
    <t>041 732224, 017 11883762</t>
  </si>
  <si>
    <t>khj@ucb.com.bd</t>
  </si>
  <si>
    <t>245471544</t>
  </si>
  <si>
    <t>UCBLBDDHKLN</t>
  </si>
  <si>
    <t>HOTEL PARK BUILDING, 48 KD GHOSH ROAD, KHULNA 9000</t>
  </si>
  <si>
    <t>041 720502, 720522, 733676, 017 11881063</t>
  </si>
  <si>
    <t>kln@ucb.com.bd</t>
  </si>
  <si>
    <t>245500949</t>
  </si>
  <si>
    <t>SB PLAZA, 54 NS ROAD, KUSHTIA</t>
  </si>
  <si>
    <t>071 61991, 017 11881058, 019 65602223</t>
  </si>
  <si>
    <t>kst@ucb.com.bd</t>
  </si>
  <si>
    <t>245510739</t>
  </si>
  <si>
    <t>CITY CENTRE, HOLDING NO 202, CHAWKBAZAR MAIN ROAD, LAKSHMIPUR</t>
  </si>
  <si>
    <t>0381 55443, 017 11883747</t>
  </si>
  <si>
    <t>lkp@ucb.com.bd</t>
  </si>
  <si>
    <t>245580101</t>
  </si>
  <si>
    <t>BARALEKHA, MOULVIBAZAR</t>
  </si>
  <si>
    <t>08622 56140, 037 97800032, 017 11883759</t>
  </si>
  <si>
    <t>brl@ucb.com.bd</t>
  </si>
  <si>
    <t>245580943</t>
  </si>
  <si>
    <t>ASADDOR PALACE, HOLDING NO 239, KULAURA, MOULVIBAZAR</t>
  </si>
  <si>
    <t>017 08126235, 019 51146465</t>
  </si>
  <si>
    <t>kul@ucb.com.bd</t>
  </si>
  <si>
    <t>245581184</t>
  </si>
  <si>
    <t>CENTRAL ROAD, CHOWMOHANA, MOULVIBAZAR 3200</t>
  </si>
  <si>
    <t>0861 52766, 017 11881059</t>
  </si>
  <si>
    <t>mbs@ucb.com.bd</t>
  </si>
  <si>
    <t>245611759</t>
  </si>
  <si>
    <t>17 CHOTA BAZAR, MYMENSINGH 2200</t>
  </si>
  <si>
    <t>091 64345, 64346, 017 11881064</t>
  </si>
  <si>
    <t>mns@ucb.com.bd</t>
  </si>
  <si>
    <t>245641187</t>
  </si>
  <si>
    <t>379 TULA PATTY, NAOGAON 6500</t>
  </si>
  <si>
    <t>0741 62988, 62861, 017 11809728</t>
  </si>
  <si>
    <t>245670224</t>
  </si>
  <si>
    <t>GAUSIA MARKET, BHULTA, RUPGANJ, NARAYANGANJ</t>
  </si>
  <si>
    <t>02 06725, 87046, 018 19249830, 017 11809720</t>
  </si>
  <si>
    <t>bul@ucb.com.bd</t>
  </si>
  <si>
    <t>245670237</t>
  </si>
  <si>
    <t>CHASHARA BRANCH</t>
  </si>
  <si>
    <t>CHASHARA_BRANCH</t>
  </si>
  <si>
    <t>BADHAN COMMUNITY CENTRE, 231/5 BB ROAD, CHASHARA, NARAYANGANJ</t>
  </si>
  <si>
    <t>02 7643991-2, 017 30076140, 018 17032567</t>
  </si>
  <si>
    <t>cbn@ucb.com.bd</t>
  </si>
  <si>
    <t>245670608</t>
  </si>
  <si>
    <t>CO-OPERATIVE COMPLEX, GOPALDI BAZAR, SCHOOL SARAK, ARAIHAZAR, NARAYANGANJ</t>
  </si>
  <si>
    <t>017 87675592</t>
  </si>
  <si>
    <t>gpl@ucb.com.bd</t>
  </si>
  <si>
    <t>245670790</t>
  </si>
  <si>
    <t>MAULA SUPER MARKET, KANCHAN BAZAR, RUPGANJ, NARAYANGANJ</t>
  </si>
  <si>
    <t>018 11456752, 018 11456757</t>
  </si>
  <si>
    <t>kbn@ucb.com.bd</t>
  </si>
  <si>
    <t>245670129</t>
  </si>
  <si>
    <t>HAJEE MOTALEB KHAN SUPER MARKET, KANCHPUR, SONARGAON, NARAYANGANJ</t>
  </si>
  <si>
    <t>017 13206837, 019 15479312</t>
  </si>
  <si>
    <t>kcp@ucb.com.bd</t>
  </si>
  <si>
    <t>245671007</t>
  </si>
  <si>
    <t>MEGHNA GHAT BRANCH</t>
  </si>
  <si>
    <t>MEGHNA_GHAT_BRANCH</t>
  </si>
  <si>
    <t>ISLAM SHOPPING CENTRE, MEGHNA GHAT, SONARGAON, NARAYANGANJ</t>
  </si>
  <si>
    <t>017 09635956, 019 55515476</t>
  </si>
  <si>
    <t>mgm@ucb.com.bd</t>
  </si>
  <si>
    <t>245671186</t>
  </si>
  <si>
    <t>UCBLBDDHNGJ</t>
  </si>
  <si>
    <t>PADMA CITY PLAZA 1, 55/B SM MALEH ROAD, TANBAZAR, NARAYANGANJ 1400</t>
  </si>
  <si>
    <t>02 7646628, 7641262, 017 30076131, 019 66602225</t>
  </si>
  <si>
    <t>ngj@ucb.com.bd</t>
  </si>
  <si>
    <t>02 7641262</t>
  </si>
  <si>
    <t>245671331</t>
  </si>
  <si>
    <t>DN ROAD, PAGLA BAZAR, FATULLAH, NARAYANGANJ</t>
  </si>
  <si>
    <t>02 7682234, 7681266, 017 11881045</t>
  </si>
  <si>
    <t>pgl@ucb.com.bd</t>
  </si>
  <si>
    <t>245680085</t>
  </si>
  <si>
    <t>CHINISPUR BRANCH</t>
  </si>
  <si>
    <t>CHINISPUR_BRANCH</t>
  </si>
  <si>
    <t>GM BHUIYAN TOWER, VELANAGAR BUS STAND, CHINISPUR, NARSINGDI</t>
  </si>
  <si>
    <t>018 47052274, 019 66602243, 018 39398872</t>
  </si>
  <si>
    <t>cns@ucb.com.bd</t>
  </si>
  <si>
    <t>245680672</t>
  </si>
  <si>
    <t>06257 56405, 017 11809731</t>
  </si>
  <si>
    <t>mdh@ucb.com.bd</t>
  </si>
  <si>
    <t>245680856</t>
  </si>
  <si>
    <t>NARSINGDI BAZAR, NARSINGDI 1600</t>
  </si>
  <si>
    <t>0621 63272, 62673, 017 11809730</t>
  </si>
  <si>
    <t>nsd@ucb.com.bd</t>
  </si>
  <si>
    <t>245691090</t>
  </si>
  <si>
    <t>HARISHAPUR, PATUAPARA, NATORE</t>
  </si>
  <si>
    <t>0771 66771, 66913, 017 11809721</t>
  </si>
  <si>
    <t>ptn@ucb.com.bd</t>
  </si>
  <si>
    <t>245750678</t>
  </si>
  <si>
    <t>HAJI SERAJ MARKET, 50-266 KALITALA ROAD, CHOWMUHANI, NOAKHALI</t>
  </si>
  <si>
    <t>0321 52206, 52111, 017 11883741</t>
  </si>
  <si>
    <t>cmh@ucb.com.bd</t>
  </si>
  <si>
    <t>245750115</t>
  </si>
  <si>
    <t>ALAIYARPUR, WARD 9, KUTUBPUR, BEGUMGANJ, NOAKHALI</t>
  </si>
  <si>
    <t>018 47052271, 019 26666858, 018 19991595</t>
  </si>
  <si>
    <t>kzh@ucb.com.bd</t>
  </si>
  <si>
    <t>245751572</t>
  </si>
  <si>
    <t>1175-1176 MAIJDEE COURT, MAIN ROAD, NOAKHALI</t>
  </si>
  <si>
    <t>0321 61176, 61236, 017 11883748</t>
  </si>
  <si>
    <t>mdc@ucb.com.bd</t>
  </si>
  <si>
    <t>245752234</t>
  </si>
  <si>
    <t>MOTALEB PLAZA, ESHAK MIA SARAK, WARD 2, SONAIMURI, NOAKHALI</t>
  </si>
  <si>
    <t>03227 51202, 017 87675591, 019 15479064</t>
  </si>
  <si>
    <t>smr@ucb.com.bd</t>
  </si>
  <si>
    <t>245761788</t>
  </si>
  <si>
    <t>AL-MONSUR SUPER MARKET, 407 ABDUL HAMID ROAD, PABNA</t>
  </si>
  <si>
    <t>0731 65417, 66331, 017 11883756</t>
  </si>
  <si>
    <t>pbn@ucb.com.bd</t>
  </si>
  <si>
    <t>245810226</t>
  </si>
  <si>
    <t>HAOWA PLAZA, BANESHWAR, PUTHIA, RAJSHAHI</t>
  </si>
  <si>
    <t>017 87675590, 019 15479097</t>
  </si>
  <si>
    <t>bnr@ucb.com.bd</t>
  </si>
  <si>
    <t>245811933</t>
  </si>
  <si>
    <t>UCBLBDDHRJH</t>
  </si>
  <si>
    <t>70-71, MIAH PARA, SHAHEB BAZAR, NATORE MAHA SARAK, RAJSHAHI 6100</t>
  </si>
  <si>
    <t>0721 771386, 773367, 812357, 017 11883755</t>
  </si>
  <si>
    <t>rjh@ucb.com.bd</t>
  </si>
  <si>
    <t>245851456</t>
  </si>
  <si>
    <t>UCBLBDDHRNG</t>
  </si>
  <si>
    <t>ASHA CENTER, 624 GL ROY ROAD, KOTWALI, RANGPUR</t>
  </si>
  <si>
    <t>0521 62851, 63730, 017 11881061</t>
  </si>
  <si>
    <t>rng@ucb.com.bd</t>
  </si>
  <si>
    <t>245913310</t>
  </si>
  <si>
    <t>SHAMPAD PLAZA LIMITED, HOLDING NO 46, SHERPUR</t>
  </si>
  <si>
    <t>017 09635951, 019 55515470</t>
  </si>
  <si>
    <t>spb@ucb.com.bd</t>
  </si>
  <si>
    <t>245880827</t>
  </si>
  <si>
    <t>DISHARI PLAZA, ENAYETPUR, SIRAJGANJ</t>
  </si>
  <si>
    <t>017 08126234, 019 51146464</t>
  </si>
  <si>
    <t>ena@ucb.com.bd</t>
  </si>
  <si>
    <t>245881871</t>
  </si>
  <si>
    <t>720 SS ROAD, SIRAJGANJ SADAR, SIRAJGANJ</t>
  </si>
  <si>
    <t>0751 62393, 64169, 017 11888362</t>
  </si>
  <si>
    <t>srj@ucb.com.bd</t>
  </si>
  <si>
    <t>245882238</t>
  </si>
  <si>
    <t>MIZAN MANSION, 807 JOYDEB SARAK, WARD 3, ULLAPARA, SERAJGANJ</t>
  </si>
  <si>
    <t>017 87670979, 019 15479134</t>
  </si>
  <si>
    <t>ulp@ucb.com.bd</t>
  </si>
  <si>
    <t>245910047</t>
  </si>
  <si>
    <t>AIRPORT ROAD, AMBARKHANA, SYLHET</t>
  </si>
  <si>
    <t>0821 718181, 712631, 017 11883751</t>
  </si>
  <si>
    <t>amb@ucb.com.bd</t>
  </si>
  <si>
    <t>245910313</t>
  </si>
  <si>
    <t>SHAHAB MENSION, MAIN ROAD, BEANIBAZAR, SYLHET 3170</t>
  </si>
  <si>
    <t>08223 88338, 017 11883750</t>
  </si>
  <si>
    <t>bbz@ucb.com.bd</t>
  </si>
  <si>
    <t>245910434</t>
  </si>
  <si>
    <t>038911 82063, 82059, 017 11883749</t>
  </si>
  <si>
    <t>bis@ucb.com.bd</t>
  </si>
  <si>
    <t>245911541</t>
  </si>
  <si>
    <t>03799 187015, 017 11883752</t>
  </si>
  <si>
    <t>gob@ucb.com.bd</t>
  </si>
  <si>
    <t>245912511</t>
  </si>
  <si>
    <t>251 / 251</t>
  </si>
  <si>
    <t>ALI COMPLEX, 14 CHAYATARU, LAMA BAZAR, SYLHET</t>
  </si>
  <si>
    <t>0821 710760, 017 13436187, 018 11415698</t>
  </si>
  <si>
    <t>lbb@ucb.com.bd</t>
  </si>
  <si>
    <t>245913257</t>
  </si>
  <si>
    <t>ROSE VIEW COMPLEX, PLOT NO 597-598, BLOCK D, SHAHJALAL UPASHAHAR, KOTWALI, SYLHET</t>
  </si>
  <si>
    <t>0821 2833298-99, 018 19412620</t>
  </si>
  <si>
    <t>ups@ucb.com.bd</t>
  </si>
  <si>
    <t>245913402</t>
  </si>
  <si>
    <t>SYLMARK TOWER, TULTIKAR, SHIBGANJ BAZAR, TAMABIL ROAD, SYLHET</t>
  </si>
  <si>
    <t>0821 760300, 017 11883753</t>
  </si>
  <si>
    <t>shb@ucb.com.bd</t>
  </si>
  <si>
    <t>245913499</t>
  </si>
  <si>
    <t>SILVER STAR TOWER DOYAL 1, SYLHET-SUNAMGANJ SARAK, SUBIDBAZAR, SYLHET</t>
  </si>
  <si>
    <t>0821 721450, 017 14167432, 017 12737111</t>
  </si>
  <si>
    <t>sbs@ucb.com.bd</t>
  </si>
  <si>
    <t>245913552</t>
  </si>
  <si>
    <t>UCBLBDDHSYL</t>
  </si>
  <si>
    <t>0821 715070, 713541, 713519, 017 11809727</t>
  </si>
  <si>
    <t>syl@ucb.com.bd</t>
  </si>
  <si>
    <t>245914151</t>
  </si>
  <si>
    <t>1683/A ZINDABAZAR, SYLHET</t>
  </si>
  <si>
    <t>0821 714527, 723567, 017 11881062</t>
  </si>
  <si>
    <t>znb@ucb.com.bd</t>
  </si>
  <si>
    <t>245930919</t>
  </si>
  <si>
    <t>MOHANA SHOPPING CENTER, HOLDING NO 541-542, MAIN ROAD, GHATAIL, TANGAIL</t>
  </si>
  <si>
    <t>017 87663662, 017 27899349</t>
  </si>
  <si>
    <t>ght@ucb.com.bd</t>
  </si>
  <si>
    <t>245932296</t>
  </si>
  <si>
    <t>1722-1729 MASJID ROAD, TANGAIL</t>
  </si>
  <si>
    <t>0921 64307, 64327, 017 11881051</t>
  </si>
  <si>
    <t>tgl@ucb.com.bd</t>
  </si>
  <si>
    <t>UTTARA_BANK_LIMITED</t>
  </si>
  <si>
    <t>UTTARA BANK LIMITED</t>
  </si>
  <si>
    <t>250010079</t>
  </si>
  <si>
    <t>UTBLBDDH</t>
  </si>
  <si>
    <t>HOLDING NO 158, MAIN ROAD, WARD 5, BAGERHAT 9300</t>
  </si>
  <si>
    <t>019 91144386, 0468 62440</t>
  </si>
  <si>
    <t>bagerhat.manager@uttarabank-bd.com</t>
  </si>
  <si>
    <t>250010945</t>
  </si>
  <si>
    <t>HOLDING NO 54/1, MONGLA, BAGERHAT 9530</t>
  </si>
  <si>
    <t>019 91144397, 04658 73383</t>
  </si>
  <si>
    <t>mongla.manager@uttarabank-bd.com</t>
  </si>
  <si>
    <t>250040131</t>
  </si>
  <si>
    <t>ADVOCATE ANSAR PLAZA, NAZRUL ISLAM ROAD, BARGUNA 8700</t>
  </si>
  <si>
    <t>019 91144417, 0448 62376</t>
  </si>
  <si>
    <t>barguna.manager@uttarabank-bd.com</t>
  </si>
  <si>
    <t>250060287</t>
  </si>
  <si>
    <t>UTBLBDDH444</t>
  </si>
  <si>
    <t>ARYYA LAKSHMI BHABAN, SADAR ROAD, BARISAL 8200</t>
  </si>
  <si>
    <t>019 91144416, 0431 64175, 64407</t>
  </si>
  <si>
    <t>barisal.manager@uttarabank-bd.com</t>
  </si>
  <si>
    <t>250060708</t>
  </si>
  <si>
    <t>JONAKI SHOPPING COMPLEX, 79 CHAWK BAZAR, WARD NO 9, BARISAL 8200</t>
  </si>
  <si>
    <t>019 91144420, 0431 64502, 64096</t>
  </si>
  <si>
    <t>chawkbzr.barmanager@uttarabank-bd.com</t>
  </si>
  <si>
    <t>250090107</t>
  </si>
  <si>
    <t>K JAHAN SHOPPING COMPLEX, 677/A SADAR ROAD, BHOLA 8350</t>
  </si>
  <si>
    <t>019 91144418, 0491 61480</t>
  </si>
  <si>
    <t>ublbhola.manager@uttarabank-bd.com</t>
  </si>
  <si>
    <t>250090378</t>
  </si>
  <si>
    <t>DAULATKHAN BAZAR, BHOLA 8310</t>
  </si>
  <si>
    <t>019 91144421, 04924 56110</t>
  </si>
  <si>
    <t>ubldkhan.manager@uttarabank-bd.com</t>
  </si>
  <si>
    <t>250090707</t>
  </si>
  <si>
    <t>MIA PLAZA, HOLDING NO 878-879, WARD NO 6, SADAR ROAD, LALMOHAN, BHOLA</t>
  </si>
  <si>
    <t>019 91144427, 04425 56204</t>
  </si>
  <si>
    <t>lalmohon.manager@uttarabank-bd.com</t>
  </si>
  <si>
    <t>250091001</t>
  </si>
  <si>
    <t>AHMAD BHABAN, SADAR ROAD, HAT SHASHIGANJ BAZAR, TAZUMUDDIN, BHOLA 8350</t>
  </si>
  <si>
    <t>019 91144434, 04927 56019</t>
  </si>
  <si>
    <t>tajumuddin.manager@uttarabank-bd.com</t>
  </si>
  <si>
    <t>250100376</t>
  </si>
  <si>
    <t>UTBLBDDH447</t>
  </si>
  <si>
    <t>HABIB MANSION, KABI NAZRUL ISLAM ROAD, BOGRA 5800</t>
  </si>
  <si>
    <t>019 91144356, 051 66228, 78439</t>
  </si>
  <si>
    <t>bogra.manager@uttarabank-bd.com</t>
  </si>
  <si>
    <t>250120435</t>
  </si>
  <si>
    <t>AHMED MANSION, HOLDING NO 1324, SARAK BAZAR, BRAHMANBARIA 3400</t>
  </si>
  <si>
    <t>019 91144305, 0851 58673, 57633</t>
  </si>
  <si>
    <t>bbaria.manager@uttarabank-bd.com</t>
  </si>
  <si>
    <t>250120730</t>
  </si>
  <si>
    <t>DHARKHAR BRANCH</t>
  </si>
  <si>
    <t>DHARKHAR_BRANCH</t>
  </si>
  <si>
    <t>TANTOR BAZAR, AKHAURA, BRAHMANBARIA 3452</t>
  </si>
  <si>
    <t>019 91144312</t>
  </si>
  <si>
    <t>dharkhar.manager@uttarabank-bd.com</t>
  </si>
  <si>
    <t>250120822</t>
  </si>
  <si>
    <t>GOPINATHPUR, KASBA, BRAHMANBARIA 3464</t>
  </si>
  <si>
    <t>019 91144314</t>
  </si>
  <si>
    <t>gopinathpur.manager@uttarabank-bd.com</t>
  </si>
  <si>
    <t>250130317</t>
  </si>
  <si>
    <t>508/55 AKHANDA MARKET, COMILLA ROAD, CHANDPUR 3600</t>
  </si>
  <si>
    <t>019 91144307, 0841 63227</t>
  </si>
  <si>
    <t>chandpur.manager@uttarabank-bd.com</t>
  </si>
  <si>
    <t>250700255</t>
  </si>
  <si>
    <t>CHAPAI NAWABGANJ SADAR, CHAPAI NAWABGANJ 6300</t>
  </si>
  <si>
    <t>019 91144337, 0781 55558</t>
  </si>
  <si>
    <t>chapainawabgonj.manager@uttarabank-bd.com</t>
  </si>
  <si>
    <t>250700521</t>
  </si>
  <si>
    <t>019 91144339</t>
  </si>
  <si>
    <t>kansat.manager@uttarabank-bd.com</t>
  </si>
  <si>
    <t>250150139</t>
  </si>
  <si>
    <t>UTBLBDDH439</t>
  </si>
  <si>
    <t>74 AGRABAD C/A, CHITTAGONG 4000</t>
  </si>
  <si>
    <t>031 715846, 019 91144266</t>
  </si>
  <si>
    <t>agrabad.manager@uttarabank-bd.com</t>
  </si>
  <si>
    <t>250150942</t>
  </si>
  <si>
    <t>JAMAL SHOPPING CENTRE, BANDARTILA, CEPZ, CHITTAGONG</t>
  </si>
  <si>
    <t>019 91144267, 031 740975</t>
  </si>
  <si>
    <t>bandartilla.manager@uttarabank-bd.com</t>
  </si>
  <si>
    <t>250150292</t>
  </si>
  <si>
    <t>HAWA BHABAN, BARAIYARHAT, MIRSARAI, CHITTAGONG</t>
  </si>
  <si>
    <t>019 91144268</t>
  </si>
  <si>
    <t>baraiyarhat .manager@uttarabank-bd.com</t>
  </si>
  <si>
    <t>250151754</t>
  </si>
  <si>
    <t>HOLDING NO 19, NEW CHAKTAI, CHALPOTTI, CHITTAGONG 4000</t>
  </si>
  <si>
    <t>019 91144269, 031 638779, 615899</t>
  </si>
  <si>
    <t>chaktai.manager@uttarabank-bd.com</t>
  </si>
  <si>
    <t>250151938</t>
  </si>
  <si>
    <t>ALI PLAZA 2, 16 LALCHAND ROAD, CHAWK BAZAR, CHITTAGONG 4203</t>
  </si>
  <si>
    <t>019 91144270, 031 2864506</t>
  </si>
  <si>
    <t>chawkbzrctg.manager@uttarabank-bd.com</t>
  </si>
  <si>
    <t>250153165</t>
  </si>
  <si>
    <t>NN TOWER, HOLDING NO 1546, WEST RAMPUR POST CONNECTING ROAD, HALISHAHAR, CHITTAGONG 4224</t>
  </si>
  <si>
    <t>019 91144272, 031 727204</t>
  </si>
  <si>
    <t>halishahar.manager@uttarabank-bd.com</t>
  </si>
  <si>
    <t>250153644</t>
  </si>
  <si>
    <t>PEDROLLO PLAZA, 5 JUBILEE ROAD, CHITTAGONG</t>
  </si>
  <si>
    <t>019 91144273, 031 613131</t>
  </si>
  <si>
    <t>jubileerd.manager@uttarabank-bd.com</t>
  </si>
  <si>
    <t>250154098</t>
  </si>
  <si>
    <t>NOOR SHOPING COMPLEX, HOLDING NO 988/1694, MA AZIZ ROAD, PATENGA, CHITTAGONG 4000</t>
  </si>
  <si>
    <t>019 91144274, 031 2500851</t>
  </si>
  <si>
    <t>katghar.manager@uttarabank-bd.com</t>
  </si>
  <si>
    <t>250154272</t>
  </si>
  <si>
    <t>UTBLBDDH442</t>
  </si>
  <si>
    <t>MJ TRADE CENTRE, 263/284 KHATUNGANG, CHITTAGONG 4000</t>
  </si>
  <si>
    <t>019 91144275, 031 638447</t>
  </si>
  <si>
    <t>khatungonj.manager@uttarabank-bd.com</t>
  </si>
  <si>
    <t>250154519</t>
  </si>
  <si>
    <t>LALDIHGI BRANCH</t>
  </si>
  <si>
    <t>LALDIHGI_BRANCH</t>
  </si>
  <si>
    <t>UTBLBDDH450</t>
  </si>
  <si>
    <t>120  LALDIGHI WEST, CHITTAGONG 4000</t>
  </si>
  <si>
    <t>019 91144276, 031 637276, 630729</t>
  </si>
  <si>
    <t>laldighi.manager@uttarabank-bd.com</t>
  </si>
  <si>
    <t>250154577</t>
  </si>
  <si>
    <t>AYUB PLAZA, 597/576 MOTIJHARNA ROAD, LALKHAN BAZAR, CHITTAGONG 4000</t>
  </si>
  <si>
    <t>019 91144277, 031 615905</t>
  </si>
  <si>
    <t>lalkhan.manager@uttarabank-bd.com</t>
  </si>
  <si>
    <t>250154669</t>
  </si>
  <si>
    <t>AL-AMIN SHOPPING COMPLEX, LOHAGARA, CHITTAGONG 4396</t>
  </si>
  <si>
    <t>019 91144278, 03034 56335</t>
  </si>
  <si>
    <t>lohagara.manager@uttarabank-bd.com</t>
  </si>
  <si>
    <t>250155534</t>
  </si>
  <si>
    <t>COMMERCE VIEW COMPLEX, 191 CDA AVENUE, EAST NASIRABAD, PANCHLAISH, CHITTAGONG 4000</t>
  </si>
  <si>
    <t>019 91144279, 031 654136</t>
  </si>
  <si>
    <t>nasirabad.manager@uttarabank-bd.com</t>
  </si>
  <si>
    <t>250156162</t>
  </si>
  <si>
    <t>TAYABIA MARKET, STATION ROAD, PATIYA, CHITTAGONG 4370</t>
  </si>
  <si>
    <t>019 91144280, 03035 56336</t>
  </si>
  <si>
    <t>patiya.manager@uttarabank-bd.com</t>
  </si>
  <si>
    <t>250156520</t>
  </si>
  <si>
    <t>1254 REAZUDDIN BAZAR, CHITTAGONG 4000</t>
  </si>
  <si>
    <t>019 91144282, 031 613307</t>
  </si>
  <si>
    <t>reazuddinbzr.manager@uttarabank-bd.com</t>
  </si>
  <si>
    <t>250156733</t>
  </si>
  <si>
    <t>38 SADARGHAT ROAD, CHITTAGONG 4000</t>
  </si>
  <si>
    <t>019 91144283, 031 613506</t>
  </si>
  <si>
    <t>sadarghatctg.manager@uttarabank-bd.com</t>
  </si>
  <si>
    <t>250156917</t>
  </si>
  <si>
    <t>NEW UPAZILLA COMPLEX, HARAMEAH, SANERHAT, SANDWIP, CHITTAGONG 4300</t>
  </si>
  <si>
    <t>019 91144284</t>
  </si>
  <si>
    <t>sandwip.manager@uttarabank-bd.com</t>
  </si>
  <si>
    <t>250157424</t>
  </si>
  <si>
    <t>742 / 742</t>
  </si>
  <si>
    <t>SAIMA BHANDAR MARKET, HOLDING NO 309, WARD 24, SHEIKH MUJIB ROAD, DOUBLEMOORING, CHITTAGONG</t>
  </si>
  <si>
    <t>019 91144286, 031 715634</t>
  </si>
  <si>
    <t>skmujibrd.manager@uttarabank-bd.com</t>
  </si>
  <si>
    <t>250157390</t>
  </si>
  <si>
    <t>NIBIR BIPONI BITAN, NAMAR BAZAR, SITAKUNDA, CHITTAGONG</t>
  </si>
  <si>
    <t>019 91144285, 03028 56020</t>
  </si>
  <si>
    <t>sitakunda.manager@uttarabank-bd.com</t>
  </si>
  <si>
    <t>250180196</t>
  </si>
  <si>
    <t>HAMID ALI MARKET, THANA ROAD, CHUADANGA 7200</t>
  </si>
  <si>
    <t>019 91144387, 0761 62332</t>
  </si>
  <si>
    <t>chuadanga.manager@uttarabank-bd.com</t>
  </si>
  <si>
    <t>250190223</t>
  </si>
  <si>
    <t>BGSL BRANCH</t>
  </si>
  <si>
    <t>BGSL_BRANCH</t>
  </si>
  <si>
    <t>HEAD OFFICE COMPLEX, BAKHRABAD GAS SYSTEMS LIMITED, CHAPAPUR, COMILLA 3500</t>
  </si>
  <si>
    <t>019 91144304, 081 76159</t>
  </si>
  <si>
    <t>bgsl.manager@uttarabank-bd.com</t>
  </si>
  <si>
    <t>250190881</t>
  </si>
  <si>
    <t>HAJI ABDUL HAMID MEMBER MARKET, HOLDING NO 1218, THANA ROAD, WARD 5, CHANDINA, COMILLA</t>
  </si>
  <si>
    <t>019 91144306, 08022 56462</t>
  </si>
  <si>
    <t>chandina.manager@uttarabank-bd.com</t>
  </si>
  <si>
    <t>250191156</t>
  </si>
  <si>
    <t>UTBLBDDH441</t>
  </si>
  <si>
    <t>ROY COMPLEX, NAZRUL AVENUE, HOLDING NO 115/1-2, WARD 10, KOTWALI, COMILLA</t>
  </si>
  <si>
    <t>019 91144310, 081 76271, 76878</t>
  </si>
  <si>
    <t>comilla.manager@uttarabank-bd.com</t>
  </si>
  <si>
    <t>250191422</t>
  </si>
  <si>
    <t>HAJI TOWER, COMPANIGANJ BAZAR, NABIPUR, MURADNAGAR, COMILLA</t>
  </si>
  <si>
    <t>019 91144311</t>
  </si>
  <si>
    <t>companicomilla.manager@uttarabank-bd.com</t>
  </si>
  <si>
    <t>250193617</t>
  </si>
  <si>
    <t>RAJGANJ ROAD BRANCH</t>
  </si>
  <si>
    <t>RAJGANJ_ROAD_BRANCH</t>
  </si>
  <si>
    <t>HAZI SAFAR ALI PLAZA, RAJGANJ ROAD, CHAWKBAZAR, COMILLA 3500</t>
  </si>
  <si>
    <t>019 91144318, 081 65437</t>
  </si>
  <si>
    <t>rajgonj.manager@uttarabank-bd.com</t>
  </si>
  <si>
    <t>250220256</t>
  </si>
  <si>
    <t>250261099</t>
  </si>
  <si>
    <t>AERE EPZ BRANCH</t>
  </si>
  <si>
    <t>AERE_EPZ_BRANCH</t>
  </si>
  <si>
    <t>UTBLBDDH460</t>
  </si>
  <si>
    <t>DEPZ, DHAMSONA, ASHULIA, SAVAR, DHAKA 1344</t>
  </si>
  <si>
    <t>02 7701208, 7789561, 019 91144151</t>
  </si>
  <si>
    <t>epz.manager@uttarabank-bd.com</t>
  </si>
  <si>
    <t>250260137</t>
  </si>
  <si>
    <t>AFZAL BEPARI MARKET, AMIN BAZAR, SAVAR, DHAKA</t>
  </si>
  <si>
    <t>02 9001518, 019 91144152</t>
  </si>
  <si>
    <t>aminbazar.manager@uttarabank-bd.com</t>
  </si>
  <si>
    <t>250260287</t>
  </si>
  <si>
    <t>AWLAD HOSSAIN MARKET 104 AIRPORT ROAD, TEJGAON, DHAKA 1215</t>
  </si>
  <si>
    <t>02 8117958, 9117127, 019 91144116</t>
  </si>
  <si>
    <t>ahossain.manager@uttarabank-bd.com</t>
  </si>
  <si>
    <t>250270372</t>
  </si>
  <si>
    <t>SIR SALIMULLAH ORPHANAGE BUILDING, 48 AZIMPUR ROAD, AZIMPUR, DHAKA 1205</t>
  </si>
  <si>
    <t>02 9665490, 019 91144191</t>
  </si>
  <si>
    <t>azimpur.manager@uttarabank-bd.com</t>
  </si>
  <si>
    <t>250270556</t>
  </si>
  <si>
    <t>3-4/A, GOPINATH DUTTA KABIRAJ STREET, BABU BAZAR, DHAKA 1100</t>
  </si>
  <si>
    <t>02 57391305, 57391541, 019 91144192</t>
  </si>
  <si>
    <t>babubazar.manager@uttarabank-bd.com</t>
  </si>
  <si>
    <t>250260340</t>
  </si>
  <si>
    <t>JAHANARA PLAZA, HOLDING NO F-15, MIDDLE BADDA, PRAGATI SARANI, BADDA, DHAKA 1212</t>
  </si>
  <si>
    <t>019 91144118, 02 9860645</t>
  </si>
  <si>
    <t>badda.manager@uttarabank-bd.com</t>
  </si>
  <si>
    <t>250260724</t>
  </si>
  <si>
    <t>BH NIBASH, HOLDING NO  A-22, ROAD 2, SOUTH BANASREE, KHILGAON, DHAKA 1219</t>
  </si>
  <si>
    <t>019 91144119, 02 7811960</t>
  </si>
  <si>
    <t>banasree.manager@uttarabank-bd.com</t>
  </si>
  <si>
    <t>250270435</t>
  </si>
  <si>
    <t>UTBLBDDH449</t>
  </si>
  <si>
    <t>12 BANGABANDHU AVENUE, RAMNA, DHAKA 1000</t>
  </si>
  <si>
    <t>02 9554034, 9569396, 019 91144117</t>
  </si>
  <si>
    <t>bbavenue.manager@uttarabank-bd.com</t>
  </si>
  <si>
    <t>250270822</t>
  </si>
  <si>
    <t>FATEMA MANSION, 37 BANGLA BAZAR, DHAKA 1100</t>
  </si>
  <si>
    <t>019 91144193, 02 47115840</t>
  </si>
  <si>
    <t>banglabazar.manager@uttarabank-bd.com</t>
  </si>
  <si>
    <t>250270914</t>
  </si>
  <si>
    <t>BANIJYA BRANCH</t>
  </si>
  <si>
    <t>BANIJYA_BRANCH</t>
  </si>
  <si>
    <t>UTBLBDDH453</t>
  </si>
  <si>
    <t>34 GHARIB-E-NEWAZ AVENUE, UTTARA MODEL TOWN, DHAKA</t>
  </si>
  <si>
    <t>019 91144154, 02 8932614-5</t>
  </si>
  <si>
    <t>banijya.manager@uttarabank-bd.com</t>
  </si>
  <si>
    <t>250270493</t>
  </si>
  <si>
    <t>BKSP BRANCH</t>
  </si>
  <si>
    <t>BKSP_BRANCH</t>
  </si>
  <si>
    <t>FORZON PLAZA, ZIRANI BAZAR, ASHULIA, SAVAR, DHAKA</t>
  </si>
  <si>
    <t>019 91144153, 02 7790052</t>
  </si>
  <si>
    <t>bksp.manager@uttarabank-bd.com</t>
  </si>
  <si>
    <t>250271276</t>
  </si>
  <si>
    <t>UTBLBDDH434</t>
  </si>
  <si>
    <t>5 BEGUM BAZAR, DHAKA 1100</t>
  </si>
  <si>
    <t>019 91144194, 02 57319173, 57312168</t>
  </si>
  <si>
    <t>chawkbazar.manager@uttarabank-bd.com</t>
  </si>
  <si>
    <t>250273979</t>
  </si>
  <si>
    <t>90-B  MALIBAGH CHOWDHURY PARA, DHAKA 1219</t>
  </si>
  <si>
    <t>019 91144132, 02 9332034, 9330041</t>
  </si>
  <si>
    <t>malibaghchpara.manager@uttarabank-bd.com</t>
  </si>
  <si>
    <t>250271397</t>
  </si>
  <si>
    <t>UTBLBDDH452</t>
  </si>
  <si>
    <t>UTTARA BANK BHABAN, 47 SHAHID BIR UTTAM ASFAQUS SAMAD SARAK (90 MOTIJHEEL C/A), DHAKA 1000</t>
  </si>
  <si>
    <t>02 9551162</t>
  </si>
  <si>
    <t>corporate.manager@uttarabank-bd.com</t>
  </si>
  <si>
    <t>250260940</t>
  </si>
  <si>
    <t>DARUS SALAM BRANCH</t>
  </si>
  <si>
    <t>DARUS_SALAM_BRANCH</t>
  </si>
  <si>
    <t>UTBLBDDH462</t>
  </si>
  <si>
    <t>2 DARUS SALAM ROAD, MIRPUR 1, DHAKA 1216</t>
  </si>
  <si>
    <t>019 91144155, 02 9000474, 9021865</t>
  </si>
  <si>
    <t>darussalam.manager@uttarabank-bd.com</t>
  </si>
  <si>
    <t>250271847</t>
  </si>
  <si>
    <t>30/1 LALMOHAN SAHA STREET, DHOLAIKHAL, DHAKA 1100</t>
  </si>
  <si>
    <t>019 91144195, 02 47111383</t>
  </si>
  <si>
    <t>dholaikhal.manager@uttarabank-bd.com</t>
  </si>
  <si>
    <t>250271900</t>
  </si>
  <si>
    <t>UTBLBDDH433</t>
  </si>
  <si>
    <t>42 DILKUSHA C/A, MOTIJHEEL, DHAKA 1000</t>
  </si>
  <si>
    <t>019 91144120, 02 9551856, 9551718</t>
  </si>
  <si>
    <t>dilkusha.manager@uttarabank-bd.com</t>
  </si>
  <si>
    <t>250261307</t>
  </si>
  <si>
    <t>EASTERN PLAZA BRANCH</t>
  </si>
  <si>
    <t>EASTERN_PLAZA_BRANCH</t>
  </si>
  <si>
    <t>SHOP NO 5/B-1, EASTERN PLAZA, 70/5/48 BIR UTTAM CR DUTTA SARAK, HATIRPOOL, DHAKA 1205</t>
  </si>
  <si>
    <t>019 91144156, 02 9675482, 9670478</t>
  </si>
  <si>
    <t>easternplaza.manager@uttarabank-bd.com</t>
  </si>
  <si>
    <t>250261336</t>
  </si>
  <si>
    <t>ALISHAN COMPLEX, 300 ELEPHANT ROAD, DHAKA 1205</t>
  </si>
  <si>
    <t>019 91144198, 02 58612522, 58615770</t>
  </si>
  <si>
    <t>elephantrd.manager@uttarabank-bd.com</t>
  </si>
  <si>
    <t>250272141</t>
  </si>
  <si>
    <t>UTBLBDDH464</t>
  </si>
  <si>
    <t>79 SHAHID SYED NAZRUL ISLAM SARANI (OLD 9/A, MALITOLA LANE), ENGLISH ROAD, DHAKA 1100</t>
  </si>
  <si>
    <t>019 91144197, 02 47114527</t>
  </si>
  <si>
    <t>englishrd.manager@uttarabank-bd.com</t>
  </si>
  <si>
    <t>250272170</t>
  </si>
  <si>
    <t>SKY VIEW TRADE VALLEY, HOLDING NO 66/1, VIP ROAD, PALTAN, DHAKA 1000</t>
  </si>
  <si>
    <t>019 91144123, 02 9338701, 9338673</t>
  </si>
  <si>
    <t>fakirapool.manager@uttarabank-bd.com</t>
  </si>
  <si>
    <t>250272325</t>
  </si>
  <si>
    <t>UTBLBDDH435</t>
  </si>
  <si>
    <t>69 DILKUSHA C/A, DHAKA 1000</t>
  </si>
  <si>
    <t>019 91144124, 02 9552375, 9551881</t>
  </si>
  <si>
    <t>foreighes.manager@uttarabank-bd.com</t>
  </si>
  <si>
    <t>250272383</t>
  </si>
  <si>
    <t>HANNAN MANSION, 174 STATION ROAD, SIDDIQUE BAZAR, FULBARIA, DHAKA 1000</t>
  </si>
  <si>
    <t>019 91144125, 02 9580451</t>
  </si>
  <si>
    <t>fulbaria.manager@uttarabank-bd.com</t>
  </si>
  <si>
    <t>250261699</t>
  </si>
  <si>
    <t>77 GREEN ROAD, FARMGATE, DHAKA 1205</t>
  </si>
  <si>
    <t>019 91144159, 02 8110632</t>
  </si>
  <si>
    <t>greenroad.manager@uttarabank-bd.com</t>
  </si>
  <si>
    <t>250261723</t>
  </si>
  <si>
    <t>UTBLBDDH458</t>
  </si>
  <si>
    <t>METROPOLITAN SHOPPING PLAZA, GULSHAN CIRCLE 2, DHAKA 1205</t>
  </si>
  <si>
    <t>019 91144126, 02 9849667</t>
  </si>
  <si>
    <t>gulshan.manager@uttarabank-bd.com</t>
  </si>
  <si>
    <t>250272596</t>
  </si>
  <si>
    <t>29/4 KM DAS LANE, HATKHOLA ROAD, DHAKA 1203</t>
  </si>
  <si>
    <t>019 91144127, 02 47112606</t>
  </si>
  <si>
    <t>hatkhola.manager@uttarabank-bd.com</t>
  </si>
  <si>
    <t>250272712</t>
  </si>
  <si>
    <t>HOTEL ISHAKHAN INTERNATIONAL BRANCH</t>
  </si>
  <si>
    <t>HOTEL_ISHAKHAN_INTERNATIONAL_BRANCH</t>
  </si>
  <si>
    <t>UTBLBDDH431</t>
  </si>
  <si>
    <t>89/3 KAKRAIL, DHAKA 1000</t>
  </si>
  <si>
    <t>019 91144128, 02 8311795, 9335981</t>
  </si>
  <si>
    <t>hotelishakha.manager@uttarabank-bd.com</t>
  </si>
  <si>
    <t>250272804</t>
  </si>
  <si>
    <t>HAJI SHARIF MARKET, 28 IMAMGANJ, DHAKA 1211</t>
  </si>
  <si>
    <t>019 91144199, 02 57313512</t>
  </si>
  <si>
    <t>imamgonj.manager@uttarabank-bd.com</t>
  </si>
  <si>
    <t>250272983</t>
  </si>
  <si>
    <t>UTBLBDDH436</t>
  </si>
  <si>
    <t>MOSTOFA MANSION, 95 ISLAMPUR ROAD, DHAKA 1100</t>
  </si>
  <si>
    <t>019 91144200, 02 57390379, 57392546</t>
  </si>
  <si>
    <t>islampur.manager@uttarabank-bd.com</t>
  </si>
  <si>
    <t>250273229</t>
  </si>
  <si>
    <t>88/3 NORTH JATRABARI, DHAKA 1204</t>
  </si>
  <si>
    <t>019 91144129, 02 7546387, 7542523</t>
  </si>
  <si>
    <t>jatrabari.manager@uttarabank-bd.com</t>
  </si>
  <si>
    <t>250262351</t>
  </si>
  <si>
    <t>JOAR SAHARA BRANCH</t>
  </si>
  <si>
    <t>JOAR_SAHARA_BRANCH</t>
  </si>
  <si>
    <t>5 KABI FARUQUE SARANI, NIKUNJA 2, KHILKHET, DHAKA 1229</t>
  </si>
  <si>
    <t>019 91144160, 02 58956936, 8900430</t>
  </si>
  <si>
    <t>joarshahara.manager@uttarabank-bd.com</t>
  </si>
  <si>
    <t>250273258</t>
  </si>
  <si>
    <t>AZIZ CENTRE, 31 JOHNSON ROAD, DHAKA</t>
  </si>
  <si>
    <t>019 91144201, 02 47115667</t>
  </si>
  <si>
    <t>johnsonrd.manager@uttarabank-bd.com</t>
  </si>
  <si>
    <t>250262414</t>
  </si>
  <si>
    <t>KALABAGAN BRANCH</t>
  </si>
  <si>
    <t>KALABAGAN_BRANCH</t>
  </si>
  <si>
    <t>UTBLBDDH461</t>
  </si>
  <si>
    <t>157 LAKE CIRCUS, MIRPUR ROAD, KALABAGAN, DHAKA 1205</t>
  </si>
  <si>
    <t>019 91144162, 02 9117528, 8126136</t>
  </si>
  <si>
    <t>kalabagan.manager@uttarabank-bd.com</t>
  </si>
  <si>
    <t>250262535</t>
  </si>
  <si>
    <t>UTBLBDDH455</t>
  </si>
  <si>
    <t>JAMUNA BHABAN, 2 KARWAN BAZAR, DHAKA 1215</t>
  </si>
  <si>
    <t>019 91144130, 02 8180052, 8180055, 8180058</t>
  </si>
  <si>
    <t>kawranbazar.manager@uttarabank-bd.com</t>
  </si>
  <si>
    <t>250273795</t>
  </si>
  <si>
    <t>GIRLS GUIDE BUILDING, 1 NEW BAILY ROAD, DHAKA 1000</t>
  </si>
  <si>
    <t>019 91144131, 02 9330468</t>
  </si>
  <si>
    <t>ladies.manager@uttarabank-bd.com</t>
  </si>
  <si>
    <t>250273887</t>
  </si>
  <si>
    <t>UTBLBDDH432</t>
  </si>
  <si>
    <t>129-130 MOTIJHEEL COMMERCIAL AREA, DHAKA 1000</t>
  </si>
  <si>
    <t>localoffice.manager@uttarabank-bd.com</t>
  </si>
  <si>
    <t>250262980</t>
  </si>
  <si>
    <t>ZAHIN PLAZA, 28-29 MAZAR ROAD, GABTALI, DHAKA 1216</t>
  </si>
  <si>
    <t>019 91144165, 02 9012750</t>
  </si>
  <si>
    <t>mirpur.manager@uttarabank-bd.com</t>
  </si>
  <si>
    <t>250274123</t>
  </si>
  <si>
    <t>RAHMAN MANSION, 48 MITFORD ROAD, DHAKA 1100</t>
  </si>
  <si>
    <t>019 91144203, 02 7320874, 7314771</t>
  </si>
  <si>
    <t>mitfordrd.manager@uttarabank-bd.com</t>
  </si>
  <si>
    <t>250274181</t>
  </si>
  <si>
    <t>GRAND PLAZA SHOPPING MALL, 185 SHAHID SHANGBADIK SALINA PARVIN SARAK, DHAKA 1217</t>
  </si>
  <si>
    <t>019 91144133, 02 9341354, 9357090</t>
  </si>
  <si>
    <t>moghbzr.manager@uttarabank-bd.com</t>
  </si>
  <si>
    <t>250263192</t>
  </si>
  <si>
    <t>JA-146 MOHAKHALI WIRELESS GATE, DHAKA 1212</t>
  </si>
  <si>
    <t>02 58816477</t>
  </si>
  <si>
    <t>mohakhali.manager@uttarabank-bd.com</t>
  </si>
  <si>
    <t>250274428</t>
  </si>
  <si>
    <t>UTBLBDDH448</t>
  </si>
  <si>
    <t>TAJMOHAL COMPLEX, 66 MOULVI BAZAR, DHAKA 1100</t>
  </si>
  <si>
    <t>019 91144202, 02 57317219, 57315839</t>
  </si>
  <si>
    <t>moulvibazar.manager@uttarabank-bd.com</t>
  </si>
  <si>
    <t>250274457</t>
  </si>
  <si>
    <t>445 / 445</t>
  </si>
  <si>
    <t>AWAL SUPER MARKET, 126/2 NORTH MUGDAPARA, DHAKA 1214</t>
  </si>
  <si>
    <t>019 91144134, 02 7271042</t>
  </si>
  <si>
    <t>mugdapara.manager@uttarabank-bd.com</t>
  </si>
  <si>
    <t>250274699</t>
  </si>
  <si>
    <t>DEWAN MONJIL, NAWABGANJ, DHAKA 1320</t>
  </si>
  <si>
    <t>019 91144205, 02 7765253</t>
  </si>
  <si>
    <t>nawabgonj.manager@uttarabank-bd.com</t>
  </si>
  <si>
    <t>250274723</t>
  </si>
  <si>
    <t>UTBLBDDH454</t>
  </si>
  <si>
    <t>150 NAWABPUR ROAD, DHAKA 1100</t>
  </si>
  <si>
    <t>019 91144136, 02 9552302, 9555690</t>
  </si>
  <si>
    <t>nawabpur..manager@uttarabank-bd.com</t>
  </si>
  <si>
    <t>250274815</t>
  </si>
  <si>
    <t>13-15 NAWAB YOUSUF MARKET, NAYA BAZAR, DHAKA 1100</t>
  </si>
  <si>
    <t>019 91144204, 02 57390390</t>
  </si>
  <si>
    <t>nayabazar.manager@uttarabank-bd.com</t>
  </si>
  <si>
    <t>250263521</t>
  </si>
  <si>
    <t>NEHAR BHABAN, 7 MIRPUR ROAD, DHANMONDI, DHAKA 1205</t>
  </si>
  <si>
    <t>019 91144206, 02 58617843, 58617455</t>
  </si>
  <si>
    <t>nmarketdhk.manager@uttarabank-bd.com</t>
  </si>
  <si>
    <t>250275085</t>
  </si>
  <si>
    <t>NORTH SHAHJAHANPUR BRANCH</t>
  </si>
  <si>
    <t>NORTH_SHAHJAHANPUR_BRANCH</t>
  </si>
  <si>
    <t>508 / 508</t>
  </si>
  <si>
    <t>599 NORTH SHAHJAHANPUR, DHAKA 1217</t>
  </si>
  <si>
    <t>019 91144137, 02 9331050</t>
  </si>
  <si>
    <t>shahjahanpur.manager@uttarabank-bd.com</t>
  </si>
  <si>
    <t>250263589</t>
  </si>
  <si>
    <t>UTBLBDDH457</t>
  </si>
  <si>
    <t>SHIMANTA PLAZA, 26/D MAIN ROAD NO 3, SECTOR 11, PALLABI, MIRPUR, DHAKA 1221</t>
  </si>
  <si>
    <t>019 91144168, 02 9033982, 9039222</t>
  </si>
  <si>
    <t>pallabi.manager@uttarabank-bd.com</t>
  </si>
  <si>
    <t>250263613</t>
  </si>
  <si>
    <t>GM COMPLEX, 150 GREEN ROAD, WEST PANTHAPATH, DHAKA 1215</t>
  </si>
  <si>
    <t>019 91144169, 02 9116041, 8155909</t>
  </si>
  <si>
    <t>panthapath.manager@uttarabank-bd.com</t>
  </si>
  <si>
    <t>250275269</t>
  </si>
  <si>
    <t>AZIMPUR SUPER MARKET, AZIMPUR ROAD, DHAKA 1205</t>
  </si>
  <si>
    <t>019 91144209, 02 58610487</t>
  </si>
  <si>
    <t>peelkhana.manager@uttarabank-bd.com</t>
  </si>
  <si>
    <t>250275322</t>
  </si>
  <si>
    <t>BURIGANGA SETU MARKET, 16/1 NEW JURAIN, FARIDABAD, SHYAMPUR, DHAKA 1216</t>
  </si>
  <si>
    <t>019 91144207, 02 7444518</t>
  </si>
  <si>
    <t>postagola.manager@uttarabank-bd.com</t>
  </si>
  <si>
    <t>250275298</t>
  </si>
  <si>
    <t>90 WATER WORKS ROAD, DHAKA 1211</t>
  </si>
  <si>
    <t>019 91144208, 02 7318284</t>
  </si>
  <si>
    <t>posta.manager@uttarabank-bd.com</t>
  </si>
  <si>
    <t>250275685</t>
  </si>
  <si>
    <t>UTBLBDDH438</t>
  </si>
  <si>
    <t>MUKTI BHABAN, 22/2 COMRADE MONISING ROAD, PURANA PALTAN, DHAKA 1000</t>
  </si>
  <si>
    <t>019 91144138, 02 9565764, 9551154</t>
  </si>
  <si>
    <t>ramna.manager@uttarabank-bd.com</t>
  </si>
  <si>
    <t>250264009</t>
  </si>
  <si>
    <t>778-779 SHEWRAPARA, BEGUM ROKEYA SARANI, MIRPUR, DHAKA 1216</t>
  </si>
  <si>
    <t>019 91144170, 02 9020005, 9014458</t>
  </si>
  <si>
    <t>rokeyasarani.manager@uttarabank-bd.com</t>
  </si>
  <si>
    <t>250275922</t>
  </si>
  <si>
    <t>RAHMATULLAH MANSION, 5/1/1 SIMPSON ROAD, SADARGHAT, DHAKA 1100</t>
  </si>
  <si>
    <t>019 91144210, 02 47110257</t>
  </si>
  <si>
    <t>sadarghat.manager@uttarabank-bd.com</t>
  </si>
  <si>
    <t>250264038</t>
  </si>
  <si>
    <t>UTBLBDDH463</t>
  </si>
  <si>
    <t>EASTERN ELITE CENTER, 741 SATMASJID ROAD, DHANMONDI R/A, DHAKA 1209</t>
  </si>
  <si>
    <t>019 91144171, 02 9116420, 9113211</t>
  </si>
  <si>
    <t>satmashjidroad.manager@uttarabank-bd.com</t>
  </si>
  <si>
    <t>250264096</t>
  </si>
  <si>
    <t>SAVAR NEW MARKET, 3/2 TATTI, SAVAR, DHAKA 1340</t>
  </si>
  <si>
    <t>019 91144172, 02 7743308, 7743310</t>
  </si>
  <si>
    <t>savar.manager@uttarabank-bd.com</t>
  </si>
  <si>
    <t>250276347</t>
  </si>
  <si>
    <t>634 / 634</t>
  </si>
  <si>
    <t>UTBLBDDH451</t>
  </si>
  <si>
    <t>KULSUM, 40-41, SIDDESHWARI CIRCULAR ROAD, DHAKA 1217</t>
  </si>
  <si>
    <t>019 91144139, 02 8319041, 9333898</t>
  </si>
  <si>
    <t>shantinagar.manager@uttarabank-bd.com</t>
  </si>
  <si>
    <t>250271634</t>
  </si>
  <si>
    <t>SHERATON HOTEL BRANCH</t>
  </si>
  <si>
    <t>SHERATON_HOTEL_BRANCH</t>
  </si>
  <si>
    <t>SHERATON HOTEL BUILDING, 1 MINTO ROAD, SHAHBAGH, DHAKA 1000</t>
  </si>
  <si>
    <t>019 91144121, 02 8330134-5</t>
  </si>
  <si>
    <t>sheraton.manager@uttarabank-bd.com</t>
  </si>
  <si>
    <t>250264304</t>
  </si>
  <si>
    <t>PISCI CULTURE BHABAN, 14 SHYAMOLI, MOHAMMADPUR, DHAKA 1207</t>
  </si>
  <si>
    <t>019 91144173, 02 8158973, 8116478</t>
  </si>
  <si>
    <t>shyamali.manager@uttarabank-bd.com</t>
  </si>
  <si>
    <t>250276705</t>
  </si>
  <si>
    <t>20 TIPU SULTAN ROAD, WARI, SUTRAPUR, DHAKA 1100</t>
  </si>
  <si>
    <t>019 91144211, 02 47115832</t>
  </si>
  <si>
    <t>tipusultanrd.manager@uttarabank-bd.com</t>
  </si>
  <si>
    <t>250264638</t>
  </si>
  <si>
    <t>UTBLBDDH465</t>
  </si>
  <si>
    <t>SINGAPORE PLAZA, 17 MYMENSINGH ROAD, SECTOR 3, UTTARA MODEL TOWN, DHAKA 1230</t>
  </si>
  <si>
    <t>019 91144176, 02 7913372</t>
  </si>
  <si>
    <t>uttara.manager@uttarabank-bd.com</t>
  </si>
  <si>
    <t>250272688</t>
  </si>
  <si>
    <t>250276550</t>
  </si>
  <si>
    <t>SIDDHESWARI</t>
  </si>
  <si>
    <t>655</t>
  </si>
  <si>
    <t>250270006</t>
  </si>
  <si>
    <t>250280670</t>
  </si>
  <si>
    <t>MOKBUL MANSION, MALDAHPATTY, DINAJPUR 5200</t>
  </si>
  <si>
    <t>019 91144357, 0531 63230, 63549</t>
  </si>
  <si>
    <t>dinajpur.manager@uttarabank-bd.com</t>
  </si>
  <si>
    <t>250281879</t>
  </si>
  <si>
    <t>HOLDING NO 148, WARD 05, DINAJPUR ROAD, PHULBARI, DINAJPUR</t>
  </si>
  <si>
    <t>019 91144364, 05327 56402</t>
  </si>
  <si>
    <t>fulbari.manager@uttarabank-bd.com</t>
  </si>
  <si>
    <t>250281932</t>
  </si>
  <si>
    <t>PULHAT BAZAR, KOTWALI, DINAJPUR 5200</t>
  </si>
  <si>
    <t>019 91144365, 0531 65193</t>
  </si>
  <si>
    <t>pulhat.manager@uttarabank-bd.com</t>
  </si>
  <si>
    <t>250282328</t>
  </si>
  <si>
    <t>ABDUR RAHIM SUPER MARKET, STATION ROAD, DINAJPUR 5200</t>
  </si>
  <si>
    <t>019 91144371, 0531 64461</t>
  </si>
  <si>
    <t>stationrd.manager@uttarabank-bd.com</t>
  </si>
  <si>
    <t>250290523</t>
  </si>
  <si>
    <t>JHEELTULLY, FARIDPUR 7800</t>
  </si>
  <si>
    <t>019 91144422, 0631 63437, 66646</t>
  </si>
  <si>
    <t>ublfpur.manager@uttarabank-bd.com</t>
  </si>
  <si>
    <t>250300255</t>
  </si>
  <si>
    <t>BIRINCHI BRANCH</t>
  </si>
  <si>
    <t>BIRINCHI_BRANCH</t>
  </si>
  <si>
    <t>GODUM QUARTER, FENI SADAR, FENI 3900</t>
  </si>
  <si>
    <t>019 91144303, 0331 62544</t>
  </si>
  <si>
    <t>birinchi.manager@uttarabank-bd.com</t>
  </si>
  <si>
    <t>250300521</t>
  </si>
  <si>
    <t>JAMUNA SHOPPING CENTRE, 426-429 TURNK ROAD, FENI 3900</t>
  </si>
  <si>
    <t>019 91144313, 0331 73411, 63163</t>
  </si>
  <si>
    <t>feni.manager@uttarabank-bd.com</t>
  </si>
  <si>
    <t>250320527</t>
  </si>
  <si>
    <t>PARK ROAD, GAIBANDHA 7500</t>
  </si>
  <si>
    <t>019 91144358, 0541 51542, 61942</t>
  </si>
  <si>
    <t>gaibandha.manager@uttarabank-bd.com</t>
  </si>
  <si>
    <t>250330733</t>
  </si>
  <si>
    <t>250330946</t>
  </si>
  <si>
    <t>019 91144163, 02 9297995</t>
  </si>
  <si>
    <t>konabari.manager@uttarabank-bd.com</t>
  </si>
  <si>
    <t>250331637</t>
  </si>
  <si>
    <t>1/2 ISLAMIA MARKET, TONGI, GAZIPUR 1710</t>
  </si>
  <si>
    <t>019 91144175, 02 9811107, 9815982</t>
  </si>
  <si>
    <t>tongi.manager@uttarabank-bd.com</t>
  </si>
  <si>
    <t>250350371</t>
  </si>
  <si>
    <t>IBRAHIM PLAZA, 56/1 BATASA PATTY, GOPALGANJ 8100</t>
  </si>
  <si>
    <t>019 91144424, 02668 5553</t>
  </si>
  <si>
    <t>gopalgonj.manager@uttarabank-bd.com</t>
  </si>
  <si>
    <t>250360611</t>
  </si>
  <si>
    <t>COMMERCIAL ROAD, POST OFFICE ROAD, HABIGANJ 3300</t>
  </si>
  <si>
    <t>019 91144460, 0831 54494</t>
  </si>
  <si>
    <t>habiganj.manager@uttarabank-bd.com</t>
  </si>
  <si>
    <t>250361007</t>
  </si>
  <si>
    <t>GANI JAHAN COMPLEX, MIRPUR BAZAR, BAHUBAL, HABIGANJ 3301</t>
  </si>
  <si>
    <t>019 91144465</t>
  </si>
  <si>
    <t>mirpurbazar.manager@uttarabank-bd.com</t>
  </si>
  <si>
    <t>250361094</t>
  </si>
  <si>
    <t>ERSHED SHOPPING CENTER, OSMANI ROAD, NABIGANJ, HABIGANJ 3370</t>
  </si>
  <si>
    <t>019 91144467, 08328 56007</t>
  </si>
  <si>
    <t>nabiganj.manager@uttarabank-bd.com</t>
  </si>
  <si>
    <t>250390852</t>
  </si>
  <si>
    <t>MUNIR MANSION, PLOT NO 1253/3, MEDICAL ROAD, JAMALPUR 2000</t>
  </si>
  <si>
    <t>019 91144250, 0981 63491</t>
  </si>
  <si>
    <t>jamalpur.manager@uttarabank-bd.com</t>
  </si>
  <si>
    <t>250410945</t>
  </si>
  <si>
    <t>UTBLBDDH456</t>
  </si>
  <si>
    <t>MUNICIPAL ROAD, NEAR CHOWRASTA, JESSORE 7400</t>
  </si>
  <si>
    <t>019 91144389, 0421 68513</t>
  </si>
  <si>
    <t>jessore.manager@uttarabank-bd.com</t>
  </si>
  <si>
    <t>250411636</t>
  </si>
  <si>
    <t>NOAPARA BAZAR, ABHAYNAGAR, JESSORE 7460</t>
  </si>
  <si>
    <t>019 91144399, 04222 71655</t>
  </si>
  <si>
    <t>noapara.manager@uttarabank-bd.com</t>
  </si>
  <si>
    <t>250420319</t>
  </si>
  <si>
    <t>30 KAPURIA PATTY, JHALAKATI 8400</t>
  </si>
  <si>
    <t>019 91144425, 0498 63382</t>
  </si>
  <si>
    <t>jhalakati.manager@uttarabank-bd.com</t>
  </si>
  <si>
    <t>250440649</t>
  </si>
  <si>
    <t>SHER-E-BANGLA ROAD, JHENAIDAH 7300</t>
  </si>
  <si>
    <t>019 91144390, 0451 61436, 62469</t>
  </si>
  <si>
    <t>jhenaidah.manager@uttarabank-bd.com</t>
  </si>
  <si>
    <t>250380404</t>
  </si>
  <si>
    <t>SARWARDI MARKET, SADAR ROAD, JOYPURHAT 5900</t>
  </si>
  <si>
    <t>019 91144359, 0571 62329</t>
  </si>
  <si>
    <t>joypurhat.manager@uttarabank-bd.com</t>
  </si>
  <si>
    <t>250470701</t>
  </si>
  <si>
    <t>UPPER JESSORE ROAD, DAULATPUR, KHULNA 9202</t>
  </si>
  <si>
    <t>019 91144388, 041 762626, 761934</t>
  </si>
  <si>
    <t>daulatpur.manager@uttarabank-bd.com</t>
  </si>
  <si>
    <t>250471397</t>
  </si>
  <si>
    <t>12 KDA COMMERCIAL AREA, UPPER JESSORE ROAD, KHULNA 9100</t>
  </si>
  <si>
    <t>019 91144391, 041 722642</t>
  </si>
  <si>
    <t>kda.manager@uttarabank-bd.com</t>
  </si>
  <si>
    <t>250471450</t>
  </si>
  <si>
    <t>LIBERTY SUPER MARKET, 343 BIDC ROAD, KHALISHPUR, KHULNA 9202</t>
  </si>
  <si>
    <t>019 91144392, 041 761969</t>
  </si>
  <si>
    <t>khalishpur.manager@uttarabank-bd.com</t>
  </si>
  <si>
    <t>250471847</t>
  </si>
  <si>
    <t>LOWER JESSORE ROAD BRANCH</t>
  </si>
  <si>
    <t>LOWER_JESSORE_ROAD_BRANCH</t>
  </si>
  <si>
    <t>LOWER JESSORE ROAD, KHULNA 9100</t>
  </si>
  <si>
    <t>019 91144394, 041 720487, 721378</t>
  </si>
  <si>
    <t>lowerjessore.manager@uttarabank-bd.com</t>
  </si>
  <si>
    <t>250472596</t>
  </si>
  <si>
    <t>UTBLBDDH443</t>
  </si>
  <si>
    <t>2/A SIR IQBAL ROAD, KHULNA 9100</t>
  </si>
  <si>
    <t>019 91144401, 041 720417, 721090</t>
  </si>
  <si>
    <t>siriqbal.manager@uttarabank-bd.com</t>
  </si>
  <si>
    <t>250480162</t>
  </si>
  <si>
    <t>BHAGALPUR BRANCH</t>
  </si>
  <si>
    <t>BHAGALPUR_BRANCH</t>
  </si>
  <si>
    <t>JAHURUL ISLAM MEDICAL COLLEGE &amp;amp; HOSPITAL CAMPUS, MEDICAL CANTEEN, BHAGALPUR, BAJITPUR, KISHOREGANJ 2326</t>
  </si>
  <si>
    <t>019 91144248</t>
  </si>
  <si>
    <t>bhagalpur.manager@uttarabank-bd.com</t>
  </si>
  <si>
    <t>250480225</t>
  </si>
  <si>
    <t>131 TINPATTY, BHAIRAB BAZAR, KISHOREGANJ 2350</t>
  </si>
  <si>
    <t>019 91144221, 02 9424680</t>
  </si>
  <si>
    <t>bhairabbzr.manager@uttarabank-bd.com</t>
  </si>
  <si>
    <t>250480670</t>
  </si>
  <si>
    <t>SAHA BHABAN, HOLDING NO 567, KAPORPATTY, BARA BAZAAR, KISHOREGANJ 2300</t>
  </si>
  <si>
    <t>019 91144251, 0941 62512</t>
  </si>
  <si>
    <t>kishore.manager@uttarabank-bd.com</t>
  </si>
  <si>
    <t>250490402</t>
  </si>
  <si>
    <t>NR PLAZA, BAZAR ROAD, KURIGRAM 5600</t>
  </si>
  <si>
    <t>019 91144360, 0581 61524</t>
  </si>
  <si>
    <t>kurigram.manager@uttarabank-bd.com</t>
  </si>
  <si>
    <t>250500947</t>
  </si>
  <si>
    <t>27 NS ROAD, KUSHTIA 7000</t>
  </si>
  <si>
    <t>019 91144393, 071 62080, 61817</t>
  </si>
  <si>
    <t>kustia.manager@uttarabank-bd.com</t>
  </si>
  <si>
    <t>250510195</t>
  </si>
  <si>
    <t>CHANDRAGANJ BAZAR, LAKSHMIPUR 3708</t>
  </si>
  <si>
    <t>019 91144308, 03825 81132-3</t>
  </si>
  <si>
    <t>chandraganj.manager@uttarabank-bd.com</t>
  </si>
  <si>
    <t>250510737</t>
  </si>
  <si>
    <t>SIDDIQUE TOWER, UTTAR BAZAR MAIN ROAD, LAKSHMIPUR 3700</t>
  </si>
  <si>
    <t>019 91144315, 0381 62731</t>
  </si>
  <si>
    <t>laxmipur.manager@uttarabank-bd.com</t>
  </si>
  <si>
    <t>250510979</t>
  </si>
  <si>
    <t>MUJIB PLAZA, RAIPUR, LAKSHMIPUR</t>
  </si>
  <si>
    <t>019 91144319, 03822 56487, 56488</t>
  </si>
  <si>
    <t>raipur.manager@uttarabank-bd.com</t>
  </si>
  <si>
    <t>250520464</t>
  </si>
  <si>
    <t>HOLDING NO 07/935, WARD 3, GOSHALA ROAD, LALMONIRHAT</t>
  </si>
  <si>
    <t>019 91144361, 0591 61337</t>
  </si>
  <si>
    <t>lalmonirhat.manager@uttarabank-bd.com</t>
  </si>
  <si>
    <t>250540402</t>
  </si>
  <si>
    <t>019 91144428, 0661 61560</t>
  </si>
  <si>
    <t>madaripur.manager@uttarabank-bd.com</t>
  </si>
  <si>
    <t>250540765</t>
  </si>
  <si>
    <t>TEKERHAT BRANCH</t>
  </si>
  <si>
    <t>TEKERHAT_BRANCH</t>
  </si>
  <si>
    <t>MILK VITA ROAD, TEKERHAT BAZAR, KHALIA, RAJOIR, MADARIPUR</t>
  </si>
  <si>
    <t>019 91144435</t>
  </si>
  <si>
    <t>tekerhat.manager@uttarabank-bd.com</t>
  </si>
  <si>
    <t>250550555</t>
  </si>
  <si>
    <t>COLLEGE ROAD, MAGURA 7600</t>
  </si>
  <si>
    <t>019 91144395, 0488 62373</t>
  </si>
  <si>
    <t>ublmgra.manager@uttarabank-bd.com</t>
  </si>
  <si>
    <t>250560374</t>
  </si>
  <si>
    <t>GHIOR</t>
  </si>
  <si>
    <t>250560611</t>
  </si>
  <si>
    <t>HOLDING NO 103, SHAHID RAFIQUE SARAK, MANIKGANJ 1800</t>
  </si>
  <si>
    <t>019 91144164, 02 7710413</t>
  </si>
  <si>
    <t>manikganj.manager@uttarabank-bd.com</t>
  </si>
  <si>
    <t>250560732</t>
  </si>
  <si>
    <t>NABAGRAM, MANIKGANJ 1800</t>
  </si>
  <si>
    <t>019 91144167</t>
  </si>
  <si>
    <t>nabagram.manager@uttarabank-bd.com</t>
  </si>
  <si>
    <t>250560790</t>
  </si>
  <si>
    <t>SHIBALAYA BRANCH</t>
  </si>
  <si>
    <t>SHIBALAYA_BRANCH</t>
  </si>
  <si>
    <t>RAZZAK PLAZA, TEPRA, SHIBALAYA, MANIKGANJ</t>
  </si>
  <si>
    <t>019 91144174, 02 7716151</t>
  </si>
  <si>
    <t>shibalaya.manager@uttarabank-bd.com</t>
  </si>
  <si>
    <t>250570377</t>
  </si>
  <si>
    <t>HOTEL BAZAR, 336/2 MAIN ROAD, MEHERPUR 7100</t>
  </si>
  <si>
    <t>019 91144396, 0791 62598</t>
  </si>
  <si>
    <t>meherpur.manager@uttarabank-bd.com</t>
  </si>
  <si>
    <t>250580109</t>
  </si>
  <si>
    <t>ASIA PLAZA, UTTAR BAZAR, BARLEKHA, MOULVIBAZAR</t>
  </si>
  <si>
    <t>019 91144454, 08622 56475</t>
  </si>
  <si>
    <t>baralekha.manager@uttarabank-bd.com</t>
  </si>
  <si>
    <t>250580941</t>
  </si>
  <si>
    <t>MRH SHOPPING CITY, CHOWMUHANI, KULAURA, MOULVIBAZAR 3230</t>
  </si>
  <si>
    <t>019 91144462, 08624 56929</t>
  </si>
  <si>
    <t>kulaura.manager@uttarabank-bd.com</t>
  </si>
  <si>
    <t>250580888</t>
  </si>
  <si>
    <t>VISION COMPLEX, SREEMANGAL ROAD, MOSTAFAPUR, MOULVIBAZAR 3200</t>
  </si>
  <si>
    <t>019 91144464, 0861 64080</t>
  </si>
  <si>
    <t>mostafapur.manager@uttarabank-bd.com</t>
  </si>
  <si>
    <t>250581182</t>
  </si>
  <si>
    <t>WESTERN PLAZA, CENTRAL ROAD, MOULVIBAZAR 3200</t>
  </si>
  <si>
    <t>019 91144466, 0861 52206</t>
  </si>
  <si>
    <t>moulvibazarsylhet.manager@uttarabank-bd.com</t>
  </si>
  <si>
    <t>250581724</t>
  </si>
  <si>
    <t>RASHID MARKET, STATION ROAD, CHOWMOHANA, SREEMANGAL, MOULVIBAZAR 3210</t>
  </si>
  <si>
    <t>019 91144470, 08626 71505</t>
  </si>
  <si>
    <t>sreemangal.manager@uttarabank-bd.com</t>
  </si>
  <si>
    <t>250591035</t>
  </si>
  <si>
    <t>MUNSHIGANJ PLAZA, OLD KACHARI ROAD, MUNSHIGANJ 1500</t>
  </si>
  <si>
    <t>019 91144228, 02 7611137</t>
  </si>
  <si>
    <t>munshiganj.manager@uttarabank-bd.com</t>
  </si>
  <si>
    <t>250591219</t>
  </si>
  <si>
    <t>ABDUL ALI SUPER MARKET, RAMGOPALPUR, PANCHASAR, MUNSHIGANJ 1501</t>
  </si>
  <si>
    <t>019 91144232</t>
  </si>
  <si>
    <t>rekabibzr.manager@uttarabank-bd.com</t>
  </si>
  <si>
    <t>250611157</t>
  </si>
  <si>
    <t>UTBLBDDH470</t>
  </si>
  <si>
    <t>UTTAR BAZAR, HALUAGHAT, MYMENSINGH 2260</t>
  </si>
  <si>
    <t>019 91144249, 09026 56160</t>
  </si>
  <si>
    <t>haluahhat.manager@uttarabank-bd.com</t>
  </si>
  <si>
    <t>250611757</t>
  </si>
  <si>
    <t>UTBLBDDH459</t>
  </si>
  <si>
    <t>41/A CHOTTA BAZAR, MYMENSINGH 2200</t>
  </si>
  <si>
    <t>019 91144253, 091 67144</t>
  </si>
  <si>
    <t>mymensingh.manager@uttarabank-bd.com</t>
  </si>
  <si>
    <t>250641185</t>
  </si>
  <si>
    <t>UTBLBDDH469</t>
  </si>
  <si>
    <t>MOFIZUDDIN MARKET, MAIN ROAD, NAOGAON 6500</t>
  </si>
  <si>
    <t>019 91144363, 0741 62540, 62184</t>
  </si>
  <si>
    <t>naogaon.manager@uttarabank-bd.com</t>
  </si>
  <si>
    <t>250650642</t>
  </si>
  <si>
    <t>019 91144398, 0481 62590</t>
  </si>
  <si>
    <t>narail.manager@uttarabank-bd.com</t>
  </si>
  <si>
    <t>250670222</t>
  </si>
  <si>
    <t>HAZI ABDUL HAQUE SUPER MARKET, 	GOLAKANDAIL, BHULTA, RUPGANJ, NARAYANGANJ 1462</t>
  </si>
  <si>
    <t>019 91144222-3</t>
  </si>
  <si>
    <t>bhulta.manager@uttarabank-bd.com</t>
  </si>
  <si>
    <t>250670280</t>
  </si>
  <si>
    <t>DIT BRANCH</t>
  </si>
  <si>
    <t>DIT_BRANCH</t>
  </si>
  <si>
    <t>WALI SUPER MARKET, 73/1 BB ROAD, NARAYANGANJ 1400</t>
  </si>
  <si>
    <t>019 91144224, 02 7633148</t>
  </si>
  <si>
    <t>ditmarket.manager@uttarabank-bd.com</t>
  </si>
  <si>
    <t>250671184</t>
  </si>
  <si>
    <t>UTBLBDDH437</t>
  </si>
  <si>
    <t>JIBAN BIMA BUILDING, 150 BB ROAD, NARAYANGANJ 1400</t>
  </si>
  <si>
    <t>019 91144229, 02 7633655, 7633653</t>
  </si>
  <si>
    <t>narayanganj.manager@uttarabank-bd.com</t>
  </si>
  <si>
    <t>250671276</t>
  </si>
  <si>
    <t>214 B K ROAD, NETAIGANJ, NARAYANGANJ 1400</t>
  </si>
  <si>
    <t>019 91144231, 02 7631787, 7641768</t>
  </si>
  <si>
    <t>netaigonj .manager@uttarabank-bd.com</t>
  </si>
  <si>
    <t>250671692</t>
  </si>
  <si>
    <t>AYUB PLAZA, BARANAGAR, SONARGAON, NARAYANGANJ 1400</t>
  </si>
  <si>
    <t>019 91144234, 02 7656260</t>
  </si>
  <si>
    <t>sonargaon.manager@uttarabank-bd.com</t>
  </si>
  <si>
    <t>250671755</t>
  </si>
  <si>
    <t>16/2 S M MALEH ROAD, TANBAZAR, NARAYANGANJ 1400</t>
  </si>
  <si>
    <t>019 91144235, 02 7630132</t>
  </si>
  <si>
    <t>tanbzr.manager@uttarabank-bd.com</t>
  </si>
  <si>
    <t>250680496</t>
  </si>
  <si>
    <t>GHORASHAL BAZAR, PALASH, NARSINGDI 1613</t>
  </si>
  <si>
    <t>019 91144225, 02 9466242</t>
  </si>
  <si>
    <t>ghorasal.manager@uttarabank-bd.com</t>
  </si>
  <si>
    <t>250680704</t>
  </si>
  <si>
    <t>MADHABDI BAZAR, NARSINGDI 1604</t>
  </si>
  <si>
    <t>019 91144227, 02 9446279</t>
  </si>
  <si>
    <t>madhabdi.manager@uttarabank-bd.com</t>
  </si>
  <si>
    <t>250680854</t>
  </si>
  <si>
    <t>SHASHI PLAZA, 138 C &amp;amp; B ROAD, NARSINGDI 1600</t>
  </si>
  <si>
    <t>019 91144230, 02 9462157</t>
  </si>
  <si>
    <t>narsindi.manager@uttarabank-bd.com</t>
  </si>
  <si>
    <t>250681187</t>
  </si>
  <si>
    <t>SAR KARKHANA BRANCH</t>
  </si>
  <si>
    <t>SAR_KARKHANA_BRANCH</t>
  </si>
  <si>
    <t>GHORASHAL SAR KARKHANA, PALASH, NARSINGDI 1611</t>
  </si>
  <si>
    <t>019 91144233, 02 9466058</t>
  </si>
  <si>
    <t>sarkarkhana.manager@uttarabank-bd.com</t>
  </si>
  <si>
    <t>250690286</t>
  </si>
  <si>
    <t>BANPARA BRANCH</t>
  </si>
  <si>
    <t>BANPARA_BRANCH</t>
  </si>
  <si>
    <t>HAROA, BARAIGRAM, NATORE 6430</t>
  </si>
  <si>
    <t>019 91144336, 07723 56090</t>
  </si>
  <si>
    <t>bonpara.manager@uttarabank-bd.com</t>
  </si>
  <si>
    <t>250690910</t>
  </si>
  <si>
    <t>KAFILUDDIN MARKET, TRIMOHINI MORE, LALPUR, NATORE</t>
  </si>
  <si>
    <t>019 91144340, 07725 75069</t>
  </si>
  <si>
    <t>lalpur.manager@uttarabank-bd.com</t>
  </si>
  <si>
    <t>250691098</t>
  </si>
  <si>
    <t>UTBLBDDH467</t>
  </si>
  <si>
    <t>019 91144342, 0771 62669</t>
  </si>
  <si>
    <t>natore.manager@uttarabank-bd.com</t>
  </si>
  <si>
    <t>250720730</t>
  </si>
  <si>
    <t>BHUIYAN PLAZA, 985 BARA BAZAR, NETROKONA 2400</t>
  </si>
  <si>
    <t>019 91144254</t>
  </si>
  <si>
    <t>netrokona.manager@uttarabank-bd.com</t>
  </si>
  <si>
    <t>250730733</t>
  </si>
  <si>
    <t>POURA MARKET, NILPHAMARI 5300</t>
  </si>
  <si>
    <t>019 91144362, 0551 61332</t>
  </si>
  <si>
    <t>nilphamari.manager@uttarabank-bd.com</t>
  </si>
  <si>
    <t>250730791</t>
  </si>
  <si>
    <t>KHALEDA MARKET, 41-42 SHAHEED DR ZIKRUL HAQUE ROAD, SAIDPUR, NILPHAMARI 5310</t>
  </si>
  <si>
    <t>019 91144368, 05526 72961</t>
  </si>
  <si>
    <t>saidpur.manager@uttarabank-bd.com</t>
  </si>
  <si>
    <t>250750250</t>
  </si>
  <si>
    <t>MOHAMMADI SUPER MARKET, BASURHAT, COMPANIGANJ, NOAKHALI</t>
  </si>
  <si>
    <t>019 91144301, 03223 56249</t>
  </si>
  <si>
    <t>boshurhat.manager@uttarabank-bd.com</t>
  </si>
  <si>
    <t>250750342</t>
  </si>
  <si>
    <t>BEGUMGANJ BRANCH</t>
  </si>
  <si>
    <t>BEGUMGANJ_BRANCH</t>
  </si>
  <si>
    <t>ZILLA PARISHAD SUPER MARKET, BEGUMGANJ CHOWRASTA, NOAKHALI 3821</t>
  </si>
  <si>
    <t>019 91144302, 0321 52379</t>
  </si>
  <si>
    <t>begumganj.manager@uttarabank-bd.com</t>
  </si>
  <si>
    <t>250750676</t>
  </si>
  <si>
    <t>D B ROAD, CHOWMUHANI, BEGUMGANJ, NOAKHALI</t>
  </si>
  <si>
    <t>019 91144309, 0321 52094</t>
  </si>
  <si>
    <t>chowmuhani.manager@uttarabank-bd.com</t>
  </si>
  <si>
    <t>250751570</t>
  </si>
  <si>
    <t>MAIN ROAD, MAIJDEE COURT, NOAKHALI 3800</t>
  </si>
  <si>
    <t>019 91144316, 0321 61407-8</t>
  </si>
  <si>
    <t>maijdeecourt.manager@uttarabank-bd.com</t>
  </si>
  <si>
    <t>250752324</t>
  </si>
  <si>
    <t>STATION ROAD, SONAPUR, NOAKHALI 3802</t>
  </si>
  <si>
    <t>019 91144320, 0321 61322</t>
  </si>
  <si>
    <t>sonapur.manager@uttarabank-bd.com</t>
  </si>
  <si>
    <t>250761210</t>
  </si>
  <si>
    <t>RASHID MANSION, MAIN ROAD, ISHWARDI, PABNA 6620</t>
  </si>
  <si>
    <t>019 91144338, 07326 63663</t>
  </si>
  <si>
    <t>ishwardi.manager@uttarabank-bd.com</t>
  </si>
  <si>
    <t>250761786</t>
  </si>
  <si>
    <t>UTBLBDDH466</t>
  </si>
  <si>
    <t>SONAPATTY, PABNA SADAR, PABNA 6600</t>
  </si>
  <si>
    <t>019 91144344, 0731 66180</t>
  </si>
  <si>
    <t>pabna.manager@uttarabank-bd.com</t>
  </si>
  <si>
    <t>250780491</t>
  </si>
  <si>
    <t>019 91144423, 04424 56246</t>
  </si>
  <si>
    <t>galachipa.manager@uttarabank-bd.com</t>
  </si>
  <si>
    <t>250780767</t>
  </si>
  <si>
    <t>SAIDUDDIN SUPER MARKET, NOTUN BAZAR, KHEPUPARA, PATUAKHALI 8650</t>
  </si>
  <si>
    <t>019 91144426, 04425 56204</t>
  </si>
  <si>
    <t>khepupara.manager@uttarabank-bd.com</t>
  </si>
  <si>
    <t>250781090</t>
  </si>
  <si>
    <t>MADINA JAME MASJID MARKET, PO ROAD, TERMINAL GHAT, PATUAKHALI 8600</t>
  </si>
  <si>
    <t>019 91144430, 0441 62426</t>
  </si>
  <si>
    <t>patuakhali.manager@uttarabank-bd.com</t>
  </si>
  <si>
    <t>250790528</t>
  </si>
  <si>
    <t>AZIZ SUPER MARKET, PHARMACY ROAD, MATHBARIA, PIROJPUR 8560</t>
  </si>
  <si>
    <t>019 91144429, 0461 75007</t>
  </si>
  <si>
    <t>mathbaria.manager@uttarabank-bd.com</t>
  </si>
  <si>
    <t>250790760</t>
  </si>
  <si>
    <t>AYSHA PLAZA, 390-390/1 POST OFFICE ROAD, PIROJPUR 8500</t>
  </si>
  <si>
    <t>019 91144431, 0461 62302</t>
  </si>
  <si>
    <t>pirojpur.manager@uttarabank-bd.com</t>
  </si>
  <si>
    <t>250820735</t>
  </si>
  <si>
    <t>MAIN ROAD, RAJBARI SADAR, RAJBARI 7700</t>
  </si>
  <si>
    <t>019 91144432, 0641 65414</t>
  </si>
  <si>
    <t>rajbari.manager@uttarabank-bd.com</t>
  </si>
  <si>
    <t>250811423</t>
  </si>
  <si>
    <t>MAHISALBARI BRANCH</t>
  </si>
  <si>
    <t>MAHISALBARI_BRANCH</t>
  </si>
  <si>
    <t>MAHISALBARI, GODAGARI, RAJSHAHI 6290</t>
  </si>
  <si>
    <t>019 91144341, 07225 56088</t>
  </si>
  <si>
    <t>mahisalbari.manager@uttarabank-bd.com</t>
  </si>
  <si>
    <t>250811636</t>
  </si>
  <si>
    <t>GAUSHIA MARKET, SULTANABAD , GHORAMARA, BOALIA, RAJSHAHI 6100</t>
  </si>
  <si>
    <t>019 91144343, 0721 773359</t>
  </si>
  <si>
    <t>newmarketraj.manager@uttarabank-bd.com</t>
  </si>
  <si>
    <t>250811849</t>
  </si>
  <si>
    <t>RAIHAN CLINIC, PUTHIA, RAJSHAHI 6260</t>
  </si>
  <si>
    <t>019 91144345, 07228 56117</t>
  </si>
  <si>
    <t>puthia.manager@uttarabank-bd.com</t>
  </si>
  <si>
    <t>250812143</t>
  </si>
  <si>
    <t>RANI BAZAR BRANCH</t>
  </si>
  <si>
    <t>RANI_BAZAR_BRANCH</t>
  </si>
  <si>
    <t>019 91144346, 0721 772602</t>
  </si>
  <si>
    <t>ranibazar.manager@uttarabank-bd.com</t>
  </si>
  <si>
    <t>250812264</t>
  </si>
  <si>
    <t>UTBLBDDH445</t>
  </si>
  <si>
    <t>AL-HASIB PLAZA, HOUSE NO 75, WARD 12, SHAHEB BAZAR, GHORAMARA, BOALIA, RAJSHAHI 6000</t>
  </si>
  <si>
    <t>019 91144347, 0721 774906</t>
  </si>
  <si>
    <t>shaheb.manager@uttarabank-bd.com</t>
  </si>
  <si>
    <t>250840528</t>
  </si>
  <si>
    <t>109 BANARUPA, RANGAMATI 4500</t>
  </si>
  <si>
    <t>019 91144281, 0351 63197</t>
  </si>
  <si>
    <t>rangamati.manager@uttarabank-bd.com</t>
  </si>
  <si>
    <t>250851270</t>
  </si>
  <si>
    <t>POURA PARK MARKET BRANCH</t>
  </si>
  <si>
    <t>POURA_PARK_MARKET_BRANCH</t>
  </si>
  <si>
    <t>POURA PARK MARKET, STATION ROAD, RANGPUR 5400</t>
  </si>
  <si>
    <t>019 91144366, 0521 63117</t>
  </si>
  <si>
    <t>pourapark.manager@uttarabank-bd.com</t>
  </si>
  <si>
    <t>250851454</t>
  </si>
  <si>
    <t>UTBLBDDH446</t>
  </si>
  <si>
    <t>DEWANBARI ROAD, LOHAPOTTY, RANGPUR 5400</t>
  </si>
  <si>
    <t>019 91144367, 0521 62132</t>
  </si>
  <si>
    <t>ranagpur.manager@uttarabank-bd.com</t>
  </si>
  <si>
    <t>250871092</t>
  </si>
  <si>
    <t>SARDAR SHOPPING COMPLEX, ABUL KASHEM ROAD, OLD BUS STAND, SATKHIRA 9400</t>
  </si>
  <si>
    <t>019 91144400, 0471 63378</t>
  </si>
  <si>
    <t>satkhira.manager@uttarabank-bd.com</t>
  </si>
  <si>
    <t>250860674</t>
  </si>
  <si>
    <t>SPAIN PLAZA, PALANG BAZAR, SHARIATPUR 8000</t>
  </si>
  <si>
    <t>019 91144433, 0601 61544</t>
  </si>
  <si>
    <t>shariatpur.manager@uttarabank-bd.com</t>
  </si>
  <si>
    <t>250890552</t>
  </si>
  <si>
    <t>MOHIM SUPER MARKET, 133/1 SHAHID BULBUL SARAK, MUNSHI BAZAR, SHERPUR 2100</t>
  </si>
  <si>
    <t>019 91144255</t>
  </si>
  <si>
    <t>sherpur.manager@uttarabank-bd.com</t>
  </si>
  <si>
    <t>250881903</t>
  </si>
  <si>
    <t>HOLDING NO 357, DARIAPUR, SHAHJADPUR, SIRAJGANJ</t>
  </si>
  <si>
    <t>019 91144369, 07527 64504</t>
  </si>
  <si>
    <t>shahjadpur.manager@uttarabank-bd.com</t>
  </si>
  <si>
    <t>250881879</t>
  </si>
  <si>
    <t>BABAR PLAZA, 210 SS ROAD, SIRAJGANJ 6700</t>
  </si>
  <si>
    <t>019 91144370, 0751 62339</t>
  </si>
  <si>
    <t>sirajgonj.manager@uttarabank-bd.com</t>
  </si>
  <si>
    <t>250882081</t>
  </si>
  <si>
    <t>SUBGACHA BRANCH</t>
  </si>
  <si>
    <t>SUBGACHA_BRANCH</t>
  </si>
  <si>
    <t>PUPIL BARIA BAZAR, BHAGABATI, KAZIPUR, SIRAJGANJ</t>
  </si>
  <si>
    <t>019 91144372, 07525 56260</t>
  </si>
  <si>
    <t>subgacha.manager@uttarabank-bd.com</t>
  </si>
  <si>
    <t>250882236</t>
  </si>
  <si>
    <t>SELIM PLAZA, THANA ROAD, ULLAPARA, SIRAJGANJ 6760</t>
  </si>
  <si>
    <t>019 91144374, 07529 56118</t>
  </si>
  <si>
    <t>ullapara.manager@uttarabank-bd.com</t>
  </si>
  <si>
    <t>250900226</t>
  </si>
  <si>
    <t>CHHATAK</t>
  </si>
  <si>
    <t>250900497</t>
  </si>
  <si>
    <t>HABIBUR MANSION, CHILAURA POINT, JAGANNATHPUR, SUNAMGANJ 3060</t>
  </si>
  <si>
    <t>019 91144461, 08727 56037</t>
  </si>
  <si>
    <t>jagannathpur.manager@uttarabank-bd.com</t>
  </si>
  <si>
    <t>250901120</t>
  </si>
  <si>
    <t>UTBLBDDH468</t>
  </si>
  <si>
    <t>SUFIA MANSION, SUNAMGANJ SADAR, SUNAMGANJ 3000</t>
  </si>
  <si>
    <t>019 91144471, 0871 61329, 61671</t>
  </si>
  <si>
    <t>sunamganj.manager@uttarabank-bd.com</t>
  </si>
  <si>
    <t>250910045</t>
  </si>
  <si>
    <t>EASTERN PLAZA, AIRPORT ROAD, AMBARKHANA, SYLHET 3100</t>
  </si>
  <si>
    <t>0821 713122, 019 91144451</t>
  </si>
  <si>
    <t>ambar.manager@uttarabank-bd.com</t>
  </si>
  <si>
    <t>250910311</t>
  </si>
  <si>
    <t>SHAPLA MANSION, MAIN ROAD, BEANIBAZAR, SYLHET 3170</t>
  </si>
  <si>
    <t>019 91144453, 08223 56153</t>
  </si>
  <si>
    <t>beanibazar.manager@uttarabank-bd.com</t>
  </si>
  <si>
    <t>250910432</t>
  </si>
  <si>
    <t>LATIFULLAH MARKET, BISHWANATH PURAN BAZAR, JAGANNATHPUR ROAD, BISWANATH, SYLHET 3130</t>
  </si>
  <si>
    <t>019 91144452, 08224 56056</t>
  </si>
  <si>
    <t>biswanath.manager@uttarabank-bd.com</t>
  </si>
  <si>
    <t>250910911</t>
  </si>
  <si>
    <t>RAHMAN MANSION, THANA BAZAR, COMPANIGANJ, SYLHET</t>
  </si>
  <si>
    <t>019 91144456, 08225 56170</t>
  </si>
  <si>
    <t>companyganjsylhet.manager@uttarabank-bd.com</t>
  </si>
  <si>
    <t>250911307</t>
  </si>
  <si>
    <t>ALI MARKET &amp;amp; OLI BHABAN, DHAKADAKSHIN, GOLAPGANJ, SYLHET 3100</t>
  </si>
  <si>
    <t>019 91144457, 08227 56186</t>
  </si>
  <si>
    <t>dhakadakshin.manager@uttarabank-bd.com</t>
  </si>
  <si>
    <t>250911365</t>
  </si>
  <si>
    <t>A SATTAR SHOPPING COMPLEX, THANA ROAD, FENCHUGANJ, SYLHET 3116</t>
  </si>
  <si>
    <t>019 91144458, 08226 56038</t>
  </si>
  <si>
    <t>fenchuganj.manager@uttarabank-bd.com</t>
  </si>
  <si>
    <t>250911549</t>
  </si>
  <si>
    <t>UMAPARA BHABAN, GOALABAZAR, OSMANINAGAR, SYLHET</t>
  </si>
  <si>
    <t>019 91144459, 08242 56054</t>
  </si>
  <si>
    <t>goalabzr.manager@uttarabank-bd.com</t>
  </si>
  <si>
    <t>250912506</t>
  </si>
  <si>
    <t>ALI BIPONI, LALDIGHIRPAR, SYLHET 3100</t>
  </si>
  <si>
    <t>019 91144463, 0821 716127</t>
  </si>
  <si>
    <t>laldighirpar.manager@uttarabank-bd.com</t>
  </si>
  <si>
    <t>250912801</t>
  </si>
  <si>
    <t>NAZIR BAZAR BRANCH</t>
  </si>
  <si>
    <t>NAZIR_BAZAR_BRANCH</t>
  </si>
  <si>
    <t>JUBER MANSION, NAZIR BAZAR, SOUTH SURMA, SYLHET 3100</t>
  </si>
  <si>
    <t>019 91144468</t>
  </si>
  <si>
    <t>nazirbazar.manager@uttarabank-bd.com</t>
  </si>
  <si>
    <t>250913255</t>
  </si>
  <si>
    <t>NAHAR SHOPPING COMPLEX, 2443 SUBHANIGHAT POINT, SHAHJALAL ROAD, SYLHET 3100</t>
  </si>
  <si>
    <t>019 91144469, 0821 711250</t>
  </si>
  <si>
    <t>shahjalaluposhahar.manager@uttarabank-bd.com</t>
  </si>
  <si>
    <t>250913550</t>
  </si>
  <si>
    <t>UTBLBDDH440</t>
  </si>
  <si>
    <t>SHAHIR PLAZA, ZINDABAZAR, SYLHET 3100</t>
  </si>
  <si>
    <t>019 91144472, 0821 714484, 711998</t>
  </si>
  <si>
    <t>sylhet.manager@uttarabank-bd.com</t>
  </si>
  <si>
    <t>250930225</t>
  </si>
  <si>
    <t>ATIA BRANCH</t>
  </si>
  <si>
    <t>ATIA_BRANCH</t>
  </si>
  <si>
    <t>SILIMPUR, ATIA, DELDUAR, TANGAIL</t>
  </si>
  <si>
    <t>019 91144246-7</t>
  </si>
  <si>
    <t>atia.manager@uttarabank-bd.com</t>
  </si>
  <si>
    <t>250932294</t>
  </si>
  <si>
    <t>KANAK SUPER MARKET, SHAHID JAGLU ROAD, TANGAIL 1900</t>
  </si>
  <si>
    <t>019 91144256</t>
  </si>
  <si>
    <t>tangail.manager@uttarabank-bd.com</t>
  </si>
  <si>
    <t>250940978</t>
  </si>
  <si>
    <t>MOUCHAK SUPER MARKET, 162 NEW CIRCULAR ROAD, THAKURGAON 5100</t>
  </si>
  <si>
    <t>019 91144373, 0561 52262</t>
  </si>
  <si>
    <t>thakurgaon.manager@uttarabank-bd.com</t>
  </si>
  <si>
    <t>WOORI_BANK_BANGLADESH</t>
  </si>
  <si>
    <t>255</t>
  </si>
  <si>
    <t>WOORI BANK BANGLADESH</t>
  </si>
  <si>
    <t>255271518</t>
  </si>
  <si>
    <t>HVBKBDDH</t>
  </si>
  <si>
    <t>SUVASTU IMAM SQUARE, 65 GULSHAN AVENUE, DHAKA 1212</t>
  </si>
  <si>
    <t>02 8813270-3</t>
  </si>
  <si>
    <t>255262985</t>
  </si>
  <si>
    <t>PADMA BHABAN, PLOT 1/9, PALLABI, MIRPUR 12, DHAKA 1216</t>
  </si>
  <si>
    <t>02 9021060-1</t>
  </si>
  <si>
    <t>255264633</t>
  </si>
  <si>
    <t>PARADISE TOWER, PLOT 11, SECTOR 3, UTTARA MODEL TOWN, DHAKA 1230</t>
  </si>
  <si>
    <t>02 8962125-26</t>
  </si>
  <si>
    <t>255270001</t>
  </si>
  <si>
    <r>
      <rPr>
        <rFont val="Arial"/>
        <b/>
        <color rgb="FFFFFFFF"/>
        <sz val="11.0"/>
      </rPr>
      <t>Dist_code</t>
    </r>
  </si>
  <si>
    <r>
      <rPr>
        <rFont val="Arial"/>
        <b/>
        <color rgb="FFFFFFFF"/>
        <sz val="11.0"/>
      </rPr>
      <t>Dist_Name</t>
    </r>
  </si>
  <si>
    <r>
      <rPr>
        <rFont val="Arial"/>
        <b/>
        <color rgb="FFFFFFFF"/>
        <sz val="11.0"/>
      </rPr>
      <t>Bank_code</t>
    </r>
  </si>
  <si>
    <r>
      <rPr>
        <rFont val="Arial"/>
        <b/>
        <color rgb="FFFFFFFF"/>
        <sz val="11.0"/>
      </rPr>
      <t>Bank_Name</t>
    </r>
  </si>
  <si>
    <r>
      <rPr>
        <rFont val="Arial"/>
        <b/>
        <color rgb="FFFFFFFF"/>
        <sz val="11.0"/>
      </rPr>
      <t>Branch_Name</t>
    </r>
  </si>
  <si>
    <r>
      <rPr>
        <rFont val="Arial"/>
        <b/>
        <color rgb="FFFFFFFF"/>
        <sz val="11.0"/>
      </rPr>
      <t>Branch_code</t>
    </r>
  </si>
  <si>
    <r>
      <rPr>
        <rFont val="Arial"/>
        <b/>
        <color rgb="FFFFFFFF"/>
        <sz val="11.0"/>
      </rPr>
      <t>Routing_No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</si>
  <si>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</si>
  <si>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</si>
  <si>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BADHAL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</si>
  <si>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</si>
  <si>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</si>
  <si>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BHANGA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</si>
  <si>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</si>
  <si>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</si>
  <si>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</si>
  <si>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</si>
  <si>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</si>
  <si>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CHULKATI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</si>
  <si>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</si>
  <si>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</si>
  <si>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DEYPARA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</si>
  <si>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</si>
  <si>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</si>
  <si>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GOALMATH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</si>
  <si>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</si>
  <si>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</si>
  <si>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HERMA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</si>
  <si>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</si>
  <si>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</si>
  <si>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JATRAPUR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</si>
  <si>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</si>
  <si>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</si>
  <si>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MAIN ROAD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</si>
  <si>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</si>
  <si>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</si>
  <si>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MONGLA PORT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</si>
  <si>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</si>
  <si>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</si>
  <si>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MORELGANJ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</si>
  <si>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</si>
  <si>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</si>
  <si>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MUNIGANJ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</si>
  <si>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</si>
  <si>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</si>
  <si>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POLERHAT BAZAR</t>
    </r>
  </si>
  <si>
    <r>
      <rPr>
        <rFont val="Arial MT"/>
        <color theme="1"/>
        <sz val="11.0"/>
      </rPr>
      <t>BAGERHAT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</si>
  <si>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</si>
  <si>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SANNASHY BAZAR</t>
    </r>
  </si>
  <si>
    <r>
      <rPr>
        <rFont val="Arial MT"/>
        <color theme="1"/>
        <sz val="11.0"/>
      </rPr>
      <t>BANDARBAN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</si>
  <si>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</si>
  <si>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AZIZ NAGAR</t>
    </r>
  </si>
  <si>
    <r>
      <rPr>
        <rFont val="Arial MT"/>
        <color theme="1"/>
        <sz val="11.0"/>
      </rPr>
      <t>BANDARBAN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</si>
  <si>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</si>
  <si>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BANDARBAN BAZAR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</si>
  <si>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</si>
  <si>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</si>
  <si>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AMTALI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</si>
  <si>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</si>
  <si>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</si>
  <si>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</si>
  <si>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</si>
  <si>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</si>
  <si>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GAZIPURHAT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</si>
  <si>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</si>
  <si>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</si>
  <si>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KAKCHIRA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</si>
  <si>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</si>
  <si>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</si>
  <si>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KAUNIA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</si>
  <si>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</si>
  <si>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</si>
  <si>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NALIBANDAR</t>
    </r>
  </si>
  <si>
    <r>
      <rPr>
        <rFont val="Arial MT"/>
        <color theme="1"/>
        <sz val="11.0"/>
      </rPr>
      <t>BARGUNA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</si>
  <si>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</si>
  <si>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TALTALI BAZAR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</si>
  <si>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</si>
  <si>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</si>
  <si>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DHAMURA BANDAR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</si>
  <si>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</si>
  <si>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</si>
  <si>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RAHUTHKATI BANDAR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</si>
  <si>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</si>
  <si>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</si>
  <si>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RANIR HAT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</si>
  <si>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</si>
  <si>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</si>
  <si>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SATLA BAZAR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</si>
  <si>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</si>
  <si>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</si>
  <si>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BANARI PARA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</si>
  <si>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</si>
  <si>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</si>
  <si>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BATAJORE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</si>
  <si>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</si>
  <si>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</si>
  <si>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BOTTALA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</si>
  <si>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</si>
  <si>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</si>
  <si>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BUKHAI NAGAR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</si>
  <si>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</si>
  <si>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</si>
  <si>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CHAWK BAZAR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</si>
  <si>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</si>
  <si>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</si>
  <si>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GOURNADI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</si>
  <si>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</si>
  <si>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</si>
  <si>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MOTHERKATHI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</si>
  <si>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</si>
  <si>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</si>
  <si>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MULADI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</si>
  <si>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</si>
  <si>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</si>
  <si>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PAISHARHAT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</si>
  <si>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</si>
  <si>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</si>
  <si>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PURAN BAZAR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</si>
  <si>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</si>
  <si>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</si>
  <si>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SADAR ROAD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</si>
  <si>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</si>
  <si>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</si>
  <si>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TORKI BANDAR</t>
    </r>
  </si>
  <si>
    <r>
      <rPr>
        <rFont val="Arial MT"/>
        <color theme="1"/>
        <sz val="11.0"/>
      </rPr>
      <t>BARISHAL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</si>
  <si>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</si>
  <si>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ULANIA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</si>
  <si>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</si>
  <si>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</si>
  <si>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BANGLABAZAR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</si>
  <si>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</si>
  <si>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</si>
  <si>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</si>
  <si>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</si>
  <si>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</si>
  <si>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BORHANUDDIN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</si>
  <si>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</si>
  <si>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</si>
  <si>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CHAR FASSION BAZAR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</si>
  <si>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</si>
  <si>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</si>
  <si>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CHAR SHASHI BHUSON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</si>
  <si>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</si>
  <si>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</si>
  <si>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DAULATKHAN</t>
    </r>
  </si>
  <si>
    <r>
      <rPr>
        <rFont val="Arial MT"/>
        <color theme="1"/>
        <sz val="11.0"/>
      </rPr>
      <t>BHOLA</t>
    </r>
  </si>
  <si>
    <r>
      <rPr>
        <rFont val="Arial MT"/>
        <color theme="1"/>
        <sz val="11.0"/>
      </rPr>
      <t>AGRANI BANK LTD.</t>
    </r>
  </si>
  <si>
    <r>
      <rPr>
        <rFont val="Arial MT"/>
        <color theme="1"/>
        <sz val="11.0"/>
      </rPr>
      <t>KALINATH RAER BAZAR</t>
    </r>
  </si>
  <si>
    <r>
      <rPr>
        <rFont val="Arial MT"/>
        <color theme="1"/>
        <sz val="12.0"/>
      </rPr>
      <t>BHOLA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</si>
  <si>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</si>
  <si>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KHAIRHAT</t>
    </r>
  </si>
  <si>
    <r>
      <rPr>
        <rFont val="Arial MT"/>
        <color theme="1"/>
        <sz val="12.0"/>
      </rPr>
      <t>BHOLA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</si>
  <si>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</si>
  <si>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LALMOHAN</t>
    </r>
  </si>
  <si>
    <r>
      <rPr>
        <rFont val="Arial MT"/>
        <color theme="1"/>
        <sz val="12.0"/>
      </rPr>
      <t>BHOLA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</si>
  <si>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</si>
  <si>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WAPDA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</si>
  <si>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</si>
  <si>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</si>
  <si>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BADURTALA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</si>
  <si>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</si>
  <si>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</si>
  <si>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BAGBARI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</si>
  <si>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</si>
  <si>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</si>
  <si>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BHATRA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</si>
  <si>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</si>
  <si>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</si>
  <si>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BOGRA CANTONMENT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</si>
  <si>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</si>
  <si>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</si>
  <si>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CHAMRUL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</si>
  <si>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</si>
  <si>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</si>
  <si>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CHELOPARA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</si>
  <si>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</si>
  <si>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</si>
  <si>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DEMAJANI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</si>
  <si>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</si>
  <si>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</si>
  <si>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DHUNAT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</si>
  <si>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</si>
  <si>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</si>
  <si>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GHORADHAPAHAT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</si>
  <si>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</si>
  <si>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</si>
  <si>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GOKUL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</si>
  <si>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</si>
  <si>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</si>
  <si>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KHANDER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</si>
  <si>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</si>
  <si>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</si>
  <si>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MADLA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</si>
  <si>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</si>
  <si>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</si>
  <si>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MAJHIRA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</si>
  <si>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</si>
  <si>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</si>
  <si>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MIRJAPUR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</si>
  <si>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</si>
  <si>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</si>
  <si>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NAMAJGHAR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</si>
  <si>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</si>
  <si>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</si>
  <si>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NANDIGRAM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</si>
  <si>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</si>
  <si>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</si>
  <si>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NISHINDARA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</si>
  <si>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</si>
  <si>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</si>
  <si>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PORADAHHAT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</si>
  <si>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</si>
  <si>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</si>
  <si>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RAJABAZAR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</si>
  <si>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</si>
  <si>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</si>
  <si>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SAPTAPADI MARKET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</si>
  <si>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</si>
  <si>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</si>
  <si>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SHERPUR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</si>
  <si>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</si>
  <si>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</si>
  <si>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SHONKA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</si>
  <si>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</si>
  <si>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</si>
  <si>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SIBBATI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</si>
  <si>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</si>
  <si>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</si>
  <si>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SONATALA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</si>
  <si>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</si>
  <si>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</si>
  <si>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SULTANGANJ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</si>
  <si>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</si>
  <si>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</si>
  <si>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TALORA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</si>
  <si>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</si>
  <si>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</si>
  <si>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TALUCH HAT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</si>
  <si>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</si>
  <si>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</si>
  <si>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TARONIHAT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</si>
  <si>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</si>
  <si>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</si>
  <si>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THANA ROAD</t>
    </r>
  </si>
  <si>
    <r>
      <rPr>
        <rFont val="Arial MT"/>
        <color theme="1"/>
        <sz val="12.0"/>
      </rPr>
      <t>BOGRA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</si>
  <si>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</si>
  <si>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ZIANAGAR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</si>
  <si>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</si>
  <si>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</si>
  <si>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AKHAURA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</si>
  <si>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</si>
  <si>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</si>
  <si>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ASHUGANJ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</si>
  <si>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</si>
  <si>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</si>
  <si>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BANCHARAMPUR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</si>
  <si>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</si>
  <si>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</si>
  <si>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BANGURA BAZAR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</si>
  <si>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</si>
  <si>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</si>
  <si>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BITGHAR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</si>
  <si>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</si>
  <si>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</si>
  <si>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</si>
  <si>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</si>
  <si>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</si>
  <si>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CHANDURA BAZAR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</si>
  <si>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</si>
  <si>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</si>
  <si>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JAGAT BAZAR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</si>
  <si>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</si>
  <si>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</si>
  <si>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KASBA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</si>
  <si>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</si>
  <si>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</si>
  <si>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LALPUR BAZAR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</si>
  <si>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</si>
  <si>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</si>
  <si>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NABINAGAR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</si>
  <si>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</si>
  <si>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</si>
  <si>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SALIMGONJ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</si>
  <si>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</si>
  <si>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</si>
  <si>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SHAHPUR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</si>
  <si>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</si>
  <si>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</si>
  <si>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SHIBPUR</t>
    </r>
  </si>
  <si>
    <r>
      <rPr>
        <rFont val="Arial MT"/>
        <color theme="1"/>
        <sz val="12.0"/>
      </rPr>
      <t>BRAHMANBARIA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</si>
  <si>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</si>
  <si>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T.A. ROAD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</si>
  <si>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</si>
  <si>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</si>
  <si>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ALGEE BAZAR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</si>
  <si>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</si>
  <si>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</si>
  <si>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KACHUA BAZAR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</si>
  <si>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</si>
  <si>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</si>
  <si>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BABUR HAT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</si>
  <si>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</si>
  <si>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</si>
  <si>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BALITHUBA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</si>
  <si>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</si>
  <si>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</si>
  <si>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BELTALI BAZAR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</si>
  <si>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</si>
  <si>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</si>
  <si>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CHANDRA BAZAR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</si>
  <si>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</si>
  <si>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</si>
  <si>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CHHENGARCHAR BAZAR</t>
    </r>
  </si>
  <si>
    <r>
      <rPr>
        <rFont val="Arial MT"/>
        <color theme="1"/>
        <sz val="12.0"/>
      </rPr>
      <t>CHANDPUR</t>
    </r>
  </si>
  <si>
    <r>
      <rPr>
        <rFont val="Arial MT"/>
        <color theme="1"/>
        <sz val="12.0"/>
      </rPr>
      <t>AGRANI BANK LTD.</t>
    </r>
  </si>
  <si>
    <r>
      <rPr>
        <rFont val="Arial MT"/>
        <color theme="1"/>
        <sz val="12.0"/>
      </rPr>
      <t>FARAKKABAD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</si>
  <si>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</si>
  <si>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</si>
  <si>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</si>
  <si>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</si>
  <si>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</si>
  <si>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KHAJURIA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</si>
  <si>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</si>
  <si>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</si>
  <si>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MATLAB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</si>
  <si>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</si>
  <si>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</si>
  <si>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MEHER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</si>
  <si>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</si>
  <si>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</si>
  <si>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MUNSHIRHAT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</si>
  <si>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</si>
  <si>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</si>
  <si>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NANDALALPUR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</si>
  <si>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</si>
  <si>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</si>
  <si>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NARAYANPUR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</si>
  <si>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</si>
  <si>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</si>
  <si>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</si>
  <si>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</si>
  <si>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</si>
  <si>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RAMCHANDRAPUR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</si>
  <si>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</si>
  <si>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</si>
  <si>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RUPSHA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</si>
  <si>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</si>
  <si>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</si>
  <si>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SREERAMDI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</si>
  <si>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</si>
  <si>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</si>
  <si>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</si>
  <si>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</si>
  <si>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</si>
  <si>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AGRABAD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</si>
  <si>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</si>
  <si>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</si>
  <si>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AIR BASE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</si>
  <si>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</si>
  <si>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</si>
  <si>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AMANAT KHAN SARAK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</si>
  <si>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</si>
  <si>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</si>
  <si>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AMIRABAD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</si>
  <si>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</si>
  <si>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</si>
  <si>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</si>
  <si>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</si>
  <si>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</si>
  <si>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ARTYLARY CENTRE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</si>
  <si>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</si>
  <si>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</si>
  <si>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ASAD 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</si>
  <si>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</si>
  <si>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</si>
  <si>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ASKERDIGHI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</si>
  <si>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</si>
  <si>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</si>
  <si>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AZADI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</si>
  <si>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</si>
  <si>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</si>
  <si>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</si>
  <si>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</si>
  <si>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</si>
  <si>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BANDAR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</si>
  <si>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</si>
  <si>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</si>
  <si>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</si>
  <si>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</si>
  <si>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</si>
  <si>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BARODAROGA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</si>
  <si>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</si>
  <si>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</si>
  <si>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BAY SHOPPING CENTRE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</si>
  <si>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</si>
  <si>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</si>
  <si>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</si>
  <si>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</si>
  <si>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</si>
  <si>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CADET COLLEGE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</si>
  <si>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</si>
  <si>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</si>
  <si>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</si>
  <si>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</si>
  <si>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</si>
  <si>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CHATTESWARI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</si>
  <si>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</si>
  <si>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</si>
  <si>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CHATURI CHAUMUHONI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</si>
  <si>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</si>
  <si>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</si>
  <si>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CHITTAGONG PRESS CLUB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</si>
  <si>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</si>
  <si>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</si>
  <si>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CHITTAGONG UNIVERSITY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</si>
  <si>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</si>
  <si>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</si>
  <si>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COLONEL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</si>
  <si>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</si>
  <si>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</si>
  <si>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COMMERCIAL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</si>
  <si>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</si>
  <si>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</si>
  <si>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</si>
  <si>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</si>
  <si>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</si>
  <si>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</si>
  <si>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</si>
  <si>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</si>
  <si>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FERINGHEE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</si>
  <si>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</si>
  <si>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</si>
  <si>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FOTAYABAD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</si>
  <si>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</si>
  <si>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</si>
  <si>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FOUZDERHAT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</si>
  <si>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</si>
  <si>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</si>
  <si>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GOHIRA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</si>
  <si>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</si>
  <si>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</si>
  <si>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GUNAGARI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</si>
  <si>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</si>
  <si>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</si>
  <si>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</si>
  <si>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</si>
  <si>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</si>
  <si>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</si>
  <si>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</si>
  <si>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</si>
  <si>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HAZIRHAT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</si>
  <si>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</si>
  <si>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</si>
  <si>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INDUSTRIAL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</si>
  <si>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</si>
  <si>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</si>
  <si>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ISHAKHALI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</si>
  <si>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</si>
  <si>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</si>
  <si>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ISHANAGAR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</si>
  <si>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</si>
  <si>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</si>
  <si>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JALALABAD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</si>
  <si>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</si>
  <si>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</si>
  <si>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</si>
  <si>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</si>
  <si>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</si>
  <si>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KAPASHGOLA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</si>
  <si>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</si>
  <si>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</si>
  <si>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</si>
  <si>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</si>
  <si>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</si>
  <si>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</si>
  <si>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</si>
  <si>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</si>
  <si>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KHULSHI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</si>
  <si>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</si>
  <si>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</si>
  <si>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LALDIGHI EAST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</si>
  <si>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</si>
  <si>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</si>
  <si>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LALKHAN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</si>
  <si>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</si>
  <si>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</si>
  <si>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</si>
  <si>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</si>
  <si>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</si>
  <si>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MEDICAL COLLEGE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</si>
  <si>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</si>
  <si>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</si>
  <si>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MINNAT ALI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</si>
  <si>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</si>
  <si>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</si>
  <si>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MIRSARAI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</si>
  <si>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</si>
  <si>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</si>
  <si>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MIRZAKHIL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</si>
  <si>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</si>
  <si>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</si>
  <si>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MODUNA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</si>
  <si>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</si>
  <si>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</si>
  <si>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</si>
  <si>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</si>
  <si>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</si>
  <si>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</si>
  <si>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</si>
  <si>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</si>
  <si>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</si>
  <si>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</si>
  <si>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</si>
  <si>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</si>
  <si>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</si>
  <si>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</si>
  <si>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QUAISH BURISH CHAR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</si>
  <si>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</si>
  <si>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</si>
  <si>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</si>
  <si>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</si>
  <si>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</si>
  <si>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REAZUDDIN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</si>
  <si>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</si>
  <si>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</si>
  <si>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</si>
  <si>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</si>
  <si>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</si>
  <si>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SAMITIRHAT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</si>
  <si>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</si>
  <si>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</si>
  <si>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</si>
  <si>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</si>
  <si>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</si>
  <si>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SANTINIKETAN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</si>
  <si>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</si>
  <si>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</si>
  <si>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SARWATOLI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</si>
  <si>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</si>
  <si>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</si>
  <si>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SATTAR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</si>
  <si>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</si>
  <si>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</si>
  <si>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</si>
  <si>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</si>
  <si>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</si>
  <si>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SK. MUJIB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</si>
  <si>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</si>
  <si>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</si>
  <si>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STEEL MILLS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</si>
  <si>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</si>
  <si>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</si>
  <si>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STRAND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</si>
  <si>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</si>
  <si>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</si>
  <si>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</si>
  <si>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</si>
  <si>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</si>
  <si>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ANDUL BARIA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</si>
  <si>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</si>
  <si>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</si>
  <si>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ASMANKHALI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</si>
  <si>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</si>
  <si>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</si>
  <si>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</si>
  <si>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</si>
  <si>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</si>
  <si>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DARSHANA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</si>
  <si>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</si>
  <si>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</si>
  <si>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HARDI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</si>
  <si>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</si>
  <si>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</si>
  <si>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JIBAN NAGAR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</si>
  <si>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</si>
  <si>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</si>
  <si>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KEDERGANJ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</si>
  <si>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</si>
  <si>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</si>
  <si>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RADHAKANTAPUR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</si>
  <si>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</si>
  <si>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</si>
  <si>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RAMDIA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</si>
  <si>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</si>
  <si>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</si>
  <si>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JUKTIKHOLA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</si>
  <si>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</si>
  <si>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</si>
  <si>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MEDICAL COLLEGE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</si>
  <si>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</si>
  <si>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</si>
  <si>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AMRATALI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</si>
  <si>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</si>
  <si>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</si>
  <si>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B.S.C.I.C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</si>
  <si>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</si>
  <si>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</si>
  <si>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BALUTUPA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</si>
  <si>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</si>
  <si>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</si>
  <si>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BATA KANDI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</si>
  <si>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</si>
  <si>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</si>
  <si>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BATAICHARI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</si>
  <si>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</si>
  <si>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</si>
  <si>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BOKSHAGONJ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</si>
  <si>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</si>
  <si>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</si>
  <si>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BURICHANG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</si>
  <si>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</si>
  <si>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</si>
  <si>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</si>
  <si>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</si>
  <si>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</si>
  <si>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DAUDKANDI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</si>
  <si>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</si>
  <si>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</si>
  <si>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DEBIDWAR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</si>
  <si>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</si>
  <si>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</si>
  <si>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HASANPUR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</si>
  <si>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</si>
  <si>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</si>
  <si>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HOMNA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</si>
  <si>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</si>
  <si>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</si>
  <si>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HOUSING ESTATE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</si>
  <si>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</si>
  <si>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</si>
  <si>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JAHAPUR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</si>
  <si>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</si>
  <si>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</si>
  <si>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JHALAM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</si>
  <si>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</si>
  <si>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</si>
  <si>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KASHINAGAR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</si>
  <si>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</si>
  <si>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</si>
  <si>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KHILA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</si>
  <si>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</si>
  <si>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</si>
  <si>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</si>
  <si>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</si>
  <si>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</si>
  <si>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</si>
  <si>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</si>
  <si>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</si>
  <si>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MONOHARPUR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</si>
  <si>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</si>
  <si>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</si>
  <si>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MONSHIRHAT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</si>
  <si>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</si>
  <si>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</si>
  <si>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</si>
  <si>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</si>
  <si>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</si>
  <si>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NASRATPUR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</si>
  <si>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</si>
  <si>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</si>
  <si>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NATHERPETUA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</si>
  <si>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</si>
  <si>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</si>
  <si>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NIMSHAR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</si>
  <si>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</si>
  <si>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</si>
  <si>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PADUAR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</si>
  <si>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</si>
  <si>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</si>
  <si>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</si>
  <si>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</si>
  <si>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</si>
  <si>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RUPBABU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</si>
  <si>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</si>
  <si>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</si>
  <si>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SHANKHACHAIL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</si>
  <si>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</si>
  <si>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</si>
  <si>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TOMSON BRIDGE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</si>
  <si>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</si>
  <si>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</si>
  <si>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</si>
  <si>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</si>
  <si>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</si>
  <si>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KHUTAKHALI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</si>
  <si>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</si>
  <si>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</si>
  <si>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MARICCHA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</si>
  <si>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</si>
  <si>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</si>
  <si>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</si>
  <si>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</si>
  <si>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</si>
  <si>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B.A.F.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</si>
  <si>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</si>
  <si>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</si>
  <si>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BADDA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</si>
  <si>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</si>
  <si>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</si>
  <si>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</si>
  <si>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</si>
  <si>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</si>
  <si>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BANK TOWN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</si>
  <si>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</si>
  <si>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</si>
  <si>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DHAMRAI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</si>
  <si>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</si>
  <si>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</si>
  <si>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</si>
  <si>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</si>
  <si>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</si>
  <si>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</si>
  <si>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</si>
  <si>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</si>
  <si>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FARMGATE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</si>
  <si>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</si>
  <si>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</si>
  <si>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GABTALI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</si>
  <si>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</si>
  <si>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</si>
  <si>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</si>
  <si>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</si>
  <si>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</si>
  <si>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</si>
  <si>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</si>
  <si>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</si>
  <si>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ICDDRB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</si>
  <si>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</si>
  <si>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</si>
  <si>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JAHANGIRNAGAR UNIVERSITY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</si>
  <si>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</si>
  <si>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</si>
  <si>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KURMITOLA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</si>
  <si>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</si>
  <si>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</si>
  <si>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</si>
  <si>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</si>
  <si>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</si>
  <si>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</si>
  <si>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</si>
  <si>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</si>
  <si>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</si>
  <si>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</si>
  <si>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</si>
  <si>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</si>
  <si>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</si>
  <si>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</si>
  <si>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</si>
  <si>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</si>
  <si>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</si>
  <si>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</si>
  <si>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</si>
  <si>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</si>
  <si>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PATHALIA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</si>
  <si>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</si>
  <si>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</si>
  <si>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RAYER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</si>
  <si>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</si>
  <si>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</si>
  <si>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</si>
  <si>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</si>
  <si>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</si>
  <si>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</si>
  <si>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</si>
  <si>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</si>
  <si>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SENPARA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</si>
  <si>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</si>
  <si>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</si>
  <si>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SHEWRA 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</si>
  <si>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</si>
  <si>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</si>
  <si>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</si>
  <si>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</si>
  <si>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</si>
  <si>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SIMULIA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</si>
  <si>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</si>
  <si>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</si>
  <si>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SONARGAON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</si>
  <si>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</si>
  <si>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</si>
  <si>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TEJGAON INDUSTRIAL AREA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</si>
  <si>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</si>
  <si>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</si>
  <si>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</si>
  <si>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</si>
  <si>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</si>
  <si>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WASA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</si>
  <si>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</si>
  <si>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</si>
  <si>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</si>
  <si>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</si>
  <si>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</si>
  <si>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AGAMASHILANE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</si>
  <si>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</si>
  <si>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</si>
  <si>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AMINCOURT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</si>
  <si>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</si>
  <si>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</si>
  <si>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CHURAIN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</si>
  <si>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</si>
  <si>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</si>
  <si>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ANTA BARAH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</si>
  <si>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</si>
  <si>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</si>
  <si>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RAYER 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</si>
  <si>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</si>
  <si>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</si>
  <si>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B.B.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</si>
  <si>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</si>
  <si>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</si>
  <si>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</si>
  <si>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</si>
  <si>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</si>
  <si>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BANGLA ACADAMY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</si>
  <si>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</si>
  <si>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</si>
  <si>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BASHABOO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</si>
  <si>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</si>
  <si>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</si>
  <si>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BECHARAMDEWRI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</si>
  <si>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</si>
  <si>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</si>
  <si>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BEGUM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</si>
  <si>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</si>
  <si>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</si>
  <si>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CENTRAL LAW COLLEGE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</si>
  <si>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</si>
  <si>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</si>
  <si>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</si>
  <si>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</si>
  <si>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</si>
  <si>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CHOWDHURY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</si>
  <si>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</si>
  <si>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</si>
  <si>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DHAKA SHERATON HOTEL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</si>
  <si>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</si>
  <si>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</si>
  <si>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DHAKA UNIVERSITY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</si>
  <si>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</si>
  <si>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</si>
  <si>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DHOLAIRPAR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</si>
  <si>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</si>
  <si>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</si>
  <si>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FARASHGANJ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</si>
  <si>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</si>
  <si>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</si>
  <si>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FARIDABAD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</si>
  <si>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</si>
  <si>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</si>
  <si>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</si>
  <si>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</si>
  <si>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</si>
  <si>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HATKHOLA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</si>
  <si>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</si>
  <si>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</si>
  <si>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</si>
  <si>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</si>
  <si>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</si>
  <si>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</si>
  <si>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</si>
  <si>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</si>
  <si>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</si>
  <si>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</si>
  <si>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</si>
  <si>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JAGANNATH UNIVERSITY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</si>
  <si>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</si>
  <si>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</si>
  <si>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JATIYA JADUGHAR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</si>
  <si>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</si>
  <si>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</si>
  <si>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JATIYA PRESS CLUB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</si>
  <si>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</si>
  <si>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</si>
  <si>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</si>
  <si>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</si>
  <si>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</si>
  <si>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</si>
  <si>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</si>
  <si>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</si>
  <si>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</si>
  <si>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</si>
  <si>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</si>
  <si>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KAMALAPUR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</si>
  <si>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</si>
  <si>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</si>
  <si>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</si>
  <si>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</si>
  <si>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</si>
  <si>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KOMORGONJ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</si>
  <si>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</si>
  <si>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</si>
  <si>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</si>
  <si>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</si>
  <si>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</si>
  <si>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</si>
  <si>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</si>
  <si>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</si>
  <si>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MITFORD HOSPITAL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</si>
  <si>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</si>
  <si>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</si>
  <si>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MOUCHAK MARKET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</si>
  <si>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</si>
  <si>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</si>
  <si>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</si>
  <si>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</si>
  <si>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</si>
  <si>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NARINDA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</si>
  <si>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</si>
  <si>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</si>
  <si>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NARISHA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</si>
  <si>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</si>
  <si>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</si>
  <si>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NAWABGANJ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</si>
  <si>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</si>
  <si>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</si>
  <si>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NOBABGONJ  (KOLAKOPA)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</si>
  <si>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</si>
  <si>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</si>
  <si>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</si>
  <si>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</si>
  <si>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</si>
  <si>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ESKATON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</si>
  <si>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</si>
  <si>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</si>
  <si>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NORTH SOUTH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</si>
  <si>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</si>
  <si>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</si>
  <si>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PATILZHAP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</si>
  <si>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</si>
  <si>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</si>
  <si>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POSTA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</si>
  <si>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</si>
  <si>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</si>
  <si>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</si>
  <si>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</si>
  <si>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</si>
  <si>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PURANA 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</si>
  <si>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</si>
  <si>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</si>
  <si>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PYARIDAS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</si>
  <si>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</si>
  <si>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</si>
  <si>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RAISHAHEB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</si>
  <si>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</si>
  <si>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</si>
  <si>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RAJUK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</si>
  <si>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</si>
  <si>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</si>
  <si>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RAMNA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</si>
  <si>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</si>
  <si>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</si>
  <si>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</si>
  <si>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</si>
  <si>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</si>
  <si>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S.S. COLLEGE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</si>
  <si>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</si>
  <si>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</si>
  <si>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</si>
  <si>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</si>
  <si>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</si>
  <si>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SANTINAGAR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</si>
  <si>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</si>
  <si>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</si>
  <si>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THATARI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</si>
  <si>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</si>
  <si>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</si>
  <si>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WAPDA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</si>
  <si>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</si>
  <si>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</si>
  <si>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</si>
  <si>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</si>
  <si>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</si>
  <si>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AMTALI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</si>
  <si>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</si>
  <si>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</si>
  <si>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BHUSHIR 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</si>
  <si>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</si>
  <si>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</si>
  <si>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</si>
  <si>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</si>
  <si>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</si>
  <si>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BIRGANJ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</si>
  <si>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</si>
  <si>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</si>
  <si>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HAKIMPUR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</si>
  <si>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</si>
  <si>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</si>
  <si>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KAMOLPUR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</si>
  <si>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</si>
  <si>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</si>
  <si>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MADILA 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</si>
  <si>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</si>
  <si>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</si>
  <si>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MALDAH PATTY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</si>
  <si>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</si>
  <si>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</si>
  <si>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MUNSHIPARA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</si>
  <si>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</si>
  <si>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</si>
  <si>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</si>
  <si>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</si>
  <si>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</si>
  <si>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PARBATIPUR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</si>
  <si>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</si>
  <si>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</si>
  <si>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PHUL 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</si>
  <si>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</si>
  <si>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</si>
  <si>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PHULBARI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</si>
  <si>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</si>
  <si>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</si>
  <si>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PURATAN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</si>
  <si>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</si>
  <si>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</si>
  <si>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SETABGANJ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</si>
  <si>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</si>
  <si>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</si>
  <si>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</si>
  <si>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</si>
  <si>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</si>
  <si>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TAJPURHAT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</si>
  <si>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</si>
  <si>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</si>
  <si>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BADARPUR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</si>
  <si>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</si>
  <si>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</si>
  <si>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</si>
  <si>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</si>
  <si>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</si>
  <si>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BOALMARI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</si>
  <si>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</si>
  <si>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</si>
  <si>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BUS STAND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</si>
  <si>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</si>
  <si>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</si>
  <si>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CHAR BHADRASAN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</si>
  <si>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</si>
  <si>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</si>
  <si>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</si>
  <si>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</si>
  <si>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</si>
  <si>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GHARUA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</si>
  <si>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</si>
  <si>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</si>
  <si>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MALIGRAM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</si>
  <si>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</si>
  <si>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</si>
  <si>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NAGARKANDA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</si>
  <si>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</si>
  <si>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</si>
  <si>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SADARPUR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</si>
  <si>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</si>
  <si>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</si>
  <si>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SARIATULLAH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</si>
  <si>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</si>
  <si>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</si>
  <si>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ZILLA PARISAD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</si>
  <si>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</si>
  <si>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</si>
  <si>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SUBAR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</si>
  <si>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</si>
  <si>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</si>
  <si>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BAIRAGIRHAT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</si>
  <si>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</si>
  <si>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</si>
  <si>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</si>
  <si>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</si>
  <si>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</si>
  <si>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</si>
  <si>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</si>
  <si>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</si>
  <si>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KAMALAPATTY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</si>
  <si>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</si>
  <si>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</si>
  <si>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PARSHURAM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</si>
  <si>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</si>
  <si>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</si>
  <si>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</si>
  <si>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</si>
  <si>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</si>
  <si>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TULATOLY BAZAR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</si>
  <si>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</si>
  <si>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</si>
  <si>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BONARPARA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</si>
  <si>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</si>
  <si>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</si>
  <si>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DHOLBHANGA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</si>
  <si>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</si>
  <si>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</si>
  <si>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FULCHARIGHAT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</si>
  <si>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</si>
  <si>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</si>
  <si>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</si>
  <si>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</si>
  <si>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</si>
  <si>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KAMARPARA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</si>
  <si>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</si>
  <si>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</si>
  <si>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NALDANGA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</si>
  <si>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</si>
  <si>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</si>
  <si>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PANCHPIR BAZAR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</si>
  <si>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</si>
  <si>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</si>
  <si>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RASULPUR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</si>
  <si>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</si>
  <si>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</si>
  <si>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SADULLAPUR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</si>
  <si>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</si>
  <si>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</si>
  <si>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SAGHATTA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</si>
  <si>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</si>
  <si>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</si>
  <si>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SUNDARGANJ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</si>
  <si>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</si>
  <si>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</si>
  <si>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BAKTARPUR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</si>
  <si>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</si>
  <si>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</si>
  <si>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</si>
  <si>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</si>
  <si>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</si>
  <si>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BORMI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</si>
  <si>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</si>
  <si>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</si>
  <si>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D.U.E.T.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</si>
  <si>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</si>
  <si>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</si>
  <si>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DALAN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</si>
  <si>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</si>
  <si>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</si>
  <si>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GAGOTIA CHALAR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</si>
  <si>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</si>
  <si>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</si>
  <si>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</si>
  <si>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</si>
  <si>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</si>
  <si>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GOSINGA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</si>
  <si>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</si>
  <si>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</si>
  <si>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</si>
  <si>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</si>
  <si>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</si>
  <si>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KAORAID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</si>
  <si>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</si>
  <si>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</si>
  <si>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</si>
  <si>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</si>
  <si>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</si>
  <si>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KASHIMPUR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</si>
  <si>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</si>
  <si>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</si>
  <si>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MOUNA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</si>
  <si>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</si>
  <si>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</si>
  <si>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NAGARI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</si>
  <si>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</si>
  <si>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</si>
  <si>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</si>
  <si>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</si>
  <si>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</si>
  <si>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</si>
  <si>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</si>
  <si>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</si>
  <si>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TOKNAYAN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</si>
  <si>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</si>
  <si>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</si>
  <si>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</si>
  <si>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</si>
  <si>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</si>
  <si>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VANGAR HAT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</si>
  <si>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</si>
  <si>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</si>
  <si>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BANGABANDHU SHEIKH MUJIBUR RAHMAN SCIENCE AND TECHNOLOGY UNIVERSITY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</si>
  <si>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</si>
  <si>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</si>
  <si>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BANAGRAM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</si>
  <si>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</si>
  <si>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</si>
  <si>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KALIGANJ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</si>
  <si>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</si>
  <si>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</si>
  <si>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</si>
  <si>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</si>
  <si>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</si>
  <si>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JALIRPUR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</si>
  <si>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</si>
  <si>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</si>
  <si>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JHUTIGRAM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</si>
  <si>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</si>
  <si>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</si>
  <si>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KASHIANI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</si>
  <si>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</si>
  <si>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</si>
  <si>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KOTALIPARA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</si>
  <si>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</si>
  <si>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</si>
  <si>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</si>
  <si>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</si>
  <si>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</si>
  <si>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POURA SUPER MARKET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</si>
  <si>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</si>
  <si>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</si>
  <si>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RAMDIA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</si>
  <si>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</si>
  <si>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</si>
  <si>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</si>
  <si>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</si>
  <si>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</si>
  <si>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GOPAYA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</si>
  <si>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</si>
  <si>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</si>
  <si>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</si>
  <si>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</si>
  <si>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</si>
  <si>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KAILASHGANJ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</si>
  <si>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</si>
  <si>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</si>
  <si>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</si>
  <si>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</si>
  <si>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</si>
  <si>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PURAN BAZAR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</si>
  <si>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</si>
  <si>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</si>
  <si>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AKKELPUR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</si>
  <si>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</si>
  <si>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</si>
  <si>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JOYPURHAT GIRLS CADET COLLEGE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</si>
  <si>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</si>
  <si>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</si>
  <si>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AWLAI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</si>
  <si>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</si>
  <si>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</si>
  <si>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CHAWK BARKAT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</si>
  <si>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</si>
  <si>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</si>
  <si>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</si>
  <si>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</si>
  <si>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</si>
  <si>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KALAI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</si>
  <si>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</si>
  <si>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</si>
  <si>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KUSHUMBA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</si>
  <si>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</si>
  <si>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</si>
  <si>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MATRAI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</si>
  <si>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</si>
  <si>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</si>
  <si>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PANCHBIBI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</si>
  <si>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</si>
  <si>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</si>
  <si>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BALIJURI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</si>
  <si>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</si>
  <si>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</si>
  <si>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BUS STAND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</si>
  <si>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</si>
  <si>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</si>
  <si>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HAZIPUR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</si>
  <si>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</si>
  <si>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</si>
  <si>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ISLAMPUR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</si>
  <si>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</si>
  <si>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</si>
  <si>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JAGANNATHGONJ GHAT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</si>
  <si>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</si>
  <si>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</si>
  <si>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</si>
  <si>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</si>
  <si>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</si>
  <si>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JAMTOLI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</si>
  <si>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</si>
  <si>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</si>
  <si>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JAMUNA SARKARKHANA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</si>
  <si>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</si>
  <si>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</si>
  <si>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LAHIRIKANDA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</si>
  <si>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</si>
  <si>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</si>
  <si>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PINGNA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</si>
  <si>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</si>
  <si>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</si>
  <si>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PIYARPUR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</si>
  <si>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</si>
  <si>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</si>
  <si>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SARISHABARI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</si>
  <si>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</si>
  <si>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</si>
  <si>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SHABAZPUR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</si>
  <si>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</si>
  <si>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</si>
  <si>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</si>
  <si>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</si>
  <si>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</si>
  <si>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BAGHERPARA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</si>
  <si>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</si>
  <si>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</si>
  <si>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BAZAR(H.M.M.ROAD)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</si>
  <si>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</si>
  <si>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</si>
  <si>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BENAPOLE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</si>
  <si>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</si>
  <si>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</si>
  <si>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BHANGURA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</si>
  <si>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</si>
  <si>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</si>
  <si>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BUS STAND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</si>
  <si>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</si>
  <si>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</si>
  <si>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DARATANA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</si>
  <si>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</si>
  <si>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</si>
  <si>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GANGANANDAPUR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</si>
  <si>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</si>
  <si>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</si>
  <si>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GODKHALI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</si>
  <si>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</si>
  <si>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</si>
  <si>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HASIMPUR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</si>
  <si>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</si>
  <si>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</si>
  <si>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</si>
  <si>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</si>
  <si>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</si>
  <si>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JESSORE AIR BASE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</si>
  <si>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</si>
  <si>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</si>
  <si>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JESSORE SCIENCE &amp; TECHNOLOGY UNIVERSITY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</si>
  <si>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</si>
  <si>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</si>
  <si>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JHIKARGACHA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</si>
  <si>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</si>
  <si>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</si>
  <si>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JHUMJHUMPUR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</si>
  <si>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</si>
  <si>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</si>
  <si>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</si>
  <si>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</si>
  <si>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</si>
  <si>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PROTAPPUR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</si>
  <si>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</si>
  <si>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</si>
  <si>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PULERHAT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</si>
  <si>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</si>
  <si>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</si>
  <si>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RAIL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</si>
  <si>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</si>
  <si>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</si>
  <si>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RAJARHAT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</si>
  <si>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</si>
  <si>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</si>
  <si>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SHAIKH HATI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</si>
  <si>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</si>
  <si>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</si>
  <si>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LABUBUNIA HAT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</si>
  <si>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</si>
  <si>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</si>
  <si>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AMUA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</si>
  <si>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</si>
  <si>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</si>
  <si>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DAPDAPIA FERRYGHAT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</si>
  <si>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</si>
  <si>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</si>
  <si>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</si>
  <si>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</si>
  <si>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</si>
  <si>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NALCHITY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</si>
  <si>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</si>
  <si>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</si>
  <si>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SHEKERHAT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</si>
  <si>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</si>
  <si>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</si>
  <si>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BAZAR GOPALPUR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</si>
  <si>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</si>
  <si>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</si>
  <si>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CHAPRAIL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</si>
  <si>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</si>
  <si>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</si>
  <si>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HAMDAH BUS STAND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</si>
  <si>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</si>
  <si>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</si>
  <si>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HOLIDHANI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</si>
  <si>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</si>
  <si>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</si>
  <si>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</si>
  <si>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</si>
  <si>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</si>
  <si>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KABIRPUR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</si>
  <si>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</si>
  <si>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</si>
  <si>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</si>
  <si>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</si>
  <si>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</si>
  <si>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KANYADAH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</si>
  <si>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</si>
  <si>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</si>
  <si>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KOTCHANDPUR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</si>
  <si>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</si>
  <si>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</si>
  <si>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SHADHUHATI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</si>
  <si>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</si>
  <si>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</si>
  <si>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</si>
  <si>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</si>
  <si>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</si>
  <si>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RAMGARH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</si>
  <si>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</si>
  <si>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</si>
  <si>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BAIKALI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</si>
  <si>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</si>
  <si>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</si>
  <si>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BAJUA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</si>
  <si>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</si>
  <si>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</si>
  <si>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BANARGATI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</si>
  <si>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</si>
  <si>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</si>
  <si>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BANKA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</si>
  <si>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</si>
  <si>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</si>
  <si>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BATBUNIA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</si>
  <si>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</si>
  <si>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</si>
  <si>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CHUK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</si>
  <si>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</si>
  <si>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</si>
  <si>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CLAY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</si>
  <si>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</si>
  <si>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</si>
  <si>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DADA MATCH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</si>
  <si>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</si>
  <si>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</si>
  <si>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</si>
  <si>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</si>
  <si>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</si>
  <si>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FARAZIPARA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</si>
  <si>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</si>
  <si>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</si>
  <si>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GOALPARA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</si>
  <si>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</si>
  <si>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</si>
  <si>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JAIGIR MOHAL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</si>
  <si>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</si>
  <si>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</si>
  <si>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JESSORE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</si>
  <si>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</si>
  <si>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</si>
  <si>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K.D.A. NEW MARKET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</si>
  <si>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</si>
  <si>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</si>
  <si>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KAPILMUNI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</si>
  <si>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</si>
  <si>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</si>
  <si>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KAZDIA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</si>
  <si>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</si>
  <si>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</si>
  <si>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KHALISHPUR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</si>
  <si>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</si>
  <si>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</si>
  <si>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KHAN JAHAN ALI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</si>
  <si>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</si>
  <si>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</si>
  <si>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KHULNA MEDICAL COLLEGE AND HOSPITAL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</si>
  <si>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</si>
  <si>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</si>
  <si>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KHULNA UNIVERSITY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</si>
  <si>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</si>
  <si>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</si>
  <si>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MOHESWARPASHA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</si>
  <si>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</si>
  <si>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</si>
  <si>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NAVAL BASE(B.N.S.TITUMIR)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</si>
  <si>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</si>
  <si>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</si>
  <si>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PHULBARI GATE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</si>
  <si>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</si>
  <si>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</si>
  <si>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PHULTALA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</si>
  <si>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</si>
  <si>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</si>
  <si>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RUPSHASTAND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</si>
  <si>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</si>
  <si>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</si>
  <si>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S.I. ROAD CORPORATE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</si>
  <si>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</si>
  <si>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</si>
  <si>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S.RAHMAN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</si>
  <si>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</si>
  <si>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</si>
  <si>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SHAIKHPURA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</si>
  <si>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</si>
  <si>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</si>
  <si>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TEROKHADA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</si>
  <si>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</si>
  <si>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</si>
  <si>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</si>
  <si>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</si>
  <si>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</si>
  <si>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</si>
  <si>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</si>
  <si>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</si>
  <si>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CHARPUMDI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</si>
  <si>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</si>
  <si>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</si>
  <si>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HOSSAINPUR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</si>
  <si>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</si>
  <si>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</si>
  <si>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KARIMGANJ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</si>
  <si>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</si>
  <si>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</si>
  <si>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KATIADI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</si>
  <si>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</si>
  <si>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</si>
  <si>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</si>
  <si>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</si>
  <si>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</si>
  <si>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KULIAR CHAR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</si>
  <si>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</si>
  <si>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</si>
  <si>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MATHKHOLA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</si>
  <si>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</si>
  <si>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</si>
  <si>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</si>
  <si>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</si>
  <si>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</si>
  <si>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NIKLI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</si>
  <si>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</si>
  <si>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</si>
  <si>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PAKUNDIA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</si>
  <si>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</si>
  <si>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</si>
  <si>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BHITORBOND 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</si>
  <si>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</si>
  <si>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</si>
  <si>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BHURUNGAMARI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</si>
  <si>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</si>
  <si>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</si>
  <si>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CHILMARI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</si>
  <si>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</si>
  <si>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</si>
  <si>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FULBARI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</si>
  <si>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</si>
  <si>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</si>
  <si>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</si>
  <si>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</si>
  <si>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</si>
  <si>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NAGESWARI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</si>
  <si>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</si>
  <si>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</si>
  <si>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NAZIMKHAN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</si>
  <si>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</si>
  <si>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</si>
  <si>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RAJARHAT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</si>
  <si>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</si>
  <si>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</si>
  <si>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ULIPUR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</si>
  <si>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</si>
  <si>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</si>
  <si>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ALLAHAR DARGAH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</si>
  <si>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</si>
  <si>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</si>
  <si>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BARA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</si>
  <si>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</si>
  <si>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</si>
  <si>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BARAGANGDIA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</si>
  <si>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</si>
  <si>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</si>
  <si>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</si>
  <si>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</si>
  <si>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</si>
  <si>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</si>
  <si>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</si>
  <si>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</si>
  <si>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GOLAP NAGAR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</si>
  <si>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</si>
  <si>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</si>
  <si>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ISLAMIC UNIVERSITY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</si>
  <si>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</si>
  <si>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</si>
  <si>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KHALISHA KUNDI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</si>
  <si>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</si>
  <si>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</si>
  <si>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KUMARKHALI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</si>
  <si>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</si>
  <si>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</si>
  <si>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MATHURAPUR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</si>
  <si>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</si>
  <si>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</si>
  <si>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</si>
  <si>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</si>
  <si>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</si>
  <si>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MOZAMPUR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</si>
  <si>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</si>
  <si>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</si>
  <si>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</si>
  <si>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</si>
  <si>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</si>
  <si>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PANTI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</si>
  <si>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</si>
  <si>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</si>
  <si>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PATIKABARI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</si>
  <si>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</si>
  <si>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</si>
  <si>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PRAGPUR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</si>
  <si>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</si>
  <si>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</si>
  <si>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S.C. BANERJEE ROAD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</si>
  <si>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</si>
  <si>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</si>
  <si>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SILAIDAH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</si>
  <si>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</si>
  <si>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</si>
  <si>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</si>
  <si>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</si>
  <si>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</si>
  <si>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THANAPARA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</si>
  <si>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</si>
  <si>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</si>
  <si>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UJANGRAM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</si>
  <si>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</si>
  <si>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</si>
  <si>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BHABANIGANJ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</si>
  <si>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</si>
  <si>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</si>
  <si>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NAGMUD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</si>
  <si>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</si>
  <si>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</si>
  <si>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PANIWALA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</si>
  <si>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</si>
  <si>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</si>
  <si>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DALAL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</si>
  <si>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</si>
  <si>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</si>
  <si>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DASHER HAT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</si>
  <si>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</si>
  <si>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</si>
  <si>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</si>
  <si>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</si>
  <si>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</si>
  <si>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MANDARI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</si>
  <si>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</si>
  <si>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</si>
  <si>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PANPARA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</si>
  <si>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</si>
  <si>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</si>
  <si>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</si>
  <si>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</si>
  <si>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</si>
  <si>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</si>
  <si>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</si>
  <si>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</si>
  <si>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RAMGATI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</si>
  <si>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</si>
  <si>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</si>
  <si>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MISSION MOOR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</si>
  <si>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</si>
  <si>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</si>
  <si>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</si>
  <si>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</si>
  <si>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</si>
  <si>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BARHAMGANJ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</si>
  <si>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</si>
  <si>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</si>
  <si>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DIKRIR CHOR 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</si>
  <si>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</si>
  <si>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</si>
  <si>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KALKINI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</si>
  <si>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</si>
  <si>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</si>
  <si>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</si>
  <si>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</si>
  <si>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</si>
  <si>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</si>
  <si>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</si>
  <si>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</si>
  <si>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</si>
  <si>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</si>
  <si>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</si>
  <si>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ARPARA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</si>
  <si>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</si>
  <si>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</si>
  <si>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BEROIL PALITA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</si>
  <si>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</si>
  <si>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</si>
  <si>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HAJIPUR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</si>
  <si>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</si>
  <si>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</si>
  <si>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ICHHAKHADA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</si>
  <si>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</si>
  <si>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</si>
  <si>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</si>
  <si>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</si>
  <si>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</si>
  <si>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</si>
  <si>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</si>
  <si>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</si>
  <si>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</si>
  <si>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</si>
  <si>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</si>
  <si>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VAINAR MOAR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</si>
  <si>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</si>
  <si>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</si>
  <si>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ARICHAGHAT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</si>
  <si>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</si>
  <si>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</si>
  <si>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BANGLADESH HAT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</si>
  <si>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</si>
  <si>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</si>
  <si>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BOYRA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</si>
  <si>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</si>
  <si>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</si>
  <si>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CHARIGRAM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</si>
  <si>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</si>
  <si>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</si>
  <si>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DHALLAH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</si>
  <si>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</si>
  <si>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</si>
  <si>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JANNA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</si>
  <si>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</si>
  <si>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</si>
  <si>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JHITKA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</si>
  <si>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</si>
  <si>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</si>
  <si>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KRISHNAPUR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</si>
  <si>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</si>
  <si>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</si>
  <si>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</si>
  <si>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</si>
  <si>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</si>
  <si>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MANIKNAGAR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</si>
  <si>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</si>
  <si>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</si>
  <si>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</si>
  <si>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</si>
  <si>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</si>
  <si>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WIRELESS GATE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</si>
  <si>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</si>
  <si>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</si>
  <si>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BAMONPARA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</si>
  <si>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</si>
  <si>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</si>
  <si>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BAOT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</si>
  <si>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</si>
  <si>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</si>
  <si>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GANGNI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</si>
  <si>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</si>
  <si>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</si>
  <si>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</si>
  <si>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</si>
  <si>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</si>
  <si>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MUJIB 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</si>
  <si>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</si>
  <si>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</si>
  <si>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BHUKSHIMOIL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</si>
  <si>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</si>
  <si>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</si>
  <si>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FULTALA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</si>
  <si>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</si>
  <si>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</si>
  <si>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GIAS 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</si>
  <si>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</si>
  <si>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</si>
  <si>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KARMADAH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</si>
  <si>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</si>
  <si>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</si>
  <si>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KATARKONA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</si>
  <si>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</si>
  <si>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</si>
  <si>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</si>
  <si>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</si>
  <si>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</si>
  <si>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MADHABPUR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</si>
  <si>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</si>
  <si>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</si>
  <si>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MOSTAFAPUR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</si>
  <si>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</si>
  <si>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</si>
  <si>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</si>
  <si>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</si>
  <si>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</si>
  <si>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</si>
  <si>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</si>
  <si>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</si>
  <si>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RABIR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</si>
  <si>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</si>
  <si>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</si>
  <si>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SINDUR KHAN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</si>
  <si>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</si>
  <si>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</si>
  <si>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</si>
  <si>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</si>
  <si>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</si>
  <si>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BALIGAON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</si>
  <si>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</si>
  <si>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</si>
  <si>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DIGHIRPAR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</si>
  <si>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</si>
  <si>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</si>
  <si>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HASAIL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</si>
  <si>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</si>
  <si>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</si>
  <si>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HASHARA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</si>
  <si>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</si>
  <si>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</si>
  <si>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HOSSAINDI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</si>
  <si>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</si>
  <si>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</si>
  <si>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KALMA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</si>
  <si>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</si>
  <si>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</si>
  <si>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KOLAPARA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</si>
  <si>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</si>
  <si>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</si>
  <si>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MIRKADIM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</si>
  <si>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</si>
  <si>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</si>
  <si>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MUKTARPUR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</si>
  <si>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</si>
  <si>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</si>
  <si>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</si>
  <si>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</si>
  <si>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</si>
  <si>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MUNSHIRHAT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</si>
  <si>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</si>
  <si>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</si>
  <si>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RAMGOPALPUR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</si>
  <si>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</si>
  <si>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</si>
  <si>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SIMPARA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</si>
  <si>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</si>
  <si>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</si>
  <si>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</si>
  <si>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</si>
  <si>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</si>
  <si>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PAGLA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</si>
  <si>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</si>
  <si>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</si>
  <si>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ATHAROBARI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</si>
  <si>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</si>
  <si>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</si>
  <si>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BHAITKANDI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</si>
  <si>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</si>
  <si>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</si>
  <si>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</si>
  <si>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</si>
  <si>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</si>
  <si>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BIDYAGANJ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</si>
  <si>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</si>
  <si>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</si>
  <si>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C.K. GHOSH ROAD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</si>
  <si>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</si>
  <si>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</si>
  <si>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CHHOTO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</si>
  <si>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</si>
  <si>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</si>
  <si>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DHARA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</si>
  <si>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</si>
  <si>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</si>
  <si>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FULPUR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</si>
  <si>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</si>
  <si>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</si>
  <si>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GAFFARGAON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</si>
  <si>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</si>
  <si>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</si>
  <si>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GIRLS CADET COLLEGE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</si>
  <si>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</si>
  <si>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</si>
  <si>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ISHWARGANJ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</si>
  <si>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</si>
  <si>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</si>
  <si>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KALIGANJ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</si>
  <si>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</si>
  <si>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</si>
  <si>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KASHIGANJ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</si>
  <si>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</si>
  <si>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</si>
  <si>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MECHUA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</si>
  <si>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</si>
  <si>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</si>
  <si>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MEDICAL COLLAGE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</si>
  <si>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</si>
  <si>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</si>
  <si>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</si>
  <si>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</si>
  <si>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</si>
  <si>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</si>
  <si>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</si>
  <si>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</si>
  <si>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</si>
  <si>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</si>
  <si>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</si>
  <si>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AHSANGANJ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</si>
  <si>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</si>
  <si>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</si>
  <si>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AI-HAI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</si>
  <si>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</si>
  <si>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</si>
  <si>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BOALIA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</si>
  <si>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</si>
  <si>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</si>
  <si>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BUS STAND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</si>
  <si>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</si>
  <si>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</si>
  <si>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KASHAB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</si>
  <si>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</si>
  <si>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</si>
  <si>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MAINAMHAT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</si>
  <si>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</si>
  <si>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</si>
  <si>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MATAZEE 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</si>
  <si>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</si>
  <si>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</si>
  <si>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</si>
  <si>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</si>
  <si>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</si>
  <si>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NITHPUR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</si>
  <si>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</si>
  <si>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</si>
  <si>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PATNITALA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</si>
  <si>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</si>
  <si>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</si>
  <si>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PORSHA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</si>
  <si>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</si>
  <si>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</si>
  <si>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SAPAHAR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</si>
  <si>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</si>
  <si>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</si>
  <si>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ARENDA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</si>
  <si>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</si>
  <si>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</si>
  <si>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AURIA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</si>
  <si>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</si>
  <si>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</si>
  <si>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GAZIRHAT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</si>
  <si>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</si>
  <si>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</si>
  <si>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JOGANIA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</si>
  <si>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</si>
  <si>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</si>
  <si>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KALABARIA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</si>
  <si>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</si>
  <si>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</si>
  <si>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</si>
  <si>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</si>
  <si>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</si>
  <si>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LOHAGARA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</si>
  <si>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</si>
  <si>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</si>
  <si>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</si>
  <si>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</si>
  <si>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</si>
  <si>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RATADANGA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</si>
  <si>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</si>
  <si>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</si>
  <si>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ARAIHAZAR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</si>
  <si>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</si>
  <si>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</si>
  <si>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B.B.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</si>
  <si>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</si>
  <si>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</si>
  <si>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B.K.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</si>
  <si>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</si>
  <si>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</si>
  <si>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COURT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</si>
  <si>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</si>
  <si>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</si>
  <si>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DEMRA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</si>
  <si>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</si>
  <si>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</si>
  <si>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KALIR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</si>
  <si>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</si>
  <si>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</si>
  <si>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KANCHAN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</si>
  <si>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</si>
  <si>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</si>
  <si>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MIRJUMLA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</si>
  <si>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</si>
  <si>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</si>
  <si>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SHASTAPUR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</si>
  <si>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</si>
  <si>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</si>
  <si>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SIDDIRGONJ POWER STATION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</si>
  <si>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</si>
  <si>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</si>
  <si>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</si>
  <si>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</si>
  <si>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</si>
  <si>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TAN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</si>
  <si>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</si>
  <si>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</si>
  <si>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AMIRGANJ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</si>
  <si>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</si>
  <si>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</si>
  <si>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BABURHAT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</si>
  <si>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</si>
  <si>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</si>
  <si>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 &amp; B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</si>
  <si>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</si>
  <si>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</si>
  <si>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CHALAKCHAR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</si>
  <si>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</si>
  <si>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</si>
  <si>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</si>
  <si>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</si>
  <si>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</si>
  <si>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MUSAPUR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</si>
  <si>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</si>
  <si>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</si>
  <si>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</si>
  <si>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</si>
  <si>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</si>
  <si>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PALASH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</si>
  <si>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</si>
  <si>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</si>
  <si>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RADHAGANJ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</si>
  <si>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</si>
  <si>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</si>
  <si>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</si>
  <si>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</si>
  <si>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</si>
  <si>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</si>
  <si>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</si>
  <si>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</si>
  <si>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</si>
  <si>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</si>
  <si>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</si>
  <si>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BAGATIPARA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</si>
  <si>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</si>
  <si>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</si>
  <si>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CHANCHAKOIR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</si>
  <si>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</si>
  <si>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</si>
  <si>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</si>
  <si>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</si>
  <si>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</si>
  <si>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HALSHA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</si>
  <si>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</si>
  <si>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</si>
  <si>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LAXMIKOL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</si>
  <si>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</si>
  <si>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</si>
  <si>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LOKMANPUR 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</si>
  <si>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</si>
  <si>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</si>
  <si>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N.B. SUGAR MILLS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</si>
  <si>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</si>
  <si>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</si>
  <si>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</si>
  <si>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</si>
  <si>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</si>
  <si>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NATORE SUGAR MILLS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</si>
  <si>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</si>
  <si>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</si>
  <si>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NAZIRPUR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</si>
  <si>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</si>
  <si>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</si>
  <si>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QUADIRABAD CANTT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</si>
  <si>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</si>
  <si>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</si>
  <si>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RAJAPUR HAT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</si>
  <si>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</si>
  <si>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</si>
  <si>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SINGRA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</si>
  <si>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</si>
  <si>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</si>
  <si>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AMNURA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</si>
  <si>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</si>
  <si>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</si>
  <si>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BAROGHORIA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</si>
  <si>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</si>
  <si>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</si>
  <si>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BINODPUR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</si>
  <si>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</si>
  <si>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</si>
  <si>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</si>
  <si>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</si>
  <si>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</si>
  <si>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CHOWDALA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</si>
  <si>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</si>
  <si>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</si>
  <si>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GOBRATALA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</si>
  <si>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</si>
  <si>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</si>
  <si>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KHAMAR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</si>
  <si>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</si>
  <si>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</si>
  <si>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MOBARAKPUR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</si>
  <si>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</si>
  <si>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</si>
  <si>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MONAKASHA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</si>
  <si>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</si>
  <si>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</si>
  <si>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RAJARAMPUR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</si>
  <si>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</si>
  <si>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</si>
  <si>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</si>
  <si>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</si>
  <si>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</si>
  <si>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</si>
  <si>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</si>
  <si>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</si>
  <si>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</si>
  <si>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</si>
  <si>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</si>
  <si>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BARAHATTA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</si>
  <si>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</si>
  <si>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</si>
  <si>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BIRISHIRI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</si>
  <si>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</si>
  <si>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</si>
  <si>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</si>
  <si>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</si>
  <si>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</si>
  <si>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FAKIRER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</si>
  <si>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</si>
  <si>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</si>
  <si>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JHAN ZAIL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</si>
  <si>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</si>
  <si>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</si>
  <si>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KENDUA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</si>
  <si>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</si>
  <si>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</si>
  <si>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MAHANGANJ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</si>
  <si>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</si>
  <si>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</si>
  <si>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</si>
  <si>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</si>
  <si>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</si>
  <si>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PURBADHALA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</si>
  <si>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</si>
  <si>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</si>
  <si>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RUPGANJ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</si>
  <si>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</si>
  <si>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</si>
  <si>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TIOSHRI BAZAR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</si>
  <si>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</si>
  <si>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</si>
  <si>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KACHUKATA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</si>
  <si>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</si>
  <si>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</si>
  <si>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</si>
  <si>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</si>
  <si>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</si>
  <si>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</si>
  <si>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</si>
  <si>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</si>
  <si>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SAYEDPUR CANTONMENT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</si>
  <si>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</si>
  <si>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</si>
  <si>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BADALKOT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</si>
  <si>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</si>
  <si>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</si>
  <si>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BADAMTALI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</si>
  <si>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</si>
  <si>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</si>
  <si>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</si>
  <si>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</si>
  <si>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</si>
  <si>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BAZRA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</si>
  <si>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</si>
  <si>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</si>
  <si>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BROJERGAON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</si>
  <si>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</si>
  <si>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</si>
  <si>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CHANDRAGONJ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</si>
  <si>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</si>
  <si>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</si>
  <si>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</si>
  <si>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</si>
  <si>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</si>
  <si>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</si>
  <si>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</si>
  <si>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</si>
  <si>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DASHGHORIA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</si>
  <si>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</si>
  <si>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</si>
  <si>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DATTERHAT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</si>
  <si>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</si>
  <si>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</si>
  <si>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DELTAGATE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</si>
  <si>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</si>
  <si>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</si>
  <si>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</si>
  <si>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</si>
  <si>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</si>
  <si>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HATIYA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</si>
  <si>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</si>
  <si>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</si>
  <si>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JOYAG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</si>
  <si>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</si>
  <si>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</si>
  <si>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KASHIPUR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</si>
  <si>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</si>
  <si>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</si>
  <si>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KHILPARA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</si>
  <si>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</si>
  <si>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</si>
  <si>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</si>
  <si>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</si>
  <si>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</si>
  <si>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MIRGANJ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</si>
  <si>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</si>
  <si>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</si>
  <si>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NADANA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</si>
  <si>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</si>
  <si>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</si>
  <si>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SHAHEBER 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</si>
  <si>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</si>
  <si>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</si>
  <si>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SOAMPARA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</si>
  <si>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</si>
  <si>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</si>
  <si>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</si>
  <si>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</si>
  <si>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</si>
  <si>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ZILLA BOARD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</si>
  <si>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</si>
  <si>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</si>
  <si>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A. HAMID ROAD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</si>
  <si>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</si>
  <si>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</si>
  <si>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TRIMOHONI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</si>
  <si>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</si>
  <si>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</si>
  <si>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SATBARIA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</si>
  <si>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</si>
  <si>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</si>
  <si>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CHAIKOLA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</si>
  <si>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</si>
  <si>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</si>
  <si>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ATAIKULA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</si>
  <si>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</si>
  <si>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</si>
  <si>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ATGHORIA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</si>
  <si>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</si>
  <si>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</si>
  <si>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BANAGRAM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</si>
  <si>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</si>
  <si>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</si>
  <si>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BORAL BRIDGE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</si>
  <si>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</si>
  <si>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</si>
  <si>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COLLEGE GATE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</si>
  <si>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</si>
  <si>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</si>
  <si>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COURT ROAD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</si>
  <si>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</si>
  <si>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</si>
  <si>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DUBLIA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</si>
  <si>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</si>
  <si>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</si>
  <si>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H.M.M. ROAD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</si>
  <si>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</si>
  <si>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</si>
  <si>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</si>
  <si>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</si>
  <si>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</si>
  <si>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MIRZAPUR 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</si>
  <si>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</si>
  <si>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</si>
  <si>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MULADULI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</si>
  <si>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</si>
  <si>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</si>
  <si>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NALKHOLA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</si>
  <si>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</si>
  <si>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</si>
  <si>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NARIKELPARA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</si>
  <si>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</si>
  <si>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</si>
  <si>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NAZIRGANJ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</si>
  <si>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</si>
  <si>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</si>
  <si>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PAKSEY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</si>
  <si>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</si>
  <si>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</si>
  <si>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PUSHPAPARAHAT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</si>
  <si>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</si>
  <si>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</si>
  <si>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RAIL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</si>
  <si>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</si>
  <si>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</si>
  <si>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RAKSHERHAT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</si>
  <si>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</si>
  <si>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</si>
  <si>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RUPPUR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</si>
  <si>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</si>
  <si>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</si>
  <si>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SHIBRAMPUR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</si>
  <si>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</si>
  <si>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</si>
  <si>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SHYAMGANJ 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</si>
  <si>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</si>
  <si>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</si>
  <si>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SUJANAGAR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</si>
  <si>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</si>
  <si>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</si>
  <si>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CHAKLAHAT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</si>
  <si>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</si>
  <si>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</si>
  <si>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JAGADAL 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</si>
  <si>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</si>
  <si>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</si>
  <si>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</si>
  <si>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</si>
  <si>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</si>
  <si>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</si>
  <si>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</si>
  <si>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</si>
  <si>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SHALBAHAN 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</si>
  <si>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</si>
  <si>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</si>
  <si>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TUNIR HAT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</si>
  <si>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</si>
  <si>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</si>
  <si>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BAUPHAL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</si>
  <si>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</si>
  <si>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</si>
  <si>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DASHMINA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</si>
  <si>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</si>
  <si>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</si>
  <si>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</si>
  <si>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</si>
  <si>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</si>
  <si>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KANAKDIA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</si>
  <si>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</si>
  <si>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</si>
  <si>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KHEPUPARA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</si>
  <si>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</si>
  <si>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</si>
  <si>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KOAKATA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</si>
  <si>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</si>
  <si>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</si>
  <si>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MIRZAGANJ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</si>
  <si>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</si>
  <si>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</si>
  <si>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NUTUN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</si>
  <si>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</si>
  <si>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</si>
  <si>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PANGASIA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</si>
  <si>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</si>
  <si>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</si>
  <si>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</si>
  <si>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</si>
  <si>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</si>
  <si>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PURAN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</si>
  <si>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</si>
  <si>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</si>
  <si>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TEGACHIA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</si>
  <si>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</si>
  <si>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</si>
  <si>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</si>
  <si>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</si>
  <si>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</si>
  <si>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KAWKHALI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</si>
  <si>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</si>
  <si>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</si>
  <si>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</si>
  <si>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</si>
  <si>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</si>
  <si>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MIRUKHALI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</si>
  <si>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</si>
  <si>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</si>
  <si>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PARERHAT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</si>
  <si>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</si>
  <si>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</si>
  <si>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PIROJPUR MAIN ROAD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</si>
  <si>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</si>
  <si>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</si>
  <si>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PIROJPUR(ZILLA PARISHAD)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</si>
  <si>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</si>
  <si>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</si>
  <si>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COURT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</si>
  <si>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</si>
  <si>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</si>
  <si>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RDA BHABAN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</si>
  <si>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</si>
  <si>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</si>
  <si>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BAJU BAGHA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</si>
  <si>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</si>
  <si>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</si>
  <si>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BALIAGHATA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</si>
  <si>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</si>
  <si>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</si>
  <si>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BANESHAR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</si>
  <si>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</si>
  <si>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</si>
  <si>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CHARGHAT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</si>
  <si>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</si>
  <si>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</si>
  <si>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HARIAN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</si>
  <si>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</si>
  <si>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</si>
  <si>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LAXMIPUR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</si>
  <si>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</si>
  <si>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</si>
  <si>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MADRASHA MARKET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</si>
  <si>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</si>
  <si>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</si>
  <si>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MALOPARA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</si>
  <si>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</si>
  <si>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</si>
  <si>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NAWHATA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</si>
  <si>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</si>
  <si>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</si>
  <si>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</si>
  <si>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</si>
  <si>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</si>
  <si>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PUTHIA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</si>
  <si>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</si>
  <si>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</si>
  <si>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RAIGHATI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</si>
  <si>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</si>
  <si>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</si>
  <si>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RAJSHAHI CANTONMENT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</si>
  <si>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</si>
  <si>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</si>
  <si>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RAJSHAHI UNIVERSITY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</si>
  <si>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</si>
  <si>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</si>
  <si>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SHAHEB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</si>
  <si>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</si>
  <si>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</si>
  <si>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TALAIMARI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</si>
  <si>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</si>
  <si>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</si>
  <si>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WAPDA IRRIGATION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</si>
  <si>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</si>
  <si>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</si>
  <si>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AHLADIPUR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</si>
  <si>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</si>
  <si>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</si>
  <si>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KALUKHALI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</si>
  <si>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</si>
  <si>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</si>
  <si>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NALIA-JAMALPUR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</si>
  <si>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</si>
  <si>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</si>
  <si>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</si>
  <si>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</si>
  <si>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</si>
  <si>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</si>
  <si>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</si>
  <si>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</si>
  <si>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BANARUPA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</si>
  <si>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</si>
  <si>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</si>
  <si>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CHANDRAGHONA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</si>
  <si>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</si>
  <si>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</si>
  <si>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KAPTAI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</si>
  <si>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</si>
  <si>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</si>
  <si>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</si>
  <si>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</si>
  <si>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</si>
  <si>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ALAM NAGAR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</si>
  <si>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</si>
  <si>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</si>
  <si>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BADARGANJ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</si>
  <si>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</si>
  <si>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</si>
  <si>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CADET COLLEGE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</si>
  <si>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</si>
  <si>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</si>
  <si>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CENTRAL ROAD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</si>
  <si>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</si>
  <si>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</si>
  <si>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MEDICAL COLLEGE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</si>
  <si>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</si>
  <si>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</si>
  <si>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NEKMAMUDHAT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</si>
  <si>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</si>
  <si>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</si>
  <si>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PAWTANAHAT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</si>
  <si>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</si>
  <si>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</si>
  <si>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PIRGACHA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</si>
  <si>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</si>
  <si>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</si>
  <si>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</si>
  <si>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</si>
  <si>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</si>
  <si>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SHAKER 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</si>
  <si>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</si>
  <si>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</si>
  <si>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SHANERHAT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</si>
  <si>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</si>
  <si>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</si>
  <si>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TARAGANJ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</si>
  <si>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</si>
  <si>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</si>
  <si>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</si>
  <si>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</si>
  <si>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</si>
  <si>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MULFATGANJ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</si>
  <si>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</si>
  <si>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</si>
  <si>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</si>
  <si>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</si>
  <si>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</si>
  <si>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</si>
  <si>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</si>
  <si>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</si>
  <si>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ZAJIRA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</si>
  <si>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</si>
  <si>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</si>
  <si>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BANGSHIPUR  BUS STAND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</si>
  <si>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</si>
  <si>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</si>
  <si>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BHETKHALI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</si>
  <si>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</si>
  <si>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</si>
  <si>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DEBHATA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</si>
  <si>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</si>
  <si>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</si>
  <si>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GAZIRHAT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</si>
  <si>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</si>
  <si>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</si>
  <si>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MOUTALA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</si>
  <si>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</si>
  <si>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</si>
  <si>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MUNSHIGANJ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</si>
  <si>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</si>
  <si>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</si>
  <si>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PATKELGHATA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</si>
  <si>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</si>
  <si>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</si>
  <si>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</si>
  <si>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</si>
  <si>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</si>
  <si>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</si>
  <si>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</si>
  <si>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</si>
  <si>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NOOR NAGAR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</si>
  <si>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</si>
  <si>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</si>
  <si>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BAHULI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</si>
  <si>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</si>
  <si>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</si>
  <si>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BELTAIL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</si>
  <si>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</si>
  <si>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</si>
  <si>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BRAHMAGACHA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</si>
  <si>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</si>
  <si>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</si>
  <si>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CHANDAIKONA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</si>
  <si>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</si>
  <si>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</si>
  <si>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DHUBIL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</si>
  <si>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</si>
  <si>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</si>
  <si>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ENAYETPUR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</si>
  <si>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</si>
  <si>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</si>
  <si>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GHURKA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</si>
  <si>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</si>
  <si>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</si>
  <si>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 BARI ROAD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</si>
  <si>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</si>
  <si>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</si>
  <si>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KHIDRAMATIA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</si>
  <si>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</si>
  <si>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</si>
  <si>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</si>
  <si>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</si>
  <si>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</si>
  <si>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NIMGACHI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</si>
  <si>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</si>
  <si>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</si>
  <si>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PANGASHI 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</si>
  <si>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</si>
  <si>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</si>
  <si>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PORJONA VATPARA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</si>
  <si>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</si>
  <si>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</si>
  <si>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RAIGANJ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</si>
  <si>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</si>
  <si>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</si>
  <si>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S.S. ROAD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</si>
  <si>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</si>
  <si>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</si>
  <si>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</si>
  <si>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</si>
  <si>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</si>
  <si>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SHOMESHPUR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</si>
  <si>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</si>
  <si>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</si>
  <si>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</si>
  <si>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</si>
  <si>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</si>
  <si>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TALGACHI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</si>
  <si>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</si>
  <si>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</si>
  <si>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</si>
  <si>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</si>
  <si>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</si>
  <si>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VIMGANJ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</si>
  <si>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</si>
  <si>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</si>
  <si>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KAKORKANDI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</si>
  <si>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</si>
  <si>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</si>
  <si>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NALITABARI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</si>
  <si>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</si>
  <si>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</si>
  <si>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NANDIR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</si>
  <si>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</si>
  <si>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</si>
  <si>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NANNI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</si>
  <si>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</si>
  <si>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</si>
  <si>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</si>
  <si>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</si>
  <si>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</si>
  <si>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SREEBORDI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</si>
  <si>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</si>
  <si>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</si>
  <si>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TINANDIR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</si>
  <si>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</si>
  <si>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</si>
  <si>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AMBARI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</si>
  <si>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</si>
  <si>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</si>
  <si>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</si>
  <si>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</si>
  <si>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</si>
  <si>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DERAI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</si>
  <si>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</si>
  <si>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</si>
  <si>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DOWARA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</si>
  <si>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</si>
  <si>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</si>
  <si>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</si>
  <si>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</si>
  <si>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</si>
  <si>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</si>
  <si>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</si>
  <si>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</si>
  <si>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BAIRAGIR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</si>
  <si>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</si>
  <si>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</si>
  <si>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BALAGANJ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</si>
  <si>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</si>
  <si>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</si>
  <si>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TAMABIL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</si>
  <si>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</si>
  <si>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</si>
  <si>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BANDAR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</si>
  <si>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</si>
  <si>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</si>
  <si>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</si>
  <si>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</si>
  <si>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</si>
  <si>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</si>
  <si>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</si>
  <si>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</si>
  <si>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BOALJURI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</si>
  <si>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</si>
  <si>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</si>
  <si>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CHAGLI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</si>
  <si>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</si>
  <si>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</si>
  <si>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</si>
  <si>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</si>
  <si>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</si>
  <si>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DEWAL GRAM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</si>
  <si>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</si>
  <si>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</si>
  <si>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</si>
  <si>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</si>
  <si>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</si>
  <si>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</si>
  <si>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</si>
  <si>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</si>
  <si>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GASBARI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</si>
  <si>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</si>
  <si>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</si>
  <si>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</si>
  <si>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</si>
  <si>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</si>
  <si>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GODOWN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</si>
  <si>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</si>
  <si>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</si>
  <si>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</si>
  <si>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</si>
  <si>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</si>
  <si>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HARIPUR GAS FIELD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</si>
  <si>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</si>
  <si>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</si>
  <si>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HETIMGANJ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</si>
  <si>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</si>
  <si>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</si>
  <si>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JALALPUR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</si>
  <si>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</si>
  <si>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</si>
  <si>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KAKORDI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</si>
  <si>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</si>
  <si>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</si>
  <si>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</si>
  <si>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</si>
  <si>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</si>
  <si>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KAZIR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</si>
  <si>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</si>
  <si>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</si>
  <si>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KUCHAI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</si>
  <si>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</si>
  <si>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</si>
  <si>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</si>
  <si>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</si>
  <si>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</si>
  <si>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</si>
  <si>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</si>
  <si>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</si>
  <si>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MATHIURA(EIDGHA)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</si>
  <si>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</si>
  <si>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</si>
  <si>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RADHANAGAR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</si>
  <si>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</si>
  <si>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</si>
  <si>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RAMDHA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</si>
  <si>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</si>
  <si>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</si>
  <si>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SALUTIKAR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</si>
  <si>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</si>
  <si>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</si>
  <si>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SARAKAR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</si>
  <si>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</si>
  <si>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</si>
  <si>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</si>
  <si>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</si>
  <si>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</si>
  <si>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</si>
  <si>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</si>
  <si>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</si>
  <si>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</si>
  <si>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</si>
  <si>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</si>
  <si>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UMARPUR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</si>
  <si>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</si>
  <si>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</si>
  <si>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</si>
  <si>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</si>
  <si>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</si>
  <si>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AISHARA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</si>
  <si>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</si>
  <si>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</si>
  <si>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CHAPRI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</si>
  <si>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</si>
  <si>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</si>
  <si>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BASAIL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</si>
  <si>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</si>
  <si>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</si>
  <si>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BHUANPUR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</si>
  <si>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</si>
  <si>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</si>
  <si>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DHUBURIA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</si>
  <si>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</si>
  <si>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</si>
  <si>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GHATAIL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</si>
  <si>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</si>
  <si>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</si>
  <si>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</si>
  <si>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</si>
  <si>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</si>
  <si>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HEMNAGAR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</si>
  <si>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</si>
  <si>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</si>
  <si>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JAMURKI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</si>
  <si>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</si>
  <si>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</si>
  <si>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KANCHANPUR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</si>
  <si>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</si>
  <si>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</si>
  <si>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KARATIA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</si>
  <si>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</si>
  <si>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</si>
  <si>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KAWALJANI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</si>
  <si>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</si>
  <si>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</si>
  <si>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MADHUPUR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</si>
  <si>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</si>
  <si>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</si>
  <si>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</si>
  <si>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</si>
  <si>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</si>
  <si>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MIRZAPUR CADET COLLEGE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</si>
  <si>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</si>
  <si>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</si>
  <si>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MOHERA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</si>
  <si>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</si>
  <si>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</si>
  <si>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MYMENSINGH ROAD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</si>
  <si>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</si>
  <si>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</si>
  <si>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NAGARPUR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</si>
  <si>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</si>
  <si>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</si>
  <si>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NALUA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</si>
  <si>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</si>
  <si>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</si>
  <si>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SALIMABAD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</si>
  <si>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</si>
  <si>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</si>
  <si>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</si>
  <si>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</si>
  <si>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</si>
  <si>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SURUZ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</si>
  <si>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</si>
  <si>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</si>
  <si>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</si>
  <si>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</si>
  <si>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</si>
  <si>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WARSHI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</si>
  <si>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</si>
  <si>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</si>
  <si>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BEGUNBARI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</si>
  <si>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</si>
  <si>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</si>
  <si>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HARIPUR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</si>
  <si>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</si>
  <si>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</si>
  <si>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MUNSHIR 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</si>
  <si>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</si>
  <si>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AGRANI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</si>
  <si>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</si>
  <si>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</si>
  <si>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</si>
  <si>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MONGLA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</si>
  <si>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</si>
  <si>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</si>
  <si>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</si>
  <si>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</si>
  <si>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</si>
  <si>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</si>
  <si>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</si>
  <si>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</si>
  <si>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BANARI PARA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</si>
  <si>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</si>
  <si>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</si>
  <si>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</si>
  <si>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</si>
  <si>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</si>
  <si>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</si>
  <si>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</si>
  <si>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</si>
  <si>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</si>
  <si>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</si>
  <si>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</si>
  <si>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</si>
  <si>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</si>
  <si>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</si>
  <si>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AKHAURA SME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</si>
  <si>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</si>
  <si>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</si>
  <si>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</si>
  <si>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</si>
  <si>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</si>
  <si>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</si>
  <si>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</si>
  <si>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</si>
  <si>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KUTI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</si>
  <si>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</si>
  <si>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</si>
  <si>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</si>
  <si>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</si>
  <si>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</si>
  <si>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TANTAR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</si>
  <si>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</si>
  <si>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</si>
  <si>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</si>
  <si>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</si>
  <si>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</si>
  <si>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RAHIMANAGAR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</si>
  <si>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</si>
  <si>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</si>
  <si>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</si>
  <si>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</si>
  <si>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</si>
  <si>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PADUA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</si>
  <si>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</si>
  <si>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</si>
  <si>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AMAN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</si>
  <si>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</si>
  <si>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</si>
  <si>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AZADI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</si>
  <si>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</si>
  <si>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</si>
  <si>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</si>
  <si>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</si>
  <si>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</si>
  <si>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</si>
  <si>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</si>
  <si>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</si>
  <si>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CHAKBAZAR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</si>
  <si>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</si>
  <si>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</si>
  <si>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</si>
  <si>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</si>
  <si>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</si>
  <si>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</si>
  <si>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</si>
  <si>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</si>
  <si>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</si>
  <si>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</si>
  <si>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</si>
  <si>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</si>
  <si>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</si>
  <si>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</si>
  <si>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</si>
  <si>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</si>
  <si>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</si>
  <si>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</si>
  <si>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</si>
  <si>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</si>
  <si>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</si>
  <si>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</si>
  <si>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</si>
  <si>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</si>
  <si>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</si>
  <si>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</si>
  <si>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SHIBERHAT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</si>
  <si>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</si>
  <si>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</si>
  <si>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</si>
  <si>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</si>
  <si>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</si>
  <si>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</si>
  <si>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</si>
  <si>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</si>
  <si>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</si>
  <si>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</si>
  <si>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</si>
  <si>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</si>
  <si>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</si>
  <si>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</si>
  <si>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</si>
  <si>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</si>
  <si>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</si>
  <si>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GALLAI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</si>
  <si>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</si>
  <si>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</si>
  <si>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</si>
  <si>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</si>
  <si>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</si>
  <si>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</si>
  <si>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</si>
  <si>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</si>
  <si>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</si>
  <si>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</si>
  <si>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</si>
  <si>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</si>
  <si>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</si>
  <si>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</si>
  <si>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</si>
  <si>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</si>
  <si>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</si>
  <si>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ABDULLAHPUR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</si>
  <si>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</si>
  <si>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</si>
  <si>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SONARGAON JANAPATH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</si>
  <si>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</si>
  <si>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</si>
  <si>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KATHGORA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</si>
  <si>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</si>
  <si>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</si>
  <si>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</si>
  <si>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</si>
  <si>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</si>
  <si>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</si>
  <si>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</si>
  <si>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</si>
  <si>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KHILKHET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</si>
  <si>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</si>
  <si>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</si>
  <si>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</si>
  <si>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</si>
  <si>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</si>
  <si>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</si>
  <si>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</si>
  <si>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</si>
  <si>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AZAMPUR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</si>
  <si>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</si>
  <si>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</si>
  <si>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</si>
  <si>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</si>
  <si>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</si>
  <si>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HAZARIBAGH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</si>
  <si>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</si>
  <si>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</si>
  <si>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</si>
  <si>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</si>
  <si>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</si>
  <si>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</si>
  <si>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</si>
  <si>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</si>
  <si>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</si>
  <si>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</si>
  <si>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</si>
  <si>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</si>
  <si>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</si>
  <si>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</si>
  <si>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MIRPUR SECTION-10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</si>
  <si>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</si>
  <si>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</si>
  <si>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</si>
  <si>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</si>
  <si>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</si>
  <si>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MOHAMMADPUR KRISHI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</si>
  <si>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</si>
  <si>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</si>
  <si>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</si>
  <si>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</si>
  <si>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</si>
  <si>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NEW 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</si>
  <si>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</si>
  <si>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</si>
  <si>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</si>
  <si>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</si>
  <si>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</si>
  <si>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</si>
  <si>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</si>
  <si>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</si>
  <si>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</si>
  <si>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</si>
  <si>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</si>
  <si>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</si>
  <si>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</si>
  <si>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</si>
  <si>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</si>
  <si>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</si>
  <si>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</si>
  <si>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</si>
  <si>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</si>
  <si>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</si>
  <si>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</si>
  <si>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</si>
  <si>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</si>
  <si>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RUHITPUR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</si>
  <si>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</si>
  <si>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</si>
  <si>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</si>
  <si>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</si>
  <si>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</si>
  <si>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</si>
  <si>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</si>
  <si>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</si>
  <si>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KOLATIA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</si>
  <si>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</si>
  <si>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</si>
  <si>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</si>
  <si>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</si>
  <si>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</si>
  <si>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</si>
  <si>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</si>
  <si>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</si>
  <si>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HEAD OFFICE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</si>
  <si>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</si>
  <si>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</si>
  <si>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</si>
  <si>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</si>
  <si>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</si>
  <si>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</si>
  <si>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</si>
  <si>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</si>
  <si>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SOUTH 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</si>
  <si>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</si>
  <si>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</si>
  <si>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</si>
  <si>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</si>
  <si>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</si>
  <si>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</si>
  <si>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</si>
  <si>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</si>
  <si>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</si>
  <si>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</si>
  <si>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</si>
  <si>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KONAPARA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</si>
  <si>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</si>
  <si>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</si>
  <si>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</si>
  <si>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</si>
  <si>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</si>
  <si>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MOUCHAK MARKET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</si>
  <si>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</si>
  <si>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</si>
  <si>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</si>
  <si>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</si>
  <si>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</si>
  <si>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NANDIPARA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</si>
  <si>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</si>
  <si>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</si>
  <si>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</si>
  <si>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</si>
  <si>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</si>
  <si>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NORTH SOUTH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</si>
  <si>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</si>
  <si>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</si>
  <si>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VIP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</si>
  <si>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</si>
  <si>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</si>
  <si>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</si>
  <si>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</si>
  <si>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</si>
  <si>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</si>
  <si>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</si>
  <si>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</si>
  <si>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</si>
  <si>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</si>
  <si>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</si>
  <si>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PALASHBARI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</si>
  <si>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</si>
  <si>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</si>
  <si>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BARMI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</si>
  <si>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</si>
  <si>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</si>
  <si>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FULBARI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</si>
  <si>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</si>
  <si>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</si>
  <si>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</si>
  <si>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</si>
  <si>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</si>
  <si>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</si>
  <si>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</si>
  <si>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</si>
  <si>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</si>
  <si>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</si>
  <si>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</si>
  <si>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</si>
  <si>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</si>
  <si>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</si>
  <si>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</si>
  <si>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</si>
  <si>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</si>
  <si>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MADHABPUR SME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</si>
  <si>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</si>
  <si>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</si>
  <si>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</si>
  <si>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</si>
  <si>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</si>
  <si>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</si>
  <si>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</si>
  <si>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</si>
  <si>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MONIRAMPUR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</si>
  <si>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</si>
  <si>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</si>
  <si>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</si>
  <si>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</si>
  <si>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</si>
  <si>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CHUK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</si>
  <si>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</si>
  <si>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</si>
  <si>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GALLAMARI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</si>
  <si>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</si>
  <si>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</si>
  <si>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</si>
  <si>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</si>
  <si>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</si>
  <si>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VAIRAB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</si>
  <si>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</si>
  <si>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</si>
  <si>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</si>
  <si>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</si>
  <si>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</si>
  <si>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</si>
  <si>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</si>
  <si>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</si>
  <si>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MOSTAFAPUR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</si>
  <si>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</si>
  <si>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</si>
  <si>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</si>
  <si>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</si>
  <si>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</si>
  <si>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CENTRAL ROAD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</si>
  <si>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</si>
  <si>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</si>
  <si>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RUPASHPUR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</si>
  <si>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</si>
  <si>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</si>
  <si>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BHAGYAKUL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</si>
  <si>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</si>
  <si>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</si>
  <si>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RAMPAL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</si>
  <si>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</si>
  <si>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</si>
  <si>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</si>
  <si>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</si>
  <si>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</si>
  <si>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</si>
  <si>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</si>
  <si>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</si>
  <si>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BANDAR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</si>
  <si>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</si>
  <si>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</si>
  <si>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GOUCHIA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</si>
  <si>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</si>
  <si>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</si>
  <si>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</si>
  <si>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</si>
  <si>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</si>
  <si>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NAYAPUR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</si>
  <si>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</si>
  <si>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</si>
  <si>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PAGLA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</si>
  <si>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</si>
  <si>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</si>
  <si>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</si>
  <si>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</si>
  <si>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</si>
  <si>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PANCHDONA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</si>
  <si>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</si>
  <si>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</si>
  <si>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VELA 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</si>
  <si>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</si>
  <si>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</si>
  <si>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</si>
  <si>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</si>
  <si>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</si>
  <si>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</si>
  <si>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</si>
  <si>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</si>
  <si>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</si>
  <si>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</si>
  <si>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</si>
  <si>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</si>
  <si>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</si>
  <si>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</si>
  <si>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BASHURHAT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</si>
  <si>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</si>
  <si>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</si>
  <si>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</si>
  <si>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</si>
  <si>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</si>
  <si>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</si>
  <si>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</si>
  <si>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</si>
  <si>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ALIPUR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</si>
  <si>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</si>
  <si>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</si>
  <si>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</si>
  <si>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</si>
  <si>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</si>
  <si>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</si>
  <si>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</si>
  <si>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</si>
  <si>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</si>
  <si>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</si>
  <si>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</si>
  <si>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</si>
  <si>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</si>
  <si>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</si>
  <si>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BADARGANJ SME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</si>
  <si>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</si>
  <si>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</si>
  <si>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</si>
  <si>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</si>
  <si>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</si>
  <si>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</si>
  <si>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</si>
  <si>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</si>
  <si>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JHAUDANGA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</si>
  <si>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</si>
  <si>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</si>
  <si>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</si>
  <si>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</si>
  <si>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</si>
  <si>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</si>
  <si>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</si>
  <si>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</si>
  <si>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</si>
  <si>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</si>
  <si>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</si>
  <si>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</si>
  <si>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</si>
  <si>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</si>
  <si>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</si>
  <si>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</si>
  <si>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</si>
  <si>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</si>
  <si>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</si>
  <si>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AL-ARAFAH ISLAMI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</si>
  <si>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</si>
  <si>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</si>
  <si>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</si>
  <si>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</si>
  <si>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</si>
  <si>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</si>
  <si>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</si>
  <si>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</si>
  <si>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</si>
  <si>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</si>
  <si>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</si>
  <si>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</si>
  <si>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</si>
  <si>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</si>
  <si>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</si>
  <si>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</si>
  <si>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</si>
  <si>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</si>
  <si>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</si>
  <si>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</si>
  <si>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</si>
  <si>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</si>
  <si>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</si>
  <si>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</si>
  <si>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</si>
  <si>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</si>
  <si>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</si>
  <si>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BANSHKHALI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</si>
  <si>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</si>
  <si>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</si>
  <si>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</si>
  <si>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</si>
  <si>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</si>
  <si>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</si>
  <si>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</si>
  <si>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</si>
  <si>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</si>
  <si>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</si>
  <si>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</si>
  <si>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CHATARI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</si>
  <si>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</si>
  <si>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</si>
  <si>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</si>
  <si>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</si>
  <si>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</si>
  <si>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</si>
  <si>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</si>
  <si>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</si>
  <si>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</si>
  <si>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</si>
  <si>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</si>
  <si>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</si>
  <si>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</si>
  <si>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</si>
  <si>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</si>
  <si>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</si>
  <si>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</si>
  <si>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KHULSHI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</si>
  <si>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</si>
  <si>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</si>
  <si>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</si>
  <si>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</si>
  <si>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</si>
  <si>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MOMIN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</si>
  <si>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</si>
  <si>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</si>
  <si>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NAZU MEA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</si>
  <si>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</si>
  <si>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</si>
  <si>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</si>
  <si>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</si>
  <si>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</si>
  <si>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</si>
  <si>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</si>
  <si>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</si>
  <si>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PORT CONNECTING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</si>
  <si>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</si>
  <si>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</si>
  <si>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</si>
  <si>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</si>
  <si>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</si>
  <si>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</si>
  <si>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</si>
  <si>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</si>
  <si>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</si>
  <si>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</si>
  <si>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</si>
  <si>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</si>
  <si>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</si>
  <si>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</si>
  <si>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</si>
  <si>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</si>
  <si>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</si>
  <si>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</si>
  <si>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</si>
  <si>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</si>
  <si>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</si>
  <si>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</si>
  <si>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</si>
  <si>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</si>
  <si>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</si>
  <si>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</si>
  <si>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</si>
  <si>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</si>
  <si>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</si>
  <si>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</si>
  <si>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</si>
  <si>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</si>
  <si>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GARIB-E-NEWAZ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</si>
  <si>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</si>
  <si>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</si>
  <si>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</si>
  <si>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</si>
  <si>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</si>
  <si>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KALAMPUR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</si>
  <si>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</si>
  <si>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</si>
  <si>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</si>
  <si>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</si>
  <si>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</si>
  <si>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</si>
  <si>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</si>
  <si>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</si>
  <si>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</si>
  <si>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</si>
  <si>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</si>
  <si>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NEW 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</si>
  <si>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</si>
  <si>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</si>
  <si>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</si>
  <si>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</si>
  <si>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</si>
  <si>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ROKEYA SHARANI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</si>
  <si>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</si>
  <si>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</si>
  <si>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</si>
  <si>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</si>
  <si>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</si>
  <si>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</si>
  <si>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</si>
  <si>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</si>
  <si>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</si>
  <si>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</si>
  <si>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</si>
  <si>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</si>
  <si>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</si>
  <si>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</si>
  <si>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</si>
  <si>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</si>
  <si>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</si>
  <si>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</si>
  <si>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</si>
  <si>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</si>
  <si>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</si>
  <si>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</si>
  <si>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</si>
  <si>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ISLAMI BANKING(KAKRAIL)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</si>
  <si>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</si>
  <si>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</si>
  <si>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</si>
  <si>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</si>
  <si>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</si>
  <si>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</si>
  <si>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</si>
  <si>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</si>
  <si>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</si>
  <si>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</si>
  <si>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</si>
  <si>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</si>
  <si>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</si>
  <si>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</si>
  <si>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KALATIA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</si>
  <si>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</si>
  <si>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</si>
  <si>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</si>
  <si>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</si>
  <si>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</si>
  <si>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</si>
  <si>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</si>
  <si>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</si>
  <si>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</si>
  <si>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</si>
  <si>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</si>
  <si>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</si>
  <si>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</si>
  <si>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</si>
  <si>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NORTH SOUTH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</si>
  <si>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</si>
  <si>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</si>
  <si>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</si>
  <si>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</si>
  <si>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</si>
  <si>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</si>
  <si>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</si>
  <si>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</si>
  <si>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</si>
  <si>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</si>
  <si>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</si>
  <si>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</si>
  <si>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</si>
  <si>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</si>
  <si>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</si>
  <si>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</si>
  <si>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</si>
  <si>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</si>
  <si>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</si>
  <si>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</si>
  <si>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CHANDRA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</si>
  <si>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</si>
  <si>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</si>
  <si>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</si>
  <si>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</si>
  <si>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</si>
  <si>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</si>
  <si>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</si>
  <si>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</si>
  <si>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</si>
  <si>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</si>
  <si>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</si>
  <si>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</si>
  <si>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</si>
  <si>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</si>
  <si>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</si>
  <si>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</si>
  <si>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</si>
  <si>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JHIKARGACHA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</si>
  <si>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</si>
  <si>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</si>
  <si>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</si>
  <si>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</si>
  <si>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</si>
  <si>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</si>
  <si>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</si>
  <si>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</si>
  <si>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AUSTAGRAM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</si>
  <si>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</si>
  <si>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</si>
  <si>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</si>
  <si>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</si>
  <si>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</si>
  <si>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</si>
  <si>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</si>
  <si>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</si>
  <si>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</si>
  <si>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</si>
  <si>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</si>
  <si>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PARIL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</si>
  <si>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</si>
  <si>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</si>
  <si>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</si>
  <si>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</si>
  <si>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</si>
  <si>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</si>
  <si>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</si>
  <si>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</si>
  <si>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MYMENSINGH BUSINESS CENTER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</si>
  <si>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</si>
  <si>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</si>
  <si>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SEEDSTORE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</si>
  <si>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</si>
  <si>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</si>
  <si>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</si>
  <si>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</si>
  <si>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</si>
  <si>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</si>
  <si>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</si>
  <si>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</si>
  <si>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</si>
  <si>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</si>
  <si>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</si>
  <si>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PAGLA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</si>
  <si>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</si>
  <si>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</si>
  <si>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</si>
  <si>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</si>
  <si>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</si>
  <si>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</si>
  <si>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</si>
  <si>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</si>
  <si>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</si>
  <si>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</si>
  <si>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</si>
  <si>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</si>
  <si>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</si>
  <si>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</si>
  <si>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</si>
  <si>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</si>
  <si>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</si>
  <si>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</si>
  <si>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</si>
  <si>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</si>
  <si>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</si>
  <si>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</si>
  <si>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</si>
  <si>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</si>
  <si>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</si>
  <si>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</si>
  <si>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</si>
  <si>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</si>
  <si>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</si>
  <si>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</si>
  <si>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</si>
  <si>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</si>
  <si>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BOROIKANDI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</si>
  <si>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</si>
  <si>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</si>
  <si>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DARGAH GATE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</si>
  <si>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</si>
  <si>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</si>
  <si>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GARDEN TOWER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</si>
  <si>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</si>
  <si>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</si>
  <si>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MODHUBAN SUPER MARKET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</si>
  <si>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</si>
  <si>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</si>
  <si>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TAJPUR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</si>
  <si>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</si>
  <si>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AB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</si>
  <si>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</si>
  <si>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</si>
  <si>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</si>
  <si>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BARISAL CLEARING HOUSE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</si>
  <si>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</si>
  <si>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</si>
  <si>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BARISAL DAB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</si>
  <si>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</si>
  <si>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</si>
  <si>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BARISAL PAD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</si>
  <si>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</si>
  <si>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</si>
  <si>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BARISAL BUREAU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</si>
  <si>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</si>
  <si>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</si>
  <si>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BOGRA CLEARING HOUSE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</si>
  <si>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</si>
  <si>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</si>
  <si>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BOGRA DAB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</si>
  <si>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</si>
  <si>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</si>
  <si>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BOGRA PAD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</si>
  <si>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</si>
  <si>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</si>
  <si>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BOGRA BUREAU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</si>
  <si>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</si>
  <si>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</si>
  <si>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CHITTAGONG CLEARING HOUSE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</si>
  <si>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</si>
  <si>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</si>
  <si>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CHITTAGONG DAB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</si>
  <si>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</si>
  <si>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</si>
  <si>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CHITTAGONG PAD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</si>
  <si>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</si>
  <si>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</si>
  <si>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CHITTAGONG BUREAU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</si>
  <si>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</si>
  <si>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</si>
  <si>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DHAKA CLEARING HOUSE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</si>
  <si>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</si>
  <si>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</si>
  <si>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MOTIJHEEL DAB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</si>
  <si>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</si>
  <si>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</si>
  <si>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MOTIJHEEL PAD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</si>
  <si>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</si>
  <si>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</si>
  <si>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</si>
  <si>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</si>
  <si>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</si>
  <si>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</si>
  <si>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</si>
  <si>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</si>
  <si>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MOTIJHEEL BUREAU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</si>
  <si>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</si>
  <si>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</si>
  <si>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MIRPUR BUREAU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</si>
  <si>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</si>
  <si>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</si>
  <si>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KHULNA CLEARING HOUSE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</si>
  <si>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</si>
  <si>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</si>
  <si>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KHULNA DAB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</si>
  <si>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</si>
  <si>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</si>
  <si>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KHULNA PAD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</si>
  <si>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</si>
  <si>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</si>
  <si>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KHULNA BUREAU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</si>
  <si>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</si>
  <si>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</si>
  <si>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RAJSHAHI CLEARING HOUSE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</si>
  <si>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</si>
  <si>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</si>
  <si>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RAJSHAHI DAB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</si>
  <si>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</si>
  <si>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</si>
  <si>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RAJSHAHI PAD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</si>
  <si>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</si>
  <si>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</si>
  <si>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RAJSHAHI BUREAU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</si>
  <si>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</si>
  <si>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</si>
  <si>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RANGPUR CLEARING HOUSE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</si>
  <si>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</si>
  <si>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</si>
  <si>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RANGPUR DAB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</si>
  <si>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</si>
  <si>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</si>
  <si>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RANGPUR PAD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</si>
  <si>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</si>
  <si>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</si>
  <si>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RANGPUR BUREAU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</si>
  <si>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</si>
  <si>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</si>
  <si>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SYLHET CLEARING HOUSE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</si>
  <si>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</si>
  <si>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</si>
  <si>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SYLHET DAB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</si>
  <si>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</si>
  <si>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</si>
  <si>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SYLHET PAD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</si>
  <si>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</si>
  <si>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BANK</t>
    </r>
  </si>
  <si>
    <r>
      <rPr>
        <rFont val="Arial MT"/>
        <color theme="1"/>
        <sz val="5.0"/>
      </rPr>
      <t>SYLHET BUREAU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</si>
  <si>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</si>
  <si>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</si>
  <si>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</si>
  <si>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</si>
  <si>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</si>
  <si>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BATAJORE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</si>
  <si>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</si>
  <si>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</si>
  <si>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</si>
  <si>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</si>
  <si>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</si>
  <si>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</si>
  <si>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</si>
  <si>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</si>
  <si>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A K KHAN MOOR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</si>
  <si>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</si>
  <si>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</si>
  <si>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</si>
  <si>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</si>
  <si>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</si>
  <si>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</si>
  <si>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</si>
  <si>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</si>
  <si>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</si>
  <si>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</si>
  <si>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</si>
  <si>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</si>
  <si>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</si>
  <si>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</si>
  <si>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</si>
  <si>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</si>
  <si>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</si>
  <si>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</si>
  <si>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</si>
  <si>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</si>
  <si>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KANGSHANAGAR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</si>
  <si>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</si>
  <si>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</si>
  <si>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COMILLA ZILA SCHOOL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</si>
  <si>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</si>
  <si>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</si>
  <si>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KATHGORA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</si>
  <si>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</si>
  <si>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</si>
  <si>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DHAMRAI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</si>
  <si>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</si>
  <si>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</si>
  <si>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</si>
  <si>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</si>
  <si>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</si>
  <si>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</si>
  <si>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</si>
  <si>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</si>
  <si>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JHIGATOLA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</si>
  <si>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</si>
  <si>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</si>
  <si>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</si>
  <si>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</si>
  <si>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</si>
  <si>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</si>
  <si>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</si>
  <si>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</si>
  <si>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</si>
  <si>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</si>
  <si>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</si>
  <si>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</si>
  <si>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</si>
  <si>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</si>
  <si>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</si>
  <si>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</si>
  <si>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</si>
  <si>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</si>
  <si>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</si>
  <si>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</si>
  <si>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MERAJNAGAR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</si>
  <si>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</si>
  <si>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</si>
  <si>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</si>
  <si>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</si>
  <si>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</si>
  <si>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</si>
  <si>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</si>
  <si>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</si>
  <si>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</si>
  <si>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</si>
  <si>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</si>
  <si>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</si>
  <si>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</si>
  <si>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</si>
  <si>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</si>
  <si>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</si>
  <si>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</si>
  <si>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</si>
  <si>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</si>
  <si>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</si>
  <si>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</si>
  <si>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</si>
  <si>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</si>
  <si>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</si>
  <si>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</si>
  <si>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</si>
  <si>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KHILGAON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</si>
  <si>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</si>
  <si>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</si>
  <si>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</si>
  <si>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</si>
  <si>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</si>
  <si>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</si>
  <si>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</si>
  <si>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</si>
  <si>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</si>
  <si>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</si>
  <si>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</si>
  <si>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</si>
  <si>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</si>
  <si>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</si>
  <si>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</si>
  <si>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</si>
  <si>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</si>
  <si>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</si>
  <si>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</si>
  <si>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</si>
  <si>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</si>
  <si>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</si>
  <si>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</si>
  <si>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</si>
  <si>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</si>
  <si>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</si>
  <si>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</si>
  <si>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</si>
  <si>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</si>
  <si>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KAPILMUNI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</si>
  <si>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</si>
  <si>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</si>
  <si>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</si>
  <si>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</si>
  <si>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</si>
  <si>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MANDARI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</si>
  <si>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</si>
  <si>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</si>
  <si>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</si>
  <si>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</si>
  <si>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</si>
  <si>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</si>
  <si>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</si>
  <si>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</si>
  <si>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SHAMSHER 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</si>
  <si>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</si>
  <si>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</si>
  <si>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SEEDSTORE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</si>
  <si>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</si>
  <si>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</si>
  <si>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</si>
  <si>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</si>
  <si>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</si>
  <si>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</si>
  <si>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</si>
  <si>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</si>
  <si>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</si>
  <si>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</si>
  <si>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</si>
  <si>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AHMEDPUR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</si>
  <si>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</si>
  <si>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</si>
  <si>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</si>
  <si>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</si>
  <si>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</si>
  <si>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</si>
  <si>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</si>
  <si>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COMMERCE BANK LTD.</t>
    </r>
  </si>
  <si>
    <r>
      <rPr>
        <rFont val="Arial MT"/>
        <color theme="1"/>
        <sz val="5.0"/>
      </rPr>
      <t>BALLA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</si>
  <si>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</si>
  <si>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</si>
  <si>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BADHAL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</si>
  <si>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</si>
  <si>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</si>
  <si>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</si>
  <si>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</si>
  <si>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</si>
  <si>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CHAKSREE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</si>
  <si>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</si>
  <si>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</si>
  <si>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CHITALMARI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</si>
  <si>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</si>
  <si>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</si>
  <si>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 &amp; B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</si>
  <si>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</si>
  <si>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</si>
  <si>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DAIBANCHAHATI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</si>
  <si>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</si>
  <si>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</si>
  <si>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DARGAH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</si>
  <si>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</si>
  <si>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</si>
  <si>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</si>
  <si>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</si>
  <si>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</si>
  <si>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FALTITA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</si>
  <si>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</si>
  <si>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</si>
  <si>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FULHATA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</si>
  <si>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</si>
  <si>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</si>
  <si>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GAZALIA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</si>
  <si>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</si>
  <si>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</si>
  <si>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</si>
  <si>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</si>
  <si>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</si>
  <si>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KALATALA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</si>
  <si>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</si>
  <si>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</si>
  <si>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MOLLAHAT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</si>
  <si>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</si>
  <si>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</si>
  <si>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MONGLA PORT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</si>
  <si>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</si>
  <si>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</si>
  <si>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</si>
  <si>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</si>
  <si>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</si>
  <si>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RAMPAL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</si>
  <si>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</si>
  <si>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</si>
  <si>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RAYENDA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</si>
  <si>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</si>
  <si>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</si>
  <si>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SONNASHI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</si>
  <si>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</si>
  <si>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</si>
  <si>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MUKHAIT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</si>
  <si>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</si>
  <si>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</si>
  <si>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TOWN NAWAPARA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</si>
  <si>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</si>
  <si>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</si>
  <si>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ALIKADAM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</si>
  <si>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</si>
  <si>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</si>
  <si>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AZIZ NAGAR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</si>
  <si>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</si>
  <si>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</si>
  <si>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BAISHARI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</si>
  <si>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</si>
  <si>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</si>
  <si>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</si>
  <si>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</si>
  <si>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</si>
  <si>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LAMA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</si>
  <si>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</si>
  <si>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</si>
  <si>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NAIKHANGCHARI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</si>
  <si>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</si>
  <si>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</si>
  <si>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ROWANGCHARI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</si>
  <si>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</si>
  <si>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</si>
  <si>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RUMA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</si>
  <si>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</si>
  <si>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</si>
  <si>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THANCHI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</si>
  <si>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</si>
  <si>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</si>
  <si>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AMTALI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</si>
  <si>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</si>
  <si>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</si>
  <si>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AYLA BAZAR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</si>
  <si>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</si>
  <si>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</si>
  <si>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BAMNA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</si>
  <si>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</si>
  <si>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</si>
  <si>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</si>
  <si>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</si>
  <si>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</si>
  <si>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BETAGI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</si>
  <si>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</si>
  <si>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</si>
  <si>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CHANDKHALI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</si>
  <si>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</si>
  <si>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</si>
  <si>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CHARDUANI BAZAR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</si>
  <si>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</si>
  <si>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</si>
  <si>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DEWATALA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</si>
  <si>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</si>
  <si>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</si>
  <si>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FULJHURY BAZAR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</si>
  <si>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</si>
  <si>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</si>
  <si>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GOURICHANNA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</si>
  <si>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</si>
  <si>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</si>
  <si>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HOSNABAD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</si>
  <si>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</si>
  <si>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</si>
  <si>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KUKUA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</si>
  <si>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</si>
  <si>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</si>
  <si>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LEMUA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</si>
  <si>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</si>
  <si>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</si>
  <si>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MOKAMIA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</si>
  <si>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</si>
  <si>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</si>
  <si>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PATHARGHATA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</si>
  <si>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</si>
  <si>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</si>
  <si>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TALTALI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</si>
  <si>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</si>
  <si>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</si>
  <si>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AGOILJHARA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</si>
  <si>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</si>
  <si>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</si>
  <si>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CHOYGRAM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</si>
  <si>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</si>
  <si>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</si>
  <si>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LENGUTIA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</si>
  <si>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</si>
  <si>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</si>
  <si>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HARTA BANDAR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</si>
  <si>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</si>
  <si>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</si>
  <si>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BABUGANJ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</si>
  <si>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</si>
  <si>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</si>
  <si>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BAISHARI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</si>
  <si>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</si>
  <si>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</si>
  <si>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BAKERGANJ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</si>
  <si>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</si>
  <si>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</si>
  <si>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BANARI PARA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</si>
  <si>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</si>
  <si>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</si>
  <si>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</si>
  <si>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</si>
  <si>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</si>
  <si>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BHASHANCHAR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</si>
  <si>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</si>
  <si>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</si>
  <si>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GOURNADI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</si>
  <si>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</si>
  <si>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</si>
  <si>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HABIBPUR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</si>
  <si>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</si>
  <si>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</si>
  <si>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HIZLA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</si>
  <si>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</si>
  <si>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</si>
  <si>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KARFA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</si>
  <si>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</si>
  <si>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</si>
  <si>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</si>
  <si>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</si>
  <si>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</si>
  <si>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KHASHERHAT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</si>
  <si>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</si>
  <si>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</si>
  <si>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MAHILARA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</si>
  <si>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</si>
  <si>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</si>
  <si>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MOHESHPUR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</si>
  <si>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</si>
  <si>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</si>
  <si>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MOULVIR 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</si>
  <si>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</si>
  <si>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</si>
  <si>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MULADI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</si>
  <si>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</si>
  <si>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</si>
  <si>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PATAR 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</si>
  <si>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</si>
  <si>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</si>
  <si>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RAIPASHA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</si>
  <si>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</si>
  <si>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</si>
  <si>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RATANPUR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</si>
  <si>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</si>
  <si>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</si>
  <si>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SENERHAT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</si>
  <si>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</si>
  <si>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</si>
  <si>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SHOLAK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</si>
  <si>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</si>
  <si>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</si>
  <si>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SUKHINILGANJ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</si>
  <si>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</si>
  <si>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</si>
  <si>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TALTALI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</si>
  <si>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</si>
  <si>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</si>
  <si>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ULANIA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</si>
  <si>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</si>
  <si>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</si>
  <si>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WAZIRPUR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</si>
  <si>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</si>
  <si>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</si>
  <si>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</si>
  <si>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</si>
  <si>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</si>
  <si>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BORHANGANJ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</si>
  <si>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</si>
  <si>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</si>
  <si>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BORHANUDDIN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</si>
  <si>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</si>
  <si>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</si>
  <si>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</si>
  <si>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</si>
  <si>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</si>
  <si>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DAKHIN AICHABAZAR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</si>
  <si>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</si>
  <si>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</si>
  <si>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DAULATKHAN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</si>
  <si>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</si>
  <si>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</si>
  <si>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DULARHAT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</si>
  <si>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</si>
  <si>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</si>
  <si>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ILISHAHAT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</si>
  <si>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</si>
  <si>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</si>
  <si>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JANATA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</si>
  <si>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</si>
  <si>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</si>
  <si>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KERAMATGANJ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</si>
  <si>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</si>
  <si>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</si>
  <si>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KUNJERHAT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</si>
  <si>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</si>
  <si>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</si>
  <si>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LALMOHAN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</si>
  <si>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</si>
  <si>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</si>
  <si>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LETRA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</si>
  <si>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</si>
  <si>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</si>
  <si>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MANGAL SIKDER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</si>
  <si>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</si>
  <si>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</si>
  <si>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MANPURA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</si>
  <si>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</si>
  <si>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</si>
  <si>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RAICHAND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</si>
  <si>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</si>
  <si>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</si>
  <si>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TAZUMUDDIN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</si>
  <si>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</si>
  <si>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</si>
  <si>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AKHAURA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</si>
  <si>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</si>
  <si>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</si>
  <si>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SATMORA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</si>
  <si>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</si>
  <si>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</si>
  <si>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</si>
  <si>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</si>
  <si>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</si>
  <si>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ASTAGRAM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</si>
  <si>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</si>
  <si>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</si>
  <si>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AWLIABAZAR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</si>
  <si>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</si>
  <si>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</si>
  <si>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BAISHMOUZA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</si>
  <si>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</si>
  <si>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</si>
  <si>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BANCHARAMPUR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</si>
  <si>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</si>
  <si>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</si>
  <si>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</si>
  <si>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</si>
  <si>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</si>
  <si>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CHAIARKURI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</si>
  <si>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</si>
  <si>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</si>
  <si>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CHANDURA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</si>
  <si>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</si>
  <si>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</si>
  <si>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CHARGACH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</si>
  <si>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</si>
  <si>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</si>
  <si>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CHATALPAR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</si>
  <si>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</si>
  <si>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</si>
  <si>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GOPINATHPUR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</si>
  <si>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</si>
  <si>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</si>
  <si>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GOSHAIPUR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</si>
  <si>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</si>
  <si>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</si>
  <si>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JIBANGANJ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</si>
  <si>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</si>
  <si>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</si>
  <si>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KAITALA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</si>
  <si>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</si>
  <si>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</si>
  <si>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KALIKATCHA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</si>
  <si>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</si>
  <si>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</si>
  <si>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</si>
  <si>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</si>
  <si>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</si>
  <si>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KUTI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</si>
  <si>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</si>
  <si>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</si>
  <si>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LALPUR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</si>
  <si>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</si>
  <si>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</si>
  <si>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LAURFATEPUR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</si>
  <si>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</si>
  <si>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</si>
  <si>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BISHWAROAD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</si>
  <si>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</si>
  <si>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</si>
  <si>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SOYFULLAHKANDI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</si>
  <si>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</si>
  <si>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</si>
  <si>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</si>
  <si>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</si>
  <si>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</si>
  <si>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NASIR 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</si>
  <si>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</si>
  <si>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</si>
  <si>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NURPUR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</si>
  <si>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</si>
  <si>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</si>
  <si>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SARAIL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</si>
  <si>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</si>
  <si>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</si>
  <si>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SATBORGA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</si>
  <si>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</si>
  <si>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</si>
  <si>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SHAHARPAR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</si>
  <si>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</si>
  <si>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</si>
  <si>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AYNATALI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</si>
  <si>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</si>
  <si>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</si>
  <si>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BAGRA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</si>
  <si>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</si>
  <si>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</si>
  <si>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BAKILA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</si>
  <si>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</si>
  <si>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</si>
  <si>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ASHIKATI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</si>
  <si>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</si>
  <si>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</si>
  <si>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</si>
  <si>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</si>
  <si>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</si>
  <si>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CHANDRA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</si>
  <si>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</si>
  <si>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</si>
  <si>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CHANGARCHAR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</si>
  <si>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</si>
  <si>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</si>
  <si>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CHARBHAIRABI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</si>
  <si>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</si>
  <si>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</si>
  <si>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CHOTOSUNDAR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</si>
  <si>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</si>
  <si>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</si>
  <si>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FARIDGANJ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</si>
  <si>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</si>
  <si>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</si>
  <si>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GAJRABAZAR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</si>
  <si>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</si>
  <si>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</si>
  <si>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GULBAHAR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</si>
  <si>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</si>
  <si>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</si>
  <si>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HAIMCHAR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</si>
  <si>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</si>
  <si>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</si>
  <si>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</si>
  <si>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</si>
  <si>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</si>
  <si>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</si>
  <si>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</si>
  <si>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</si>
  <si>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KAKAIRTALA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</si>
  <si>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</si>
  <si>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</si>
  <si>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</si>
  <si>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</si>
  <si>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</si>
  <si>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MAJHIGACHA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</si>
  <si>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</si>
  <si>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</si>
  <si>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MASTER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</si>
  <si>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</si>
  <si>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</si>
  <si>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MATLAB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</si>
  <si>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</si>
  <si>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</si>
  <si>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MUNSHIRHAT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</si>
  <si>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</si>
  <si>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</si>
  <si>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NAWRI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</si>
  <si>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</si>
  <si>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</si>
  <si>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PIROJPUR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</si>
  <si>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</si>
  <si>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</si>
  <si>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PURAN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</si>
  <si>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</si>
  <si>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</si>
  <si>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SACHAR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</si>
  <si>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</si>
  <si>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</si>
  <si>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SHAHEB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</si>
  <si>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</si>
  <si>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</si>
  <si>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SHAHRASTI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</si>
  <si>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</si>
  <si>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</si>
  <si>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ABURHAT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</si>
  <si>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</si>
  <si>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</si>
  <si>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ABUTORAB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</si>
  <si>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</si>
  <si>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</si>
  <si>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CHAITONNERHAT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</si>
  <si>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</si>
  <si>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</si>
  <si>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</si>
  <si>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</si>
  <si>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</si>
  <si>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ALAMSHAH PARA MADRASHA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</si>
  <si>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</si>
  <si>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</si>
  <si>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ASRAF ALI CHOWDHURY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</si>
  <si>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</si>
  <si>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</si>
  <si>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</si>
  <si>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</si>
  <si>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</si>
  <si>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AZADI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</si>
  <si>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</si>
  <si>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</si>
  <si>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</si>
  <si>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</si>
  <si>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</si>
  <si>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BAMANSUNDER DAROGA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</si>
  <si>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</si>
  <si>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</si>
  <si>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</si>
  <si>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</si>
  <si>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</si>
  <si>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BARAIYA DHALA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</si>
  <si>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</si>
  <si>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</si>
  <si>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</si>
  <si>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</si>
  <si>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</si>
  <si>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</si>
  <si>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</si>
  <si>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</si>
  <si>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BOMANGHAT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</si>
  <si>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</si>
  <si>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</si>
  <si>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BUDPURA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</si>
  <si>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</si>
  <si>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</si>
  <si>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</si>
  <si>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</si>
  <si>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</si>
  <si>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CHANDANAISH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</si>
  <si>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</si>
  <si>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</si>
  <si>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CHATARI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</si>
  <si>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</si>
  <si>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</si>
  <si>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</si>
  <si>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</si>
  <si>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</si>
  <si>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COLLEGE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</si>
  <si>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</si>
  <si>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</si>
  <si>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DHOPARHAT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</si>
  <si>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</si>
  <si>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</si>
  <si>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</si>
  <si>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</si>
  <si>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</si>
  <si>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</si>
  <si>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</si>
  <si>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</si>
  <si>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FAZILKHAR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</si>
  <si>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</si>
  <si>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</si>
  <si>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GASUA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</si>
  <si>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</si>
  <si>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</si>
  <si>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</si>
  <si>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</si>
  <si>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</si>
  <si>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HEAKO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</si>
  <si>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</si>
  <si>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</si>
  <si>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</si>
  <si>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</si>
  <si>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</si>
  <si>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KAMAL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</si>
  <si>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</si>
  <si>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</si>
  <si>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KATIRHAT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</si>
  <si>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</si>
  <si>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</si>
  <si>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</si>
  <si>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</si>
  <si>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</si>
  <si>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</si>
  <si>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</si>
  <si>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</si>
  <si>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KHODARHAT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</si>
  <si>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</si>
  <si>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</si>
  <si>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KUMIRA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</si>
  <si>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</si>
  <si>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</si>
  <si>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</si>
  <si>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</si>
  <si>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</si>
  <si>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</si>
  <si>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</si>
  <si>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</si>
  <si>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NANUPUR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</si>
  <si>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</si>
  <si>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</si>
  <si>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MIRSARAI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</si>
  <si>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</si>
  <si>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</si>
  <si>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NAPORA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</si>
  <si>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</si>
  <si>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</si>
  <si>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NARAYANHAT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</si>
  <si>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</si>
  <si>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</si>
  <si>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</si>
  <si>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</si>
  <si>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</si>
  <si>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NAZU MEA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</si>
  <si>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</si>
  <si>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</si>
  <si>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PAHARTALI CHOUMOHONI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</si>
  <si>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</si>
  <si>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</si>
  <si>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PANCHURIA DIGHIRPAR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</si>
  <si>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</si>
  <si>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</si>
  <si>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</si>
  <si>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</si>
  <si>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</si>
  <si>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</si>
  <si>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</si>
  <si>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</si>
  <si>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POMRA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</si>
  <si>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</si>
  <si>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</si>
  <si>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RANGUNIA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</si>
  <si>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</si>
  <si>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</si>
  <si>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RANGUNIA COLLEGE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</si>
  <si>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</si>
  <si>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</si>
  <si>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</si>
  <si>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</si>
  <si>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</si>
  <si>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</si>
  <si>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</si>
  <si>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</si>
  <si>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</si>
  <si>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</si>
  <si>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</si>
  <si>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SHIBERHAT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</si>
  <si>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</si>
  <si>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</si>
  <si>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SHOLA SAHAR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</si>
  <si>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</si>
  <si>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</si>
  <si>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</si>
  <si>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</si>
  <si>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</si>
  <si>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TEA BOARD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</si>
  <si>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</si>
  <si>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</si>
  <si>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WAHEDPUR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</si>
  <si>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</si>
  <si>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</si>
  <si>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</si>
  <si>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</si>
  <si>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</si>
  <si>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BADARGANJ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</si>
  <si>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</si>
  <si>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</si>
  <si>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</si>
  <si>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</si>
  <si>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</si>
  <si>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DAMURHUDA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</si>
  <si>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</si>
  <si>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</si>
  <si>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GHOLDARI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</si>
  <si>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</si>
  <si>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</si>
  <si>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HIZALGARI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</si>
  <si>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</si>
  <si>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</si>
  <si>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JAMJAMI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</si>
  <si>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</si>
  <si>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</si>
  <si>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JIBAN NAGAR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</si>
  <si>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</si>
  <si>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</si>
  <si>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JOGANNATHPUR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</si>
  <si>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</si>
  <si>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</si>
  <si>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JURANPUR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</si>
  <si>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</si>
  <si>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</si>
  <si>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UTHALI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</si>
  <si>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</si>
  <si>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</si>
  <si>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ADDA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</si>
  <si>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</si>
  <si>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</si>
  <si>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KHOSBASH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</si>
  <si>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</si>
  <si>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</si>
  <si>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BAGHMARA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</si>
  <si>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</si>
  <si>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</si>
  <si>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ALISSHAR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</si>
  <si>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</si>
  <si>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</si>
  <si>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AMRATALI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</si>
  <si>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</si>
  <si>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</si>
  <si>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ASMANIA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</si>
  <si>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</si>
  <si>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</si>
  <si>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</si>
  <si>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</si>
  <si>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</si>
  <si>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KADAIR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</si>
  <si>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</si>
  <si>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</si>
  <si>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BADARPUR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</si>
  <si>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</si>
  <si>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</si>
  <si>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BATISHA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</si>
  <si>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</si>
  <si>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</si>
  <si>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BANGADDA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</si>
  <si>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</si>
  <si>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</si>
  <si>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BARASHALGHAR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</si>
  <si>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</si>
  <si>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</si>
  <si>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</si>
  <si>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</si>
  <si>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</si>
  <si>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BAUKSHAR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</si>
  <si>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</si>
  <si>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</si>
  <si>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BIZRA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</si>
  <si>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</si>
  <si>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</si>
  <si>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BRAHMAN PARA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</si>
  <si>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</si>
  <si>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</si>
  <si>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BURICHANG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</si>
  <si>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</si>
  <si>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</si>
  <si>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</si>
  <si>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</si>
  <si>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</si>
  <si>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</si>
  <si>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</si>
  <si>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</si>
  <si>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CHHALIA KANDI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</si>
  <si>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</si>
  <si>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</si>
  <si>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</si>
  <si>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</si>
  <si>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</si>
  <si>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CHOWDHURY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</si>
  <si>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</si>
  <si>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</si>
  <si>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</si>
  <si>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</si>
  <si>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</si>
  <si>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DARORA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</si>
  <si>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</si>
  <si>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</si>
  <si>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DAUDKANDI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</si>
  <si>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</si>
  <si>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</si>
  <si>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DEBIDWAR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</si>
  <si>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</si>
  <si>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</si>
  <si>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DHALUA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</si>
  <si>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</si>
  <si>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</si>
  <si>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DHAMTI MADRASA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</si>
  <si>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</si>
  <si>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</si>
  <si>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BABURCHI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</si>
  <si>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</si>
  <si>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</si>
  <si>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DOLLAI NABABPUR DAKHIN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</si>
  <si>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</si>
  <si>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</si>
  <si>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GAIRBHANGA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</si>
  <si>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</si>
  <si>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</si>
  <si>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GALIARA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</si>
  <si>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</si>
  <si>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</si>
  <si>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HOMNA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</si>
  <si>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</si>
  <si>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</si>
  <si>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HYDRABAD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</si>
  <si>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</si>
  <si>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</si>
  <si>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JOYAG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</si>
  <si>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</si>
  <si>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</si>
  <si>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JURANPUR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</si>
  <si>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</si>
  <si>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</si>
  <si>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NIMSHAR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</si>
  <si>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</si>
  <si>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</si>
  <si>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KANKAPAITH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</si>
  <si>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</si>
  <si>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</si>
  <si>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KASHINAGAR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</si>
  <si>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</si>
  <si>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</si>
  <si>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LAKHANPUR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</si>
  <si>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</si>
  <si>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</si>
  <si>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</si>
  <si>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</si>
  <si>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</si>
  <si>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MACHIMPUR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</si>
  <si>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</si>
  <si>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</si>
  <si>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MAWLANA SAHEB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</si>
  <si>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</si>
  <si>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</si>
  <si>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MEGNA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</si>
  <si>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</si>
  <si>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</si>
  <si>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MOHICHAIL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</si>
  <si>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</si>
  <si>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</si>
  <si>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MONOHARGANJ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</si>
  <si>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</si>
  <si>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</si>
  <si>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MURAD NAGAR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</si>
  <si>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</si>
  <si>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</si>
  <si>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NAIYER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</si>
  <si>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</si>
  <si>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</si>
  <si>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</si>
  <si>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</si>
  <si>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</si>
  <si>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NATHERPETUA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</si>
  <si>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</si>
  <si>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</si>
  <si>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POLICELINE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</si>
  <si>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</si>
  <si>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</si>
  <si>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SHIDLAI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</si>
  <si>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</si>
  <si>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</si>
  <si>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SONAIMURI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</si>
  <si>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</si>
  <si>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</si>
  <si>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MIAH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</si>
  <si>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</si>
  <si>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</si>
  <si>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</si>
  <si>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</si>
  <si>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</si>
  <si>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 MAHESH KHALI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</si>
  <si>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</si>
  <si>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</si>
  <si>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CHIRINGA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</si>
  <si>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</si>
  <si>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</si>
  <si>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</si>
  <si>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</si>
  <si>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</si>
  <si>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DHURONG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</si>
  <si>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</si>
  <si>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</si>
  <si>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DULHAZRA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</si>
  <si>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</si>
  <si>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</si>
  <si>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</si>
  <si>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</si>
  <si>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</si>
  <si>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GORAKGHATA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</si>
  <si>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</si>
  <si>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</si>
  <si>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GORZANIA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</si>
  <si>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</si>
  <si>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</si>
  <si>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HANILA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</si>
  <si>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</si>
  <si>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</si>
  <si>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HARBUNG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</si>
  <si>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</si>
  <si>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</si>
  <si>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HOANAK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</si>
  <si>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</si>
  <si>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</si>
  <si>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KALARMARCHARA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</si>
  <si>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</si>
  <si>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</si>
  <si>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KUTUBDIA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</si>
  <si>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</si>
  <si>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</si>
  <si>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MATAR BARI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</si>
  <si>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</si>
  <si>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</si>
  <si>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PEKUYA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</si>
  <si>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</si>
  <si>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</si>
  <si>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</si>
  <si>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</si>
  <si>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</si>
  <si>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</si>
  <si>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</si>
  <si>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</si>
  <si>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UKHIYA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</si>
  <si>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</si>
  <si>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</si>
  <si>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ASHULIA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</si>
  <si>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</si>
  <si>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</si>
  <si>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</si>
  <si>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</si>
  <si>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</si>
  <si>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</si>
  <si>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</si>
  <si>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</si>
  <si>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</si>
  <si>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</si>
  <si>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</si>
  <si>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BELESHWAR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</si>
  <si>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</si>
  <si>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</si>
  <si>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DHAMRAI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</si>
  <si>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</si>
  <si>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</si>
  <si>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</si>
  <si>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</si>
  <si>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</si>
  <si>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KHAMARBARI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</si>
  <si>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</si>
  <si>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</si>
  <si>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</si>
  <si>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</si>
  <si>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</si>
  <si>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</si>
  <si>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</si>
  <si>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</si>
  <si>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</si>
  <si>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</si>
  <si>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</si>
  <si>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TAJMOHAL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</si>
  <si>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</si>
  <si>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</si>
  <si>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STAFF COLLEGE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</si>
  <si>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</si>
  <si>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</si>
  <si>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</si>
  <si>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</si>
  <si>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</si>
  <si>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</si>
  <si>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</si>
  <si>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</si>
  <si>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BANDURAHAT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</si>
  <si>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</si>
  <si>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</si>
  <si>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</si>
  <si>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</si>
  <si>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</si>
  <si>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DEMRA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</si>
  <si>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</si>
  <si>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</si>
  <si>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</si>
  <si>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</si>
  <si>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</si>
  <si>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FARASHGANJ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</si>
  <si>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</si>
  <si>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</si>
  <si>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HAZRATPUR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</si>
  <si>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</si>
  <si>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</si>
  <si>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JURAIN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</si>
  <si>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</si>
  <si>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</si>
  <si>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</si>
  <si>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</si>
  <si>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</si>
  <si>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</si>
  <si>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</si>
  <si>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</si>
  <si>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KOMARGANJ 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</si>
  <si>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</si>
  <si>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</si>
  <si>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LOCAL PRINCIPAL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</si>
  <si>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</si>
  <si>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</si>
  <si>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NANDIPARA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</si>
  <si>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</si>
  <si>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</si>
  <si>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</si>
  <si>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</si>
  <si>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</si>
  <si>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SHANIR AKHRA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</si>
  <si>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</si>
  <si>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</si>
  <si>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SHOLLA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</si>
  <si>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</si>
  <si>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</si>
  <si>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ALFADANGA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</si>
  <si>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</si>
  <si>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</si>
  <si>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PURAPARA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</si>
  <si>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</si>
  <si>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</si>
  <si>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BABUR CHAR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</si>
  <si>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</si>
  <si>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</si>
  <si>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</si>
  <si>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</si>
  <si>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</si>
  <si>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BAITUL AMAN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</si>
  <si>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</si>
  <si>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</si>
  <si>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BAKHUNDA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</si>
  <si>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</si>
  <si>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</si>
  <si>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</si>
  <si>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</si>
  <si>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</si>
  <si>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BILGOBINDAPUR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</si>
  <si>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</si>
  <si>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</si>
  <si>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BOALMARI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</si>
  <si>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</si>
  <si>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</si>
  <si>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 HAT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</si>
  <si>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</si>
  <si>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</si>
  <si>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BHADRASAN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</si>
  <si>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</si>
  <si>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</si>
  <si>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</si>
  <si>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</si>
  <si>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</si>
  <si>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GOPALPUR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</si>
  <si>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</si>
  <si>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</si>
  <si>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HATKRISHNAPUR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</si>
  <si>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</si>
  <si>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</si>
  <si>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HAZIGANJ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</si>
  <si>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</si>
  <si>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</si>
  <si>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ISHAN GOPALPUR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</si>
  <si>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</si>
  <si>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</si>
  <si>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KADIRDI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</si>
  <si>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</si>
  <si>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</si>
  <si>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KAOLIBERA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</si>
  <si>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</si>
  <si>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</si>
  <si>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KHALILPUR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</si>
  <si>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</si>
  <si>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</si>
  <si>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LASKARDIA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</si>
  <si>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</si>
  <si>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</si>
  <si>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MADHUKHALI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</si>
  <si>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</si>
  <si>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</si>
  <si>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NAGARKANDA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</si>
  <si>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</si>
  <si>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</si>
  <si>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PUKHURIA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</si>
  <si>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</si>
  <si>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</si>
  <si>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SADARPUR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</si>
  <si>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</si>
  <si>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</si>
  <si>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SALTA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</si>
  <si>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</si>
  <si>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</si>
  <si>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TALMA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</si>
  <si>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</si>
  <si>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</si>
  <si>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TAMBULKHANA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</si>
  <si>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</si>
  <si>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</si>
  <si>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AFTAB BIBIR 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</si>
  <si>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</si>
  <si>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</si>
  <si>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AMZADHAT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</si>
  <si>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</si>
  <si>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</si>
  <si>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BOX MAHMUD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</si>
  <si>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</si>
  <si>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</si>
  <si>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</si>
  <si>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</si>
  <si>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</si>
  <si>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</si>
  <si>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</si>
  <si>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</si>
  <si>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DUDMUKHA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</si>
  <si>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</si>
  <si>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</si>
  <si>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FAZILPUR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</si>
  <si>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</si>
  <si>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</si>
  <si>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</si>
  <si>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</si>
  <si>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</si>
  <si>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FULGAZI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</si>
  <si>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</si>
  <si>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</si>
  <si>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G.M.HAT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</si>
  <si>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</si>
  <si>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</si>
  <si>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JAYLASKER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</si>
  <si>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</si>
  <si>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</si>
  <si>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KUHUMA SANTIR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</si>
  <si>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</si>
  <si>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</si>
  <si>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KURAISH MUNSHI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</si>
  <si>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</si>
  <si>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</si>
  <si>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KUTHIRHAT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</si>
  <si>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</si>
  <si>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</si>
  <si>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MUKTO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</si>
  <si>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</si>
  <si>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</si>
  <si>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PARSHURAM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</si>
  <si>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</si>
  <si>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</si>
  <si>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SHUVAPUR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</si>
  <si>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</si>
  <si>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</si>
  <si>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</si>
  <si>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</si>
  <si>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</si>
  <si>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AMRAID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</si>
  <si>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</si>
  <si>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</si>
  <si>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AOWRAKHALI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</si>
  <si>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</si>
  <si>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</si>
  <si>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FHULBARIA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</si>
  <si>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</si>
  <si>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</si>
  <si>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JAINA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</si>
  <si>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</si>
  <si>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</si>
  <si>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</si>
  <si>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</si>
  <si>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</si>
  <si>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</si>
  <si>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</si>
  <si>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</si>
  <si>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</si>
  <si>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</si>
  <si>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</si>
  <si>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</si>
  <si>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</si>
  <si>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</si>
  <si>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KHIRATI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</si>
  <si>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</si>
  <si>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</si>
  <si>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</si>
  <si>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</si>
  <si>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</si>
  <si>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</si>
  <si>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</si>
  <si>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</si>
  <si>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RANIGANJ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</si>
  <si>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</si>
  <si>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</si>
  <si>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SAWRAID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</si>
  <si>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</si>
  <si>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</si>
  <si>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SHAFIPUR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</si>
  <si>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</si>
  <si>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</si>
  <si>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</si>
  <si>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</si>
  <si>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</si>
  <si>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TOKNAYAN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</si>
  <si>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</si>
  <si>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</si>
  <si>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</si>
  <si>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</si>
  <si>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</si>
  <si>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BANAGRAM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</si>
  <si>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</si>
  <si>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</si>
  <si>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VANGAR HAT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</si>
  <si>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</si>
  <si>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</si>
  <si>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BASHBARIA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</si>
  <si>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</si>
  <si>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</si>
  <si>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BATIKAMARI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</si>
  <si>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</si>
  <si>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</si>
  <si>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BHERARHAT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</si>
  <si>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</si>
  <si>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</si>
  <si>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CHOWDHURIR HAT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</si>
  <si>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</si>
  <si>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</si>
  <si>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GOALGRAM MADRASHA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</si>
  <si>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</si>
  <si>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</si>
  <si>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GOHALA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</si>
  <si>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</si>
  <si>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</si>
  <si>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</si>
  <si>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</si>
  <si>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</si>
  <si>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GOPINATHPUR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</si>
  <si>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</si>
  <si>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</si>
  <si>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KAJULIA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</si>
  <si>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</si>
  <si>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</si>
  <si>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KASHIANI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</si>
  <si>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</si>
  <si>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</si>
  <si>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KATHI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</si>
  <si>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</si>
  <si>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</si>
  <si>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BOULTALI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</si>
  <si>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</si>
  <si>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</si>
  <si>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KOTALIPARA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</si>
  <si>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</si>
  <si>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</si>
  <si>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</si>
  <si>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</si>
  <si>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</si>
  <si>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NILPHA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</si>
  <si>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</si>
  <si>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</si>
  <si>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RADHAGANJ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</si>
  <si>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</si>
  <si>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</si>
  <si>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RAJPAT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</si>
  <si>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</si>
  <si>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</si>
  <si>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RAMDIA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</si>
  <si>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</si>
  <si>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</si>
  <si>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RATAIL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</si>
  <si>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</si>
  <si>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</si>
  <si>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</si>
  <si>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</si>
  <si>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</si>
  <si>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UZANI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</si>
  <si>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</si>
  <si>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</si>
  <si>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AJMIRIGANJ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</si>
  <si>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</si>
  <si>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</si>
  <si>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AMUROAD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</si>
  <si>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</si>
  <si>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</si>
  <si>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BAHUBAL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</si>
  <si>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</si>
  <si>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</si>
  <si>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BANIACHANG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</si>
  <si>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</si>
  <si>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</si>
  <si>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CHOWMUHANI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</si>
  <si>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</si>
  <si>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</si>
  <si>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CHUNARUGHAT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</si>
  <si>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</si>
  <si>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</si>
  <si>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DUBAI HAJIGANJ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</si>
  <si>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</si>
  <si>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</si>
  <si>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GOPLAR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</si>
  <si>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</si>
  <si>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</si>
  <si>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</si>
  <si>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</si>
  <si>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</si>
  <si>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IMAMBARI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</si>
  <si>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</si>
  <si>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</si>
  <si>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KAKAILCHEO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</si>
  <si>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</si>
  <si>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</si>
  <si>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KALAUK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</si>
  <si>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</si>
  <si>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</si>
  <si>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KASHIMNAGAR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</si>
  <si>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</si>
  <si>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</si>
  <si>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KAZIGANJ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</si>
  <si>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</si>
  <si>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</si>
  <si>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LAKHAI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</si>
  <si>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</si>
  <si>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</si>
  <si>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</si>
  <si>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</si>
  <si>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</si>
  <si>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MADNA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</si>
  <si>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</si>
  <si>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</si>
  <si>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</si>
  <si>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</si>
  <si>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</si>
  <si>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MORA KARI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</si>
  <si>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</si>
  <si>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</si>
  <si>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</si>
  <si>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</si>
  <si>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</si>
  <si>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NAGURA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</si>
  <si>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</si>
  <si>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</si>
  <si>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NALMUKH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</si>
  <si>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</si>
  <si>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</si>
  <si>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NANDANPUR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</si>
  <si>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</si>
  <si>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</si>
  <si>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PAHARPUR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</si>
  <si>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</si>
  <si>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</si>
  <si>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PANIUMDA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</si>
  <si>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</si>
  <si>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</si>
  <si>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POIL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</si>
  <si>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</si>
  <si>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</si>
  <si>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SHAKIR MAHMUD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</si>
  <si>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</si>
  <si>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</si>
  <si>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SUJATPUR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</si>
  <si>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</si>
  <si>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</si>
  <si>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SUNDARPUR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</si>
  <si>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</si>
  <si>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</si>
  <si>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TALIAPARA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</si>
  <si>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</si>
  <si>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</si>
  <si>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BAHADURABAD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</si>
  <si>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</si>
  <si>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</si>
  <si>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MILON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</si>
  <si>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</si>
  <si>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</si>
  <si>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MAHMUDPUR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</si>
  <si>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</si>
  <si>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</si>
  <si>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TULSIPUR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</si>
  <si>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</si>
  <si>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</si>
  <si>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BAKSHIGANJ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</si>
  <si>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</si>
  <si>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</si>
  <si>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JOBBARGANJ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</si>
  <si>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</si>
  <si>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</si>
  <si>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VHARUAKHALI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</si>
  <si>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</si>
  <si>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</si>
  <si>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TONKI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</si>
  <si>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</si>
  <si>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</si>
  <si>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MADARGANJ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</si>
  <si>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</si>
  <si>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</si>
  <si>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BARUAMARI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</si>
  <si>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</si>
  <si>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</si>
  <si>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JAGANNATHGANJ GHAT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</si>
  <si>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</si>
  <si>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</si>
  <si>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BAUSHI BANGALEE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</si>
  <si>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</si>
  <si>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</si>
  <si>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BHABKI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</si>
  <si>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</si>
  <si>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</si>
  <si>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BHATARA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</si>
  <si>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</si>
  <si>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</si>
  <si>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DEWANGANJ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</si>
  <si>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</si>
  <si>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</si>
  <si>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GUTHAIL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</si>
  <si>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</si>
  <si>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</si>
  <si>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HAZIPUR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</si>
  <si>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</si>
  <si>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</si>
  <si>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</si>
  <si>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</si>
  <si>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</si>
  <si>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</si>
  <si>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</si>
  <si>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</si>
  <si>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MALAMGONJ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</si>
  <si>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</si>
  <si>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</si>
  <si>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MELANDAH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</si>
  <si>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</si>
  <si>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</si>
  <si>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NANDINA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</si>
  <si>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</si>
  <si>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</si>
  <si>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NARUNDI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</si>
  <si>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</si>
  <si>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</si>
  <si>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</si>
  <si>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</si>
  <si>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</si>
  <si>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SARISHABARI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</si>
  <si>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</si>
  <si>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</si>
  <si>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SHARIFPUR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</si>
  <si>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</si>
  <si>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</si>
  <si>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SHYAMGANJ KALIBARI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</si>
  <si>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</si>
  <si>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</si>
  <si>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SONTIABAZAR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</si>
  <si>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</si>
  <si>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</si>
  <si>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TARAKANDI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</si>
  <si>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</si>
  <si>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</si>
  <si>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KHAJURA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</si>
  <si>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</si>
  <si>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</si>
  <si>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KOLAGACHI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</si>
  <si>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</si>
  <si>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</si>
  <si>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BAGHERPARA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</si>
  <si>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</si>
  <si>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</si>
  <si>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CHOWGACHA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</si>
  <si>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</si>
  <si>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</si>
  <si>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GOPALPUR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</si>
  <si>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</si>
  <si>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</si>
  <si>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HASANPUR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</si>
  <si>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</si>
  <si>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</si>
  <si>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JAGADISHPUR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</si>
  <si>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</si>
  <si>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</si>
  <si>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</si>
  <si>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</si>
  <si>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</si>
  <si>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JHIKARGACHA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</si>
  <si>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</si>
  <si>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</si>
  <si>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KAYEMKOLA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</si>
  <si>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</si>
  <si>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</si>
  <si>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</si>
  <si>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</si>
  <si>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</si>
  <si>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KHEDAPARA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</si>
  <si>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</si>
  <si>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</si>
  <si>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KUADA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</si>
  <si>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</si>
  <si>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</si>
  <si>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LAKHANPUR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</si>
  <si>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</si>
  <si>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</si>
  <si>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MASHIA HATI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</si>
  <si>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</si>
  <si>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</si>
  <si>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MONIRAMPUR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</si>
  <si>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</si>
  <si>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</si>
  <si>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NARAYANPUR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</si>
  <si>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</si>
  <si>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</si>
  <si>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NAVARAN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</si>
  <si>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</si>
  <si>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</si>
  <si>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</si>
  <si>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</si>
  <si>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</si>
  <si>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RUPDIA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</si>
  <si>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</si>
  <si>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</si>
  <si>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SARSHA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</si>
  <si>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</si>
  <si>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</si>
  <si>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SHINGHAJHULI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</si>
  <si>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</si>
  <si>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</si>
  <si>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AMUA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</si>
  <si>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</si>
  <si>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</si>
  <si>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BADURTALA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</si>
  <si>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</si>
  <si>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</si>
  <si>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BASONDA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</si>
  <si>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</si>
  <si>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</si>
  <si>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BENOYKATI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</si>
  <si>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</si>
  <si>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</si>
  <si>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CHITKI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</si>
  <si>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</si>
  <si>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</si>
  <si>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GALUA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</si>
  <si>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</si>
  <si>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</si>
  <si>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NIZAMEA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</si>
  <si>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</si>
  <si>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</si>
  <si>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</si>
  <si>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</si>
  <si>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</si>
  <si>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KAIKHALI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</si>
  <si>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</si>
  <si>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</si>
  <si>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KATHALIA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</si>
  <si>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</si>
  <si>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</si>
  <si>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NABAGRAM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</si>
  <si>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</si>
  <si>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</si>
  <si>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NALCHITY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</si>
  <si>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</si>
  <si>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</si>
  <si>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</si>
  <si>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</si>
  <si>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</si>
  <si>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RAMCHANDRAPUR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</si>
  <si>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</si>
  <si>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</si>
  <si>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TALTALA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</si>
  <si>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</si>
  <si>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</si>
  <si>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BALIADANGA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</si>
  <si>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</si>
  <si>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</si>
  <si>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BHAIRABA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</si>
  <si>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</si>
  <si>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</si>
  <si>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BHALKI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</si>
  <si>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</si>
  <si>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</si>
  <si>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BHATI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</si>
  <si>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</si>
  <si>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</si>
  <si>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HALIDHANI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</si>
  <si>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</si>
  <si>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</si>
  <si>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HARINAKUNDA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</si>
  <si>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</si>
  <si>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</si>
  <si>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</si>
  <si>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</si>
  <si>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</si>
  <si>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KACHUA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</si>
  <si>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</si>
  <si>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</si>
  <si>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</si>
  <si>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</si>
  <si>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</si>
  <si>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KASTOSAGRA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</si>
  <si>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</si>
  <si>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</si>
  <si>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KHULUMBARIA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</si>
  <si>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</si>
  <si>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</si>
  <si>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KOTCHANDPUR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</si>
  <si>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</si>
  <si>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</si>
  <si>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MOHESHPUR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</si>
  <si>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</si>
  <si>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</si>
  <si>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SAILKUPA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</si>
  <si>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</si>
  <si>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</si>
  <si>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SHINGI BAZAR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</si>
  <si>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</si>
  <si>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</si>
  <si>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DIGHINALA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</si>
  <si>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</si>
  <si>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</si>
  <si>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</si>
  <si>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</si>
  <si>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</si>
  <si>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LAXMICHARI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</si>
  <si>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</si>
  <si>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</si>
  <si>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MANIKCHARI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</si>
  <si>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</si>
  <si>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</si>
  <si>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MATIRANGA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</si>
  <si>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</si>
  <si>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</si>
  <si>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MOHALCHARI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</si>
  <si>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</si>
  <si>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</si>
  <si>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</si>
  <si>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</si>
  <si>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</si>
  <si>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RAMGARH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</si>
  <si>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</si>
  <si>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</si>
  <si>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BARAKPUR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</si>
  <si>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</si>
  <si>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</si>
  <si>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BATIAGHATA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</si>
  <si>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</si>
  <si>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</si>
  <si>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BIRAT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</si>
  <si>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</si>
  <si>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</si>
  <si>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CHANDKHALI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</si>
  <si>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</si>
  <si>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</si>
  <si>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DACOPE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</si>
  <si>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</si>
  <si>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</si>
  <si>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</si>
  <si>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</si>
  <si>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</si>
  <si>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DUMURIA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</si>
  <si>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</si>
  <si>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</si>
  <si>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JAIGIR MOHAL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</si>
  <si>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</si>
  <si>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</si>
  <si>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JAMIRA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</si>
  <si>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</si>
  <si>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</si>
  <si>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KAZDIA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</si>
  <si>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</si>
  <si>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</si>
  <si>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KDA BUS TERMINAL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</si>
  <si>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</si>
  <si>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</si>
  <si>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</si>
  <si>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</si>
  <si>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</si>
  <si>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KOYRA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</si>
  <si>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</si>
  <si>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</si>
  <si>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LABONCHORA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</si>
  <si>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</si>
  <si>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</si>
  <si>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NALIAN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</si>
  <si>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</si>
  <si>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</si>
  <si>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</si>
  <si>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</si>
  <si>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</si>
  <si>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PAIKGACHA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</si>
  <si>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</si>
  <si>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</si>
  <si>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PHULTALA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</si>
  <si>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</si>
  <si>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</si>
  <si>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RUPSHAGHAT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</si>
  <si>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</si>
  <si>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</si>
  <si>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</si>
  <si>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</si>
  <si>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</si>
  <si>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TEROKHADA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</si>
  <si>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</si>
  <si>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</si>
  <si>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ADAMPUR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</si>
  <si>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</si>
  <si>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</si>
  <si>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AUSTAGRAM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</si>
  <si>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</si>
  <si>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</si>
  <si>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MOSUA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</si>
  <si>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</si>
  <si>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</si>
  <si>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GOCHIHATA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</si>
  <si>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</si>
  <si>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</si>
  <si>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</si>
  <si>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</si>
  <si>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</si>
  <si>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CHOUGANGA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</si>
  <si>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</si>
  <si>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</si>
  <si>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</si>
  <si>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</si>
  <si>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</si>
  <si>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CHOUDDASATO BOARD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</si>
  <si>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</si>
  <si>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</si>
  <si>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GOSHAIR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</si>
  <si>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</si>
  <si>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</si>
  <si>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HILOCHIA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</si>
  <si>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</si>
  <si>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</si>
  <si>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HOSSAINPUR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</si>
  <si>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</si>
  <si>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</si>
  <si>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ITNA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</si>
  <si>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</si>
  <si>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</si>
  <si>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JOYSIDDI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</si>
  <si>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</si>
  <si>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</si>
  <si>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KARIMGANJ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</si>
  <si>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</si>
  <si>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</si>
  <si>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KATIADI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</si>
  <si>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</si>
  <si>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</si>
  <si>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</si>
  <si>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</si>
  <si>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</si>
  <si>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KULIAR CHAR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</si>
  <si>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</si>
  <si>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</si>
  <si>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LATIFABAD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</si>
  <si>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</si>
  <si>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</si>
  <si>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MARICHKHALI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</si>
  <si>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</si>
  <si>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</si>
  <si>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MITAMAIN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</si>
  <si>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</si>
  <si>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</si>
  <si>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</si>
  <si>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</si>
  <si>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</si>
  <si>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NIKLI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</si>
  <si>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</si>
  <si>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</si>
  <si>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PAKUNDIA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</si>
  <si>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</si>
  <si>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</si>
  <si>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SARARCHAR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</si>
  <si>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</si>
  <si>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</si>
  <si>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SHIMULKANDI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</si>
  <si>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</si>
  <si>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</si>
  <si>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TARAIL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</si>
  <si>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</si>
  <si>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</si>
  <si>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AILCHARA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</si>
  <si>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</si>
  <si>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</si>
  <si>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AMLA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</si>
  <si>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</si>
  <si>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</si>
  <si>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BAHAL BARIA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</si>
  <si>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</si>
  <si>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</si>
  <si>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</si>
  <si>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</si>
  <si>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</si>
  <si>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BARAKHADA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</si>
  <si>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</si>
  <si>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</si>
  <si>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</si>
  <si>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</si>
  <si>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</si>
  <si>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DANGMARKA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</si>
  <si>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</si>
  <si>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</si>
  <si>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</si>
  <si>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</si>
  <si>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</si>
  <si>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JENAIDAH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</si>
  <si>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</si>
  <si>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</si>
  <si>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JHAUDIA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</si>
  <si>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</si>
  <si>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</si>
  <si>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KHOKSA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</si>
  <si>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</si>
  <si>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</si>
  <si>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KUCHIAMURA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</si>
  <si>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</si>
  <si>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</si>
  <si>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KUMARKHALI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</si>
  <si>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</si>
  <si>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</si>
  <si>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</si>
  <si>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</si>
  <si>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</si>
  <si>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</si>
  <si>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</si>
  <si>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</si>
  <si>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MODHUPUR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</si>
  <si>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</si>
  <si>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</si>
  <si>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DIGHALI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</si>
  <si>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</si>
  <si>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</si>
  <si>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ALEXANDER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</si>
  <si>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</si>
  <si>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</si>
  <si>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FALKON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</si>
  <si>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</si>
  <si>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</si>
  <si>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GAZI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</si>
  <si>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</si>
  <si>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</si>
  <si>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CHOWDHURY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</si>
  <si>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</si>
  <si>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</si>
  <si>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HAZIRPARA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</si>
  <si>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</si>
  <si>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</si>
  <si>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JAKSIN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</si>
  <si>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</si>
  <si>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</si>
  <si>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K.P. HAT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</si>
  <si>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</si>
  <si>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</si>
  <si>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KARONA NAGAR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</si>
  <si>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</si>
  <si>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</si>
  <si>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</si>
  <si>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</si>
  <si>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</si>
  <si>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MAJIRGAON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</si>
  <si>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</si>
  <si>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</si>
  <si>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MITALI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</si>
  <si>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</si>
  <si>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</si>
  <si>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PANPARA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</si>
  <si>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</si>
  <si>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</si>
  <si>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PODDAR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</si>
  <si>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</si>
  <si>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</si>
  <si>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</si>
  <si>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</si>
  <si>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</si>
  <si>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RAKHALIA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</si>
  <si>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</si>
  <si>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</si>
  <si>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</si>
  <si>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</si>
  <si>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</si>
  <si>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TORABGANJ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</si>
  <si>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</si>
  <si>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</si>
  <si>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</si>
  <si>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</si>
  <si>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</si>
  <si>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UTTAR RAMJANPUR 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</si>
  <si>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</si>
  <si>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</si>
  <si>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CHANDERCHAR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</si>
  <si>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</si>
  <si>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</si>
  <si>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GHATOKCHAR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</si>
  <si>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</si>
  <si>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</si>
  <si>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GOPALPUR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</si>
  <si>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</si>
  <si>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</si>
  <si>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KALIR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</si>
  <si>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</si>
  <si>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</si>
  <si>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KALKINI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</si>
  <si>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</si>
  <si>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</si>
  <si>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KASHER 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</si>
  <si>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</si>
  <si>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</si>
  <si>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</si>
  <si>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</si>
  <si>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</si>
  <si>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MATHER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</si>
  <si>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</si>
  <si>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</si>
  <si>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PANCHOR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</si>
  <si>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</si>
  <si>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</si>
  <si>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RAJOIR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</si>
  <si>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</si>
  <si>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</si>
  <si>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SHAHEBRAMPUR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</si>
  <si>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</si>
  <si>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</si>
  <si>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</si>
  <si>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</si>
  <si>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</si>
  <si>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TATIKANDA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</si>
  <si>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</si>
  <si>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</si>
  <si>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UTRAIL HAT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</si>
  <si>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</si>
  <si>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</si>
  <si>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ALAMKHALI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</si>
  <si>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</si>
  <si>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</si>
  <si>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ALUKDIA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</si>
  <si>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</si>
  <si>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</si>
  <si>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AMURIA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</si>
  <si>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</si>
  <si>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</si>
  <si>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ARPARA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</si>
  <si>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</si>
  <si>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</si>
  <si>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BHABONHAT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</si>
  <si>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</si>
  <si>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</si>
  <si>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BINODPUR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</si>
  <si>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</si>
  <si>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</si>
  <si>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DAXIN MIRZAPUR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</si>
  <si>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</si>
  <si>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</si>
  <si>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JOGDAL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</si>
  <si>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</si>
  <si>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</si>
  <si>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LANGALBANDH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</si>
  <si>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</si>
  <si>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</si>
  <si>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</si>
  <si>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</si>
  <si>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</si>
  <si>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</si>
  <si>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</si>
  <si>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</si>
  <si>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NAGRA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</si>
  <si>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</si>
  <si>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</si>
  <si>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RADHA NAGAR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</si>
  <si>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</si>
  <si>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</si>
  <si>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SACHILAPUR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</si>
  <si>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</si>
  <si>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</si>
  <si>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SATRUJITPUR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</si>
  <si>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</si>
  <si>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</si>
  <si>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</si>
  <si>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</si>
  <si>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</si>
  <si>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BANIAJURI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</si>
  <si>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</si>
  <si>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</si>
  <si>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CHARIGRAM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</si>
  <si>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</si>
  <si>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</si>
  <si>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</si>
  <si>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</si>
  <si>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</si>
  <si>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GHIOR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</si>
  <si>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</si>
  <si>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</si>
  <si>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HARGAJ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</si>
  <si>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</si>
  <si>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</si>
  <si>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HARIRAMPUR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</si>
  <si>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</si>
  <si>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</si>
  <si>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JAGIR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</si>
  <si>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</si>
  <si>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</si>
  <si>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JHITKA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</si>
  <si>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</si>
  <si>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</si>
  <si>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JOYMONTAP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</si>
  <si>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</si>
  <si>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</si>
  <si>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</si>
  <si>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</si>
  <si>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</si>
  <si>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</si>
  <si>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</si>
  <si>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</si>
  <si>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SATURIA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</si>
  <si>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</si>
  <si>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</si>
  <si>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SHIBALAYA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</si>
  <si>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</si>
  <si>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</si>
  <si>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</si>
  <si>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</si>
  <si>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</si>
  <si>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BARADI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</si>
  <si>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</si>
  <si>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</si>
  <si>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DARIAPUR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</si>
  <si>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</si>
  <si>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</si>
  <si>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GANGNI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</si>
  <si>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</si>
  <si>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</si>
  <si>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KATHULI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</si>
  <si>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</si>
  <si>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</si>
  <si>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</si>
  <si>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</si>
  <si>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</si>
  <si>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MUJIB NAGAR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</si>
  <si>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</si>
  <si>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</si>
  <si>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UZALPUR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</si>
  <si>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</si>
  <si>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</si>
  <si>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</si>
  <si>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</si>
  <si>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</si>
  <si>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BARAMCHAL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</si>
  <si>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</si>
  <si>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</si>
  <si>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DIGHIRPAR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</si>
  <si>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</si>
  <si>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</si>
  <si>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</si>
  <si>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</si>
  <si>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</si>
  <si>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KAGABALA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</si>
  <si>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</si>
  <si>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</si>
  <si>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KAMALGANJ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</si>
  <si>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</si>
  <si>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</si>
  <si>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</si>
  <si>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</si>
  <si>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</si>
  <si>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MANU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</si>
  <si>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</si>
  <si>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</si>
  <si>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MOKAM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</si>
  <si>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</si>
  <si>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</si>
  <si>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</si>
  <si>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</si>
  <si>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</si>
  <si>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</si>
  <si>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</si>
  <si>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</si>
  <si>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SHAHID NAGAR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</si>
  <si>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</si>
  <si>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</si>
  <si>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SHERPUR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</si>
  <si>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</si>
  <si>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</si>
  <si>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</si>
  <si>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</si>
  <si>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</si>
  <si>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VATERA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</si>
  <si>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</si>
  <si>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</si>
  <si>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ALADI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</si>
  <si>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</si>
  <si>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</si>
  <si>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BARAIKHALI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</si>
  <si>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</si>
  <si>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</si>
  <si>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BETKA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</si>
  <si>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</si>
  <si>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</si>
  <si>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BHABER 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</si>
  <si>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</si>
  <si>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</si>
  <si>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CHARKEWAR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</si>
  <si>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</si>
  <si>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</si>
  <si>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GAZARIA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</si>
  <si>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</si>
  <si>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</si>
  <si>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GOLTALI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</si>
  <si>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</si>
  <si>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</si>
  <si>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HASHARA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</si>
  <si>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</si>
  <si>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</si>
  <si>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ISAPURA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</si>
  <si>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</si>
  <si>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</si>
  <si>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LOUHAJONG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</si>
  <si>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</si>
  <si>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</si>
  <si>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MEDINIMANDAL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</si>
  <si>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</si>
  <si>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</si>
  <si>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</si>
  <si>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</si>
  <si>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</si>
  <si>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RARIKHAL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</si>
  <si>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</si>
  <si>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</si>
  <si>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SERAJDIKHAN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</si>
  <si>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</si>
  <si>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</si>
  <si>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SHOLAGHAR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</si>
  <si>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</si>
  <si>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</si>
  <si>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</si>
  <si>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</si>
  <si>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</si>
  <si>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TONGI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</si>
  <si>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</si>
  <si>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</si>
  <si>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AGRIVARSITY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</si>
  <si>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</si>
  <si>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</si>
  <si>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AMBIKAGANJ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</si>
  <si>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</si>
  <si>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</si>
  <si>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DHURAIL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</si>
  <si>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</si>
  <si>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</si>
  <si>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BATAJOR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</si>
  <si>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</si>
  <si>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</si>
  <si>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AUSTADHAR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</si>
  <si>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</si>
  <si>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</si>
  <si>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BAKTA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</si>
  <si>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</si>
  <si>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</si>
  <si>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</si>
  <si>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</si>
  <si>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</si>
  <si>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BIRUNIA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</si>
  <si>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</si>
  <si>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</si>
  <si>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CHAIRBARIA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</si>
  <si>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</si>
  <si>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</si>
  <si>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CHECHUA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</si>
  <si>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</si>
  <si>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</si>
  <si>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DAKATIA CHOURASTA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</si>
  <si>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</si>
  <si>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</si>
  <si>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DAWHAKHOLA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</si>
  <si>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</si>
  <si>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</si>
  <si>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DEOKHOLA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</si>
  <si>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</si>
  <si>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</si>
  <si>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DHALIA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</si>
  <si>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</si>
  <si>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</si>
  <si>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DHANIKHOLA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</si>
  <si>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</si>
  <si>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</si>
  <si>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DOBAWRA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</si>
  <si>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</si>
  <si>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</si>
  <si>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</si>
  <si>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</si>
  <si>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</si>
  <si>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FULPUR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</si>
  <si>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</si>
  <si>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</si>
  <si>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GAFFARGAON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</si>
  <si>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</si>
  <si>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</si>
  <si>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</si>
  <si>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</si>
  <si>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</si>
  <si>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GOYESHPUR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</si>
  <si>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</si>
  <si>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</si>
  <si>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HALUAGHAT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</si>
  <si>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</si>
  <si>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</si>
  <si>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ISHWARGANJ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</si>
  <si>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</si>
  <si>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</si>
  <si>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JAIL ROAD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</si>
  <si>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</si>
  <si>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</si>
  <si>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KANDIPARA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</si>
  <si>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</si>
  <si>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</si>
  <si>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KASHIGANJ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</si>
  <si>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</si>
  <si>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</si>
  <si>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KASHIGANJ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</si>
  <si>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</si>
  <si>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</si>
  <si>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MADHUPUR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</si>
  <si>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</si>
  <si>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</si>
  <si>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MAIZBAG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</si>
  <si>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</si>
  <si>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</si>
  <si>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MAZIYALI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</si>
  <si>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</si>
  <si>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</si>
  <si>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MOAZZEMPUR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</si>
  <si>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</si>
  <si>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</si>
  <si>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</si>
  <si>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</si>
  <si>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</si>
  <si>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</si>
  <si>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</si>
  <si>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</si>
  <si>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NAGLA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</si>
  <si>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</si>
  <si>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</si>
  <si>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NANDAIL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</si>
  <si>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</si>
  <si>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</si>
  <si>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SEED STORE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</si>
  <si>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</si>
  <si>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</si>
  <si>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SHUSHUTI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</si>
  <si>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</si>
  <si>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</si>
  <si>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SOHAGIBAZAR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</si>
  <si>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</si>
  <si>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</si>
  <si>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TARAKANDA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</si>
  <si>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</si>
  <si>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</si>
  <si>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</si>
  <si>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</si>
  <si>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</si>
  <si>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HABOKHALI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</si>
  <si>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</si>
  <si>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</si>
  <si>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</si>
  <si>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</si>
  <si>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</si>
  <si>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LAHORIA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</si>
  <si>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</si>
  <si>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</si>
  <si>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LOHAGARA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</si>
  <si>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</si>
  <si>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</si>
  <si>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NARAGATI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</si>
  <si>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</si>
  <si>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</si>
  <si>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</si>
  <si>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</si>
  <si>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</si>
  <si>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SHEIK HATI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</si>
  <si>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</si>
  <si>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</si>
  <si>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ARAIHAZAR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</si>
  <si>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</si>
  <si>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</si>
  <si>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POURO MARKET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</si>
  <si>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</si>
  <si>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</si>
  <si>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BANDAR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</si>
  <si>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</si>
  <si>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</si>
  <si>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</si>
  <si>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</si>
  <si>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</si>
  <si>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GOLAKANDAIL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</si>
  <si>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</si>
  <si>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</si>
  <si>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HOSSAINPUR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</si>
  <si>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</si>
  <si>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</si>
  <si>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ISAPURA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</si>
  <si>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</si>
  <si>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</si>
  <si>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JHANGALIA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</si>
  <si>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</si>
  <si>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</si>
  <si>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MADANPUR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</si>
  <si>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</si>
  <si>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</si>
  <si>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MOHAJAMPUR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</si>
  <si>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</si>
  <si>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</si>
  <si>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</si>
  <si>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</si>
  <si>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</si>
  <si>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RUPGANJ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</si>
  <si>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</si>
  <si>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</si>
  <si>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</si>
  <si>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</si>
  <si>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</si>
  <si>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SIDDIRGANJ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</si>
  <si>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</si>
  <si>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</si>
  <si>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</si>
  <si>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</si>
  <si>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</si>
  <si>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CHORONGORDI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</si>
  <si>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</si>
  <si>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</si>
  <si>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ALGEE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</si>
  <si>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</si>
  <si>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</si>
  <si>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SHAHEPROTAP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</si>
  <si>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</si>
  <si>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</si>
  <si>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BABURHAT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</si>
  <si>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</si>
  <si>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</si>
  <si>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PAIKAN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</si>
  <si>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</si>
  <si>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</si>
  <si>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BANNAR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</si>
  <si>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</si>
  <si>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</si>
  <si>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BARAICHA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</si>
  <si>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</si>
  <si>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</si>
  <si>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BELABO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</si>
  <si>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</si>
  <si>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</si>
  <si>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CHARSUBUDDI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</si>
  <si>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</si>
  <si>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</si>
  <si>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</si>
  <si>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</si>
  <si>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</si>
  <si>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HATIRDIA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</si>
  <si>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</si>
  <si>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</si>
  <si>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LAKHPUR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</si>
  <si>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</si>
  <si>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</si>
  <si>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</si>
  <si>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</si>
  <si>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</si>
  <si>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MORJAL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</si>
  <si>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</si>
  <si>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</si>
  <si>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MUNSEFER CHAR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</si>
  <si>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</si>
  <si>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</si>
  <si>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</si>
  <si>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</si>
  <si>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</si>
  <si>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PALASH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</si>
  <si>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</si>
  <si>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</si>
  <si>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PORADIA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</si>
  <si>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</si>
  <si>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</si>
  <si>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RAIPURA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</si>
  <si>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</si>
  <si>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</si>
  <si>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SHEKER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</si>
  <si>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</si>
  <si>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</si>
  <si>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</si>
  <si>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</si>
  <si>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</si>
  <si>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ATPARA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</si>
  <si>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</si>
  <si>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</si>
  <si>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CHESRAKHALI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</si>
  <si>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</si>
  <si>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</si>
  <si>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BARAHATTA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</si>
  <si>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</si>
  <si>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</si>
  <si>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CHALLHISHA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</si>
  <si>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</si>
  <si>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</si>
  <si>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DUOZ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</si>
  <si>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</si>
  <si>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</si>
  <si>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</si>
  <si>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</si>
  <si>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</si>
  <si>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HIRANPUR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</si>
  <si>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</si>
  <si>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</si>
  <si>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JATRABARI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</si>
  <si>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</si>
  <si>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</si>
  <si>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KADAMSRI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</si>
  <si>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</si>
  <si>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</si>
  <si>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KALMAKANDA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</si>
  <si>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</si>
  <si>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</si>
  <si>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KENDUA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</si>
  <si>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</si>
  <si>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</si>
  <si>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KHALIAJURI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</si>
  <si>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</si>
  <si>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</si>
  <si>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KHALISHAUR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</si>
  <si>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</si>
  <si>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</si>
  <si>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KURPAR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</si>
  <si>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</si>
  <si>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</si>
  <si>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MADAN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</si>
  <si>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</si>
  <si>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</si>
  <si>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MAHANGANJ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</si>
  <si>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</si>
  <si>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</si>
  <si>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NAZIRPUR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</si>
  <si>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</si>
  <si>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</si>
  <si>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</si>
  <si>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</si>
  <si>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</si>
  <si>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PURBADHALA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</si>
  <si>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</si>
  <si>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</si>
  <si>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SHAHITPUR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</si>
  <si>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</si>
  <si>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</si>
  <si>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SHYAMGANJ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</si>
  <si>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</si>
  <si>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</si>
  <si>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TATIRKONA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</si>
  <si>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</si>
  <si>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</si>
  <si>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ABIRPARA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</si>
  <si>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</si>
  <si>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</si>
  <si>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KORMULLAH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</si>
  <si>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</si>
  <si>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</si>
  <si>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YASIN HAZIRHAT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</si>
  <si>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</si>
  <si>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</si>
  <si>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</si>
  <si>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</si>
  <si>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</si>
  <si>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BATTOLY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</si>
  <si>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</si>
  <si>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</si>
  <si>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FHAKIRA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</si>
  <si>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</si>
  <si>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</si>
  <si>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CHARISHWER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</si>
  <si>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</si>
  <si>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</si>
  <si>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</si>
  <si>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</si>
  <si>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</si>
  <si>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</si>
  <si>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</si>
  <si>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</si>
  <si>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DEOTI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</si>
  <si>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</si>
  <si>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</si>
  <si>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HAZARIHAT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</si>
  <si>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</si>
  <si>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</si>
  <si>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JAHAJMARA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</si>
  <si>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</si>
  <si>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</si>
  <si>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KABIRHAT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</si>
  <si>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</si>
  <si>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</si>
  <si>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KADIRPUR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</si>
  <si>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</si>
  <si>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</si>
  <si>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KOTOBER 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</si>
  <si>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</si>
  <si>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</si>
  <si>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</si>
  <si>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</si>
  <si>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</si>
  <si>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MIARHAT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</si>
  <si>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</si>
  <si>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</si>
  <si>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NEAZPUR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</si>
  <si>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</si>
  <si>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</si>
  <si>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RAM NARAYANPUR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</si>
  <si>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</si>
  <si>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</si>
  <si>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KHASHERHAT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</si>
  <si>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</si>
  <si>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</si>
  <si>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SENBAG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</si>
  <si>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</si>
  <si>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</si>
  <si>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SHAHEBALIR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</si>
  <si>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</si>
  <si>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</si>
  <si>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SONAPUR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</si>
  <si>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</si>
  <si>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</si>
  <si>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AULIAPUR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</si>
  <si>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</si>
  <si>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</si>
  <si>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AMKHOLA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</si>
  <si>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</si>
  <si>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</si>
  <si>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LAMNA BORO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</si>
  <si>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</si>
  <si>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</si>
  <si>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BAHERCHAR BANDAR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</si>
  <si>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</si>
  <si>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</si>
  <si>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BAUPHAL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</si>
  <si>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</si>
  <si>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</si>
  <si>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CHANDPURA BANDAR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</si>
  <si>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</si>
  <si>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</si>
  <si>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 KAJAL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</si>
  <si>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</si>
  <si>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</si>
  <si>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CHIKNIKANDI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</si>
  <si>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</si>
  <si>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</si>
  <si>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CHOTOBIGHAI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</si>
  <si>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</si>
  <si>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</si>
  <si>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DASHMINA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</si>
  <si>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</si>
  <si>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</si>
  <si>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DUMKI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</si>
  <si>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</si>
  <si>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</si>
  <si>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GABUA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</si>
  <si>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</si>
  <si>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</si>
  <si>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</si>
  <si>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</si>
  <si>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</si>
  <si>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</si>
  <si>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</si>
  <si>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</si>
  <si>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KALAYIA BANDAR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</si>
  <si>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</si>
  <si>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</si>
  <si>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KARKHANA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</si>
  <si>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</si>
  <si>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</si>
  <si>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</si>
  <si>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</si>
  <si>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</si>
  <si>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KOAKATA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</si>
  <si>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</si>
  <si>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</si>
  <si>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MOHIPUR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</si>
  <si>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</si>
  <si>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</si>
  <si>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MURADIA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</si>
  <si>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</si>
  <si>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</si>
  <si>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NAGARERHAT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</si>
  <si>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</si>
  <si>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</si>
  <si>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PANPATTY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</si>
  <si>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</si>
  <si>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</si>
  <si>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</si>
  <si>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</si>
  <si>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</si>
  <si>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PUKUR JANA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</si>
  <si>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</si>
  <si>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</si>
  <si>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SUBIDKHALI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</si>
  <si>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</si>
  <si>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</si>
  <si>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BAITAKATA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</si>
  <si>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</si>
  <si>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</si>
  <si>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BALDIA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</si>
  <si>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</si>
  <si>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</si>
  <si>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BARA MASUYA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</si>
  <si>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</si>
  <si>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</si>
  <si>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</si>
  <si>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</si>
  <si>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</si>
  <si>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CHANDIPUR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</si>
  <si>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</si>
  <si>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</si>
  <si>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CHILTOLA BAZAR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</si>
  <si>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</si>
  <si>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</si>
  <si>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DHANISAFA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</si>
  <si>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</si>
  <si>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</si>
  <si>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</si>
  <si>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</si>
  <si>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</si>
  <si>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EKRI BAZAR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</si>
  <si>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</si>
  <si>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</si>
  <si>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GULISHAKHALI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</si>
  <si>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</si>
  <si>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</si>
  <si>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</si>
  <si>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</si>
  <si>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</si>
  <si>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KAWKHALI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</si>
  <si>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</si>
  <si>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</si>
  <si>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KOWRIKHARA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</si>
  <si>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</si>
  <si>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</si>
  <si>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KURIANA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</si>
  <si>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</si>
  <si>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</si>
  <si>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</si>
  <si>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</si>
  <si>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</si>
  <si>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MATIBHANGA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</si>
  <si>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</si>
  <si>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</si>
  <si>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MULGRAMHAT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</si>
  <si>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</si>
  <si>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</si>
  <si>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NAZIRPUR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</si>
  <si>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</si>
  <si>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</si>
  <si>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</si>
  <si>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</si>
  <si>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</si>
  <si>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SHANKAR PASHA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</si>
  <si>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</si>
  <si>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</si>
  <si>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SHAPLEZA BAZAR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</si>
  <si>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</si>
  <si>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</si>
  <si>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SWARUPKATI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</si>
  <si>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</si>
  <si>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</si>
  <si>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TELIKHALI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</si>
  <si>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</si>
  <si>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</si>
  <si>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ZIA NAGAR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</si>
  <si>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</si>
  <si>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</si>
  <si>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BAGDULI HAT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</si>
  <si>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</si>
  <si>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</si>
  <si>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BAHADURPUR 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</si>
  <si>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</si>
  <si>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</si>
  <si>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BALIAKANDI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</si>
  <si>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</si>
  <si>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</si>
  <si>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GOALANDA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</si>
  <si>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</si>
  <si>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</si>
  <si>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HABASHPUR 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</si>
  <si>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</si>
  <si>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</si>
  <si>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MRIGIBAZAR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</si>
  <si>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</si>
  <si>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</si>
  <si>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MULGHAR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</si>
  <si>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</si>
  <si>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</si>
  <si>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PANCHURIA 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</si>
  <si>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</si>
  <si>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</si>
  <si>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</si>
  <si>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</si>
  <si>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</si>
  <si>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</si>
  <si>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</si>
  <si>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</si>
  <si>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RATANDIA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</si>
  <si>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</si>
  <si>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</si>
  <si>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SONAPUR 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</si>
  <si>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</si>
  <si>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</si>
  <si>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</si>
  <si>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</si>
  <si>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</si>
  <si>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BAGHAICHARI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</si>
  <si>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</si>
  <si>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</si>
  <si>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BARKAL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</si>
  <si>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</si>
  <si>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</si>
  <si>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BELAICHARI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</si>
  <si>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</si>
  <si>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</si>
  <si>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JURACHARI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</si>
  <si>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</si>
  <si>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</si>
  <si>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KAPTAI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</si>
  <si>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</si>
  <si>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</si>
  <si>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KAWKHALI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</si>
  <si>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</si>
  <si>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</si>
  <si>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LANGADU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</si>
  <si>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</si>
  <si>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</si>
  <si>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NANIAR CHAR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</si>
  <si>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</si>
  <si>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</si>
  <si>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RAIKHALI BAZAR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</si>
  <si>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</si>
  <si>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</si>
  <si>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RAJOSTHALI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</si>
  <si>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</si>
  <si>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</si>
  <si>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</si>
  <si>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</si>
  <si>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</si>
  <si>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BURIRHAT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</si>
  <si>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</si>
  <si>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</si>
  <si>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BHEDERGANJ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</si>
  <si>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</si>
  <si>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</si>
  <si>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CHIKANDI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</si>
  <si>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</si>
  <si>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</si>
  <si>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</si>
  <si>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</si>
  <si>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</si>
  <si>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D. M. KHALI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</si>
  <si>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</si>
  <si>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</si>
  <si>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DOGRI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</si>
  <si>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</si>
  <si>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</si>
  <si>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GHARIER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</si>
  <si>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</si>
  <si>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</si>
  <si>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GHARISHAR HAT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</si>
  <si>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</si>
  <si>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</si>
  <si>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HATURIA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</si>
  <si>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</si>
  <si>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</si>
  <si>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KARTIKPUR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</si>
  <si>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</si>
  <si>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</si>
  <si>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KODALPUR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</si>
  <si>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</si>
  <si>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</si>
  <si>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KONESWAR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</si>
  <si>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</si>
  <si>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</si>
  <si>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LAWKHOLA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</si>
  <si>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</si>
  <si>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</si>
  <si>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NAGER PARA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</si>
  <si>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</si>
  <si>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</si>
  <si>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</si>
  <si>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</si>
  <si>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</si>
  <si>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SHAKHIPUR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</si>
  <si>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</si>
  <si>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</si>
  <si>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</si>
  <si>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</si>
  <si>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</si>
  <si>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ZAJIRA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</si>
  <si>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</si>
  <si>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</si>
  <si>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ASASUNI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</si>
  <si>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</si>
  <si>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</si>
  <si>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BALIADANGA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</si>
  <si>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</si>
  <si>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</si>
  <si>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BHOMRA STHAL BANDAR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</si>
  <si>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</si>
  <si>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</si>
  <si>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DEBHATA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</si>
  <si>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</si>
  <si>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</si>
  <si>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DULIHAR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</si>
  <si>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</si>
  <si>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</si>
  <si>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GHONA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</si>
  <si>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</si>
  <si>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</si>
  <si>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GUNAKARKATI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</si>
  <si>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</si>
  <si>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</si>
  <si>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KALAROA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</si>
  <si>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</si>
  <si>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</si>
  <si>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</si>
  <si>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</si>
  <si>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</si>
  <si>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KHORDO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</si>
  <si>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</si>
  <si>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</si>
  <si>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KRISNA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</si>
  <si>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</si>
  <si>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</si>
  <si>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RAWIE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</si>
  <si>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</si>
  <si>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</si>
  <si>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</si>
  <si>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</si>
  <si>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</si>
  <si>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</si>
  <si>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</si>
  <si>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</si>
  <si>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</si>
  <si>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</si>
  <si>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</si>
  <si>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SONABARIA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</si>
  <si>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</si>
  <si>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</si>
  <si>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TALA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</si>
  <si>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</si>
  <si>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</si>
  <si>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BAJITKHILA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</si>
  <si>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</si>
  <si>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</si>
  <si>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BHAYADANGA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</si>
  <si>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</si>
  <si>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</si>
  <si>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GAZIR KHAMAR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</si>
  <si>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</si>
  <si>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</si>
  <si>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JHENAIGATI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</si>
  <si>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</si>
  <si>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</si>
  <si>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KAKARKANDI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</si>
  <si>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</si>
  <si>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</si>
  <si>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KURUA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</si>
  <si>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</si>
  <si>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</si>
  <si>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KUSHUMHATI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</si>
  <si>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</si>
  <si>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</si>
  <si>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NAKLA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</si>
  <si>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</si>
  <si>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</si>
  <si>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NALITABARI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</si>
  <si>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</si>
  <si>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</si>
  <si>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NALZORA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</si>
  <si>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</si>
  <si>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</si>
  <si>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NAYABIL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</si>
  <si>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</si>
  <si>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</si>
  <si>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PATHAKALA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</si>
  <si>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</si>
  <si>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</si>
  <si>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</si>
  <si>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</si>
  <si>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</si>
  <si>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SREEBORDI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</si>
  <si>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</si>
  <si>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</si>
  <si>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BOALIA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</si>
  <si>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</si>
  <si>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</si>
  <si>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BADAGHAT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</si>
  <si>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</si>
  <si>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</si>
  <si>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DAWRAI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</si>
  <si>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</si>
  <si>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</si>
  <si>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RAFINAGAR UNION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</si>
  <si>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</si>
  <si>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</si>
  <si>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</si>
  <si>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</si>
  <si>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</si>
  <si>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BISHWAMVARPUR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</si>
  <si>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</si>
  <si>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</si>
  <si>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</si>
  <si>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</si>
  <si>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</si>
  <si>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DERAI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</si>
  <si>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</si>
  <si>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</si>
  <si>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DHARAMPASSA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</si>
  <si>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</si>
  <si>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</si>
  <si>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DOWARA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</si>
  <si>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</si>
  <si>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</si>
  <si>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DUNGRIA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</si>
  <si>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</si>
  <si>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</si>
  <si>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</si>
  <si>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</si>
  <si>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</si>
  <si>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GOLAKPUR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</si>
  <si>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</si>
  <si>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</si>
  <si>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</si>
  <si>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</si>
  <si>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</si>
  <si>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JAOWA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</si>
  <si>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</si>
  <si>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</si>
  <si>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JOYNAGAR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</si>
  <si>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</si>
  <si>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</si>
  <si>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KOLKOLIA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</si>
  <si>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</si>
  <si>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</si>
  <si>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MADHYA NAGAR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</si>
  <si>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</si>
  <si>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</si>
  <si>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MINA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</si>
  <si>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</si>
  <si>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</si>
  <si>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MONGALKATA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</si>
  <si>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</si>
  <si>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</si>
  <si>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MOINPUR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</si>
  <si>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</si>
  <si>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</si>
  <si>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PATHARIA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</si>
  <si>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</si>
  <si>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</si>
  <si>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RAJANIGANJ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</si>
  <si>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</si>
  <si>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</si>
  <si>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RANIGANJ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</si>
  <si>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</si>
  <si>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</si>
  <si>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SACHNA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</si>
  <si>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</si>
  <si>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</si>
  <si>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SALLA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</si>
  <si>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</si>
  <si>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</si>
  <si>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SHYAMAR CHAR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</si>
  <si>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</si>
  <si>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</si>
  <si>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</si>
  <si>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</si>
  <si>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</si>
  <si>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TAHIRPUR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</si>
  <si>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</si>
  <si>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</si>
  <si>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</si>
  <si>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</si>
  <si>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</si>
  <si>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BALAGANJ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</si>
  <si>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</si>
  <si>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</si>
  <si>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BANDAR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</si>
  <si>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</si>
  <si>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</si>
  <si>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</si>
  <si>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</si>
  <si>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</si>
  <si>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BHABANIGANJ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</si>
  <si>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</si>
  <si>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</si>
  <si>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</si>
  <si>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</si>
  <si>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</si>
  <si>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CHARKHAI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</si>
  <si>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</si>
  <si>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</si>
  <si>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CHOTULBAZAR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</si>
  <si>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</si>
  <si>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</si>
  <si>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</si>
  <si>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</si>
  <si>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</si>
  <si>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DARPANAGAR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</si>
  <si>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</si>
  <si>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</si>
  <si>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DEWAN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</si>
  <si>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</si>
  <si>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</si>
  <si>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DOYAR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</si>
  <si>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</si>
  <si>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</si>
  <si>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DUBAG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</si>
  <si>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</si>
  <si>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</si>
  <si>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</si>
  <si>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</si>
  <si>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</si>
  <si>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</si>
  <si>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</si>
  <si>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</si>
  <si>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GOWAINGHAT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</si>
  <si>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</si>
  <si>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</si>
  <si>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HADARPAR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</si>
  <si>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</si>
  <si>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</si>
  <si>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JAINTAPUR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</si>
  <si>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</si>
  <si>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</si>
  <si>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</si>
  <si>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</si>
  <si>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</si>
  <si>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KHAJANCHIGAON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</si>
  <si>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</si>
  <si>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</si>
  <si>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MOGLA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</si>
  <si>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</si>
  <si>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</si>
  <si>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RATANGANJ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</si>
  <si>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</si>
  <si>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</si>
  <si>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SALUTIKAR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</si>
  <si>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</si>
  <si>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</si>
  <si>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SHIBER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</si>
  <si>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</si>
  <si>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</si>
  <si>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</si>
  <si>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</si>
  <si>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</si>
  <si>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TAJPUR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</si>
  <si>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</si>
  <si>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</si>
  <si>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ZAKIGANJ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</si>
  <si>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</si>
  <si>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</si>
  <si>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MOGRA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</si>
  <si>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</si>
  <si>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</si>
  <si>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SHOLAKURI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</si>
  <si>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</si>
  <si>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</si>
  <si>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BATHULI SADI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</si>
  <si>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</si>
  <si>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</si>
  <si>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ALOKDIA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</si>
  <si>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</si>
  <si>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</si>
  <si>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TOKTARCHALA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</si>
  <si>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</si>
  <si>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</si>
  <si>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SINGURIA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</si>
  <si>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</si>
  <si>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</si>
  <si>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AWLIABAD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</si>
  <si>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</si>
  <si>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</si>
  <si>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BALLA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</si>
  <si>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</si>
  <si>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</si>
  <si>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BANGRA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</si>
  <si>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</si>
  <si>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</si>
  <si>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BASAIL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</si>
  <si>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</si>
  <si>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</si>
  <si>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BHABKHANDA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</si>
  <si>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</si>
  <si>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</si>
  <si>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BHADRA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</si>
  <si>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</si>
  <si>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</si>
  <si>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BHUANPUR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</si>
  <si>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</si>
  <si>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</si>
  <si>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CHARPARA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</si>
  <si>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</si>
  <si>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</si>
  <si>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DELDUAR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</si>
  <si>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</si>
  <si>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</si>
  <si>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DHAN BARI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</si>
  <si>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</si>
  <si>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</si>
  <si>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ELENGA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</si>
  <si>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</si>
  <si>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</si>
  <si>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GHATAIL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</si>
  <si>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</si>
  <si>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</si>
  <si>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</si>
  <si>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</si>
  <si>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</si>
  <si>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GOYHATTA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</si>
  <si>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</si>
  <si>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</si>
  <si>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HATUBHANGA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</si>
  <si>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</si>
  <si>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</si>
  <si>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JHAWAIL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</si>
  <si>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</si>
  <si>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</si>
  <si>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KACHUABAZAR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</si>
  <si>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</si>
  <si>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</si>
  <si>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KAKRAID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</si>
  <si>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</si>
  <si>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</si>
  <si>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KALIHATI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</si>
  <si>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</si>
  <si>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</si>
  <si>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KARATIA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</si>
  <si>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</si>
  <si>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</si>
  <si>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MADHUPUR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</si>
  <si>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</si>
  <si>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</si>
  <si>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</si>
  <si>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</si>
  <si>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</si>
  <si>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NAGARPUR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</si>
  <si>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</si>
  <si>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</si>
  <si>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NALUA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</si>
  <si>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</si>
  <si>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</si>
  <si>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PORABARI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</si>
  <si>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</si>
  <si>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</si>
  <si>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SAHABATPUR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</si>
  <si>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</si>
  <si>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</si>
  <si>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SAJANPUR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</si>
  <si>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</si>
  <si>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</si>
  <si>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</si>
  <si>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</si>
  <si>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</si>
  <si>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SIMLA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</si>
  <si>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</si>
  <si>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KRISHI BANK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</si>
  <si>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</si>
  <si>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</si>
  <si>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SAMABAYA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</si>
  <si>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</si>
  <si>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</si>
  <si>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SAMABAYA BANK LTD.</t>
    </r>
  </si>
  <si>
    <r>
      <rPr>
        <rFont val="Arial MT"/>
        <color theme="1"/>
        <sz val="5.0"/>
      </rPr>
      <t>DHAKA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</si>
  <si>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</si>
  <si>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</si>
  <si>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</si>
  <si>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</si>
  <si>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</si>
  <si>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</si>
  <si>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</si>
  <si>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</si>
  <si>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MOKAMTALA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</si>
  <si>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</si>
  <si>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</si>
  <si>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</si>
  <si>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</si>
  <si>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</si>
  <si>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</si>
  <si>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</si>
  <si>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</si>
  <si>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</si>
  <si>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</si>
  <si>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</si>
  <si>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</si>
  <si>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</si>
  <si>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</si>
  <si>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</si>
  <si>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</si>
  <si>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</si>
  <si>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</si>
  <si>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</si>
  <si>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</si>
  <si>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</si>
  <si>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</si>
  <si>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</si>
  <si>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</si>
  <si>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</si>
  <si>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</si>
  <si>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</si>
  <si>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</si>
  <si>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</si>
  <si>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</si>
  <si>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</si>
  <si>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</si>
  <si>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</si>
  <si>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</si>
  <si>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</si>
  <si>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</si>
  <si>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</si>
  <si>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</si>
  <si>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</si>
  <si>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</si>
  <si>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</si>
  <si>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</si>
  <si>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</si>
  <si>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</si>
  <si>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</si>
  <si>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</si>
  <si>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</si>
  <si>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</si>
  <si>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</si>
  <si>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</si>
  <si>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</si>
  <si>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</si>
  <si>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</si>
  <si>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JAINA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</si>
  <si>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</si>
  <si>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</si>
  <si>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</si>
  <si>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</si>
  <si>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</si>
  <si>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</si>
  <si>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</si>
  <si>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</si>
  <si>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</si>
  <si>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</si>
  <si>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</si>
  <si>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</si>
  <si>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</si>
  <si>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</si>
  <si>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HOSSAINPUR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</si>
  <si>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</si>
  <si>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</si>
  <si>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</si>
  <si>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</si>
  <si>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</si>
  <si>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SATURIA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</si>
  <si>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</si>
  <si>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</si>
  <si>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</si>
  <si>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</si>
  <si>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</si>
  <si>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</si>
  <si>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</si>
  <si>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</si>
  <si>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</si>
  <si>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</si>
  <si>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</si>
  <si>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</si>
  <si>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</si>
  <si>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</si>
  <si>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KANCHPUR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</si>
  <si>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</si>
  <si>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</si>
  <si>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</si>
  <si>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</si>
  <si>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</si>
  <si>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</si>
  <si>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</si>
  <si>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</si>
  <si>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</si>
  <si>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</si>
  <si>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</si>
  <si>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</si>
  <si>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</si>
  <si>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</si>
  <si>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</si>
  <si>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</si>
  <si>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</si>
  <si>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</si>
  <si>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</si>
  <si>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</si>
  <si>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</si>
  <si>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</si>
  <si>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</si>
  <si>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OSMANI NAGAR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</si>
  <si>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</si>
  <si>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</si>
  <si>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</si>
  <si>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</si>
  <si>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BANGLADESH DEVELOPMENT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</si>
  <si>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</si>
  <si>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</si>
  <si>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</si>
  <si>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CHITALMARI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</si>
  <si>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</si>
  <si>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</si>
  <si>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</si>
  <si>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</si>
  <si>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</si>
  <si>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</si>
  <si>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</si>
  <si>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</si>
  <si>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</si>
  <si>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</si>
  <si>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</si>
  <si>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</si>
  <si>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</si>
  <si>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</si>
  <si>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</si>
  <si>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</si>
  <si>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</si>
  <si>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</si>
  <si>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</si>
  <si>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</si>
  <si>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ASAD 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</si>
  <si>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</si>
  <si>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</si>
  <si>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</si>
  <si>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</si>
  <si>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</si>
  <si>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</si>
  <si>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</si>
  <si>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</si>
  <si>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</si>
  <si>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</si>
  <si>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</si>
  <si>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JORARGANJ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</si>
  <si>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</si>
  <si>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</si>
  <si>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</si>
  <si>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</si>
  <si>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</si>
  <si>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</si>
  <si>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</si>
  <si>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</si>
  <si>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</si>
  <si>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</si>
  <si>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</si>
  <si>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</si>
  <si>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</si>
  <si>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</si>
  <si>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SHOLA SAHAR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</si>
  <si>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</si>
  <si>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</si>
  <si>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</si>
  <si>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</si>
  <si>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</si>
  <si>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</si>
  <si>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</si>
  <si>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</si>
  <si>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</si>
  <si>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</si>
  <si>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</si>
  <si>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</si>
  <si>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</si>
  <si>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</si>
  <si>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</si>
  <si>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</si>
  <si>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</si>
  <si>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</si>
  <si>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</si>
  <si>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</si>
  <si>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</si>
  <si>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</si>
  <si>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</si>
  <si>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</si>
  <si>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</si>
  <si>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</si>
  <si>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</si>
  <si>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</si>
  <si>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</si>
  <si>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</si>
  <si>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</si>
  <si>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</si>
  <si>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</si>
  <si>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</si>
  <si>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</si>
  <si>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</si>
  <si>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</si>
  <si>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</si>
  <si>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</si>
  <si>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</si>
  <si>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</si>
  <si>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</si>
  <si>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</si>
  <si>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</si>
  <si>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</si>
  <si>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</si>
  <si>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</si>
  <si>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DHAKA(MAIN)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</si>
  <si>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</si>
  <si>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</si>
  <si>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</si>
  <si>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</si>
  <si>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</si>
  <si>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</si>
  <si>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</si>
  <si>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</si>
  <si>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</si>
  <si>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</si>
  <si>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</si>
  <si>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</si>
  <si>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</si>
  <si>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</si>
  <si>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</si>
  <si>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</si>
  <si>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</si>
  <si>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</si>
  <si>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</si>
  <si>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</si>
  <si>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</si>
  <si>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</si>
  <si>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</si>
  <si>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</si>
  <si>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</si>
  <si>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</si>
  <si>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</si>
  <si>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</si>
  <si>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</si>
  <si>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</si>
  <si>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</si>
  <si>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</si>
  <si>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KOTALIPARA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</si>
  <si>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</si>
  <si>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</si>
  <si>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</si>
  <si>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</si>
  <si>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</si>
  <si>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MIRPUR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</si>
  <si>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</si>
  <si>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</si>
  <si>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</si>
  <si>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</si>
  <si>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</si>
  <si>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JHIKORGHACHA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</si>
  <si>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</si>
  <si>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</si>
  <si>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</si>
  <si>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</si>
  <si>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</si>
  <si>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KDA AVENUE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</si>
  <si>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</si>
  <si>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</si>
  <si>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</si>
  <si>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</si>
  <si>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</si>
  <si>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</si>
  <si>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</si>
  <si>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</si>
  <si>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CHOUMUHANA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</si>
  <si>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</si>
  <si>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</si>
  <si>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ISHWARGANJ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</si>
  <si>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</si>
  <si>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</si>
  <si>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</si>
  <si>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</si>
  <si>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</si>
  <si>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TANBAZAR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</si>
  <si>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</si>
  <si>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</si>
  <si>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MADHABDI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</si>
  <si>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</si>
  <si>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</si>
  <si>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</si>
  <si>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</si>
  <si>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</si>
  <si>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</si>
  <si>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</si>
  <si>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</si>
  <si>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</si>
  <si>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</si>
  <si>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</si>
  <si>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</si>
  <si>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</si>
  <si>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</si>
  <si>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MOHIPUR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</si>
  <si>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</si>
  <si>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</si>
  <si>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</si>
  <si>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</si>
  <si>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</si>
  <si>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</si>
  <si>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</si>
  <si>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</si>
  <si>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</si>
  <si>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</si>
  <si>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</si>
  <si>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</si>
  <si>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</si>
  <si>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</si>
  <si>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</si>
  <si>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</si>
  <si>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</si>
  <si>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SONARPARA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</si>
  <si>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</si>
  <si>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</si>
  <si>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</si>
  <si>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</si>
  <si>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BASIC BANK LTD.</t>
    </r>
  </si>
  <si>
    <r>
      <rPr>
        <rFont val="Arial MT"/>
        <color theme="1"/>
        <sz val="5.0"/>
      </rPr>
      <t>ELENGA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</si>
  <si>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</si>
  <si>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</si>
  <si>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BAGERHAT SME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</si>
  <si>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</si>
  <si>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</si>
  <si>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</si>
  <si>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</si>
  <si>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</si>
  <si>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</si>
  <si>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</si>
  <si>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</si>
  <si>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CHARMATHA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</si>
  <si>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</si>
  <si>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</si>
  <si>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</si>
  <si>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</si>
  <si>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</si>
  <si>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</si>
  <si>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</si>
  <si>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</si>
  <si>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</si>
  <si>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</si>
  <si>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</si>
  <si>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</si>
  <si>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</si>
  <si>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</si>
  <si>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</si>
  <si>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</si>
  <si>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</si>
  <si>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</si>
  <si>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</si>
  <si>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</si>
  <si>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</si>
  <si>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</si>
  <si>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</si>
  <si>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ASAD 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</si>
  <si>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</si>
  <si>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</si>
  <si>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BAHADDAR 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</si>
  <si>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</si>
  <si>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</si>
  <si>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</si>
  <si>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</si>
  <si>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</si>
  <si>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</si>
  <si>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</si>
  <si>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</si>
  <si>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</si>
  <si>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</si>
  <si>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</si>
  <si>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</si>
  <si>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</si>
  <si>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</si>
  <si>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HATHAZARI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</si>
  <si>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</si>
  <si>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</si>
  <si>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KADAMTOLI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</si>
  <si>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</si>
  <si>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</si>
  <si>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KAZIR DEWRI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</si>
  <si>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</si>
  <si>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</si>
  <si>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LOHAGARA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</si>
  <si>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</si>
  <si>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</si>
  <si>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</si>
  <si>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</si>
  <si>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</si>
  <si>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MOMIN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</si>
  <si>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</si>
  <si>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</si>
  <si>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</si>
  <si>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</si>
  <si>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</si>
  <si>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</si>
  <si>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</si>
  <si>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</si>
  <si>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CHITTAGONG NEW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</si>
  <si>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</si>
  <si>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</si>
  <si>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PAHARTALI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</si>
  <si>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</si>
  <si>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</si>
  <si>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</si>
  <si>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</si>
  <si>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</si>
  <si>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RAOZAN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</si>
  <si>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</si>
  <si>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</si>
  <si>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</si>
  <si>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</si>
  <si>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</si>
  <si>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SK. MUJIB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</si>
  <si>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</si>
  <si>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</si>
  <si>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JIBAN NAGAR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</si>
  <si>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</si>
  <si>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</si>
  <si>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</si>
  <si>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</si>
  <si>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</si>
  <si>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</si>
  <si>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</si>
  <si>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</si>
  <si>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</si>
  <si>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</si>
  <si>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</si>
  <si>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</si>
  <si>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</si>
  <si>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</si>
  <si>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COMILLA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</si>
  <si>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</si>
  <si>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</si>
  <si>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GOURIPUR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</si>
  <si>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</si>
  <si>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</si>
  <si>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</si>
  <si>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</si>
  <si>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</si>
  <si>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</si>
  <si>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</si>
  <si>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</si>
  <si>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</si>
  <si>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</si>
  <si>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</si>
  <si>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ASHKONA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</si>
  <si>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</si>
  <si>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</si>
  <si>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</si>
  <si>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</si>
  <si>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</si>
  <si>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BADDA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</si>
  <si>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</si>
  <si>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</si>
  <si>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UTTARA JASHIM UDDIN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</si>
  <si>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</si>
  <si>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</si>
  <si>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</si>
  <si>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</si>
  <si>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</si>
  <si>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</si>
  <si>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</si>
  <si>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</si>
  <si>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</si>
  <si>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</si>
  <si>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</si>
  <si>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BEGUM ROKEYA SAWRANI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</si>
  <si>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</si>
  <si>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</si>
  <si>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BANANI-11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</si>
  <si>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</si>
  <si>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</si>
  <si>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</si>
  <si>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</si>
  <si>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</si>
  <si>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</si>
  <si>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</si>
  <si>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</si>
  <si>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ASAD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</si>
  <si>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</si>
  <si>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</si>
  <si>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</si>
  <si>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</si>
  <si>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</si>
  <si>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</si>
  <si>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</si>
  <si>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</si>
  <si>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ELEPHANT ROAD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</si>
  <si>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</si>
  <si>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</si>
  <si>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ESKATON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</si>
  <si>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</si>
  <si>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</si>
  <si>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</si>
  <si>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</si>
  <si>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</si>
  <si>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GULSHAN NORTH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</si>
  <si>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</si>
  <si>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</si>
  <si>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HAZARIBAGH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</si>
  <si>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</si>
  <si>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</si>
  <si>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MIRPUR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</si>
  <si>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</si>
  <si>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</si>
  <si>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KARWAN BAZAR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</si>
  <si>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</si>
  <si>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</si>
  <si>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</si>
  <si>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</si>
  <si>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</si>
  <si>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</si>
  <si>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</si>
  <si>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</si>
  <si>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MOHAMMADPUR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</si>
  <si>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</si>
  <si>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</si>
  <si>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</si>
  <si>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</si>
  <si>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</si>
  <si>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PANTHA PATH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</si>
  <si>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</si>
  <si>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</si>
  <si>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</si>
  <si>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</si>
  <si>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</si>
  <si>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</si>
  <si>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</si>
  <si>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</si>
  <si>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</si>
  <si>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</si>
  <si>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</si>
  <si>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UTTARA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</si>
  <si>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</si>
  <si>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</si>
  <si>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</si>
  <si>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</si>
  <si>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</si>
  <si>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</si>
  <si>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</si>
  <si>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</si>
  <si>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BASHABOO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</si>
  <si>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</si>
  <si>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</si>
  <si>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BIJOY NAGAR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</si>
  <si>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</si>
  <si>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</si>
  <si>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</si>
  <si>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</si>
  <si>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</si>
  <si>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DEMRA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</si>
  <si>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</si>
  <si>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</si>
  <si>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DHOLAIKHAL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</si>
  <si>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</si>
  <si>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</si>
  <si>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DOHAR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</si>
  <si>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</si>
  <si>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</si>
  <si>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GANAKBARI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</si>
  <si>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</si>
  <si>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</si>
  <si>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GANDARIA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</si>
  <si>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</si>
  <si>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</si>
  <si>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GRAPHICS BUILDING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</si>
  <si>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</si>
  <si>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</si>
  <si>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GULISTAN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</si>
  <si>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</si>
  <si>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</si>
  <si>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</si>
  <si>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</si>
  <si>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</si>
  <si>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</si>
  <si>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</si>
  <si>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</si>
  <si>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</si>
  <si>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</si>
  <si>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</si>
  <si>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JATRABARI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</si>
  <si>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</si>
  <si>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</si>
  <si>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</si>
  <si>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</si>
  <si>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</si>
  <si>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MITFORD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</si>
  <si>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</si>
  <si>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</si>
  <si>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</si>
  <si>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</si>
  <si>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</si>
  <si>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</si>
  <si>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</si>
  <si>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</si>
  <si>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MOTIJHEEL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</si>
  <si>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</si>
  <si>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</si>
  <si>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</si>
  <si>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</si>
  <si>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</si>
  <si>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</si>
  <si>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</si>
  <si>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</si>
  <si>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</si>
  <si>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</si>
  <si>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</si>
  <si>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</si>
  <si>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</si>
  <si>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</si>
  <si>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SHAMBAZAR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</si>
  <si>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</si>
  <si>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</si>
  <si>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SHYAMPUR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</si>
  <si>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</si>
  <si>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</si>
  <si>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</si>
  <si>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</si>
  <si>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</si>
  <si>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</si>
  <si>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</si>
  <si>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</si>
  <si>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</si>
  <si>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</si>
  <si>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</si>
  <si>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</si>
  <si>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</si>
  <si>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</si>
  <si>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</si>
  <si>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</si>
  <si>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</si>
  <si>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</si>
  <si>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</si>
  <si>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</si>
  <si>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</si>
  <si>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</si>
  <si>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</si>
  <si>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</si>
  <si>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</si>
  <si>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</si>
  <si>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</si>
  <si>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</si>
  <si>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</si>
  <si>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</si>
  <si>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</si>
  <si>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</si>
  <si>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</si>
  <si>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</si>
  <si>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</si>
  <si>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KONABARI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</si>
  <si>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</si>
  <si>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</si>
  <si>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</si>
  <si>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</si>
  <si>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</si>
  <si>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</si>
  <si>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</si>
  <si>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</si>
  <si>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</si>
  <si>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</si>
  <si>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</si>
  <si>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BANIACHANG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</si>
  <si>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</si>
  <si>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</si>
  <si>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</si>
  <si>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</si>
  <si>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</si>
  <si>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</si>
  <si>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</si>
  <si>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</si>
  <si>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</si>
  <si>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</si>
  <si>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</si>
  <si>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</si>
  <si>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</si>
  <si>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</si>
  <si>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BENAPOLE SME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</si>
  <si>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</si>
  <si>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</si>
  <si>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</si>
  <si>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</si>
  <si>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</si>
  <si>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</si>
  <si>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</si>
  <si>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</si>
  <si>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JHALOKATHI SME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</si>
  <si>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</si>
  <si>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</si>
  <si>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</si>
  <si>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</si>
  <si>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</si>
  <si>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BORO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</si>
  <si>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</si>
  <si>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</si>
  <si>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</si>
  <si>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</si>
  <si>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</si>
  <si>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</si>
  <si>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</si>
  <si>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</si>
  <si>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BHAIRAB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</si>
  <si>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</si>
  <si>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</si>
  <si>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</si>
  <si>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</si>
  <si>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</si>
  <si>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</si>
  <si>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</si>
  <si>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</si>
  <si>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</si>
  <si>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</si>
  <si>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</si>
  <si>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PORADAH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</si>
  <si>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</si>
  <si>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</si>
  <si>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</si>
  <si>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</si>
  <si>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</si>
  <si>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</si>
  <si>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</si>
  <si>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</si>
  <si>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</si>
  <si>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</si>
  <si>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</si>
  <si>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</si>
  <si>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</si>
  <si>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</si>
  <si>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MAGURA SME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</si>
  <si>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</si>
  <si>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</si>
  <si>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</si>
  <si>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</si>
  <si>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</si>
  <si>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</si>
  <si>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</si>
  <si>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</si>
  <si>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</si>
  <si>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</si>
  <si>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</si>
  <si>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</si>
  <si>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</si>
  <si>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</si>
  <si>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</si>
  <si>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</si>
  <si>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</si>
  <si>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</si>
  <si>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</si>
  <si>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</si>
  <si>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</si>
  <si>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</si>
  <si>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</si>
  <si>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</si>
  <si>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</si>
  <si>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</si>
  <si>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NAOGAON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</si>
  <si>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</si>
  <si>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</si>
  <si>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ARAIHAZAR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</si>
  <si>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</si>
  <si>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</si>
  <si>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BHULTA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</si>
  <si>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</si>
  <si>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</si>
  <si>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</si>
  <si>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</si>
  <si>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</si>
  <si>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SIDDIRGANJ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</si>
  <si>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</si>
  <si>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</si>
  <si>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</si>
  <si>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</si>
  <si>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</si>
  <si>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NITAIGANJ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</si>
  <si>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</si>
  <si>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</si>
  <si>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</si>
  <si>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</si>
  <si>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</si>
  <si>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</si>
  <si>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</si>
  <si>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</si>
  <si>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</si>
  <si>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</si>
  <si>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</si>
  <si>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</si>
  <si>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</si>
  <si>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</si>
  <si>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</si>
  <si>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</si>
  <si>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</si>
  <si>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CHAPAI NAWABGANJ SME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</si>
  <si>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</si>
  <si>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</si>
  <si>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NETROKONA SME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</si>
  <si>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</si>
  <si>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</si>
  <si>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</si>
  <si>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</si>
  <si>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</si>
  <si>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</si>
  <si>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</si>
  <si>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</si>
  <si>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</si>
  <si>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</si>
  <si>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</si>
  <si>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</si>
  <si>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</si>
  <si>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</si>
  <si>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</si>
  <si>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</si>
  <si>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</si>
  <si>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</si>
  <si>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</si>
  <si>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</si>
  <si>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PANCHAGARH SME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</si>
  <si>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</si>
  <si>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</si>
  <si>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</si>
  <si>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</si>
  <si>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</si>
  <si>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PIROJPUR SME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</si>
  <si>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</si>
  <si>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</si>
  <si>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SWARUPKATI SME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</si>
  <si>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</si>
  <si>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</si>
  <si>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</si>
  <si>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</si>
  <si>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</si>
  <si>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</si>
  <si>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</si>
  <si>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</si>
  <si>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</si>
  <si>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</si>
  <si>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</si>
  <si>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BHEDERGANJ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</si>
  <si>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</si>
  <si>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</si>
  <si>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</si>
  <si>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</si>
  <si>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</si>
  <si>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</si>
  <si>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</si>
  <si>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</si>
  <si>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SERAJGANJ SME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</si>
  <si>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</si>
  <si>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</si>
  <si>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</si>
  <si>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</si>
  <si>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</si>
  <si>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</si>
  <si>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</si>
  <si>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</si>
  <si>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</si>
  <si>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</si>
  <si>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</si>
  <si>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</si>
  <si>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</si>
  <si>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</si>
  <si>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</si>
  <si>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</si>
  <si>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</si>
  <si>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</si>
  <si>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</si>
  <si>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</si>
  <si>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SYLHET SOUTH SURMA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</si>
  <si>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</si>
  <si>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</si>
  <si>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</si>
  <si>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</si>
  <si>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</si>
  <si>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SYLHET BONDOR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</si>
  <si>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</si>
  <si>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</si>
  <si>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SYLHET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</si>
  <si>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</si>
  <si>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</si>
  <si>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</si>
  <si>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</si>
  <si>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</si>
  <si>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</si>
  <si>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</si>
  <si>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</si>
  <si>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GHATAIL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</si>
  <si>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</si>
  <si>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</si>
  <si>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</si>
  <si>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</si>
  <si>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BRAC BANK LTD.</t>
    </r>
  </si>
  <si>
    <r>
      <rPr>
        <rFont val="Arial MT"/>
        <color theme="1"/>
        <sz val="5.0"/>
      </rPr>
      <t>THAKURGAON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</si>
  <si>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</si>
  <si>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</si>
  <si>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</si>
  <si>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</si>
  <si>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</si>
  <si>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</si>
  <si>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</si>
  <si>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</si>
  <si>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</si>
  <si>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</si>
  <si>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</si>
  <si>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</si>
  <si>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</si>
  <si>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</si>
  <si>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</si>
  <si>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</si>
  <si>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</si>
  <si>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</si>
  <si>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</si>
  <si>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</si>
  <si>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DHAKA(MAIN)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</si>
  <si>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</si>
  <si>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BANK AL-FALAH LTD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</si>
  <si>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</si>
  <si>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</si>
  <si>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</si>
  <si>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</si>
  <si>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</si>
  <si>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</si>
  <si>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</si>
  <si>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</si>
  <si>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</si>
  <si>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</si>
  <si>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</si>
  <si>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</si>
  <si>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</si>
  <si>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</si>
  <si>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</si>
  <si>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</si>
  <si>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</si>
  <si>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</si>
  <si>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RUPSHA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</si>
  <si>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</si>
  <si>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</si>
  <si>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</si>
  <si>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</si>
  <si>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</si>
  <si>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</si>
  <si>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</si>
  <si>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</si>
  <si>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FARIDGANJ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</si>
  <si>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</si>
  <si>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</si>
  <si>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</si>
  <si>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</si>
  <si>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</si>
  <si>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</si>
  <si>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</si>
  <si>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</si>
  <si>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BANK ASIA BHABAN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</si>
  <si>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</si>
  <si>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</si>
  <si>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</si>
  <si>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</si>
  <si>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</si>
  <si>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</si>
  <si>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</si>
  <si>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</si>
  <si>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</si>
  <si>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</si>
  <si>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</si>
  <si>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</si>
  <si>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</si>
  <si>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</si>
  <si>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</si>
  <si>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</si>
  <si>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</si>
  <si>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CHAKTAI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</si>
  <si>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</si>
  <si>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</si>
  <si>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</si>
  <si>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</si>
  <si>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</si>
  <si>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KAMAL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</si>
  <si>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</si>
  <si>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</si>
  <si>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</si>
  <si>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</si>
  <si>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</si>
  <si>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</si>
  <si>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</si>
  <si>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</si>
  <si>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LICHU BAGAN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</si>
  <si>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</si>
  <si>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</si>
  <si>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</si>
  <si>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</si>
  <si>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</si>
  <si>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MCB SK. MUJIB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</si>
  <si>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</si>
  <si>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</si>
  <si>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OXYGEN MOUR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</si>
  <si>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</si>
  <si>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</si>
  <si>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</si>
  <si>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</si>
  <si>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</si>
  <si>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STRAND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</si>
  <si>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</si>
  <si>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</si>
  <si>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POTHER HAAT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</si>
  <si>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</si>
  <si>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</si>
  <si>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</si>
  <si>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</si>
  <si>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</si>
  <si>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</si>
  <si>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</si>
  <si>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</si>
  <si>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</si>
  <si>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</si>
  <si>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</si>
  <si>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</si>
  <si>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</si>
  <si>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</si>
  <si>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</si>
  <si>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</si>
  <si>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</si>
  <si>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SONARGAON JANAPATH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</si>
  <si>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</si>
  <si>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</si>
  <si>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</si>
  <si>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</si>
  <si>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</si>
  <si>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ASHULIA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</si>
  <si>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</si>
  <si>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</si>
  <si>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</si>
  <si>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</si>
  <si>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</si>
  <si>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KAZIPARA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</si>
  <si>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</si>
  <si>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</si>
  <si>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GULSHAN-2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</si>
  <si>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</si>
  <si>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</si>
  <si>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</si>
  <si>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</si>
  <si>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</si>
  <si>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</si>
  <si>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</si>
  <si>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</si>
  <si>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</si>
  <si>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</si>
  <si>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</si>
  <si>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</si>
  <si>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</si>
  <si>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</si>
  <si>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</si>
  <si>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</si>
  <si>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</si>
  <si>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</si>
  <si>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</si>
  <si>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</si>
  <si>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LALMATIA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</si>
  <si>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</si>
  <si>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</si>
  <si>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MCB DILKUSHA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</si>
  <si>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</si>
  <si>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</si>
  <si>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</si>
  <si>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</si>
  <si>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</si>
  <si>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MIRPUR-1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</si>
  <si>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</si>
  <si>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</si>
  <si>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</si>
  <si>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</si>
  <si>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</si>
  <si>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NORTH SOUTH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</si>
  <si>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</si>
  <si>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</si>
  <si>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</si>
  <si>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</si>
  <si>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</si>
  <si>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</si>
  <si>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</si>
  <si>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</si>
  <si>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RUPNAGAR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</si>
  <si>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</si>
  <si>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</si>
  <si>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</si>
  <si>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</si>
  <si>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</si>
  <si>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</si>
  <si>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</si>
  <si>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</si>
  <si>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</si>
  <si>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</si>
  <si>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</si>
  <si>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TEJGOAN LINK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</si>
  <si>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</si>
  <si>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</si>
  <si>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</si>
  <si>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</si>
  <si>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</si>
  <si>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</si>
  <si>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</si>
  <si>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</si>
  <si>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</si>
  <si>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</si>
  <si>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</si>
  <si>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PARAGRAM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</si>
  <si>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</si>
  <si>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</si>
  <si>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AGLA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</si>
  <si>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</si>
  <si>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</si>
  <si>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PARIBAGH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</si>
  <si>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</si>
  <si>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</si>
  <si>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ESKATON GARDEN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</si>
  <si>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</si>
  <si>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</si>
  <si>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BASHABOO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</si>
  <si>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</si>
  <si>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</si>
  <si>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</si>
  <si>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</si>
  <si>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</si>
  <si>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</si>
  <si>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</si>
  <si>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</si>
  <si>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JATRABARI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</si>
  <si>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</si>
  <si>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</si>
  <si>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JURAIN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</si>
  <si>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</si>
  <si>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</si>
  <si>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KALATIA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</si>
  <si>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</si>
  <si>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</si>
  <si>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MCB BANANI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</si>
  <si>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</si>
  <si>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</si>
  <si>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MITFORD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</si>
  <si>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</si>
  <si>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</si>
  <si>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</si>
  <si>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</si>
  <si>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</si>
  <si>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</si>
  <si>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</si>
  <si>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</si>
  <si>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</si>
  <si>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</si>
  <si>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</si>
  <si>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RUHITPUR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</si>
  <si>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</si>
  <si>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</si>
  <si>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SCOTIA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</si>
  <si>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</si>
  <si>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</si>
  <si>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</si>
  <si>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</si>
  <si>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</si>
  <si>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</si>
  <si>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</si>
  <si>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</si>
  <si>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</si>
  <si>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</si>
  <si>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</si>
  <si>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</si>
  <si>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</si>
  <si>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</si>
  <si>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</si>
  <si>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</si>
  <si>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</si>
  <si>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</si>
  <si>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</si>
  <si>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</si>
  <si>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</si>
  <si>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</si>
  <si>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</si>
  <si>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</si>
  <si>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</si>
  <si>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</si>
  <si>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</si>
  <si>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</si>
  <si>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</si>
  <si>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</si>
  <si>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</si>
  <si>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</si>
  <si>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</si>
  <si>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</si>
  <si>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</si>
  <si>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PURATON BORO BAZAR SME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</si>
  <si>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</si>
  <si>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</si>
  <si>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BHAIRAB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</si>
  <si>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</si>
  <si>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</si>
  <si>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TARAIL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</si>
  <si>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</si>
  <si>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</si>
  <si>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</si>
  <si>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</si>
  <si>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</si>
  <si>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</si>
  <si>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</si>
  <si>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</si>
  <si>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RAMGANJ SME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</si>
  <si>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</si>
  <si>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</si>
  <si>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</si>
  <si>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</si>
  <si>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</si>
  <si>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BALIGAON SME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</si>
  <si>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</si>
  <si>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</si>
  <si>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MALKHANAGAR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</si>
  <si>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</si>
  <si>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</si>
  <si>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SERAJDIKHAN SME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</si>
  <si>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</si>
  <si>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</si>
  <si>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NIMTALA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</si>
  <si>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</si>
  <si>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</si>
  <si>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</si>
  <si>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</si>
  <si>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</si>
  <si>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</si>
  <si>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</si>
  <si>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</si>
  <si>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</si>
  <si>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</si>
  <si>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</si>
  <si>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</si>
  <si>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</si>
  <si>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</si>
  <si>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HATIRDIA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</si>
  <si>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</si>
  <si>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</si>
  <si>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</si>
  <si>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</si>
  <si>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</si>
  <si>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</si>
  <si>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</si>
  <si>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</si>
  <si>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</si>
  <si>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</si>
  <si>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</si>
  <si>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</si>
  <si>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</si>
  <si>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</si>
  <si>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</si>
  <si>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</si>
  <si>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</si>
  <si>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</si>
  <si>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</si>
  <si>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</si>
  <si>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</si>
  <si>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</si>
  <si>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</si>
  <si>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</si>
  <si>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</si>
  <si>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</si>
  <si>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</si>
  <si>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</si>
  <si>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</si>
  <si>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</si>
  <si>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</si>
  <si>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</si>
  <si>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</si>
  <si>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</si>
  <si>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</si>
  <si>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</si>
  <si>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</si>
  <si>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</si>
  <si>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</si>
  <si>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</si>
  <si>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</si>
  <si>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REKABIBAZAR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</si>
  <si>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</si>
  <si>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</si>
  <si>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SYLHET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</si>
  <si>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</si>
  <si>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</si>
  <si>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SYLHET(MAIN)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</si>
  <si>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</si>
  <si>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BANK ASIA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</si>
  <si>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</si>
  <si>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</si>
  <si>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CITI BANK N 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</si>
  <si>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</si>
  <si>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</si>
  <si>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CITI BANK N A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</si>
  <si>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</si>
  <si>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</si>
  <si>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CITI BANK N A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</si>
  <si>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</si>
  <si>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</si>
  <si>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CITI BANK N A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</si>
  <si>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</si>
  <si>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</si>
  <si>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CITI BANK N A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</si>
  <si>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</si>
  <si>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</si>
  <si>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</si>
  <si>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</si>
  <si>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</si>
  <si>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</si>
  <si>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</si>
  <si>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</si>
  <si>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</si>
  <si>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</si>
  <si>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</si>
  <si>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</si>
  <si>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</si>
  <si>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</si>
  <si>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</si>
  <si>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</si>
  <si>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</si>
  <si>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</si>
  <si>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</si>
  <si>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</si>
  <si>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</si>
  <si>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TEJGAON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</si>
  <si>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</si>
  <si>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</si>
  <si>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</si>
  <si>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</si>
  <si>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</si>
  <si>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</si>
  <si>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</si>
  <si>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</si>
  <si>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DHAKA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</si>
  <si>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</si>
  <si>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</si>
  <si>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</si>
  <si>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</si>
  <si>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COMMERCIAL BANK OF CYLON</t>
    </r>
  </si>
  <si>
    <r>
      <rPr>
        <rFont val="Arial MT"/>
        <color theme="1"/>
        <sz val="5.0"/>
      </rPr>
      <t>SYLHET SADAR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</si>
  <si>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</si>
  <si>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</si>
  <si>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</si>
  <si>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</si>
  <si>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</si>
  <si>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</si>
  <si>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</si>
  <si>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</si>
  <si>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</si>
  <si>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</si>
  <si>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</si>
  <si>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</si>
  <si>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</si>
  <si>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</si>
  <si>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</si>
  <si>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</si>
  <si>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</si>
  <si>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</si>
  <si>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</si>
  <si>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</si>
  <si>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</si>
  <si>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</si>
  <si>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</si>
  <si>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</si>
  <si>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</si>
  <si>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</si>
  <si>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GOHIRA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</si>
  <si>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</si>
  <si>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</si>
  <si>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</si>
  <si>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</si>
  <si>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</si>
  <si>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</si>
  <si>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</si>
  <si>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</si>
  <si>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ISLAMI BANKING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</si>
  <si>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</si>
  <si>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</si>
  <si>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</si>
  <si>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</si>
  <si>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</si>
  <si>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</si>
  <si>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</si>
  <si>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</si>
  <si>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</si>
  <si>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</si>
  <si>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</si>
  <si>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</si>
  <si>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</si>
  <si>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</si>
  <si>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</si>
  <si>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</si>
  <si>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</si>
  <si>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</si>
  <si>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</si>
  <si>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</si>
  <si>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</si>
  <si>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</si>
  <si>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</si>
  <si>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</si>
  <si>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</si>
  <si>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</si>
  <si>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</si>
  <si>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</si>
  <si>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</si>
  <si>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</si>
  <si>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</si>
  <si>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</si>
  <si>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</si>
  <si>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</si>
  <si>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</si>
  <si>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</si>
  <si>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</si>
  <si>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</si>
  <si>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</si>
  <si>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</si>
  <si>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</si>
  <si>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DHAKA EPZ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</si>
  <si>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</si>
  <si>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</si>
  <si>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</si>
  <si>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</si>
  <si>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</si>
  <si>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DHANMONDI MODEL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</si>
  <si>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</si>
  <si>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</si>
  <si>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FANTASY KINGDOM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</si>
  <si>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</si>
  <si>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</si>
  <si>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KAMARPARA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</si>
  <si>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</si>
  <si>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</si>
  <si>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</si>
  <si>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</si>
  <si>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</si>
  <si>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GULSHAN CIRCLE-2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</si>
  <si>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</si>
  <si>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</si>
  <si>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</si>
  <si>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</si>
  <si>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</si>
  <si>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</si>
  <si>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</si>
  <si>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</si>
  <si>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</si>
  <si>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</si>
  <si>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</si>
  <si>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SAVAR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</si>
  <si>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</si>
  <si>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</si>
  <si>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</si>
  <si>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</si>
  <si>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</si>
  <si>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</si>
  <si>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</si>
  <si>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</si>
  <si>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</si>
  <si>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</si>
  <si>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</si>
  <si>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</si>
  <si>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</si>
  <si>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</si>
  <si>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</si>
  <si>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</si>
  <si>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</si>
  <si>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</si>
  <si>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</si>
  <si>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</si>
  <si>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ISLAMI BANKING(MOTIJHEEL)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</si>
  <si>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</si>
  <si>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</si>
  <si>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</si>
  <si>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</si>
  <si>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</si>
  <si>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</si>
  <si>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</si>
  <si>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</si>
  <si>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</si>
  <si>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</si>
  <si>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</si>
  <si>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</si>
  <si>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</si>
  <si>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</si>
  <si>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KALATIA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</si>
  <si>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</si>
  <si>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</si>
  <si>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</si>
  <si>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</si>
  <si>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</si>
  <si>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KHILGAON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</si>
  <si>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</si>
  <si>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</si>
  <si>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</si>
  <si>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</si>
  <si>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</si>
  <si>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SHAHJAHANPUR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</si>
  <si>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</si>
  <si>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</si>
  <si>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</si>
  <si>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</si>
  <si>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</si>
  <si>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NANDIPARA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</si>
  <si>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</si>
  <si>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</si>
  <si>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</si>
  <si>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</si>
  <si>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</si>
  <si>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</si>
  <si>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</si>
  <si>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</si>
  <si>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</si>
  <si>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</si>
  <si>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</si>
  <si>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</si>
  <si>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</si>
  <si>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</si>
  <si>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</si>
  <si>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</si>
  <si>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</si>
  <si>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</si>
  <si>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</si>
  <si>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</si>
  <si>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</si>
  <si>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</si>
  <si>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</si>
  <si>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</si>
  <si>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</si>
  <si>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</si>
  <si>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</si>
  <si>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</si>
  <si>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</si>
  <si>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K.D.A. AVENUE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</si>
  <si>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</si>
  <si>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</si>
  <si>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</si>
  <si>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</si>
  <si>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</si>
  <si>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</si>
  <si>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</si>
  <si>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</si>
  <si>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</si>
  <si>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</si>
  <si>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</si>
  <si>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</si>
  <si>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</si>
  <si>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</si>
  <si>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RAZANAGAR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</si>
  <si>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</si>
  <si>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</si>
  <si>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</si>
  <si>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</si>
  <si>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</si>
  <si>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ARAIHAZAR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</si>
  <si>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</si>
  <si>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</si>
  <si>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B.B.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</si>
  <si>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</si>
  <si>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</si>
  <si>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KALIBARI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</si>
  <si>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</si>
  <si>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</si>
  <si>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</si>
  <si>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</si>
  <si>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</si>
  <si>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GOPALDI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</si>
  <si>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</si>
  <si>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</si>
  <si>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MURAPARA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</si>
  <si>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</si>
  <si>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</si>
  <si>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</si>
  <si>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</si>
  <si>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</si>
  <si>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PAGLA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</si>
  <si>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</si>
  <si>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</si>
  <si>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</si>
  <si>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</si>
  <si>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</si>
  <si>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PANCHADANA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</si>
  <si>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</si>
  <si>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</si>
  <si>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</si>
  <si>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</si>
  <si>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</si>
  <si>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</si>
  <si>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</si>
  <si>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</si>
  <si>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MAIJDEE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</si>
  <si>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</si>
  <si>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</si>
  <si>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CHOWMUHANI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</si>
  <si>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</si>
  <si>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</si>
  <si>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</si>
  <si>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</si>
  <si>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</si>
  <si>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CHATMOHAR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</si>
  <si>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</si>
  <si>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</si>
  <si>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</si>
  <si>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</si>
  <si>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</si>
  <si>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</si>
  <si>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</si>
  <si>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</si>
  <si>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</si>
  <si>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</si>
  <si>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</si>
  <si>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</si>
  <si>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</si>
  <si>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</si>
  <si>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</si>
  <si>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</si>
  <si>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</si>
  <si>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CHANDAIKONA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</si>
  <si>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</si>
  <si>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</si>
  <si>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</si>
  <si>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</si>
  <si>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</si>
  <si>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</si>
  <si>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</si>
  <si>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</si>
  <si>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</si>
  <si>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</si>
  <si>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</si>
  <si>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</si>
  <si>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</si>
  <si>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</si>
  <si>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MADINA MARKET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</si>
  <si>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</si>
  <si>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</si>
  <si>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UPASHAHAR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</si>
  <si>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</si>
  <si>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DHAKA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</si>
  <si>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</si>
  <si>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</si>
  <si>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</si>
  <si>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</si>
  <si>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</si>
  <si>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</si>
  <si>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</si>
  <si>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</si>
  <si>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</si>
  <si>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</si>
  <si>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</si>
  <si>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</si>
  <si>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</si>
  <si>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</si>
  <si>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</si>
  <si>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</si>
  <si>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</si>
  <si>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</si>
  <si>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</si>
  <si>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</si>
  <si>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</si>
  <si>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</si>
  <si>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</si>
  <si>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</si>
  <si>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CHITTAGONG 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</si>
  <si>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</si>
  <si>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</si>
  <si>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</si>
  <si>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</si>
  <si>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</si>
  <si>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</si>
  <si>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</si>
  <si>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</si>
  <si>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</si>
  <si>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</si>
  <si>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</si>
  <si>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</si>
  <si>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</si>
  <si>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</si>
  <si>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</si>
  <si>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</si>
  <si>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</si>
  <si>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</si>
  <si>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</si>
  <si>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</si>
  <si>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</si>
  <si>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</si>
  <si>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</si>
  <si>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</si>
  <si>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</si>
  <si>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</si>
  <si>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</si>
  <si>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</si>
  <si>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</si>
  <si>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RAOZAN SME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</si>
  <si>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</si>
  <si>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</si>
  <si>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</si>
  <si>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</si>
  <si>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</si>
  <si>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</si>
  <si>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</si>
  <si>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</si>
  <si>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JHAWTALA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</si>
  <si>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</si>
  <si>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</si>
  <si>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</si>
  <si>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</si>
  <si>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</si>
  <si>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</si>
  <si>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</si>
  <si>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</si>
  <si>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</si>
  <si>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</si>
  <si>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</si>
  <si>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</si>
  <si>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</si>
  <si>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</si>
  <si>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</si>
  <si>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</si>
  <si>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</si>
  <si>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ASHKONA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</si>
  <si>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</si>
  <si>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</si>
  <si>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</si>
  <si>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</si>
  <si>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</si>
  <si>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DUMNI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</si>
  <si>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</si>
  <si>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</si>
  <si>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</si>
  <si>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</si>
  <si>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</si>
  <si>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BANANI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</si>
  <si>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</si>
  <si>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</si>
  <si>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</si>
  <si>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</si>
  <si>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</si>
  <si>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</si>
  <si>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</si>
  <si>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</si>
  <si>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DAKSHIN KHAN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</si>
  <si>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</si>
  <si>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</si>
  <si>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DHAKA EPZ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</si>
  <si>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</si>
  <si>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</si>
  <si>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</si>
  <si>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</si>
  <si>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</si>
  <si>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</si>
  <si>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</si>
  <si>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</si>
  <si>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</si>
  <si>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</si>
  <si>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</si>
  <si>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VATARA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</si>
  <si>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</si>
  <si>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</si>
  <si>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</si>
  <si>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</si>
  <si>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</si>
  <si>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KALAMPUR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</si>
  <si>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</si>
  <si>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</si>
  <si>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</si>
  <si>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</si>
  <si>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</si>
  <si>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</si>
  <si>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</si>
  <si>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</si>
  <si>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</si>
  <si>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</si>
  <si>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</si>
  <si>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MIRPUR SECTION-10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</si>
  <si>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</si>
  <si>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</si>
  <si>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</si>
  <si>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</si>
  <si>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</si>
  <si>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</si>
  <si>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</si>
  <si>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</si>
  <si>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</si>
  <si>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</si>
  <si>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</si>
  <si>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</si>
  <si>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</si>
  <si>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</si>
  <si>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</si>
  <si>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</si>
  <si>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</si>
  <si>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</si>
  <si>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</si>
  <si>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</si>
  <si>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SAVAR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</si>
  <si>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</si>
  <si>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</si>
  <si>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TEJGAON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</si>
  <si>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</si>
  <si>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</si>
  <si>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UTTAR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</si>
  <si>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</si>
  <si>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</si>
  <si>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</si>
  <si>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</si>
  <si>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</si>
  <si>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UTTARA SONARGAON JANAPAD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</si>
  <si>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</si>
  <si>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</si>
  <si>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ZIRABO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</si>
  <si>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</si>
  <si>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</si>
  <si>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</si>
  <si>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</si>
  <si>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</si>
  <si>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ABDULLAHPUR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</si>
  <si>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</si>
  <si>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</si>
  <si>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</si>
  <si>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</si>
  <si>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</si>
  <si>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</si>
  <si>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</si>
  <si>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</si>
  <si>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PANTHAPATH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</si>
  <si>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</si>
  <si>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</si>
  <si>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</si>
  <si>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</si>
  <si>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</si>
  <si>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</si>
  <si>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</si>
  <si>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</si>
  <si>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</si>
  <si>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</si>
  <si>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</si>
  <si>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</si>
  <si>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</si>
  <si>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</si>
  <si>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</si>
  <si>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</si>
  <si>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</si>
  <si>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</si>
  <si>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</si>
  <si>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</si>
  <si>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</si>
  <si>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</si>
  <si>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</si>
  <si>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</si>
  <si>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</si>
  <si>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</si>
  <si>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</si>
  <si>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</si>
  <si>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</si>
  <si>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</si>
  <si>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</si>
  <si>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</si>
  <si>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MEGHULA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</si>
  <si>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</si>
  <si>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</si>
  <si>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MOTIJHEEL 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</si>
  <si>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</si>
  <si>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</si>
  <si>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</si>
  <si>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</si>
  <si>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</si>
  <si>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</si>
  <si>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</si>
  <si>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</si>
  <si>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NETAIGONJ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</si>
  <si>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</si>
  <si>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</si>
  <si>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</si>
  <si>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</si>
  <si>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</si>
  <si>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RUHITPUR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</si>
  <si>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</si>
  <si>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</si>
  <si>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</si>
  <si>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</si>
  <si>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</si>
  <si>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WARI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</si>
  <si>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</si>
  <si>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</si>
  <si>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</si>
  <si>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</si>
  <si>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</si>
  <si>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</si>
  <si>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</si>
  <si>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</si>
  <si>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</si>
  <si>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</si>
  <si>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</si>
  <si>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</si>
  <si>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</si>
  <si>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</si>
  <si>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</si>
  <si>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</si>
  <si>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</si>
  <si>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</si>
  <si>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</si>
  <si>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</si>
  <si>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MIRER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</si>
  <si>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</si>
  <si>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</si>
  <si>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</si>
  <si>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</si>
  <si>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</si>
  <si>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</si>
  <si>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</si>
  <si>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</si>
  <si>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</si>
  <si>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</si>
  <si>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</si>
  <si>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</si>
  <si>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</si>
  <si>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</si>
  <si>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</si>
  <si>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</si>
  <si>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</si>
  <si>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</si>
  <si>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</si>
  <si>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</si>
  <si>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</si>
  <si>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</si>
  <si>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</si>
  <si>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SHAFIPUR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</si>
  <si>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</si>
  <si>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</si>
  <si>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</si>
  <si>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</si>
  <si>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</si>
  <si>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</si>
  <si>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</si>
  <si>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</si>
  <si>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</si>
  <si>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</si>
  <si>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</si>
  <si>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</si>
  <si>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</si>
  <si>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</si>
  <si>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DIGPITE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</si>
  <si>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</si>
  <si>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</si>
  <si>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</si>
  <si>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</si>
  <si>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</si>
  <si>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</si>
  <si>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</si>
  <si>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</si>
  <si>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</si>
  <si>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</si>
  <si>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</si>
  <si>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</si>
  <si>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</si>
  <si>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</si>
  <si>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BHAIRAB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</si>
  <si>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</si>
  <si>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</si>
  <si>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</si>
  <si>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</si>
  <si>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</si>
  <si>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</si>
  <si>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</si>
  <si>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</si>
  <si>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</si>
  <si>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</si>
  <si>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</si>
  <si>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</si>
  <si>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</si>
  <si>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</si>
  <si>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</si>
  <si>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</si>
  <si>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</si>
  <si>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</si>
  <si>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</si>
  <si>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</si>
  <si>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</si>
  <si>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</si>
  <si>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</si>
  <si>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</si>
  <si>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</si>
  <si>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</si>
  <si>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</si>
  <si>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</si>
  <si>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</si>
  <si>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</si>
  <si>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</si>
  <si>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</si>
  <si>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</si>
  <si>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</si>
  <si>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</si>
  <si>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</si>
  <si>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</si>
  <si>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</si>
  <si>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MASTER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</si>
  <si>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</si>
  <si>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</si>
  <si>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</si>
  <si>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</si>
  <si>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</si>
  <si>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</si>
  <si>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</si>
  <si>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</si>
  <si>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B.B.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</si>
  <si>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</si>
  <si>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</si>
  <si>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KANCHPUR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</si>
  <si>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</si>
  <si>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</si>
  <si>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BHUIGHAR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</si>
  <si>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</si>
  <si>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</si>
  <si>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</si>
  <si>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</si>
  <si>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</si>
  <si>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NARAYANGANJ BSCIC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</si>
  <si>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</si>
  <si>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</si>
  <si>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GOPALDI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</si>
  <si>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</si>
  <si>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</si>
  <si>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MADANPUR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</si>
  <si>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</si>
  <si>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</si>
  <si>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</si>
  <si>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</si>
  <si>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</si>
  <si>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PAGLA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</si>
  <si>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</si>
  <si>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</si>
  <si>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SHIMRAIL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</si>
  <si>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</si>
  <si>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</si>
  <si>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</si>
  <si>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</si>
  <si>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</si>
  <si>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BABURHAT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</si>
  <si>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</si>
  <si>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</si>
  <si>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</si>
  <si>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</si>
  <si>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</si>
  <si>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</si>
  <si>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</si>
  <si>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</si>
  <si>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VELA 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</si>
  <si>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</si>
  <si>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</si>
  <si>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</si>
  <si>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</si>
  <si>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</si>
  <si>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</si>
  <si>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</si>
  <si>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</si>
  <si>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</si>
  <si>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</si>
  <si>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</si>
  <si>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</si>
  <si>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</si>
  <si>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</si>
  <si>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</si>
  <si>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</si>
  <si>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</si>
  <si>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</si>
  <si>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</si>
  <si>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</si>
  <si>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</si>
  <si>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</si>
  <si>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</si>
  <si>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KASHINATHPUR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</si>
  <si>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</si>
  <si>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</si>
  <si>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</si>
  <si>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</si>
  <si>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</si>
  <si>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</si>
  <si>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</si>
  <si>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</si>
  <si>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</si>
  <si>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</si>
  <si>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</si>
  <si>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</si>
  <si>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</si>
  <si>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</si>
  <si>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</si>
  <si>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</si>
  <si>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</si>
  <si>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</si>
  <si>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</si>
  <si>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</si>
  <si>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</si>
  <si>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</si>
  <si>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</si>
  <si>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</si>
  <si>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</si>
  <si>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</si>
  <si>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</si>
  <si>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</si>
  <si>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</si>
  <si>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</si>
  <si>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</si>
  <si>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</si>
  <si>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</si>
  <si>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</si>
  <si>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</si>
  <si>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GOBINDAGANJ SME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</si>
  <si>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</si>
  <si>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</si>
  <si>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</si>
  <si>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</si>
  <si>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</si>
  <si>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</si>
  <si>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</si>
  <si>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</si>
  <si>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</si>
  <si>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</si>
  <si>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</si>
  <si>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</si>
  <si>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</si>
  <si>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</si>
  <si>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DHAKA DAKHIN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</si>
  <si>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</si>
  <si>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</si>
  <si>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</si>
  <si>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</si>
  <si>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</si>
  <si>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</si>
  <si>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</si>
  <si>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</si>
  <si>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SHAHJALAL UPASHSHAR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</si>
  <si>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</si>
  <si>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</si>
  <si>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</si>
  <si>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</si>
  <si>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</si>
  <si>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ELENGA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</si>
  <si>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</si>
  <si>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</si>
  <si>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</si>
  <si>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</si>
  <si>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</si>
  <si>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</si>
  <si>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</si>
  <si>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DUTCH-BANGLA BANK LTD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</si>
  <si>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</si>
  <si>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</si>
  <si>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</si>
  <si>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</si>
  <si>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</si>
  <si>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</si>
  <si>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</si>
  <si>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</si>
  <si>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</si>
  <si>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</si>
  <si>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</si>
  <si>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</si>
  <si>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</si>
  <si>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</si>
  <si>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</si>
  <si>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JAMAL KHAN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</si>
  <si>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</si>
  <si>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</si>
  <si>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</si>
  <si>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</si>
  <si>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</si>
  <si>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CHANDGAON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</si>
  <si>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</si>
  <si>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</si>
  <si>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</si>
  <si>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</si>
  <si>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</si>
  <si>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</si>
  <si>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</si>
  <si>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</si>
  <si>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</si>
  <si>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</si>
  <si>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</si>
  <si>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</si>
  <si>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</si>
  <si>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</si>
  <si>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</si>
  <si>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</si>
  <si>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</si>
  <si>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</si>
  <si>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</si>
  <si>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</si>
  <si>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KHULSHI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</si>
  <si>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</si>
  <si>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</si>
  <si>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</si>
  <si>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</si>
  <si>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</si>
  <si>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MEHADI BAGH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</si>
  <si>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</si>
  <si>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</si>
  <si>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</si>
  <si>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</si>
  <si>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</si>
  <si>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</si>
  <si>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</si>
  <si>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</si>
  <si>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</si>
  <si>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</si>
  <si>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</si>
  <si>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</si>
  <si>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</si>
  <si>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</si>
  <si>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</si>
  <si>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</si>
  <si>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</si>
  <si>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SIRAJUDDOWLA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</si>
  <si>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</si>
  <si>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</si>
  <si>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</si>
  <si>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</si>
  <si>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</si>
  <si>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COMILLA SME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</si>
  <si>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</si>
  <si>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</si>
  <si>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</si>
  <si>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</si>
  <si>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</si>
  <si>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</si>
  <si>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</si>
  <si>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</si>
  <si>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JASHIM UDDIN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</si>
  <si>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</si>
  <si>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</si>
  <si>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</si>
  <si>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</si>
  <si>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</si>
  <si>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</si>
  <si>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</si>
  <si>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</si>
  <si>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</si>
  <si>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</si>
  <si>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</si>
  <si>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</si>
  <si>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</si>
  <si>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</si>
  <si>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DEPZ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</si>
  <si>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</si>
  <si>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</si>
  <si>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</si>
  <si>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</si>
  <si>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</si>
  <si>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</si>
  <si>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</si>
  <si>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</si>
  <si>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GULSHAN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</si>
  <si>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</si>
  <si>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</si>
  <si>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GULSHAN NORTH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</si>
  <si>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</si>
  <si>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</si>
  <si>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</si>
  <si>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</si>
  <si>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</si>
  <si>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MIRPUR DAR-US-SALM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</si>
  <si>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</si>
  <si>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</si>
  <si>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</si>
  <si>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</si>
  <si>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</si>
  <si>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</si>
  <si>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</si>
  <si>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</si>
  <si>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</si>
  <si>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</si>
  <si>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</si>
  <si>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</si>
  <si>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</si>
  <si>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</si>
  <si>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</si>
  <si>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</si>
  <si>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</si>
  <si>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</si>
  <si>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</si>
  <si>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</si>
  <si>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</si>
  <si>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</si>
  <si>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</si>
  <si>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AZIMPUR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</si>
  <si>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</si>
  <si>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</si>
  <si>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CHAWK MOGULTULY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</si>
  <si>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</si>
  <si>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</si>
  <si>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DOHAR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</si>
  <si>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</si>
  <si>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</si>
  <si>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ENGLISH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</si>
  <si>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</si>
  <si>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</si>
  <si>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</si>
  <si>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</si>
  <si>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</si>
  <si>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KERANIGANJ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</si>
  <si>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</si>
  <si>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</si>
  <si>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KHILGAON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</si>
  <si>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</si>
  <si>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</si>
  <si>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</si>
  <si>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</si>
  <si>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</si>
  <si>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</si>
  <si>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</si>
  <si>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</si>
  <si>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</si>
  <si>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</si>
  <si>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</si>
  <si>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</si>
  <si>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</si>
  <si>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</si>
  <si>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</si>
  <si>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</si>
  <si>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</si>
  <si>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SONARGAON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</si>
  <si>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</si>
  <si>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</si>
  <si>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WARI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</si>
  <si>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</si>
  <si>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</si>
  <si>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</si>
  <si>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</si>
  <si>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</si>
  <si>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FENI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</si>
  <si>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</si>
  <si>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</si>
  <si>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</si>
  <si>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</si>
  <si>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</si>
  <si>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</si>
  <si>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</si>
  <si>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</si>
  <si>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</si>
  <si>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</si>
  <si>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</si>
  <si>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FULBARI GATE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</si>
  <si>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</si>
  <si>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</si>
  <si>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</si>
  <si>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</si>
  <si>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</si>
  <si>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BHAIRAB SME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</si>
  <si>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</si>
  <si>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</si>
  <si>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</si>
  <si>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</si>
  <si>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</si>
  <si>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MYMENSINGH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</si>
  <si>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</si>
  <si>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</si>
  <si>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</si>
  <si>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</si>
  <si>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</si>
  <si>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</si>
  <si>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</si>
  <si>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</si>
  <si>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NARAYANGONJ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</si>
  <si>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</si>
  <si>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</si>
  <si>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PANCHABATI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</si>
  <si>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</si>
  <si>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</si>
  <si>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</si>
  <si>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</si>
  <si>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</si>
  <si>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MADHABDI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</si>
  <si>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</si>
  <si>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</si>
  <si>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MAIJDEE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</si>
  <si>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</si>
  <si>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</si>
  <si>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</si>
  <si>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</si>
  <si>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</si>
  <si>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</si>
  <si>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</si>
  <si>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</si>
  <si>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</si>
  <si>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</si>
  <si>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</si>
  <si>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</si>
  <si>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</si>
  <si>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</si>
  <si>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CHOWHATTA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</si>
  <si>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</si>
  <si>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</si>
  <si>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</si>
  <si>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</si>
  <si>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</si>
  <si>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SYLHET UPASHAHAR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</si>
  <si>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</si>
  <si>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EASTERN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</si>
  <si>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</si>
  <si>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</si>
  <si>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</si>
  <si>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</si>
  <si>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</si>
  <si>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</si>
  <si>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</si>
  <si>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</si>
  <si>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</si>
  <si>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SARIAKANDI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</si>
  <si>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</si>
  <si>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</si>
  <si>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</si>
  <si>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</si>
  <si>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</si>
  <si>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NARAYANPUR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</si>
  <si>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</si>
  <si>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</si>
  <si>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THAKUR BAZAR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</si>
  <si>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</si>
  <si>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</si>
  <si>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</si>
  <si>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</si>
  <si>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</si>
  <si>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RAOZAN 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</si>
  <si>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</si>
  <si>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</si>
  <si>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</si>
  <si>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</si>
  <si>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</si>
  <si>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</si>
  <si>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</si>
  <si>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</si>
  <si>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SHAIKH MUJIB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</si>
  <si>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</si>
  <si>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</si>
  <si>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</si>
  <si>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</si>
  <si>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</si>
  <si>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</si>
  <si>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</si>
  <si>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</si>
  <si>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</si>
  <si>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</si>
  <si>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</si>
  <si>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</si>
  <si>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</si>
  <si>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</si>
  <si>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KHULSHI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</si>
  <si>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</si>
  <si>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</si>
  <si>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</si>
  <si>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</si>
  <si>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</si>
  <si>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</si>
  <si>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</si>
  <si>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</si>
  <si>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</si>
  <si>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</si>
  <si>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</si>
  <si>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</si>
  <si>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</si>
  <si>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</si>
  <si>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</si>
  <si>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</si>
  <si>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</si>
  <si>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BAGMARA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</si>
  <si>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</si>
  <si>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</si>
  <si>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DOLLAI NAWABPUR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</si>
  <si>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</si>
  <si>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</si>
  <si>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</si>
  <si>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</si>
  <si>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</si>
  <si>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</si>
  <si>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</si>
  <si>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</si>
  <si>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</si>
  <si>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</si>
  <si>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</si>
  <si>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</si>
  <si>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</si>
  <si>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</si>
  <si>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MUDAFARGANJ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</si>
  <si>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</si>
  <si>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</si>
  <si>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</si>
  <si>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</si>
  <si>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</si>
  <si>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GARIB-E-NEWAZ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</si>
  <si>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</si>
  <si>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</si>
  <si>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</si>
  <si>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</si>
  <si>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</si>
  <si>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</si>
  <si>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</si>
  <si>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</si>
  <si>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BASHUNDHARA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</si>
  <si>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</si>
  <si>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</si>
  <si>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MOHILA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</si>
  <si>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</si>
  <si>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</si>
  <si>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</si>
  <si>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</si>
  <si>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</si>
  <si>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</si>
  <si>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</si>
  <si>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</si>
  <si>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</si>
  <si>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</si>
  <si>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</si>
  <si>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</si>
  <si>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</si>
  <si>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</si>
  <si>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</si>
  <si>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</si>
  <si>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</si>
  <si>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</si>
  <si>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</si>
  <si>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</si>
  <si>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NAYARHAT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</si>
  <si>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</si>
  <si>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</si>
  <si>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</si>
  <si>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</si>
  <si>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</si>
  <si>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</si>
  <si>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</si>
  <si>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</si>
  <si>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SATARKUL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</si>
  <si>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</si>
  <si>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</si>
  <si>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</si>
  <si>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</si>
  <si>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</si>
  <si>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</si>
  <si>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</si>
  <si>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</si>
  <si>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</si>
  <si>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</si>
  <si>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</si>
  <si>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</si>
  <si>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</si>
  <si>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</si>
  <si>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RAYER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</si>
  <si>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</si>
  <si>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</si>
  <si>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</si>
  <si>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</si>
  <si>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</si>
  <si>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</si>
  <si>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</si>
  <si>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</si>
  <si>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HEAD OFFICE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</si>
  <si>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</si>
  <si>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</si>
  <si>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</si>
  <si>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</si>
  <si>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</si>
  <si>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</si>
  <si>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</si>
  <si>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</si>
  <si>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KERANIGANJ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</si>
  <si>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</si>
  <si>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</si>
  <si>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</si>
  <si>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</si>
  <si>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</si>
  <si>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</si>
  <si>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</si>
  <si>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</si>
  <si>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</si>
  <si>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</si>
  <si>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</si>
  <si>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NEW ESKATON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</si>
  <si>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</si>
  <si>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</si>
  <si>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</si>
  <si>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</si>
  <si>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</si>
  <si>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RAJUK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</si>
  <si>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</si>
  <si>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</si>
  <si>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SANTINAGAR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</si>
  <si>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</si>
  <si>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</si>
  <si>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</si>
  <si>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</si>
  <si>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</si>
  <si>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</si>
  <si>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</si>
  <si>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</si>
  <si>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</si>
  <si>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</si>
  <si>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</si>
  <si>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</si>
  <si>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</si>
  <si>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</si>
  <si>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</si>
  <si>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</si>
  <si>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</si>
  <si>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</si>
  <si>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</si>
  <si>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</si>
  <si>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</si>
  <si>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</si>
  <si>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</si>
  <si>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MAONA CHAWRASTA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</si>
  <si>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</si>
  <si>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</si>
  <si>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</si>
  <si>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</si>
  <si>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</si>
  <si>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</si>
  <si>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</si>
  <si>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</si>
  <si>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</si>
  <si>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</si>
  <si>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</si>
  <si>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</si>
  <si>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</si>
  <si>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</si>
  <si>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</si>
  <si>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</si>
  <si>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</si>
  <si>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</si>
  <si>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</si>
  <si>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</si>
  <si>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MITAMAIN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</si>
  <si>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</si>
  <si>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</si>
  <si>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PAKUNDIA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</si>
  <si>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</si>
  <si>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</si>
  <si>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</si>
  <si>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</si>
  <si>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</si>
  <si>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</si>
  <si>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</si>
  <si>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</si>
  <si>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</si>
  <si>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</si>
  <si>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</si>
  <si>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BALIRTEK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</si>
  <si>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</si>
  <si>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</si>
  <si>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</si>
  <si>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</si>
  <si>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</si>
  <si>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</si>
  <si>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</si>
  <si>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</si>
  <si>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MUKTARPUR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</si>
  <si>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</si>
  <si>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</si>
  <si>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</si>
  <si>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</si>
  <si>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</si>
  <si>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SEEDSTORE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</si>
  <si>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</si>
  <si>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</si>
  <si>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</si>
  <si>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</si>
  <si>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</si>
  <si>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</si>
  <si>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</si>
  <si>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</si>
  <si>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PANCHABATI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</si>
  <si>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</si>
  <si>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</si>
  <si>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SHIMRAIL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</si>
  <si>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</si>
  <si>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</si>
  <si>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SONARGAON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</si>
  <si>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</si>
  <si>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</si>
  <si>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MORJAL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</si>
  <si>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</si>
  <si>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</si>
  <si>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</si>
  <si>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</si>
  <si>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</si>
  <si>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DATTAPARA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</si>
  <si>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</si>
  <si>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</si>
  <si>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LALPUR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</si>
  <si>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</si>
  <si>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</si>
  <si>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CHAPAINAWABGANJ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</si>
  <si>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</si>
  <si>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</si>
  <si>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</si>
  <si>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</si>
  <si>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</si>
  <si>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CHARBATA KHASHERHAT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</si>
  <si>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</si>
  <si>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</si>
  <si>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</si>
  <si>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</si>
  <si>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</si>
  <si>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</si>
  <si>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</si>
  <si>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</si>
  <si>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</si>
  <si>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</si>
  <si>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</si>
  <si>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</si>
  <si>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</si>
  <si>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</si>
  <si>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</si>
  <si>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</si>
  <si>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</si>
  <si>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</si>
  <si>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</si>
  <si>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</si>
  <si>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</si>
  <si>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</si>
  <si>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</si>
  <si>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</si>
  <si>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</si>
  <si>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</si>
  <si>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DHOPADIGHIRPAR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</si>
  <si>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</si>
  <si>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</si>
  <si>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</si>
  <si>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</si>
  <si>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</si>
  <si>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</si>
  <si>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</si>
  <si>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</si>
  <si>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</si>
  <si>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</si>
  <si>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</si>
  <si>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</si>
  <si>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</si>
  <si>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</si>
  <si>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</si>
  <si>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</si>
  <si>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</si>
  <si>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</si>
  <si>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</si>
  <si>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EXIM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</si>
  <si>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</si>
  <si>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</si>
  <si>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</si>
  <si>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</si>
  <si>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</si>
  <si>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</si>
  <si>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</si>
  <si>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</si>
  <si>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</si>
  <si>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</si>
  <si>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</si>
  <si>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</si>
  <si>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</si>
  <si>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</si>
  <si>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</si>
  <si>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</si>
  <si>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</si>
  <si>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</si>
  <si>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WAZIRPUR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</si>
  <si>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</si>
  <si>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</si>
  <si>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</si>
  <si>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</si>
  <si>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</si>
  <si>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</si>
  <si>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</si>
  <si>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</si>
  <si>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TANTAR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</si>
  <si>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</si>
  <si>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</si>
  <si>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</si>
  <si>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</si>
  <si>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</si>
  <si>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</si>
  <si>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</si>
  <si>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</si>
  <si>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PAHARTALI CHOUMOHONI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</si>
  <si>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</si>
  <si>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</si>
  <si>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</si>
  <si>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</si>
  <si>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</si>
  <si>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TOKIR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</si>
  <si>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</si>
  <si>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</si>
  <si>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KORERHAT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</si>
  <si>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</si>
  <si>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</si>
  <si>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</si>
  <si>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</si>
  <si>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</si>
  <si>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FATEYABAD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</si>
  <si>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</si>
  <si>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</si>
  <si>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RAHATTARPUL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</si>
  <si>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</si>
  <si>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</si>
  <si>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</si>
  <si>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</si>
  <si>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</si>
  <si>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</si>
  <si>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</si>
  <si>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</si>
  <si>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</si>
  <si>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</si>
  <si>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</si>
  <si>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MOHRA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</si>
  <si>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</si>
  <si>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</si>
  <si>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PRABARTAK MORE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</si>
  <si>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</si>
  <si>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</si>
  <si>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CHANDANAISH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</si>
  <si>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</si>
  <si>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</si>
  <si>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CHAWK BAZAR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</si>
  <si>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</si>
  <si>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</si>
  <si>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CHOCORIA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</si>
  <si>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</si>
  <si>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</si>
  <si>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DOVASHI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</si>
  <si>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</si>
  <si>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</si>
  <si>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</si>
  <si>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</si>
  <si>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</si>
  <si>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</si>
  <si>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</si>
  <si>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</si>
  <si>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</si>
  <si>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</si>
  <si>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</si>
  <si>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</si>
  <si>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</si>
  <si>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</si>
  <si>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</si>
  <si>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</si>
  <si>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</si>
  <si>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KATIRHAT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</si>
  <si>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</si>
  <si>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</si>
  <si>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</si>
  <si>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</si>
  <si>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</si>
  <si>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</si>
  <si>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</si>
  <si>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</si>
  <si>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KUMIRA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</si>
  <si>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</si>
  <si>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</si>
  <si>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</si>
  <si>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</si>
  <si>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</si>
  <si>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MIRZAKHIL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</si>
  <si>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</si>
  <si>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</si>
  <si>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MOHILA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</si>
  <si>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</si>
  <si>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</si>
  <si>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NAZIR 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</si>
  <si>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</si>
  <si>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</si>
  <si>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NAZU MEA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</si>
  <si>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</si>
  <si>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</si>
  <si>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</si>
  <si>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</si>
  <si>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</si>
  <si>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</si>
  <si>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</si>
  <si>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</si>
  <si>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</si>
  <si>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</si>
  <si>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</si>
  <si>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</si>
  <si>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</si>
  <si>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</si>
  <si>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PATIYA MOHILA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</si>
  <si>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</si>
  <si>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</si>
  <si>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RANIRHAT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</si>
  <si>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</si>
  <si>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</si>
  <si>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</si>
  <si>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</si>
  <si>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</si>
  <si>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</si>
  <si>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</si>
  <si>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</si>
  <si>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</si>
  <si>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</si>
  <si>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</si>
  <si>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</si>
  <si>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</si>
  <si>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</si>
  <si>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DHORKORA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</si>
  <si>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</si>
  <si>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</si>
  <si>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HOMNA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</si>
  <si>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</si>
  <si>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</si>
  <si>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MADHAYA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</si>
  <si>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</si>
  <si>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</si>
  <si>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COURT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</si>
  <si>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</si>
  <si>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</si>
  <si>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</si>
  <si>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</si>
  <si>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</si>
  <si>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HANILA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</si>
  <si>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</si>
  <si>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</si>
  <si>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PEKUYA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</si>
  <si>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</si>
  <si>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</si>
  <si>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</si>
  <si>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</si>
  <si>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</si>
  <si>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</si>
  <si>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</si>
  <si>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</si>
  <si>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RANABHOLA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</si>
  <si>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</si>
  <si>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</si>
  <si>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JOYNAL MARKET DOKKHIN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</si>
  <si>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</si>
  <si>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</si>
  <si>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</si>
  <si>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</si>
  <si>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</si>
  <si>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</si>
  <si>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</si>
  <si>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</si>
  <si>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CITY UNIVERSITY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</si>
  <si>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</si>
  <si>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</si>
  <si>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</si>
  <si>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</si>
  <si>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</si>
  <si>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AZAMPUR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</si>
  <si>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</si>
  <si>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</si>
  <si>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</si>
  <si>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</si>
  <si>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</si>
  <si>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</si>
  <si>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</si>
  <si>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</si>
  <si>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KURIL BISHWA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</si>
  <si>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</si>
  <si>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</si>
  <si>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</si>
  <si>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</si>
  <si>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</si>
  <si>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</si>
  <si>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</si>
  <si>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</si>
  <si>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</si>
  <si>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</si>
  <si>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</si>
  <si>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RAYER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</si>
  <si>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</si>
  <si>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</si>
  <si>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</si>
  <si>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</si>
  <si>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</si>
  <si>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RUPNAGAR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</si>
  <si>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</si>
  <si>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</si>
  <si>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</si>
  <si>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</si>
  <si>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</si>
  <si>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SENANIBASH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</si>
  <si>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</si>
  <si>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</si>
  <si>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</si>
  <si>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</si>
  <si>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</si>
  <si>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ZIRABO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</si>
  <si>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</si>
  <si>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</si>
  <si>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</si>
  <si>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</si>
  <si>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</si>
  <si>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</si>
  <si>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</si>
  <si>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</si>
  <si>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</si>
  <si>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</si>
  <si>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</si>
  <si>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BISWA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</si>
  <si>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</si>
  <si>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</si>
  <si>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</si>
  <si>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</si>
  <si>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</si>
  <si>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</si>
  <si>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</si>
  <si>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</si>
  <si>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</si>
  <si>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</si>
  <si>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</si>
  <si>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</si>
  <si>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</si>
  <si>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</si>
  <si>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KONAPARA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</si>
  <si>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</si>
  <si>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</si>
  <si>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</si>
  <si>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</si>
  <si>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</si>
  <si>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</si>
  <si>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</si>
  <si>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</si>
  <si>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</si>
  <si>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</si>
  <si>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</si>
  <si>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</si>
  <si>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</si>
  <si>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</si>
  <si>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POSTAGOLA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</si>
  <si>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</si>
  <si>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</si>
  <si>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TOPKHANA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</si>
  <si>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</si>
  <si>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</si>
  <si>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</si>
  <si>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</si>
  <si>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</si>
  <si>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</si>
  <si>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</si>
  <si>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</si>
  <si>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BAKTER MUNSHI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</si>
  <si>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</si>
  <si>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</si>
  <si>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</si>
  <si>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</si>
  <si>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</si>
  <si>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FULGAZI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</si>
  <si>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</si>
  <si>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</si>
  <si>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LASKARHAT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</si>
  <si>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</si>
  <si>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</si>
  <si>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COLLEGE GATE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</si>
  <si>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</si>
  <si>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</si>
  <si>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</si>
  <si>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</si>
  <si>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</si>
  <si>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SHAFIPUR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</si>
  <si>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</si>
  <si>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</si>
  <si>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</si>
  <si>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</si>
  <si>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</si>
  <si>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</si>
  <si>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</si>
  <si>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</si>
  <si>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BAGACHARA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</si>
  <si>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</si>
  <si>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</si>
  <si>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</si>
  <si>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</si>
  <si>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</si>
  <si>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</si>
  <si>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</si>
  <si>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</si>
  <si>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KHAJURA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</si>
  <si>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</si>
  <si>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</si>
  <si>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NAVARAN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</si>
  <si>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</si>
  <si>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</si>
  <si>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BARO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</si>
  <si>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</si>
  <si>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</si>
  <si>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</si>
  <si>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</si>
  <si>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</si>
  <si>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FULTALA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</si>
  <si>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</si>
  <si>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</si>
  <si>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KAPILMUNI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</si>
  <si>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</si>
  <si>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</si>
  <si>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</si>
  <si>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</si>
  <si>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</si>
  <si>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</si>
  <si>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</si>
  <si>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</si>
  <si>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</si>
  <si>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</si>
  <si>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</si>
  <si>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</si>
  <si>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</si>
  <si>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</si>
  <si>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PANCHOR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</si>
  <si>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</si>
  <si>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</si>
  <si>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</si>
  <si>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</si>
  <si>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</si>
  <si>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</si>
  <si>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</si>
  <si>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</si>
  <si>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</si>
  <si>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</si>
  <si>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</si>
  <si>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</si>
  <si>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</si>
  <si>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</si>
  <si>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</si>
  <si>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</si>
  <si>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</si>
  <si>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BALIGAON-TONGIBARI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</si>
  <si>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</si>
  <si>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</si>
  <si>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</si>
  <si>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</si>
  <si>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</si>
  <si>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JAMIDARIA MASTER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</si>
  <si>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</si>
  <si>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</si>
  <si>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</si>
  <si>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</si>
  <si>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</si>
  <si>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</si>
  <si>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</si>
  <si>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</si>
  <si>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LOHAGARA SME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</si>
  <si>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</si>
  <si>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</si>
  <si>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</si>
  <si>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</si>
  <si>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</si>
  <si>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</si>
  <si>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</si>
  <si>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</si>
  <si>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MADHABDI, SME/KRISHI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</si>
  <si>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</si>
  <si>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</si>
  <si>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DHUPIL 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</si>
  <si>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</si>
  <si>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</si>
  <si>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</si>
  <si>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</si>
  <si>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</si>
  <si>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KANSAT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</si>
  <si>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</si>
  <si>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</si>
  <si>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</si>
  <si>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</si>
  <si>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</si>
  <si>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CHOWDHURYHAT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</si>
  <si>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</si>
  <si>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</si>
  <si>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</si>
  <si>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</si>
  <si>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</si>
  <si>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BAUPHAL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</si>
  <si>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</si>
  <si>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</si>
  <si>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</si>
  <si>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</si>
  <si>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</si>
  <si>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</si>
  <si>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</si>
  <si>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</si>
  <si>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SWARUPKATI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</si>
  <si>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</si>
  <si>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</si>
  <si>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</si>
  <si>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</si>
  <si>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</si>
  <si>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</si>
  <si>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</si>
  <si>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</si>
  <si>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</si>
  <si>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</si>
  <si>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</si>
  <si>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</si>
  <si>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</si>
  <si>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</si>
  <si>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</si>
  <si>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</si>
  <si>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</si>
  <si>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</si>
  <si>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</si>
  <si>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</si>
  <si>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</si>
  <si>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</si>
  <si>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</si>
  <si>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</si>
  <si>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</si>
  <si>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</si>
  <si>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</si>
  <si>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</si>
  <si>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</si>
  <si>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</si>
  <si>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</si>
  <si>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</si>
  <si>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</si>
  <si>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</si>
  <si>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</si>
  <si>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</si>
  <si>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</si>
  <si>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</si>
  <si>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</si>
  <si>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</si>
  <si>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</si>
  <si>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</si>
  <si>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</si>
  <si>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</si>
  <si>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</si>
  <si>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</si>
  <si>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</si>
  <si>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TALTALA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</si>
  <si>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</si>
  <si>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</si>
  <si>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BHUANPUR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</si>
  <si>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</si>
  <si>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</si>
  <si>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HAMIDPUR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</si>
  <si>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</si>
  <si>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FIRST SECURITY ISLAMI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</si>
  <si>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</si>
  <si>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</si>
  <si>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</si>
  <si>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LALDIGHI EAST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</si>
  <si>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</si>
  <si>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</si>
  <si>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</si>
  <si>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</si>
  <si>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</si>
  <si>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</si>
  <si>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</si>
  <si>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</si>
  <si>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</si>
  <si>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</si>
  <si>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</si>
  <si>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</si>
  <si>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</si>
  <si>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</si>
  <si>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</si>
  <si>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</si>
  <si>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</si>
  <si>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</si>
  <si>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</si>
  <si>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HABIB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</si>
  <si>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</si>
  <si>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</si>
  <si>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</si>
  <si>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</si>
  <si>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</si>
  <si>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</si>
  <si>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</si>
  <si>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</si>
  <si>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</si>
  <si>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GEC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</si>
  <si>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</si>
  <si>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</si>
  <si>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AMANAH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</si>
  <si>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</si>
  <si>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</si>
  <si>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</si>
  <si>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</si>
  <si>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</si>
  <si>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</si>
  <si>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</si>
  <si>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</si>
  <si>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DHAKA OFFICE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</si>
  <si>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</si>
  <si>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</si>
  <si>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</si>
  <si>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</si>
  <si>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</si>
  <si>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</si>
  <si>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</si>
  <si>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</si>
  <si>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</si>
  <si>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</si>
  <si>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</si>
  <si>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</si>
  <si>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</si>
  <si>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</si>
  <si>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</si>
  <si>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</si>
  <si>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</si>
  <si>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</si>
  <si>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</si>
  <si>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</si>
  <si>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</si>
  <si>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</si>
  <si>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</si>
  <si>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</si>
  <si>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</si>
  <si>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</si>
  <si>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</si>
  <si>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</si>
  <si>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HONGKONG &amp; SHANGHAI BANKING CORP.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</si>
  <si>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</si>
  <si>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</si>
  <si>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</si>
  <si>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</si>
  <si>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</si>
  <si>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</si>
  <si>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</si>
  <si>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</si>
  <si>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</si>
  <si>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</si>
  <si>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</si>
  <si>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</si>
  <si>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</si>
  <si>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</si>
  <si>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</si>
  <si>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</si>
  <si>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</si>
  <si>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</si>
  <si>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</si>
  <si>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</si>
  <si>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</si>
  <si>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</si>
  <si>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</si>
  <si>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</si>
  <si>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ALANKAR MOR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</si>
  <si>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</si>
  <si>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</si>
  <si>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BONDORTILA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</si>
  <si>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</si>
  <si>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</si>
  <si>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</si>
  <si>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</si>
  <si>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</si>
  <si>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</si>
  <si>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</si>
  <si>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</si>
  <si>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</si>
  <si>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</si>
  <si>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</si>
  <si>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</si>
  <si>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</si>
  <si>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</si>
  <si>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</si>
  <si>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</si>
  <si>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</si>
  <si>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</si>
  <si>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</si>
  <si>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</si>
  <si>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</si>
  <si>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</si>
  <si>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</si>
  <si>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</si>
  <si>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</si>
  <si>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</si>
  <si>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SHAH AMANAT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</si>
  <si>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</si>
  <si>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</si>
  <si>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SHEIKH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</si>
  <si>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</si>
  <si>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</si>
  <si>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SK. MUJIB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</si>
  <si>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</si>
  <si>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</si>
  <si>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TERRI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</si>
  <si>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</si>
  <si>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</si>
  <si>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</si>
  <si>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</si>
  <si>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</si>
  <si>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</si>
  <si>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</si>
  <si>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</si>
  <si>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</si>
  <si>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</si>
  <si>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</si>
  <si>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GOURIPUR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</si>
  <si>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</si>
  <si>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</si>
  <si>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MIAH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</si>
  <si>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</si>
  <si>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</si>
  <si>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</si>
  <si>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</si>
  <si>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</si>
  <si>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GABTALI BAGBARI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</si>
  <si>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</si>
  <si>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</si>
  <si>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</si>
  <si>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</si>
  <si>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</si>
  <si>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</si>
  <si>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</si>
  <si>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</si>
  <si>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</si>
  <si>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</si>
  <si>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</si>
  <si>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DARUS-SALAM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</si>
  <si>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</si>
  <si>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</si>
  <si>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DHAMRAI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</si>
  <si>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</si>
  <si>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</si>
  <si>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</si>
  <si>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</si>
  <si>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</si>
  <si>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</si>
  <si>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</si>
  <si>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</si>
  <si>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GARIB-E-NEWAZ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</si>
  <si>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</si>
  <si>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</si>
  <si>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</si>
  <si>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</si>
  <si>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</si>
  <si>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GULSHAN TEJGAON LINK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</si>
  <si>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</si>
  <si>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</si>
  <si>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</si>
  <si>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</si>
  <si>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</si>
  <si>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LALMATIA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</si>
  <si>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</si>
  <si>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</si>
  <si>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</si>
  <si>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</si>
  <si>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</si>
  <si>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</si>
  <si>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</si>
  <si>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</si>
  <si>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</si>
  <si>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</si>
  <si>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</si>
  <si>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</si>
  <si>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</si>
  <si>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</si>
  <si>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</si>
  <si>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</si>
  <si>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</si>
  <si>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SAVAR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</si>
  <si>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</si>
  <si>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</si>
  <si>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</si>
  <si>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</si>
  <si>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</si>
  <si>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</si>
  <si>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</si>
  <si>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</si>
  <si>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</si>
  <si>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</si>
  <si>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</si>
  <si>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ARSHINAGAR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</si>
  <si>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</si>
  <si>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</si>
  <si>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</si>
  <si>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</si>
  <si>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</si>
  <si>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</si>
  <si>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</si>
  <si>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</si>
  <si>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DHAKA STOCK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</si>
  <si>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</si>
  <si>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</si>
  <si>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</si>
  <si>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</si>
  <si>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</si>
  <si>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FEDERATION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</si>
  <si>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</si>
  <si>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</si>
  <si>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</si>
  <si>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</si>
  <si>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</si>
  <si>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</si>
  <si>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</si>
  <si>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</si>
  <si>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KONAPARA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</si>
  <si>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</si>
  <si>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</si>
  <si>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</si>
  <si>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</si>
  <si>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</si>
  <si>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</si>
  <si>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</si>
  <si>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</si>
  <si>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MEGHULA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</si>
  <si>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</si>
  <si>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</si>
  <si>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</si>
  <si>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</si>
  <si>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</si>
  <si>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</si>
  <si>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</si>
  <si>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</si>
  <si>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NAWABGANJ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</si>
  <si>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</si>
  <si>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</si>
  <si>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</si>
  <si>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</si>
  <si>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</si>
  <si>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NAYA 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</si>
  <si>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</si>
  <si>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</si>
  <si>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NORTH BROOK HALL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</si>
  <si>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</si>
  <si>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</si>
  <si>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</si>
  <si>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</si>
  <si>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</si>
  <si>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BIROL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</si>
  <si>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</si>
  <si>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</si>
  <si>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</si>
  <si>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</si>
  <si>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</si>
  <si>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SETABGANJ SME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</si>
  <si>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</si>
  <si>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</si>
  <si>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</si>
  <si>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</si>
  <si>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</si>
  <si>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</si>
  <si>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</si>
  <si>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</si>
  <si>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CHANDRA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</si>
  <si>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</si>
  <si>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</si>
  <si>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</si>
  <si>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</si>
  <si>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</si>
  <si>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BHAWAL MIRZAPUR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</si>
  <si>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</si>
  <si>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</si>
  <si>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CHERAG ALI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</si>
  <si>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</si>
  <si>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</si>
  <si>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</si>
  <si>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</si>
  <si>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</si>
  <si>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</si>
  <si>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</si>
  <si>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</si>
  <si>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</si>
  <si>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</si>
  <si>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</si>
  <si>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</si>
  <si>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</si>
  <si>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</si>
  <si>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TONGI SME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</si>
  <si>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</si>
  <si>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</si>
  <si>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</si>
  <si>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</si>
  <si>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</si>
  <si>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</si>
  <si>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</si>
  <si>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</si>
  <si>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</si>
  <si>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</si>
  <si>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</si>
  <si>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</si>
  <si>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</si>
  <si>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</si>
  <si>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</si>
  <si>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</si>
  <si>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</si>
  <si>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</si>
  <si>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</si>
  <si>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</si>
  <si>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</si>
  <si>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</si>
  <si>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</si>
  <si>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KALIGANJ SME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</si>
  <si>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</si>
  <si>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</si>
  <si>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BORO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</si>
  <si>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</si>
  <si>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</si>
  <si>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</si>
  <si>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</si>
  <si>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</si>
  <si>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SONADANGA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</si>
  <si>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</si>
  <si>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</si>
  <si>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</si>
  <si>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</si>
  <si>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</si>
  <si>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</si>
  <si>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</si>
  <si>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</si>
  <si>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PORADAH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</si>
  <si>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</si>
  <si>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</si>
  <si>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</si>
  <si>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</si>
  <si>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</si>
  <si>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</si>
  <si>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</si>
  <si>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</si>
  <si>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</si>
  <si>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</si>
  <si>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</si>
  <si>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</si>
  <si>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</si>
  <si>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</si>
  <si>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</si>
  <si>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</si>
  <si>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</si>
  <si>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MUKTARPUR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</si>
  <si>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</si>
  <si>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</si>
  <si>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</si>
  <si>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</si>
  <si>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</si>
  <si>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SEEDSTORE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</si>
  <si>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</si>
  <si>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</si>
  <si>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</si>
  <si>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</si>
  <si>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</si>
  <si>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BANDAR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</si>
  <si>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</si>
  <si>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</si>
  <si>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BHUIGHAR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</si>
  <si>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</si>
  <si>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</si>
  <si>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ISAPURA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</si>
  <si>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</si>
  <si>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</si>
  <si>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</si>
  <si>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</si>
  <si>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</si>
  <si>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NETAIGANJ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</si>
  <si>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</si>
  <si>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</si>
  <si>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PANCHABATI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</si>
  <si>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</si>
  <si>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</si>
  <si>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RUPGANJ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</si>
  <si>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</si>
  <si>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</si>
  <si>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SHIBU MARKET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</si>
  <si>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</si>
  <si>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</si>
  <si>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TANBAZAR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</si>
  <si>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</si>
  <si>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</si>
  <si>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PANCHDOWNA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</si>
  <si>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</si>
  <si>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</si>
  <si>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</si>
  <si>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</si>
  <si>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</si>
  <si>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</si>
  <si>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</si>
  <si>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</si>
  <si>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</si>
  <si>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</si>
  <si>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</si>
  <si>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</si>
  <si>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</si>
  <si>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</si>
  <si>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</si>
  <si>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</si>
  <si>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</si>
  <si>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</si>
  <si>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</si>
  <si>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</si>
  <si>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KASHINATHPUR SME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</si>
  <si>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</si>
  <si>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</si>
  <si>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</si>
  <si>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</si>
  <si>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</si>
  <si>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</si>
  <si>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</si>
  <si>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</si>
  <si>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</si>
  <si>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</si>
  <si>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</si>
  <si>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TAHERPUR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</si>
  <si>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</si>
  <si>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</si>
  <si>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</si>
  <si>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</si>
  <si>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</si>
  <si>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</si>
  <si>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</si>
  <si>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</si>
  <si>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</si>
  <si>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</si>
  <si>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</si>
  <si>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</si>
  <si>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</si>
  <si>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</si>
  <si>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</si>
  <si>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</si>
  <si>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</si>
  <si>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</si>
  <si>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</si>
  <si>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</si>
  <si>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</si>
  <si>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</si>
  <si>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</si>
  <si>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</si>
  <si>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</si>
  <si>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</si>
  <si>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</si>
  <si>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</si>
  <si>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</si>
  <si>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</si>
  <si>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</si>
  <si>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</si>
  <si>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TULTIKAR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</si>
  <si>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</si>
  <si>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</si>
  <si>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UPASHAHAR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</si>
  <si>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</si>
  <si>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</si>
  <si>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KARATIA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</si>
  <si>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</si>
  <si>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IFIC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</si>
  <si>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</si>
  <si>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</si>
  <si>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</si>
  <si>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</si>
  <si>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</si>
  <si>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</si>
  <si>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</si>
  <si>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</si>
  <si>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</si>
  <si>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MONGLA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</si>
  <si>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</si>
  <si>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</si>
  <si>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</si>
  <si>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</si>
  <si>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</si>
  <si>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SARANKHOLA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</si>
  <si>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</si>
  <si>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</si>
  <si>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</si>
  <si>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</si>
  <si>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</si>
  <si>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</si>
  <si>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</si>
  <si>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</si>
  <si>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BAKERGANJ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</si>
  <si>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</si>
  <si>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</si>
  <si>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</si>
  <si>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</si>
  <si>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</si>
  <si>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TORKI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</si>
  <si>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</si>
  <si>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</si>
  <si>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HATKHOLA CHAWKBAZAR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</si>
  <si>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</si>
  <si>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</si>
  <si>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</si>
  <si>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</si>
  <si>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</si>
  <si>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BORHANUDDIN SME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</si>
  <si>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</si>
  <si>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</si>
  <si>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</si>
  <si>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</si>
  <si>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</si>
  <si>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LALMOHAN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</si>
  <si>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</si>
  <si>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</si>
  <si>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</si>
  <si>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</si>
  <si>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</si>
  <si>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BOROGOLA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</si>
  <si>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</si>
  <si>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</si>
  <si>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DUPCHACHIA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</si>
  <si>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</si>
  <si>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</si>
  <si>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HIGHWAY SHERPUR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</si>
  <si>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</si>
  <si>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</si>
  <si>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KAHALOO SME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</si>
  <si>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</si>
  <si>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</si>
  <si>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MAHASTANGARH SME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</si>
  <si>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</si>
  <si>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</si>
  <si>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NANDIGRAM SME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</si>
  <si>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</si>
  <si>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</si>
  <si>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SANTAHAR SME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</si>
  <si>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</si>
  <si>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</si>
  <si>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SONATOLA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</si>
  <si>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</si>
  <si>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</si>
  <si>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AKHAURA SME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</si>
  <si>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</si>
  <si>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</si>
  <si>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</si>
  <si>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</si>
  <si>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</si>
  <si>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BANCHARAMPUR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</si>
  <si>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</si>
  <si>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</si>
  <si>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</si>
  <si>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</si>
  <si>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</si>
  <si>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</si>
  <si>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</si>
  <si>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</si>
  <si>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</si>
  <si>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</si>
  <si>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</si>
  <si>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</si>
  <si>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</si>
  <si>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</si>
  <si>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</si>
  <si>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</si>
  <si>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</si>
  <si>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FARIDGANJ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</si>
  <si>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</si>
  <si>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</si>
  <si>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</si>
  <si>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</si>
  <si>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</si>
  <si>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MATLAB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</si>
  <si>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</si>
  <si>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</si>
  <si>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</si>
  <si>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</si>
  <si>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</si>
  <si>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</si>
  <si>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</si>
  <si>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</si>
  <si>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</si>
  <si>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</si>
  <si>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</si>
  <si>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AGRABAD COMMERCIAL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</si>
  <si>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</si>
  <si>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</si>
  <si>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</si>
  <si>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</si>
  <si>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</si>
  <si>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</si>
  <si>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</si>
  <si>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</si>
  <si>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</si>
  <si>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</si>
  <si>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</si>
  <si>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</si>
  <si>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</si>
  <si>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</si>
  <si>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BARODAROGA 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</si>
  <si>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</si>
  <si>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</si>
  <si>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</si>
  <si>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</si>
  <si>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</si>
  <si>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</si>
  <si>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</si>
  <si>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</si>
  <si>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</si>
  <si>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</si>
  <si>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</si>
  <si>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CHANDANAISH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</si>
  <si>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</si>
  <si>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</si>
  <si>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</si>
  <si>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</si>
  <si>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</si>
  <si>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</si>
  <si>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</si>
  <si>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</si>
  <si>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</si>
  <si>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</si>
  <si>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</si>
  <si>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</si>
  <si>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</si>
  <si>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</si>
  <si>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</si>
  <si>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</si>
  <si>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</si>
  <si>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</si>
  <si>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</si>
  <si>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</si>
  <si>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</si>
  <si>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</si>
  <si>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</si>
  <si>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KALURGHAT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</si>
  <si>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</si>
  <si>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</si>
  <si>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</si>
  <si>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</si>
  <si>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</si>
  <si>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</si>
  <si>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</si>
  <si>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</si>
  <si>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</si>
  <si>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</si>
  <si>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</si>
  <si>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MIRSARAI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</si>
  <si>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</si>
  <si>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</si>
  <si>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NAZU MEA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</si>
  <si>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</si>
  <si>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</si>
  <si>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</si>
  <si>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</si>
  <si>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</si>
  <si>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OXYGEN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</si>
  <si>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</si>
  <si>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</si>
  <si>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</si>
  <si>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</si>
  <si>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</si>
  <si>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</si>
  <si>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</si>
  <si>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</si>
  <si>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</si>
  <si>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</si>
  <si>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</si>
  <si>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</si>
  <si>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</si>
  <si>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</si>
  <si>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</si>
  <si>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</si>
  <si>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</si>
  <si>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</si>
  <si>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</si>
  <si>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</si>
  <si>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</si>
  <si>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</si>
  <si>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</si>
  <si>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</si>
  <si>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</si>
  <si>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</si>
  <si>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</si>
  <si>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</si>
  <si>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</si>
  <si>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JIBON NAGAR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</si>
  <si>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</si>
  <si>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</si>
  <si>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BANGADDA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</si>
  <si>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</si>
  <si>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</si>
  <si>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BURICHANG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</si>
  <si>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</si>
  <si>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</si>
  <si>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</si>
  <si>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</si>
  <si>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</si>
  <si>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</si>
  <si>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</si>
  <si>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</si>
  <si>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</si>
  <si>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</si>
  <si>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</si>
  <si>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</si>
  <si>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</si>
  <si>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</si>
  <si>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DAUDKANDI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</si>
  <si>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</si>
  <si>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</si>
  <si>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</si>
  <si>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</si>
  <si>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</si>
  <si>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</si>
  <si>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</si>
  <si>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</si>
  <si>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TERY PATTRY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</si>
  <si>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</si>
  <si>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</si>
  <si>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PEKUA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</si>
  <si>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</si>
  <si>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</si>
  <si>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CHIRINGA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</si>
  <si>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</si>
  <si>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</si>
  <si>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COURT BAZAR SME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</si>
  <si>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</si>
  <si>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</si>
  <si>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</si>
  <si>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</si>
  <si>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</si>
  <si>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</si>
  <si>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</si>
  <si>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</si>
  <si>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MOHESHKHALI SME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</si>
  <si>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</si>
  <si>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</si>
  <si>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</si>
  <si>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</si>
  <si>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</si>
  <si>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</si>
  <si>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</si>
  <si>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</si>
  <si>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SONARGAON JANAPATH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</si>
  <si>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</si>
  <si>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</si>
  <si>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</si>
  <si>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</si>
  <si>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</si>
  <si>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NIKUNJA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</si>
  <si>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</si>
  <si>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</si>
  <si>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BADDA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</si>
  <si>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</si>
  <si>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</si>
  <si>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</si>
  <si>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</si>
  <si>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</si>
  <si>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</si>
  <si>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</si>
  <si>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</si>
  <si>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</si>
  <si>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</si>
  <si>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</si>
  <si>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</si>
  <si>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</si>
  <si>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</si>
  <si>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</si>
  <si>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</si>
  <si>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</si>
  <si>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</si>
  <si>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</si>
  <si>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</si>
  <si>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FARMGATE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</si>
  <si>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</si>
  <si>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</si>
  <si>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GANAKBARI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</si>
  <si>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</si>
  <si>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</si>
  <si>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</si>
  <si>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</si>
  <si>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</si>
  <si>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GULSHAN CIRCLE-1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</si>
  <si>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</si>
  <si>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</si>
  <si>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HAZICAMP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</si>
  <si>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</si>
  <si>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</si>
  <si>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IDB BHABAN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</si>
  <si>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</si>
  <si>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</si>
  <si>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KALAMPUR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</si>
  <si>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</si>
  <si>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</si>
  <si>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</si>
  <si>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</si>
  <si>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</si>
  <si>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</si>
  <si>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</si>
  <si>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</si>
  <si>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MIRPUR SECTION-1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</si>
  <si>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</si>
  <si>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</si>
  <si>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</si>
  <si>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</si>
  <si>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</si>
  <si>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MOHAMMADPUR KRISHI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</si>
  <si>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</si>
  <si>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</si>
  <si>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</si>
  <si>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</si>
  <si>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</si>
  <si>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</si>
  <si>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</si>
  <si>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</si>
  <si>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</si>
  <si>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</si>
  <si>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</si>
  <si>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</si>
  <si>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</si>
  <si>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</si>
  <si>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</si>
  <si>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</si>
  <si>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</si>
  <si>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</si>
  <si>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</si>
  <si>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</si>
  <si>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ZIRANI BAZAR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</si>
  <si>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</si>
  <si>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</si>
  <si>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</si>
  <si>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</si>
  <si>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</si>
  <si>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</si>
  <si>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</si>
  <si>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</si>
  <si>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BANDURA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</si>
  <si>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</si>
  <si>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</si>
  <si>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</si>
  <si>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</si>
  <si>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</si>
  <si>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CHAWK MOGULTULY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</si>
  <si>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</si>
  <si>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</si>
  <si>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</si>
  <si>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</si>
  <si>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</si>
  <si>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</si>
  <si>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</si>
  <si>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</si>
  <si>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DOHAR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</si>
  <si>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</si>
  <si>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</si>
  <si>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</si>
  <si>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</si>
  <si>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</si>
  <si>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GANDARIA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</si>
  <si>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</si>
  <si>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</si>
  <si>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</si>
  <si>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</si>
  <si>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</si>
  <si>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</si>
  <si>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</si>
  <si>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</si>
  <si>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</si>
  <si>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</si>
  <si>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</si>
  <si>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</si>
  <si>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</si>
  <si>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</si>
  <si>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KHILGAON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</si>
  <si>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</si>
  <si>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</si>
  <si>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LALBAGH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</si>
  <si>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</si>
  <si>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</si>
  <si>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</si>
  <si>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</si>
  <si>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</si>
  <si>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</si>
  <si>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</si>
  <si>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</si>
  <si>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</si>
  <si>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</si>
  <si>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</si>
  <si>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MOUCHAK MARKET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</si>
  <si>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</si>
  <si>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</si>
  <si>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</si>
  <si>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</si>
  <si>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</si>
  <si>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</si>
  <si>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</si>
  <si>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</si>
  <si>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</si>
  <si>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</si>
  <si>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</si>
  <si>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RAMNA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</si>
  <si>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</si>
  <si>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</si>
  <si>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</si>
  <si>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</si>
  <si>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</si>
  <si>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</si>
  <si>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</si>
  <si>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</si>
  <si>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SHYAMPUR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</si>
  <si>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</si>
  <si>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</si>
  <si>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VIP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</si>
  <si>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</si>
  <si>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</si>
  <si>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WISEGHAT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</si>
  <si>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</si>
  <si>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</si>
  <si>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</si>
  <si>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</si>
  <si>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</si>
  <si>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</si>
  <si>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</si>
  <si>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</si>
  <si>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</si>
  <si>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</si>
  <si>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</si>
  <si>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SETABGANJ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</si>
  <si>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</si>
  <si>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</si>
  <si>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BHANGA SME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</si>
  <si>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</si>
  <si>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</si>
  <si>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</si>
  <si>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</si>
  <si>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</si>
  <si>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</si>
  <si>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</si>
  <si>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</si>
  <si>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COLLEGE ROAD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</si>
  <si>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</si>
  <si>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</si>
  <si>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</si>
  <si>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</si>
  <si>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</si>
  <si>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</si>
  <si>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</si>
  <si>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</si>
  <si>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PARSHURAM SME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</si>
  <si>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</si>
  <si>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</si>
  <si>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</si>
  <si>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</si>
  <si>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</si>
  <si>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</si>
  <si>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</si>
  <si>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</si>
  <si>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</si>
  <si>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</si>
  <si>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</si>
  <si>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SUNDARGANJ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</si>
  <si>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</si>
  <si>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</si>
  <si>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</si>
  <si>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</si>
  <si>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</si>
  <si>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</si>
  <si>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</si>
  <si>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</si>
  <si>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GAZIPUR SADAR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</si>
  <si>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</si>
  <si>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</si>
  <si>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</si>
  <si>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</si>
  <si>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</si>
  <si>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</si>
  <si>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</si>
  <si>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</si>
  <si>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MAWNA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</si>
  <si>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</si>
  <si>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</si>
  <si>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</si>
  <si>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</si>
  <si>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</si>
  <si>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</si>
  <si>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</si>
  <si>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</si>
  <si>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</si>
  <si>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</si>
  <si>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</si>
  <si>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</si>
  <si>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</si>
  <si>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</si>
  <si>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NABIGANJ SME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</si>
  <si>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</si>
  <si>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</si>
  <si>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SHAYESTAGANJ SME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</si>
  <si>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</si>
  <si>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</si>
  <si>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</si>
  <si>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</si>
  <si>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</si>
  <si>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PANCHBIBI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</si>
  <si>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</si>
  <si>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</si>
  <si>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BAKSHIGANJ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</si>
  <si>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</si>
  <si>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</si>
  <si>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</si>
  <si>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</si>
  <si>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</si>
  <si>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TARAKANDI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</si>
  <si>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</si>
  <si>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</si>
  <si>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</si>
  <si>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</si>
  <si>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</si>
  <si>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CHOWGACHA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</si>
  <si>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</si>
  <si>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</si>
  <si>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</si>
  <si>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</si>
  <si>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</si>
  <si>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JHIKARGACHA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</si>
  <si>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</si>
  <si>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</si>
  <si>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</si>
  <si>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</si>
  <si>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</si>
  <si>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</si>
  <si>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</si>
  <si>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</si>
  <si>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</si>
  <si>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</si>
  <si>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</si>
  <si>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</si>
  <si>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</si>
  <si>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</si>
  <si>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DAK BANGLA BAZAR SME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</si>
  <si>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</si>
  <si>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</si>
  <si>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</si>
  <si>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</si>
  <si>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</si>
  <si>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</si>
  <si>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</si>
  <si>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</si>
  <si>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KOTCHANDPUR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</si>
  <si>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</si>
  <si>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</si>
  <si>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</si>
  <si>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</si>
  <si>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</si>
  <si>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</si>
  <si>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</si>
  <si>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</si>
  <si>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KDA AVENUE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</si>
  <si>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</si>
  <si>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</si>
  <si>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</si>
  <si>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</si>
  <si>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</si>
  <si>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PAIKGACHA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</si>
  <si>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</si>
  <si>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</si>
  <si>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PHULTALA BAZAR SME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</si>
  <si>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</si>
  <si>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</si>
  <si>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BHAIRAB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</si>
  <si>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</si>
  <si>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</si>
  <si>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KATIADI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</si>
  <si>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</si>
  <si>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</si>
  <si>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</si>
  <si>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</si>
  <si>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</si>
  <si>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BHURUNGAMARI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</si>
  <si>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</si>
  <si>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</si>
  <si>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</si>
  <si>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</si>
  <si>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</si>
  <si>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ROWMARI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</si>
  <si>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</si>
  <si>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</si>
  <si>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KUMARKHALI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</si>
  <si>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</si>
  <si>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</si>
  <si>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</si>
  <si>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</si>
  <si>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</si>
  <si>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PORADAH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</si>
  <si>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</si>
  <si>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</si>
  <si>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HAZIRHAT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</si>
  <si>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</si>
  <si>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</si>
  <si>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</si>
  <si>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</si>
  <si>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</si>
  <si>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</si>
  <si>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</si>
  <si>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</si>
  <si>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</si>
  <si>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</si>
  <si>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</si>
  <si>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</si>
  <si>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</si>
  <si>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</si>
  <si>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</si>
  <si>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</si>
  <si>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</si>
  <si>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PATGRAM SME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</si>
  <si>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</si>
  <si>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</si>
  <si>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CHARMUGURIA SME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</si>
  <si>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</si>
  <si>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</si>
  <si>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KALKINI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</si>
  <si>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</si>
  <si>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</si>
  <si>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</si>
  <si>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</si>
  <si>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</si>
  <si>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</si>
  <si>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</si>
  <si>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</si>
  <si>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</si>
  <si>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</si>
  <si>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</si>
  <si>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</si>
  <si>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</si>
  <si>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</si>
  <si>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SHIBALAYA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</si>
  <si>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</si>
  <si>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</si>
  <si>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</si>
  <si>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</si>
  <si>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</si>
  <si>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</si>
  <si>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</si>
  <si>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</si>
  <si>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</si>
  <si>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</si>
  <si>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</si>
  <si>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</si>
  <si>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</si>
  <si>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</si>
  <si>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</si>
  <si>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</si>
  <si>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</si>
  <si>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</si>
  <si>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</si>
  <si>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</si>
  <si>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</si>
  <si>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</si>
  <si>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</si>
  <si>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</si>
  <si>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</si>
  <si>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</si>
  <si>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NIMTALA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</si>
  <si>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</si>
  <si>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</si>
  <si>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</si>
  <si>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</si>
  <si>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</si>
  <si>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</si>
  <si>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</si>
  <si>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</si>
  <si>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MUKTAGACHA SME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</si>
  <si>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</si>
  <si>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</si>
  <si>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</si>
  <si>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</si>
  <si>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</si>
  <si>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</si>
  <si>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</si>
  <si>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</si>
  <si>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</si>
  <si>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</si>
  <si>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</si>
  <si>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</si>
  <si>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</si>
  <si>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</si>
  <si>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</si>
  <si>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</si>
  <si>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</si>
  <si>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NAZIPUR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</si>
  <si>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</si>
  <si>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</si>
  <si>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SAPAHAR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</si>
  <si>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</si>
  <si>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</si>
  <si>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LOHAGARA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</si>
  <si>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</si>
  <si>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</si>
  <si>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</si>
  <si>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</si>
  <si>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</si>
  <si>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ARAIHAZAR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</si>
  <si>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</si>
  <si>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</si>
  <si>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</si>
  <si>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</si>
  <si>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</si>
  <si>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</si>
  <si>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</si>
  <si>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</si>
  <si>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KATCHPUR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</si>
  <si>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</si>
  <si>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</si>
  <si>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</si>
  <si>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</si>
  <si>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</si>
  <si>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NITAIGANJ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</si>
  <si>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</si>
  <si>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</si>
  <si>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SONARGAON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</si>
  <si>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</si>
  <si>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</si>
  <si>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</si>
  <si>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</si>
  <si>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</si>
  <si>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</si>
  <si>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</si>
  <si>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</si>
  <si>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</si>
  <si>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</si>
  <si>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</si>
  <si>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PALASH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</si>
  <si>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</si>
  <si>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</si>
  <si>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RAIPURA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</si>
  <si>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</si>
  <si>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</si>
  <si>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CHANCHAKOIR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</si>
  <si>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</si>
  <si>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</si>
  <si>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</si>
  <si>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</si>
  <si>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</si>
  <si>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</si>
  <si>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</si>
  <si>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</si>
  <si>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</si>
  <si>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</si>
  <si>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</si>
  <si>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</si>
  <si>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</si>
  <si>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</si>
  <si>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</si>
  <si>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</si>
  <si>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</si>
  <si>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JALDHAKA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</si>
  <si>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</si>
  <si>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</si>
  <si>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</si>
  <si>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</si>
  <si>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</si>
  <si>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</si>
  <si>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</si>
  <si>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</si>
  <si>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BANK ROAD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</si>
  <si>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</si>
  <si>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</si>
  <si>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</si>
  <si>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</si>
  <si>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</si>
  <si>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CHAPRASHIRHAT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</si>
  <si>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</si>
  <si>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</si>
  <si>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</si>
  <si>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</si>
  <si>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</si>
  <si>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</si>
  <si>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</si>
  <si>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</si>
  <si>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</si>
  <si>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</si>
  <si>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</si>
  <si>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SENBAG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</si>
  <si>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</si>
  <si>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</si>
  <si>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</si>
  <si>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</si>
  <si>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</si>
  <si>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SUBARNA CHAR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</si>
  <si>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</si>
  <si>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</si>
  <si>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CHATMOHAR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</si>
  <si>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</si>
  <si>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</si>
  <si>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</si>
  <si>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</si>
  <si>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</si>
  <si>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KASHINATHPUR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</si>
  <si>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</si>
  <si>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</si>
  <si>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</si>
  <si>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</si>
  <si>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</si>
  <si>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SANTHIA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</si>
  <si>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</si>
  <si>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</si>
  <si>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SUJANAGAR SME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</si>
  <si>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</si>
  <si>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</si>
  <si>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DEBIGANJ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</si>
  <si>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</si>
  <si>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</si>
  <si>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</si>
  <si>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</si>
  <si>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</si>
  <si>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KALAPARA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</si>
  <si>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</si>
  <si>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</si>
  <si>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</si>
  <si>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</si>
  <si>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</si>
  <si>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</si>
  <si>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</si>
  <si>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</si>
  <si>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</si>
  <si>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</si>
  <si>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</si>
  <si>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MIARHAT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</si>
  <si>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</si>
  <si>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</si>
  <si>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</si>
  <si>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</si>
  <si>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</si>
  <si>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</si>
  <si>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</si>
  <si>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</si>
  <si>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BHAWANIGANJ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</si>
  <si>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</si>
  <si>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</si>
  <si>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KESHOREHAT SME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</si>
  <si>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</si>
  <si>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</si>
  <si>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</si>
  <si>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</si>
  <si>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</si>
  <si>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</si>
  <si>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</si>
  <si>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</si>
  <si>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</si>
  <si>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</si>
  <si>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</si>
  <si>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</si>
  <si>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</si>
  <si>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</si>
  <si>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</si>
  <si>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</si>
  <si>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</si>
  <si>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DHAP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</si>
  <si>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</si>
  <si>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</si>
  <si>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</si>
  <si>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</si>
  <si>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</si>
  <si>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</si>
  <si>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</si>
  <si>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</si>
  <si>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</si>
  <si>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</si>
  <si>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</si>
  <si>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</si>
  <si>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</si>
  <si>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</si>
  <si>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</si>
  <si>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</si>
  <si>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</si>
  <si>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KALAROA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</si>
  <si>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</si>
  <si>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</si>
  <si>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</si>
  <si>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</si>
  <si>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</si>
  <si>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</si>
  <si>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</si>
  <si>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</si>
  <si>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</si>
  <si>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</si>
  <si>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</si>
  <si>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</si>
  <si>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</si>
  <si>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</si>
  <si>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</si>
  <si>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</si>
  <si>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</si>
  <si>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</si>
  <si>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</si>
  <si>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</si>
  <si>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</si>
  <si>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</si>
  <si>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</si>
  <si>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</si>
  <si>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</si>
  <si>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</si>
  <si>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</si>
  <si>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</si>
  <si>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</si>
  <si>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</si>
  <si>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</si>
  <si>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</si>
  <si>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</si>
  <si>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</si>
  <si>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</si>
  <si>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</si>
  <si>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</si>
  <si>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</si>
  <si>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</si>
  <si>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</si>
  <si>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</si>
  <si>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</si>
  <si>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</si>
  <si>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</si>
  <si>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DAKSHIN SURMA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</si>
  <si>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</si>
  <si>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</si>
  <si>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</si>
  <si>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</si>
  <si>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</si>
  <si>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</si>
  <si>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</si>
  <si>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</si>
  <si>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</si>
  <si>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</si>
  <si>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</si>
  <si>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</si>
  <si>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</si>
  <si>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</si>
  <si>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</si>
  <si>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</si>
  <si>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</si>
  <si>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</si>
  <si>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</si>
  <si>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</si>
  <si>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ALLENGA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</si>
  <si>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</si>
  <si>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</si>
  <si>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MADHUPUR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</si>
  <si>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</si>
  <si>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</si>
  <si>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</si>
  <si>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</si>
  <si>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</si>
  <si>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</si>
  <si>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</si>
  <si>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ISLAMI BANK BANGLDESH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</si>
  <si>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</si>
  <si>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</si>
  <si>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</si>
  <si>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</si>
  <si>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</si>
  <si>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</si>
  <si>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</si>
  <si>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</si>
  <si>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</si>
  <si>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</si>
  <si>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</si>
  <si>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</si>
  <si>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SHERPUR SME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</si>
  <si>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</si>
  <si>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</si>
  <si>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ASHUGANJ SME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</si>
  <si>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</si>
  <si>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</si>
  <si>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</si>
  <si>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</si>
  <si>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</si>
  <si>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</si>
  <si>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</si>
  <si>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</si>
  <si>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</si>
  <si>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</si>
  <si>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</si>
  <si>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</si>
  <si>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</si>
  <si>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</si>
  <si>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AZADI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</si>
  <si>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</si>
  <si>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</si>
  <si>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</si>
  <si>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</si>
  <si>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</si>
  <si>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</si>
  <si>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</si>
  <si>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</si>
  <si>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</si>
  <si>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</si>
  <si>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</si>
  <si>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JUBILEE ROAD(ISLAMI BANKING)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</si>
  <si>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</si>
  <si>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</si>
  <si>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</si>
  <si>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</si>
  <si>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</si>
  <si>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</si>
  <si>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</si>
  <si>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</si>
  <si>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</si>
  <si>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</si>
  <si>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</si>
  <si>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NASIRABAD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</si>
  <si>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</si>
  <si>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</si>
  <si>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</si>
  <si>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</si>
  <si>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</si>
  <si>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BIZRA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</si>
  <si>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</si>
  <si>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</si>
  <si>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</si>
  <si>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</si>
  <si>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</si>
  <si>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</si>
  <si>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</si>
  <si>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</si>
  <si>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</si>
  <si>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</si>
  <si>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</si>
  <si>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NATHERPETUA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</si>
  <si>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</si>
  <si>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</si>
  <si>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SUAGAZI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</si>
  <si>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</si>
  <si>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</si>
  <si>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</si>
  <si>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</si>
  <si>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</si>
  <si>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</si>
  <si>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</si>
  <si>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</si>
  <si>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GULSHAN LINK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</si>
  <si>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</si>
  <si>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</si>
  <si>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</si>
  <si>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</si>
  <si>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</si>
  <si>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CHISTIA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</si>
  <si>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</si>
  <si>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</si>
  <si>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</si>
  <si>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</si>
  <si>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</si>
  <si>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</si>
  <si>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</si>
  <si>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</si>
  <si>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</si>
  <si>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</si>
  <si>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</si>
  <si>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KAMARPARA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</si>
  <si>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</si>
  <si>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</si>
  <si>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</si>
  <si>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</si>
  <si>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</si>
  <si>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KALAMPUR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</si>
  <si>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</si>
  <si>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</si>
  <si>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LALMATIA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</si>
  <si>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</si>
  <si>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</si>
  <si>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</si>
  <si>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</si>
  <si>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</si>
  <si>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MIRPUR-1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</si>
  <si>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</si>
  <si>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</si>
  <si>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</si>
  <si>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</si>
  <si>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</si>
  <si>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</si>
  <si>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</si>
  <si>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</si>
  <si>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RAYERBAGH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</si>
  <si>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</si>
  <si>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</si>
  <si>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</si>
  <si>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</si>
  <si>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</si>
  <si>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</si>
  <si>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</si>
  <si>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</si>
  <si>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</si>
  <si>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</si>
  <si>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</si>
  <si>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</si>
  <si>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</si>
  <si>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</si>
  <si>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</si>
  <si>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</si>
  <si>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</si>
  <si>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</si>
  <si>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</si>
  <si>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</si>
  <si>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</si>
  <si>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</si>
  <si>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</si>
  <si>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</si>
  <si>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</si>
  <si>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</si>
  <si>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</si>
  <si>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</si>
  <si>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</si>
  <si>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</si>
  <si>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</si>
  <si>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</si>
  <si>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</si>
  <si>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</si>
  <si>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</si>
  <si>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JURAIN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</si>
  <si>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</si>
  <si>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</si>
  <si>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</si>
  <si>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</si>
  <si>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</si>
  <si>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</si>
  <si>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</si>
  <si>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</si>
  <si>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</si>
  <si>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</si>
  <si>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</si>
  <si>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NAYA BAZAR ISLAMI BANKING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</si>
  <si>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</si>
  <si>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</si>
  <si>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</si>
  <si>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</si>
  <si>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</si>
  <si>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SONARGAON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</si>
  <si>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</si>
  <si>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</si>
  <si>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</si>
  <si>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</si>
  <si>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</si>
  <si>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SETABGANJ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</si>
  <si>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</si>
  <si>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</si>
  <si>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</si>
  <si>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</si>
  <si>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</si>
  <si>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</si>
  <si>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</si>
  <si>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</si>
  <si>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CHANDRA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</si>
  <si>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</si>
  <si>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</si>
  <si>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</si>
  <si>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</si>
  <si>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</si>
  <si>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</si>
  <si>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</si>
  <si>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</si>
  <si>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</si>
  <si>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</si>
  <si>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</si>
  <si>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</si>
  <si>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</si>
  <si>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</si>
  <si>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</si>
  <si>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</si>
  <si>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</si>
  <si>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</si>
  <si>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</si>
  <si>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</si>
  <si>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</si>
  <si>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</si>
  <si>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</si>
  <si>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</si>
  <si>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</si>
  <si>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</si>
  <si>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</si>
  <si>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</si>
  <si>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</si>
  <si>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MADARIPUR SME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</si>
  <si>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</si>
  <si>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</si>
  <si>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MOULVI BAZAR SME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</si>
  <si>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</si>
  <si>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</si>
  <si>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BALIGAON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</si>
  <si>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</si>
  <si>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</si>
  <si>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BHABER 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</si>
  <si>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</si>
  <si>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</si>
  <si>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MUNSHIGANJ SME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</si>
  <si>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</si>
  <si>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</si>
  <si>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</si>
  <si>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</si>
  <si>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</si>
  <si>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TONGI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</si>
  <si>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</si>
  <si>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</si>
  <si>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</si>
  <si>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</si>
  <si>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</si>
  <si>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</si>
  <si>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</si>
  <si>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</si>
  <si>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</si>
  <si>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</si>
  <si>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</si>
  <si>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</si>
  <si>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</si>
  <si>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</si>
  <si>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NARAYANGANJ LINK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</si>
  <si>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</si>
  <si>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</si>
  <si>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</si>
  <si>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</si>
  <si>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</si>
  <si>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KANCHAN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</si>
  <si>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</si>
  <si>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</si>
  <si>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KATCHPUR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</si>
  <si>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</si>
  <si>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</si>
  <si>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MURAPARA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</si>
  <si>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</si>
  <si>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</si>
  <si>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</si>
  <si>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</si>
  <si>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</si>
  <si>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RUPGANJ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</si>
  <si>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</si>
  <si>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</si>
  <si>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TANBAZAR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</si>
  <si>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</si>
  <si>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</si>
  <si>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RUPSHI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</si>
  <si>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</si>
  <si>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</si>
  <si>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</si>
  <si>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</si>
  <si>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</si>
  <si>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</si>
  <si>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</si>
  <si>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</si>
  <si>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CHAPAI NAWABGANJ SME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</si>
  <si>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</si>
  <si>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</si>
  <si>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</si>
  <si>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</si>
  <si>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</si>
  <si>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</si>
  <si>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</si>
  <si>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</si>
  <si>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CHOWMUHANI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</si>
  <si>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</si>
  <si>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</si>
  <si>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</si>
  <si>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</si>
  <si>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</si>
  <si>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BHAWANIGANJ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</si>
  <si>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</si>
  <si>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</si>
  <si>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</si>
  <si>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</si>
  <si>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</si>
  <si>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KAUNIA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</si>
  <si>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</si>
  <si>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</si>
  <si>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PIRGACHA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</si>
  <si>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</si>
  <si>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</si>
  <si>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</si>
  <si>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</si>
  <si>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</si>
  <si>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KAZIPUR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</si>
  <si>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</si>
  <si>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</si>
  <si>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</si>
  <si>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</si>
  <si>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</si>
  <si>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</si>
  <si>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</si>
  <si>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</si>
  <si>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</si>
  <si>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</si>
  <si>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</si>
  <si>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</si>
  <si>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</si>
  <si>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</si>
  <si>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</si>
  <si>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</si>
  <si>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</si>
  <si>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</si>
  <si>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</si>
  <si>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JAMUNA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</si>
  <si>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</si>
  <si>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</si>
  <si>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</si>
  <si>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BAGERHAT(MAIN)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</si>
  <si>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</si>
  <si>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</si>
  <si>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DIGRAJ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</si>
  <si>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</si>
  <si>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</si>
  <si>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FAILAHAT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</si>
  <si>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</si>
  <si>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</si>
  <si>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LOKHPUR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</si>
  <si>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</si>
  <si>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</si>
  <si>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MONGLA PORT COMPOUND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</si>
  <si>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</si>
  <si>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</si>
  <si>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</si>
  <si>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</si>
  <si>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</si>
  <si>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PUTIKHALI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</si>
  <si>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</si>
  <si>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</si>
  <si>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RAIL ROAD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</si>
  <si>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</si>
  <si>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</si>
  <si>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RAMPAL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</si>
  <si>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</si>
  <si>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</si>
  <si>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SARANKHOLA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</si>
  <si>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</si>
  <si>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</si>
  <si>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</si>
  <si>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</si>
  <si>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</si>
  <si>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LAMA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</si>
  <si>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</si>
  <si>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</si>
  <si>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NAIKHANGCHARI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</si>
  <si>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</si>
  <si>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</si>
  <si>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AMTALI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</si>
  <si>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</si>
  <si>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</si>
  <si>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BARGUNA(MAIN)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</si>
  <si>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</si>
  <si>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</si>
  <si>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AGAILJHARA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</si>
  <si>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</si>
  <si>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</si>
  <si>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ALEKANDA BANGLA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</si>
  <si>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</si>
  <si>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</si>
  <si>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BAKERGANJ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</si>
  <si>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</si>
  <si>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</si>
  <si>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BARISAL CORPORATE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</si>
  <si>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</si>
  <si>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</si>
  <si>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BAZAR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</si>
  <si>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</si>
  <si>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</si>
  <si>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BHURGHATA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</si>
  <si>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</si>
  <si>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</si>
  <si>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</si>
  <si>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</si>
  <si>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</si>
  <si>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KALASHKATI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</si>
  <si>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</si>
  <si>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</si>
  <si>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MULADI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</si>
  <si>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</si>
  <si>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</si>
  <si>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MEDICAL COLLEGE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</si>
  <si>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</si>
  <si>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</si>
  <si>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NUTAN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</si>
  <si>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</si>
  <si>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</si>
  <si>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PADRISHIBPUR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</si>
  <si>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</si>
  <si>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</si>
  <si>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PATAR 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</si>
  <si>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</si>
  <si>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</si>
  <si>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PORT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</si>
  <si>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</si>
  <si>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</si>
  <si>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KASHIPUR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</si>
  <si>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</si>
  <si>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</si>
  <si>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SHARIKAL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</si>
  <si>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</si>
  <si>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</si>
  <si>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TORKI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</si>
  <si>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</si>
  <si>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</si>
  <si>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KAKARDHA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</si>
  <si>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</si>
  <si>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</si>
  <si>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ALINAGAR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</si>
  <si>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</si>
  <si>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</si>
  <si>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BHOLA(MAIN)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</si>
  <si>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</si>
  <si>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</si>
  <si>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BORHANUDDIN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</si>
  <si>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</si>
  <si>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</si>
  <si>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</si>
  <si>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</si>
  <si>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</si>
  <si>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DARUN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</si>
  <si>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</si>
  <si>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</si>
  <si>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KUNJERHAT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</si>
  <si>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</si>
  <si>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</si>
  <si>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LALMOHAN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</si>
  <si>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</si>
  <si>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</si>
  <si>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MUNSHIR 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</si>
  <si>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</si>
  <si>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</si>
  <si>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ADAMDIGHI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</si>
  <si>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</si>
  <si>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</si>
  <si>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BOGRA CORPORATE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</si>
  <si>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</si>
  <si>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</si>
  <si>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BSCIC IND.ESTATE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</si>
  <si>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</si>
  <si>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</si>
  <si>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CHANDAIKONA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</si>
  <si>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</si>
  <si>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</si>
  <si>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CHANDAN BAISHYA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</si>
  <si>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</si>
  <si>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</si>
  <si>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CHANDNI BAZAR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</si>
  <si>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</si>
  <si>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</si>
  <si>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FULDIGHI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</si>
  <si>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</si>
  <si>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</si>
  <si>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GODARPARA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</si>
  <si>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</si>
  <si>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</si>
  <si>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KATNERPARA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</si>
  <si>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</si>
  <si>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</si>
  <si>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KUNDAGRAM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</si>
  <si>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</si>
  <si>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</si>
  <si>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RANIRHAT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</si>
  <si>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</si>
  <si>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</si>
  <si>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RURAL DEVELOPMENT ACADEMY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</si>
  <si>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</si>
  <si>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</si>
  <si>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SANTAHAR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</si>
  <si>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</si>
  <si>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</si>
  <si>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SAPTAPADI MARKET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</si>
  <si>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</si>
  <si>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</si>
  <si>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</si>
  <si>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</si>
  <si>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</si>
  <si>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</si>
  <si>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</si>
  <si>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</si>
  <si>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SONATOLA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</si>
  <si>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</si>
  <si>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</si>
  <si>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AKHAURA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</si>
  <si>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</si>
  <si>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</si>
  <si>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ARUAIL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</si>
  <si>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</si>
  <si>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</si>
  <si>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</si>
  <si>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</si>
  <si>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</si>
  <si>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MAINPUR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</si>
  <si>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</si>
  <si>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</si>
  <si>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B.BARIA COOPERATIVE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</si>
  <si>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</si>
  <si>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</si>
  <si>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BANCHARAMPUR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</si>
  <si>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</si>
  <si>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</si>
  <si>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BAYEK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</si>
  <si>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</si>
  <si>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</si>
  <si>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BHOLACHANG PURAN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</si>
  <si>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</si>
  <si>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</si>
  <si>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BIDYAKUT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</si>
  <si>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</si>
  <si>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</si>
  <si>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BRAHMANBARIA(MAIN)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</si>
  <si>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</si>
  <si>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</si>
  <si>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CHUNTA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</si>
  <si>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</si>
  <si>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</si>
  <si>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KRISNA 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</si>
  <si>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</si>
  <si>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</si>
  <si>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CHINAIR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</si>
  <si>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</si>
  <si>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</si>
  <si>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</si>
  <si>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</si>
  <si>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</si>
  <si>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KUTI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</si>
  <si>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</si>
  <si>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</si>
  <si>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MOGRA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</si>
  <si>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</si>
  <si>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</si>
  <si>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</si>
  <si>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</si>
  <si>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</si>
  <si>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NIAZPARK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</si>
  <si>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</si>
  <si>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</si>
  <si>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RUPASDI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</si>
  <si>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</si>
  <si>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</si>
  <si>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SARAIL CO-OPERATIVE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</si>
  <si>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</si>
  <si>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</si>
  <si>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SHUHILPUR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</si>
  <si>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</si>
  <si>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</si>
  <si>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TANBAZAR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</si>
  <si>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</si>
  <si>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</si>
  <si>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UJANCHAR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</si>
  <si>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</si>
  <si>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</si>
  <si>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ZIA SARKARKHANA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</si>
  <si>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</si>
  <si>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</si>
  <si>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BALITHUBA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</si>
  <si>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</si>
  <si>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</si>
  <si>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BEPANIBAG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</si>
  <si>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</si>
  <si>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</si>
  <si>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CHANDPUR CO-OPERATVE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</si>
  <si>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</si>
  <si>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</si>
  <si>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CHANDPUR PURAN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</si>
  <si>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</si>
  <si>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</si>
  <si>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FARIDGANJ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</si>
  <si>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</si>
  <si>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</si>
  <si>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GALLAK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</si>
  <si>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</si>
  <si>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</si>
  <si>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</si>
  <si>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</si>
  <si>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</si>
  <si>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</si>
  <si>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</si>
  <si>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</si>
  <si>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</si>
  <si>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</si>
  <si>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</si>
  <si>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MATLAB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</si>
  <si>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</si>
  <si>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</si>
  <si>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MOHANPUR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</si>
  <si>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</si>
  <si>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</si>
  <si>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SUJATPUR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</si>
  <si>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</si>
  <si>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</si>
  <si>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</si>
  <si>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</si>
  <si>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</si>
  <si>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PALAKHAL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</si>
  <si>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</si>
  <si>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</si>
  <si>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SATBARIA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</si>
  <si>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</si>
  <si>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</si>
  <si>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SENGARCHAR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</si>
  <si>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</si>
  <si>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</si>
  <si>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SUCHIPARA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</si>
  <si>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</si>
  <si>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</si>
  <si>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AMBAGAN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</si>
  <si>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</si>
  <si>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</si>
  <si>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AMIR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</si>
  <si>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</si>
  <si>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</si>
  <si>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CHITTAGONG VETERINARY AND ANIMAL SCIENCES UNIVERSITY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</si>
  <si>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</si>
  <si>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</si>
  <si>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ASAD GANJ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</si>
  <si>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</si>
  <si>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</si>
  <si>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ASHRAF ALI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</si>
  <si>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</si>
  <si>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</si>
  <si>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ATURAR DEPO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</si>
  <si>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</si>
  <si>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</si>
  <si>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BAIZID BOSTAMI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</si>
  <si>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</si>
  <si>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</si>
  <si>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BALUCHARA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</si>
  <si>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</si>
  <si>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</si>
  <si>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BARABKUNDA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</si>
  <si>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</si>
  <si>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</si>
  <si>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BOMANGHAT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</si>
  <si>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</si>
  <si>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</si>
  <si>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BURISCHAR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</si>
  <si>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</si>
  <si>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</si>
  <si>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</si>
  <si>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</si>
  <si>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</si>
  <si>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C.U.F.L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</si>
  <si>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</si>
  <si>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</si>
  <si>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CHAKBAZAR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</si>
  <si>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</si>
  <si>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</si>
  <si>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</si>
  <si>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</si>
  <si>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</si>
  <si>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CHITTAGONG CANTONMENT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</si>
  <si>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</si>
  <si>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</si>
  <si>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CHITTAGONG UNIVERSITY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</si>
  <si>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</si>
  <si>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</si>
  <si>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CHOWDHURI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</si>
  <si>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</si>
  <si>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</si>
  <si>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CITY CORPORATION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</si>
  <si>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</si>
  <si>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</si>
  <si>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COLONEL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</si>
  <si>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</si>
  <si>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</si>
  <si>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</si>
  <si>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</si>
  <si>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</si>
  <si>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</si>
  <si>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</si>
  <si>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</si>
  <si>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DRY DOCK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</si>
  <si>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</si>
  <si>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</si>
  <si>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FAIZIA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</si>
  <si>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</si>
  <si>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</si>
  <si>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</si>
  <si>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</si>
  <si>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</si>
  <si>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FERINGHEE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</si>
  <si>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</si>
  <si>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</si>
  <si>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FOREIGN EXCHANGE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</si>
  <si>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</si>
  <si>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</si>
  <si>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GOHIRA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</si>
  <si>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</si>
  <si>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</si>
  <si>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H.S.S.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</si>
  <si>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</si>
  <si>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</si>
  <si>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</si>
  <si>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</si>
  <si>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</si>
  <si>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JALIL NAGAR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</si>
  <si>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</si>
  <si>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</si>
  <si>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JORARGANJ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</si>
  <si>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</si>
  <si>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</si>
  <si>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</si>
  <si>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</si>
  <si>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</si>
  <si>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</si>
  <si>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</si>
  <si>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</si>
  <si>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KALURGHAT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</si>
  <si>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</si>
  <si>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</si>
  <si>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KAMAR ALI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</si>
  <si>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</si>
  <si>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</si>
  <si>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KARERHAT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</si>
  <si>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</si>
  <si>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</si>
  <si>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KATGHAR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</si>
  <si>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</si>
  <si>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</si>
  <si>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KAZIR DEWRI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</si>
  <si>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</si>
  <si>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</si>
  <si>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KHATUNGANJ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</si>
  <si>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</si>
  <si>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</si>
  <si>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BAKOLIA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</si>
  <si>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</si>
  <si>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</si>
  <si>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KUMIRA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</si>
  <si>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</si>
  <si>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</si>
  <si>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</si>
  <si>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</si>
  <si>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</si>
  <si>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LALDIGHI EAST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</si>
  <si>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</si>
  <si>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</si>
  <si>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</si>
  <si>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</si>
  <si>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</si>
  <si>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MIMI SUPER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</si>
  <si>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</si>
  <si>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</si>
  <si>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MIRSARAI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</si>
  <si>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</si>
  <si>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</si>
  <si>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MOHAMMEDPUR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</si>
  <si>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</si>
  <si>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</si>
  <si>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</si>
  <si>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</si>
  <si>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</si>
  <si>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</si>
  <si>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</si>
  <si>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</si>
  <si>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</si>
  <si>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</si>
  <si>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</si>
  <si>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PADUA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</si>
  <si>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</si>
  <si>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</si>
  <si>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</si>
  <si>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</si>
  <si>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</si>
  <si>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</si>
  <si>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</si>
  <si>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</si>
  <si>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POMRA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</si>
  <si>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</si>
  <si>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</si>
  <si>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PORT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</si>
  <si>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</si>
  <si>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</si>
  <si>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POTENGA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</si>
  <si>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</si>
  <si>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</si>
  <si>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REAZUDDIN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</si>
  <si>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</si>
  <si>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</si>
  <si>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RUPKANIA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</si>
  <si>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</si>
  <si>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</si>
  <si>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SADARAN BIMA BHABAN CORP.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</si>
  <si>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</si>
  <si>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</si>
  <si>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</si>
  <si>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</si>
  <si>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</si>
  <si>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SALIMPUR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</si>
  <si>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</si>
  <si>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</si>
  <si>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SARKERHAT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</si>
  <si>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</si>
  <si>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</si>
  <si>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SHAHERKHALI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</si>
  <si>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</si>
  <si>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</si>
  <si>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</si>
  <si>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</si>
  <si>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</si>
  <si>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SK. MUJIB ROAD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</si>
  <si>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</si>
  <si>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</si>
  <si>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STRAND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</si>
  <si>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</si>
  <si>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</si>
  <si>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TERRI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</si>
  <si>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</si>
  <si>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</si>
  <si>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WASA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</si>
  <si>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</si>
  <si>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</si>
  <si>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</si>
  <si>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</si>
  <si>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</si>
  <si>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RAIL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</si>
  <si>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</si>
  <si>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</si>
  <si>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CHUADANGA(MAIN)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</si>
  <si>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</si>
  <si>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</si>
  <si>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DARSHANA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</si>
  <si>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</si>
  <si>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</si>
  <si>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HASHADAH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</si>
  <si>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</si>
  <si>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</si>
  <si>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JIBAN NAGAR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</si>
  <si>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</si>
  <si>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</si>
  <si>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KAPASHDANGA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</si>
  <si>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</si>
  <si>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</si>
  <si>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A.K. FAZLUL HOQ ROAD CORPORATE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</si>
  <si>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</si>
  <si>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</si>
  <si>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ALKARA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</si>
  <si>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</si>
  <si>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</si>
  <si>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SHUAGANJ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</si>
  <si>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</si>
  <si>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</si>
  <si>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ELEHABAD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</si>
  <si>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</si>
  <si>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</si>
  <si>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BAIRA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</si>
  <si>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</si>
  <si>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</si>
  <si>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</si>
  <si>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</si>
  <si>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</si>
  <si>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BATA KANDI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</si>
  <si>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</si>
  <si>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</si>
  <si>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BAUKSHAR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</si>
  <si>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</si>
  <si>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</si>
  <si>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BHARASHAR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</si>
  <si>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</si>
  <si>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</si>
  <si>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BULAIN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</si>
  <si>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</si>
  <si>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</si>
  <si>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BURICHANG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</si>
  <si>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</si>
  <si>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</si>
  <si>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CHANDINA SAMABAY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</si>
  <si>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</si>
  <si>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</si>
  <si>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</si>
  <si>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</si>
  <si>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</si>
  <si>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</si>
  <si>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</si>
  <si>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</si>
  <si>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COMILLA UNIVERSITY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</si>
  <si>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</si>
  <si>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</si>
  <si>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COMILLA CADET COLLEGE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</si>
  <si>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</si>
  <si>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</si>
  <si>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COMILLA COOPERATIVE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</si>
  <si>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</si>
  <si>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</si>
  <si>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COMILLA CORPORATE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</si>
  <si>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</si>
  <si>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</si>
  <si>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COMILLA E.P.Z.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</si>
  <si>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</si>
  <si>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</si>
  <si>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</si>
  <si>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</si>
  <si>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</si>
  <si>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DAUDKANDI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</si>
  <si>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</si>
  <si>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</si>
  <si>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DEBIDWAR(NEW MARKET)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</si>
  <si>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</si>
  <si>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</si>
  <si>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DHARMAPUR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</si>
  <si>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</si>
  <si>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</si>
  <si>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DULALPUR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</si>
  <si>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</si>
  <si>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</si>
  <si>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FAKIRBAZAR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</si>
  <si>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</si>
  <si>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</si>
  <si>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GANDAMATI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</si>
  <si>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</si>
  <si>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</si>
  <si>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GOURIPUR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</si>
  <si>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</si>
  <si>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</si>
  <si>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GUNABATI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</si>
  <si>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</si>
  <si>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</si>
  <si>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HOMNA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</si>
  <si>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</si>
  <si>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</si>
  <si>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JAFARGANJ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</si>
  <si>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</si>
  <si>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</si>
  <si>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KAMALLA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</si>
  <si>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</si>
  <si>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</si>
  <si>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KANDIRPAR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</si>
  <si>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</si>
  <si>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</si>
  <si>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</si>
  <si>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</si>
  <si>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</si>
  <si>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MOHANPUR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</si>
  <si>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</si>
  <si>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</si>
  <si>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NALGHAR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</si>
  <si>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</si>
  <si>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</si>
  <si>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</si>
  <si>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</si>
  <si>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</si>
  <si>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PAYERKHOLA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</si>
  <si>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</si>
  <si>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</si>
  <si>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RAMCHANDRAPUR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</si>
  <si>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</si>
  <si>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</si>
  <si>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RAMKRISNAPUR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</si>
  <si>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</si>
  <si>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</si>
  <si>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SHAHEBABAD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</si>
  <si>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</si>
  <si>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</si>
  <si>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SHASANGACHA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</si>
  <si>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</si>
  <si>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</si>
  <si>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SHASHIDAL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</si>
  <si>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</si>
  <si>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</si>
  <si>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SUNDALPUR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</si>
  <si>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</si>
  <si>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</si>
  <si>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</si>
  <si>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</si>
  <si>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</si>
  <si>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COX'S BAZAR(MAIN)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</si>
  <si>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</si>
  <si>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</si>
  <si>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KUTUBDIA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</si>
  <si>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</si>
  <si>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</si>
  <si>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PEKUYA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</si>
  <si>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</si>
  <si>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</si>
  <si>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</si>
  <si>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</si>
  <si>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</si>
  <si>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</si>
  <si>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</si>
  <si>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</si>
  <si>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</si>
  <si>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</si>
  <si>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</si>
  <si>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JAMUNA FUTURE PARK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</si>
  <si>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</si>
  <si>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</si>
  <si>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BADDA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</si>
  <si>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</si>
  <si>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</si>
  <si>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</si>
  <si>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</si>
  <si>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</si>
  <si>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BEGUM ROKEYA SAWRANI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</si>
  <si>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</si>
  <si>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</si>
  <si>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</si>
  <si>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</si>
  <si>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</si>
  <si>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DHAKA COLLEGE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</si>
  <si>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</si>
  <si>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</si>
  <si>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DHAMRAI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</si>
  <si>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</si>
  <si>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</si>
  <si>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</si>
  <si>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</si>
  <si>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</si>
  <si>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ELEPHANT ROAD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</si>
  <si>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</si>
  <si>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</si>
  <si>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FARMGATE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</si>
  <si>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</si>
  <si>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</si>
  <si>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GONOSHASTHYA KENDRA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</si>
  <si>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</si>
  <si>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</si>
  <si>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</si>
  <si>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</si>
  <si>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</si>
  <si>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GULSHAN CIRCLE-1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</si>
  <si>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</si>
  <si>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</si>
  <si>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GULSHAN CIRCLE-2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</si>
  <si>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</si>
  <si>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</si>
  <si>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HAZARIBAGH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</si>
  <si>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</si>
  <si>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</si>
  <si>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KAMAL ATATURK AVENUE CORP.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</si>
  <si>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</si>
  <si>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</si>
  <si>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KARWAN BAZAR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</si>
  <si>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</si>
  <si>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</si>
  <si>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MIRPUR SECTION-1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</si>
  <si>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</si>
  <si>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</si>
  <si>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MIRPUR SECTION-10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</si>
  <si>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</si>
  <si>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</si>
  <si>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MOHAKHALI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</si>
  <si>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</si>
  <si>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</si>
  <si>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MOHAMMADPUR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</si>
  <si>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</si>
  <si>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</si>
  <si>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NAYARHAT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</si>
  <si>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</si>
  <si>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</si>
  <si>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</si>
  <si>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</si>
  <si>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</si>
  <si>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BALUGHAT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</si>
  <si>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</si>
  <si>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</si>
  <si>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POLLY BIDDUTAION BOARD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</si>
  <si>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</si>
  <si>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</si>
  <si>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 FRULBARIA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</si>
  <si>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</si>
  <si>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</si>
  <si>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RAJANI GANDA SUPER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</si>
  <si>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</si>
  <si>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</si>
  <si>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RAYER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</si>
  <si>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</si>
  <si>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</si>
  <si>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RUPNAGAR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</si>
  <si>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</si>
  <si>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</si>
  <si>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SATMASJID ROAD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</si>
  <si>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</si>
  <si>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</si>
  <si>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</si>
  <si>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</si>
  <si>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</si>
  <si>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SHER-E-BANGLA NAGAR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</si>
  <si>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</si>
  <si>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</si>
  <si>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</si>
  <si>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</si>
  <si>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</si>
  <si>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TEJGAON INDUSTRIAL AREA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</si>
  <si>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</si>
  <si>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</si>
  <si>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UNIVERSITY GRANTS COMMISSION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</si>
  <si>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</si>
  <si>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</si>
  <si>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UTTAR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</si>
  <si>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</si>
  <si>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</si>
  <si>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</si>
  <si>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</si>
  <si>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</si>
  <si>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</si>
  <si>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</si>
  <si>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</si>
  <si>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NAWAB ABDUL GANI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</si>
  <si>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</si>
  <si>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</si>
  <si>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ASHRAFABAD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</si>
  <si>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</si>
  <si>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</si>
  <si>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ABUL HASANAT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</si>
  <si>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</si>
  <si>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</si>
  <si>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</si>
  <si>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</si>
  <si>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</si>
  <si>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ARMANITOLA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</si>
  <si>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</si>
  <si>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</si>
  <si>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BANGLA MOTOR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</si>
  <si>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</si>
  <si>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</si>
  <si>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</si>
  <si>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</si>
  <si>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</si>
  <si>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ARAMBAG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</si>
  <si>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</si>
  <si>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</si>
  <si>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CHAMPATALI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</si>
  <si>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</si>
  <si>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</si>
  <si>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</si>
  <si>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</si>
  <si>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</si>
  <si>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DHAKA SHERATON HOTEL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</si>
  <si>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</si>
  <si>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</si>
  <si>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DHAKA UNIVERSITY CAMPUS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</si>
  <si>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</si>
  <si>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</si>
  <si>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DHAKESWARI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</si>
  <si>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</si>
  <si>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</si>
  <si>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DILKUSHA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</si>
  <si>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</si>
  <si>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</si>
  <si>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GALIMPUR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</si>
  <si>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</si>
  <si>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</si>
  <si>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DMCH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</si>
  <si>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</si>
  <si>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</si>
  <si>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EMPLOYMENT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</si>
  <si>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</si>
  <si>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</si>
  <si>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ENGLISH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</si>
  <si>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</si>
  <si>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</si>
  <si>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FAKIRAPOOL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</si>
  <si>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</si>
  <si>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</si>
  <si>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FARASHGANJ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</si>
  <si>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</si>
  <si>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</si>
  <si>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FOREIGN EXCHANGE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</si>
  <si>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</si>
  <si>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</si>
  <si>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</si>
  <si>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</si>
  <si>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</si>
  <si>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GANDARIA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</si>
  <si>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</si>
  <si>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</si>
  <si>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HATKHOLA ROAD(LADIES)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</si>
  <si>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</si>
  <si>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</si>
  <si>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</si>
  <si>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</si>
  <si>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</si>
  <si>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ICMH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</si>
  <si>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</si>
  <si>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</si>
  <si>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IMAMGANJ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</si>
  <si>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</si>
  <si>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</si>
  <si>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ISLAMPUR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</si>
  <si>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</si>
  <si>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</si>
  <si>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IWTA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</si>
  <si>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</si>
  <si>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</si>
  <si>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JANATA BHABAN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</si>
  <si>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</si>
  <si>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</si>
  <si>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JURAIN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</si>
  <si>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</si>
  <si>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</si>
  <si>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KAMALAPUR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</si>
  <si>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</si>
  <si>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</si>
  <si>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KAPTAN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</si>
  <si>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</si>
  <si>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</si>
  <si>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KHILGAON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</si>
  <si>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</si>
  <si>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</si>
  <si>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LAXMI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</si>
  <si>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</si>
  <si>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</si>
  <si>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</si>
  <si>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</si>
  <si>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</si>
  <si>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MITFORD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</si>
  <si>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</si>
  <si>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</si>
  <si>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</si>
  <si>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</si>
  <si>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</si>
  <si>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MOKIM KATRA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</si>
  <si>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</si>
  <si>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</si>
  <si>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MOTIJHEEL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</si>
  <si>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</si>
  <si>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</si>
  <si>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MOUCHAK MARKET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</si>
  <si>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</si>
  <si>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</si>
  <si>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MUGDA 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</si>
  <si>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</si>
  <si>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</si>
  <si>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NAGAR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</si>
  <si>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</si>
  <si>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</si>
  <si>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NARINDA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</si>
  <si>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</si>
  <si>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</si>
  <si>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</si>
  <si>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</si>
  <si>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</si>
  <si>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NAWABPUR ROAD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</si>
  <si>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</si>
  <si>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</si>
  <si>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NAZIMUDDIN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</si>
  <si>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</si>
  <si>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</si>
  <si>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NRB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</si>
  <si>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</si>
  <si>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</si>
  <si>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ZERO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</si>
  <si>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</si>
  <si>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</si>
  <si>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POSTA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</si>
  <si>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</si>
  <si>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</si>
  <si>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POSTAGOLA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</si>
  <si>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</si>
  <si>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</si>
  <si>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PURANA 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</si>
  <si>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</si>
  <si>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</si>
  <si>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RAJARBAGH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</si>
  <si>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</si>
  <si>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</si>
  <si>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RAJUK BHABAN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</si>
  <si>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</si>
  <si>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</si>
  <si>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RAMNA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</si>
  <si>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</si>
  <si>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</si>
  <si>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</si>
  <si>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</si>
  <si>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</si>
  <si>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</si>
  <si>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</si>
  <si>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</si>
  <si>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SARULIA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</si>
  <si>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</si>
  <si>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</si>
  <si>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SHANTINAGAR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</si>
  <si>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</si>
  <si>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</si>
  <si>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SHYAMPUR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</si>
  <si>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</si>
  <si>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</si>
  <si>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SONARGAON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</si>
  <si>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</si>
  <si>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</si>
  <si>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THATARI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</si>
  <si>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</si>
  <si>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</si>
  <si>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TIPU SULTAN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</si>
  <si>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</si>
  <si>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</si>
  <si>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TOPKHANA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</si>
  <si>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</si>
  <si>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</si>
  <si>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URDU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</si>
  <si>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</si>
  <si>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</si>
  <si>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VICTORIA PARK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</si>
  <si>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</si>
  <si>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</si>
  <si>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WAPDA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</si>
  <si>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</si>
  <si>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</si>
  <si>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WASA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</si>
  <si>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</si>
  <si>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</si>
  <si>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</si>
  <si>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</si>
  <si>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</si>
  <si>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AFTABGANJ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</si>
  <si>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</si>
  <si>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</si>
  <si>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BAHADUR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</si>
  <si>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</si>
  <si>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</si>
  <si>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BAROBANDAR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</si>
  <si>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</si>
  <si>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</si>
  <si>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</si>
  <si>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</si>
  <si>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</si>
  <si>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CHIRIRBANDAR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</si>
  <si>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</si>
  <si>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</si>
  <si>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DINAJPUR CORPORATE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</si>
  <si>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</si>
  <si>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</si>
  <si>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DINAJPUR MEDICAL COLLEGE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</si>
  <si>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</si>
  <si>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</si>
  <si>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KABIRAJ 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</si>
  <si>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</si>
  <si>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</si>
  <si>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MONMATHPUR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</si>
  <si>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</si>
  <si>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</si>
  <si>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NARABARI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</si>
  <si>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</si>
  <si>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</si>
  <si>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PARBATIPUR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</si>
  <si>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</si>
  <si>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</si>
  <si>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PHULBARI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</si>
  <si>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</si>
  <si>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</si>
  <si>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PULHAT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</si>
  <si>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</si>
  <si>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</si>
  <si>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HILI STHALA BANELAR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</si>
  <si>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</si>
  <si>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</si>
  <si>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DASMAIL MORE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</si>
  <si>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</si>
  <si>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</si>
  <si>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SETABGANJ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</si>
  <si>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</si>
  <si>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</si>
  <si>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</si>
  <si>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</si>
  <si>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</si>
  <si>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FARIDPUR CORPORATE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</si>
  <si>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</si>
  <si>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</si>
  <si>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GOALCHAMAT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</si>
  <si>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</si>
  <si>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</si>
  <si>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KALAMIRDHA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</si>
  <si>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</si>
  <si>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</si>
  <si>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BOALMARI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</si>
  <si>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</si>
  <si>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</si>
  <si>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</si>
  <si>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</si>
  <si>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</si>
  <si>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TITUMIR MARKET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</si>
  <si>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</si>
  <si>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</si>
  <si>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BAKER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</si>
  <si>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</si>
  <si>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</si>
  <si>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</si>
  <si>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</si>
  <si>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</si>
  <si>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COLLEGE ROAD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</si>
  <si>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</si>
  <si>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</si>
  <si>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</si>
  <si>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</si>
  <si>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</si>
  <si>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DUDMUKHA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</si>
  <si>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</si>
  <si>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</si>
  <si>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FENI(MAIN)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</si>
  <si>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</si>
  <si>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</si>
  <si>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FULGAZI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</si>
  <si>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</si>
  <si>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</si>
  <si>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HAZIR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</si>
  <si>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</si>
  <si>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</si>
  <si>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MOHIPAL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</si>
  <si>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</si>
  <si>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</si>
  <si>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MOHURIGANJ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</si>
  <si>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</si>
  <si>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</si>
  <si>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MOTIGANJ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</si>
  <si>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</si>
  <si>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</si>
  <si>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MUNSHIRHAT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</si>
  <si>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</si>
  <si>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</si>
  <si>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OLAMA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</si>
  <si>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</si>
  <si>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</si>
  <si>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PARSHURAM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</si>
  <si>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</si>
  <si>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</si>
  <si>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</si>
  <si>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</si>
  <si>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</si>
  <si>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</si>
  <si>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</si>
  <si>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</si>
  <si>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KALIR BAZAR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</si>
  <si>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</si>
  <si>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</si>
  <si>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BAMONDANGA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</si>
  <si>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</si>
  <si>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</si>
  <si>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BRIDGE ROAD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</si>
  <si>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</si>
  <si>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</si>
  <si>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GAIBANDHA(MAIN)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</si>
  <si>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</si>
  <si>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</si>
  <si>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</si>
  <si>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</si>
  <si>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</si>
  <si>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 LAXMIPUR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</si>
  <si>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</si>
  <si>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</si>
  <si>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MIRGONJ BAZAR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</si>
  <si>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</si>
  <si>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</si>
  <si>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PALASHBARI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</si>
  <si>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</si>
  <si>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</si>
  <si>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TULSHIGHAT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</si>
  <si>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</si>
  <si>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</si>
  <si>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</si>
  <si>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</si>
  <si>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</si>
  <si>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</si>
  <si>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</si>
  <si>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</si>
  <si>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MOUCHAK SCOUT CAMP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</si>
  <si>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</si>
  <si>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</si>
  <si>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OPEN UNIVERSITY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</si>
  <si>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</si>
  <si>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</si>
  <si>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PORABARI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</si>
  <si>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</si>
  <si>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</si>
  <si>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</si>
  <si>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</si>
  <si>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</si>
  <si>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GOPALGANJ CORPORATE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</si>
  <si>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</si>
  <si>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</si>
  <si>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KOTALIPARA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</si>
  <si>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</si>
  <si>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</si>
  <si>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</si>
  <si>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</si>
  <si>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</si>
  <si>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RAGDHI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</si>
  <si>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</si>
  <si>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</si>
  <si>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SATPAR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</si>
  <si>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</si>
  <si>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</si>
  <si>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</si>
  <si>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</si>
  <si>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</si>
  <si>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BAHUBAL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</si>
  <si>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</si>
  <si>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</si>
  <si>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BHULLA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</si>
  <si>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</si>
  <si>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</si>
  <si>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CHHATIAN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</si>
  <si>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</si>
  <si>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</si>
  <si>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CHUNARUGHAT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</si>
  <si>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</si>
  <si>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</si>
  <si>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GOPLAR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</si>
  <si>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</si>
  <si>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</si>
  <si>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HABIGANJ(MAIN)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</si>
  <si>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</si>
  <si>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</si>
  <si>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</si>
  <si>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</si>
  <si>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</si>
  <si>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MARKULI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</si>
  <si>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</si>
  <si>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</si>
  <si>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MONTOLA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</si>
  <si>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</si>
  <si>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</si>
  <si>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</si>
  <si>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</si>
  <si>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</si>
  <si>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NAYAPARA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</si>
  <si>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</si>
  <si>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</si>
  <si>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SHAYESTAGANJ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</si>
  <si>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</si>
  <si>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</si>
  <si>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JAMALGANJ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</si>
  <si>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</si>
  <si>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</si>
  <si>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</si>
  <si>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</si>
  <si>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</si>
  <si>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PANCHBIBI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</si>
  <si>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</si>
  <si>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</si>
  <si>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TILAKPUR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</si>
  <si>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</si>
  <si>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</si>
  <si>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ZONAIL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</si>
  <si>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</si>
  <si>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</si>
  <si>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BAKSHIGANJ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</si>
  <si>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</si>
  <si>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</si>
  <si>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SHYAMGONJ KALIBARI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</si>
  <si>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</si>
  <si>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</si>
  <si>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BALIAJURI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</si>
  <si>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</si>
  <si>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</si>
  <si>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DEWANGANJ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</si>
  <si>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</si>
  <si>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</si>
  <si>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DHANUA KAMALPUR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</si>
  <si>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</si>
  <si>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</si>
  <si>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GUNARITALA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</si>
  <si>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</si>
  <si>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</si>
  <si>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</si>
  <si>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</si>
  <si>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</si>
  <si>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JAMALPUR(MAIN)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</si>
  <si>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</si>
  <si>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</si>
  <si>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JAMUNA SARKARKHANA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</si>
  <si>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</si>
  <si>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</si>
  <si>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JHAGGRARCHAR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</si>
  <si>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</si>
  <si>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</si>
  <si>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MELANDAH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</si>
  <si>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</si>
  <si>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</si>
  <si>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NANDINA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</si>
  <si>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</si>
  <si>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</si>
  <si>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SARISHABARI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</si>
  <si>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</si>
  <si>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</si>
  <si>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</si>
  <si>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</si>
  <si>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</si>
  <si>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BANKARA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</si>
  <si>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</si>
  <si>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</si>
  <si>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</si>
  <si>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</si>
  <si>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</si>
  <si>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CHANCHRA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</si>
  <si>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</si>
  <si>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</si>
  <si>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CHHATIANTOLA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</si>
  <si>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</si>
  <si>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</si>
  <si>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H.M.M.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</si>
  <si>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</si>
  <si>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</si>
  <si>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JHIKARGACHA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</si>
  <si>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</si>
  <si>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</si>
  <si>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</si>
  <si>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</si>
  <si>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</si>
  <si>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</si>
  <si>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</si>
  <si>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</si>
  <si>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M.K. ROAD CORPORATE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</si>
  <si>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</si>
  <si>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</si>
  <si>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MAHAKAL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</si>
  <si>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</si>
  <si>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</si>
  <si>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MONIRAMPUR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</si>
  <si>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</si>
  <si>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</si>
  <si>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NAVARAN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</si>
  <si>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</si>
  <si>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</si>
  <si>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</si>
  <si>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</si>
  <si>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</si>
  <si>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UPA-SHAHAR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</si>
  <si>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</si>
  <si>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</si>
  <si>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</si>
  <si>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</si>
  <si>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</si>
  <si>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</si>
  <si>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</si>
  <si>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</si>
  <si>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BHAVANIPUR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</si>
  <si>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</si>
  <si>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</si>
  <si>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BISHOYKHALI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</si>
  <si>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</si>
  <si>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</si>
  <si>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VATIO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</si>
  <si>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</si>
  <si>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</si>
  <si>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GANNA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</si>
  <si>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</si>
  <si>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</si>
  <si>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HARINAKUNDA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</si>
  <si>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</si>
  <si>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</si>
  <si>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HATFAZILPUR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</si>
  <si>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</si>
  <si>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</si>
  <si>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</si>
  <si>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</si>
  <si>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</si>
  <si>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JORADAH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</si>
  <si>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</si>
  <si>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</si>
  <si>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</si>
  <si>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</si>
  <si>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</si>
  <si>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KATLAGARI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</si>
  <si>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</si>
  <si>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</si>
  <si>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KOTCHANDPUR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</si>
  <si>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</si>
  <si>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</si>
  <si>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MOHESHPUR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</si>
  <si>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</si>
  <si>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</si>
  <si>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SAILKUPA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</si>
  <si>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</si>
  <si>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</si>
  <si>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KHAGRACHARI SADAR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</si>
  <si>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</si>
  <si>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</si>
  <si>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ALAMNAGAR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</si>
  <si>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</si>
  <si>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</si>
  <si>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BSCIC INDUSTRIAL ESTATE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</si>
  <si>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</si>
  <si>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</si>
  <si>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CHUK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</si>
  <si>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</si>
  <si>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</si>
  <si>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</si>
  <si>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</si>
  <si>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</si>
  <si>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GALLAMARI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</si>
  <si>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</si>
  <si>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</si>
  <si>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HAZI MOHSIN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</si>
  <si>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</si>
  <si>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</si>
  <si>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HELATALA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</si>
  <si>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</si>
  <si>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</si>
  <si>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K.D.A. BUILDING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</si>
  <si>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</si>
  <si>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</si>
  <si>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K.U.E.T.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</si>
  <si>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</si>
  <si>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</si>
  <si>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KAPILMUNI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</si>
  <si>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</si>
  <si>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</si>
  <si>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KHALISHPUR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</si>
  <si>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</si>
  <si>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</si>
  <si>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KHAN JAHAN ALI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</si>
  <si>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</si>
  <si>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</si>
  <si>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KHAN-A-SABUR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</si>
  <si>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</si>
  <si>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</si>
  <si>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KHULNA CANTONMENT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</si>
  <si>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</si>
  <si>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</si>
  <si>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KHULNHA CORPORATE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</si>
  <si>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</si>
  <si>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</si>
  <si>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MIRER DANGA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</si>
  <si>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</si>
  <si>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</si>
  <si>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NOOR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</si>
  <si>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</si>
  <si>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</si>
  <si>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PAIKGACHA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</si>
  <si>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</si>
  <si>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</si>
  <si>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ROOSVELT JETTY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</si>
  <si>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</si>
  <si>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</si>
  <si>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RUPSA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</si>
  <si>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</si>
  <si>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</si>
  <si>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RUPSA EAST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</si>
  <si>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</si>
  <si>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</si>
  <si>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SHAIKH PARA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</si>
  <si>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</si>
  <si>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</si>
  <si>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SHALUA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</si>
  <si>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</si>
  <si>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</si>
  <si>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BHAIRAB BUS STAND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</si>
  <si>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</si>
  <si>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</si>
  <si>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</si>
  <si>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</si>
  <si>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</si>
  <si>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BANGAL PARA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</si>
  <si>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</si>
  <si>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</si>
  <si>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</si>
  <si>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</si>
  <si>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</si>
  <si>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GHAGRA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</si>
  <si>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</si>
  <si>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</si>
  <si>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ITNA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</si>
  <si>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</si>
  <si>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</si>
  <si>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KATIADI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</si>
  <si>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</si>
  <si>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</si>
  <si>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KATKHAL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</si>
  <si>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</si>
  <si>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</si>
  <si>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KISHOREGANJ(MAIN)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</si>
  <si>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</si>
  <si>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</si>
  <si>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KULIAR CHAR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</si>
  <si>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</si>
  <si>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</si>
  <si>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LUXMIPUR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</si>
  <si>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</si>
  <si>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</si>
  <si>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MANIKHALI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</si>
  <si>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</si>
  <si>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</si>
  <si>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MITAMAIN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</si>
  <si>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</si>
  <si>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</si>
  <si>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PAKUNDIA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</si>
  <si>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</si>
  <si>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</si>
  <si>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SARARCHAR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</si>
  <si>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</si>
  <si>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</si>
  <si>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BHURUNGAMARI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</si>
  <si>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</si>
  <si>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</si>
  <si>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TREE MOHONI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</si>
  <si>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</si>
  <si>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</si>
  <si>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</si>
  <si>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</si>
  <si>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</si>
  <si>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</si>
  <si>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</si>
  <si>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</si>
  <si>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NAGESWARI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</si>
  <si>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</si>
  <si>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</si>
  <si>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RAIGANJ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</si>
  <si>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</si>
  <si>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</si>
  <si>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ULIPUR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</si>
  <si>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</si>
  <si>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</si>
  <si>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ALLAHAR DARGAH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</si>
  <si>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</si>
  <si>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</si>
  <si>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BAGULAT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</si>
  <si>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</si>
  <si>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</si>
  <si>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BARAKHADA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</si>
  <si>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</si>
  <si>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</si>
  <si>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</si>
  <si>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</si>
  <si>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</si>
  <si>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CHORWHASH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</si>
  <si>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</si>
  <si>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</si>
  <si>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DANGMARKA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</si>
  <si>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</si>
  <si>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</si>
  <si>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KHAZANAGAR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</si>
  <si>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</si>
  <si>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</si>
  <si>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KHOKSA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</si>
  <si>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</si>
  <si>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</si>
  <si>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KUMARKHALI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</si>
  <si>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</si>
  <si>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</si>
  <si>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KUSHTIA COPPORATE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</si>
  <si>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</si>
  <si>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</si>
  <si>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RAJAR HAT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</si>
  <si>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</si>
  <si>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</si>
  <si>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 CHANDRA ROY STREET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</si>
  <si>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</si>
  <si>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</si>
  <si>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SUKANTA BIPONI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</si>
  <si>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</si>
  <si>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</si>
  <si>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CHARSHAHI BASHURHAT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</si>
  <si>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</si>
  <si>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</si>
  <si>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BHATRA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</si>
  <si>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</si>
  <si>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</si>
  <si>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CHAR ALEXANDER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</si>
  <si>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</si>
  <si>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</si>
  <si>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DALAL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</si>
  <si>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</si>
  <si>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</si>
  <si>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HAIDERGANJ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</si>
  <si>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</si>
  <si>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</si>
  <si>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LAKSHMIPUR(MAIN)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</si>
  <si>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</si>
  <si>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</si>
  <si>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MANDARI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</si>
  <si>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</si>
  <si>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</si>
  <si>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</si>
  <si>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</si>
  <si>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</si>
  <si>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</si>
  <si>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</si>
  <si>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</si>
  <si>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ADITMARI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</si>
  <si>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</si>
  <si>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</si>
  <si>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BAURA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</si>
  <si>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</si>
  <si>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</si>
  <si>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BHOTEMARI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</si>
  <si>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</si>
  <si>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</si>
  <si>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BURIMARI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</si>
  <si>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</si>
  <si>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</si>
  <si>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HATIBANDA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</si>
  <si>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</si>
  <si>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</si>
  <si>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</si>
  <si>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</si>
  <si>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</si>
  <si>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</si>
  <si>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</si>
  <si>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</si>
  <si>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PATGRAM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</si>
  <si>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</si>
  <si>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</si>
  <si>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CHARMUGURIA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</si>
  <si>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</si>
  <si>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</si>
  <si>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KALKINI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</si>
  <si>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</si>
  <si>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</si>
  <si>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MADARIPUR PURAN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</si>
  <si>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</si>
  <si>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</si>
  <si>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MADARIPUR(MAIN)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</si>
  <si>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</si>
  <si>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</si>
  <si>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MOSTAFAPUR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</si>
  <si>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</si>
  <si>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</si>
  <si>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</si>
  <si>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</si>
  <si>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</si>
  <si>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ARPARA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</si>
  <si>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</si>
  <si>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</si>
  <si>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BINODPUR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</si>
  <si>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</si>
  <si>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</si>
  <si>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GANGARAMPUR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</si>
  <si>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</si>
  <si>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</si>
  <si>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KHAMARPARA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</si>
  <si>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</si>
  <si>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</si>
  <si>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LANGALBANDH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</si>
  <si>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</si>
  <si>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</si>
  <si>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MAGURA(MAIN)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</si>
  <si>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</si>
  <si>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</si>
  <si>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</si>
  <si>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</si>
  <si>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</si>
  <si>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NAKOLE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</si>
  <si>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</si>
  <si>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</si>
  <si>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NOHATA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</si>
  <si>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</si>
  <si>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</si>
  <si>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</si>
  <si>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</si>
  <si>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</si>
  <si>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SHIMAKHALI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</si>
  <si>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</si>
  <si>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</si>
  <si>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SINGRA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</si>
  <si>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</si>
  <si>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</si>
  <si>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</si>
  <si>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</si>
  <si>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</si>
  <si>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SOUTH JAMSAHAT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</si>
  <si>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</si>
  <si>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</si>
  <si>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BAMUNDI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</si>
  <si>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</si>
  <si>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</si>
  <si>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MEHERPUR(MAIN)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</si>
  <si>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</si>
  <si>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</si>
  <si>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</si>
  <si>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</si>
  <si>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</si>
  <si>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BHANUGACH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</si>
  <si>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</si>
  <si>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</si>
  <si>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EKATONA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</si>
  <si>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</si>
  <si>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</si>
  <si>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GORARAI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</si>
  <si>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</si>
  <si>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</si>
  <si>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JAIFAR 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</si>
  <si>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</si>
  <si>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</si>
  <si>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</si>
  <si>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</si>
  <si>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</si>
  <si>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</si>
  <si>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</si>
  <si>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</si>
  <si>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KAZIR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</si>
  <si>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</si>
  <si>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</si>
  <si>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MOULAVI BAZAR(MAIN)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</si>
  <si>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</si>
  <si>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</si>
  <si>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</si>
  <si>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</si>
  <si>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</si>
  <si>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</si>
  <si>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</si>
  <si>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</si>
  <si>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ABDULLAH 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</si>
  <si>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</si>
  <si>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</si>
  <si>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WEST MUKTARPUR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</si>
  <si>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</si>
  <si>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</si>
  <si>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BETKA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</si>
  <si>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</si>
  <si>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</si>
  <si>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BHAGYAKUL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</si>
  <si>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</si>
  <si>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</si>
  <si>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KAMALA GHAT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</si>
  <si>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</si>
  <si>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</si>
  <si>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</si>
  <si>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</si>
  <si>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</si>
  <si>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SUBACHANI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</si>
  <si>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</si>
  <si>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</si>
  <si>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TONGI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</si>
  <si>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</si>
  <si>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</si>
  <si>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MUKHI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</si>
  <si>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</si>
  <si>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</si>
  <si>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</si>
  <si>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</si>
  <si>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</si>
  <si>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CANTONMENT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</si>
  <si>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</si>
  <si>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</si>
  <si>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CHAR PARA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</si>
  <si>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</si>
  <si>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</si>
  <si>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DHALA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</si>
  <si>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</si>
  <si>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</si>
  <si>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GOURIPUR ACADEMY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</si>
  <si>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</si>
  <si>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</si>
  <si>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HALUAGHAT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</si>
  <si>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</si>
  <si>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</si>
  <si>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</si>
  <si>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</si>
  <si>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</si>
  <si>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</si>
  <si>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</si>
  <si>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</si>
  <si>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MUNSHIR 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</si>
  <si>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</si>
  <si>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</si>
  <si>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MYMENSINGH CORPORATE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</si>
  <si>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</si>
  <si>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</si>
  <si>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NANDAIL 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</si>
  <si>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</si>
  <si>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</si>
  <si>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NUTAN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</si>
  <si>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</si>
  <si>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</si>
  <si>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DHOBAURA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</si>
  <si>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</si>
  <si>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</si>
  <si>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SHAYMGANJ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</si>
  <si>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</si>
  <si>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</si>
  <si>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TARAKANDA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</si>
  <si>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</si>
  <si>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</si>
  <si>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AGRADIGUN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</si>
  <si>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</si>
  <si>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</si>
  <si>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ATRAI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</si>
  <si>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</si>
  <si>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</si>
  <si>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BAIDYAPUR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</si>
  <si>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</si>
  <si>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</si>
  <si>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CHOUMASHIA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</si>
  <si>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</si>
  <si>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</si>
  <si>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BANDAIKHARA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</si>
  <si>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</si>
  <si>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</si>
  <si>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DELUABARIHAT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</si>
  <si>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</si>
  <si>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</si>
  <si>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DHAMAIRHAT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</si>
  <si>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</si>
  <si>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</si>
  <si>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GAGANPUR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</si>
  <si>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</si>
  <si>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</si>
  <si>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GUBARCHAPAHAT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</si>
  <si>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</si>
  <si>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</si>
  <si>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HAPANIA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</si>
  <si>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</si>
  <si>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</si>
  <si>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JOTEBAZAR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</si>
  <si>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</si>
  <si>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</si>
  <si>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KAZIR MORH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</si>
  <si>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</si>
  <si>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</si>
  <si>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MADHUIL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</si>
  <si>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</si>
  <si>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</si>
  <si>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</si>
  <si>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</si>
  <si>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</si>
  <si>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MANGALBARI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</si>
  <si>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</si>
  <si>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</si>
  <si>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NAOGAON(MAIN)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</si>
  <si>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</si>
  <si>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</si>
  <si>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NAZIPUR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</si>
  <si>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</si>
  <si>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</si>
  <si>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</si>
  <si>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</si>
  <si>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</si>
  <si>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NISCHINTAPUR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</si>
  <si>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</si>
  <si>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</si>
  <si>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NITHPUR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</si>
  <si>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</si>
  <si>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</si>
  <si>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PHATTAKATA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</si>
  <si>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</si>
  <si>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</si>
  <si>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SHARASHWATIPUR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</si>
  <si>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</si>
  <si>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</si>
  <si>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</si>
  <si>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</si>
  <si>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</si>
  <si>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TILNA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</si>
  <si>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</si>
  <si>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</si>
  <si>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BORDIA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</si>
  <si>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</si>
  <si>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</si>
  <si>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LOHAGARA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</si>
  <si>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</si>
  <si>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</si>
  <si>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MAIZ PARA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</si>
  <si>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</si>
  <si>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</si>
  <si>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NALDI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</si>
  <si>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</si>
  <si>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</si>
  <si>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</si>
  <si>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</si>
  <si>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</si>
  <si>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RUPGANJ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</si>
  <si>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</si>
  <si>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</si>
  <si>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CHOWDHURYGAON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</si>
  <si>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</si>
  <si>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</si>
  <si>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B.B. ROAD CORPORATE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</si>
  <si>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</si>
  <si>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</si>
  <si>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B.K.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</si>
  <si>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</si>
  <si>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</si>
  <si>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BANDAR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</si>
  <si>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</si>
  <si>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</si>
  <si>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DEOBHOUG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</si>
  <si>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</si>
  <si>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</si>
  <si>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DHARMATOLA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</si>
  <si>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</si>
  <si>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</si>
  <si>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DREDGER SANGSTHA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</si>
  <si>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</si>
  <si>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</si>
  <si>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</si>
  <si>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</si>
  <si>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</si>
  <si>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GODNAIL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</si>
  <si>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</si>
  <si>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</si>
  <si>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GOPALDI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</si>
  <si>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</si>
  <si>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</si>
  <si>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JALKURI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</si>
  <si>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</si>
  <si>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</si>
  <si>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KALIR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</si>
  <si>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</si>
  <si>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</si>
  <si>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</si>
  <si>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</si>
  <si>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</si>
  <si>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LANGAL BANDHA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</si>
  <si>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</si>
  <si>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</si>
  <si>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</si>
  <si>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</si>
  <si>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</si>
  <si>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MURAPARA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</si>
  <si>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</si>
  <si>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</si>
  <si>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</si>
  <si>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</si>
  <si>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</si>
  <si>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NETAIGANJ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</si>
  <si>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</si>
  <si>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</si>
  <si>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PAGLA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</si>
  <si>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</si>
  <si>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</si>
  <si>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PANAMNAGAR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</si>
  <si>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</si>
  <si>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</si>
  <si>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SONAMIA MARKET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</si>
  <si>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</si>
  <si>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</si>
  <si>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</si>
  <si>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</si>
  <si>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</si>
  <si>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SYED ALI CHAMBER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</si>
  <si>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</si>
  <si>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</si>
  <si>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TAN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</si>
  <si>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</si>
  <si>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</si>
  <si>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ATASH ALI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</si>
  <si>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</si>
  <si>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</si>
  <si>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BASHGARI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</si>
  <si>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</si>
  <si>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</si>
  <si>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BELABO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</si>
  <si>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</si>
  <si>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</si>
  <si>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 &amp; B ROAD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</si>
  <si>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</si>
  <si>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</si>
  <si>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</si>
  <si>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</si>
  <si>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</si>
  <si>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</si>
  <si>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</si>
  <si>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</si>
  <si>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HATIRDIA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</si>
  <si>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</si>
  <si>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</si>
  <si>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JOSHAR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</si>
  <si>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</si>
  <si>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</si>
  <si>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</si>
  <si>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</si>
  <si>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</si>
  <si>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NARSHINGDI(MAIN)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</si>
  <si>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</si>
  <si>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</si>
  <si>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PALASH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</si>
  <si>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</si>
  <si>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</si>
  <si>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SHEKER CHAR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</si>
  <si>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</si>
  <si>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</si>
  <si>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</si>
  <si>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</si>
  <si>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</si>
  <si>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SREERAMPUR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</si>
  <si>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</si>
  <si>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</si>
  <si>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VELA 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</si>
  <si>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</si>
  <si>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</si>
  <si>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ALAIPUR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</si>
  <si>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</si>
  <si>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</si>
  <si>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BAGATIPARA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</si>
  <si>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</si>
  <si>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</si>
  <si>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BASUDEBPUR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</si>
  <si>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</si>
  <si>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</si>
  <si>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BILDAHAR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</si>
  <si>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</si>
  <si>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</si>
  <si>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BONPARA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</si>
  <si>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</si>
  <si>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</si>
  <si>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DAYARAMPUR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</si>
  <si>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</si>
  <si>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</si>
  <si>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DHANAIDAH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</si>
  <si>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</si>
  <si>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</si>
  <si>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DHIGAPATIA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</si>
  <si>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</si>
  <si>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</si>
  <si>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GURUDASPUR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</si>
  <si>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</si>
  <si>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</si>
  <si>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HATIANDAH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</si>
  <si>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</si>
  <si>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</si>
  <si>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JONAIL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</si>
  <si>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</si>
  <si>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</si>
  <si>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KACHHIKATA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</si>
  <si>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</si>
  <si>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</si>
  <si>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KALAM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</si>
  <si>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</si>
  <si>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</si>
  <si>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MADH  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</si>
  <si>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</si>
  <si>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</si>
  <si>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MOUKHARA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</si>
  <si>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</si>
  <si>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</si>
  <si>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NATORE ACADEMY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</si>
  <si>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</si>
  <si>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</si>
  <si>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NATORE(MAIN)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</si>
  <si>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</si>
  <si>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</si>
  <si>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PATUAPARA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</si>
  <si>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</si>
  <si>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</si>
  <si>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RAJAPUR 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</si>
  <si>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</si>
  <si>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</si>
  <si>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SALAMPUR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</si>
  <si>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</si>
  <si>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</si>
  <si>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SINGRA 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</si>
  <si>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</si>
  <si>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</si>
  <si>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STATION BAZAR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</si>
  <si>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</si>
  <si>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</si>
  <si>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</si>
  <si>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</si>
  <si>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</si>
  <si>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CHATRA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</si>
  <si>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</si>
  <si>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</si>
  <si>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DEWPARA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</si>
  <si>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</si>
  <si>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</si>
  <si>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KANSAT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</si>
  <si>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</si>
  <si>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</si>
  <si>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MOLLIKPUR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</si>
  <si>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</si>
  <si>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</si>
  <si>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NACHOLE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</si>
  <si>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</si>
  <si>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</si>
  <si>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RANIHATI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</si>
  <si>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</si>
  <si>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</si>
  <si>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</si>
  <si>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</si>
  <si>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</si>
  <si>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</si>
  <si>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</si>
  <si>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</si>
  <si>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JARIA JHANJAIL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</si>
  <si>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</si>
  <si>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</si>
  <si>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JOYNAGAR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</si>
  <si>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</si>
  <si>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</si>
  <si>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MAHANGANJ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</si>
  <si>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</si>
  <si>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</si>
  <si>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NETROKONA(MAIN)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</si>
  <si>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</si>
  <si>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</si>
  <si>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SATPAI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</si>
  <si>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</si>
  <si>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</si>
  <si>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TELIGATI BAZAR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</si>
  <si>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</si>
  <si>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</si>
  <si>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CHARAIKHOLA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</si>
  <si>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</si>
  <si>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</si>
  <si>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CHILAHATI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</si>
  <si>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</si>
  <si>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</si>
  <si>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DOMAR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</si>
  <si>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</si>
  <si>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</si>
  <si>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JALDHAKA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</si>
  <si>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</si>
  <si>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</si>
  <si>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KAIMARI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</si>
  <si>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</si>
  <si>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</si>
  <si>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</si>
  <si>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</si>
  <si>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</si>
  <si>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</si>
  <si>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</si>
  <si>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</si>
  <si>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</si>
  <si>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</si>
  <si>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</si>
  <si>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</si>
  <si>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</si>
  <si>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</si>
  <si>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</si>
  <si>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</si>
  <si>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</si>
  <si>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CHATTERPAIYA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</si>
  <si>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</si>
  <si>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</si>
  <si>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</si>
  <si>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</si>
  <si>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</si>
  <si>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EIDGHAR AMIN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</si>
  <si>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</si>
  <si>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</si>
  <si>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</si>
  <si>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</si>
  <si>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</si>
  <si>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GOLABARIA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</si>
  <si>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</si>
  <si>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</si>
  <si>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KHILPARA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</si>
  <si>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</si>
  <si>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</si>
  <si>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</si>
  <si>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</si>
  <si>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</si>
  <si>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OSKHALI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</si>
  <si>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</si>
  <si>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</si>
  <si>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PESKERHAT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</si>
  <si>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</si>
  <si>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</si>
  <si>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SEBARHAT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</si>
  <si>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</si>
  <si>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</si>
  <si>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SENBAG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</si>
  <si>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</si>
  <si>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</si>
  <si>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SONAPUR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</si>
  <si>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</si>
  <si>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</si>
  <si>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ZAMIDERHAT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</si>
  <si>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</si>
  <si>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</si>
  <si>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BANGLADESH IKKHU GOBESHANA INSTITUTE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</si>
  <si>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</si>
  <si>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</si>
  <si>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ATAI KULA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</si>
  <si>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</si>
  <si>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</si>
  <si>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ATUA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</si>
  <si>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</si>
  <si>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</si>
  <si>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BANA GRAM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</si>
  <si>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</si>
  <si>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</si>
  <si>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</si>
  <si>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</si>
  <si>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</si>
  <si>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CHATMOHAR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</si>
  <si>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</si>
  <si>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</si>
  <si>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DASHURIA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</si>
  <si>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</si>
  <si>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</si>
  <si>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DEMRA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</si>
  <si>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</si>
  <si>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</si>
  <si>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DULAI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</si>
  <si>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</si>
  <si>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</si>
  <si>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</si>
  <si>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</si>
  <si>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</si>
  <si>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KASHINATHPUR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</si>
  <si>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</si>
  <si>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</si>
  <si>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MASHUNDIA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</si>
  <si>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</si>
  <si>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</si>
  <si>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MUNICIPALITY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</si>
  <si>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</si>
  <si>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</si>
  <si>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NURPUR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</si>
  <si>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</si>
  <si>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</si>
  <si>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PABNA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</si>
  <si>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</si>
  <si>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</si>
  <si>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PABNA CORPORATE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</si>
  <si>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</si>
  <si>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</si>
  <si>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PAKSEY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</si>
  <si>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</si>
  <si>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</si>
  <si>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RUPPUR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</si>
  <si>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</si>
  <si>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</si>
  <si>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TEBUNIA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</si>
  <si>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</si>
  <si>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</si>
  <si>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ATWARI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</si>
  <si>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</si>
  <si>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</si>
  <si>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BALARAMPUR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</si>
  <si>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</si>
  <si>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</si>
  <si>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DEBIGANJ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</si>
  <si>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</si>
  <si>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</si>
  <si>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FULBARI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</si>
  <si>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</si>
  <si>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</si>
  <si>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</si>
  <si>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</si>
  <si>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</si>
  <si>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BAUPHAL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</si>
  <si>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</si>
  <si>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</si>
  <si>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DASHMINA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</si>
  <si>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</si>
  <si>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</si>
  <si>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DASPARA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</si>
  <si>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</si>
  <si>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</si>
  <si>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</si>
  <si>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</si>
  <si>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</si>
  <si>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THANA 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</si>
  <si>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</si>
  <si>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</si>
  <si>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KHEPUPARA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</si>
  <si>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</si>
  <si>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</si>
  <si>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NUTUN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</si>
  <si>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</si>
  <si>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</si>
  <si>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PATUAKHALI(MAIN)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</si>
  <si>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</si>
  <si>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</si>
  <si>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SUBIDKHALI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</si>
  <si>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</si>
  <si>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</si>
  <si>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KOWRIKHARA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</si>
  <si>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</si>
  <si>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</si>
  <si>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</si>
  <si>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</si>
  <si>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</si>
  <si>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ARANI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</si>
  <si>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</si>
  <si>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</si>
  <si>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</si>
  <si>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</si>
  <si>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</si>
  <si>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BASUDEB 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</si>
  <si>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</si>
  <si>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</si>
  <si>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BHAWANIGANJ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</si>
  <si>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</si>
  <si>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</si>
  <si>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BIRKUTSHA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</si>
  <si>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</si>
  <si>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</si>
  <si>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NOAHATA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</si>
  <si>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</si>
  <si>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</si>
  <si>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</si>
  <si>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</si>
  <si>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</si>
  <si>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GHORAMARA LADIES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</si>
  <si>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</si>
  <si>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</si>
  <si>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GODAGARI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</si>
  <si>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</si>
  <si>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</si>
  <si>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HALIDAGACHI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</si>
  <si>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</si>
  <si>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</si>
  <si>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HARAGRAM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</si>
  <si>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</si>
  <si>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</si>
  <si>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HATGANGPARA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</si>
  <si>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</si>
  <si>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</si>
  <si>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HETEMKHAN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</si>
  <si>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</si>
  <si>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</si>
  <si>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KADIRGANJ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</si>
  <si>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</si>
  <si>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</si>
  <si>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KAKANHAT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</si>
  <si>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</si>
  <si>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</si>
  <si>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KATAKHALI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</si>
  <si>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</si>
  <si>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</si>
  <si>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LAXMIPUR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</si>
  <si>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</si>
  <si>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</si>
  <si>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MHONGANJ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</si>
  <si>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</si>
  <si>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</si>
  <si>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MOHANPUR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</si>
  <si>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</si>
  <si>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</si>
  <si>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NOWDAPARA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</si>
  <si>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</si>
  <si>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</si>
  <si>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PREMTALI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</si>
  <si>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</si>
  <si>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</si>
  <si>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PUTHIA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</si>
  <si>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</si>
  <si>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</si>
  <si>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RAJABARIHAT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</si>
  <si>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</si>
  <si>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</si>
  <si>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RAJSHAHI CORPORATE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</si>
  <si>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</si>
  <si>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</si>
  <si>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RANI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</si>
  <si>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</si>
  <si>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</si>
  <si>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DAMKURAHAT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</si>
  <si>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</si>
  <si>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</si>
  <si>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TAHERPUR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</si>
  <si>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</si>
  <si>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</si>
  <si>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TANORE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</si>
  <si>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</si>
  <si>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</si>
  <si>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COURT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</si>
  <si>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</si>
  <si>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</si>
  <si>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BALIAKANDI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</si>
  <si>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</si>
  <si>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</si>
  <si>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KHANKHANAPUR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</si>
  <si>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</si>
  <si>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</si>
  <si>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</si>
  <si>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</si>
  <si>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</si>
  <si>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</si>
  <si>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</si>
  <si>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</si>
  <si>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RAJBARI(MAIN)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</si>
  <si>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</si>
  <si>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</si>
  <si>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KAPTAI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</si>
  <si>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</si>
  <si>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</si>
  <si>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KATALTALI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</si>
  <si>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</si>
  <si>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</si>
  <si>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ALAM NAGAR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</si>
  <si>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</si>
  <si>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</si>
  <si>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BETGARI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</si>
  <si>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</si>
  <si>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</si>
  <si>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CHOWDHURANI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</si>
  <si>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</si>
  <si>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</si>
  <si>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GANGACHARA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</si>
  <si>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</si>
  <si>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</si>
  <si>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HARAGACHA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</si>
  <si>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</si>
  <si>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</si>
  <si>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KAUNIA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</si>
  <si>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</si>
  <si>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</si>
  <si>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LALBAGH BAZAR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</si>
  <si>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</si>
  <si>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</si>
  <si>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MADARGANJ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</si>
  <si>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</si>
  <si>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</si>
  <si>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PAGLAPIR BAZAR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</si>
  <si>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</si>
  <si>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</si>
  <si>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</si>
  <si>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</si>
  <si>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</si>
  <si>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RANGPUR COPORATE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</si>
  <si>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</si>
  <si>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</si>
  <si>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SHYAMPUR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</si>
  <si>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</si>
  <si>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</si>
  <si>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SHATIBARI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</si>
  <si>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</si>
  <si>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</si>
  <si>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SHILPANAGARI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</si>
  <si>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</si>
  <si>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</si>
  <si>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BHEDERGANJ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</si>
  <si>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</si>
  <si>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</si>
  <si>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BHOJESWAR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</si>
  <si>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</si>
  <si>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</si>
  <si>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</si>
  <si>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</si>
  <si>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</si>
  <si>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GHARISHAR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</si>
  <si>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</si>
  <si>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</si>
  <si>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SARIATPUR(MAIN)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</si>
  <si>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</si>
  <si>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</si>
  <si>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AGARDARI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</si>
  <si>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</si>
  <si>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</si>
  <si>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ASASUNI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</si>
  <si>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</si>
  <si>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</si>
  <si>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BAKAL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</si>
  <si>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</si>
  <si>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</si>
  <si>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BANSHTALA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</si>
  <si>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</si>
  <si>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</si>
  <si>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BRAHMARAJPUR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</si>
  <si>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</si>
  <si>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</si>
  <si>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</si>
  <si>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</si>
  <si>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</si>
  <si>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SATKHIRA UPAZILA COMPLEX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</si>
  <si>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</si>
  <si>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</si>
  <si>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PATKELGHATA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</si>
  <si>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</si>
  <si>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</si>
  <si>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SATKHIRA(MAIN)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</si>
  <si>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</si>
  <si>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</si>
  <si>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SENERGATI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</si>
  <si>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</si>
  <si>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</si>
  <si>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</si>
  <si>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</si>
  <si>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</si>
  <si>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SULTANPUR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</si>
  <si>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</si>
  <si>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</si>
  <si>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TALA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</si>
  <si>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</si>
  <si>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</si>
  <si>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UZIRPUR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</si>
  <si>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</si>
  <si>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</si>
  <si>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AJUGARA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</si>
  <si>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</si>
  <si>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</si>
  <si>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BAGBATI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</si>
  <si>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</si>
  <si>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</si>
  <si>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BAGHABARIGHAT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</si>
  <si>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</si>
  <si>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</si>
  <si>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BARUHASH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</si>
  <si>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</si>
  <si>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</si>
  <si>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JAMTAIL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</si>
  <si>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</si>
  <si>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</si>
  <si>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</si>
  <si>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</si>
  <si>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</si>
  <si>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DHAMAIZ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</si>
  <si>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</si>
  <si>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</si>
  <si>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DHANGORA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</si>
  <si>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</si>
  <si>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</si>
  <si>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DHARAILHAT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</si>
  <si>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</si>
  <si>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</si>
  <si>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DHUKURIABERA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</si>
  <si>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</si>
  <si>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</si>
  <si>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DOBILA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</si>
  <si>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</si>
  <si>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</si>
  <si>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HATIKUMRUL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</si>
  <si>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</si>
  <si>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</si>
  <si>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KAIJURIHAT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</si>
  <si>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</si>
  <si>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</si>
  <si>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KHUKIN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</si>
  <si>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</si>
  <si>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</si>
  <si>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MASIMPUR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</si>
  <si>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</si>
  <si>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</si>
  <si>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RANDHUNIBARI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</si>
  <si>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</si>
  <si>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</si>
  <si>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S.B. FAZLUL HOQ OAD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</si>
  <si>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</si>
  <si>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</si>
  <si>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SALONGA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</si>
  <si>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</si>
  <si>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</si>
  <si>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</si>
  <si>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</si>
  <si>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</si>
  <si>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</si>
  <si>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</si>
  <si>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</si>
  <si>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SHOHAGPUR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</si>
  <si>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</si>
  <si>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</si>
  <si>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TAMAI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</si>
  <si>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</si>
  <si>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</si>
  <si>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TARASH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</si>
  <si>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</si>
  <si>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</si>
  <si>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</si>
  <si>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</si>
  <si>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</si>
  <si>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CHANDRAKONA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</si>
  <si>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</si>
  <si>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</si>
  <si>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JHENAIGATI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</si>
  <si>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</si>
  <si>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</si>
  <si>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KAMARER CHAR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</si>
  <si>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</si>
  <si>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</si>
  <si>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NARAYANKHOLA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</si>
  <si>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</si>
  <si>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</si>
  <si>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SHERPUR(MAIN)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</si>
  <si>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</si>
  <si>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</si>
  <si>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BARAFECHI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</si>
  <si>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</si>
  <si>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</si>
  <si>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</si>
  <si>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</si>
  <si>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</si>
  <si>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DERAI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</si>
  <si>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</si>
  <si>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</si>
  <si>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GABINDAGONJ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</si>
  <si>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</si>
  <si>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</si>
  <si>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</si>
  <si>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</si>
  <si>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</si>
  <si>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JAOWA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</si>
  <si>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</si>
  <si>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</si>
  <si>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NAYABANDAR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</si>
  <si>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</si>
  <si>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</si>
  <si>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SHIBGANJ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</si>
  <si>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</si>
  <si>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</si>
  <si>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RANIGANJ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</si>
  <si>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</si>
  <si>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</si>
  <si>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SACHNA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</si>
  <si>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</si>
  <si>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</si>
  <si>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SUNAMGANJ(MAIN)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</si>
  <si>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</si>
  <si>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</si>
  <si>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</si>
  <si>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</si>
  <si>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</si>
  <si>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BHADRESHWAR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</si>
  <si>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</si>
  <si>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</si>
  <si>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</si>
  <si>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</si>
  <si>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</si>
  <si>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BURUNGA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</si>
  <si>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</si>
  <si>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</si>
  <si>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CHAMBER BUILDING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</si>
  <si>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</si>
  <si>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</si>
  <si>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</si>
  <si>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</si>
  <si>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</si>
  <si>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</si>
  <si>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</si>
  <si>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</si>
  <si>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</si>
  <si>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</si>
  <si>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</si>
  <si>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FOREIGN EXCHANGE CORPORATE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</si>
  <si>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</si>
  <si>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</si>
  <si>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GANGADIA KAZIR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</si>
  <si>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</si>
  <si>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</si>
  <si>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</si>
  <si>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</si>
  <si>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</si>
  <si>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KALIBARI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</si>
  <si>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</si>
  <si>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</si>
  <si>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</si>
  <si>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</si>
  <si>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</si>
  <si>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KAZITULA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</si>
  <si>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</si>
  <si>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</si>
  <si>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KUMARGAON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</si>
  <si>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</si>
  <si>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</si>
  <si>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SADIPUR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</si>
  <si>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</si>
  <si>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</si>
  <si>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SHAHJALAL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</si>
  <si>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</si>
  <si>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</si>
  <si>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SHEIKHGHAT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</si>
  <si>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</si>
  <si>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</si>
  <si>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SHERPUR NUTAN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</si>
  <si>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</si>
  <si>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</si>
  <si>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</si>
  <si>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</si>
  <si>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</si>
  <si>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SYLHET CORPORATE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</si>
  <si>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</si>
  <si>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</si>
  <si>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TAJPUR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</si>
  <si>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</si>
  <si>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</si>
  <si>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WEST AMURA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</si>
  <si>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</si>
  <si>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</si>
  <si>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ZAKIGANJ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</si>
  <si>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</si>
  <si>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</si>
  <si>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ZINDA BAZAR CORPORATE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</si>
  <si>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</si>
  <si>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</si>
  <si>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ALLENGA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</si>
  <si>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</si>
  <si>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</si>
  <si>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ASEKPUR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</si>
  <si>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</si>
  <si>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</si>
  <si>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NALLAPARA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</si>
  <si>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</si>
  <si>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</si>
  <si>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AUSHNARA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</si>
  <si>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</si>
  <si>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</si>
  <si>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BHUANPUR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</si>
  <si>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</si>
  <si>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</si>
  <si>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BUS TERMINAL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</si>
  <si>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</si>
  <si>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</si>
  <si>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DEYPARA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</si>
  <si>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</si>
  <si>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</si>
  <si>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DHALAPARA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</si>
  <si>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</si>
  <si>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</si>
  <si>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DHIGAIR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</si>
  <si>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</si>
  <si>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</si>
  <si>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</si>
  <si>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</si>
  <si>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</si>
  <si>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GHATAIL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</si>
  <si>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</si>
  <si>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</si>
  <si>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HAMIDPUR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</si>
  <si>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</si>
  <si>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</si>
  <si>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KODIMDHOLLA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</si>
  <si>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</si>
  <si>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</si>
  <si>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MADHUPUR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</si>
  <si>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</si>
  <si>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</si>
  <si>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NAGARPUR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</si>
  <si>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</si>
  <si>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</si>
  <si>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NARANDIA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</si>
  <si>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</si>
  <si>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</si>
  <si>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PAIKSA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</si>
  <si>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</si>
  <si>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</si>
  <si>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PATHARGHATA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</si>
  <si>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</si>
  <si>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</si>
  <si>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RASULPUR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</si>
  <si>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</si>
  <si>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</si>
  <si>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</si>
  <si>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</si>
  <si>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</si>
  <si>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LAHIRIHAT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</si>
  <si>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</si>
  <si>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</si>
  <si>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PIRGONJ BAZAR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</si>
  <si>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</si>
  <si>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</si>
  <si>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RANISANKAIL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</si>
  <si>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</si>
  <si>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</si>
  <si>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RUHEA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</si>
  <si>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</si>
  <si>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</si>
  <si>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STATION BAZAR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</si>
  <si>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</si>
  <si>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JANATA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</si>
  <si>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</si>
  <si>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</si>
  <si>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</si>
  <si>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</si>
  <si>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</si>
  <si>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</si>
  <si>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</si>
  <si>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</si>
  <si>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</si>
  <si>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</si>
  <si>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</si>
  <si>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</si>
  <si>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</si>
  <si>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</si>
  <si>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</si>
  <si>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</si>
  <si>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</si>
  <si>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</si>
  <si>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FARIDGANJ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</si>
  <si>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</si>
  <si>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</si>
  <si>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</si>
  <si>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</si>
  <si>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</si>
  <si>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 K KHAN MOOR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</si>
  <si>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</si>
  <si>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</si>
  <si>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</si>
  <si>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</si>
  <si>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</si>
  <si>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CHITTAGONG 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</si>
  <si>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</si>
  <si>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</si>
  <si>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</si>
  <si>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</si>
  <si>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</si>
  <si>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</si>
  <si>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</si>
  <si>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</si>
  <si>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KHULSHI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</si>
  <si>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</si>
  <si>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</si>
  <si>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</si>
  <si>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</si>
  <si>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</si>
  <si>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</si>
  <si>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</si>
  <si>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</si>
  <si>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</si>
  <si>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</si>
  <si>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</si>
  <si>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PATIYA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</si>
  <si>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</si>
  <si>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</si>
  <si>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</si>
  <si>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</si>
  <si>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</si>
  <si>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SHAIK MUJIB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</si>
  <si>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</si>
  <si>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</si>
  <si>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</si>
  <si>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</si>
  <si>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</si>
  <si>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SHUAGANJ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</si>
  <si>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</si>
  <si>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</si>
  <si>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</si>
  <si>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</si>
  <si>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</si>
  <si>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JHILONGHA(COX'S BAZAR)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</si>
  <si>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</si>
  <si>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</si>
  <si>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INTERNATIONAL AIRPORT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</si>
  <si>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</si>
  <si>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</si>
  <si>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ASAD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</si>
  <si>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</si>
  <si>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</si>
  <si>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</si>
  <si>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</si>
  <si>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</si>
  <si>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</si>
  <si>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</si>
  <si>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</si>
  <si>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BAIPAIL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</si>
  <si>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</si>
  <si>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</si>
  <si>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</si>
  <si>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</si>
  <si>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</si>
  <si>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</si>
  <si>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</si>
  <si>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</si>
  <si>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</si>
  <si>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</si>
  <si>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</si>
  <si>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ENGINEERS INSTITUTION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</si>
  <si>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</si>
  <si>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</si>
  <si>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GARIB-E-NEWAZ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</si>
  <si>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</si>
  <si>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</si>
  <si>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</si>
  <si>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</si>
  <si>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</si>
  <si>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</si>
  <si>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</si>
  <si>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</si>
  <si>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</si>
  <si>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</si>
  <si>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</si>
  <si>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</si>
  <si>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</si>
  <si>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</si>
  <si>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MAZAR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</si>
  <si>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</si>
  <si>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</si>
  <si>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</si>
  <si>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</si>
  <si>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</si>
  <si>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</si>
  <si>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</si>
  <si>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</si>
  <si>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</si>
  <si>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</si>
  <si>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</si>
  <si>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</si>
  <si>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</si>
  <si>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</si>
  <si>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</si>
  <si>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</si>
  <si>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</si>
  <si>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</si>
  <si>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</si>
  <si>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</si>
  <si>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</si>
  <si>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</si>
  <si>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</si>
  <si>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ABDULLAHPUR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</si>
  <si>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</si>
  <si>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</si>
  <si>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</si>
  <si>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</si>
  <si>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</si>
  <si>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</si>
  <si>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</si>
  <si>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</si>
  <si>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</si>
  <si>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</si>
  <si>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</si>
  <si>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</si>
  <si>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</si>
  <si>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</si>
  <si>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DEMRA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</si>
  <si>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</si>
  <si>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</si>
  <si>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</si>
  <si>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</si>
  <si>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</si>
  <si>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</si>
  <si>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</si>
  <si>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</si>
  <si>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</si>
  <si>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</si>
  <si>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</si>
  <si>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</si>
  <si>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</si>
  <si>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</si>
  <si>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</si>
  <si>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</si>
  <si>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</si>
  <si>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</si>
  <si>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</si>
  <si>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</si>
  <si>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</si>
  <si>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</si>
  <si>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</si>
  <si>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</si>
  <si>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</si>
  <si>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</si>
  <si>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</si>
  <si>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</si>
  <si>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</si>
  <si>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</si>
  <si>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</si>
  <si>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</si>
  <si>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</si>
  <si>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</si>
  <si>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</si>
  <si>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</si>
  <si>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</si>
  <si>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</si>
  <si>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KURAISH MUNSHI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</si>
  <si>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</si>
  <si>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</si>
  <si>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RAJNAGAR SME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</si>
  <si>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</si>
  <si>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</si>
  <si>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</si>
  <si>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</si>
  <si>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</si>
  <si>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</si>
  <si>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</si>
  <si>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</si>
  <si>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</si>
  <si>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</si>
  <si>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</si>
  <si>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</si>
  <si>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</si>
  <si>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</si>
  <si>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NABIGANJ SME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</si>
  <si>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</si>
  <si>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</si>
  <si>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</si>
  <si>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</si>
  <si>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</si>
  <si>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</si>
  <si>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</si>
  <si>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</si>
  <si>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SONADANGA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</si>
  <si>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</si>
  <si>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</si>
  <si>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</si>
  <si>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</si>
  <si>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</si>
  <si>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</si>
  <si>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</si>
  <si>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</si>
  <si>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</si>
  <si>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</si>
  <si>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</si>
  <si>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MANDARI BAZAR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</si>
  <si>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</si>
  <si>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</si>
  <si>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</si>
  <si>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</si>
  <si>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</si>
  <si>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</si>
  <si>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</si>
  <si>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</si>
  <si>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JHITKA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</si>
  <si>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</si>
  <si>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</si>
  <si>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</si>
  <si>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</si>
  <si>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</si>
  <si>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</si>
  <si>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</si>
  <si>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</si>
  <si>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</si>
  <si>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</si>
  <si>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</si>
  <si>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NAZIPUR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</si>
  <si>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</si>
  <si>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</si>
  <si>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</si>
  <si>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</si>
  <si>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</si>
  <si>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SAPAHAR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</si>
  <si>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</si>
  <si>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</si>
  <si>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SHISHAHAT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</si>
  <si>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</si>
  <si>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</si>
  <si>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</si>
  <si>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</si>
  <si>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</si>
  <si>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MADANPUR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</si>
  <si>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</si>
  <si>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</si>
  <si>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</si>
  <si>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</si>
  <si>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</si>
  <si>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SHIMRAIL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</si>
  <si>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</si>
  <si>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</si>
  <si>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VELA 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</si>
  <si>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</si>
  <si>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</si>
  <si>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</si>
  <si>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</si>
  <si>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</si>
  <si>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CHAPAINAWABGANJ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</si>
  <si>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</si>
  <si>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</si>
  <si>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</si>
  <si>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</si>
  <si>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</si>
  <si>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AMISHAPARA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</si>
  <si>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</si>
  <si>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</si>
  <si>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</si>
  <si>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</si>
  <si>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</si>
  <si>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BAZRA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</si>
  <si>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</si>
  <si>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</si>
  <si>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</si>
  <si>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</si>
  <si>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</si>
  <si>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KANKIRHAT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</si>
  <si>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</si>
  <si>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</si>
  <si>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</si>
  <si>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</si>
  <si>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</si>
  <si>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SAMIR MUNSHIR 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</si>
  <si>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</si>
  <si>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</si>
  <si>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SUBARNA CHAR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</si>
  <si>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</si>
  <si>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</si>
  <si>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</si>
  <si>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</si>
  <si>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</si>
  <si>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DEBIGANJ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</si>
  <si>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</si>
  <si>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</si>
  <si>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KALAYIA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</si>
  <si>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</si>
  <si>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</si>
  <si>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</si>
  <si>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</si>
  <si>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</si>
  <si>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</si>
  <si>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</si>
  <si>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</si>
  <si>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</si>
  <si>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</si>
  <si>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</si>
  <si>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</si>
  <si>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</si>
  <si>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</si>
  <si>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BHAJESHWAR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</si>
  <si>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</si>
  <si>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</si>
  <si>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</si>
  <si>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</si>
  <si>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</si>
  <si>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GOSHAIRHAT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</si>
  <si>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</si>
  <si>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</si>
  <si>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</si>
  <si>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</si>
  <si>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</si>
  <si>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</si>
  <si>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</si>
  <si>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</si>
  <si>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</si>
  <si>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</si>
  <si>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</si>
  <si>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</si>
  <si>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</si>
  <si>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</si>
  <si>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GORAI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</si>
  <si>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</si>
  <si>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</si>
  <si>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</si>
  <si>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</si>
  <si>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MERCANTILE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</si>
  <si>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</si>
  <si>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</si>
  <si>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</si>
  <si>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</si>
  <si>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</si>
  <si>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</si>
  <si>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GOURNADI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</si>
  <si>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</si>
  <si>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</si>
  <si>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</si>
  <si>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</si>
  <si>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</si>
  <si>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</si>
  <si>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</si>
  <si>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</si>
  <si>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ABUTORAB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</si>
  <si>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</si>
  <si>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</si>
  <si>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</si>
  <si>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</si>
  <si>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</si>
  <si>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ALANKAR MOR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</si>
  <si>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</si>
  <si>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</si>
  <si>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AMAN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</si>
  <si>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</si>
  <si>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</si>
  <si>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KALURGHAT INDUSTRIAL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</si>
  <si>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</si>
  <si>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</si>
  <si>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</si>
  <si>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</si>
  <si>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</si>
  <si>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</si>
  <si>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</si>
  <si>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</si>
  <si>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CHITTAGONG MEDICAL COLLEGE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</si>
  <si>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</si>
  <si>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</si>
  <si>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</si>
  <si>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</si>
  <si>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</si>
  <si>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KARNAPHULI 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</si>
  <si>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</si>
  <si>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</si>
  <si>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</si>
  <si>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</si>
  <si>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</si>
  <si>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</si>
  <si>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</si>
  <si>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</si>
  <si>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SARKERHAT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</si>
  <si>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</si>
  <si>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</si>
  <si>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</si>
  <si>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</si>
  <si>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</si>
  <si>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NAZU MEA 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</si>
  <si>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</si>
  <si>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</si>
  <si>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OXYGEN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</si>
  <si>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</si>
  <si>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</si>
  <si>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KERANI HAAT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</si>
  <si>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</si>
  <si>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</si>
  <si>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KADAIR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</si>
  <si>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</si>
  <si>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</si>
  <si>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GOALMARI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</si>
  <si>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</si>
  <si>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</si>
  <si>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</si>
  <si>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</si>
  <si>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</si>
  <si>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DHORKORA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</si>
  <si>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</si>
  <si>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</si>
  <si>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LAKSAM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</si>
  <si>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</si>
  <si>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</si>
  <si>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RAMCHANDRAPUR BAZAR SME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</si>
  <si>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</si>
  <si>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</si>
  <si>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</si>
  <si>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</si>
  <si>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</si>
  <si>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</si>
  <si>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</si>
  <si>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</si>
  <si>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</si>
  <si>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</si>
  <si>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</si>
  <si>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DUMNI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</si>
  <si>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</si>
  <si>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</si>
  <si>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BARAIPARA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</si>
  <si>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</si>
  <si>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</si>
  <si>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</si>
  <si>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</si>
  <si>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</si>
  <si>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</si>
  <si>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</si>
  <si>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</si>
  <si>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</si>
  <si>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</si>
  <si>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</si>
  <si>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</si>
  <si>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</si>
  <si>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</si>
  <si>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BASHUNDHARA CITY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</si>
  <si>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</si>
  <si>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</si>
  <si>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</si>
  <si>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</si>
  <si>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</si>
  <si>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</si>
  <si>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</si>
  <si>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</si>
  <si>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</si>
  <si>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</si>
  <si>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</si>
  <si>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</si>
  <si>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</si>
  <si>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</si>
  <si>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</si>
  <si>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</si>
  <si>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</si>
  <si>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</si>
  <si>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</si>
  <si>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</si>
  <si>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</si>
  <si>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</si>
  <si>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</si>
  <si>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</si>
  <si>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</si>
  <si>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</si>
  <si>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</si>
  <si>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</si>
  <si>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</si>
  <si>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SHAH MUKHDUM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</si>
  <si>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</si>
  <si>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</si>
  <si>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TEJGAON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</si>
  <si>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</si>
  <si>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</si>
  <si>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</si>
  <si>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</si>
  <si>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</si>
  <si>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MTB CENTER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</si>
  <si>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</si>
  <si>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</si>
  <si>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</si>
  <si>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</si>
  <si>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</si>
  <si>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</si>
  <si>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</si>
  <si>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</si>
  <si>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MTB TOWER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</si>
  <si>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</si>
  <si>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</si>
  <si>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</si>
  <si>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</si>
  <si>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</si>
  <si>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CHAWK MOGULTULY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</si>
  <si>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</si>
  <si>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</si>
  <si>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</si>
  <si>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</si>
  <si>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</si>
  <si>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</si>
  <si>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</si>
  <si>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</si>
  <si>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</si>
  <si>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</si>
  <si>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</si>
  <si>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HASNABAD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</si>
  <si>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</si>
  <si>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</si>
  <si>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</si>
  <si>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</si>
  <si>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</si>
  <si>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</si>
  <si>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</si>
  <si>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</si>
  <si>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MALIBAGH CHOWDHURYPARA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</si>
  <si>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</si>
  <si>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</si>
  <si>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CARD DIVISION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</si>
  <si>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</si>
  <si>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</si>
  <si>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</si>
  <si>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</si>
  <si>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</si>
  <si>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SARULIA BAZAR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</si>
  <si>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</si>
  <si>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</si>
  <si>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</si>
  <si>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</si>
  <si>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</si>
  <si>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</si>
  <si>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</si>
  <si>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</si>
  <si>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</si>
  <si>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</si>
  <si>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</si>
  <si>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</si>
  <si>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</si>
  <si>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</si>
  <si>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</si>
  <si>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</si>
  <si>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</si>
  <si>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</si>
  <si>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</si>
  <si>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</si>
  <si>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MONIPUR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</si>
  <si>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</si>
  <si>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</si>
  <si>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BAGHER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</si>
  <si>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</si>
  <si>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</si>
  <si>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BORMI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</si>
  <si>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</si>
  <si>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</si>
  <si>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CHANDRA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</si>
  <si>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</si>
  <si>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</si>
  <si>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</si>
  <si>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</si>
  <si>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</si>
  <si>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</si>
  <si>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</si>
  <si>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</si>
  <si>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</si>
  <si>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</si>
  <si>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</si>
  <si>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</si>
  <si>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</si>
  <si>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</si>
  <si>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</si>
  <si>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</si>
  <si>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</si>
  <si>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</si>
  <si>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</si>
  <si>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</si>
  <si>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</si>
  <si>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</si>
  <si>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</si>
  <si>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</si>
  <si>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</si>
  <si>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</si>
  <si>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ULIPUR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</si>
  <si>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</si>
  <si>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</si>
  <si>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</si>
  <si>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</si>
  <si>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</si>
  <si>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HAIDERGANJ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</si>
  <si>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</si>
  <si>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</si>
  <si>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</si>
  <si>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</si>
  <si>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</si>
  <si>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</si>
  <si>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</si>
  <si>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</si>
  <si>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</si>
  <si>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</si>
  <si>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</si>
  <si>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</si>
  <si>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</si>
  <si>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</si>
  <si>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GAFFARGAON SME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</si>
  <si>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</si>
  <si>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</si>
  <si>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JAMIRDIA MASTERBARI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</si>
  <si>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</si>
  <si>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</si>
  <si>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</si>
  <si>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</si>
  <si>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</si>
  <si>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</si>
  <si>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</si>
  <si>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</si>
  <si>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NARAYANGANJ BSCIC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</si>
  <si>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</si>
  <si>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</si>
  <si>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</si>
  <si>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</si>
  <si>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</si>
  <si>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</si>
  <si>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</si>
  <si>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</si>
  <si>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MEGHNA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</si>
  <si>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</si>
  <si>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</si>
  <si>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</si>
  <si>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</si>
  <si>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</si>
  <si>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KHILPARA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</si>
  <si>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</si>
  <si>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</si>
  <si>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ISHWARDI SME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</si>
  <si>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</si>
  <si>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</si>
  <si>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</si>
  <si>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</si>
  <si>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</si>
  <si>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</si>
  <si>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</si>
  <si>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</si>
  <si>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</si>
  <si>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</si>
  <si>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</si>
  <si>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NARIA SME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</si>
  <si>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</si>
  <si>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</si>
  <si>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BELKUCHI SME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</si>
  <si>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</si>
  <si>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</si>
  <si>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</si>
  <si>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</si>
  <si>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</si>
  <si>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SYEDPUR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</si>
  <si>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</si>
  <si>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</si>
  <si>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</si>
  <si>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</si>
  <si>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</si>
  <si>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SHAH PARAN GATE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</si>
  <si>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</si>
  <si>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</si>
  <si>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</si>
  <si>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</si>
  <si>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</si>
  <si>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DHAN BARI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</si>
  <si>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</si>
  <si>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</si>
  <si>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</si>
  <si>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</si>
  <si>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MUTUAL TRUST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</si>
  <si>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</si>
  <si>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</si>
  <si>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</si>
  <si>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</si>
  <si>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</si>
  <si>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</si>
  <si>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TORKI BANDAR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</si>
  <si>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</si>
  <si>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</si>
  <si>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</si>
  <si>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</si>
  <si>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</si>
  <si>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</si>
  <si>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</si>
  <si>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</si>
  <si>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</si>
  <si>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</si>
  <si>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</si>
  <si>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</si>
  <si>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</si>
  <si>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</si>
  <si>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SOYFULLAHKANDI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</si>
  <si>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</si>
  <si>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</si>
  <si>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CHANDPUR NATUN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</si>
  <si>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</si>
  <si>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</si>
  <si>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</si>
  <si>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</si>
  <si>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</si>
  <si>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</si>
  <si>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</si>
  <si>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</si>
  <si>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</si>
  <si>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</si>
  <si>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</si>
  <si>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</si>
  <si>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</si>
  <si>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</si>
  <si>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</si>
  <si>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</si>
  <si>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</si>
  <si>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</si>
  <si>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</si>
  <si>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</si>
  <si>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</si>
  <si>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</si>
  <si>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</si>
  <si>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</si>
  <si>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</si>
  <si>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</si>
  <si>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HATHAZARI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</si>
  <si>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</si>
  <si>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</si>
  <si>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</si>
  <si>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</si>
  <si>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</si>
  <si>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</si>
  <si>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</si>
  <si>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</si>
  <si>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MIRSARAI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</si>
  <si>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</si>
  <si>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</si>
  <si>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</si>
  <si>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</si>
  <si>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</si>
  <si>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</si>
  <si>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</si>
  <si>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</si>
  <si>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</si>
  <si>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</si>
  <si>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</si>
  <si>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RANGUNIA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</si>
  <si>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</si>
  <si>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</si>
  <si>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</si>
  <si>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</si>
  <si>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</si>
  <si>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SK. MUJIB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</si>
  <si>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</si>
  <si>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</si>
  <si>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</si>
  <si>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</si>
  <si>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</si>
  <si>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BARURA SME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</si>
  <si>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</si>
  <si>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</si>
  <si>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</si>
  <si>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</si>
  <si>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</si>
  <si>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</si>
  <si>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</si>
  <si>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</si>
  <si>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GOURIPUR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</si>
  <si>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</si>
  <si>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</si>
  <si>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MUDAFARGANJ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</si>
  <si>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</si>
  <si>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</si>
  <si>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</si>
  <si>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</si>
  <si>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</si>
  <si>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ABDULLAHPUR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</si>
  <si>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</si>
  <si>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</si>
  <si>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ASAD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</si>
  <si>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</si>
  <si>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</si>
  <si>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</si>
  <si>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</si>
  <si>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</si>
  <si>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SONARGAON JANAPATH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</si>
  <si>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</si>
  <si>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</si>
  <si>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SATURIA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</si>
  <si>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</si>
  <si>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</si>
  <si>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</si>
  <si>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</si>
  <si>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</si>
  <si>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</si>
  <si>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</si>
  <si>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</si>
  <si>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</si>
  <si>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</si>
  <si>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</si>
  <si>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</si>
  <si>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</si>
  <si>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</si>
  <si>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</si>
  <si>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</si>
  <si>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</si>
  <si>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LAKE CIRCUS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</si>
  <si>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</si>
  <si>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</si>
  <si>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</si>
  <si>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</si>
  <si>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</si>
  <si>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</si>
  <si>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</si>
  <si>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</si>
  <si>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</si>
  <si>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</si>
  <si>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</si>
  <si>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</si>
  <si>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</si>
  <si>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</si>
  <si>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RIFLE SQUARE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</si>
  <si>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</si>
  <si>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</si>
  <si>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ROKEYA SHARANI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</si>
  <si>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</si>
  <si>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</si>
  <si>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</si>
  <si>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</si>
  <si>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</si>
  <si>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</si>
  <si>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</si>
  <si>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</si>
  <si>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Z.H.S.W. MEDICAL COLLEGE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</si>
  <si>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</si>
  <si>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</si>
  <si>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</si>
  <si>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</si>
  <si>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</si>
  <si>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RAJENDRAPUR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</si>
  <si>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</si>
  <si>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</si>
  <si>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</si>
  <si>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</si>
  <si>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</si>
  <si>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</si>
  <si>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</si>
  <si>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</si>
  <si>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</si>
  <si>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</si>
  <si>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</si>
  <si>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</si>
  <si>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</si>
  <si>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</si>
  <si>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</si>
  <si>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</si>
  <si>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</si>
  <si>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</si>
  <si>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</si>
  <si>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</si>
  <si>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</si>
  <si>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</si>
  <si>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</si>
  <si>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</si>
  <si>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</si>
  <si>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</si>
  <si>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</si>
  <si>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</si>
  <si>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</si>
  <si>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</si>
  <si>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</si>
  <si>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</si>
  <si>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JURAIN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</si>
  <si>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</si>
  <si>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</si>
  <si>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</si>
  <si>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</si>
  <si>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</si>
  <si>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KHOLAMORA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</si>
  <si>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</si>
  <si>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</si>
  <si>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</si>
  <si>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</si>
  <si>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</si>
  <si>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MEGHULA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</si>
  <si>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</si>
  <si>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</si>
  <si>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MIRHAJIRBAGH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</si>
  <si>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</si>
  <si>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</si>
  <si>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</si>
  <si>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</si>
  <si>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</si>
  <si>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NEW ESKATON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</si>
  <si>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</si>
  <si>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</si>
  <si>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NORTH BROOK HALL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</si>
  <si>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</si>
  <si>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</si>
  <si>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</si>
  <si>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</si>
  <si>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</si>
  <si>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</si>
  <si>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</si>
  <si>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</si>
  <si>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</si>
  <si>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</si>
  <si>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</si>
  <si>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BOALMARI SME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</si>
  <si>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</si>
  <si>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</si>
  <si>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</si>
  <si>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</si>
  <si>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</si>
  <si>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GOALCHAMAT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</si>
  <si>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</si>
  <si>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</si>
  <si>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KANAIPUR BAZAR SME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</si>
  <si>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</si>
  <si>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</si>
  <si>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</si>
  <si>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</si>
  <si>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</si>
  <si>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</si>
  <si>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</si>
  <si>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</si>
  <si>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</si>
  <si>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</si>
  <si>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</si>
  <si>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</si>
  <si>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</si>
  <si>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</si>
  <si>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</si>
  <si>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</si>
  <si>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</si>
  <si>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JAINA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</si>
  <si>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</si>
  <si>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</si>
  <si>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</si>
  <si>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</si>
  <si>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</si>
  <si>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</si>
  <si>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</si>
  <si>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</si>
  <si>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</si>
  <si>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</si>
  <si>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</si>
  <si>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</si>
  <si>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</si>
  <si>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</si>
  <si>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</si>
  <si>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</si>
  <si>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</si>
  <si>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</si>
  <si>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</si>
  <si>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</si>
  <si>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</si>
  <si>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</si>
  <si>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</si>
  <si>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CHOWGACHA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</si>
  <si>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</si>
  <si>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</si>
  <si>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</si>
  <si>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</si>
  <si>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</si>
  <si>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</si>
  <si>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</si>
  <si>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</si>
  <si>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</si>
  <si>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</si>
  <si>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</si>
  <si>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KALIGANJ SME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</si>
  <si>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</si>
  <si>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</si>
  <si>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KDA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</si>
  <si>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</si>
  <si>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</si>
  <si>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</si>
  <si>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</si>
  <si>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</si>
  <si>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</si>
  <si>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</si>
  <si>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</si>
  <si>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GOCHIHATA SME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</si>
  <si>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</si>
  <si>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</si>
  <si>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</si>
  <si>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</si>
  <si>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</si>
  <si>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PAKUNDIA SME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</si>
  <si>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</si>
  <si>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</si>
  <si>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</si>
  <si>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</si>
  <si>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</si>
  <si>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ROWMARI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</si>
  <si>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</si>
  <si>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</si>
  <si>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</si>
  <si>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</si>
  <si>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</si>
  <si>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BURIMARI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</si>
  <si>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</si>
  <si>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</si>
  <si>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</si>
  <si>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</si>
  <si>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</si>
  <si>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</si>
  <si>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</si>
  <si>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</si>
  <si>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</si>
  <si>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</si>
  <si>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</si>
  <si>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SINGAIR SME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</si>
  <si>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</si>
  <si>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</si>
  <si>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</si>
  <si>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</si>
  <si>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</si>
  <si>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</si>
  <si>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</si>
  <si>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</si>
  <si>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</si>
  <si>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</si>
  <si>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</si>
  <si>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NIMTALI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</si>
  <si>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</si>
  <si>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</si>
  <si>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BAGHRA BAZAR SME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</si>
  <si>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</si>
  <si>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</si>
  <si>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BALURCHAR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</si>
  <si>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</si>
  <si>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</si>
  <si>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BHAGYAKUL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</si>
  <si>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</si>
  <si>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</si>
  <si>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GAZARIA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</si>
  <si>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</si>
  <si>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</si>
  <si>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ISAPURA SME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</si>
  <si>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</si>
  <si>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</si>
  <si>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LOUHAJONG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</si>
  <si>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</si>
  <si>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</si>
  <si>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</si>
  <si>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</si>
  <si>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</si>
  <si>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SERAJDIKHAN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</si>
  <si>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</si>
  <si>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</si>
  <si>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</si>
  <si>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</si>
  <si>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</si>
  <si>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TONGI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</si>
  <si>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</si>
  <si>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</si>
  <si>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</si>
  <si>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</si>
  <si>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</si>
  <si>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FULPUR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</si>
  <si>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</si>
  <si>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</si>
  <si>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</si>
  <si>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</si>
  <si>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</si>
  <si>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</si>
  <si>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</si>
  <si>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</si>
  <si>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</si>
  <si>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</si>
  <si>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</si>
  <si>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</si>
  <si>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</si>
  <si>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</si>
  <si>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NIAMATPUR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</si>
  <si>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</si>
  <si>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</si>
  <si>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</si>
  <si>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</si>
  <si>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</si>
  <si>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NETAIGANJ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</si>
  <si>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</si>
  <si>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</si>
  <si>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PAGLA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</si>
  <si>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</si>
  <si>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</si>
  <si>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</si>
  <si>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</si>
  <si>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</si>
  <si>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</si>
  <si>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</si>
  <si>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</si>
  <si>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</si>
  <si>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</si>
  <si>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</si>
  <si>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</si>
  <si>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</si>
  <si>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</si>
  <si>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</si>
  <si>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</si>
  <si>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</si>
  <si>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</si>
  <si>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</si>
  <si>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</si>
  <si>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</si>
  <si>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</si>
  <si>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</si>
  <si>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</si>
  <si>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</si>
  <si>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</si>
  <si>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</si>
  <si>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</si>
  <si>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</si>
  <si>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</si>
  <si>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</si>
  <si>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</si>
  <si>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</si>
  <si>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</si>
  <si>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</si>
  <si>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BHAULAGONJ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</si>
  <si>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</si>
  <si>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</si>
  <si>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</si>
  <si>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</si>
  <si>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</si>
  <si>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ALIPUR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</si>
  <si>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</si>
  <si>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</si>
  <si>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KOAKATA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</si>
  <si>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</si>
  <si>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</si>
  <si>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</si>
  <si>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</si>
  <si>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</si>
  <si>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KAZIHATA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</si>
  <si>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</si>
  <si>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</si>
  <si>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GODAGARI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</si>
  <si>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</si>
  <si>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</si>
  <si>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</si>
  <si>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</si>
  <si>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</si>
  <si>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</si>
  <si>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</si>
  <si>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</si>
  <si>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</si>
  <si>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</si>
  <si>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</si>
  <si>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</si>
  <si>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</si>
  <si>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</si>
  <si>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SATHIBARI SME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</si>
  <si>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</si>
  <si>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</si>
  <si>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Z.H SHIKDER UNIVERSITY OF SCIENCE &amp; TECHNOLOGY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</si>
  <si>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</si>
  <si>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</si>
  <si>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ANGARIA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</si>
  <si>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</si>
  <si>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</si>
  <si>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BHEDERGANJ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</si>
  <si>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</si>
  <si>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</si>
  <si>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BHOJESWAR SME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</si>
  <si>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</si>
  <si>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</si>
  <si>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GHARISHAR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</si>
  <si>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</si>
  <si>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</si>
  <si>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GOSHAIRHAT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</si>
  <si>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</si>
  <si>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</si>
  <si>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KARTIKPUR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</si>
  <si>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</si>
  <si>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</si>
  <si>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</si>
  <si>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</si>
  <si>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</si>
  <si>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</si>
  <si>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</si>
  <si>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</si>
  <si>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</si>
  <si>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</si>
  <si>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</si>
  <si>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</si>
  <si>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</si>
  <si>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</si>
  <si>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BELKUCHI SME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</si>
  <si>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</si>
  <si>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</si>
  <si>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</si>
  <si>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</si>
  <si>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</si>
  <si>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</si>
  <si>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</si>
  <si>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</si>
  <si>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</si>
  <si>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</si>
  <si>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</si>
  <si>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</si>
  <si>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</si>
  <si>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</si>
  <si>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MIRPUR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</si>
  <si>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</si>
  <si>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</si>
  <si>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</si>
  <si>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</si>
  <si>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</si>
  <si>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</si>
  <si>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</si>
  <si>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</si>
  <si>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</si>
  <si>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</si>
  <si>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</si>
  <si>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</si>
  <si>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</si>
  <si>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</si>
  <si>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</si>
  <si>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</si>
  <si>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</si>
  <si>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</si>
  <si>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</si>
  <si>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</si>
  <si>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</si>
  <si>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</si>
  <si>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</si>
  <si>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SIKDER TOWER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</si>
  <si>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</si>
  <si>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</si>
  <si>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</si>
  <si>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</si>
  <si>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</si>
  <si>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</si>
  <si>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</si>
  <si>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</si>
  <si>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</si>
  <si>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</si>
  <si>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</si>
  <si>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TAJPUR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</si>
  <si>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</si>
  <si>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</si>
  <si>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</si>
  <si>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</si>
  <si>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</si>
  <si>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ELENGA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</si>
  <si>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</si>
  <si>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</si>
  <si>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GOPALPUR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</si>
  <si>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</si>
  <si>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</si>
  <si>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KALIHATI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</si>
  <si>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</si>
  <si>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</si>
  <si>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MIRZAPUR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</si>
  <si>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</si>
  <si>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</si>
  <si>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MODHUPUR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</si>
  <si>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</si>
  <si>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</si>
  <si>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</si>
  <si>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</si>
  <si>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</si>
  <si>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</si>
  <si>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</si>
  <si>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NATIONAL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</si>
  <si>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</si>
  <si>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</si>
  <si>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BANK OF PAKISTAN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</si>
  <si>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</si>
  <si>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</si>
  <si>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BANK OF PAKISTAN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</si>
  <si>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</si>
  <si>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</si>
  <si>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OF PAKISTAN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</si>
  <si>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</si>
  <si>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</si>
  <si>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BANK OF PAKISTAN</t>
    </r>
  </si>
  <si>
    <r>
      <rPr>
        <rFont val="Arial MT"/>
        <color theme="1"/>
        <sz val="5.0"/>
      </rPr>
      <t>DHAKA(MAIN)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</si>
  <si>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</si>
  <si>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BANK OF PAKISTAN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</si>
  <si>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</si>
  <si>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</si>
  <si>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</si>
  <si>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</si>
  <si>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</si>
  <si>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</si>
  <si>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</si>
  <si>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</si>
  <si>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</si>
  <si>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AKHAURA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</si>
  <si>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</si>
  <si>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</si>
  <si>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BISHWAROAD MORE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</si>
  <si>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</si>
  <si>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</si>
  <si>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BRAHMANBARIA SME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</si>
  <si>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</si>
  <si>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</si>
  <si>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FARIDGANJ SME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</si>
  <si>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</si>
  <si>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</si>
  <si>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</si>
  <si>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</si>
  <si>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</si>
  <si>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KACHUA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</si>
  <si>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</si>
  <si>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</si>
  <si>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</si>
  <si>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</si>
  <si>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</si>
  <si>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ALANKAR MOR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</si>
  <si>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</si>
  <si>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</si>
  <si>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AMAN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</si>
  <si>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</si>
  <si>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</si>
  <si>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</si>
  <si>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</si>
  <si>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</si>
  <si>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</si>
  <si>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</si>
  <si>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</si>
  <si>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</si>
  <si>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</si>
  <si>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</si>
  <si>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</si>
  <si>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</si>
  <si>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</si>
  <si>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</si>
  <si>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</si>
  <si>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</si>
  <si>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</si>
  <si>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</si>
  <si>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</si>
  <si>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</si>
  <si>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</si>
  <si>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</si>
  <si>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KAMAL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</si>
  <si>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</si>
  <si>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</si>
  <si>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</si>
  <si>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</si>
  <si>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</si>
  <si>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</si>
  <si>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</si>
  <si>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</si>
  <si>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</si>
  <si>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</si>
  <si>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</si>
  <si>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MADHUNA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</si>
  <si>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</si>
  <si>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</si>
  <si>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MAJIR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</si>
  <si>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</si>
  <si>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</si>
  <si>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</si>
  <si>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</si>
  <si>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</si>
  <si>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</si>
  <si>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</si>
  <si>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</si>
  <si>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OXYGEN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</si>
  <si>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</si>
  <si>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</si>
  <si>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PAHARTALI CHOUMOHONI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</si>
  <si>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</si>
  <si>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</si>
  <si>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</si>
  <si>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</si>
  <si>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</si>
  <si>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</si>
  <si>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</si>
  <si>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</si>
  <si>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</si>
  <si>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</si>
  <si>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</si>
  <si>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</si>
  <si>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</si>
  <si>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</si>
  <si>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</si>
  <si>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</si>
  <si>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</si>
  <si>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</si>
  <si>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</si>
  <si>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</si>
  <si>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</si>
  <si>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</si>
  <si>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</si>
  <si>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</si>
  <si>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</si>
  <si>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</si>
  <si>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</si>
  <si>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</si>
  <si>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</si>
  <si>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DARUS-SALAM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</si>
  <si>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</si>
  <si>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</si>
  <si>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</si>
  <si>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</si>
  <si>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</si>
  <si>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</si>
  <si>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</si>
  <si>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</si>
  <si>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</si>
  <si>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</si>
  <si>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</si>
  <si>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</si>
  <si>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</si>
  <si>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</si>
  <si>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</si>
  <si>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</si>
  <si>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</si>
  <si>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</si>
  <si>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</si>
  <si>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</si>
  <si>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</si>
  <si>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</si>
  <si>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</si>
  <si>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</si>
  <si>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</si>
  <si>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</si>
  <si>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</si>
  <si>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</si>
  <si>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</si>
  <si>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</si>
  <si>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</si>
  <si>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</si>
  <si>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</si>
  <si>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</si>
  <si>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</si>
  <si>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NCC BANK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</si>
  <si>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</si>
  <si>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</si>
  <si>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</si>
  <si>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</si>
  <si>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</si>
  <si>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</si>
  <si>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</si>
  <si>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</si>
  <si>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</si>
  <si>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</si>
  <si>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</si>
  <si>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</si>
  <si>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</si>
  <si>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</si>
  <si>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</si>
  <si>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</si>
  <si>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</si>
  <si>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</si>
  <si>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</si>
  <si>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</si>
  <si>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</si>
  <si>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</si>
  <si>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</si>
  <si>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</si>
  <si>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</si>
  <si>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</si>
  <si>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</si>
  <si>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</si>
  <si>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</si>
  <si>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MITFORD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</si>
  <si>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</si>
  <si>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</si>
  <si>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</si>
  <si>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</si>
  <si>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</si>
  <si>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</si>
  <si>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</si>
  <si>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</si>
  <si>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</si>
  <si>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</si>
  <si>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</si>
  <si>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</si>
  <si>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</si>
  <si>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</si>
  <si>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</si>
  <si>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</si>
  <si>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</si>
  <si>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</si>
  <si>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</si>
  <si>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</si>
  <si>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</si>
  <si>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</si>
  <si>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</si>
  <si>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MOHIPAL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</si>
  <si>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</si>
  <si>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</si>
  <si>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PARSHURAM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</si>
  <si>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</si>
  <si>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</si>
  <si>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SONAGAZI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</si>
  <si>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</si>
  <si>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</si>
  <si>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</si>
  <si>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</si>
  <si>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</si>
  <si>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</si>
  <si>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</si>
  <si>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</si>
  <si>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</si>
  <si>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</si>
  <si>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</si>
  <si>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</si>
  <si>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</si>
  <si>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</si>
  <si>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KHULNA(MAIN)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</si>
  <si>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</si>
  <si>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</si>
  <si>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HOSSAINPUR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</si>
  <si>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</si>
  <si>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</si>
  <si>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</si>
  <si>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</si>
  <si>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</si>
  <si>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</si>
  <si>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</si>
  <si>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</si>
  <si>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</si>
  <si>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</si>
  <si>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</si>
  <si>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RAMGANJ SME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</si>
  <si>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</si>
  <si>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</si>
  <si>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PATGRAM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</si>
  <si>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</si>
  <si>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</si>
  <si>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</si>
  <si>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</si>
  <si>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</si>
  <si>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</si>
  <si>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</si>
  <si>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</si>
  <si>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</si>
  <si>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</si>
  <si>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</si>
  <si>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</si>
  <si>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</si>
  <si>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</si>
  <si>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</si>
  <si>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</si>
  <si>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</si>
  <si>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</si>
  <si>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</si>
  <si>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</si>
  <si>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</si>
  <si>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</si>
  <si>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</si>
  <si>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NANDAIL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</si>
  <si>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</si>
  <si>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</si>
  <si>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RAYER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</si>
  <si>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</si>
  <si>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</si>
  <si>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</si>
  <si>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</si>
  <si>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</si>
  <si>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</si>
  <si>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</si>
  <si>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</si>
  <si>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</si>
  <si>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</si>
  <si>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</si>
  <si>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</si>
  <si>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</si>
  <si>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</si>
  <si>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</si>
  <si>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</si>
  <si>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</si>
  <si>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</si>
  <si>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</si>
  <si>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</si>
  <si>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MAIJDEE SME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</si>
  <si>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</si>
  <si>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</si>
  <si>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BANESHWAR SME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</si>
  <si>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</si>
  <si>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</si>
  <si>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</si>
  <si>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</si>
  <si>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</si>
  <si>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</si>
  <si>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</si>
  <si>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</si>
  <si>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NARIA SME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</si>
  <si>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</si>
  <si>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</si>
  <si>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PARULIA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</si>
  <si>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</si>
  <si>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</si>
  <si>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</si>
  <si>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</si>
  <si>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</si>
  <si>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KUMARPARA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</si>
  <si>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</si>
  <si>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</si>
  <si>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CHOUHATTA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</si>
  <si>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</si>
  <si>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</si>
  <si>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</si>
  <si>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</si>
  <si>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</si>
  <si>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MODHUPUR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</si>
  <si>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</si>
  <si>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</si>
  <si>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RAMPUR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</si>
  <si>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</si>
  <si>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NATIONAL CREDIT &amp; COMMERCE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</si>
  <si>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</si>
  <si>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</si>
  <si>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</si>
  <si>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</si>
  <si>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</si>
  <si>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</si>
  <si>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</si>
  <si>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</si>
  <si>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</si>
  <si>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BRAHMANBARIA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</si>
  <si>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</si>
  <si>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</si>
  <si>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</si>
  <si>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</si>
  <si>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</si>
  <si>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MITHACHHARA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</si>
  <si>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</si>
  <si>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</si>
  <si>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</si>
  <si>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</si>
  <si>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</si>
  <si>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</si>
  <si>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</si>
  <si>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</si>
  <si>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BIBIRHAT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</si>
  <si>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</si>
  <si>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</si>
  <si>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</si>
  <si>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</si>
  <si>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</si>
  <si>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</si>
  <si>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</si>
  <si>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</si>
  <si>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CHANDGAON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</si>
  <si>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</si>
  <si>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</si>
  <si>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CHITTAGONG 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</si>
  <si>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</si>
  <si>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</si>
  <si>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DOVASHI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</si>
  <si>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</si>
  <si>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</si>
  <si>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</si>
  <si>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</si>
  <si>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</si>
  <si>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</si>
  <si>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</si>
  <si>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</si>
  <si>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</si>
  <si>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</si>
  <si>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</si>
  <si>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</si>
  <si>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</si>
  <si>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</si>
  <si>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</si>
  <si>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</si>
  <si>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</si>
  <si>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NANUPUR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</si>
  <si>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</si>
  <si>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</si>
  <si>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</si>
  <si>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</si>
  <si>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</si>
  <si>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RANIRHAT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</si>
  <si>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</si>
  <si>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</si>
  <si>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</si>
  <si>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</si>
  <si>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</si>
  <si>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</si>
  <si>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</si>
  <si>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</si>
  <si>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</si>
  <si>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</si>
  <si>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</si>
  <si>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</si>
  <si>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</si>
  <si>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</si>
  <si>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LAKSAM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</si>
  <si>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</si>
  <si>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</si>
  <si>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</si>
  <si>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</si>
  <si>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</si>
  <si>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ASHKONA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</si>
  <si>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</si>
  <si>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</si>
  <si>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SONARGAON JANAPATH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</si>
  <si>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</si>
  <si>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</si>
  <si>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</si>
  <si>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</si>
  <si>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</si>
  <si>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</si>
  <si>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</si>
  <si>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</si>
  <si>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</si>
  <si>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</si>
  <si>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</si>
  <si>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</si>
  <si>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</si>
  <si>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</si>
  <si>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</si>
  <si>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</si>
  <si>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</si>
  <si>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</si>
  <si>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</si>
  <si>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</si>
  <si>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GANAKBARI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</si>
  <si>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</si>
  <si>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</si>
  <si>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</si>
  <si>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</si>
  <si>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</si>
  <si>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</si>
  <si>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</si>
  <si>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</si>
  <si>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</si>
  <si>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</si>
  <si>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</si>
  <si>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</si>
  <si>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</si>
  <si>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</si>
  <si>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</si>
  <si>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</si>
  <si>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</si>
  <si>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</si>
  <si>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</si>
  <si>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</si>
  <si>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</si>
  <si>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</si>
  <si>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</si>
  <si>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</si>
  <si>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</si>
  <si>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</si>
  <si>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BASHABOO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</si>
  <si>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</si>
  <si>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</si>
  <si>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</si>
  <si>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</si>
  <si>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</si>
  <si>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</si>
  <si>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</si>
  <si>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</si>
  <si>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</si>
  <si>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</si>
  <si>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</si>
  <si>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</si>
  <si>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</si>
  <si>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</si>
  <si>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LALBAGH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</si>
  <si>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</si>
  <si>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</si>
  <si>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</si>
  <si>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</si>
  <si>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</si>
  <si>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</si>
  <si>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</si>
  <si>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</si>
  <si>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NANDIPARA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</si>
  <si>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</si>
  <si>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</si>
  <si>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</si>
  <si>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</si>
  <si>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</si>
  <si>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</si>
  <si>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</si>
  <si>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</si>
  <si>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TIPU SULTAN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</si>
  <si>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</si>
  <si>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</si>
  <si>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</si>
  <si>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</si>
  <si>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</si>
  <si>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</si>
  <si>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</si>
  <si>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</si>
  <si>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</si>
  <si>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</si>
  <si>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</si>
  <si>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</si>
  <si>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</si>
  <si>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</si>
  <si>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</si>
  <si>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</si>
  <si>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</si>
  <si>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TONGI SME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</si>
  <si>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</si>
  <si>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</si>
  <si>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</si>
  <si>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</si>
  <si>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</si>
  <si>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</si>
  <si>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</si>
  <si>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</si>
  <si>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</si>
  <si>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</si>
  <si>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</si>
  <si>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PORADAH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</si>
  <si>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</si>
  <si>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</si>
  <si>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LAKSHMIPUR SME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</si>
  <si>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</si>
  <si>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</si>
  <si>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</si>
  <si>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</si>
  <si>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</si>
  <si>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MANDARI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</si>
  <si>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</si>
  <si>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</si>
  <si>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</si>
  <si>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</si>
  <si>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</si>
  <si>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</si>
  <si>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</si>
  <si>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</si>
  <si>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</si>
  <si>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</si>
  <si>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</si>
  <si>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</si>
  <si>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</si>
  <si>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</si>
  <si>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</si>
  <si>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</si>
  <si>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</si>
  <si>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TANBAZAR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</si>
  <si>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</si>
  <si>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</si>
  <si>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</si>
  <si>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</si>
  <si>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</si>
  <si>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AMISHAPARA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</si>
  <si>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</si>
  <si>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</si>
  <si>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CHHATARPAIYA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</si>
  <si>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</si>
  <si>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</si>
  <si>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</si>
  <si>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</si>
  <si>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</si>
  <si>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CHAPRASHIRHAT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</si>
  <si>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</si>
  <si>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</si>
  <si>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</si>
  <si>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</si>
  <si>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</si>
  <si>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</si>
  <si>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</si>
  <si>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</si>
  <si>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</si>
  <si>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</si>
  <si>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</si>
  <si>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SUBARNA CHAR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</si>
  <si>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</si>
  <si>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</si>
  <si>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</si>
  <si>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</si>
  <si>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</si>
  <si>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</si>
  <si>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</si>
  <si>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</si>
  <si>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</si>
  <si>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</si>
  <si>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</si>
  <si>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</si>
  <si>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</si>
  <si>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</si>
  <si>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</si>
  <si>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</si>
  <si>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</si>
  <si>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SHAHJADPUR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</si>
  <si>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</si>
  <si>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</si>
  <si>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</si>
  <si>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</si>
  <si>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</si>
  <si>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</si>
  <si>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</si>
  <si>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ONE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</si>
  <si>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</si>
  <si>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</si>
  <si>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</si>
  <si>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</si>
  <si>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</si>
  <si>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</si>
  <si>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</si>
  <si>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</si>
  <si>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</si>
  <si>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</si>
  <si>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</si>
  <si>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</si>
  <si>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</si>
  <si>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</si>
  <si>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</si>
  <si>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</si>
  <si>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</si>
  <si>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</si>
  <si>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</si>
  <si>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</si>
  <si>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</si>
  <si>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</si>
  <si>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</si>
  <si>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</si>
  <si>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BANSHKHALI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</si>
  <si>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</si>
  <si>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</si>
  <si>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</si>
  <si>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</si>
  <si>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</si>
  <si>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BHUZPUR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</si>
  <si>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</si>
  <si>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</si>
  <si>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</si>
  <si>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</si>
  <si>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</si>
  <si>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</si>
  <si>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</si>
  <si>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</si>
  <si>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</si>
  <si>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</si>
  <si>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</si>
  <si>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HEAKO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</si>
  <si>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</si>
  <si>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</si>
  <si>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</si>
  <si>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</si>
  <si>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</si>
  <si>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KARNAPHULI 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</si>
  <si>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</si>
  <si>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</si>
  <si>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</si>
  <si>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</si>
  <si>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</si>
  <si>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</si>
  <si>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</si>
  <si>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</si>
  <si>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LALDIGHI EAST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</si>
  <si>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</si>
  <si>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</si>
  <si>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MADHUNA GHAT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</si>
  <si>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</si>
  <si>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</si>
  <si>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</si>
  <si>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</si>
  <si>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</si>
  <si>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</si>
  <si>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</si>
  <si>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</si>
  <si>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OXYGEN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</si>
  <si>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</si>
  <si>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</si>
  <si>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PAHARTALI(ISLAMI BANKING)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</si>
  <si>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</si>
  <si>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</si>
  <si>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PRABARTAK MORE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</si>
  <si>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</si>
  <si>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</si>
  <si>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</si>
  <si>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</si>
  <si>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</si>
  <si>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RACE COURSE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</si>
  <si>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</si>
  <si>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</si>
  <si>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</si>
  <si>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</si>
  <si>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</si>
  <si>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</si>
  <si>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</si>
  <si>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</si>
  <si>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COMPANIGANJ SME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</si>
  <si>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</si>
  <si>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</si>
  <si>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</si>
  <si>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</si>
  <si>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</si>
  <si>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ASAD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</si>
  <si>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</si>
  <si>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</si>
  <si>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</si>
  <si>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</si>
  <si>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</si>
  <si>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</si>
  <si>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</si>
  <si>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</si>
  <si>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</si>
  <si>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</si>
  <si>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</si>
  <si>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</si>
  <si>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</si>
  <si>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</si>
  <si>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</si>
  <si>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</si>
  <si>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</si>
  <si>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</si>
  <si>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</si>
  <si>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</si>
  <si>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</si>
  <si>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</si>
  <si>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</si>
  <si>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GANAKBARI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</si>
  <si>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</si>
  <si>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</si>
  <si>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GARIB-E-NEWAZ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</si>
  <si>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</si>
  <si>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</si>
  <si>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</si>
  <si>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</si>
  <si>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</si>
  <si>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</si>
  <si>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</si>
  <si>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</si>
  <si>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IBRAHIMPUR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</si>
  <si>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</si>
  <si>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</si>
  <si>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ISLAMI BANKING(MIRPUR)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</si>
  <si>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</si>
  <si>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</si>
  <si>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</si>
  <si>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</si>
  <si>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</si>
  <si>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MIRPUR SECTION-1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</si>
  <si>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</si>
  <si>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</si>
  <si>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</si>
  <si>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</si>
  <si>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</si>
  <si>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</si>
  <si>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</si>
  <si>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</si>
  <si>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</si>
  <si>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</si>
  <si>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</si>
  <si>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</si>
  <si>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</si>
  <si>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</si>
  <si>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</si>
  <si>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</si>
  <si>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</si>
  <si>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</si>
  <si>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</si>
  <si>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</si>
  <si>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SAVAR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</si>
  <si>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</si>
  <si>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</si>
  <si>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TEJGAON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</si>
  <si>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</si>
  <si>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</si>
  <si>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</si>
  <si>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</si>
  <si>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</si>
  <si>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</si>
  <si>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</si>
  <si>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</si>
  <si>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AGANAGAR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</si>
  <si>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</si>
  <si>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</si>
  <si>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</si>
  <si>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</si>
  <si>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</si>
  <si>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BASHABOO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</si>
  <si>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</si>
  <si>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</si>
  <si>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</si>
  <si>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</si>
  <si>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</si>
  <si>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DHOLAIKHAL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</si>
  <si>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</si>
  <si>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</si>
  <si>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</si>
  <si>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</si>
  <si>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</si>
  <si>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</si>
  <si>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</si>
  <si>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</si>
  <si>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ISLAMI BANKING(DILKUSHA)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</si>
  <si>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</si>
  <si>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</si>
  <si>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</si>
  <si>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</si>
  <si>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</si>
  <si>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</si>
  <si>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</si>
  <si>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</si>
  <si>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</si>
  <si>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</si>
  <si>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</si>
  <si>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MOUCHAK MARKET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</si>
  <si>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</si>
  <si>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</si>
  <si>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</si>
  <si>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</si>
  <si>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</si>
  <si>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</si>
  <si>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</si>
  <si>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</si>
  <si>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NEW ESKATON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</si>
  <si>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</si>
  <si>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</si>
  <si>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PATUATULI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</si>
  <si>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</si>
  <si>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</si>
  <si>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POSTA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</si>
  <si>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</si>
  <si>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</si>
  <si>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SBC TOWER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</si>
  <si>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</si>
  <si>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</si>
  <si>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WARI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</si>
  <si>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</si>
  <si>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</si>
  <si>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</si>
  <si>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</si>
  <si>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</si>
  <si>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BOALMARI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</si>
  <si>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</si>
  <si>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</si>
  <si>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</si>
  <si>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</si>
  <si>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</si>
  <si>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MADHUKHALI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</si>
  <si>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</si>
  <si>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</si>
  <si>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</si>
  <si>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</si>
  <si>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</si>
  <si>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</si>
  <si>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</si>
  <si>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</si>
  <si>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</si>
  <si>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</si>
  <si>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</si>
  <si>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</si>
  <si>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</si>
  <si>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</si>
  <si>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</si>
  <si>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</si>
  <si>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</si>
  <si>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</si>
  <si>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</si>
  <si>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</si>
  <si>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MADHABPUR SME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</si>
  <si>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</si>
  <si>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</si>
  <si>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</si>
  <si>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</si>
  <si>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</si>
  <si>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</si>
  <si>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</si>
  <si>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</si>
  <si>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</si>
  <si>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</si>
  <si>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</si>
  <si>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</si>
  <si>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</si>
  <si>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</si>
  <si>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JHIKARGACHA SME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</si>
  <si>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</si>
  <si>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</si>
  <si>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RAMGARH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</si>
  <si>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</si>
  <si>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</si>
  <si>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</si>
  <si>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</si>
  <si>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</si>
  <si>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</si>
  <si>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</si>
  <si>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</si>
  <si>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</si>
  <si>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</si>
  <si>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</si>
  <si>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</si>
  <si>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</si>
  <si>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</si>
  <si>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KHAJANAGAR SME/AGRICULTURE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</si>
  <si>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</si>
  <si>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</si>
  <si>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</si>
  <si>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</si>
  <si>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</si>
  <si>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RAIPUR SME/AGRICULTURE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</si>
  <si>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</si>
  <si>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</si>
  <si>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HATIBANDA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</si>
  <si>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</si>
  <si>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</si>
  <si>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TAKERHAT SME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</si>
  <si>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</si>
  <si>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</si>
  <si>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</si>
  <si>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</si>
  <si>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</si>
  <si>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</si>
  <si>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</si>
  <si>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</si>
  <si>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COURT ROAD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</si>
  <si>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</si>
  <si>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</si>
  <si>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</si>
  <si>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</si>
  <si>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</si>
  <si>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</si>
  <si>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</si>
  <si>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</si>
  <si>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SIRAJDHI KHAN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</si>
  <si>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</si>
  <si>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</si>
  <si>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</si>
  <si>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</si>
  <si>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</si>
  <si>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</si>
  <si>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</si>
  <si>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</si>
  <si>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</si>
  <si>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</si>
  <si>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</si>
  <si>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</si>
  <si>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</si>
  <si>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</si>
  <si>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ADAMJEE EPZ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</si>
  <si>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</si>
  <si>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</si>
  <si>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</si>
  <si>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</si>
  <si>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</si>
  <si>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SHIMRAIL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</si>
  <si>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</si>
  <si>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</si>
  <si>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SONARGAON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</si>
  <si>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</si>
  <si>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</si>
  <si>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</si>
  <si>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</si>
  <si>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</si>
  <si>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NARSHINGDI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</si>
  <si>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</si>
  <si>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</si>
  <si>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</si>
  <si>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</si>
  <si>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</si>
  <si>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</si>
  <si>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</si>
  <si>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</si>
  <si>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</si>
  <si>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</si>
  <si>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</si>
  <si>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</si>
  <si>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</si>
  <si>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</si>
  <si>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CHATKHIL SME/AGRICULTURE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</si>
  <si>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</si>
  <si>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</si>
  <si>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</si>
  <si>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</si>
  <si>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</si>
  <si>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</si>
  <si>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</si>
  <si>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</si>
  <si>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</si>
  <si>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</si>
  <si>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</si>
  <si>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</si>
  <si>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</si>
  <si>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</si>
  <si>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</si>
  <si>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</si>
  <si>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</si>
  <si>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</si>
  <si>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</si>
  <si>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</si>
  <si>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</si>
  <si>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</si>
  <si>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</si>
  <si>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</si>
  <si>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</si>
  <si>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</si>
  <si>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SHERPUR SME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</si>
  <si>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</si>
  <si>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</si>
  <si>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</si>
  <si>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</si>
  <si>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</si>
  <si>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SYEDPUR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</si>
  <si>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</si>
  <si>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</si>
  <si>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</si>
  <si>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</si>
  <si>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</si>
  <si>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</si>
  <si>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</si>
  <si>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</si>
  <si>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</si>
  <si>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</si>
  <si>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</si>
  <si>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</si>
  <si>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</si>
  <si>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</si>
  <si>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</si>
  <si>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</si>
  <si>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</si>
  <si>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</si>
  <si>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</si>
  <si>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</si>
  <si>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</si>
  <si>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</si>
  <si>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</si>
  <si>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</si>
  <si>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</si>
  <si>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</si>
  <si>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</si>
  <si>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</si>
  <si>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</si>
  <si>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TAJPUR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</si>
  <si>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</si>
  <si>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</si>
  <si>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UPASHAHAR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</si>
  <si>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</si>
  <si>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</si>
  <si>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</si>
  <si>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</si>
  <si>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</si>
  <si>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</si>
  <si>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</si>
  <si>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PRIME BANK LTD.</t>
    </r>
  </si>
  <si>
    <r>
      <rPr>
        <rFont val="Arial MT"/>
        <color theme="1"/>
        <sz val="5.0"/>
      </rPr>
      <t>THAKURGAON SME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</si>
  <si>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</si>
  <si>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</si>
  <si>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</si>
  <si>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</si>
  <si>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</si>
  <si>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MONGLA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</si>
  <si>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</si>
  <si>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</si>
  <si>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</si>
  <si>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</si>
  <si>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</si>
  <si>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BAMNA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</si>
  <si>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</si>
  <si>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</si>
  <si>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</si>
  <si>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</si>
  <si>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</si>
  <si>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BABUGANJ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</si>
  <si>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</si>
  <si>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</si>
  <si>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</si>
  <si>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</si>
  <si>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</si>
  <si>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BAZAR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</si>
  <si>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</si>
  <si>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</si>
  <si>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HIZLA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</si>
  <si>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</si>
  <si>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</si>
  <si>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HOSPITAL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</si>
  <si>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</si>
  <si>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</si>
  <si>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MADABPASHA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</si>
  <si>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</si>
  <si>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</si>
  <si>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MEHENDIGANJ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</si>
  <si>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</si>
  <si>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</si>
  <si>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MULADI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</si>
  <si>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</si>
  <si>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</si>
  <si>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SHAHID MINAR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</si>
  <si>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</si>
  <si>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</si>
  <si>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TORKEY BANDAR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</si>
  <si>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</si>
  <si>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</si>
  <si>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</si>
  <si>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</si>
  <si>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</si>
  <si>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</si>
  <si>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</si>
  <si>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</si>
  <si>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MUREEL SME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</si>
  <si>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</si>
  <si>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</si>
  <si>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</si>
  <si>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</si>
  <si>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</si>
  <si>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CHALOPARA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</si>
  <si>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</si>
  <si>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</si>
  <si>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SANTAHAR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</si>
  <si>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</si>
  <si>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</si>
  <si>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SATMATHA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</si>
  <si>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</si>
  <si>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</si>
  <si>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AKHAURA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</si>
  <si>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</si>
  <si>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</si>
  <si>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</si>
  <si>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</si>
  <si>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</si>
  <si>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</si>
  <si>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</si>
  <si>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</si>
  <si>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KUTI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</si>
  <si>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</si>
  <si>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</si>
  <si>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SARAK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</si>
  <si>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</si>
  <si>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</si>
  <si>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ASHRAFPUR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</si>
  <si>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</si>
  <si>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</si>
  <si>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BABUR HAT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</si>
  <si>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</si>
  <si>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</si>
  <si>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CHANDPUR(MAIN)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</si>
  <si>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</si>
  <si>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</si>
  <si>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CHANGARCHAR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</si>
  <si>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</si>
  <si>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</si>
  <si>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GRIDAKALINDIA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</si>
  <si>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</si>
  <si>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</si>
  <si>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</si>
  <si>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</si>
  <si>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</si>
  <si>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</si>
  <si>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</si>
  <si>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</si>
  <si>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MATLAB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</si>
  <si>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</si>
  <si>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</si>
  <si>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</si>
  <si>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</si>
  <si>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</si>
  <si>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NAYERGAON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</si>
  <si>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</si>
  <si>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</si>
  <si>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RAMPUR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</si>
  <si>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</si>
  <si>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</si>
  <si>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</si>
  <si>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</si>
  <si>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</si>
  <si>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AMAN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</si>
  <si>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</si>
  <si>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</si>
  <si>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</si>
  <si>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</si>
  <si>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</si>
  <si>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</si>
  <si>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</si>
  <si>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</si>
  <si>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ASHRAF ALI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</si>
  <si>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</si>
  <si>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</si>
  <si>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</si>
  <si>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</si>
  <si>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</si>
  <si>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</si>
  <si>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</si>
  <si>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</si>
  <si>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</si>
  <si>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</si>
  <si>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</si>
  <si>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BARTAKIA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</si>
  <si>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</si>
  <si>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</si>
  <si>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BIBIRHAT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</si>
  <si>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</si>
  <si>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</si>
  <si>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</si>
  <si>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</si>
  <si>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</si>
  <si>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</si>
  <si>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</si>
  <si>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</si>
  <si>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CHANDANAISH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</si>
  <si>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</si>
  <si>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</si>
  <si>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</si>
  <si>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</si>
  <si>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</si>
  <si>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COLLEGE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</si>
  <si>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</si>
  <si>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</si>
  <si>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COLONEL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</si>
  <si>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</si>
  <si>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</si>
  <si>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SHAIKH MUJIB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</si>
  <si>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</si>
  <si>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</si>
  <si>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DHARMAPUR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</si>
  <si>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</si>
  <si>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</si>
  <si>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HADI PARA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</si>
  <si>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</si>
  <si>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</si>
  <si>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</si>
  <si>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</si>
  <si>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</si>
  <si>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</si>
  <si>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</si>
  <si>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</si>
  <si>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INDUSTRIAL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</si>
  <si>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</si>
  <si>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</si>
  <si>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</si>
  <si>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</si>
  <si>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</si>
  <si>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KATIRHAT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</si>
  <si>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</si>
  <si>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</si>
  <si>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</si>
  <si>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</si>
  <si>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</si>
  <si>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</si>
  <si>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</si>
  <si>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</si>
  <si>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KORBANIGANJ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</si>
  <si>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</si>
  <si>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</si>
  <si>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KULGAON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</si>
  <si>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</si>
  <si>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</si>
  <si>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LALDIGHI EAST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</si>
  <si>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</si>
  <si>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</si>
  <si>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</si>
  <si>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</si>
  <si>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</si>
  <si>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MADHUNA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</si>
  <si>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</si>
  <si>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</si>
  <si>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MEHADI BAGH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</si>
  <si>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</si>
  <si>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</si>
  <si>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MITHACHARA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</si>
  <si>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</si>
  <si>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</si>
  <si>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NANUPUR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</si>
  <si>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</si>
  <si>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</si>
  <si>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</si>
  <si>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</si>
  <si>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</si>
  <si>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NORTH POTENGA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</si>
  <si>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</si>
  <si>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</si>
  <si>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OLD CHURCH COMPOUND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</si>
  <si>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</si>
  <si>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</si>
  <si>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PADUA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</si>
  <si>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</si>
  <si>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</si>
  <si>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</si>
  <si>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</si>
  <si>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</si>
  <si>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PATHARGHATA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</si>
  <si>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</si>
  <si>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</si>
  <si>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</si>
  <si>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</si>
  <si>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</si>
  <si>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PORT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</si>
  <si>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</si>
  <si>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</si>
  <si>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RANGUNIA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</si>
  <si>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</si>
  <si>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</si>
  <si>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RANIRHAT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</si>
  <si>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</si>
  <si>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</si>
  <si>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</si>
  <si>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</si>
  <si>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</si>
  <si>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REAZUDDIN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</si>
  <si>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</si>
  <si>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</si>
  <si>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</si>
  <si>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</si>
  <si>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</si>
  <si>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</si>
  <si>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</si>
  <si>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</si>
  <si>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</si>
  <si>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</si>
  <si>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</si>
  <si>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</si>
  <si>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</si>
  <si>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</si>
  <si>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SHANTIR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</si>
  <si>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</si>
  <si>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</si>
  <si>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SHIBERHAT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</si>
  <si>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</si>
  <si>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</si>
  <si>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SITAKUNDA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</si>
  <si>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</si>
  <si>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</si>
  <si>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TERRI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</si>
  <si>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</si>
  <si>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</si>
  <si>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</si>
  <si>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</si>
  <si>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</si>
  <si>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ALUKDIA BAZAR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</si>
  <si>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</si>
  <si>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</si>
  <si>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</si>
  <si>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</si>
  <si>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</si>
  <si>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SARATGANJ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</si>
  <si>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</si>
  <si>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</si>
  <si>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BHUSCHI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</si>
  <si>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</si>
  <si>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</si>
  <si>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GUNABATI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</si>
  <si>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</si>
  <si>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</si>
  <si>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BANGADDA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</si>
  <si>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</si>
  <si>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</si>
  <si>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</si>
  <si>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</si>
  <si>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</si>
  <si>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CHEORA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</si>
  <si>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</si>
  <si>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</si>
  <si>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</si>
  <si>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</si>
  <si>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</si>
  <si>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COMILLA(MAIN)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</si>
  <si>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</si>
  <si>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</si>
  <si>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DAUDKANDI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</si>
  <si>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</si>
  <si>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</si>
  <si>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DAULATGANJ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</si>
  <si>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</si>
  <si>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</si>
  <si>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DEBIDWAR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</si>
  <si>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</si>
  <si>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</si>
  <si>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DHOLKAR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</si>
  <si>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</si>
  <si>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</si>
  <si>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DHOLLAI NAWABPUR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</si>
  <si>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</si>
  <si>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</si>
  <si>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GOURIPUR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</si>
  <si>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</si>
  <si>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</si>
  <si>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MAINAMATI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</si>
  <si>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</si>
  <si>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</si>
  <si>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MEAH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</si>
  <si>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</si>
  <si>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</si>
  <si>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PADUAR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</si>
  <si>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</si>
  <si>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</si>
  <si>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VICTORIA COLLEGE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</si>
  <si>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</si>
  <si>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</si>
  <si>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ZILLA PARISAD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</si>
  <si>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</si>
  <si>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</si>
  <si>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</si>
  <si>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</si>
  <si>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</si>
  <si>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</si>
  <si>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</si>
  <si>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</si>
  <si>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MOISCAL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</si>
  <si>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</si>
  <si>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</si>
  <si>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UKHIYA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</si>
  <si>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</si>
  <si>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</si>
  <si>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AGRICULTURE COMPLEX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</si>
  <si>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</si>
  <si>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</si>
  <si>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ASAD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</si>
  <si>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</si>
  <si>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</si>
  <si>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</si>
  <si>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</si>
  <si>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</si>
  <si>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</si>
  <si>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</si>
  <si>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</si>
  <si>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</si>
  <si>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</si>
  <si>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</si>
  <si>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</si>
  <si>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</si>
  <si>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</si>
  <si>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</si>
  <si>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</si>
  <si>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</si>
  <si>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CHIRIAKHANA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</si>
  <si>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</si>
  <si>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</si>
  <si>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</si>
  <si>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</si>
  <si>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</si>
  <si>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</si>
  <si>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</si>
  <si>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</si>
  <si>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FARMGATE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</si>
  <si>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</si>
  <si>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</si>
  <si>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GULSHAN CIRCLE-1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</si>
  <si>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</si>
  <si>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</si>
  <si>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GULSHAN MODEL TOWN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</si>
  <si>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</si>
  <si>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</si>
  <si>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INTERNATIONAL AIRPORT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</si>
  <si>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</si>
  <si>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</si>
  <si>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KAFRUL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</si>
  <si>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</si>
  <si>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</si>
  <si>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</si>
  <si>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</si>
  <si>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</si>
  <si>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KURIL BISHWA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</si>
  <si>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</si>
  <si>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</si>
  <si>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LABORATORY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</si>
  <si>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</si>
  <si>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</si>
  <si>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</si>
  <si>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</si>
  <si>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</si>
  <si>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</si>
  <si>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</si>
  <si>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</si>
  <si>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</si>
  <si>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</si>
  <si>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</si>
  <si>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</si>
  <si>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</si>
  <si>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</si>
  <si>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</si>
  <si>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</si>
  <si>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</si>
  <si>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</si>
  <si>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</si>
  <si>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</si>
  <si>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</si>
  <si>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</si>
  <si>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</si>
  <si>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</si>
  <si>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</si>
  <si>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</si>
  <si>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</si>
  <si>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</si>
  <si>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</si>
  <si>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</si>
  <si>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</si>
  <si>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</si>
  <si>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SHEWRA 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</si>
  <si>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</si>
  <si>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</si>
  <si>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SONARGOAN HOTEL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</si>
  <si>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</si>
  <si>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</si>
  <si>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TEJGAON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</si>
  <si>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</si>
  <si>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</si>
  <si>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</si>
  <si>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</si>
  <si>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</si>
  <si>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</si>
  <si>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</si>
  <si>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</si>
  <si>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</si>
  <si>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</si>
  <si>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</si>
  <si>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</si>
  <si>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</si>
  <si>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</si>
  <si>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B.B.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</si>
  <si>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</si>
  <si>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</si>
  <si>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</si>
  <si>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</si>
  <si>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</si>
  <si>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</si>
  <si>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</si>
  <si>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</si>
  <si>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 LIBRARY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</si>
  <si>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</si>
  <si>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</si>
  <si>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BASHABOO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</si>
  <si>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</si>
  <si>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</si>
  <si>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BEGUM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</si>
  <si>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</si>
  <si>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</si>
  <si>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</si>
  <si>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</si>
  <si>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</si>
  <si>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</si>
  <si>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</si>
  <si>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</si>
  <si>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DHAKA RAIL STATION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</si>
  <si>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</si>
  <si>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</si>
  <si>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DHAKA STADIUM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</si>
  <si>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</si>
  <si>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</si>
  <si>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DHOLAIRPAR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</si>
  <si>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</si>
  <si>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</si>
  <si>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FAKIRPOOL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</si>
  <si>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</si>
  <si>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</si>
  <si>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</si>
  <si>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</si>
  <si>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</si>
  <si>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GORANBAZAR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</si>
  <si>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</si>
  <si>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</si>
  <si>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HOTEL OSMANI INTERNATIONAL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</si>
  <si>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</si>
  <si>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</si>
  <si>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</si>
  <si>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</si>
  <si>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</si>
  <si>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</si>
  <si>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</si>
  <si>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</si>
  <si>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JOHNSON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</si>
  <si>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</si>
  <si>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</si>
  <si>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JURAIN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</si>
  <si>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</si>
  <si>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</si>
  <si>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</si>
  <si>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</si>
  <si>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</si>
  <si>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KOMORGONJ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</si>
  <si>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</si>
  <si>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</si>
  <si>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</si>
  <si>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</si>
  <si>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</si>
  <si>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MOGHALTULY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</si>
  <si>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</si>
  <si>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</si>
  <si>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</si>
  <si>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</si>
  <si>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</si>
  <si>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</si>
  <si>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</si>
  <si>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</si>
  <si>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SIPAHIBAG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</si>
  <si>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</si>
  <si>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</si>
  <si>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</si>
  <si>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</si>
  <si>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</si>
  <si>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</si>
  <si>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</si>
  <si>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</si>
  <si>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NAYA 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</si>
  <si>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</si>
  <si>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</si>
  <si>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NAZIMUDDIN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</si>
  <si>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</si>
  <si>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</si>
  <si>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PEEL KHANA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</si>
  <si>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</si>
  <si>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</si>
  <si>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</si>
  <si>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</si>
  <si>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</si>
  <si>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R.K. MISSION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</si>
  <si>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</si>
  <si>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</si>
  <si>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</si>
  <si>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</si>
  <si>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</si>
  <si>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SHAHBAG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</si>
  <si>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</si>
  <si>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</si>
  <si>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</si>
  <si>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</si>
  <si>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</si>
  <si>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SHISHU PARK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</si>
  <si>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</si>
  <si>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</si>
  <si>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SONARGAON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</si>
  <si>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</si>
  <si>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</si>
  <si>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SUTRAPUR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</si>
  <si>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</si>
  <si>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</si>
  <si>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</si>
  <si>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</si>
  <si>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</si>
  <si>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PARBATIPUR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</si>
  <si>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</si>
  <si>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</si>
  <si>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PHULBARI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</si>
  <si>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</si>
  <si>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</si>
  <si>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PULHAT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</si>
  <si>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</si>
  <si>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</si>
  <si>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</si>
  <si>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</si>
  <si>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</si>
  <si>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</si>
  <si>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</si>
  <si>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</si>
  <si>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KANAIPUR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</si>
  <si>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</si>
  <si>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</si>
  <si>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SADARPUR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</si>
  <si>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</si>
  <si>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</si>
  <si>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</si>
  <si>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</si>
  <si>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</si>
  <si>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</si>
  <si>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</si>
  <si>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</si>
  <si>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</si>
  <si>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</si>
  <si>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</si>
  <si>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</si>
  <si>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</si>
  <si>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</si>
  <si>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FENI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</si>
  <si>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</si>
  <si>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</si>
  <si>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FULGAZI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</si>
  <si>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</si>
  <si>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</si>
  <si>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</si>
  <si>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</si>
  <si>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</si>
  <si>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LEMUA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</si>
  <si>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</si>
  <si>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</si>
  <si>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</si>
  <si>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</si>
  <si>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</si>
  <si>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</si>
  <si>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</si>
  <si>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</si>
  <si>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</si>
  <si>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</si>
  <si>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</si>
  <si>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MOHIMAGONJ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</si>
  <si>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</si>
  <si>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</si>
  <si>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PARK ROAD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</si>
  <si>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</si>
  <si>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</si>
  <si>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SALNA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</si>
  <si>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</si>
  <si>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</si>
  <si>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</si>
  <si>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</si>
  <si>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</si>
  <si>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</si>
  <si>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</si>
  <si>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</si>
  <si>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KASHIMPUR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</si>
  <si>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</si>
  <si>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</si>
  <si>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</si>
  <si>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</si>
  <si>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</si>
  <si>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</si>
  <si>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</si>
  <si>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</si>
  <si>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</si>
  <si>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</si>
  <si>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</si>
  <si>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PUTIJHURI SME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</si>
  <si>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</si>
  <si>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</si>
  <si>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AJMIRIGANJ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</si>
  <si>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</si>
  <si>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</si>
  <si>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OLIPUR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</si>
  <si>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</si>
  <si>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</si>
  <si>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BANIACHANG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</si>
  <si>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</si>
  <si>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</si>
  <si>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BAR-LIBRARY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</si>
  <si>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</si>
  <si>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</si>
  <si>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CHUNARUGHAT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</si>
  <si>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</si>
  <si>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</si>
  <si>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DHARMAGHAR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</si>
  <si>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</si>
  <si>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</si>
  <si>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</si>
  <si>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</si>
  <si>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</si>
  <si>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GAZNAIPUR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</si>
  <si>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</si>
  <si>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</si>
  <si>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GUNINGANJ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</si>
  <si>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</si>
  <si>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</si>
  <si>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</si>
  <si>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</si>
  <si>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</si>
  <si>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</si>
  <si>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</si>
  <si>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</si>
  <si>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</si>
  <si>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</si>
  <si>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</si>
  <si>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SHAYESTAGANJ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</si>
  <si>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</si>
  <si>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</si>
  <si>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RAJAR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</si>
  <si>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</si>
  <si>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</si>
  <si>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SUTANG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</si>
  <si>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</si>
  <si>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</si>
  <si>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SYEDPUR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</si>
  <si>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</si>
  <si>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</si>
  <si>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TOWN MASJID ROAD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</si>
  <si>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</si>
  <si>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</si>
  <si>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JAMALGANJ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</si>
  <si>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</si>
  <si>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</si>
  <si>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</si>
  <si>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</si>
  <si>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</si>
  <si>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BAKUL TALA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</si>
  <si>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</si>
  <si>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</si>
  <si>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</si>
  <si>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</si>
  <si>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</si>
  <si>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NANDINA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</si>
  <si>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</si>
  <si>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</si>
  <si>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SARISHABARI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</si>
  <si>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</si>
  <si>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</si>
  <si>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</si>
  <si>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</si>
  <si>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</si>
  <si>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</si>
  <si>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</si>
  <si>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</si>
  <si>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NAVARAN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</si>
  <si>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</si>
  <si>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</si>
  <si>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NOAPARA BAZAR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</si>
  <si>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</si>
  <si>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</si>
  <si>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</si>
  <si>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</si>
  <si>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</si>
  <si>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NALCHITY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</si>
  <si>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</si>
  <si>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</si>
  <si>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</si>
  <si>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</si>
  <si>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</si>
  <si>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</si>
  <si>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</si>
  <si>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</si>
  <si>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</si>
  <si>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</si>
  <si>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</si>
  <si>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BATIAGHATA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</si>
  <si>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</si>
  <si>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</si>
  <si>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CHUK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</si>
  <si>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</si>
  <si>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</si>
  <si>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</si>
  <si>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</si>
  <si>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</si>
  <si>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FULTALA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</si>
  <si>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</si>
  <si>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</si>
  <si>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KAYAR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</si>
  <si>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</si>
  <si>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</si>
  <si>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KHALISHPUR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</si>
  <si>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</si>
  <si>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</si>
  <si>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KHULNA(MAIN)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</si>
  <si>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</si>
  <si>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</si>
  <si>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MIRER DANGA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</si>
  <si>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</si>
  <si>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</si>
  <si>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SHAIKH PARA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</si>
  <si>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</si>
  <si>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</si>
  <si>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UPPERJESSORE ROAD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</si>
  <si>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</si>
  <si>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</si>
  <si>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</si>
  <si>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</si>
  <si>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</si>
  <si>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KAMALPUR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</si>
  <si>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</si>
  <si>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</si>
  <si>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KATIADI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</si>
  <si>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</si>
  <si>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</si>
  <si>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</si>
  <si>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</si>
  <si>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</si>
  <si>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FULBARI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</si>
  <si>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</si>
  <si>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</si>
  <si>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</si>
  <si>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</si>
  <si>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</si>
  <si>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</si>
  <si>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</si>
  <si>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</si>
  <si>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</si>
  <si>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</si>
  <si>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</si>
  <si>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</si>
  <si>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</si>
  <si>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</si>
  <si>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MIRER HAT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</si>
  <si>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</si>
  <si>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</si>
  <si>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</si>
  <si>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</si>
  <si>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</si>
  <si>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</si>
  <si>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</si>
  <si>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</si>
  <si>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</si>
  <si>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</si>
  <si>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</si>
  <si>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TUSHBANDER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</si>
  <si>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</si>
  <si>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</si>
  <si>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</si>
  <si>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</si>
  <si>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</si>
  <si>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</si>
  <si>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</si>
  <si>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</si>
  <si>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</si>
  <si>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</si>
  <si>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</si>
  <si>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</si>
  <si>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</si>
  <si>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</si>
  <si>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</si>
  <si>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</si>
  <si>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</si>
  <si>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</si>
  <si>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</si>
  <si>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</si>
  <si>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</si>
  <si>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</si>
  <si>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</si>
  <si>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ADAMPUR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</si>
  <si>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</si>
  <si>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</si>
  <si>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VATERA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</si>
  <si>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</si>
  <si>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</si>
  <si>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</si>
  <si>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</si>
  <si>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</si>
  <si>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BRAHMAN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</si>
  <si>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</si>
  <si>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</si>
  <si>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CHOUMUHANA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</si>
  <si>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</si>
  <si>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</si>
  <si>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DAKSHINBAGH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</si>
  <si>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</si>
  <si>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</si>
  <si>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ROBIR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</si>
  <si>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</si>
  <si>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</si>
  <si>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JOGIDAHAR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</si>
  <si>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</si>
  <si>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</si>
  <si>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</si>
  <si>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</si>
  <si>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</si>
  <si>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KAMALGANJ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</si>
  <si>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</si>
  <si>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</si>
  <si>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</si>
  <si>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</si>
  <si>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</si>
  <si>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</si>
  <si>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</si>
  <si>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</si>
  <si>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MUNSHI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</si>
  <si>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</si>
  <si>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</si>
  <si>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SHAMSHER 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</si>
  <si>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</si>
  <si>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</si>
  <si>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SHERPUR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</si>
  <si>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</si>
  <si>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</si>
  <si>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</si>
  <si>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</si>
  <si>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</si>
  <si>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TENGRA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</si>
  <si>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</si>
  <si>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</si>
  <si>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WAPDA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</si>
  <si>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</si>
  <si>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</si>
  <si>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BHABER 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</si>
  <si>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</si>
  <si>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</si>
  <si>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DHALAGAON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</si>
  <si>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</si>
  <si>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</si>
  <si>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GAZARIA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</si>
  <si>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</si>
  <si>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</si>
  <si>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ALADI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</si>
  <si>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</si>
  <si>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</si>
  <si>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</si>
  <si>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</si>
  <si>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</si>
  <si>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</si>
  <si>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</si>
  <si>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</si>
  <si>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NURPUR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</si>
  <si>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</si>
  <si>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</si>
  <si>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SREENAGAR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</si>
  <si>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</si>
  <si>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</si>
  <si>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</si>
  <si>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</si>
  <si>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</si>
  <si>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CHAR PARA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</si>
  <si>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</si>
  <si>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</si>
  <si>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</si>
  <si>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</si>
  <si>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</si>
  <si>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</si>
  <si>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</si>
  <si>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</si>
  <si>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MYMENSINGH(MAIN)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</si>
  <si>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</si>
  <si>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</si>
  <si>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SWADESHI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</si>
  <si>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</si>
  <si>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</si>
  <si>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TALTOLA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</si>
  <si>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</si>
  <si>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</si>
  <si>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UNIVERSITY CAMPUS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</si>
  <si>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</si>
  <si>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</si>
  <si>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DELUABARI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</si>
  <si>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</si>
  <si>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</si>
  <si>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</si>
  <si>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</si>
  <si>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</si>
  <si>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</si>
  <si>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</si>
  <si>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</si>
  <si>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</si>
  <si>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</si>
  <si>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</si>
  <si>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ARAIHAZAR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</si>
  <si>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</si>
  <si>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</si>
  <si>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DUPTARA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</si>
  <si>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</si>
  <si>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</si>
  <si>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KALIR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</si>
  <si>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</si>
  <si>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</si>
  <si>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</si>
  <si>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</si>
  <si>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</si>
  <si>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NITAIGANJ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</si>
  <si>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</si>
  <si>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</si>
  <si>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SHIBU MARKET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</si>
  <si>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</si>
  <si>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</si>
  <si>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TAN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</si>
  <si>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</si>
  <si>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</si>
  <si>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BELABO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</si>
  <si>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</si>
  <si>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</si>
  <si>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CHARSINDUR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</si>
  <si>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</si>
  <si>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</si>
  <si>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</si>
  <si>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</si>
  <si>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</si>
  <si>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</si>
  <si>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</si>
  <si>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</si>
  <si>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</si>
  <si>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</si>
  <si>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</si>
  <si>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PALASH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</si>
  <si>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</si>
  <si>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</si>
  <si>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RAIPURA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</si>
  <si>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</si>
  <si>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</si>
  <si>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KUSHUMBI KALIGONJ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</si>
  <si>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</si>
  <si>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</si>
  <si>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</si>
  <si>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</si>
  <si>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</si>
  <si>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</si>
  <si>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</si>
  <si>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</si>
  <si>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MOHARAJ 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</si>
  <si>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</si>
  <si>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</si>
  <si>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MADAN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</si>
  <si>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</si>
  <si>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</si>
  <si>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MAHANGANJ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</si>
  <si>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</si>
  <si>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</si>
  <si>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</si>
  <si>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</si>
  <si>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</si>
  <si>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SHUTIBARI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</si>
  <si>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</si>
  <si>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</si>
  <si>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</si>
  <si>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</si>
  <si>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</si>
  <si>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</si>
  <si>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</si>
  <si>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</si>
  <si>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HATIA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</si>
  <si>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</si>
  <si>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</si>
  <si>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</si>
  <si>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</si>
  <si>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</si>
  <si>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</si>
  <si>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</si>
  <si>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</si>
  <si>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DATTERHAT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</si>
  <si>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</si>
  <si>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</si>
  <si>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</si>
  <si>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</si>
  <si>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</si>
  <si>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SAMIR MUNSHIR 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</si>
  <si>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</si>
  <si>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</si>
  <si>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THANARHAT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</si>
  <si>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</si>
  <si>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</si>
  <si>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ATAIKULA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</si>
  <si>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</si>
  <si>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</si>
  <si>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</si>
  <si>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</si>
  <si>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</si>
  <si>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MALIGACHA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</si>
  <si>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</si>
  <si>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</si>
  <si>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</si>
  <si>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</si>
  <si>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</si>
  <si>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SHALGARIA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</si>
  <si>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</si>
  <si>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</si>
  <si>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</si>
  <si>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</si>
  <si>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</si>
  <si>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</si>
  <si>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</si>
  <si>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</si>
  <si>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KALAYIA BANDAR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</si>
  <si>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</si>
  <si>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</si>
  <si>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</si>
  <si>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</si>
  <si>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</si>
  <si>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SUBIDKHALI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</si>
  <si>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</si>
  <si>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</si>
  <si>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</si>
  <si>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</si>
  <si>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</si>
  <si>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</si>
  <si>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</si>
  <si>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</si>
  <si>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MEAR 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</si>
  <si>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</si>
  <si>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</si>
  <si>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NAZIRPUR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</si>
  <si>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</si>
  <si>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</si>
  <si>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</si>
  <si>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</si>
  <si>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</si>
  <si>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SARSINA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</si>
  <si>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</si>
  <si>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</si>
  <si>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</si>
  <si>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</si>
  <si>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</si>
  <si>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BHAWANIGANJ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</si>
  <si>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</si>
  <si>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</si>
  <si>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KATAKHALI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</si>
  <si>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</si>
  <si>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</si>
  <si>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</si>
  <si>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</si>
  <si>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</si>
  <si>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</si>
  <si>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</si>
  <si>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</si>
  <si>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SERICULTURE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</si>
  <si>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</si>
  <si>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</si>
  <si>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PANGSHA SME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</si>
  <si>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</si>
  <si>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</si>
  <si>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</si>
  <si>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</si>
  <si>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</si>
  <si>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</si>
  <si>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</si>
  <si>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</si>
  <si>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MEDICAL MORE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</si>
  <si>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</si>
  <si>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</si>
  <si>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</si>
  <si>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</si>
  <si>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</si>
  <si>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SHAPLA CHATTAR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</si>
  <si>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</si>
  <si>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</si>
  <si>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</si>
  <si>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</si>
  <si>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</si>
  <si>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BHOJESWAR BAZAR SME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</si>
  <si>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</si>
  <si>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</si>
  <si>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</si>
  <si>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</si>
  <si>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</si>
  <si>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KALAROA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</si>
  <si>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</si>
  <si>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</si>
  <si>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PATKELGHATA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</si>
  <si>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</si>
  <si>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</si>
  <si>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</si>
  <si>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</si>
  <si>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</si>
  <si>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KHAMARGRAM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</si>
  <si>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</si>
  <si>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</si>
  <si>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</si>
  <si>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</si>
  <si>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</si>
  <si>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TARASH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</si>
  <si>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</si>
  <si>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</si>
  <si>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SHERPUR TOWN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</si>
  <si>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</si>
  <si>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</si>
  <si>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</si>
  <si>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</si>
  <si>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</si>
  <si>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DERAI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</si>
  <si>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</si>
  <si>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</si>
  <si>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</si>
  <si>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</si>
  <si>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</si>
  <si>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</si>
  <si>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</si>
  <si>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</si>
  <si>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JAMALGANJ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</si>
  <si>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</si>
  <si>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</si>
  <si>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PAGLA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</si>
  <si>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</si>
  <si>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</si>
  <si>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RASULGANJ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</si>
  <si>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</si>
  <si>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</si>
  <si>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SREERAMSHI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</si>
  <si>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</si>
  <si>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</si>
  <si>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</si>
  <si>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</si>
  <si>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</si>
  <si>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JAUWA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</si>
  <si>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</si>
  <si>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</si>
  <si>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TUKER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</si>
  <si>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</si>
  <si>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</si>
  <si>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ASHIRGANJ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</si>
  <si>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</si>
  <si>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</si>
  <si>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BALAGANJ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</si>
  <si>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</si>
  <si>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</si>
  <si>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BANDAR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</si>
  <si>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</si>
  <si>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</si>
  <si>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BARAIKANDI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</si>
  <si>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</si>
  <si>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</si>
  <si>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BAROIGRAM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</si>
  <si>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</si>
  <si>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</si>
  <si>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</si>
  <si>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</si>
  <si>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</si>
  <si>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</si>
  <si>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</si>
  <si>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</si>
  <si>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BUDBARI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</si>
  <si>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</si>
  <si>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</si>
  <si>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CHANDRAPUR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</si>
  <si>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</si>
  <si>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</si>
  <si>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CHOWDHUARY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</si>
  <si>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</si>
  <si>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</si>
  <si>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CHOWKIDEKHI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</si>
  <si>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</si>
  <si>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</si>
  <si>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</si>
  <si>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</si>
  <si>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</si>
  <si>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DARBOST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</si>
  <si>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</si>
  <si>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</si>
  <si>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DARGA GATE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</si>
  <si>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</si>
  <si>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</si>
  <si>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DASHPAIKA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</si>
  <si>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</si>
  <si>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</si>
  <si>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</si>
  <si>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</si>
  <si>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</si>
  <si>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</si>
  <si>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</si>
  <si>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</si>
  <si>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GASBARI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</si>
  <si>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</si>
  <si>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</si>
  <si>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</si>
  <si>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</si>
  <si>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</si>
  <si>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</si>
  <si>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</si>
  <si>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</si>
  <si>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GOWAINGHAT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</si>
  <si>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</si>
  <si>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</si>
  <si>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HETIMGANJ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</si>
  <si>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</si>
  <si>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</si>
  <si>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JALALPUR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</si>
  <si>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</si>
  <si>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</si>
  <si>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</si>
  <si>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</si>
  <si>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</si>
  <si>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</si>
  <si>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</si>
  <si>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</si>
  <si>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KALIGHAT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</si>
  <si>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</si>
  <si>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</si>
  <si>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</si>
  <si>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</si>
  <si>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</si>
  <si>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LALA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</si>
  <si>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</si>
  <si>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</si>
  <si>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MIRGANJ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</si>
  <si>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</si>
  <si>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</si>
  <si>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MOHILA COLLEGE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</si>
  <si>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</si>
  <si>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</si>
  <si>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MUKAM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</si>
  <si>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</si>
  <si>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</si>
  <si>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PATHANTULA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</si>
  <si>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</si>
  <si>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</si>
  <si>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SHAH PARAN GATE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</si>
  <si>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</si>
  <si>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</si>
  <si>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SHAHGALI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</si>
  <si>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</si>
  <si>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</si>
  <si>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SHAHI EIDGAH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</si>
  <si>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</si>
  <si>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</si>
  <si>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SHAHJALAL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</si>
  <si>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</si>
  <si>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</si>
  <si>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SINGERKATCH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</si>
  <si>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</si>
  <si>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</si>
  <si>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SYLHET STADIUM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</si>
  <si>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</si>
  <si>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</si>
  <si>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SYLHET(MAIN)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</si>
  <si>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</si>
  <si>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</si>
  <si>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TAJPUR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</si>
  <si>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</si>
  <si>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</si>
  <si>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TECHNICAL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</si>
  <si>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</si>
  <si>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</si>
  <si>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ZAKIGANJ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</si>
  <si>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</si>
  <si>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</si>
  <si>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BHAIGHAT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</si>
  <si>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</si>
  <si>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</si>
  <si>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AKUR TAKUR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</si>
  <si>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</si>
  <si>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</si>
  <si>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</si>
  <si>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</si>
  <si>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</si>
  <si>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KARATIA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</si>
  <si>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</si>
  <si>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</si>
  <si>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PAKUTIA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</si>
  <si>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</si>
  <si>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</si>
  <si>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PATHRAIL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</si>
  <si>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</si>
  <si>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</si>
  <si>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TANGAIL(MAIN)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</si>
  <si>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</si>
  <si>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</si>
  <si>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ZILLA SARAK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</si>
  <si>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</si>
  <si>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</si>
  <si>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NEKMORAD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</si>
  <si>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</si>
  <si>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</si>
  <si>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</si>
  <si>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</si>
  <si>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</si>
  <si>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</si>
  <si>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</si>
  <si>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PUBALI BANK LTD.</t>
    </r>
  </si>
  <si>
    <r>
      <rPr>
        <rFont val="Arial MT"/>
        <color theme="1"/>
        <sz val="5.0"/>
      </rPr>
      <t>THAKURGAON ROAD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</si>
  <si>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</si>
  <si>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</si>
  <si>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ADAMDIGHI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</si>
  <si>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</si>
  <si>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</si>
  <si>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PATHAN MIRJAPUR BAZAR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</si>
  <si>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</si>
  <si>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</si>
  <si>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ALIARHAT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</si>
  <si>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</si>
  <si>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</si>
  <si>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BARAIHAT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</si>
  <si>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</si>
  <si>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</si>
  <si>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BHATRA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</si>
  <si>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</si>
  <si>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</si>
  <si>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BIZRUL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</si>
  <si>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</si>
  <si>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</si>
  <si>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</si>
  <si>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</si>
  <si>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</si>
  <si>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CHAMPAPUR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</si>
  <si>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</si>
  <si>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</si>
  <si>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DHANDAR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</si>
  <si>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</si>
  <si>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</si>
  <si>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DHUNAT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</si>
  <si>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</si>
  <si>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</si>
  <si>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DUPCHACHIA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</si>
  <si>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</si>
  <si>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</si>
  <si>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DURGAHATA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</si>
  <si>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</si>
  <si>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</si>
  <si>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GABTALI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</si>
  <si>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</si>
  <si>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</si>
  <si>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JAMGRAMHAT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</si>
  <si>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</si>
  <si>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</si>
  <si>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JOREGACHA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</si>
  <si>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</si>
  <si>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</si>
  <si>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KAHALOO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</si>
  <si>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</si>
  <si>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</si>
  <si>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LANGLUHAT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</si>
  <si>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</si>
  <si>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</si>
  <si>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MAIDANHATTA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</si>
  <si>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</si>
  <si>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</si>
  <si>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MATHURAPUR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</si>
  <si>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</si>
  <si>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</si>
  <si>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NANDIGRAM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</si>
  <si>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</si>
  <si>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</si>
  <si>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NARAHATTA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</si>
  <si>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</si>
  <si>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</si>
  <si>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PALLY MONGAL 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</si>
  <si>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</si>
  <si>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</si>
  <si>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RAHABAL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</si>
  <si>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</si>
  <si>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</si>
  <si>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RAJABAZAR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</si>
  <si>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</si>
  <si>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</si>
  <si>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RAMESHWARPUR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</si>
  <si>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</si>
  <si>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</si>
  <si>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SANTAHAR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</si>
  <si>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</si>
  <si>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</si>
  <si>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SARIAKANDI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</si>
  <si>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</si>
  <si>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</si>
  <si>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SEHALIHAT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</si>
  <si>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</si>
  <si>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</si>
  <si>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SEKHAHAR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</si>
  <si>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</si>
  <si>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</si>
  <si>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SHAHJAHANPUR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</si>
  <si>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</si>
  <si>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</si>
  <si>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SHAHNAGAR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</si>
  <si>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</si>
  <si>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</si>
  <si>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</si>
  <si>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</si>
  <si>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</si>
  <si>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</si>
  <si>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</si>
  <si>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</si>
  <si>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SONAHATA BAZAR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</si>
  <si>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</si>
  <si>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</si>
  <si>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SONATOLA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</si>
  <si>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</si>
  <si>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</si>
  <si>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VALABARI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</si>
  <si>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</si>
  <si>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</si>
  <si>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</si>
  <si>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</si>
  <si>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</si>
  <si>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DHAKA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</si>
  <si>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</si>
  <si>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</si>
  <si>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ATPUKURHAT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</si>
  <si>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</si>
  <si>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</si>
  <si>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BARAIHAT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</si>
  <si>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</si>
  <si>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</si>
  <si>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BHADURIA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</si>
  <si>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</si>
  <si>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</si>
  <si>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</si>
  <si>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</si>
  <si>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</si>
  <si>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BIRGANJ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</si>
  <si>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</si>
  <si>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</si>
  <si>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BIROL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</si>
  <si>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</si>
  <si>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</si>
  <si>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BOARD 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</si>
  <si>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</si>
  <si>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</si>
  <si>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BULIABAZAR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</si>
  <si>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</si>
  <si>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</si>
  <si>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CHIRIRBANDAR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</si>
  <si>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</si>
  <si>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</si>
  <si>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DANGAPARA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</si>
  <si>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</si>
  <si>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</si>
  <si>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DHUKURJHARIHAT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</si>
  <si>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</si>
  <si>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</si>
  <si>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DUGDUGIHAT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</si>
  <si>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</si>
  <si>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</si>
  <si>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GHORAGHAT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</si>
  <si>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</si>
  <si>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</si>
  <si>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GODAGARI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</si>
  <si>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</si>
  <si>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</si>
  <si>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HAKIMPUR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</si>
  <si>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</si>
  <si>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</si>
  <si>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HAMIDPUR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</si>
  <si>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</si>
  <si>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</si>
  <si>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KAHAROLE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</si>
  <si>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</si>
  <si>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</si>
  <si>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KALIAGANJ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</si>
  <si>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</si>
  <si>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</si>
  <si>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KETRAHAT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</si>
  <si>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</si>
  <si>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</si>
  <si>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KHANSAMA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</si>
  <si>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</si>
  <si>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</si>
  <si>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KOTWALI 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</si>
  <si>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</si>
  <si>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</si>
  <si>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KUTUB DANGA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</si>
  <si>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</si>
  <si>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</si>
  <si>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MADHYAPARA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</si>
  <si>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</si>
  <si>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</si>
  <si>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MAJHIPARA SADAR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</si>
  <si>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</si>
  <si>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</si>
  <si>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MONGLAPUR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</si>
  <si>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</si>
  <si>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</si>
  <si>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MOSTAFAPUR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</si>
  <si>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</si>
  <si>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</si>
  <si>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</si>
  <si>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</si>
  <si>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</si>
  <si>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NURULHUDA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</si>
  <si>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</si>
  <si>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</si>
  <si>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PANCHKUR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</si>
  <si>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</si>
  <si>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</si>
  <si>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PARBATIPUR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</si>
  <si>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</si>
  <si>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</si>
  <si>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PHULBARI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</si>
  <si>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</si>
  <si>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</si>
  <si>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RAMDULIHAT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</si>
  <si>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</si>
  <si>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</si>
  <si>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RANIRBANDAR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</si>
  <si>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</si>
  <si>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</si>
  <si>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RATANPUR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</si>
  <si>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</si>
  <si>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</si>
  <si>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SETABGANJ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</si>
  <si>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</si>
  <si>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</si>
  <si>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SHIBRAMPUR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</si>
  <si>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</si>
  <si>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</si>
  <si>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SULTANPUR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</si>
  <si>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</si>
  <si>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</si>
  <si>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ZUMARBARI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</si>
  <si>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</si>
  <si>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</si>
  <si>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BALUAHAT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</si>
  <si>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</si>
  <si>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</si>
  <si>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BARKONA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</si>
  <si>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</si>
  <si>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</si>
  <si>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BONARPARA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</si>
  <si>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</si>
  <si>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</si>
  <si>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DARIAPUR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</si>
  <si>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</si>
  <si>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</si>
  <si>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DHARMAPUR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</si>
  <si>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</si>
  <si>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</si>
  <si>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DHOLBHANGA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</si>
  <si>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</si>
  <si>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</si>
  <si>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DOMERHAT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</si>
  <si>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</si>
  <si>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</si>
  <si>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FULCHARI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</si>
  <si>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</si>
  <si>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</si>
  <si>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</si>
  <si>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</si>
  <si>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</si>
  <si>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</si>
  <si>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</si>
  <si>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</si>
  <si>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HORINATHPUR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</si>
  <si>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</si>
  <si>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</si>
  <si>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KANTANAGAR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</si>
  <si>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</si>
  <si>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</si>
  <si>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KATABARI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</si>
  <si>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</si>
  <si>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</si>
  <si>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KOCHASOR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</si>
  <si>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</si>
  <si>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</si>
  <si>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KOMORPURHAT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</si>
  <si>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</si>
  <si>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</si>
  <si>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KUPTALA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</si>
  <si>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</si>
  <si>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</si>
  <si>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MOHIMAGANJ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</si>
  <si>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</si>
  <si>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</si>
  <si>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NAKAIHAT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</si>
  <si>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</si>
  <si>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</si>
  <si>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NAYABANDOR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</si>
  <si>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</si>
  <si>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</si>
  <si>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PALASHBARI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</si>
  <si>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</si>
  <si>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</si>
  <si>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SADULLAPUR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</si>
  <si>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</si>
  <si>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</si>
  <si>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SAGHATTA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</si>
  <si>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</si>
  <si>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</si>
  <si>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SUNDARGANJ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</si>
  <si>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</si>
  <si>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</si>
  <si>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TULSHIGHAT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</si>
  <si>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</si>
  <si>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</si>
  <si>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AKKELPUR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</si>
  <si>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</si>
  <si>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</si>
  <si>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ATAPUR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</si>
  <si>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</si>
  <si>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</si>
  <si>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BAGJANA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</si>
  <si>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</si>
  <si>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</si>
  <si>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BOTTOLI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</si>
  <si>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</si>
  <si>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</si>
  <si>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CHATINALI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</si>
  <si>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</si>
  <si>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</si>
  <si>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DHARARJEE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</si>
  <si>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</si>
  <si>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</si>
  <si>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DOGACHI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</si>
  <si>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</si>
  <si>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</si>
  <si>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</si>
  <si>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</si>
  <si>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</si>
  <si>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KALAI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</si>
  <si>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</si>
  <si>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</si>
  <si>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KHETLAL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</si>
  <si>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</si>
  <si>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</si>
  <si>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MADHAINAGRHAT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</si>
  <si>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</si>
  <si>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</si>
  <si>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MUSLEMGANJ 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</si>
  <si>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</si>
  <si>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</si>
  <si>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PANCHBIBI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</si>
  <si>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</si>
  <si>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</si>
  <si>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PURANAPAIL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</si>
  <si>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</si>
  <si>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</si>
  <si>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RAYKALI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</si>
  <si>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</si>
  <si>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</si>
  <si>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BAMUNERHAT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</si>
  <si>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</si>
  <si>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</si>
  <si>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BHURUNGAMARI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</si>
  <si>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</si>
  <si>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</si>
  <si>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CHILMARI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</si>
  <si>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</si>
  <si>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</si>
  <si>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FULBARI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</si>
  <si>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</si>
  <si>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</si>
  <si>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</si>
  <si>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</si>
  <si>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</si>
  <si>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JATRA PUR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</si>
  <si>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</si>
  <si>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</si>
  <si>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KACHAKATA BAZAR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</si>
  <si>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</si>
  <si>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</si>
  <si>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KANTHAL BARI BAZAR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</si>
  <si>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</si>
  <si>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</si>
  <si>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KASEM BAZAR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</si>
  <si>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</si>
  <si>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</si>
  <si>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KHARIBARI BAZAR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</si>
  <si>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</si>
  <si>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</si>
  <si>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</si>
  <si>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</si>
  <si>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</si>
  <si>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MANDOLERHAT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</si>
  <si>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</si>
  <si>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</si>
  <si>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NAGESWARI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</si>
  <si>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</si>
  <si>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</si>
  <si>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PATESWARI BAZAR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</si>
  <si>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</si>
  <si>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</si>
  <si>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RAIGANJ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</si>
  <si>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</si>
  <si>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</si>
  <si>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RAJARHAT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</si>
  <si>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</si>
  <si>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</si>
  <si>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RAJIBPUR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</si>
  <si>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</si>
  <si>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</si>
  <si>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ROWMARI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</si>
  <si>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</si>
  <si>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</si>
  <si>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SINGARDABRIHAT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</si>
  <si>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</si>
  <si>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</si>
  <si>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ULIPUR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</si>
  <si>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</si>
  <si>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</si>
  <si>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ADITMARI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</si>
  <si>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</si>
  <si>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</si>
  <si>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CHAPARHAT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</si>
  <si>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</si>
  <si>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</si>
  <si>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DAIKHYA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</si>
  <si>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</si>
  <si>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</si>
  <si>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DOANI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</si>
  <si>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</si>
  <si>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</si>
  <si>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FAKIRER TAKEYA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</si>
  <si>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</si>
  <si>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</si>
  <si>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GOROL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</si>
  <si>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</si>
  <si>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</si>
  <si>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HARATI BANDAR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</si>
  <si>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</si>
  <si>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</si>
  <si>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HATIBANDA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</si>
  <si>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</si>
  <si>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</si>
  <si>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</si>
  <si>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</si>
  <si>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</si>
  <si>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</si>
  <si>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</si>
  <si>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</si>
  <si>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MOGALHAT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</si>
  <si>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</si>
  <si>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</si>
  <si>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NAMURIRHAT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</si>
  <si>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</si>
  <si>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</si>
  <si>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PATGRAM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</si>
  <si>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</si>
  <si>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</si>
  <si>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SAPTIBARI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</si>
  <si>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</si>
  <si>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</si>
  <si>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SARKARER 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</si>
  <si>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</si>
  <si>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</si>
  <si>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TEESTA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</si>
  <si>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</si>
  <si>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</si>
  <si>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VELABARI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</si>
  <si>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</si>
  <si>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</si>
  <si>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MECHER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</si>
  <si>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</si>
  <si>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</si>
  <si>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KULIHAR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</si>
  <si>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</si>
  <si>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</si>
  <si>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ATRAI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</si>
  <si>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</si>
  <si>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</si>
  <si>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BADALGACHI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</si>
  <si>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</si>
  <si>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</si>
  <si>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BETGARI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</si>
  <si>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</si>
  <si>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</si>
  <si>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DHAMAIRHAT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</si>
  <si>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</si>
  <si>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</si>
  <si>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DUBALHATI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</si>
  <si>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</si>
  <si>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</si>
  <si>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FATEPUR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</si>
  <si>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</si>
  <si>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</si>
  <si>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HATCHALKGOURI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</si>
  <si>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</si>
  <si>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</si>
  <si>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HAZINAGAR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</si>
  <si>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</si>
  <si>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</si>
  <si>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JOTEBAZAR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</si>
  <si>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</si>
  <si>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</si>
  <si>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KIRTIPUR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</si>
  <si>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</si>
  <si>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</si>
  <si>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KRISHNAPUR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</si>
  <si>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</si>
  <si>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</si>
  <si>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</si>
  <si>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</si>
  <si>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</si>
  <si>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</si>
  <si>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</si>
  <si>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</si>
  <si>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</si>
  <si>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</si>
  <si>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</si>
  <si>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PAHARPUR-1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</si>
  <si>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</si>
  <si>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</si>
  <si>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PAHARPUR-2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</si>
  <si>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</si>
  <si>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</si>
  <si>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PATISHOR RABINDRA KUTTI BARI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</si>
  <si>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</si>
  <si>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</si>
  <si>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PATNITALA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</si>
  <si>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</si>
  <si>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</si>
  <si>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PORSHA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</si>
  <si>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</si>
  <si>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</si>
  <si>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PROSHADPUR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</si>
  <si>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</si>
  <si>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</si>
  <si>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RANGAMATIRHAT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</si>
  <si>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</si>
  <si>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</si>
  <si>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RANINAGAR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</si>
  <si>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</si>
  <si>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</si>
  <si>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SABAIHAT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</si>
  <si>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</si>
  <si>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</si>
  <si>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SAILGACHA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</si>
  <si>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</si>
  <si>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</si>
  <si>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SAPAHAR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</si>
  <si>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</si>
  <si>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</si>
  <si>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SATIHAT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</si>
  <si>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</si>
  <si>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</si>
  <si>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SHAMOSPARAHAT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</si>
  <si>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</si>
  <si>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</si>
  <si>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UTTARGRAM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</si>
  <si>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</si>
  <si>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</si>
  <si>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ABDULPUR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</si>
  <si>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</si>
  <si>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</si>
  <si>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SIKARPUR 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</si>
  <si>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</si>
  <si>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</si>
  <si>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KHAJURTALA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</si>
  <si>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</si>
  <si>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</si>
  <si>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AHMEDPUR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</si>
  <si>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</si>
  <si>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</si>
  <si>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BAGATIPARA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</si>
  <si>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</si>
  <si>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</si>
  <si>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BARAIGRAM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</si>
  <si>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</si>
  <si>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</si>
  <si>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BERILABARY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</si>
  <si>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</si>
  <si>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</si>
  <si>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CHAPILA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</si>
  <si>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</si>
  <si>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</si>
  <si>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CHOWGRAM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</si>
  <si>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</si>
  <si>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</si>
  <si>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</si>
  <si>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</si>
  <si>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</si>
  <si>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</si>
  <si>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</si>
  <si>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</si>
  <si>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GURUDASPUR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</si>
  <si>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</si>
  <si>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</si>
  <si>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HALSHA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</si>
  <si>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</si>
  <si>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</si>
  <si>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IMAMNAGAR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</si>
  <si>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</si>
  <si>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</si>
  <si>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KADAMCHILAN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</si>
  <si>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</si>
  <si>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</si>
  <si>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KAFURIA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</si>
  <si>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</si>
  <si>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</si>
  <si>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KHOLABARIA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</si>
  <si>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</si>
  <si>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</si>
  <si>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LALPUR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</si>
  <si>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</si>
  <si>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</si>
  <si>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NALDANGARHAT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</si>
  <si>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</si>
  <si>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</si>
  <si>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</si>
  <si>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</si>
  <si>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</si>
  <si>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SINGRA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</si>
  <si>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</si>
  <si>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</si>
  <si>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WALIA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</si>
  <si>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</si>
  <si>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</si>
  <si>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AMNURA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</si>
  <si>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</si>
  <si>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</si>
  <si>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ANUPNAGAR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</si>
  <si>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</si>
  <si>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</si>
  <si>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BHOLAHAT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</si>
  <si>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</si>
  <si>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</si>
  <si>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CHAITANYAPUR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</si>
  <si>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</si>
  <si>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</si>
  <si>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</si>
  <si>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</si>
  <si>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</si>
  <si>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CHATRAJITPUR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</si>
  <si>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</si>
  <si>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</si>
  <si>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GOHARAPAKIA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</si>
  <si>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</si>
  <si>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</si>
  <si>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GOMASTAPUR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</si>
  <si>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</si>
  <si>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</si>
  <si>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JAMBARIA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</si>
  <si>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</si>
  <si>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</si>
  <si>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NACHOLE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</si>
  <si>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</si>
  <si>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</si>
  <si>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NEZAMPUR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</si>
  <si>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</si>
  <si>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</si>
  <si>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</si>
  <si>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</si>
  <si>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</si>
  <si>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</si>
  <si>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</si>
  <si>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</si>
  <si>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SHYAMPUR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</si>
  <si>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</si>
  <si>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</si>
  <si>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SONAICHANDIHAT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</si>
  <si>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</si>
  <si>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</si>
  <si>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SONAMASZID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</si>
  <si>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</si>
  <si>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</si>
  <si>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BALAPARA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</si>
  <si>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</si>
  <si>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</si>
  <si>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BANDHUHAT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</si>
  <si>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</si>
  <si>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</si>
  <si>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BARABHITA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</si>
  <si>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</si>
  <si>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</si>
  <si>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BODI(KAIMARI)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</si>
  <si>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</si>
  <si>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</si>
  <si>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CHAPANIHAT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</si>
  <si>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</si>
  <si>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</si>
  <si>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DIMLA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</si>
  <si>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</si>
  <si>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</si>
  <si>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DOMAR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</si>
  <si>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</si>
  <si>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</si>
  <si>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GOREGRAM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</si>
  <si>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</si>
  <si>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</si>
  <si>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HAZARIHAT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</si>
  <si>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</si>
  <si>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</si>
  <si>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JADURHAT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</si>
  <si>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</si>
  <si>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</si>
  <si>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JALDHAKA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</si>
  <si>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</si>
  <si>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</si>
  <si>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</si>
  <si>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</si>
  <si>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</si>
  <si>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</si>
  <si>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</si>
  <si>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</si>
  <si>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MALA PANGA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</si>
  <si>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</si>
  <si>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</si>
  <si>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MIRJAGANJ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</si>
  <si>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</si>
  <si>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</si>
  <si>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NAWTARA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</si>
  <si>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</si>
  <si>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</si>
  <si>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</si>
  <si>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</si>
  <si>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</si>
  <si>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</si>
  <si>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</si>
  <si>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</si>
  <si>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TANGONMARIHAT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</si>
  <si>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</si>
  <si>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</si>
  <si>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TAPERHAT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</si>
  <si>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</si>
  <si>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</si>
  <si>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KHALILPUR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</si>
  <si>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</si>
  <si>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</si>
  <si>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SILANDA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</si>
  <si>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</si>
  <si>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</si>
  <si>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AMIRPUR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</si>
  <si>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</si>
  <si>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</si>
  <si>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AORONGOJEB ROAD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</si>
  <si>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</si>
  <si>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</si>
  <si>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ATGHORIA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</si>
  <si>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</si>
  <si>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</si>
  <si>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</si>
  <si>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</si>
  <si>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</si>
  <si>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BHANGURA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</si>
  <si>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</si>
  <si>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</si>
  <si>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BONCOLAHAT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</si>
  <si>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</si>
  <si>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</si>
  <si>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BONWARINAGAR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</si>
  <si>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</si>
  <si>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</si>
  <si>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CHATMOHAR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</si>
  <si>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</si>
  <si>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</si>
  <si>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CHINAKHORA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</si>
  <si>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</si>
  <si>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</si>
  <si>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DAPUNIA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</si>
  <si>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</si>
  <si>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</si>
  <si>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DHULAUI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</si>
  <si>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</si>
  <si>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</si>
  <si>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</si>
  <si>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</si>
  <si>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</si>
  <si>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FAILJANA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</si>
  <si>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</si>
  <si>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</si>
  <si>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HADOL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</si>
  <si>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</si>
  <si>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</si>
  <si>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HANDIAL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</si>
  <si>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</si>
  <si>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</si>
  <si>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</si>
  <si>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</si>
  <si>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</si>
  <si>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JOYNAGAR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</si>
  <si>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</si>
  <si>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</si>
  <si>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KHETUPARA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</si>
  <si>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</si>
  <si>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</si>
  <si>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MAIDANDIGHI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</si>
  <si>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</si>
  <si>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</si>
  <si>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</si>
  <si>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</si>
  <si>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</si>
  <si>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SANTHIA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</si>
  <si>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</si>
  <si>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</si>
  <si>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SATBARIA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</si>
  <si>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</si>
  <si>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</si>
  <si>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SINGA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</si>
  <si>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</si>
  <si>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</si>
  <si>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SUJANAGAR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</si>
  <si>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</si>
  <si>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</si>
  <si>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ATWARI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</si>
  <si>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</si>
  <si>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</si>
  <si>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BENGHARI BONGRAM MANIKPIR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</si>
  <si>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</si>
  <si>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</si>
  <si>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BHAJANPUR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</si>
  <si>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</si>
  <si>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</si>
  <si>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BODA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</si>
  <si>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</si>
  <si>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</si>
  <si>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DEBIGANJ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</si>
  <si>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</si>
  <si>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</si>
  <si>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DHAKKAMARA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</si>
  <si>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</si>
  <si>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</si>
  <si>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GOALJHARHAT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</si>
  <si>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</si>
  <si>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</si>
  <si>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HARIVASA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</si>
  <si>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</si>
  <si>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</si>
  <si>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JHALOYSHALSHIRI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</si>
  <si>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</si>
  <si>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</si>
  <si>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KALIAGONG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</si>
  <si>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</si>
  <si>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</si>
  <si>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KALIGANJHAT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</si>
  <si>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</si>
  <si>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</si>
  <si>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LAXMIRHAT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</si>
  <si>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</si>
  <si>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</si>
  <si>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</si>
  <si>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</si>
  <si>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</si>
  <si>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</si>
  <si>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</si>
  <si>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</si>
  <si>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SHAKOW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</si>
  <si>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</si>
  <si>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</si>
  <si>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SONAHAR JAGANATH 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</si>
  <si>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</si>
  <si>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</si>
  <si>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TANOIHAT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</si>
  <si>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</si>
  <si>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</si>
  <si>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TARAYA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</si>
  <si>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</si>
  <si>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</si>
  <si>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TETULIA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</si>
  <si>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</si>
  <si>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</si>
  <si>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ALOKNAGAR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</si>
  <si>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</si>
  <si>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</si>
  <si>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DAUKANDI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</si>
  <si>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</si>
  <si>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</si>
  <si>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BAGHA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</si>
  <si>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</si>
  <si>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</si>
  <si>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BARAGACHI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</si>
  <si>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</si>
  <si>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</si>
  <si>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BENOD 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</si>
  <si>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</si>
  <si>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</si>
  <si>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BHAWANIGANJ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</si>
  <si>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</si>
  <si>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</si>
  <si>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</si>
  <si>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</si>
  <si>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</si>
  <si>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GODAGARI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</si>
  <si>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</si>
  <si>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</si>
  <si>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GOGRAM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</si>
  <si>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</si>
  <si>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</si>
  <si>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GREATER ROAD KAZIHATA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</si>
  <si>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</si>
  <si>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</si>
  <si>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HUZURIPARA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</si>
  <si>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</si>
  <si>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</si>
  <si>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KALIGONGHAT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</si>
  <si>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</si>
  <si>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</si>
  <si>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KAMARGOAN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</si>
  <si>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</si>
  <si>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</si>
  <si>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KHORKHORI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</si>
  <si>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</si>
  <si>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</si>
  <si>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L.P.O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</si>
  <si>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</si>
  <si>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</si>
  <si>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MACHMOIL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</si>
  <si>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</si>
  <si>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</si>
  <si>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MAUGACHI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</si>
  <si>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</si>
  <si>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</si>
  <si>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MOHANPUR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</si>
  <si>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</si>
  <si>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</si>
  <si>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MOLLARPARA 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</si>
  <si>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</si>
  <si>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</si>
  <si>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PABA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</si>
  <si>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</si>
  <si>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</si>
  <si>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PAKRI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</si>
  <si>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</si>
  <si>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</si>
  <si>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PANCHANDAR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</si>
  <si>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</si>
  <si>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</si>
  <si>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PUTHIA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</si>
  <si>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</si>
  <si>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</si>
  <si>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</si>
  <si>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</si>
  <si>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</si>
  <si>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SARDAH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</si>
  <si>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</si>
  <si>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</si>
  <si>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SIKDARIBAZAR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</si>
  <si>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</si>
  <si>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</si>
  <si>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TANORE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</si>
  <si>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</si>
  <si>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</si>
  <si>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BADARGANJ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</si>
  <si>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</si>
  <si>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</si>
  <si>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BAIRATIHAT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</si>
  <si>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</si>
  <si>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</si>
  <si>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BALARHAT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</si>
  <si>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</si>
  <si>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</si>
  <si>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BALUAMASHIMPUR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</si>
  <si>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</si>
  <si>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</si>
  <si>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DAMODURPUR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</si>
  <si>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</si>
  <si>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</si>
  <si>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DAMUR CHAKLA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</si>
  <si>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</si>
  <si>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</si>
  <si>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DHAMTOLA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</si>
  <si>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</si>
  <si>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</si>
  <si>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EKORCHALI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</si>
  <si>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</si>
  <si>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</si>
  <si>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GANGACHARA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</si>
  <si>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</si>
  <si>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</si>
  <si>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GURGIPARA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</si>
  <si>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</si>
  <si>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</si>
  <si>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KAUNIA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</si>
  <si>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</si>
  <si>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</si>
  <si>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KHEJMOTPUR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</si>
  <si>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</si>
  <si>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</si>
  <si>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MATHERHAT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</si>
  <si>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</si>
  <si>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</si>
  <si>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MITHAPUKUR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</si>
  <si>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</si>
  <si>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</si>
  <si>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MODUPUR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</si>
  <si>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</si>
  <si>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</si>
  <si>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NAGERHAT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</si>
  <si>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</si>
  <si>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</si>
  <si>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PAIRABAND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</si>
  <si>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</si>
  <si>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</si>
  <si>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PIRGACHA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</si>
  <si>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</si>
  <si>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</si>
  <si>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</si>
  <si>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</si>
  <si>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</si>
  <si>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PORSHURAM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</si>
  <si>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</si>
  <si>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</si>
  <si>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</si>
  <si>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</si>
  <si>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</si>
  <si>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RANIPUKUR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</si>
  <si>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</si>
  <si>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</si>
  <si>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SADDYAPUSHKURINI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</si>
  <si>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</si>
  <si>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</si>
  <si>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SHENERHAT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</si>
  <si>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</si>
  <si>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</si>
  <si>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SUKURAR 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</si>
  <si>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</si>
  <si>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</si>
  <si>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TARAGANJ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</si>
  <si>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</si>
  <si>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</si>
  <si>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TAXER 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</si>
  <si>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</si>
  <si>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</si>
  <si>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</si>
  <si>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</si>
  <si>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</si>
  <si>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BHADRAGHAT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</si>
  <si>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</si>
  <si>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</si>
  <si>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CHALITADANGA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</si>
  <si>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</si>
  <si>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</si>
  <si>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CHANGACHAHAT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</si>
  <si>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</si>
  <si>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</si>
  <si>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CHOWHALI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</si>
  <si>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</si>
  <si>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</si>
  <si>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GANTHAIL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</si>
  <si>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</si>
  <si>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</si>
  <si>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GHURKA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</si>
  <si>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</si>
  <si>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</si>
  <si>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KAMARKHAND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</si>
  <si>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</si>
  <si>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</si>
  <si>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KASINATHPR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</si>
  <si>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</si>
  <si>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</si>
  <si>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KHOKSHABARI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</si>
  <si>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</si>
  <si>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</si>
  <si>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MEGHAI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</si>
  <si>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</si>
  <si>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</si>
  <si>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NEWARGACHA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</si>
  <si>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</si>
  <si>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</si>
  <si>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PANCHAKHUSHI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</si>
  <si>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</si>
  <si>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</si>
  <si>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PURNIMAGHAT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</si>
  <si>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</si>
  <si>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</si>
  <si>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RAIGANJ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</si>
  <si>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</si>
  <si>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</si>
  <si>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SAIDABAD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</si>
  <si>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</si>
  <si>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</si>
  <si>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</si>
  <si>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</si>
  <si>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</si>
  <si>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</si>
  <si>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</si>
  <si>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</si>
  <si>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TAMAI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</si>
  <si>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</si>
  <si>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</si>
  <si>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TARASH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</si>
  <si>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</si>
  <si>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</si>
  <si>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UDHUNIA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</si>
  <si>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</si>
  <si>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</si>
  <si>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</si>
  <si>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</si>
  <si>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</si>
  <si>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AULIAPUR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</si>
  <si>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</si>
  <si>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</si>
  <si>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BALIADANGI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</si>
  <si>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</si>
  <si>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</si>
  <si>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BEGUNBARI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</si>
  <si>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</si>
  <si>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</si>
  <si>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BHABNAGONJ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</si>
  <si>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</si>
  <si>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</si>
  <si>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BHOMRADHA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</si>
  <si>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</si>
  <si>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</si>
  <si>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CHAROL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</si>
  <si>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</si>
  <si>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</si>
  <si>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CHOWRANGI BAZAR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</si>
  <si>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</si>
  <si>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</si>
  <si>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DARMAGARH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</si>
  <si>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</si>
  <si>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</si>
  <si>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FARABANIHAT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</si>
  <si>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</si>
  <si>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</si>
  <si>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GOGORHAT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</si>
  <si>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</si>
  <si>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</si>
  <si>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HARIPUR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</si>
  <si>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</si>
  <si>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</si>
  <si>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JADURANIHAT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</si>
  <si>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</si>
  <si>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</si>
  <si>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KARTIKTOLA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</si>
  <si>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</si>
  <si>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</si>
  <si>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MADARGANJ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</si>
  <si>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</si>
  <si>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</si>
  <si>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NARGUN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</si>
  <si>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</si>
  <si>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</si>
  <si>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</si>
  <si>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</si>
  <si>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</si>
  <si>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RANISANKAIL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</si>
  <si>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</si>
  <si>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</si>
  <si>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</si>
  <si>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</si>
  <si>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RAJSHAHI KRISHI UNNAYAN BANK</t>
    </r>
  </si>
  <si>
    <r>
      <rPr>
        <rFont val="Arial MT"/>
        <color theme="1"/>
        <sz val="5.0"/>
      </rPr>
      <t>VALAZAN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</si>
  <si>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</si>
  <si>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</si>
  <si>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</si>
  <si>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</si>
  <si>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</si>
  <si>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BARAIKHALI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</si>
  <si>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</si>
  <si>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</si>
  <si>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BETAGABAZAR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</si>
  <si>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</si>
  <si>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</si>
  <si>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</si>
  <si>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</si>
  <si>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</si>
  <si>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KACHUA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</si>
  <si>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</si>
  <si>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</si>
  <si>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MANSHA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</si>
  <si>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</si>
  <si>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</si>
  <si>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MOLLAHAT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</si>
  <si>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</si>
  <si>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</si>
  <si>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MONGLA PORT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</si>
  <si>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</si>
  <si>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</si>
  <si>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NAGAR BAZAR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</si>
  <si>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</si>
  <si>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</si>
  <si>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</si>
  <si>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</si>
  <si>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</si>
  <si>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AMTALI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</si>
  <si>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</si>
  <si>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</si>
  <si>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</si>
  <si>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</si>
  <si>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</si>
  <si>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BETAGI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</si>
  <si>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</si>
  <si>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</si>
  <si>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PATHARGHATA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</si>
  <si>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</si>
  <si>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</si>
  <si>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AGARPUR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</si>
  <si>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</si>
  <si>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</si>
  <si>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MULADI BANDAR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</si>
  <si>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</si>
  <si>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</si>
  <si>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KAURIA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</si>
  <si>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</si>
  <si>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</si>
  <si>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BAKERGANJ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</si>
  <si>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</si>
  <si>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</si>
  <si>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BANARI PARA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</si>
  <si>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</si>
  <si>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</si>
  <si>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BAZAR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</si>
  <si>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</si>
  <si>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</si>
  <si>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BHAVANIPUR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</si>
  <si>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</si>
  <si>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</si>
  <si>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CENTRAL BUS TERMINAL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</si>
  <si>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</si>
  <si>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</si>
  <si>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H.U.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</si>
  <si>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</si>
  <si>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</si>
  <si>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MEHENDIGANJ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</si>
  <si>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</si>
  <si>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</si>
  <si>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RAHMATPUR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</si>
  <si>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</si>
  <si>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</si>
  <si>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SADAR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</si>
  <si>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</si>
  <si>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</si>
  <si>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SAGARDI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</si>
  <si>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</si>
  <si>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</si>
  <si>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SIKARPUR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</si>
  <si>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</si>
  <si>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</si>
  <si>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ILISHA JUNCTION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</si>
  <si>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</si>
  <si>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</si>
  <si>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BANGLABAZAR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</si>
  <si>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</si>
  <si>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</si>
  <si>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</si>
  <si>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</si>
  <si>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</si>
  <si>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DAULATKHAN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</si>
  <si>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</si>
  <si>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</si>
  <si>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JINNAHGHAR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</si>
  <si>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</si>
  <si>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</si>
  <si>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KUNJERHAT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</si>
  <si>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</si>
  <si>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</si>
  <si>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KUTBA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</si>
  <si>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</si>
  <si>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</si>
  <si>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LALMOHAN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</si>
  <si>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</si>
  <si>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</si>
  <si>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MAHAJAN PATTY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</si>
  <si>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</si>
  <si>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</si>
  <si>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TAZUMUDDIN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</si>
  <si>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</si>
  <si>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</si>
  <si>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ALTAFNAGAR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</si>
  <si>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</si>
  <si>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</si>
  <si>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BHAYER PUKUR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</si>
  <si>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</si>
  <si>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</si>
  <si>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BOGRA CANTONMENT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</si>
  <si>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</si>
  <si>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</si>
  <si>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BOROGOLA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</si>
  <si>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</si>
  <si>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</si>
  <si>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BUS STAND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</si>
  <si>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</si>
  <si>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</si>
  <si>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DHUNAT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</si>
  <si>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</si>
  <si>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</si>
  <si>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DUPCHACHIA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</si>
  <si>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</si>
  <si>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</si>
  <si>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GABTALI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</si>
  <si>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</si>
  <si>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</si>
  <si>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GOLABARI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</si>
  <si>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</si>
  <si>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</si>
  <si>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GOSSAINBARI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</si>
  <si>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</si>
  <si>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</si>
  <si>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HATFUL BARI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</si>
  <si>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</si>
  <si>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</si>
  <si>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JAHANGIRABAD CANTONMENT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</si>
  <si>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</si>
  <si>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</si>
  <si>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KAHALOO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</si>
  <si>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</si>
  <si>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</si>
  <si>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KICHAK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</si>
  <si>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</si>
  <si>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</si>
  <si>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</si>
  <si>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</si>
  <si>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</si>
  <si>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MAHASTAN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</si>
  <si>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</si>
  <si>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</si>
  <si>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MOKAMTALA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</si>
  <si>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</si>
  <si>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</si>
  <si>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NAMAJGHAR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</si>
  <si>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</si>
  <si>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</si>
  <si>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SHABEKPARA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</si>
  <si>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</si>
  <si>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</si>
  <si>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SHABGRAMHAT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</si>
  <si>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</si>
  <si>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</si>
  <si>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</si>
  <si>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</si>
  <si>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</si>
  <si>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SUKHANPUKUR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</si>
  <si>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</si>
  <si>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</si>
  <si>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THANA ROAD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</si>
  <si>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</si>
  <si>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</si>
  <si>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</si>
  <si>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</si>
  <si>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</si>
  <si>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BARRISTER ZAKIR AHAMED COLLEGE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</si>
  <si>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</si>
  <si>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</si>
  <si>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</si>
  <si>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</si>
  <si>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</si>
  <si>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</si>
  <si>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</si>
  <si>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</si>
  <si>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BIRAMPUR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</si>
  <si>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</si>
  <si>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</si>
  <si>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SHOSHAIRCHAR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</si>
  <si>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</si>
  <si>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</si>
  <si>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NAYARHAT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</si>
  <si>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</si>
  <si>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</si>
  <si>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CHITOSHI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</si>
  <si>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</si>
  <si>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</si>
  <si>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</si>
  <si>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</si>
  <si>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</si>
  <si>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</si>
  <si>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</si>
  <si>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</si>
  <si>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MAHAMAYA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</si>
  <si>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</si>
  <si>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</si>
  <si>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</si>
  <si>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</si>
  <si>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</si>
  <si>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NAZIRPARA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</si>
  <si>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</si>
  <si>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</si>
  <si>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BABUR HAT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</si>
  <si>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</si>
  <si>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</si>
  <si>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</si>
  <si>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</si>
  <si>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</si>
  <si>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SHAHATALI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</si>
  <si>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</si>
  <si>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</si>
  <si>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ENAYETPUR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</si>
  <si>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</si>
  <si>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</si>
  <si>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ABUTORAB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</si>
  <si>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</si>
  <si>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</si>
  <si>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</si>
  <si>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</si>
  <si>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</si>
  <si>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AMIR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</si>
  <si>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</si>
  <si>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</si>
  <si>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ANDERKILLA CORORATE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</si>
  <si>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</si>
  <si>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</si>
  <si>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</si>
  <si>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</si>
  <si>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</si>
  <si>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BIBIRHAT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</si>
  <si>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</si>
  <si>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</si>
  <si>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BOXIR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</si>
  <si>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</si>
  <si>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</si>
  <si>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CAITANNA GALI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</si>
  <si>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</si>
  <si>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</si>
  <si>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</si>
  <si>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</si>
  <si>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</si>
  <si>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CHANDGAON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</si>
  <si>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</si>
  <si>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</si>
  <si>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</si>
  <si>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</si>
  <si>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</si>
  <si>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COMMERCIAL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</si>
  <si>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</si>
  <si>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</si>
  <si>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DEWAN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</si>
  <si>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</si>
  <si>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</si>
  <si>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DHANIALAPARA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</si>
  <si>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</si>
  <si>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</si>
  <si>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</si>
  <si>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</si>
  <si>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</si>
  <si>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CUET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</si>
  <si>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</si>
  <si>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</si>
  <si>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GOMDANDI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</si>
  <si>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</si>
  <si>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</si>
  <si>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H.S.S.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</si>
  <si>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</si>
  <si>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</si>
  <si>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IQBAL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</si>
  <si>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</si>
  <si>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</si>
  <si>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ISHAN MISTRY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</si>
  <si>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</si>
  <si>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</si>
  <si>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JAHAN BUILDING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</si>
  <si>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</si>
  <si>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</si>
  <si>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</si>
  <si>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</si>
  <si>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</si>
  <si>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KALURGHAT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</si>
  <si>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</si>
  <si>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</si>
  <si>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</si>
  <si>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</si>
  <si>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</si>
  <si>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KHANSHAT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</si>
  <si>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</si>
  <si>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</si>
  <si>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KORBANIGANJ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</si>
  <si>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</si>
  <si>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</si>
  <si>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</si>
  <si>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</si>
  <si>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</si>
  <si>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LAMAR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</si>
  <si>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</si>
  <si>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</si>
  <si>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LICHU BAGAN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</si>
  <si>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</si>
  <si>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</si>
  <si>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NOOR-ALI BARI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</si>
  <si>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</si>
  <si>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</si>
  <si>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OMARALI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</si>
  <si>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</si>
  <si>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</si>
  <si>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</si>
  <si>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</si>
  <si>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</si>
  <si>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</si>
  <si>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</si>
  <si>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</si>
  <si>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</si>
  <si>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</si>
  <si>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</si>
  <si>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</si>
  <si>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</si>
  <si>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</si>
  <si>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</si>
  <si>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</si>
  <si>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</si>
  <si>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RUPALI SADAN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</si>
  <si>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</si>
  <si>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</si>
  <si>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</si>
  <si>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</si>
  <si>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</si>
  <si>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SAGARIKA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</si>
  <si>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</si>
  <si>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</si>
  <si>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SAKPURA CHUMUHANI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</si>
  <si>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</si>
  <si>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</si>
  <si>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SANTIRHAT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</si>
  <si>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</si>
  <si>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</si>
  <si>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STAND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</si>
  <si>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</si>
  <si>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</si>
  <si>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</si>
  <si>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</si>
  <si>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</si>
  <si>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TERRI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</si>
  <si>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</si>
  <si>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</si>
  <si>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URKIRCHAR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</si>
  <si>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</si>
  <si>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</si>
  <si>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</si>
  <si>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</si>
  <si>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</si>
  <si>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</si>
  <si>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</si>
  <si>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</si>
  <si>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DAMURHUDA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</si>
  <si>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</si>
  <si>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</si>
  <si>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MOMINPUR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</si>
  <si>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</si>
  <si>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</si>
  <si>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GAZIRHAT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</si>
  <si>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</si>
  <si>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</si>
  <si>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BAGMARA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</si>
  <si>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</si>
  <si>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</si>
  <si>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BARERA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</si>
  <si>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</si>
  <si>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</si>
  <si>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BIPULESHWAR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</si>
  <si>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</si>
  <si>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</si>
  <si>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BUSCHI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</si>
  <si>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</si>
  <si>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</si>
  <si>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CHOWARA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</si>
  <si>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</si>
  <si>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</si>
  <si>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COMILLA CANTONMENT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</si>
  <si>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</si>
  <si>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</si>
  <si>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</si>
  <si>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</si>
  <si>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</si>
  <si>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DAULATGANJ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</si>
  <si>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</si>
  <si>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</si>
  <si>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GANGCHAR TIMBER MARKET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</si>
  <si>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</si>
  <si>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</si>
  <si>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MADHAYA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</si>
  <si>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</si>
  <si>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</si>
  <si>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MAINAMATI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</si>
  <si>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</si>
  <si>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</si>
  <si>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MONOHARGANJ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</si>
  <si>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</si>
  <si>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</si>
  <si>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MONOHARPUR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</si>
  <si>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</si>
  <si>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</si>
  <si>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MUDAFARGANJ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</si>
  <si>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</si>
  <si>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</si>
  <si>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RAJGONJ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</si>
  <si>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</si>
  <si>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</si>
  <si>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BAZARGHATA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</si>
  <si>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</si>
  <si>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</si>
  <si>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CHIRINGA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</si>
  <si>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</si>
  <si>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</si>
  <si>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COURT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</si>
  <si>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</si>
  <si>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</si>
  <si>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</si>
  <si>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</si>
  <si>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</si>
  <si>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</si>
  <si>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</si>
  <si>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</si>
  <si>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RUPALI SADAN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</si>
  <si>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</si>
  <si>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</si>
  <si>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NIKUNJA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</si>
  <si>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</si>
  <si>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</si>
  <si>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ADABOR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</si>
  <si>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</si>
  <si>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</si>
  <si>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DHAKA 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</si>
  <si>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</si>
  <si>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</si>
  <si>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</si>
  <si>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</si>
  <si>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</si>
  <si>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</si>
  <si>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</si>
  <si>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</si>
  <si>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FARMGATE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</si>
  <si>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</si>
  <si>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</si>
  <si>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FERDOWSI PLAZA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</si>
  <si>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</si>
  <si>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</si>
  <si>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GABTALIHAT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</si>
  <si>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</si>
  <si>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</si>
  <si>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</si>
  <si>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</si>
  <si>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</si>
  <si>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HAZARIBAGH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</si>
  <si>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</si>
  <si>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</si>
  <si>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INDIRA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</si>
  <si>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</si>
  <si>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</si>
  <si>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KUSHURA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</si>
  <si>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</si>
  <si>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</si>
  <si>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LADIES(NEWMARKET)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</si>
  <si>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</si>
  <si>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</si>
  <si>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MAHMUD MANSION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</si>
  <si>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</si>
  <si>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</si>
  <si>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</si>
  <si>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</si>
  <si>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</si>
  <si>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</si>
  <si>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</si>
  <si>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</si>
  <si>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</si>
  <si>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</si>
  <si>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</si>
  <si>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MOHAMMADPUR MOHILA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</si>
  <si>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</si>
  <si>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</si>
  <si>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</si>
  <si>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</si>
  <si>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</si>
  <si>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</si>
  <si>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</si>
  <si>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</si>
  <si>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ROKEYA SHARANI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</si>
  <si>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</si>
  <si>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</si>
  <si>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SAVAR BUS STAND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</si>
  <si>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</si>
  <si>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</si>
  <si>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SAVAR 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</si>
  <si>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</si>
  <si>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</si>
  <si>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</si>
  <si>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</si>
  <si>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</si>
  <si>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T.C.B. BHABAN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</si>
  <si>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</si>
  <si>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</si>
  <si>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UTTAR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</si>
  <si>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</si>
  <si>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</si>
  <si>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</si>
  <si>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</si>
  <si>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</si>
  <si>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</si>
  <si>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</si>
  <si>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</si>
  <si>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B.B.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</si>
  <si>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</si>
  <si>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</si>
  <si>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BADAMTALI STEAMER 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</si>
  <si>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</si>
  <si>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</si>
  <si>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</si>
  <si>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</si>
  <si>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</si>
  <si>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</si>
  <si>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</si>
  <si>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</si>
  <si>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</si>
  <si>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</si>
  <si>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</si>
  <si>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FAKIRAPOOL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</si>
  <si>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</si>
  <si>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</si>
  <si>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FOREIGN EXCHANGE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</si>
  <si>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</si>
  <si>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</si>
  <si>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GANDARIA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</si>
  <si>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</si>
  <si>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</si>
  <si>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HATKHOLA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</si>
  <si>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</si>
  <si>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</si>
  <si>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</si>
  <si>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</si>
  <si>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</si>
  <si>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</si>
  <si>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</si>
  <si>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</si>
  <si>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</si>
  <si>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</si>
  <si>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</si>
  <si>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JOHNSON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</si>
  <si>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</si>
  <si>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</si>
  <si>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KAPTAN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</si>
  <si>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</si>
  <si>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</si>
  <si>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</si>
  <si>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</si>
  <si>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</si>
  <si>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</si>
  <si>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</si>
  <si>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</si>
  <si>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MALIBAGH CHOWDHURYPARA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</si>
  <si>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</si>
  <si>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</si>
  <si>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MITFORD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</si>
  <si>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</si>
  <si>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</si>
  <si>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</si>
  <si>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</si>
  <si>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</si>
  <si>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</si>
  <si>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</si>
  <si>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</si>
  <si>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MOTIJHEEL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</si>
  <si>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</si>
  <si>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</si>
  <si>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MUGDA 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</si>
  <si>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</si>
  <si>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</si>
  <si>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</si>
  <si>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</si>
  <si>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</si>
  <si>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</si>
  <si>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</si>
  <si>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</si>
  <si>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</si>
  <si>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</si>
  <si>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</si>
  <si>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NAYA PALTAN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</si>
  <si>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</si>
  <si>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</si>
  <si>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NAYATOLLA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</si>
  <si>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</si>
  <si>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</si>
  <si>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NORTH SOUTH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</si>
  <si>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</si>
  <si>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</si>
  <si>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PATUATULI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</si>
  <si>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</si>
  <si>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</si>
  <si>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POSTAGOLA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</si>
  <si>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</si>
  <si>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</si>
  <si>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PURANA PALTAN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</si>
  <si>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</si>
  <si>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</si>
  <si>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RAJARBAGH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</si>
  <si>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</si>
  <si>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</si>
  <si>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RAMNA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</si>
  <si>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</si>
  <si>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</si>
  <si>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</si>
  <si>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</si>
  <si>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</si>
  <si>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RATHKHOLA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</si>
  <si>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</si>
  <si>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</si>
  <si>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RUPALI SADAN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</si>
  <si>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</si>
  <si>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</si>
  <si>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</si>
  <si>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</si>
  <si>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</si>
  <si>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SHAMBAZAR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</si>
  <si>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</si>
  <si>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</si>
  <si>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SHIKARIPARA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</si>
  <si>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</si>
  <si>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</si>
  <si>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TOTAIL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</si>
  <si>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</si>
  <si>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</si>
  <si>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URDU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</si>
  <si>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</si>
  <si>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</si>
  <si>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YOUSUF MARKET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</si>
  <si>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</si>
  <si>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</si>
  <si>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</si>
  <si>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</si>
  <si>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</si>
  <si>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</si>
  <si>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</si>
  <si>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</si>
  <si>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BIRGANJ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</si>
  <si>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</si>
  <si>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</si>
  <si>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BIROL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</si>
  <si>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</si>
  <si>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</si>
  <si>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CHEHELGAZI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</si>
  <si>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</si>
  <si>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</si>
  <si>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DAUDPUR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</si>
  <si>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</si>
  <si>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</si>
  <si>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HAJI DANESH SC.&amp;TEC.UNIVERSITY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</si>
  <si>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</si>
  <si>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</si>
  <si>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KABIRAJ 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</si>
  <si>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</si>
  <si>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</si>
  <si>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</si>
  <si>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</si>
  <si>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</si>
  <si>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MALDAH PATTY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</si>
  <si>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</si>
  <si>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</si>
  <si>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NIMTALA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</si>
  <si>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</si>
  <si>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</si>
  <si>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RANIRBANDAR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</si>
  <si>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</si>
  <si>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</si>
  <si>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SHIKDERHAT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</si>
  <si>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</si>
  <si>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</si>
  <si>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ALFADANGA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</si>
  <si>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</si>
  <si>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</si>
  <si>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B.M.M.(BAITUL MUKADDAM MOSQUE)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</si>
  <si>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</si>
  <si>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</si>
  <si>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BADARPUR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</si>
  <si>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</si>
  <si>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</si>
  <si>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CHARHAJIGONJ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</si>
  <si>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</si>
  <si>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</si>
  <si>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</si>
  <si>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</si>
  <si>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</si>
  <si>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GUNBAHA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</si>
  <si>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</si>
  <si>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</si>
  <si>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DARBESHER 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</si>
  <si>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</si>
  <si>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</si>
  <si>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AMIRUDDIN MUNSHIR 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</si>
  <si>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</si>
  <si>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</si>
  <si>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DHALIA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</si>
  <si>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</si>
  <si>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</si>
  <si>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FAZILPUR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</si>
  <si>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</si>
  <si>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</si>
  <si>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</si>
  <si>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</si>
  <si>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</si>
  <si>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ISLAMPUR ROAD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</si>
  <si>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</si>
  <si>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</si>
  <si>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KARIYA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</si>
  <si>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</si>
  <si>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</si>
  <si>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KRISNNA MAJUMDAR 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</si>
  <si>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</si>
  <si>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</si>
  <si>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KUTHIRHAT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</si>
  <si>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</si>
  <si>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</si>
  <si>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MOTIGANJ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</si>
  <si>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</si>
  <si>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</si>
  <si>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NEW RANIRHAT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</si>
  <si>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</si>
  <si>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</si>
  <si>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SARSHADI BAZAR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</si>
  <si>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</si>
  <si>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</si>
  <si>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BADIAKHALI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</si>
  <si>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</si>
  <si>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</si>
  <si>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DHAPERHAT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</si>
  <si>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</si>
  <si>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</si>
  <si>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</si>
  <si>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</si>
  <si>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</si>
  <si>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BASHAIRE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</si>
  <si>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</si>
  <si>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</si>
  <si>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</si>
  <si>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</si>
  <si>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</si>
  <si>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</si>
  <si>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</si>
  <si>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</si>
  <si>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RAHUTHAR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</si>
  <si>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</si>
  <si>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</si>
  <si>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GHAGORE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</si>
  <si>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</si>
  <si>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</si>
  <si>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</si>
  <si>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</si>
  <si>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</si>
  <si>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JOYNAGAR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</si>
  <si>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</si>
  <si>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</si>
  <si>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RAMDIA COLLEGE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</si>
  <si>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</si>
  <si>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</si>
  <si>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</si>
  <si>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</si>
  <si>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</si>
  <si>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AUSHKANDI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</si>
  <si>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</si>
  <si>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</si>
  <si>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ENAYETGANJ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</si>
  <si>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</si>
  <si>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</si>
  <si>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</si>
  <si>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</si>
  <si>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</si>
  <si>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</si>
  <si>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</si>
  <si>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</si>
  <si>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GOPINATHPUR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</si>
  <si>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</si>
  <si>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</si>
  <si>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</si>
  <si>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</si>
  <si>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</si>
  <si>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KHETLAL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</si>
  <si>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</si>
  <si>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</si>
  <si>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MOLAMGARIHAT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</si>
  <si>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</si>
  <si>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</si>
  <si>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SONAMUKHI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</si>
  <si>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</si>
  <si>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</si>
  <si>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BAIRA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</si>
  <si>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</si>
  <si>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</si>
  <si>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ARAMNAGAR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</si>
  <si>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</si>
  <si>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</si>
  <si>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DHARMAKURA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</si>
  <si>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</si>
  <si>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</si>
  <si>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DHURMUT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</si>
  <si>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</si>
  <si>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</si>
  <si>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</si>
  <si>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</si>
  <si>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</si>
  <si>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JAMUNA FERTILIZER COMPLEX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</si>
  <si>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</si>
  <si>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</si>
  <si>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KOYRA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</si>
  <si>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</si>
  <si>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</si>
  <si>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MALANDAH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</si>
  <si>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</si>
  <si>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</si>
  <si>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SARISHABARI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</si>
  <si>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</si>
  <si>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</si>
  <si>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BAGACHARA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</si>
  <si>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</si>
  <si>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</si>
  <si>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KHAJURA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</si>
  <si>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</si>
  <si>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</si>
  <si>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M.K.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</si>
  <si>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</si>
  <si>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</si>
  <si>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MONIRAMPUR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</si>
  <si>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</si>
  <si>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</si>
  <si>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NAVARAN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</si>
  <si>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</si>
  <si>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</si>
  <si>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PANZIA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</si>
  <si>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</si>
  <si>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</si>
  <si>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RAIPUR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</si>
  <si>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</si>
  <si>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</si>
  <si>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S.M.R. ROAD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</si>
  <si>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</si>
  <si>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</si>
  <si>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</si>
  <si>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</si>
  <si>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</si>
  <si>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KATHALIA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</si>
  <si>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</si>
  <si>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</si>
  <si>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PUTIAKHALI BANDAR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</si>
  <si>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</si>
  <si>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</si>
  <si>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SAILKUPA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</si>
  <si>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</si>
  <si>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</si>
  <si>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HATKHALISHPUR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</si>
  <si>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</si>
  <si>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</si>
  <si>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</si>
  <si>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</si>
  <si>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</si>
  <si>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</si>
  <si>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</si>
  <si>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</si>
  <si>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KOTCHANDPUR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</si>
  <si>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</si>
  <si>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</si>
  <si>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SAFDARPUR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</si>
  <si>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</si>
  <si>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</si>
  <si>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RAMGARH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</si>
  <si>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</si>
  <si>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</si>
  <si>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</si>
  <si>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</si>
  <si>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</si>
  <si>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BATIAGHATA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</si>
  <si>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</si>
  <si>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</si>
  <si>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CHALNA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</si>
  <si>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</si>
  <si>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</si>
  <si>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</si>
  <si>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</si>
  <si>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</si>
  <si>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GORAIKHALIHAT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</si>
  <si>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</si>
  <si>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</si>
  <si>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IWTA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</si>
  <si>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</si>
  <si>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</si>
  <si>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K.D. GHOSH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</si>
  <si>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</si>
  <si>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</si>
  <si>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K.D.A. NEW MARKET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</si>
  <si>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</si>
  <si>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</si>
  <si>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KHALISHPUR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</si>
  <si>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</si>
  <si>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</si>
  <si>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NUTAN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</si>
  <si>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</si>
  <si>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</si>
  <si>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PAIKGACHA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</si>
  <si>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</si>
  <si>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</si>
  <si>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PHULTALA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</si>
  <si>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</si>
  <si>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</si>
  <si>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</si>
  <si>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</si>
  <si>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</si>
  <si>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SHAMS BUILDING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</si>
  <si>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</si>
  <si>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</si>
  <si>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PATUAVANGA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</si>
  <si>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</si>
  <si>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</si>
  <si>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</si>
  <si>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</si>
  <si>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</si>
  <si>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</si>
  <si>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</si>
  <si>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</si>
  <si>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</si>
  <si>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</si>
  <si>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</si>
  <si>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NILGANJ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</si>
  <si>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</si>
  <si>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</si>
  <si>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</si>
  <si>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</si>
  <si>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</si>
  <si>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</si>
  <si>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</si>
  <si>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</si>
  <si>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HOSSAINABAD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</si>
  <si>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</si>
  <si>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</si>
  <si>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KUMARKHALI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</si>
  <si>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</si>
  <si>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</si>
  <si>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</si>
  <si>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</si>
  <si>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</si>
  <si>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MOSHAN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</si>
  <si>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</si>
  <si>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</si>
  <si>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SWASTIPUR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</si>
  <si>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</si>
  <si>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</si>
  <si>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BALUA CHOUMUHANI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</si>
  <si>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</si>
  <si>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</si>
  <si>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BIBIRHAT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</si>
  <si>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</si>
  <si>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</si>
  <si>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DALTA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</si>
  <si>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</si>
  <si>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</si>
  <si>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DATTA PARA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</si>
  <si>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</si>
  <si>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</si>
  <si>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</si>
  <si>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</si>
  <si>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</si>
  <si>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MANDARI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</si>
  <si>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</si>
  <si>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</si>
  <si>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PODDAR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</si>
  <si>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</si>
  <si>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</si>
  <si>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RAMGATI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</si>
  <si>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</si>
  <si>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</si>
  <si>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SONAPUR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</si>
  <si>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</si>
  <si>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</si>
  <si>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ADITMARI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</si>
  <si>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</si>
  <si>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</si>
  <si>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BARAKHATA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</si>
  <si>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</si>
  <si>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</si>
  <si>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</si>
  <si>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</si>
  <si>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</si>
  <si>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PATGRAM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</si>
  <si>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</si>
  <si>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</si>
  <si>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</si>
  <si>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</si>
  <si>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</si>
  <si>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SHIBCHAR POURASOVA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</si>
  <si>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</si>
  <si>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</si>
  <si>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CHAULIA BUS STAND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</si>
  <si>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</si>
  <si>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</si>
  <si>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</si>
  <si>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</si>
  <si>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</si>
  <si>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DAULATPUR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</si>
  <si>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</si>
  <si>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</si>
  <si>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BAIRA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</si>
  <si>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</si>
  <si>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</si>
  <si>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DHANKURA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</si>
  <si>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</si>
  <si>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</si>
  <si>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GHIOR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</si>
  <si>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</si>
  <si>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</si>
  <si>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JHITKA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</si>
  <si>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</si>
  <si>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</si>
  <si>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</si>
  <si>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</si>
  <si>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</si>
  <si>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SATURIA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</si>
  <si>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</si>
  <si>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</si>
  <si>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</si>
  <si>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</si>
  <si>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</si>
  <si>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MUJIB 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</si>
  <si>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</si>
  <si>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</si>
  <si>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GABINDAPUR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</si>
  <si>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</si>
  <si>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</si>
  <si>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AZIMGANJ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</si>
  <si>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</si>
  <si>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</si>
  <si>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CHADNIGHAT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</si>
  <si>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</si>
  <si>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</si>
  <si>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CHOUMUHANA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</si>
  <si>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</si>
  <si>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</si>
  <si>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KERAMATNAGAR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</si>
  <si>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</si>
  <si>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</si>
  <si>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</si>
  <si>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</si>
  <si>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</si>
  <si>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MARKET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</si>
  <si>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</si>
  <si>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</si>
  <si>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NALUARMUKH(KALAR)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</si>
  <si>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</si>
  <si>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</si>
  <si>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NOTUN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</si>
  <si>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</si>
  <si>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</si>
  <si>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SAMRAR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</si>
  <si>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</si>
  <si>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</si>
  <si>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SHERPUR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</si>
  <si>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</si>
  <si>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</si>
  <si>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</si>
  <si>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</si>
  <si>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</si>
  <si>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TENGRA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</si>
  <si>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</si>
  <si>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</si>
  <si>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BENODPUR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</si>
  <si>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</si>
  <si>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</si>
  <si>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LOUHAJONG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</si>
  <si>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</si>
  <si>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</si>
  <si>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MIRKADIM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</si>
  <si>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</si>
  <si>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</si>
  <si>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</si>
  <si>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</si>
  <si>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</si>
  <si>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</si>
  <si>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</si>
  <si>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</si>
  <si>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PORABARI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</si>
  <si>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</si>
  <si>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</si>
  <si>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BALIPARA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</si>
  <si>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</si>
  <si>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</si>
  <si>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CHHOTO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</si>
  <si>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</si>
  <si>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</si>
  <si>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DAPUNIA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</si>
  <si>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</si>
  <si>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</si>
  <si>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DHARA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</si>
  <si>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</si>
  <si>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</si>
  <si>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FATEMANAGAR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</si>
  <si>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</si>
  <si>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</si>
  <si>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GAFFARGAON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</si>
  <si>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</si>
  <si>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</si>
  <si>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KHAGDAHAR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</si>
  <si>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</si>
  <si>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</si>
  <si>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MALLIKBARI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</si>
  <si>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</si>
  <si>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</si>
  <si>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</si>
  <si>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</si>
  <si>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</si>
  <si>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NANDAIL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</si>
  <si>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</si>
  <si>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</si>
  <si>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</si>
  <si>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</si>
  <si>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</si>
  <si>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SHAYMGANJ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</si>
  <si>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</si>
  <si>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</si>
  <si>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SWADESHI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</si>
  <si>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</si>
  <si>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</si>
  <si>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THANA 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</si>
  <si>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</si>
  <si>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</si>
  <si>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</si>
  <si>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</si>
  <si>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</si>
  <si>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UCHAKHILA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</si>
  <si>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</si>
  <si>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</si>
  <si>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BADALGACHI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</si>
  <si>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</si>
  <si>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</si>
  <si>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HOSPITAL ROAD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</si>
  <si>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</si>
  <si>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</si>
  <si>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</si>
  <si>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</si>
  <si>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</si>
  <si>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SADAR ROAD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</si>
  <si>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</si>
  <si>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</si>
  <si>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LOHAGARA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</si>
  <si>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</si>
  <si>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</si>
  <si>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</si>
  <si>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</si>
  <si>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</si>
  <si>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B.B.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</si>
  <si>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</si>
  <si>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</si>
  <si>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</si>
  <si>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</si>
  <si>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</si>
  <si>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</si>
  <si>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</si>
  <si>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</si>
  <si>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</si>
  <si>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</si>
  <si>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</si>
  <si>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KANAI NAGAR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</si>
  <si>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</si>
  <si>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</si>
  <si>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R.K. DAS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</si>
  <si>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</si>
  <si>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</si>
  <si>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S.K. ROAD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</si>
  <si>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</si>
  <si>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</si>
  <si>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TAN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</si>
  <si>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</si>
  <si>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</si>
  <si>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BABURHAT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</si>
  <si>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</si>
  <si>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</si>
  <si>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</si>
  <si>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</si>
  <si>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</si>
  <si>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PALASH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</si>
  <si>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</si>
  <si>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</si>
  <si>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ABDULPUR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</si>
  <si>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</si>
  <si>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</si>
  <si>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TOMALTOLA 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</si>
  <si>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</si>
  <si>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</si>
  <si>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NALDANGARHAT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</si>
  <si>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</si>
  <si>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</si>
  <si>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</si>
  <si>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</si>
  <si>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</si>
  <si>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NICHABAZAR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</si>
  <si>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</si>
  <si>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</si>
  <si>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QUADIRABAD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</si>
  <si>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</si>
  <si>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</si>
  <si>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SINGRA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</si>
  <si>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</si>
  <si>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</si>
  <si>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BALIADANGA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</si>
  <si>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</si>
  <si>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</si>
  <si>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BHOLAHAT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</si>
  <si>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</si>
  <si>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</si>
  <si>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</si>
  <si>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</si>
  <si>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</si>
  <si>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NAMASANKERBATI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</si>
  <si>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</si>
  <si>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</si>
  <si>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STATION BAZAR(ROHANPUR)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</si>
  <si>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</si>
  <si>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</si>
  <si>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KENDUA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</si>
  <si>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</si>
  <si>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</si>
  <si>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</si>
  <si>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</si>
  <si>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</si>
  <si>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RAYER BAZAR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</si>
  <si>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</si>
  <si>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</si>
  <si>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DALIA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</si>
  <si>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</si>
  <si>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</si>
  <si>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DIMLA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</si>
  <si>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</si>
  <si>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</si>
  <si>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</si>
  <si>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</si>
  <si>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</si>
  <si>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</si>
  <si>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</si>
  <si>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</si>
  <si>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</si>
  <si>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</si>
  <si>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</si>
  <si>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DELIYAI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</si>
  <si>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</si>
  <si>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</si>
  <si>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AMISHAPARA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</si>
  <si>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</si>
  <si>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</si>
  <si>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</si>
  <si>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</si>
  <si>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</si>
  <si>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</si>
  <si>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</si>
  <si>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</si>
  <si>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</si>
  <si>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</si>
  <si>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</si>
  <si>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</si>
  <si>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</si>
  <si>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</si>
  <si>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</si>
  <si>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</si>
  <si>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</si>
  <si>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EKLASHPUR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</si>
  <si>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</si>
  <si>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</si>
  <si>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GOLABARIA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</si>
  <si>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</si>
  <si>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</si>
  <si>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KABIRHAT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</si>
  <si>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</si>
  <si>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</si>
  <si>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KARAMBOX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</si>
  <si>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</si>
  <si>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</si>
  <si>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KARIHATI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</si>
  <si>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</si>
  <si>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</si>
  <si>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</si>
  <si>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</si>
  <si>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</si>
  <si>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MIARHAT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</si>
  <si>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</si>
  <si>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</si>
  <si>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PALLA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</si>
  <si>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</si>
  <si>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</si>
  <si>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POURASAVA MARKET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</si>
  <si>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</si>
  <si>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</si>
  <si>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RAJGONJ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</si>
  <si>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</si>
  <si>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</si>
  <si>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TALMUHAMMAD 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</si>
  <si>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</si>
  <si>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</si>
  <si>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AUTAPARA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</si>
  <si>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</si>
  <si>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</si>
  <si>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BANAGRAM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</si>
  <si>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</si>
  <si>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</si>
  <si>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BERA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</si>
  <si>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</si>
  <si>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</si>
  <si>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BONWARINAGAR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</si>
  <si>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</si>
  <si>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</si>
  <si>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DEBOTTAR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</si>
  <si>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</si>
  <si>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</si>
  <si>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DOGACHI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</si>
  <si>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</si>
  <si>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</si>
  <si>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</si>
  <si>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</si>
  <si>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</si>
  <si>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</si>
  <si>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</si>
  <si>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</si>
  <si>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MATHURAHAT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</si>
  <si>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</si>
  <si>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</si>
  <si>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NAKALIA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</si>
  <si>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</si>
  <si>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</si>
  <si>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</si>
  <si>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</si>
  <si>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</si>
  <si>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PABNA CADET COLLEGE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</si>
  <si>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</si>
  <si>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</si>
  <si>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SANTHIA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</si>
  <si>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</si>
  <si>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</si>
  <si>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</si>
  <si>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</si>
  <si>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</si>
  <si>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MAIDANDIGHI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</si>
  <si>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</si>
  <si>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</si>
  <si>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</si>
  <si>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</si>
  <si>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</si>
  <si>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ALIPUR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</si>
  <si>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</si>
  <si>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</si>
  <si>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BAHER CHAR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</si>
  <si>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</si>
  <si>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</si>
  <si>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DIBUAPUR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</si>
  <si>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</si>
  <si>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</si>
  <si>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</si>
  <si>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</si>
  <si>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</si>
  <si>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KALISURI BANDAR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</si>
  <si>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</si>
  <si>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</si>
  <si>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KHEPUPARA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</si>
  <si>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</si>
  <si>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</si>
  <si>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NEWTOWN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</si>
  <si>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</si>
  <si>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</si>
  <si>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</si>
  <si>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</si>
  <si>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</si>
  <si>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PATUAKHALI S &amp; T.U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</si>
  <si>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</si>
  <si>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</si>
  <si>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</si>
  <si>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</si>
  <si>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</si>
  <si>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HULARHAT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</si>
  <si>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</si>
  <si>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</si>
  <si>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INDERHAT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</si>
  <si>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</si>
  <si>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</si>
  <si>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KAWKHALI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</si>
  <si>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</si>
  <si>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</si>
  <si>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KOWRIKHARA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</si>
  <si>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</si>
  <si>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</si>
  <si>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</si>
  <si>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</si>
  <si>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</si>
  <si>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</si>
  <si>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</si>
  <si>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</si>
  <si>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SWARUPKATI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</si>
  <si>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</si>
  <si>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</si>
  <si>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ZIA NAGAR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</si>
  <si>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</si>
  <si>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</si>
  <si>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K.N. ISLAM ROAD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</si>
  <si>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</si>
  <si>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</si>
  <si>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KAKANHAT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</si>
  <si>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</si>
  <si>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</si>
  <si>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LAXMIPUR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</si>
  <si>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</si>
  <si>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</si>
  <si>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RAJSHAHI CANTONMENT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</si>
  <si>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</si>
  <si>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</si>
  <si>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RUET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</si>
  <si>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</si>
  <si>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</si>
  <si>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SHAHEB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</si>
  <si>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</si>
  <si>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</si>
  <si>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TANORE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</si>
  <si>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</si>
  <si>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</si>
  <si>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BANIBAHA 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</si>
  <si>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</si>
  <si>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</si>
  <si>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G.T.M.(GOALANDA)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</si>
  <si>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</si>
  <si>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</si>
  <si>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</si>
  <si>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</si>
  <si>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</si>
  <si>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POURASAVA MARKET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</si>
  <si>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</si>
  <si>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</si>
  <si>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</si>
  <si>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</si>
  <si>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</si>
  <si>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BANARUPA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</si>
  <si>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</si>
  <si>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</si>
  <si>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</si>
  <si>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</si>
  <si>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</si>
  <si>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TABALCHARI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</si>
  <si>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</si>
  <si>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</si>
  <si>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ANNADA NAGAR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</si>
  <si>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</si>
  <si>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</si>
  <si>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BARAIBARI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</si>
  <si>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</si>
  <si>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</si>
  <si>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BHENDABARI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</si>
  <si>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</si>
  <si>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</si>
  <si>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CENTRAL ROAD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</si>
  <si>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</si>
  <si>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</si>
  <si>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G.L.RAY ROAD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</si>
  <si>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</si>
  <si>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</si>
  <si>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HARAGACHA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</si>
  <si>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</si>
  <si>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</si>
  <si>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</si>
  <si>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</si>
  <si>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</si>
  <si>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MAHIGANJ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</si>
  <si>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</si>
  <si>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</si>
  <si>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R.K. ROAD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</si>
  <si>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</si>
  <si>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</si>
  <si>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RLY. CROSSING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</si>
  <si>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</si>
  <si>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</si>
  <si>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TARAGANJ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</si>
  <si>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</si>
  <si>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</si>
  <si>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TETULTALA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</si>
  <si>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</si>
  <si>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</si>
  <si>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GOSHAIRHAT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</si>
  <si>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</si>
  <si>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</si>
  <si>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</si>
  <si>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</si>
  <si>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</si>
  <si>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BARADAL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</si>
  <si>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</si>
  <si>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</si>
  <si>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JHAUDANGA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</si>
  <si>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</si>
  <si>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</si>
  <si>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KALAROA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</si>
  <si>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</si>
  <si>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</si>
  <si>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NALTA MOBARAKNAGAR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</si>
  <si>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</si>
  <si>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</si>
  <si>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NOWABENKI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</si>
  <si>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</si>
  <si>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</si>
  <si>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</si>
  <si>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</si>
  <si>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</si>
  <si>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BAGABATIHAT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</si>
  <si>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</si>
  <si>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</si>
  <si>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BELKUCHI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</si>
  <si>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</si>
  <si>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</si>
  <si>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BETIL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</si>
  <si>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</si>
  <si>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</si>
  <si>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BOALIA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</si>
  <si>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</si>
  <si>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</si>
  <si>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DARIAPUR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</si>
  <si>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</si>
  <si>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</si>
  <si>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</si>
  <si>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</si>
  <si>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</si>
  <si>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SHIAL KOLE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</si>
  <si>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</si>
  <si>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</si>
  <si>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SHERPUR TOWN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</si>
  <si>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</si>
  <si>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</si>
  <si>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BHOBER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</si>
  <si>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</si>
  <si>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</si>
  <si>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</si>
  <si>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</si>
  <si>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</si>
  <si>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DOLAR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</si>
  <si>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</si>
  <si>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</si>
  <si>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</si>
  <si>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</si>
  <si>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</si>
  <si>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KANBARI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</si>
  <si>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</si>
  <si>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</si>
  <si>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</si>
  <si>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</si>
  <si>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</si>
  <si>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SYEDPUR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</si>
  <si>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</si>
  <si>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</si>
  <si>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KALARAI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</si>
  <si>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</si>
  <si>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</si>
  <si>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BABUR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</si>
  <si>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</si>
  <si>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</si>
  <si>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RAZAGANJ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</si>
  <si>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</si>
  <si>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</si>
  <si>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CHARKHAI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</si>
  <si>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</si>
  <si>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</si>
  <si>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BANDAR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</si>
  <si>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</si>
  <si>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</si>
  <si>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DATTARAIL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</si>
  <si>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</si>
  <si>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</si>
  <si>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DAYAMIR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</si>
  <si>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</si>
  <si>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</si>
  <si>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HABRA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</si>
  <si>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</si>
  <si>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</si>
  <si>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</si>
  <si>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</si>
  <si>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</si>
  <si>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</si>
  <si>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</si>
  <si>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</si>
  <si>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</si>
  <si>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</si>
  <si>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</si>
  <si>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KAZIR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</si>
  <si>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</si>
  <si>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</si>
  <si>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KHADIMPUR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</si>
  <si>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</si>
  <si>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</si>
  <si>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KHALO MUKH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</si>
  <si>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</si>
  <si>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</si>
  <si>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KURAR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</si>
  <si>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</si>
  <si>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</si>
  <si>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KURUA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</si>
  <si>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</si>
  <si>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</si>
  <si>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</si>
  <si>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</si>
  <si>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</si>
  <si>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MADAR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</si>
  <si>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</si>
  <si>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</si>
  <si>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MADINA MARKET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</si>
  <si>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</si>
  <si>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</si>
  <si>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MIRA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</si>
  <si>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</si>
  <si>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</si>
  <si>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</si>
  <si>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</si>
  <si>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</si>
  <si>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RAKHAL GONJ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</si>
  <si>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</si>
  <si>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</si>
  <si>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REKABIBAZAR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</si>
  <si>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</si>
  <si>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</si>
  <si>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</si>
  <si>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</si>
  <si>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</si>
  <si>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SULTANPUR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</si>
  <si>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</si>
  <si>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</si>
  <si>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SYLHET AGRICULTURE UNIVERSITY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</si>
  <si>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</si>
  <si>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</si>
  <si>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TALTALA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</si>
  <si>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</si>
  <si>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</si>
  <si>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VARTHA KHOLA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</si>
  <si>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</si>
  <si>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</si>
  <si>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BALLA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</si>
  <si>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</si>
  <si>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</si>
  <si>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BASAIL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</si>
  <si>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</si>
  <si>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</si>
  <si>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ELASHIN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</si>
  <si>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</si>
  <si>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</si>
  <si>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ELENGA BUS STAND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</si>
  <si>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</si>
  <si>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</si>
  <si>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GHATAIL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</si>
  <si>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</si>
  <si>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</si>
  <si>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KALIHATI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</si>
  <si>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</si>
  <si>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</si>
  <si>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NATIAPARA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</si>
  <si>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</si>
  <si>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</si>
  <si>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PAKULLA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</si>
  <si>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</si>
  <si>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</si>
  <si>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PATHRAIL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</si>
  <si>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</si>
  <si>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</si>
  <si>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RATANGANJ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</si>
  <si>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</si>
  <si>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</si>
  <si>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</si>
  <si>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</si>
  <si>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</si>
  <si>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</si>
  <si>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</si>
  <si>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</si>
  <si>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BALIADANGI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</si>
  <si>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</si>
  <si>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</si>
  <si>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BHULLY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</si>
  <si>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</si>
  <si>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RUPALI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</si>
  <si>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</si>
  <si>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</si>
  <si>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</si>
  <si>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AMTALI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</si>
  <si>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</si>
  <si>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</si>
  <si>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</si>
  <si>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</si>
  <si>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</si>
  <si>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</si>
  <si>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</si>
  <si>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</si>
  <si>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</si>
  <si>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</si>
  <si>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</si>
  <si>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</si>
  <si>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</si>
  <si>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</si>
  <si>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</si>
  <si>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</si>
  <si>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</si>
  <si>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</si>
  <si>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</si>
  <si>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</si>
  <si>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</si>
  <si>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</si>
  <si>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</si>
  <si>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</si>
  <si>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</si>
  <si>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</si>
  <si>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</si>
  <si>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</si>
  <si>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</si>
  <si>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</si>
  <si>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</si>
  <si>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</si>
  <si>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</si>
  <si>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</si>
  <si>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</si>
  <si>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MADHUNA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</si>
  <si>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</si>
  <si>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</si>
  <si>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</si>
  <si>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</si>
  <si>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</si>
  <si>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</si>
  <si>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</si>
  <si>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</si>
  <si>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</si>
  <si>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</si>
  <si>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</si>
  <si>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WASA MOOR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</si>
  <si>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</si>
  <si>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</si>
  <si>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</si>
  <si>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</si>
  <si>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</si>
  <si>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</si>
  <si>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</si>
  <si>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</si>
  <si>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GUNABATI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</si>
  <si>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</si>
  <si>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</si>
  <si>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</si>
  <si>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</si>
  <si>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</si>
  <si>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UTTARA LADIES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</si>
  <si>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</si>
  <si>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</si>
  <si>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ASHKONA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</si>
  <si>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</si>
  <si>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</si>
  <si>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BAIPAIL(DHAKA EPZ)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</si>
  <si>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</si>
  <si>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</si>
  <si>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</si>
  <si>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</si>
  <si>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</si>
  <si>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BHATARA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</si>
  <si>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</si>
  <si>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</si>
  <si>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COLLEGE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</si>
  <si>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</si>
  <si>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</si>
  <si>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</si>
  <si>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</si>
  <si>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</si>
  <si>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</si>
  <si>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</si>
  <si>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</si>
  <si>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ESKATON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</si>
  <si>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</si>
  <si>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</si>
  <si>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</si>
  <si>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</si>
  <si>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</si>
  <si>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GULSHAN SOUTH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</si>
  <si>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</si>
  <si>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</si>
  <si>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</si>
  <si>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</si>
  <si>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</si>
  <si>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</si>
  <si>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</si>
  <si>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</si>
  <si>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</si>
  <si>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</si>
  <si>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</si>
  <si>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</si>
  <si>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</si>
  <si>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</si>
  <si>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</si>
  <si>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</si>
  <si>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</si>
  <si>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</si>
  <si>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</si>
  <si>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</si>
  <si>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</si>
  <si>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</si>
  <si>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</si>
  <si>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</si>
  <si>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</si>
  <si>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</si>
  <si>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</si>
  <si>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</si>
  <si>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</si>
  <si>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</si>
  <si>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</si>
  <si>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</si>
  <si>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BARUAKHALI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</si>
  <si>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</si>
  <si>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</si>
  <si>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</si>
  <si>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</si>
  <si>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</si>
  <si>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</si>
  <si>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</si>
  <si>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</si>
  <si>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DHAKA(MAIN)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</si>
  <si>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</si>
  <si>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</si>
  <si>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</si>
  <si>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</si>
  <si>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</si>
  <si>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</si>
  <si>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</si>
  <si>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</si>
  <si>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JURAIN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</si>
  <si>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</si>
  <si>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</si>
  <si>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</si>
  <si>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</si>
  <si>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</si>
  <si>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</si>
  <si>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</si>
  <si>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</si>
  <si>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</si>
  <si>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</si>
  <si>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</si>
  <si>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MITFORD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</si>
  <si>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</si>
  <si>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</si>
  <si>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</si>
  <si>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</si>
  <si>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</si>
  <si>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NABABPUR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</si>
  <si>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</si>
  <si>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</si>
  <si>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</si>
  <si>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</si>
  <si>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</si>
  <si>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SARULIA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</si>
  <si>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</si>
  <si>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</si>
  <si>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</si>
  <si>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</si>
  <si>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</si>
  <si>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CHAR BHADRASAN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</si>
  <si>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</si>
  <si>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</si>
  <si>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</si>
  <si>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</si>
  <si>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</si>
  <si>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</si>
  <si>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</si>
  <si>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</si>
  <si>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JOYDEBPUR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</si>
  <si>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</si>
  <si>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</si>
  <si>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</si>
  <si>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</si>
  <si>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</si>
  <si>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SHAFIPUR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</si>
  <si>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</si>
  <si>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</si>
  <si>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TONGI SME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</si>
  <si>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</si>
  <si>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</si>
  <si>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</si>
  <si>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</si>
  <si>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</si>
  <si>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</si>
  <si>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</si>
  <si>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</si>
  <si>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HATGOPALPUR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</si>
  <si>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</si>
  <si>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</si>
  <si>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</si>
  <si>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</si>
  <si>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</si>
  <si>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CHUK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</si>
  <si>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</si>
  <si>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</si>
  <si>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</si>
  <si>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</si>
  <si>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</si>
  <si>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</si>
  <si>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</si>
  <si>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</si>
  <si>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DATTA PARA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</si>
  <si>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</si>
  <si>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</si>
  <si>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</si>
  <si>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</si>
  <si>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</si>
  <si>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</si>
  <si>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</si>
  <si>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</si>
  <si>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</si>
  <si>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</si>
  <si>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</si>
  <si>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</si>
  <si>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</si>
  <si>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</si>
  <si>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DIGHIRPAR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</si>
  <si>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</si>
  <si>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</si>
  <si>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SHIKARPUR NIMTOLA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</si>
  <si>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</si>
  <si>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</si>
  <si>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BHALUKA SME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</si>
  <si>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</si>
  <si>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</si>
  <si>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HALUAGHAT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</si>
  <si>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</si>
  <si>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</si>
  <si>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</si>
  <si>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</si>
  <si>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</si>
  <si>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</si>
  <si>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</si>
  <si>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</si>
  <si>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</si>
  <si>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</si>
  <si>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</si>
  <si>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CHINISHPUR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</si>
  <si>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</si>
  <si>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</si>
  <si>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CHALAKCHAR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</si>
  <si>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</si>
  <si>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</si>
  <si>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</si>
  <si>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</si>
  <si>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</si>
  <si>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</si>
  <si>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</si>
  <si>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</si>
  <si>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</si>
  <si>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</si>
  <si>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</si>
  <si>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CHOWMUHANI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</si>
  <si>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</si>
  <si>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</si>
  <si>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</si>
  <si>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</si>
  <si>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</si>
  <si>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KHEPUPARA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</si>
  <si>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</si>
  <si>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</si>
  <si>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</si>
  <si>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</si>
  <si>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</si>
  <si>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</si>
  <si>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</si>
  <si>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</si>
  <si>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</si>
  <si>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</si>
  <si>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</si>
  <si>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</si>
  <si>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</si>
  <si>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</si>
  <si>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DARGAH GATE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</si>
  <si>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</si>
  <si>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</si>
  <si>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</si>
  <si>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</si>
  <si>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</si>
  <si>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</si>
  <si>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</si>
  <si>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</si>
  <si>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</si>
  <si>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</si>
  <si>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</si>
  <si>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BARACHOWNA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</si>
  <si>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</si>
  <si>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</si>
  <si>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KARATIA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</si>
  <si>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</si>
  <si>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</si>
  <si>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NAGARPUR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</si>
  <si>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</si>
  <si>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</si>
  <si>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</si>
  <si>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</si>
  <si>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SHAHJALAL ISLAMI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</si>
  <si>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</si>
  <si>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</si>
  <si>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</si>
  <si>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</si>
  <si>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</si>
  <si>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</si>
  <si>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MOLLAHAT SME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</si>
  <si>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</si>
  <si>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</si>
  <si>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</si>
  <si>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</si>
  <si>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</si>
  <si>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</si>
  <si>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</si>
  <si>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</si>
  <si>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</si>
  <si>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</si>
  <si>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</si>
  <si>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</si>
  <si>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</si>
  <si>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</si>
  <si>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DUPCHACHIA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</si>
  <si>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</si>
  <si>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</si>
  <si>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AKHAURA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</si>
  <si>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</si>
  <si>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</si>
  <si>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</si>
  <si>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</si>
  <si>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</si>
  <si>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</si>
  <si>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</si>
  <si>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</si>
  <si>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KACHUA SME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</si>
  <si>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</si>
  <si>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</si>
  <si>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NAYERGAON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</si>
  <si>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</si>
  <si>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</si>
  <si>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</si>
  <si>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</si>
  <si>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</si>
  <si>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ALANKAR MOR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</si>
  <si>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</si>
  <si>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</si>
  <si>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BARIARHAT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</si>
  <si>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</si>
  <si>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</si>
  <si>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ATURAR DEPO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</si>
  <si>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</si>
  <si>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</si>
  <si>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AZADI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</si>
  <si>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</si>
  <si>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</si>
  <si>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BIBIRHAT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</si>
  <si>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</si>
  <si>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</si>
  <si>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</si>
  <si>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</si>
  <si>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</si>
  <si>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</si>
  <si>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</si>
  <si>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</si>
  <si>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DEWAN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</si>
  <si>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</si>
  <si>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</si>
  <si>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GEC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</si>
  <si>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</si>
  <si>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</si>
  <si>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</si>
  <si>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</si>
  <si>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</si>
  <si>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HATHAZARI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</si>
  <si>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</si>
  <si>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</si>
  <si>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</si>
  <si>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</si>
  <si>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</si>
  <si>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</si>
  <si>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</si>
  <si>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</si>
  <si>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</si>
  <si>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</si>
  <si>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</si>
  <si>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NANUPUR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</si>
  <si>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</si>
  <si>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</si>
  <si>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</si>
  <si>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</si>
  <si>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</si>
  <si>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ROAZARHAT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</si>
  <si>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</si>
  <si>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</si>
  <si>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SHAH MOHSIN AWLIA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</si>
  <si>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</si>
  <si>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</si>
  <si>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COLLEGE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</si>
  <si>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</si>
  <si>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</si>
  <si>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LAKSAM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</si>
  <si>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</si>
  <si>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</si>
  <si>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BURICHANG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</si>
  <si>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</si>
  <si>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</si>
  <si>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</si>
  <si>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</si>
  <si>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</si>
  <si>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ELIOTGANJ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</si>
  <si>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</si>
  <si>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</si>
  <si>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HOMNA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</si>
  <si>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</si>
  <si>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</si>
  <si>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</si>
  <si>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</si>
  <si>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</si>
  <si>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SATARKUL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</si>
  <si>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</si>
  <si>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</si>
  <si>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</si>
  <si>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</si>
  <si>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</si>
  <si>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</si>
  <si>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</si>
  <si>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</si>
  <si>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GAUSIA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</si>
  <si>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</si>
  <si>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</si>
  <si>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</si>
  <si>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</si>
  <si>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</si>
  <si>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BHATARA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</si>
  <si>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</si>
  <si>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</si>
  <si>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</si>
  <si>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</si>
  <si>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</si>
  <si>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DHAMRAI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</si>
  <si>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</si>
  <si>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</si>
  <si>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</si>
  <si>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</si>
  <si>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</si>
  <si>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</si>
  <si>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</si>
  <si>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</si>
  <si>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HORIRAMPUR UNION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</si>
  <si>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</si>
  <si>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</si>
  <si>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BEGUM ROKEYA SAWRANI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</si>
  <si>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</si>
  <si>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</si>
  <si>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KADERIA TAIYEBIA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</si>
  <si>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</si>
  <si>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</si>
  <si>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</si>
  <si>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</si>
  <si>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</si>
  <si>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</si>
  <si>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</si>
  <si>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</si>
  <si>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</si>
  <si>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</si>
  <si>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</si>
  <si>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</si>
  <si>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</si>
  <si>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</si>
  <si>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</si>
  <si>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</si>
  <si>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</si>
  <si>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</si>
  <si>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</si>
  <si>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</si>
  <si>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</si>
  <si>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</si>
  <si>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</si>
  <si>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</si>
  <si>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</si>
  <si>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</si>
  <si>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</si>
  <si>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</si>
  <si>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</si>
  <si>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</si>
  <si>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</si>
  <si>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</si>
  <si>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</si>
  <si>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</si>
  <si>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</si>
  <si>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DEMRA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</si>
  <si>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</si>
  <si>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</si>
  <si>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GALIMPUR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</si>
  <si>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</si>
  <si>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</si>
  <si>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</si>
  <si>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</si>
  <si>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</si>
  <si>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</si>
  <si>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</si>
  <si>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</si>
  <si>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</si>
  <si>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</si>
  <si>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</si>
  <si>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</si>
  <si>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</si>
  <si>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</si>
  <si>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</si>
  <si>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</si>
  <si>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</si>
  <si>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</si>
  <si>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</si>
  <si>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</si>
  <si>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</si>
  <si>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</si>
  <si>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</si>
  <si>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</si>
  <si>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</si>
  <si>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</si>
  <si>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</si>
  <si>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</si>
  <si>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</si>
  <si>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NEW ESKATON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</si>
  <si>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</si>
  <si>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</si>
  <si>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</si>
  <si>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</si>
  <si>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</si>
  <si>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</si>
  <si>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</si>
  <si>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</si>
  <si>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RASULPUR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</si>
  <si>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</si>
  <si>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</si>
  <si>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</si>
  <si>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</si>
  <si>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</si>
  <si>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RANIRBANDAR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</si>
  <si>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</si>
  <si>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</si>
  <si>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</si>
  <si>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</si>
  <si>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</si>
  <si>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GOBINDAGANJ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</si>
  <si>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</si>
  <si>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</si>
  <si>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JOYDEBPUR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</si>
  <si>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</si>
  <si>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</si>
  <si>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</si>
  <si>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</si>
  <si>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</si>
  <si>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</si>
  <si>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</si>
  <si>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</si>
  <si>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BANGABANDHU SAMADHI SHOUDHA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</si>
  <si>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</si>
  <si>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</si>
  <si>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INDUSTRIAL PARK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</si>
  <si>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</si>
  <si>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</si>
  <si>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</si>
  <si>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</si>
  <si>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</si>
  <si>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KOYRA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</si>
  <si>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</si>
  <si>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</si>
  <si>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CHOWGACHA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</si>
  <si>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</si>
  <si>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</si>
  <si>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</si>
  <si>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</si>
  <si>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</si>
  <si>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MONIRAMPUR SME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</si>
  <si>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</si>
  <si>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</si>
  <si>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NAVARAN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</si>
  <si>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</si>
  <si>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</si>
  <si>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</si>
  <si>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</si>
  <si>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</si>
  <si>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DUMURIA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</si>
  <si>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</si>
  <si>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</si>
  <si>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</si>
  <si>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</si>
  <si>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</si>
  <si>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PAIKGACHA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</si>
  <si>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</si>
  <si>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</si>
  <si>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</si>
  <si>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</si>
  <si>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</si>
  <si>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</si>
  <si>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</si>
  <si>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</si>
  <si>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</si>
  <si>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</si>
  <si>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</si>
  <si>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</si>
  <si>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</si>
  <si>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</si>
  <si>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PODDAR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</si>
  <si>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</si>
  <si>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</si>
  <si>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</si>
  <si>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</si>
  <si>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</si>
  <si>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</si>
  <si>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</si>
  <si>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</si>
  <si>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</si>
  <si>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</si>
  <si>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</si>
  <si>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</si>
  <si>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</si>
  <si>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</si>
  <si>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</si>
  <si>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</si>
  <si>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</si>
  <si>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BHULTA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</si>
  <si>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</si>
  <si>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</si>
  <si>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</si>
  <si>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</si>
  <si>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</si>
  <si>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GOPALDI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</si>
  <si>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</si>
  <si>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</si>
  <si>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</si>
  <si>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</si>
  <si>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</si>
  <si>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</si>
  <si>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</si>
  <si>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</si>
  <si>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PANCHDOWNA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</si>
  <si>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</si>
  <si>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</si>
  <si>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MADHABDI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</si>
  <si>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</si>
  <si>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</si>
  <si>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</si>
  <si>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</si>
  <si>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</si>
  <si>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</si>
  <si>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</si>
  <si>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</si>
  <si>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</si>
  <si>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</si>
  <si>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</si>
  <si>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MAIJDEE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</si>
  <si>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</si>
  <si>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</si>
  <si>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</si>
  <si>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</si>
  <si>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</si>
  <si>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JAMIDERHAT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</si>
  <si>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</si>
  <si>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</si>
  <si>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KANKIRHAT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</si>
  <si>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</si>
  <si>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</si>
  <si>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SONAPUR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</si>
  <si>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</si>
  <si>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</si>
  <si>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</si>
  <si>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</si>
  <si>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</si>
  <si>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SAFABANDAR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</si>
  <si>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</si>
  <si>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</si>
  <si>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</si>
  <si>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</si>
  <si>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</si>
  <si>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</si>
  <si>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</si>
  <si>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</si>
  <si>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ANGARIA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</si>
  <si>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</si>
  <si>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</si>
  <si>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PATKELGHATA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</si>
  <si>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</si>
  <si>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</si>
  <si>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</si>
  <si>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</si>
  <si>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</si>
  <si>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CHANDAIKONA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</si>
  <si>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</si>
  <si>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</si>
  <si>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</si>
  <si>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</si>
  <si>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</si>
  <si>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SHAJADPUR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</si>
  <si>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</si>
  <si>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</si>
  <si>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</si>
  <si>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</si>
  <si>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</si>
  <si>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</si>
  <si>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</si>
  <si>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</si>
  <si>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SOUTH SURMA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</si>
  <si>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</si>
  <si>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</si>
  <si>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</si>
  <si>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</si>
  <si>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SOCIAL ISLAMI BANK LTD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</si>
  <si>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</si>
  <si>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</si>
  <si>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</si>
  <si>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</si>
  <si>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</si>
  <si>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</si>
  <si>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CHITALMARI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</si>
  <si>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</si>
  <si>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</si>
  <si>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</si>
  <si>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</si>
  <si>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</si>
  <si>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FAKIRHAT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</si>
  <si>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</si>
  <si>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</si>
  <si>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GILATALA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</si>
  <si>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</si>
  <si>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</si>
  <si>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GOURAMBA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</si>
  <si>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</si>
  <si>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</si>
  <si>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</si>
  <si>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</si>
  <si>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</si>
  <si>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</si>
  <si>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</si>
  <si>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</si>
  <si>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MOLLAHAT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</si>
  <si>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</si>
  <si>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</si>
  <si>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MONGLA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</si>
  <si>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</si>
  <si>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</si>
  <si>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MONGLA PORT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</si>
  <si>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</si>
  <si>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</si>
  <si>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</si>
  <si>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</si>
  <si>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</si>
  <si>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RAMPAL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</si>
  <si>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</si>
  <si>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</si>
  <si>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RAYENDA BAZAR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</si>
  <si>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</si>
  <si>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</si>
  <si>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ALIKADAM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</si>
  <si>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</si>
  <si>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</si>
  <si>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</si>
  <si>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</si>
  <si>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</si>
  <si>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LAMA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</si>
  <si>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</si>
  <si>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</si>
  <si>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NAIKHANGCHARI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</si>
  <si>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</si>
  <si>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</si>
  <si>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ROWANGCHARI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</si>
  <si>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</si>
  <si>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</si>
  <si>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RUMA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</si>
  <si>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</si>
  <si>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</si>
  <si>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THANCHI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</si>
  <si>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</si>
  <si>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</si>
  <si>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AMTALI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</si>
  <si>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</si>
  <si>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</si>
  <si>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BAMNA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</si>
  <si>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</si>
  <si>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</si>
  <si>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BARGUNA COURT BUILDING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</si>
  <si>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</si>
  <si>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</si>
  <si>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BETAGI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</si>
  <si>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</si>
  <si>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</si>
  <si>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PATHARGHATA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</si>
  <si>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</si>
  <si>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</si>
  <si>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AGOILJHARA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</si>
  <si>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</si>
  <si>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</si>
  <si>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ARATDAR PATTRY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</si>
  <si>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</si>
  <si>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</si>
  <si>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BAKERGANJ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</si>
  <si>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</si>
  <si>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</si>
  <si>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BANARI PARA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</si>
  <si>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</si>
  <si>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</si>
  <si>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BARISAL CADET COLLEGE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</si>
  <si>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</si>
  <si>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</si>
  <si>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BARISAL CORPORATE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</si>
  <si>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</si>
  <si>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</si>
  <si>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BARISHAL UNIVERSITY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</si>
  <si>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</si>
  <si>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</si>
  <si>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 &amp; B R0AD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</si>
  <si>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</si>
  <si>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</si>
  <si>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CHAKHAR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</si>
  <si>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</si>
  <si>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</si>
  <si>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CHARAMADDI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</si>
  <si>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</si>
  <si>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</si>
  <si>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</si>
  <si>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</si>
  <si>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</si>
  <si>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COLLEGE ROAD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</si>
  <si>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</si>
  <si>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</si>
  <si>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DHAMURA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</si>
  <si>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</si>
  <si>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</si>
  <si>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GAILA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</si>
  <si>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</si>
  <si>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</si>
  <si>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GOURNADI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</si>
  <si>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</si>
  <si>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</si>
  <si>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GUTHIA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</si>
  <si>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</si>
  <si>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</si>
  <si>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HALTA BANDAR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</si>
  <si>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</si>
  <si>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</si>
  <si>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HIZLA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</si>
  <si>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</si>
  <si>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</si>
  <si>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KAMARKHALI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</si>
  <si>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</si>
  <si>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</si>
  <si>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KHANPURA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</si>
  <si>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</si>
  <si>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</si>
  <si>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MEDHAKAL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</si>
  <si>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</si>
  <si>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</si>
  <si>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MEHENDIGANJ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</si>
  <si>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</si>
  <si>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</si>
  <si>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MULADI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</si>
  <si>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</si>
  <si>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</si>
  <si>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NALCHIRA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</si>
  <si>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</si>
  <si>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</si>
  <si>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NEAMATI BANDAR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</si>
  <si>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</si>
  <si>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</si>
  <si>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PAISHARHAT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</si>
  <si>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</si>
  <si>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</si>
  <si>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SAGARDI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</si>
  <si>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</si>
  <si>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</si>
  <si>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SHAHEBER 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</si>
  <si>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</si>
  <si>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</si>
  <si>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TORKEY BANDAR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</si>
  <si>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</si>
  <si>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</si>
  <si>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WAZIRPUR BANDAR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</si>
  <si>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</si>
  <si>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</si>
  <si>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</si>
  <si>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</si>
  <si>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</si>
  <si>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BORHANUDDIN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</si>
  <si>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</si>
  <si>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</si>
  <si>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</si>
  <si>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</si>
  <si>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</si>
  <si>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DAULATKHAN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</si>
  <si>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</si>
  <si>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</si>
  <si>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GAZARIA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</si>
  <si>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</si>
  <si>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</si>
  <si>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LALMOHAN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</si>
  <si>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</si>
  <si>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</si>
  <si>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MANPURA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</si>
  <si>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</si>
  <si>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</si>
  <si>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MOHAJAN PATTY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</si>
  <si>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</si>
  <si>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</si>
  <si>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NORTH DIGHALDI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</si>
  <si>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</si>
  <si>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</si>
  <si>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TAZUMUDDIN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</si>
  <si>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</si>
  <si>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</si>
  <si>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ADAMDIGHI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</si>
  <si>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</si>
  <si>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</si>
  <si>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AZIZUL HAQUE COLLEGE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</si>
  <si>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</si>
  <si>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</si>
  <si>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BALUA 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</si>
  <si>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</si>
  <si>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</si>
  <si>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BOGRA BAZAR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</si>
  <si>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</si>
  <si>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</si>
  <si>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BOGRA CANTONMENT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</si>
  <si>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</si>
  <si>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</si>
  <si>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BOGRA CORPORATE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</si>
  <si>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</si>
  <si>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</si>
  <si>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COLLEGE ROAD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</si>
  <si>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</si>
  <si>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</si>
  <si>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DHUNAT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</si>
  <si>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</si>
  <si>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</si>
  <si>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DUPCHACHIA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</si>
  <si>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</si>
  <si>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</si>
  <si>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</si>
  <si>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</si>
  <si>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</si>
  <si>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GABTALI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</si>
  <si>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</si>
  <si>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</si>
  <si>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GOHAIL ROAD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</si>
  <si>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</si>
  <si>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</si>
  <si>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JAMADARPUKUR 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</si>
  <si>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</si>
  <si>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</si>
  <si>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GUZIA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</si>
  <si>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</si>
  <si>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</si>
  <si>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SYED AHMED COLLEGE STATION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</si>
  <si>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</si>
  <si>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</si>
  <si>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JAMURHAT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</si>
  <si>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</si>
  <si>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</si>
  <si>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KAHALOO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</si>
  <si>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</si>
  <si>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</si>
  <si>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MOKAMTALA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</si>
  <si>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</si>
  <si>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</si>
  <si>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NAMUJAHAT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</si>
  <si>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</si>
  <si>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</si>
  <si>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NANDIGRAM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</si>
  <si>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</si>
  <si>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</si>
  <si>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NASHRATPUR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</si>
  <si>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</si>
  <si>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</si>
  <si>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PALLY UNNAYAN ACADEMY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</si>
  <si>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</si>
  <si>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</si>
  <si>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RANBAGHA BAZAR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</si>
  <si>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</si>
  <si>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</si>
  <si>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SANTAHAR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</si>
  <si>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</si>
  <si>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</si>
  <si>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SARIAKANDI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</si>
  <si>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</si>
  <si>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</si>
  <si>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SHAHARPUKUR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</si>
  <si>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</si>
  <si>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</si>
  <si>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SHAHID ZIAUR RAHMAN MEDICAL COLLEGE HOSPITAL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</si>
  <si>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</si>
  <si>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</si>
  <si>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</si>
  <si>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</si>
  <si>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</si>
  <si>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SHERPUR ROAD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</si>
  <si>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</si>
  <si>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</si>
  <si>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</si>
  <si>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</si>
  <si>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</si>
  <si>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SONATOLA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</si>
  <si>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</si>
  <si>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</si>
  <si>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TALORA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</si>
  <si>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</si>
  <si>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</si>
  <si>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AKHAURA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</si>
  <si>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</si>
  <si>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</si>
  <si>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BIJOYNAGAR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</si>
  <si>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</si>
  <si>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</si>
  <si>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</si>
  <si>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</si>
  <si>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</si>
  <si>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BANCHARAMPUR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</si>
  <si>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</si>
  <si>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</si>
  <si>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</si>
  <si>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</si>
  <si>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</si>
  <si>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CHANDPUR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</si>
  <si>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</si>
  <si>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</si>
  <si>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CHATALPAR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</si>
  <si>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</si>
  <si>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</si>
  <si>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FANDAUK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</si>
  <si>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</si>
  <si>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</si>
  <si>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GOKARNAGHAT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</si>
  <si>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</si>
  <si>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</si>
  <si>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HARINBER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</si>
  <si>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</si>
  <si>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</si>
  <si>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</si>
  <si>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</si>
  <si>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</si>
  <si>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KUTI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</si>
  <si>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</si>
  <si>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</si>
  <si>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T.A. ROAD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</si>
  <si>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</si>
  <si>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</si>
  <si>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MEDDA THANA COMPLEX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</si>
  <si>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</si>
  <si>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</si>
  <si>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MIRASHANI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</si>
  <si>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</si>
  <si>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</si>
  <si>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</si>
  <si>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</si>
  <si>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</si>
  <si>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NASIR NAGAR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</si>
  <si>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</si>
  <si>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</si>
  <si>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</si>
  <si>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</si>
  <si>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</si>
  <si>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RASULLABAD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</si>
  <si>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</si>
  <si>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</si>
  <si>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RUPASDI BAZAR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</si>
  <si>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</si>
  <si>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</si>
  <si>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SARAIL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</si>
  <si>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</si>
  <si>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</si>
  <si>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SHYAMOGRAM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</si>
  <si>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</si>
  <si>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</si>
  <si>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SINGERBIEL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</si>
  <si>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</si>
  <si>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</si>
  <si>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ASHUGANJ SAR KARKHANA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</si>
  <si>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</si>
  <si>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</si>
  <si>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ALIGANJ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</si>
  <si>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</si>
  <si>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</si>
  <si>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</si>
  <si>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</si>
  <si>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</si>
  <si>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FARAZIKANDI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</si>
  <si>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</si>
  <si>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</si>
  <si>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FARIDGANJ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</si>
  <si>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</si>
  <si>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</si>
  <si>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GAZIPUR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</si>
  <si>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</si>
  <si>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</si>
  <si>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HAIMCHAR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</si>
  <si>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</si>
  <si>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</si>
  <si>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</si>
  <si>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</si>
  <si>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</si>
  <si>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</si>
  <si>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</si>
  <si>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</si>
  <si>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KHILA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</si>
  <si>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</si>
  <si>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</si>
  <si>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NUTUN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</si>
  <si>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</si>
  <si>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</si>
  <si>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MATLABGANJ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</si>
  <si>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</si>
  <si>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</si>
  <si>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NABIPUR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</si>
  <si>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</si>
  <si>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</si>
  <si>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NAORA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</si>
  <si>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</si>
  <si>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</si>
  <si>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PURAN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</si>
  <si>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</si>
  <si>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</si>
  <si>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RAHIMANAGAR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</si>
  <si>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</si>
  <si>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</si>
  <si>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SACHAR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</si>
  <si>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</si>
  <si>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</si>
  <si>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SENGAR CHAR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</si>
  <si>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</si>
  <si>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</si>
  <si>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SHAHRASTI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</si>
  <si>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</si>
  <si>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</si>
  <si>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SHOLOGHAR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</si>
  <si>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</si>
  <si>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</si>
  <si>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WARUK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</si>
  <si>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</si>
  <si>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</si>
  <si>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AGRABAD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</si>
  <si>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</si>
  <si>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</si>
  <si>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AMIN JUTE MILLS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</si>
  <si>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</si>
  <si>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</si>
  <si>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</si>
  <si>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</si>
  <si>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</si>
  <si>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ASAD 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</si>
  <si>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</si>
  <si>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</si>
  <si>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</si>
  <si>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</si>
  <si>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</si>
  <si>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BANSHKHALI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</si>
  <si>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</si>
  <si>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</si>
  <si>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BANUR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</si>
  <si>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</si>
  <si>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</si>
  <si>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</si>
  <si>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</si>
  <si>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</si>
  <si>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UTTAR PATENGA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</si>
  <si>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</si>
  <si>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</si>
  <si>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BOALKHALI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</si>
  <si>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</si>
  <si>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</si>
  <si>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C.D.A.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</si>
  <si>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</si>
  <si>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</si>
  <si>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C.U.E.T.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</si>
  <si>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</si>
  <si>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</si>
  <si>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</si>
  <si>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</si>
  <si>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</si>
  <si>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CHANDANAISH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</si>
  <si>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</si>
  <si>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</si>
  <si>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</si>
  <si>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</si>
  <si>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</si>
  <si>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CHITTAGONG CANTONMENT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</si>
  <si>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</si>
  <si>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</si>
  <si>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CHITTAGONG MEDICAL COLLEGE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</si>
  <si>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</si>
  <si>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</si>
  <si>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CHITTAGONG UREA FERTILIZER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</si>
  <si>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</si>
  <si>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</si>
  <si>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HILL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</si>
  <si>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</si>
  <si>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</si>
  <si>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CUSTOM HOUSE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</si>
  <si>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</si>
  <si>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</si>
  <si>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</si>
  <si>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</si>
  <si>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</si>
  <si>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</si>
  <si>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</si>
  <si>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</si>
  <si>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</si>
  <si>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</si>
  <si>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</si>
  <si>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HALISHAHAR HOUSING ESTATE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</si>
  <si>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</si>
  <si>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</si>
  <si>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</si>
  <si>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</si>
  <si>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</si>
  <si>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JAMAL KHAN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</si>
  <si>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</si>
  <si>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</si>
  <si>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LALDIGHI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</si>
  <si>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</si>
  <si>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</si>
  <si>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KAGATIAHAT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</si>
  <si>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</si>
  <si>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</si>
  <si>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KALARPOLE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</si>
  <si>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</si>
  <si>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</si>
  <si>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KALIBARI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</si>
  <si>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</si>
  <si>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</si>
  <si>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KALUMUNSHIR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</si>
  <si>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</si>
  <si>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</si>
  <si>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KALURGHAT INDUSTRIAL ESTATE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</si>
  <si>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</si>
  <si>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</si>
  <si>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KHAN BAHADUR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</si>
  <si>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</si>
  <si>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</si>
  <si>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</si>
  <si>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</si>
  <si>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</si>
  <si>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KORBANIGANJ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</si>
  <si>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</si>
  <si>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</si>
  <si>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CDA RESIDENTIAL AREA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</si>
  <si>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</si>
  <si>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</si>
  <si>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</si>
  <si>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</si>
  <si>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</si>
  <si>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MAJIR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</si>
  <si>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</si>
  <si>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</si>
  <si>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MARIAMNAGAR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</si>
  <si>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</si>
  <si>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</si>
  <si>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MARINE ACADEMY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</si>
  <si>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</si>
  <si>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</si>
  <si>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MIRSARAI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</si>
  <si>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</si>
  <si>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</si>
  <si>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MITAGOLI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</si>
  <si>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</si>
  <si>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</si>
  <si>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MOHAMMED TAKIR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</si>
  <si>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</si>
  <si>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</si>
  <si>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</si>
  <si>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</si>
  <si>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</si>
  <si>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N.A. CHOWDHURY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</si>
  <si>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</si>
  <si>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</si>
  <si>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SARKERHAT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</si>
  <si>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</si>
  <si>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</si>
  <si>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</si>
  <si>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</si>
  <si>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</si>
  <si>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NIZAMPUR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</si>
  <si>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</si>
  <si>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</si>
  <si>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PAHARTALI MAIN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</si>
  <si>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</si>
  <si>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</si>
  <si>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</si>
  <si>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</si>
  <si>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</si>
  <si>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</si>
  <si>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</si>
  <si>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</si>
  <si>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PORT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</si>
  <si>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</si>
  <si>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</si>
  <si>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RAILWAY BUILDING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</si>
  <si>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</si>
  <si>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</si>
  <si>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RANGUNIA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</si>
  <si>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</si>
  <si>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</si>
  <si>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</si>
  <si>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</si>
  <si>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</si>
  <si>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REAZUDDIN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</si>
  <si>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</si>
  <si>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</si>
  <si>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ROAZARHAT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</si>
  <si>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</si>
  <si>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</si>
  <si>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ROWSHAN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</si>
  <si>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</si>
  <si>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</si>
  <si>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RUSTOM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</si>
  <si>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</si>
  <si>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</si>
  <si>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</si>
  <si>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</si>
  <si>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</si>
  <si>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</si>
  <si>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</si>
  <si>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</si>
  <si>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</si>
  <si>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</si>
  <si>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</si>
  <si>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 AMANAT INT. AIR PORT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</si>
  <si>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</si>
  <si>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</si>
  <si>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SIRAJUDDOWLA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</si>
  <si>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</si>
  <si>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</si>
  <si>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</si>
  <si>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</si>
  <si>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</si>
  <si>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TERRI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</si>
  <si>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</si>
  <si>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</si>
  <si>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WAGE EARNERS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</si>
  <si>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</si>
  <si>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</si>
  <si>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</si>
  <si>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</si>
  <si>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</si>
  <si>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</si>
  <si>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</si>
  <si>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</si>
  <si>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DAMURHUDA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</si>
  <si>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</si>
  <si>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</si>
  <si>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DARSHANA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</si>
  <si>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</si>
  <si>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</si>
  <si>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DINGEDAH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</si>
  <si>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</si>
  <si>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</si>
  <si>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GOKUL KHALI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</si>
  <si>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</si>
  <si>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</si>
  <si>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 BOALIA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</si>
  <si>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</si>
  <si>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</si>
  <si>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JIBAN NAGAR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</si>
  <si>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</si>
  <si>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</si>
  <si>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</si>
  <si>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</si>
  <si>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</si>
  <si>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SARATGANJ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</si>
  <si>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</si>
  <si>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</si>
  <si>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UTHALI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</si>
  <si>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</si>
  <si>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</si>
  <si>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ADDA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</si>
  <si>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</si>
  <si>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</si>
  <si>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TITAS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</si>
  <si>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</si>
  <si>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</si>
  <si>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BARURA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</si>
  <si>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</si>
  <si>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</si>
  <si>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BHARASHAR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</si>
  <si>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</si>
  <si>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</si>
  <si>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BISE BIDG.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</si>
  <si>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</si>
  <si>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</si>
  <si>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BRAHMAN PARA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</si>
  <si>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</si>
  <si>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</si>
  <si>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BURICHANG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</si>
  <si>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</si>
  <si>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</si>
  <si>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</si>
  <si>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</si>
  <si>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</si>
  <si>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</si>
  <si>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</si>
  <si>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</si>
  <si>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COMILLA CANTONMENT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</si>
  <si>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</si>
  <si>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</si>
  <si>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COMILLA COORPORATE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</si>
  <si>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</si>
  <si>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</si>
  <si>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COMILLA SADAR DAKKHIN U.Z.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</si>
  <si>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</si>
  <si>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</si>
  <si>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</si>
  <si>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</si>
  <si>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</si>
  <si>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DAUDKANDI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</si>
  <si>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</si>
  <si>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</si>
  <si>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DAULATGANJ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</si>
  <si>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</si>
  <si>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</si>
  <si>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DEBIDWAR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</si>
  <si>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</si>
  <si>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</si>
  <si>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ELIOTGANJ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</si>
  <si>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</si>
  <si>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</si>
  <si>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GOURIPUR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</si>
  <si>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</si>
  <si>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</si>
  <si>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HOMNA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</si>
  <si>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</si>
  <si>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</si>
  <si>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KANGSHANAGAR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</si>
  <si>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</si>
  <si>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</si>
  <si>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KOTBARI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</si>
  <si>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</si>
  <si>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</si>
  <si>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MEGHNA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</si>
  <si>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</si>
  <si>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</si>
  <si>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MONOHARGONJ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</si>
  <si>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</si>
  <si>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</si>
  <si>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MURAD NAGAR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</si>
  <si>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</si>
  <si>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</si>
  <si>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NANGALKOT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</si>
  <si>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</si>
  <si>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</si>
  <si>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NOA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</si>
  <si>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</si>
  <si>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</si>
  <si>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PARAMTALA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</si>
  <si>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</si>
  <si>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</si>
  <si>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PAYALGACHA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</si>
  <si>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</si>
  <si>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</si>
  <si>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RAIPUR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</si>
  <si>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</si>
  <si>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</si>
  <si>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RAMMOHAN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</si>
  <si>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</si>
  <si>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</si>
  <si>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COMPANIGANJ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</si>
  <si>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</si>
  <si>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</si>
  <si>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SRIKAIL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</si>
  <si>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</si>
  <si>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</si>
  <si>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</si>
  <si>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</si>
  <si>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</si>
  <si>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SUAGAZI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</si>
  <si>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</si>
  <si>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</si>
  <si>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WAPDA BUILDING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</si>
  <si>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</si>
  <si>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</si>
  <si>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BADARKHALI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</si>
  <si>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</si>
  <si>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</si>
  <si>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</si>
  <si>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</si>
  <si>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</si>
  <si>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</si>
  <si>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</si>
  <si>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</si>
  <si>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DULHAZRA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</si>
  <si>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</si>
  <si>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</si>
  <si>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</si>
  <si>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</si>
  <si>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</si>
  <si>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KUTUBDIA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</si>
  <si>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</si>
  <si>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</si>
  <si>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MOHESHKHALI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</si>
  <si>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</si>
  <si>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</si>
  <si>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</si>
  <si>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</si>
  <si>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</si>
  <si>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TEKNAF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</si>
  <si>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</si>
  <si>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</si>
  <si>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UKHIYA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</si>
  <si>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</si>
  <si>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</si>
  <si>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AGARGAON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</si>
  <si>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</si>
  <si>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</si>
  <si>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</si>
  <si>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</si>
  <si>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</si>
  <si>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ASHULIA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</si>
  <si>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</si>
  <si>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</si>
  <si>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AWLAD HOSSAIN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</si>
  <si>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</si>
  <si>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</si>
  <si>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BADDA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</si>
  <si>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</si>
  <si>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</si>
  <si>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</si>
  <si>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</si>
  <si>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</si>
  <si>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BANANI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</si>
  <si>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</si>
  <si>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</si>
  <si>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</si>
  <si>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</si>
  <si>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</si>
  <si>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BAZME QUADERIA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</si>
  <si>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</si>
  <si>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</si>
  <si>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BEGUM ROKEYA SAWRANI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</si>
  <si>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</si>
  <si>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</si>
  <si>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COLLEGE 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</si>
  <si>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</si>
  <si>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</si>
  <si>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CUSTOM HOUSE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</si>
  <si>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</si>
  <si>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</si>
  <si>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DHAKA AIRPOT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</si>
  <si>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</si>
  <si>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</si>
  <si>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DHAKA CANTONMENT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</si>
  <si>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</si>
  <si>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</si>
  <si>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DHAKA EPZ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</si>
  <si>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</si>
  <si>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</si>
  <si>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DHAMRAI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</si>
  <si>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</si>
  <si>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</si>
  <si>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FARMGATE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</si>
  <si>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</si>
  <si>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</si>
  <si>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GANA BHABAN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</si>
  <si>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</si>
  <si>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</si>
  <si>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</si>
  <si>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</si>
  <si>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</si>
  <si>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</si>
  <si>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</si>
  <si>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</si>
  <si>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GULSHAN NEW NORTH CIRCLE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</si>
  <si>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</si>
  <si>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</si>
  <si>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HAZARIBAGH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</si>
  <si>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</si>
  <si>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</si>
  <si>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IBRAHIMPUR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</si>
  <si>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</si>
  <si>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</si>
  <si>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JATIO SANGSAD BHABAN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</si>
  <si>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</si>
  <si>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</si>
  <si>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JHIGATOLA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</si>
  <si>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</si>
  <si>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</si>
  <si>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</si>
  <si>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</si>
  <si>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</si>
  <si>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KALYAN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</si>
  <si>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</si>
  <si>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</si>
  <si>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</si>
  <si>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</si>
  <si>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</si>
  <si>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KRISHI BAZAR 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</si>
  <si>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</si>
  <si>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</si>
  <si>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KURMITOLA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</si>
  <si>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</si>
  <si>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</si>
  <si>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</si>
  <si>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</si>
  <si>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</si>
  <si>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LALMATIA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</si>
  <si>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</si>
  <si>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</si>
  <si>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MANIK MIAH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</si>
  <si>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</si>
  <si>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</si>
  <si>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MIRPUR 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</si>
  <si>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</si>
  <si>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</si>
  <si>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MIRPUR I/A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</si>
  <si>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</si>
  <si>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</si>
  <si>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MIRPUR SECTION-1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</si>
  <si>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</si>
  <si>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</si>
  <si>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MIRPUR SECTION-12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</si>
  <si>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</si>
  <si>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</si>
  <si>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</si>
  <si>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</si>
  <si>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</si>
  <si>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MOHAMMADPUR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</si>
  <si>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</si>
  <si>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</si>
  <si>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NAVAL H/Q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</si>
  <si>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</si>
  <si>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</si>
  <si>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NAYARHAT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</si>
  <si>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</si>
  <si>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</si>
  <si>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</si>
  <si>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</si>
  <si>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</si>
  <si>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PRIME MINISTER'S OFFICE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</si>
  <si>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</si>
  <si>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</si>
  <si>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PUBLIC ADM. TRAINING CENTRE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</si>
  <si>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</si>
  <si>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</si>
  <si>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RAGISTRATION COMPLEX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</si>
  <si>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</si>
  <si>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</si>
  <si>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</si>
  <si>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</si>
  <si>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</si>
  <si>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</si>
  <si>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</si>
  <si>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</si>
  <si>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SAVAR 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</si>
  <si>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</si>
  <si>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</si>
  <si>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SONARGOAN HOTEL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</si>
  <si>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</si>
  <si>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</si>
  <si>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TEJGAON INDUSTRIAL AREA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</si>
  <si>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</si>
  <si>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</si>
  <si>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UTTAR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</si>
  <si>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</si>
  <si>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</si>
  <si>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</si>
  <si>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</si>
  <si>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</si>
  <si>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HAZRAT SHAHJALA ® INTERNATIONAL AIR PORT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</si>
  <si>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</si>
  <si>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</si>
  <si>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</si>
  <si>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</si>
  <si>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</si>
  <si>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PANGAON INLAND CONTAINER TERMINAL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</si>
  <si>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</si>
  <si>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</si>
  <si>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AGLA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</si>
  <si>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</si>
  <si>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</si>
  <si>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AGRANI BALIKA BIDYALAYA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</si>
  <si>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</si>
  <si>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</si>
  <si>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ARMANITOLA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</si>
  <si>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</si>
  <si>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</si>
  <si>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</si>
  <si>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</si>
  <si>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</si>
  <si>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B. MADRASHA SHIKKHA BOARD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</si>
  <si>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</si>
  <si>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</si>
  <si>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B.I.S.E.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</si>
  <si>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</si>
  <si>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</si>
  <si>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B.U.E.T.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</si>
  <si>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</si>
  <si>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</si>
  <si>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</si>
  <si>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</si>
  <si>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</si>
  <si>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BAITUL MOKARRAM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</si>
  <si>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</si>
  <si>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</si>
  <si>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BANGA BANDHU NATIONAL STADIUM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</si>
  <si>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</si>
  <si>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</si>
  <si>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BANGA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</si>
  <si>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</si>
  <si>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</si>
  <si>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BANGABANDHU AVENUE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</si>
  <si>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</si>
  <si>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</si>
  <si>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BASHABOO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</si>
  <si>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</si>
  <si>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</si>
  <si>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BAWANI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</si>
  <si>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</si>
  <si>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</si>
  <si>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</si>
  <si>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</si>
  <si>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</si>
  <si>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CHURAIN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</si>
  <si>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</si>
  <si>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</si>
  <si>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DAYA 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</si>
  <si>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</si>
  <si>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</si>
  <si>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DHAKA SHERATON HOTEL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</si>
  <si>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</si>
  <si>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</si>
  <si>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DHAKA UNIVERSITY CAMPUS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</si>
  <si>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</si>
  <si>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</si>
  <si>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DILKUSHA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</si>
  <si>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</si>
  <si>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</si>
  <si>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DISTILARY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</si>
  <si>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</si>
  <si>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</si>
  <si>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DISTRICT COUNCIL HALL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</si>
  <si>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</si>
  <si>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</si>
  <si>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FAKIRAPOOL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</si>
  <si>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</si>
  <si>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</si>
  <si>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FARASHGANJ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</si>
  <si>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</si>
  <si>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</si>
  <si>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</si>
  <si>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</si>
  <si>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</si>
  <si>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GORAN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</si>
  <si>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</si>
  <si>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</si>
  <si>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</si>
  <si>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</si>
  <si>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</si>
  <si>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ISWAR CHANDRA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</si>
  <si>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</si>
  <si>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</si>
  <si>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</si>
  <si>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</si>
  <si>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</si>
  <si>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</si>
  <si>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</si>
  <si>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</si>
  <si>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</si>
  <si>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</si>
  <si>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</si>
  <si>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KALAKOPA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</si>
  <si>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</si>
  <si>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</si>
  <si>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KALATIA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</si>
  <si>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</si>
  <si>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</si>
  <si>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KAMALAPUR RAILWAY STATION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</si>
  <si>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</si>
  <si>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</si>
  <si>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</si>
  <si>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</si>
  <si>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</si>
  <si>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KHILGAON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</si>
  <si>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</si>
  <si>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</si>
  <si>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KRISHI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</si>
  <si>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</si>
  <si>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</si>
  <si>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LALBAGH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</si>
  <si>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</si>
  <si>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</si>
  <si>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LAXMI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</si>
  <si>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</si>
  <si>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</si>
  <si>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</si>
  <si>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</si>
  <si>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</si>
  <si>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</si>
  <si>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</si>
  <si>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</si>
  <si>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MITFORD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</si>
  <si>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</si>
  <si>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</si>
  <si>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</si>
  <si>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</si>
  <si>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</si>
  <si>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MOKIM KATRA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</si>
  <si>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</si>
  <si>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</si>
  <si>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N.C.T.B.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</si>
  <si>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</si>
  <si>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</si>
  <si>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NAGAR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</si>
  <si>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</si>
  <si>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</si>
  <si>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</si>
  <si>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</si>
  <si>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</si>
  <si>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</si>
  <si>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</si>
  <si>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</si>
  <si>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</si>
  <si>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</si>
  <si>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</si>
  <si>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NAZIMUDDIN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</si>
  <si>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</si>
  <si>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</si>
  <si>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NAZIRA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</si>
  <si>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</si>
  <si>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</si>
  <si>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NORTH SOUTH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</si>
  <si>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</si>
  <si>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</si>
  <si>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PALAM 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</si>
  <si>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</si>
  <si>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</si>
  <si>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POSTAGOLA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</si>
  <si>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</si>
  <si>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</si>
  <si>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RAJUK BHABAN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</si>
  <si>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</si>
  <si>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</si>
  <si>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RAMNA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</si>
  <si>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</si>
  <si>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</si>
  <si>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</si>
  <si>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</si>
  <si>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</si>
  <si>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RASULPUR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</si>
  <si>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</si>
  <si>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</si>
  <si>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RUHITPUR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</si>
  <si>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</si>
  <si>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</si>
  <si>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SADARGHAT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</si>
  <si>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</si>
  <si>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</si>
  <si>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SAIDABAD BUS TERMINAL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</si>
  <si>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</si>
  <si>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</si>
  <si>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SEGUN BAGICHA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</si>
  <si>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</si>
  <si>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</si>
  <si>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SHAHJAHANPUR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</si>
  <si>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</si>
  <si>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</si>
  <si>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SHILPA BHABAN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</si>
  <si>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</si>
  <si>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</si>
  <si>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SONARGAON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</si>
  <si>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</si>
  <si>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</si>
  <si>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SUPREME COURT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</si>
  <si>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</si>
  <si>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</si>
  <si>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URDU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</si>
  <si>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</si>
  <si>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</si>
  <si>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VIQUARUN NESA NOON SCHOOL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</si>
  <si>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</si>
  <si>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</si>
  <si>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WAGE EARNERS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</si>
  <si>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</si>
  <si>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</si>
  <si>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WAPDA BUILDING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</si>
  <si>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</si>
  <si>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</si>
  <si>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WARI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</si>
  <si>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</si>
  <si>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</si>
  <si>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AFTABGANJ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</si>
  <si>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</si>
  <si>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</si>
  <si>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BARAPUKURIA KAILA KHANI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</si>
  <si>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</si>
  <si>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</si>
  <si>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BHAVANIPUR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</si>
  <si>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</si>
  <si>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</si>
  <si>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BINNAKURI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</si>
  <si>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</si>
  <si>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</si>
  <si>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BIRAMPUR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</si>
  <si>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</si>
  <si>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</si>
  <si>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BIRGANJ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</si>
  <si>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</si>
  <si>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</si>
  <si>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BIROL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</si>
  <si>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</si>
  <si>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</si>
  <si>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CHIRIRBANDAR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</si>
  <si>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</si>
  <si>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</si>
  <si>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</si>
  <si>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</si>
  <si>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</si>
  <si>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DINAJPUR CORPORATE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</si>
  <si>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</si>
  <si>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</si>
  <si>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FARAKKABAD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</si>
  <si>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</si>
  <si>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</si>
  <si>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GHORAGHAT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</si>
  <si>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</si>
  <si>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</si>
  <si>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HAKIMPUR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</si>
  <si>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</si>
  <si>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</si>
  <si>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HUGLI PARA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</si>
  <si>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</si>
  <si>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</si>
  <si>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JOYNANDAHAT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</si>
  <si>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</si>
  <si>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</si>
  <si>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KACHINIAHAT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</si>
  <si>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</si>
  <si>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</si>
  <si>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KAHAROLE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</si>
  <si>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</si>
  <si>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</si>
  <si>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KHANSAMA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</si>
  <si>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</si>
  <si>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</si>
  <si>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MADHYAPARA HARD ROCK PROJECT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</si>
  <si>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</si>
  <si>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</si>
  <si>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MILL ROAD(SETABGANJ)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</si>
  <si>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</si>
  <si>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</si>
  <si>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</si>
  <si>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</si>
  <si>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</si>
  <si>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OSMANPUR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</si>
  <si>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</si>
  <si>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</si>
  <si>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PAKERHAT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</si>
  <si>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</si>
  <si>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</si>
  <si>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PARBATIPUR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</si>
  <si>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</si>
  <si>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</si>
  <si>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PHULBARI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</si>
  <si>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</si>
  <si>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</si>
  <si>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PULHAT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</si>
  <si>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</si>
  <si>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</si>
  <si>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RANIGANJ BAZAR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</si>
  <si>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</si>
  <si>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</si>
  <si>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SETABGANJ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</si>
  <si>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</si>
  <si>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</si>
  <si>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SHAHID MAHBUB CANTON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</si>
  <si>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</si>
  <si>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</si>
  <si>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SHEIKPURA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</si>
  <si>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</si>
  <si>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</si>
  <si>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</si>
  <si>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</si>
  <si>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</si>
  <si>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SUIHARI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</si>
  <si>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</si>
  <si>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</si>
  <si>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ALFADANGA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</si>
  <si>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</si>
  <si>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</si>
  <si>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</si>
  <si>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</si>
  <si>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</si>
  <si>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BISWA ZAKER MANJIL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</si>
  <si>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</si>
  <si>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</si>
  <si>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BOALMARI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</si>
  <si>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</si>
  <si>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</si>
  <si>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 BHADRASAN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</si>
  <si>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</si>
  <si>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</si>
  <si>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</si>
  <si>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</si>
  <si>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</si>
  <si>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</si>
  <si>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</si>
  <si>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</si>
  <si>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GOALCHAMAT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</si>
  <si>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</si>
  <si>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</si>
  <si>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HAJI GANJ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</si>
  <si>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</si>
  <si>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</si>
  <si>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HATKRISHNAPUR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</si>
  <si>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</si>
  <si>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</si>
  <si>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KAMARKHALI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</si>
  <si>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</si>
  <si>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</si>
  <si>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KANAIPUR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</si>
  <si>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</si>
  <si>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</si>
  <si>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KHALILPUR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</si>
  <si>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</si>
  <si>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</si>
  <si>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MADHU KHALI UPA-ZILLA COMPLEX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</si>
  <si>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</si>
  <si>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</si>
  <si>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MADHUKHALI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</si>
  <si>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</si>
  <si>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</si>
  <si>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MOYENDIA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</si>
  <si>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</si>
  <si>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</si>
  <si>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NAGARKANDA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</si>
  <si>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</si>
  <si>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</si>
  <si>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SADAR UPAZILA COMPLEX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</si>
  <si>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</si>
  <si>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</si>
  <si>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SADARPUR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</si>
  <si>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</si>
  <si>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</si>
  <si>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SALTA BAZAR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</si>
  <si>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</si>
  <si>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</si>
  <si>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SHIRGRAM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</si>
  <si>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</si>
  <si>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</si>
  <si>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TALMA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</si>
  <si>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</si>
  <si>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</si>
  <si>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TEPAKHOLA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</si>
  <si>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</si>
  <si>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</si>
  <si>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BAKTERMUNSHI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</si>
  <si>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</si>
  <si>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</si>
  <si>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CHHAGALNAIYA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</si>
  <si>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</si>
  <si>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</si>
  <si>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DAGANBHUIYAN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</si>
  <si>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</si>
  <si>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</si>
  <si>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</si>
  <si>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</si>
  <si>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</si>
  <si>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FULGAZI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</si>
  <si>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</si>
  <si>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</si>
  <si>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GUTHUMA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</si>
  <si>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</si>
  <si>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</si>
  <si>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ISLAMPUR ROAD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</si>
  <si>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</si>
  <si>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</si>
  <si>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LASKARHAT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</si>
  <si>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</si>
  <si>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</si>
  <si>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LEMUA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</si>
  <si>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</si>
  <si>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</si>
  <si>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MATIAGODHA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</si>
  <si>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</si>
  <si>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</si>
  <si>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MOHIPAL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</si>
  <si>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</si>
  <si>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</si>
  <si>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MUNSHIRHAT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</si>
  <si>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</si>
  <si>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</si>
  <si>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PANCHGACHIA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</si>
  <si>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</si>
  <si>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</si>
  <si>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PARSHURAM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</si>
  <si>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</si>
  <si>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</si>
  <si>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SADAR UPAZILA COMPLEX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</si>
  <si>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</si>
  <si>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</si>
  <si>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SELONIA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</si>
  <si>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</si>
  <si>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</si>
  <si>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SONAGAZI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</si>
  <si>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</si>
  <si>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</si>
  <si>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BHARATKHALI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</si>
  <si>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</si>
  <si>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</si>
  <si>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BIRATHAT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</si>
  <si>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</si>
  <si>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</si>
  <si>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BONARPARA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</si>
  <si>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</si>
  <si>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</si>
  <si>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FASHITALA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</si>
  <si>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</si>
  <si>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</si>
  <si>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FULCHARI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</si>
  <si>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</si>
  <si>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</si>
  <si>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</si>
  <si>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</si>
  <si>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</si>
  <si>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</si>
  <si>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</si>
  <si>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</si>
  <si>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KAMARJANI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</si>
  <si>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</si>
  <si>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</si>
  <si>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KAMDIA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</si>
  <si>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</si>
  <si>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</si>
  <si>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D.B. ROAD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</si>
  <si>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</si>
  <si>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</si>
  <si>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MOHIMAGANJ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</si>
  <si>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</si>
  <si>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</si>
  <si>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PALASHBARI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</si>
  <si>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</si>
  <si>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</si>
  <si>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PURAN BAZAR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</si>
  <si>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</si>
  <si>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</si>
  <si>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SADULLAPUR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</si>
  <si>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</si>
  <si>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</si>
  <si>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SAGHATTA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</si>
  <si>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</si>
  <si>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</si>
  <si>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SUNDARGANJ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</si>
  <si>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</si>
  <si>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</si>
  <si>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B.A.R.I.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</si>
  <si>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</si>
  <si>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</si>
  <si>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BARMIBAZAR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</si>
  <si>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</si>
  <si>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</si>
  <si>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BHAWAL JAMALPUR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</si>
  <si>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</si>
  <si>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</si>
  <si>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BOF GAZIPUR CANTT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</si>
  <si>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</si>
  <si>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</si>
  <si>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BRRI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</si>
  <si>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</si>
  <si>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</si>
  <si>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BSCIC I/A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</si>
  <si>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</si>
  <si>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</si>
  <si>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BSMR AGR.UNIVERSITY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</si>
  <si>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</si>
  <si>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</si>
  <si>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GAZIPUR COURT BUILDING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</si>
  <si>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</si>
  <si>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</si>
  <si>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GAZIPUR SADAR THANA COMPLEX-2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</si>
  <si>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</si>
  <si>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</si>
  <si>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JATIO BISWA BIDYALAYA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</si>
  <si>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</si>
  <si>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</si>
  <si>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</si>
  <si>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</si>
  <si>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</si>
  <si>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KALIAKOIR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</si>
  <si>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</si>
  <si>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</si>
  <si>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</si>
  <si>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</si>
  <si>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</si>
  <si>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</si>
  <si>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</si>
  <si>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</si>
  <si>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PUBAIL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</si>
  <si>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</si>
  <si>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</si>
  <si>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RAJENDRAPUR CANTONMENT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</si>
  <si>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</si>
  <si>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</si>
  <si>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SHAFIPUR ANSAR ACADEMY COMPLEX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</si>
  <si>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</si>
  <si>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</si>
  <si>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SINGHOSREE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</si>
  <si>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</si>
  <si>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</si>
  <si>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SREEPUR THANA H/Q.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</si>
  <si>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</si>
  <si>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</si>
  <si>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</si>
  <si>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</si>
  <si>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</si>
  <si>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</si>
  <si>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</si>
  <si>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</si>
  <si>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TONGI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</si>
  <si>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</si>
  <si>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</si>
  <si>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BANAGRAM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</si>
  <si>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</si>
  <si>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</si>
  <si>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BASHBARIA BAZAR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</si>
  <si>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</si>
  <si>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</si>
  <si>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BHATIA 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</si>
  <si>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</si>
  <si>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</si>
  <si>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BOULTALI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</si>
  <si>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</si>
  <si>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</si>
  <si>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GHAGORE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</si>
  <si>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</si>
  <si>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</si>
  <si>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</si>
  <si>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</si>
  <si>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</si>
  <si>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KASHIANI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</si>
  <si>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</si>
  <si>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</si>
  <si>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D.C. COMPLEX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</si>
  <si>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</si>
  <si>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</si>
  <si>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MUKSUDPUR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</si>
  <si>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</si>
  <si>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</si>
  <si>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PANCHURIA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</si>
  <si>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</si>
  <si>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</si>
  <si>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PATGATI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</si>
  <si>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</si>
  <si>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</si>
  <si>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</si>
  <si>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</si>
  <si>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</si>
  <si>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AJMIRIGANJ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</si>
  <si>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</si>
  <si>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</si>
  <si>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AUSHKANDI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</si>
  <si>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</si>
  <si>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</si>
  <si>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BAHUBAL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</si>
  <si>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</si>
  <si>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</si>
  <si>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BANIACHANG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</si>
  <si>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</si>
  <si>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</si>
  <si>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CHOWDHURIBAZAR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</si>
  <si>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</si>
  <si>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</si>
  <si>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CHUNARUGHAT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</si>
  <si>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</si>
  <si>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</si>
  <si>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ENAYETGANJ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</si>
  <si>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</si>
  <si>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</si>
  <si>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</si>
  <si>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</si>
  <si>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</si>
  <si>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KAKAILCHEO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</si>
  <si>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</si>
  <si>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</si>
  <si>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LAKHAI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</si>
  <si>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</si>
  <si>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</si>
  <si>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</si>
  <si>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</si>
  <si>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</si>
  <si>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</si>
  <si>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</si>
  <si>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</si>
  <si>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SHAYESTAGANJ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</si>
  <si>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</si>
  <si>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</si>
  <si>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AKKELPUR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</si>
  <si>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</si>
  <si>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</si>
  <si>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HATIL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</si>
  <si>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</si>
  <si>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</si>
  <si>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</si>
  <si>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</si>
  <si>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</si>
  <si>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JOYPURHAT EAST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</si>
  <si>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</si>
  <si>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</si>
  <si>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</si>
  <si>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</si>
  <si>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</si>
  <si>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KHETLAL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</si>
  <si>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</si>
  <si>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</si>
  <si>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PANCHBIBI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</si>
  <si>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</si>
  <si>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</si>
  <si>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PUNATHAT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</si>
  <si>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</si>
  <si>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</si>
  <si>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BAKSHIGANJ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</si>
  <si>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</si>
  <si>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</si>
  <si>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BSCIC INDUSTRIAL ESTATE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</si>
  <si>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</si>
  <si>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</si>
  <si>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CHAPARKONA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</si>
  <si>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</si>
  <si>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</si>
  <si>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DEWANGANJ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</si>
  <si>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</si>
  <si>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</si>
  <si>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DEWANGANJ SUGAR MILLS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</si>
  <si>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</si>
  <si>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</si>
  <si>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HAZRA BARI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</si>
  <si>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</si>
  <si>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</si>
  <si>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</si>
  <si>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</si>
  <si>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</si>
  <si>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</si>
  <si>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</si>
  <si>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</si>
  <si>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JAMALPUR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</si>
  <si>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</si>
  <si>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</si>
  <si>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JAMUNA SARKARKHANA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</si>
  <si>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</si>
  <si>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</si>
  <si>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BORO MASJID ROAD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</si>
  <si>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</si>
  <si>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</si>
  <si>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MADARGANJ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</si>
  <si>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</si>
  <si>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</si>
  <si>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MEDICAL ROAD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</si>
  <si>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</si>
  <si>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</si>
  <si>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MELANDAH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</si>
  <si>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</si>
  <si>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</si>
  <si>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NANDINA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</si>
  <si>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</si>
  <si>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</si>
  <si>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SANANDABARI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</si>
  <si>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</si>
  <si>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</si>
  <si>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SARISHABARI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</si>
  <si>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</si>
  <si>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</si>
  <si>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SARISHABARI UPAZILLA COMPLEX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</si>
  <si>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</si>
  <si>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</si>
  <si>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SREEPUR KUMARIA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</si>
  <si>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</si>
  <si>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</si>
  <si>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ALPHA MILL GATE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</si>
  <si>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</si>
  <si>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</si>
  <si>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B.I.S.E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</si>
  <si>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</si>
  <si>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</si>
  <si>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BAGACHARA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</si>
  <si>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</si>
  <si>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</si>
  <si>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BAGHERPARA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</si>
  <si>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</si>
  <si>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</si>
  <si>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BARI NAGAR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</si>
  <si>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</si>
  <si>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</si>
  <si>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BASUNDIA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</si>
  <si>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</si>
  <si>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</si>
  <si>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</si>
  <si>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</si>
  <si>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</si>
  <si>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BHATPARA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</si>
  <si>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</si>
  <si>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</si>
  <si>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CHARAVITA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</si>
  <si>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</si>
  <si>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</si>
  <si>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CHINATOLA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</si>
  <si>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</si>
  <si>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</si>
  <si>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CHOWGACHA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</si>
  <si>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</si>
  <si>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</si>
  <si>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CHURAMANKATHI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</si>
  <si>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</si>
  <si>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</si>
  <si>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DHALAGRAM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</si>
  <si>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</si>
  <si>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</si>
  <si>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GARIB SHAH SARAK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</si>
  <si>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</si>
  <si>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</si>
  <si>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J. CANTONMENT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</si>
  <si>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</si>
  <si>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</si>
  <si>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JESSORE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</si>
  <si>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</si>
  <si>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</si>
  <si>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JESSORE CORPORATE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</si>
  <si>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</si>
  <si>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</si>
  <si>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JHIKARGACHA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</si>
  <si>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</si>
  <si>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</si>
  <si>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KARBALA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</si>
  <si>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</si>
  <si>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</si>
  <si>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KESHABPUR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</si>
  <si>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</si>
  <si>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</si>
  <si>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KHAJURA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</si>
  <si>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</si>
  <si>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</si>
  <si>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MONIRAMPUR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</si>
  <si>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</si>
  <si>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</si>
  <si>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NARIKEL BARIA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</si>
  <si>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</si>
  <si>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</si>
  <si>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</si>
  <si>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</si>
  <si>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</si>
  <si>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PAR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</si>
  <si>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</si>
  <si>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</si>
  <si>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PURAPARA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</si>
  <si>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</si>
  <si>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</si>
  <si>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R.N. ROAD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</si>
  <si>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</si>
  <si>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</si>
  <si>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RAILGATE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</si>
  <si>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</si>
  <si>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</si>
  <si>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</si>
  <si>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</si>
  <si>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</si>
  <si>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RUPDIA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</si>
  <si>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</si>
  <si>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</si>
  <si>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SAGARDI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</si>
  <si>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</si>
  <si>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</si>
  <si>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SALUA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</si>
  <si>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</si>
  <si>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</si>
  <si>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SARSHA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</si>
  <si>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</si>
  <si>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</si>
  <si>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TRIMOHINI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</si>
  <si>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</si>
  <si>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</si>
  <si>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ULASHI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</si>
  <si>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</si>
  <si>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</si>
  <si>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JHAL.COURT BUILDING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</si>
  <si>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</si>
  <si>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</si>
  <si>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KATHALIA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</si>
  <si>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</si>
  <si>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</si>
  <si>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MOLLARHAT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</si>
  <si>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</si>
  <si>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</si>
  <si>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NACHAN MAHAL HAT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</si>
  <si>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</si>
  <si>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</si>
  <si>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NALCHITY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</si>
  <si>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</si>
  <si>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</si>
  <si>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RAJAPUR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</si>
  <si>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</si>
  <si>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</si>
  <si>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BARO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</si>
  <si>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</si>
  <si>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</si>
  <si>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BORODOPADI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</si>
  <si>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</si>
  <si>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</si>
  <si>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GARAGANJ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</si>
  <si>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</si>
  <si>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</si>
  <si>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HARINAKUNDA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</si>
  <si>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</si>
  <si>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</si>
  <si>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HATGOPALPUR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</si>
  <si>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</si>
  <si>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</si>
  <si>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</si>
  <si>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</si>
  <si>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</si>
  <si>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ARAPPUR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</si>
  <si>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</si>
  <si>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</si>
  <si>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KALIGANJ-2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</si>
  <si>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</si>
  <si>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</si>
  <si>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KOLA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</si>
  <si>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</si>
  <si>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</si>
  <si>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KOTCHANDPUR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</si>
  <si>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</si>
  <si>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</si>
  <si>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MOBARAKGANJ SUGAR MILLS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</si>
  <si>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</si>
  <si>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</si>
  <si>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MODHUPUR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</si>
  <si>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</si>
  <si>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</si>
  <si>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MOHESHPUR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</si>
  <si>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</si>
  <si>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</si>
  <si>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RABINARIKAL BARIA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</si>
  <si>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</si>
  <si>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</si>
  <si>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SAILKUPA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</si>
  <si>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</si>
  <si>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</si>
  <si>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SHAEIKHPARA BAZAR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</si>
  <si>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</si>
  <si>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</si>
  <si>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DIGHINALA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</si>
  <si>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</si>
  <si>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</si>
  <si>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</si>
  <si>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</si>
  <si>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</si>
  <si>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LAXMICHARI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</si>
  <si>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</si>
  <si>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</si>
  <si>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MAHALCHARI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</si>
  <si>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</si>
  <si>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</si>
  <si>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MANIKCHARI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</si>
  <si>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</si>
  <si>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</si>
  <si>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MATIRANGA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</si>
  <si>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</si>
  <si>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</si>
  <si>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PANCHARI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</si>
  <si>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</si>
  <si>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</si>
  <si>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RAMGARH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</si>
  <si>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</si>
  <si>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</si>
  <si>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BANIAKHALI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</si>
  <si>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</si>
  <si>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</si>
  <si>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BATIAGHATA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</si>
  <si>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</si>
  <si>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</si>
  <si>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BOYRA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</si>
  <si>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</si>
  <si>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</si>
  <si>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CABLE SHILPA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</si>
  <si>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</si>
  <si>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</si>
  <si>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CHALNA BAZAR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</si>
  <si>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</si>
  <si>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</si>
  <si>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CUSTOM HOUSE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</si>
  <si>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</si>
  <si>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</si>
  <si>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</si>
  <si>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</si>
  <si>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</si>
  <si>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DAULATPUR COLLEGE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</si>
  <si>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</si>
  <si>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</si>
  <si>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DIGHALIA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</si>
  <si>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</si>
  <si>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</si>
  <si>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DUMURIA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</si>
  <si>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</si>
  <si>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</si>
  <si>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FULBARI GATE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</si>
  <si>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</si>
  <si>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</si>
  <si>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K.D.A. NEW MARKET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</si>
  <si>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</si>
  <si>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</si>
  <si>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KAZDIA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</si>
  <si>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</si>
  <si>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</si>
  <si>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KHALISHPUR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</si>
  <si>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</si>
  <si>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</si>
  <si>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KHULNA CORPORATE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</si>
  <si>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</si>
  <si>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</si>
  <si>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KHULNA SHIPYARD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</si>
  <si>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</si>
  <si>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</si>
  <si>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KOYRA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</si>
  <si>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</si>
  <si>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</si>
  <si>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PAIKGACHA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</si>
  <si>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</si>
  <si>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</si>
  <si>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PHULTALA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</si>
  <si>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</si>
  <si>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</si>
  <si>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SOUTH CENTRAL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</si>
  <si>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</si>
  <si>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</si>
  <si>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</si>
  <si>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</si>
  <si>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</si>
  <si>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SIR IQBAL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</si>
  <si>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</si>
  <si>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</si>
  <si>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TEROKHADA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</si>
  <si>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</si>
  <si>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</si>
  <si>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AUSTAGRAM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</si>
  <si>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</si>
  <si>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</si>
  <si>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BAJITPUR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</si>
  <si>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</si>
  <si>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</si>
  <si>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BHAIRAB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</si>
  <si>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</si>
  <si>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</si>
  <si>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CHHAYSUTI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</si>
  <si>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</si>
  <si>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</si>
  <si>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DOMRA KANDA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</si>
  <si>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</si>
  <si>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</si>
  <si>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HOSSAINPUR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</si>
  <si>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</si>
  <si>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</si>
  <si>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ITNA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</si>
  <si>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</si>
  <si>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</si>
  <si>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KALIA CHAPRA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</si>
  <si>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</si>
  <si>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</si>
  <si>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KARIMGANJ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</si>
  <si>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</si>
  <si>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</si>
  <si>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KATIADI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</si>
  <si>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</si>
  <si>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</si>
  <si>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</si>
  <si>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</si>
  <si>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</si>
  <si>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KULIAR CHAR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</si>
  <si>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</si>
  <si>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</si>
  <si>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MITAMAIN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</si>
  <si>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</si>
  <si>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</si>
  <si>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</si>
  <si>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</si>
  <si>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</si>
  <si>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NIKLI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</si>
  <si>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</si>
  <si>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</si>
  <si>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PAKUNDIA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</si>
  <si>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</si>
  <si>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</si>
  <si>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TARAIL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</si>
  <si>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</si>
  <si>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</si>
  <si>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BHURUNGAMARI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</si>
  <si>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</si>
  <si>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</si>
  <si>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CHILMARI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</si>
  <si>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</si>
  <si>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</si>
  <si>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FULBARI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</si>
  <si>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</si>
  <si>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</si>
  <si>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</si>
  <si>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</si>
  <si>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</si>
  <si>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NAGESWARI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</si>
  <si>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</si>
  <si>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</si>
  <si>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RAJARHAT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</si>
  <si>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</si>
  <si>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</si>
  <si>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RAJIBPUR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</si>
  <si>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</si>
  <si>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</si>
  <si>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ROWMARI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</si>
  <si>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</si>
  <si>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</si>
  <si>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ULIPUR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</si>
  <si>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</si>
  <si>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</si>
  <si>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AMLA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</si>
  <si>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</si>
  <si>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</si>
  <si>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</si>
  <si>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</si>
  <si>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</si>
  <si>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BHERAMARA POWER STATION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</si>
  <si>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</si>
  <si>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</si>
  <si>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</si>
  <si>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</si>
  <si>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</si>
  <si>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</si>
  <si>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</si>
  <si>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</si>
  <si>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DUHAKULA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</si>
  <si>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</si>
  <si>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</si>
  <si>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EKTARPURHAT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</si>
  <si>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</si>
  <si>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</si>
  <si>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HALSHA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</si>
  <si>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</si>
  <si>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</si>
  <si>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HARINARAYANPUR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</si>
  <si>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</si>
  <si>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</si>
  <si>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KAYA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</si>
  <si>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</si>
  <si>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</si>
  <si>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KHOKSA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</si>
  <si>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</si>
  <si>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</si>
  <si>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KUMARKHALI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</si>
  <si>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</si>
  <si>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</si>
  <si>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KUMARKHALI UPAZILLA COMPLEX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</si>
  <si>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</si>
  <si>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</si>
  <si>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</si>
  <si>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</si>
  <si>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</si>
  <si>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KUSHTIA SUGAR MILLS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</si>
  <si>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</si>
  <si>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</si>
  <si>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</si>
  <si>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</si>
  <si>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</si>
  <si>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MODHUPUR BAZAR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</si>
  <si>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</si>
  <si>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</si>
  <si>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N.S. ROAD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</si>
  <si>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</si>
  <si>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</si>
  <si>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NANDALALPUR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</si>
  <si>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</si>
  <si>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</si>
  <si>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PASHCHIM ABDALPUR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</si>
  <si>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</si>
  <si>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</si>
  <si>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PORADAH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</si>
  <si>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</si>
  <si>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</si>
  <si>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SHOMOSHPUR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</si>
  <si>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</si>
  <si>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</si>
  <si>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BHABANIGANJ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</si>
  <si>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</si>
  <si>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</si>
  <si>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</si>
  <si>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</si>
  <si>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</si>
  <si>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 ALEXANDER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</si>
  <si>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</si>
  <si>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</si>
  <si>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 LAWRENCE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</si>
  <si>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</si>
  <si>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</si>
  <si>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 SITA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</si>
  <si>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</si>
  <si>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</si>
  <si>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HAIDERGANJ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</si>
  <si>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</si>
  <si>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</si>
  <si>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KAMALNAGAR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</si>
  <si>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</si>
  <si>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</si>
  <si>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KANCHANPUR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</si>
  <si>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</si>
  <si>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</si>
  <si>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</si>
  <si>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</si>
  <si>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</si>
  <si>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</si>
  <si>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</si>
  <si>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</si>
  <si>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RAKHALIA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</si>
  <si>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</si>
  <si>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</si>
  <si>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</si>
  <si>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</si>
  <si>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</si>
  <si>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ADITMARI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</si>
  <si>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</si>
  <si>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</si>
  <si>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KAKINA BAZAR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</si>
  <si>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</si>
  <si>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</si>
  <si>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BARABARIHAT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</si>
  <si>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</si>
  <si>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</si>
  <si>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BURIMARI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</si>
  <si>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</si>
  <si>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</si>
  <si>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HATIBANDA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</si>
  <si>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</si>
  <si>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</si>
  <si>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</si>
  <si>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</si>
  <si>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</si>
  <si>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</si>
  <si>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</si>
  <si>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</si>
  <si>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MOHISHKHOCHA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</si>
  <si>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</si>
  <si>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</si>
  <si>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PATGRAM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</si>
  <si>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</si>
  <si>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</si>
  <si>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CHARMUGURIA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</si>
  <si>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</si>
  <si>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</si>
  <si>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DATTAPARA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</si>
  <si>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</si>
  <si>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</si>
  <si>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KALKINI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</si>
  <si>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</si>
  <si>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</si>
  <si>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KULPADDI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</si>
  <si>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</si>
  <si>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</si>
  <si>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PAURASHAVA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</si>
  <si>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</si>
  <si>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</si>
  <si>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</si>
  <si>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</si>
  <si>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</si>
  <si>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MILL GATE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</si>
  <si>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</si>
  <si>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</si>
  <si>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RAJOIR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</si>
  <si>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</si>
  <si>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</si>
  <si>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</si>
  <si>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</si>
  <si>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</si>
  <si>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</si>
  <si>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</si>
  <si>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</si>
  <si>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BUNAGATI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</si>
  <si>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</si>
  <si>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</si>
  <si>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PURATAN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</si>
  <si>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</si>
  <si>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</si>
  <si>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</si>
  <si>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</si>
  <si>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</si>
  <si>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</si>
  <si>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</si>
  <si>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</si>
  <si>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NATUN BAZAR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</si>
  <si>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</si>
  <si>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</si>
  <si>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SHALIKHA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</si>
  <si>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</si>
  <si>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</si>
  <si>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</si>
  <si>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</si>
  <si>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</si>
  <si>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BALIRTEK BAZAR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</si>
  <si>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</si>
  <si>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</si>
  <si>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CHANDAHAR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</si>
  <si>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</si>
  <si>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</si>
  <si>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DARAGRAM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</si>
  <si>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</si>
  <si>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</si>
  <si>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</si>
  <si>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</si>
  <si>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</si>
  <si>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GHIOR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</si>
  <si>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</si>
  <si>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</si>
  <si>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HARIRAMPUR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</si>
  <si>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</si>
  <si>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</si>
  <si>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</si>
  <si>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</si>
  <si>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</si>
  <si>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MANIKGANJ UPAZILA COMPLEX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</si>
  <si>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</si>
  <si>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</si>
  <si>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SATURIA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</si>
  <si>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</si>
  <si>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</si>
  <si>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SHIBALAYA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</si>
  <si>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</si>
  <si>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</si>
  <si>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</si>
  <si>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</si>
  <si>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</si>
  <si>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AMJHUPI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</si>
  <si>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</si>
  <si>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</si>
  <si>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GANGNI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</si>
  <si>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</si>
  <si>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</si>
  <si>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GANGNI THANA PARISAD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</si>
  <si>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</si>
  <si>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</si>
  <si>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GARADOB BAZAR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</si>
  <si>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</si>
  <si>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</si>
  <si>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JOREPUKURIA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</si>
  <si>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</si>
  <si>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</si>
  <si>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</si>
  <si>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</si>
  <si>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</si>
  <si>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MEHERPUR COURT BUILDING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</si>
  <si>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</si>
  <si>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</si>
  <si>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MUJIB NAGAR UPAZILLA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</si>
  <si>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</si>
  <si>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</si>
  <si>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</si>
  <si>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</si>
  <si>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</si>
  <si>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BHAIRABGONJ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</si>
  <si>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</si>
  <si>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</si>
  <si>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CHADNIGHAT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</si>
  <si>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</si>
  <si>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</si>
  <si>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CHANDGRAM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</si>
  <si>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</si>
  <si>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</si>
  <si>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SADAR UPAZILA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</si>
  <si>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</si>
  <si>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</si>
  <si>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</si>
  <si>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</si>
  <si>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</si>
  <si>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JURI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</si>
  <si>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</si>
  <si>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</si>
  <si>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KADAMHATA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</si>
  <si>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</si>
  <si>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</si>
  <si>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KAMALGANJ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</si>
  <si>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</si>
  <si>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</si>
  <si>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KAMALPUR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</si>
  <si>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</si>
  <si>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</si>
  <si>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</si>
  <si>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</si>
  <si>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</si>
  <si>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ROAD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</si>
  <si>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</si>
  <si>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</si>
  <si>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</si>
  <si>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</si>
  <si>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</si>
  <si>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MUNSHI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</si>
  <si>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</si>
  <si>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</si>
  <si>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PHULERTAL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</si>
  <si>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</si>
  <si>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</si>
  <si>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</si>
  <si>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</si>
  <si>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</si>
  <si>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SARKER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</si>
  <si>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</si>
  <si>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</si>
  <si>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SATGAON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</si>
  <si>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</si>
  <si>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</si>
  <si>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SHABAJPUR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</si>
  <si>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</si>
  <si>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</si>
  <si>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SHAMSHER NAGAR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</si>
  <si>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</si>
  <si>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</si>
  <si>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</si>
  <si>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</si>
  <si>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</si>
  <si>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TARAPASHA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</si>
  <si>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</si>
  <si>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</si>
  <si>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BALURCHAR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</si>
  <si>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</si>
  <si>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</si>
  <si>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BASAIL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</si>
  <si>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</si>
  <si>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</si>
  <si>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BHABER 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</si>
  <si>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</si>
  <si>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</si>
  <si>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DIGHALI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</si>
  <si>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</si>
  <si>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</si>
  <si>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GAZARIA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</si>
  <si>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</si>
  <si>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</si>
  <si>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HALDIA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</si>
  <si>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</si>
  <si>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</si>
  <si>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KEYAIN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</si>
  <si>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</si>
  <si>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</si>
  <si>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MAOWA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</si>
  <si>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</si>
  <si>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</si>
  <si>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</si>
  <si>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</si>
  <si>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</si>
  <si>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REKABI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</si>
  <si>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</si>
  <si>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</si>
  <si>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</si>
  <si>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</si>
  <si>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</si>
  <si>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SHEKHAR 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</si>
  <si>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</si>
  <si>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</si>
  <si>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SIRAJDHI KHAN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</si>
  <si>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</si>
  <si>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</si>
  <si>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</si>
  <si>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</si>
  <si>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</si>
  <si>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SUKHBAS PUR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</si>
  <si>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</si>
  <si>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</si>
  <si>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TALTALA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</si>
  <si>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</si>
  <si>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</si>
  <si>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TONGI BARI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</si>
  <si>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</si>
  <si>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</si>
  <si>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ASSIM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</si>
  <si>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</si>
  <si>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</si>
  <si>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JATIO KABI KAZI NAZRUL ISLAM UNIVERSITY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</si>
  <si>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</si>
  <si>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</si>
  <si>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BALIA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</si>
  <si>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</si>
  <si>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</si>
  <si>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</si>
  <si>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</si>
  <si>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</si>
  <si>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BINA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</si>
  <si>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</si>
  <si>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</si>
  <si>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SHAMBHUGONJ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</si>
  <si>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</si>
  <si>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</si>
  <si>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DHUBAURA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</si>
  <si>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</si>
  <si>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</si>
  <si>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</si>
  <si>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</si>
  <si>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</si>
  <si>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FULPUR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</si>
  <si>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</si>
  <si>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</si>
  <si>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GAFFARGAON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</si>
  <si>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</si>
  <si>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</si>
  <si>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</si>
  <si>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</si>
  <si>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</si>
  <si>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GOYESHPUR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</si>
  <si>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</si>
  <si>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</si>
  <si>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HALUAGHAT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</si>
  <si>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</si>
  <si>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</si>
  <si>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ISHWARGANJ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</si>
  <si>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</si>
  <si>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</si>
  <si>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KESHOREGANJ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</si>
  <si>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</si>
  <si>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</si>
  <si>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MATSHA GABESHANA INSTITUTE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</si>
  <si>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</si>
  <si>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</si>
  <si>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MUKTAGACHA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</si>
  <si>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</si>
  <si>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</si>
  <si>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</si>
  <si>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</si>
  <si>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</si>
  <si>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MYMENSINGH BUSINESS CENTER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</si>
  <si>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</si>
  <si>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</si>
  <si>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NANDAIL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</si>
  <si>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</si>
  <si>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</si>
  <si>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KALIBARI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</si>
  <si>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</si>
  <si>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</si>
  <si>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</si>
  <si>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</si>
  <si>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</si>
  <si>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TARAKANDA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</si>
  <si>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</si>
  <si>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</si>
  <si>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TARERGHAT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</si>
  <si>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</si>
  <si>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</si>
  <si>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TRISHAL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</si>
  <si>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</si>
  <si>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</si>
  <si>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ABADPUKURHAT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</si>
  <si>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</si>
  <si>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</si>
  <si>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ATRAI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</si>
  <si>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</si>
  <si>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</si>
  <si>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BADALGACHI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</si>
  <si>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</si>
  <si>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</si>
  <si>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BHANDERPUR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</si>
  <si>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</si>
  <si>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</si>
  <si>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BHAWANIPUR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</si>
  <si>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</si>
  <si>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</si>
  <si>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DHAMAIRHAT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</si>
  <si>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</si>
  <si>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</si>
  <si>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K.D. MORE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</si>
  <si>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</si>
  <si>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</si>
  <si>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MANDA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</si>
  <si>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</si>
  <si>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</si>
  <si>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MOHADEBPUR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</si>
  <si>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</si>
  <si>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</si>
  <si>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MOHISBATAN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</si>
  <si>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</si>
  <si>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</si>
  <si>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MONGALBARIHAT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</si>
  <si>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</si>
  <si>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</si>
  <si>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</si>
  <si>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</si>
  <si>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</si>
  <si>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NEAMATPUR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</si>
  <si>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</si>
  <si>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</si>
  <si>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PATNITALA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</si>
  <si>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</si>
  <si>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</si>
  <si>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PORSHA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</si>
  <si>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</si>
  <si>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</si>
  <si>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RANINAGAR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</si>
  <si>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</si>
  <si>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</si>
  <si>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RANINAGAR T.T.D.C.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</si>
  <si>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</si>
  <si>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</si>
  <si>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SAPAHAR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</si>
  <si>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</si>
  <si>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</si>
  <si>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TRIMOHANI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</si>
  <si>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</si>
  <si>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</si>
  <si>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CHACHURI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</si>
  <si>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</si>
  <si>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</si>
  <si>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GOBRA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</si>
  <si>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</si>
  <si>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</si>
  <si>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</si>
  <si>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</si>
  <si>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</si>
  <si>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ZILLA PARISHAD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</si>
  <si>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</si>
  <si>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</si>
  <si>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LAKSHMI PASHA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</si>
  <si>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</si>
  <si>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</si>
  <si>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LOHAGARA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</si>
  <si>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</si>
  <si>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</si>
  <si>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MOHAJAN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</si>
  <si>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</si>
  <si>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</si>
  <si>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</si>
  <si>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</si>
  <si>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</si>
  <si>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PERULI BAZAR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</si>
  <si>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</si>
  <si>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</si>
  <si>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RUPGANJ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</si>
  <si>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</si>
  <si>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</si>
  <si>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TULARAMPUR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</si>
  <si>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</si>
  <si>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</si>
  <si>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ARAIHAZAR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</si>
  <si>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</si>
  <si>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</si>
  <si>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BANDAR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</si>
  <si>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</si>
  <si>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</si>
  <si>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DHARMAGANJ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</si>
  <si>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</si>
  <si>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</si>
  <si>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DHUPTARA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</si>
  <si>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</si>
  <si>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</si>
  <si>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FATULLA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</si>
  <si>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</si>
  <si>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</si>
  <si>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GODNAIL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</si>
  <si>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</si>
  <si>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</si>
  <si>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GOPALDI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</si>
  <si>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</si>
  <si>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</si>
  <si>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KURIPARA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</si>
  <si>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</si>
  <si>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</si>
  <si>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</si>
  <si>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</si>
  <si>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</si>
  <si>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</si>
  <si>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</si>
  <si>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</si>
  <si>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MOGRAPARA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</si>
  <si>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</si>
  <si>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</si>
  <si>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</si>
  <si>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</si>
  <si>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</si>
  <si>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NARAYANGANJ CORPORATE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</si>
  <si>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</si>
  <si>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</si>
  <si>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NARAYANGANJ DOCKYARD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</si>
  <si>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</si>
  <si>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</si>
  <si>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</si>
  <si>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</si>
  <si>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</si>
  <si>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PANCHRUKHI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</si>
  <si>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</si>
  <si>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</si>
  <si>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RUPGANJ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</si>
  <si>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</si>
  <si>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</si>
  <si>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</si>
  <si>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</si>
  <si>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</si>
  <si>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TARABOBAZAR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</si>
  <si>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</si>
  <si>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</si>
  <si>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BAKHAR NAGAR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</si>
  <si>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</si>
  <si>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</si>
  <si>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BELABO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</si>
  <si>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</si>
  <si>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</si>
  <si>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BELTALI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</si>
  <si>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</si>
  <si>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</si>
  <si>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</si>
  <si>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</si>
  <si>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</si>
  <si>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DANGA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</si>
  <si>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</si>
  <si>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</si>
  <si>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GHORADIA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</si>
  <si>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</si>
  <si>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</si>
  <si>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</si>
  <si>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</si>
  <si>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</si>
  <si>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HATIRDIA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</si>
  <si>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</si>
  <si>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</si>
  <si>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</si>
  <si>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</si>
  <si>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</si>
  <si>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MONOHARDI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</si>
  <si>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</si>
  <si>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</si>
  <si>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NARAYANPUR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</si>
  <si>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</si>
  <si>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</si>
  <si>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</si>
  <si>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</si>
  <si>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</si>
  <si>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PALASH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</si>
  <si>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</si>
  <si>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</si>
  <si>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PANCHADANA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</si>
  <si>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</si>
  <si>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</si>
  <si>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PORADIA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</si>
  <si>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</si>
  <si>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</si>
  <si>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PUTIA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</si>
  <si>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</si>
  <si>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</si>
  <si>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RAIPURA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</si>
  <si>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</si>
  <si>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</si>
  <si>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RAMPUR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</si>
  <si>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</si>
  <si>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</si>
  <si>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SAIDABAD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</si>
  <si>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</si>
  <si>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</si>
  <si>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SATIRPARA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</si>
  <si>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</si>
  <si>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</si>
  <si>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</si>
  <si>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</si>
  <si>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</si>
  <si>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AHMEDPUR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</si>
  <si>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</si>
  <si>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</si>
  <si>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NALDANGA HAT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</si>
  <si>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</si>
  <si>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</si>
  <si>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BAGATIPARA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</si>
  <si>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</si>
  <si>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</si>
  <si>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BARAIGRAM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</si>
  <si>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</si>
  <si>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</si>
  <si>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CHANCHAKOIR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</si>
  <si>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</si>
  <si>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</si>
  <si>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DAYARAMPUR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</si>
  <si>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</si>
  <si>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</si>
  <si>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GURUDASPUR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</si>
  <si>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</si>
  <si>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</si>
  <si>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KANAIKHALI PURATAN BUS STAND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</si>
  <si>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</si>
  <si>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</si>
  <si>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</si>
  <si>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</si>
  <si>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</si>
  <si>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</si>
  <si>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</si>
  <si>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</si>
  <si>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PHULBAGAN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</si>
  <si>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</si>
  <si>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</si>
  <si>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SINGRA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</si>
  <si>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</si>
  <si>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</si>
  <si>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STATION BAZAR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</si>
  <si>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</si>
  <si>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</si>
  <si>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BHOLAHAT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</si>
  <si>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</si>
  <si>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</si>
  <si>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</si>
  <si>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</si>
  <si>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</si>
  <si>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GOMASTAPUR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</si>
  <si>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</si>
  <si>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</si>
  <si>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NEWMARKET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</si>
  <si>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</si>
  <si>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</si>
  <si>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NACHOLE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</si>
  <si>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</si>
  <si>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</si>
  <si>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</si>
  <si>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</si>
  <si>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</si>
  <si>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</si>
  <si>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</si>
  <si>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</si>
  <si>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SONAMOSZID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</si>
  <si>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</si>
  <si>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</si>
  <si>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ATPARA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</si>
  <si>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</si>
  <si>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</si>
  <si>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HOGLA BAZAR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</si>
  <si>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</si>
  <si>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</si>
  <si>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BARAHATTA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</si>
  <si>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</si>
  <si>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</si>
  <si>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</si>
  <si>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</si>
  <si>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</si>
  <si>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KALMAKANDA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</si>
  <si>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</si>
  <si>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</si>
  <si>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KENDUA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</si>
  <si>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</si>
  <si>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</si>
  <si>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KHALIAJURI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</si>
  <si>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</si>
  <si>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</si>
  <si>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LEPSIA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</si>
  <si>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</si>
  <si>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</si>
  <si>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MADAN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</si>
  <si>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</si>
  <si>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</si>
  <si>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MADAN 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</si>
  <si>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</si>
  <si>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</si>
  <si>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MAHANGANJ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</si>
  <si>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</si>
  <si>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</si>
  <si>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</si>
  <si>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</si>
  <si>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</si>
  <si>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PURBADHALA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</si>
  <si>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</si>
  <si>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</si>
  <si>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THAKURKONA BAZAR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</si>
  <si>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</si>
  <si>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</si>
  <si>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NILPHAMARI BAZAR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</si>
  <si>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</si>
  <si>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</si>
  <si>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CHILAHATI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</si>
  <si>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</si>
  <si>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</si>
  <si>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DIMLA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</si>
  <si>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</si>
  <si>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</si>
  <si>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DOMAR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</si>
  <si>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</si>
  <si>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</si>
  <si>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JALDHAKA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</si>
  <si>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</si>
  <si>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</si>
  <si>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</si>
  <si>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</si>
  <si>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</si>
  <si>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</si>
  <si>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</si>
  <si>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</si>
  <si>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</si>
  <si>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</si>
  <si>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</si>
  <si>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</si>
  <si>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</si>
  <si>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</si>
  <si>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SAYEDPUR CANTONMENT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</si>
  <si>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</si>
  <si>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</si>
  <si>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AMANULLA PUR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</si>
  <si>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</si>
  <si>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</si>
  <si>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</si>
  <si>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</si>
  <si>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</si>
  <si>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CHAPRASHIRHAT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</si>
  <si>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</si>
  <si>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</si>
  <si>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CHARBATA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</si>
  <si>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</si>
  <si>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</si>
  <si>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CHARMATUA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</si>
  <si>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</si>
  <si>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</si>
  <si>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</si>
  <si>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</si>
  <si>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</si>
  <si>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CHHAYANI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</si>
  <si>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</si>
  <si>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</si>
  <si>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</si>
  <si>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</si>
  <si>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</si>
  <si>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CHOWDHURYHAT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</si>
  <si>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</si>
  <si>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</si>
  <si>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COLLEGE ROAD CHAUMUHANI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</si>
  <si>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</si>
  <si>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</si>
  <si>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DAYARAMDI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</si>
  <si>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</si>
  <si>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</si>
  <si>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HATIYA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</si>
  <si>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</si>
  <si>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</si>
  <si>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HATIYA THANA PARISHAD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</si>
  <si>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</si>
  <si>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</si>
  <si>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JAMIDERHAT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</si>
  <si>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</si>
  <si>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</si>
  <si>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KALAMUNSHI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</si>
  <si>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</si>
  <si>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</si>
  <si>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KANKIRHAT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</si>
  <si>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</si>
  <si>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</si>
  <si>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KHALIFERHAT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</si>
  <si>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</si>
  <si>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</si>
  <si>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MAIJDEE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</si>
  <si>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</si>
  <si>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</si>
  <si>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</si>
  <si>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</si>
  <si>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</si>
  <si>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POURA BIPONI BITAN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</si>
  <si>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</si>
  <si>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</si>
  <si>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SAGORIA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</si>
  <si>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</si>
  <si>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</si>
  <si>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SEBARHAT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</si>
  <si>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</si>
  <si>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</si>
  <si>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SENBAG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</si>
  <si>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</si>
  <si>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</si>
  <si>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SHAHAPUR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</si>
  <si>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</si>
  <si>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</si>
  <si>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</si>
  <si>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</si>
  <si>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</si>
  <si>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SONAPUR OLD TOWN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</si>
  <si>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</si>
  <si>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</si>
  <si>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SUBARNA CHAR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</si>
  <si>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</si>
  <si>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</si>
  <si>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TAMARADDI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</si>
  <si>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</si>
  <si>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</si>
  <si>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ANANTA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</si>
  <si>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</si>
  <si>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</si>
  <si>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ARAMBARIA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</si>
  <si>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</si>
  <si>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</si>
  <si>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ATGHORIA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</si>
  <si>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</si>
  <si>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</si>
  <si>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JOYNAGAR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</si>
  <si>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</si>
  <si>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</si>
  <si>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BANWARI NAGAR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</si>
  <si>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</si>
  <si>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</si>
  <si>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</si>
  <si>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</si>
  <si>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</si>
  <si>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BHANGURA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</si>
  <si>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</si>
  <si>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</si>
  <si>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CHATMOHAR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</si>
  <si>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</si>
  <si>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</si>
  <si>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DASHURIA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</si>
  <si>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</si>
  <si>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</si>
  <si>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EKDANTA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</si>
  <si>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</si>
  <si>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</si>
  <si>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</si>
  <si>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</si>
  <si>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</si>
  <si>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JURGACHA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</si>
  <si>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</si>
  <si>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</si>
  <si>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KARANZA BAZAR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</si>
  <si>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</si>
  <si>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</si>
  <si>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PABNA BANIJJO KENDRA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</si>
  <si>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</si>
  <si>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</si>
  <si>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</si>
  <si>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</si>
  <si>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</si>
  <si>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SANTHIA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</si>
  <si>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</si>
  <si>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</si>
  <si>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SUJANAGAR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</si>
  <si>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</si>
  <si>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</si>
  <si>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ZILLA BOARD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</si>
  <si>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</si>
  <si>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</si>
  <si>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ATWARI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</si>
  <si>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</si>
  <si>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</si>
  <si>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BHAJANPUR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</si>
  <si>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</si>
  <si>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</si>
  <si>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BODA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</si>
  <si>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</si>
  <si>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</si>
  <si>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DEBIGANJ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</si>
  <si>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</si>
  <si>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</si>
  <si>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</si>
  <si>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</si>
  <si>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</si>
  <si>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TETULIA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</si>
  <si>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</si>
  <si>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</si>
  <si>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BAGA BANDAR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</si>
  <si>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</si>
  <si>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</si>
  <si>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BAKUL BARIA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</si>
  <si>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</si>
  <si>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</si>
  <si>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BAUPHAL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</si>
  <si>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</si>
  <si>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</si>
  <si>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DASHMINA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</si>
  <si>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</si>
  <si>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</si>
  <si>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DUMKI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</si>
  <si>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</si>
  <si>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</si>
  <si>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</si>
  <si>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</si>
  <si>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</si>
  <si>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KALAPARA BANDER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</si>
  <si>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</si>
  <si>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</si>
  <si>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MOHIPUR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</si>
  <si>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</si>
  <si>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</si>
  <si>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MOWKARAN BAZAR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</si>
  <si>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</si>
  <si>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</si>
  <si>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NEWTOWN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</si>
  <si>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</si>
  <si>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</si>
  <si>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</si>
  <si>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</si>
  <si>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</si>
  <si>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SUBIDKHALI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</si>
  <si>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</si>
  <si>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</si>
  <si>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ULANIA BAZAR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</si>
  <si>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</si>
  <si>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</si>
  <si>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BHANDARIA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</si>
  <si>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</si>
  <si>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</si>
  <si>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KAWKHALI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</si>
  <si>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</si>
  <si>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</si>
  <si>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</si>
  <si>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</si>
  <si>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</si>
  <si>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NAZIRPUR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</si>
  <si>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</si>
  <si>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</si>
  <si>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PARERHAT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</si>
  <si>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</si>
  <si>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</si>
  <si>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</si>
  <si>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</si>
  <si>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</si>
  <si>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SREERAMKATI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</si>
  <si>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</si>
  <si>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</si>
  <si>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SWARUPKATI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</si>
  <si>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</si>
  <si>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</si>
  <si>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TUSHKHALI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</si>
  <si>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</si>
  <si>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</si>
  <si>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ZIA NAGAR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</si>
  <si>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</si>
  <si>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</si>
  <si>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BAGHA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</si>
  <si>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</si>
  <si>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</si>
  <si>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BHAWANIGANJ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</si>
  <si>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</si>
  <si>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</si>
  <si>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CHARGHAT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</si>
  <si>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</si>
  <si>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</si>
  <si>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</si>
  <si>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</si>
  <si>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</si>
  <si>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ARANI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</si>
  <si>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</si>
  <si>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</si>
  <si>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DURGAPUR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</si>
  <si>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</si>
  <si>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</si>
  <si>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GODAGARI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</si>
  <si>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</si>
  <si>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</si>
  <si>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GREATER ROAD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</si>
  <si>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</si>
  <si>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</si>
  <si>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KASHIADANGA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</si>
  <si>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</si>
  <si>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</si>
  <si>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MOHANPUR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</si>
  <si>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</si>
  <si>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</si>
  <si>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MONIGRAM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</si>
  <si>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</si>
  <si>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</si>
  <si>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MOTIHAR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</si>
  <si>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</si>
  <si>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</si>
  <si>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MOUGACHI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</si>
  <si>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</si>
  <si>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</si>
  <si>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MUDHAMALAHAT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</si>
  <si>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</si>
  <si>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</si>
  <si>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PABA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</si>
  <si>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</si>
  <si>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</si>
  <si>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POLICE ACADAMY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</si>
  <si>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</si>
  <si>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</si>
  <si>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PUTHIA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</si>
  <si>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</si>
  <si>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</si>
  <si>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RAJSHAHI CADET COLLEGE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</si>
  <si>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</si>
  <si>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</si>
  <si>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RAJSHAHI CANTONMENT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</si>
  <si>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</si>
  <si>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</si>
  <si>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RAJSHAHI CORPORATE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</si>
  <si>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</si>
  <si>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</si>
  <si>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RAJSHAHI MEDICAL COLLEGE HOSPITAL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</si>
  <si>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</si>
  <si>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</si>
  <si>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RAJSHAHI RAILWAY COMPLEX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</si>
  <si>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</si>
  <si>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</si>
  <si>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TANORE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</si>
  <si>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</si>
  <si>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</si>
  <si>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BAHAR PUR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</si>
  <si>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</si>
  <si>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</si>
  <si>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BALIAKANDI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</si>
  <si>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</si>
  <si>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</si>
  <si>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BEL GACHI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</si>
  <si>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</si>
  <si>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</si>
  <si>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GOALANDA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</si>
  <si>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</si>
  <si>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</si>
  <si>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GOALANDA UPAZILA COMPLEX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</si>
  <si>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</si>
  <si>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</si>
  <si>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KALUKHALI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</si>
  <si>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</si>
  <si>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</si>
  <si>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KASHBA MAJAIL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</si>
  <si>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</si>
  <si>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</si>
  <si>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MACH PARA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</si>
  <si>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</si>
  <si>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</si>
  <si>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PANGSA UPAZILA COMPLEX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</si>
  <si>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</si>
  <si>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</si>
  <si>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</si>
  <si>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</si>
  <si>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</si>
  <si>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</si>
  <si>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</si>
  <si>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</si>
  <si>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RAJBARI UPAZILLA COMPLEX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</si>
  <si>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</si>
  <si>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</si>
  <si>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BAGHAICHARI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</si>
  <si>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</si>
  <si>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</si>
  <si>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BANARUPA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</si>
  <si>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</si>
  <si>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</si>
  <si>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BARAICHARI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</si>
  <si>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</si>
  <si>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</si>
  <si>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BARKAL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</si>
  <si>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</si>
  <si>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</si>
  <si>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BELAICHARI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</si>
  <si>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</si>
  <si>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</si>
  <si>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CHANDRAGHONA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</si>
  <si>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</si>
  <si>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</si>
  <si>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GHAGRA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</si>
  <si>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</si>
  <si>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</si>
  <si>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JURACHARI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</si>
  <si>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</si>
  <si>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</si>
  <si>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KAPTAI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</si>
  <si>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</si>
  <si>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</si>
  <si>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KAWKHALI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</si>
  <si>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</si>
  <si>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</si>
  <si>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LANGADU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</si>
  <si>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</si>
  <si>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</si>
  <si>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NANIAR CHAR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</si>
  <si>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</si>
  <si>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</si>
  <si>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NEW COURT BUILDING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</si>
  <si>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</si>
  <si>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</si>
  <si>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RAJOSTHALI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</si>
  <si>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</si>
  <si>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</si>
  <si>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</si>
  <si>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</si>
  <si>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</si>
  <si>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BADARGANJ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</si>
  <si>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</si>
  <si>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</si>
  <si>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CHATRAHAT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</si>
  <si>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</si>
  <si>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</si>
  <si>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DHAP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</si>
  <si>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</si>
  <si>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</si>
  <si>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GANGACHARA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</si>
  <si>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</si>
  <si>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</si>
  <si>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HARAGACHA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</si>
  <si>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</si>
  <si>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</si>
  <si>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JAIGIRHAT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</si>
  <si>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</si>
  <si>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</si>
  <si>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KACHARI BAZAR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</si>
  <si>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</si>
  <si>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</si>
  <si>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KAUNIA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</si>
  <si>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</si>
  <si>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</si>
  <si>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KHALASHPIR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</si>
  <si>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</si>
  <si>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</si>
  <si>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RANGPUR BAZAR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</si>
  <si>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</si>
  <si>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</si>
  <si>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LALDIGHIHAT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</si>
  <si>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</si>
  <si>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</si>
  <si>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MAHIGANJ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</si>
  <si>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</si>
  <si>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</si>
  <si>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MIRBAGH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</si>
  <si>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</si>
  <si>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</si>
  <si>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MITHAPUKUR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</si>
  <si>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</si>
  <si>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</si>
  <si>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PIRGACHA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</si>
  <si>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</si>
  <si>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</si>
  <si>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</si>
  <si>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</si>
  <si>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</si>
  <si>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RANGPUR CANTONMENT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</si>
  <si>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</si>
  <si>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</si>
  <si>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RANGPUR CORPORATE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</si>
  <si>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</si>
  <si>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</si>
  <si>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TARAGANJ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</si>
  <si>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</si>
  <si>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</si>
  <si>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ANGARIA BAZAR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</si>
  <si>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</si>
  <si>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</si>
  <si>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BHEDERGANJ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</si>
  <si>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</si>
  <si>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</si>
  <si>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DAMUDYA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</si>
  <si>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</si>
  <si>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</si>
  <si>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GOSHAIRHAT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</si>
  <si>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</si>
  <si>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</si>
  <si>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NARIA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</si>
  <si>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</si>
  <si>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</si>
  <si>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</si>
  <si>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</si>
  <si>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</si>
  <si>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ZAJIRA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</si>
  <si>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</si>
  <si>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</si>
  <si>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ASASUNI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</si>
  <si>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</si>
  <si>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</si>
  <si>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BUDHATA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</si>
  <si>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</si>
  <si>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</si>
  <si>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DEBHATA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</si>
  <si>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</si>
  <si>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</si>
  <si>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GOYRA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</si>
  <si>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</si>
  <si>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</si>
  <si>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JHAUDANGA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</si>
  <si>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</si>
  <si>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</si>
  <si>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KALAROA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</si>
  <si>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</si>
  <si>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</si>
  <si>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</si>
  <si>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</si>
  <si>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</si>
  <si>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KAMAN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</si>
  <si>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</si>
  <si>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</si>
  <si>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KHALISKHALI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</si>
  <si>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</si>
  <si>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</si>
  <si>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KULIA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</si>
  <si>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</si>
  <si>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</si>
  <si>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KUMIRABAZAR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</si>
  <si>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</si>
  <si>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</si>
  <si>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MAGURA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</si>
  <si>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</si>
  <si>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</si>
  <si>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PARULIA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</si>
  <si>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</si>
  <si>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</si>
  <si>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</si>
  <si>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</si>
  <si>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</si>
  <si>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</si>
  <si>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</si>
  <si>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</si>
  <si>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TALA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</si>
  <si>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</si>
  <si>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</si>
  <si>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VOMRA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</si>
  <si>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</si>
  <si>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</si>
  <si>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BAGHABARIGHAT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</si>
  <si>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</si>
  <si>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</si>
  <si>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CHANDAIKONA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</si>
  <si>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</si>
  <si>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</si>
  <si>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CHOWBARI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</si>
  <si>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</si>
  <si>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</si>
  <si>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BHABAN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</si>
  <si>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</si>
  <si>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</si>
  <si>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DHANGORA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</si>
  <si>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</si>
  <si>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</si>
  <si>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ENAYETPUR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</si>
  <si>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</si>
  <si>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</si>
  <si>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HATIKUMRUL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</si>
  <si>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</si>
  <si>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</si>
  <si>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JAMTOIL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</si>
  <si>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</si>
  <si>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</si>
  <si>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KAZIPUR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</si>
  <si>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</si>
  <si>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</si>
  <si>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KHASHKAWLIA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</si>
  <si>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</si>
  <si>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</si>
  <si>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LAHI RIMOHONPUR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</si>
  <si>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</si>
  <si>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</si>
  <si>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NAOGAON BAZAR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</si>
  <si>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</si>
  <si>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</si>
  <si>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NATUARPARA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</si>
  <si>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</si>
  <si>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</si>
  <si>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SHAHID SOHRAWARDI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</si>
  <si>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</si>
  <si>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</si>
  <si>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SADANANDAPUR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</si>
  <si>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</si>
  <si>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</si>
  <si>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</si>
  <si>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</si>
  <si>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</si>
  <si>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</si>
  <si>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</si>
  <si>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</si>
  <si>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SHOHAGPUR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</si>
  <si>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</si>
  <si>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</si>
  <si>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SONAMUKHI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</si>
  <si>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</si>
  <si>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</si>
  <si>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TARASH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</si>
  <si>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</si>
  <si>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</si>
  <si>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</si>
  <si>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</si>
  <si>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</si>
  <si>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JHENAIGATI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</si>
  <si>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</si>
  <si>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</si>
  <si>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NAKLA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</si>
  <si>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</si>
  <si>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</si>
  <si>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NALITABARI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</si>
  <si>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</si>
  <si>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</si>
  <si>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NANNI BAZAR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</si>
  <si>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</si>
  <si>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</si>
  <si>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</si>
  <si>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</si>
  <si>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</si>
  <si>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SREEBORDI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</si>
  <si>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</si>
  <si>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</si>
  <si>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SURJADI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</si>
  <si>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</si>
  <si>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</si>
  <si>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DAKSHIN SUNAMGONJ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</si>
  <si>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</si>
  <si>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</si>
  <si>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BISHWAMVARPUR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</si>
  <si>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</si>
  <si>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</si>
  <si>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</si>
  <si>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</si>
  <si>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</si>
  <si>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DERAI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</si>
  <si>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</si>
  <si>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</si>
  <si>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DHARAMPASSA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</si>
  <si>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</si>
  <si>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</si>
  <si>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DOWARA BAZAR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</si>
  <si>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</si>
  <si>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</si>
  <si>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</si>
  <si>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</si>
  <si>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</si>
  <si>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JAMALGANJ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</si>
  <si>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</si>
  <si>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</si>
  <si>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MADHYA NAGAR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</si>
  <si>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</si>
  <si>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</si>
  <si>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SALLA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</si>
  <si>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</si>
  <si>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</si>
  <si>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</si>
  <si>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</si>
  <si>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</si>
  <si>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TAHIRPUR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</si>
  <si>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</si>
  <si>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</si>
  <si>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AMJAD ALI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</si>
  <si>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</si>
  <si>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</si>
  <si>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BAIRAGIR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</si>
  <si>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</si>
  <si>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</si>
  <si>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BALAGANJ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</si>
  <si>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</si>
  <si>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</si>
  <si>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</si>
  <si>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</si>
  <si>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</si>
  <si>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OSMANI BIMAN BANDAR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</si>
  <si>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</si>
  <si>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</si>
  <si>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</si>
  <si>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</si>
  <si>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</si>
  <si>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CHARKHAI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</si>
  <si>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</si>
  <si>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</si>
  <si>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</si>
  <si>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</si>
  <si>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</si>
  <si>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</si>
  <si>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</si>
  <si>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</si>
  <si>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DAKSHIN 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</si>
  <si>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</si>
  <si>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</si>
  <si>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DARGA GATE CORPORATE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</si>
  <si>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</si>
  <si>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</si>
  <si>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</si>
  <si>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</si>
  <si>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</si>
  <si>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</si>
  <si>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</si>
  <si>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</si>
  <si>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FENCHUGANJ SARKARKHANA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</si>
  <si>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</si>
  <si>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</si>
  <si>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</si>
  <si>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</si>
  <si>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</si>
  <si>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GOWAIN 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</si>
  <si>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</si>
  <si>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</si>
  <si>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JAINTAPUR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</si>
  <si>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</si>
  <si>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</si>
  <si>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KAMAL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</si>
  <si>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</si>
  <si>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</si>
  <si>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KANAIGHAT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</si>
  <si>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</si>
  <si>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</si>
  <si>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KAZALHAOR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</si>
  <si>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</si>
  <si>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</si>
  <si>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KHADIMNAGAR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</si>
  <si>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</si>
  <si>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</si>
  <si>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MOHAJAN PATTY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</si>
  <si>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</si>
  <si>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</si>
  <si>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PIRER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</si>
  <si>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</si>
  <si>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</si>
  <si>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S.U.O.SC &amp; TECHNOLOGY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</si>
  <si>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</si>
  <si>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</si>
  <si>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</si>
  <si>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</si>
  <si>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</si>
  <si>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SYLHET CANTONMENT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</si>
  <si>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</si>
  <si>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</si>
  <si>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SYLHET CITY CORPORATION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</si>
  <si>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</si>
  <si>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</si>
  <si>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SYLHET CORPORATE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</si>
  <si>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</si>
  <si>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</si>
  <si>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TAJPUR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</si>
  <si>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</si>
  <si>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</si>
  <si>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TIKORPARA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</si>
  <si>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</si>
  <si>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</si>
  <si>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TILAGARH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</si>
  <si>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</si>
  <si>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</si>
  <si>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ZAKIGANJ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</si>
  <si>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</si>
  <si>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</si>
  <si>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</si>
  <si>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</si>
  <si>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</si>
  <si>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BASAIL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</si>
  <si>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</si>
  <si>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</si>
  <si>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BHUANPUR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</si>
  <si>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</si>
  <si>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</si>
  <si>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COURT BUILDING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</si>
  <si>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</si>
  <si>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</si>
  <si>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DELDUAR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</si>
  <si>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</si>
  <si>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</si>
  <si>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DHAN BARI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</si>
  <si>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</si>
  <si>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</si>
  <si>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FALDA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</si>
  <si>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</si>
  <si>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</si>
  <si>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GARO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</si>
  <si>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</si>
  <si>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</si>
  <si>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GHATAIL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</si>
  <si>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</si>
  <si>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</si>
  <si>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GOBINDASHI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</si>
  <si>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</si>
  <si>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</si>
  <si>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GOPALPUR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</si>
  <si>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</si>
  <si>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</si>
  <si>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GORAI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</si>
  <si>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</si>
  <si>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</si>
  <si>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NALIN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</si>
  <si>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</si>
  <si>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</si>
  <si>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KALIHATI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</si>
  <si>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</si>
  <si>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</si>
  <si>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KENDUA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</si>
  <si>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</si>
  <si>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</si>
  <si>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MYMENSINGH ROAD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</si>
  <si>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</si>
  <si>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</si>
  <si>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LOWHATI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</si>
  <si>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</si>
  <si>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</si>
  <si>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MADHUPUR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</si>
  <si>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</si>
  <si>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</si>
  <si>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MAWLANA BHASHANI SCIENCE &amp; TECHNOLOGY UNIVERSITY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</si>
  <si>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</si>
  <si>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</si>
  <si>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MIRZAPUR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</si>
  <si>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</si>
  <si>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</si>
  <si>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MOHANPUR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</si>
  <si>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</si>
  <si>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</si>
  <si>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NAGARPUR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</si>
  <si>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</si>
  <si>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</si>
  <si>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NIKRAIL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</si>
  <si>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</si>
  <si>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</si>
  <si>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PAKULLA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</si>
  <si>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</si>
  <si>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</si>
  <si>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PAKUTIA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</si>
  <si>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</si>
  <si>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</si>
  <si>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SHAHID SALAHUDDIN CANTONMENT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</si>
  <si>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</si>
  <si>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</si>
  <si>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</si>
  <si>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</si>
  <si>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</si>
  <si>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</si>
  <si>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</si>
  <si>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</si>
  <si>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TANGAIL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</si>
  <si>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</si>
  <si>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</si>
  <si>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VICTORIA ROAD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</si>
  <si>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</si>
  <si>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</si>
  <si>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AKHANAGAR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</si>
  <si>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</si>
  <si>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</si>
  <si>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BALIADANGI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</si>
  <si>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</si>
  <si>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</si>
  <si>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CHOWDHURYHAT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</si>
  <si>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</si>
  <si>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</si>
  <si>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GOREYAHAT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</si>
  <si>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</si>
  <si>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</si>
  <si>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HARIPUR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</si>
  <si>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</si>
  <si>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</si>
  <si>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JABOR HAT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</si>
  <si>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</si>
  <si>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</si>
  <si>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PURATAN BUS STAND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</si>
  <si>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</si>
  <si>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</si>
  <si>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NEKMORAD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</si>
  <si>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</si>
  <si>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</si>
  <si>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</si>
  <si>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</si>
  <si>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</si>
  <si>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RANISANKAIL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</si>
  <si>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</si>
  <si>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</si>
  <si>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RUHEA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</si>
  <si>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</si>
  <si>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</si>
  <si>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BHULLI BAZAR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</si>
  <si>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</si>
  <si>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</si>
  <si>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</si>
  <si>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</si>
  <si>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</si>
  <si>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</si>
  <si>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</si>
  <si>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SONALI BANK LTD.</t>
    </r>
  </si>
  <si>
    <r>
      <rPr>
        <rFont val="Arial MT"/>
        <color theme="1"/>
        <sz val="5.0"/>
      </rPr>
      <t>THAKURGAON(SUGAR MILLS)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</si>
  <si>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</si>
  <si>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</si>
  <si>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</si>
  <si>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</si>
  <si>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</si>
  <si>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</si>
  <si>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</si>
  <si>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</si>
  <si>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BRAHMANBARIA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</si>
  <si>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</si>
  <si>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</si>
  <si>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</si>
  <si>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</si>
  <si>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</si>
  <si>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C.D.A. AVENUE(ISLAMI BANKING)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</si>
  <si>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</si>
  <si>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</si>
  <si>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CHOWDHURY HAT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</si>
  <si>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</si>
  <si>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</si>
  <si>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</si>
  <si>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</si>
  <si>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</si>
  <si>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</si>
  <si>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</si>
  <si>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</si>
  <si>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HATHAZARI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</si>
  <si>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</si>
  <si>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</si>
  <si>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</si>
  <si>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</si>
  <si>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</si>
  <si>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</si>
  <si>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</si>
  <si>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</si>
  <si>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KOTWALI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</si>
  <si>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</si>
  <si>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</si>
  <si>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LOHA GARA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</si>
  <si>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</si>
  <si>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</si>
  <si>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</si>
  <si>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</si>
  <si>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</si>
  <si>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MOMIN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</si>
  <si>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</si>
  <si>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</si>
  <si>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OXYGEN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</si>
  <si>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</si>
  <si>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</si>
  <si>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</si>
  <si>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</si>
  <si>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</si>
  <si>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</si>
  <si>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</si>
  <si>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</si>
  <si>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</si>
  <si>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</si>
  <si>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</si>
  <si>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</si>
  <si>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</si>
  <si>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</si>
  <si>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</si>
  <si>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</si>
  <si>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</si>
  <si>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GUNABATI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</si>
  <si>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</si>
  <si>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</si>
  <si>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MEAH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</si>
  <si>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</si>
  <si>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</si>
  <si>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TEKNAK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</si>
  <si>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</si>
  <si>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</si>
  <si>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</si>
  <si>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</si>
  <si>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</si>
  <si>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COX'S BAZAR(ISLAMI BANKING)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</si>
  <si>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</si>
  <si>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</si>
  <si>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AGARGAON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</si>
  <si>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</si>
  <si>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</si>
  <si>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</si>
  <si>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</si>
  <si>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</si>
  <si>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ASHULIA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</si>
  <si>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</si>
  <si>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</si>
  <si>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BALIVADRA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</si>
  <si>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</si>
  <si>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</si>
  <si>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</si>
  <si>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</si>
  <si>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</si>
  <si>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DHANMONDI MOHILA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</si>
  <si>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</si>
  <si>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</si>
  <si>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</si>
  <si>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</si>
  <si>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</si>
  <si>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</si>
  <si>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</si>
  <si>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</si>
  <si>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</si>
  <si>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</si>
  <si>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</si>
  <si>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</si>
  <si>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</si>
  <si>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</si>
  <si>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</si>
  <si>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</si>
  <si>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</si>
  <si>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</si>
  <si>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</si>
  <si>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</si>
  <si>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</si>
  <si>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</si>
  <si>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</si>
  <si>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</si>
  <si>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</si>
  <si>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</si>
  <si>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</si>
  <si>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</si>
  <si>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</si>
  <si>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</si>
  <si>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</si>
  <si>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</si>
  <si>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NEW 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</si>
  <si>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</si>
  <si>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</si>
  <si>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</si>
  <si>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</si>
  <si>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</si>
  <si>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ROKEYA SHARANI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</si>
  <si>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</si>
  <si>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</si>
  <si>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RUPNAGAR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</si>
  <si>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</si>
  <si>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</si>
  <si>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</si>
  <si>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</si>
  <si>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</si>
  <si>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</si>
  <si>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</si>
  <si>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</si>
  <si>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</si>
  <si>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</si>
  <si>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</si>
  <si>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</si>
  <si>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</si>
  <si>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</si>
  <si>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</si>
  <si>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</si>
  <si>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</si>
  <si>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</si>
  <si>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</si>
  <si>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</si>
  <si>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MOGHBAZAR MOHILA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</si>
  <si>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</si>
  <si>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</si>
  <si>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KAZI NAZRUL ISLAM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</si>
  <si>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</si>
  <si>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</si>
  <si>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</si>
  <si>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</si>
  <si>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</si>
  <si>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</si>
  <si>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</si>
  <si>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</si>
  <si>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</si>
  <si>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</si>
  <si>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</si>
  <si>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</si>
  <si>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</si>
  <si>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</si>
  <si>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</si>
  <si>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</si>
  <si>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</si>
  <si>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</si>
  <si>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</si>
  <si>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</si>
  <si>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</si>
  <si>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</si>
  <si>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</si>
  <si>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</si>
  <si>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</si>
  <si>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</si>
  <si>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</si>
  <si>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</si>
  <si>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</si>
  <si>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</si>
  <si>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</si>
  <si>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</si>
  <si>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</si>
  <si>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</si>
  <si>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</si>
  <si>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</si>
  <si>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</si>
  <si>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</si>
  <si>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</si>
  <si>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</si>
  <si>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</si>
  <si>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MOTIJHEEL(ISLAMI BANKING)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</si>
  <si>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</si>
  <si>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</si>
  <si>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</si>
  <si>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</si>
  <si>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</si>
  <si>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NEW ESKATON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</si>
  <si>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</si>
  <si>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</si>
  <si>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</si>
  <si>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</si>
  <si>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</si>
  <si>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R.K. MISSION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</si>
  <si>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</si>
  <si>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</si>
  <si>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SARULIA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</si>
  <si>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</si>
  <si>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</si>
  <si>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</si>
  <si>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</si>
  <si>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</si>
  <si>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</si>
  <si>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</si>
  <si>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</si>
  <si>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PARSHURAM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</si>
  <si>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</si>
  <si>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</si>
  <si>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SAGOLNAIYA(ISLAMI BANKING)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</si>
  <si>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</si>
  <si>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</si>
  <si>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SELONIA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</si>
  <si>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</si>
  <si>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</si>
  <si>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SONAGAZI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</si>
  <si>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</si>
  <si>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</si>
  <si>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MONIPUR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</si>
  <si>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</si>
  <si>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</si>
  <si>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</si>
  <si>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</si>
  <si>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</si>
  <si>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</si>
  <si>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</si>
  <si>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</si>
  <si>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</si>
  <si>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</si>
  <si>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</si>
  <si>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MAWNA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</si>
  <si>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</si>
  <si>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</si>
  <si>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</si>
  <si>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</si>
  <si>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</si>
  <si>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RUPDIA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</si>
  <si>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</si>
  <si>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</si>
  <si>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JESSORE SME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</si>
  <si>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</si>
  <si>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</si>
  <si>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DUMURIA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</si>
  <si>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</si>
  <si>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</si>
  <si>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</si>
  <si>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</si>
  <si>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</si>
  <si>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SIR IQBAL ROAD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</si>
  <si>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</si>
  <si>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</si>
  <si>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</si>
  <si>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</si>
  <si>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</si>
  <si>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HAIDERGANJ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</si>
  <si>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</si>
  <si>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</si>
  <si>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GHIOR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</si>
  <si>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</si>
  <si>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</si>
  <si>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SINGAIR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</si>
  <si>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</si>
  <si>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</si>
  <si>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</si>
  <si>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</si>
  <si>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</si>
  <si>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</si>
  <si>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</si>
  <si>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</si>
  <si>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</si>
  <si>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</si>
  <si>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</si>
  <si>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</si>
  <si>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</si>
  <si>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</si>
  <si>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</si>
  <si>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</si>
  <si>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</si>
  <si>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KALIBARI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</si>
  <si>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</si>
  <si>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</si>
  <si>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</si>
  <si>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</si>
  <si>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</si>
  <si>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GOPALDI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</si>
  <si>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</si>
  <si>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</si>
  <si>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MADANPUR SME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</si>
  <si>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</si>
  <si>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</si>
  <si>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</si>
  <si>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</si>
  <si>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</si>
  <si>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</si>
  <si>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</si>
  <si>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</si>
  <si>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NARSHINGDI SME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</si>
  <si>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</si>
  <si>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</si>
  <si>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</si>
  <si>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</si>
  <si>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</si>
  <si>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</si>
  <si>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</si>
  <si>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</si>
  <si>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</si>
  <si>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</si>
  <si>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</si>
  <si>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</si>
  <si>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</si>
  <si>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</si>
  <si>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SEBARHAT SME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</si>
  <si>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</si>
  <si>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</si>
  <si>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</si>
  <si>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</si>
  <si>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</si>
  <si>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</si>
  <si>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</si>
  <si>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</si>
  <si>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</si>
  <si>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</si>
  <si>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</si>
  <si>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</si>
  <si>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</si>
  <si>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</si>
  <si>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</si>
  <si>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</si>
  <si>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</si>
  <si>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</si>
  <si>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</si>
  <si>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</si>
  <si>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SATKHIRA SME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</si>
  <si>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</si>
  <si>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</si>
  <si>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</si>
  <si>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</si>
  <si>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</si>
  <si>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</si>
  <si>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</si>
  <si>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</si>
  <si>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BANDAR BAZAR(ISLAMI BANKING)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</si>
  <si>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</si>
  <si>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</si>
  <si>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BEANI BAZAR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</si>
  <si>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</si>
  <si>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</si>
  <si>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BISHWANATH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</si>
  <si>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</si>
  <si>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</si>
  <si>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CHARKHAI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</si>
  <si>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</si>
  <si>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</si>
  <si>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CHOWHATTA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</si>
  <si>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</si>
  <si>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</si>
  <si>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HETIMGANJ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</si>
  <si>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</si>
  <si>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</si>
  <si>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</si>
  <si>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</si>
  <si>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</si>
  <si>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PATHANTULA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</si>
  <si>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</si>
  <si>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</si>
  <si>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SHAHJALAL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</si>
  <si>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</si>
  <si>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</si>
  <si>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TAJPUR SME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</si>
  <si>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</si>
  <si>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</si>
  <si>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BALLA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</si>
  <si>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</si>
  <si>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SOUTHEAST BANK LTD.</t>
    </r>
  </si>
  <si>
    <r>
      <rPr>
        <rFont val="Arial MT"/>
        <color theme="1"/>
        <sz val="5.0"/>
      </rPr>
      <t>TANGAIL SME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</si>
  <si>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</si>
  <si>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</si>
  <si>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</si>
  <si>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</si>
  <si>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</si>
  <si>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</si>
  <si>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</si>
  <si>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</si>
  <si>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</si>
  <si>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</si>
  <si>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</si>
  <si>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</si>
  <si>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</si>
  <si>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</si>
  <si>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</si>
  <si>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</si>
  <si>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</si>
  <si>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</si>
  <si>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</si>
  <si>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</si>
  <si>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AGRABAD ISLAMI BANKING WINDOW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</si>
  <si>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</si>
  <si>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</si>
  <si>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BAKOLIA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</si>
  <si>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</si>
  <si>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</si>
  <si>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KARNAPHULI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</si>
  <si>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</si>
  <si>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</si>
  <si>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SHEIKH MUJIB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</si>
  <si>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</si>
  <si>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</si>
  <si>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</si>
  <si>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</si>
  <si>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</si>
  <si>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</si>
  <si>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</si>
  <si>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</si>
  <si>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C.E.P.Z.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</si>
  <si>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</si>
  <si>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</si>
  <si>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LANGOLMORA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</si>
  <si>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</si>
  <si>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</si>
  <si>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CHITTAGONG UNIVERSITY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</si>
  <si>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</si>
  <si>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</si>
  <si>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CHOWDHURI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</si>
  <si>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</si>
  <si>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</si>
  <si>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GUNAGARI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</si>
  <si>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</si>
  <si>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</si>
  <si>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</si>
  <si>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</si>
  <si>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</si>
  <si>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</si>
  <si>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</si>
  <si>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</si>
  <si>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</si>
  <si>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</si>
  <si>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</si>
  <si>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KUMIRA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</si>
  <si>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</si>
  <si>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</si>
  <si>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OXYGEN SQUARE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</si>
  <si>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</si>
  <si>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</si>
  <si>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</si>
  <si>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</si>
  <si>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</si>
  <si>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PANCHLAISH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</si>
  <si>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</si>
  <si>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</si>
  <si>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</si>
  <si>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</si>
  <si>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</si>
  <si>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</si>
  <si>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</si>
  <si>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</si>
  <si>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ALAMDANGA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</si>
  <si>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</si>
  <si>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</si>
  <si>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</si>
  <si>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</si>
  <si>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</si>
  <si>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</si>
  <si>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</si>
  <si>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</si>
  <si>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NIMSHAR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</si>
  <si>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</si>
  <si>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</si>
  <si>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RAMCHANDRAPUR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</si>
  <si>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</si>
  <si>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</si>
  <si>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</si>
  <si>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</si>
  <si>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</si>
  <si>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ASHKONA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</si>
  <si>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</si>
  <si>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</si>
  <si>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</si>
  <si>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</si>
  <si>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</si>
  <si>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SONARGAON JANAPATH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</si>
  <si>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</si>
  <si>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</si>
  <si>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</si>
  <si>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</si>
  <si>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</si>
  <si>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</si>
  <si>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</si>
  <si>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</si>
  <si>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</si>
  <si>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</si>
  <si>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</si>
  <si>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</si>
  <si>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</si>
  <si>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</si>
  <si>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KAMARPARA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</si>
  <si>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</si>
  <si>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</si>
  <si>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</si>
  <si>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</si>
  <si>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</si>
  <si>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</si>
  <si>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</si>
  <si>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</si>
  <si>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GULSHAN-1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</si>
  <si>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</si>
  <si>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</si>
  <si>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</si>
  <si>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</si>
  <si>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</si>
  <si>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</si>
  <si>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</si>
  <si>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</si>
  <si>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</si>
  <si>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</si>
  <si>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</si>
  <si>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</si>
  <si>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</si>
  <si>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</si>
  <si>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</si>
  <si>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</si>
  <si>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</si>
  <si>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</si>
  <si>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</si>
  <si>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</si>
  <si>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RING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</si>
  <si>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</si>
  <si>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</si>
  <si>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</si>
  <si>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</si>
  <si>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</si>
  <si>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TEJGOAN LINK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</si>
  <si>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</si>
  <si>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</si>
  <si>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UTTARA MODEL TOWN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</si>
  <si>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</si>
  <si>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</si>
  <si>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</si>
  <si>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</si>
  <si>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</si>
  <si>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</si>
  <si>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</si>
  <si>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</si>
  <si>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KHOLAMORA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</si>
  <si>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</si>
  <si>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</si>
  <si>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EKORIA(KERANIGANJ)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</si>
  <si>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</si>
  <si>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</si>
  <si>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</si>
  <si>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</si>
  <si>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</si>
  <si>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</si>
  <si>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</si>
  <si>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</si>
  <si>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</si>
  <si>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</si>
  <si>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</si>
  <si>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</si>
  <si>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</si>
  <si>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</si>
  <si>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</si>
  <si>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</si>
  <si>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</si>
  <si>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MUNSHIKHOLA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</si>
  <si>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</si>
  <si>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</si>
  <si>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</si>
  <si>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</si>
  <si>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</si>
  <si>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</si>
  <si>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</si>
  <si>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</si>
  <si>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NEW ESKATON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</si>
  <si>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</si>
  <si>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</si>
  <si>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</si>
  <si>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</si>
  <si>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</si>
  <si>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TOPKHANA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</si>
  <si>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</si>
  <si>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</si>
  <si>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TOPKAHNA ISLAMI BANKING WINDOW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</si>
  <si>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</si>
  <si>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</si>
  <si>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</si>
  <si>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</si>
  <si>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</si>
  <si>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</si>
  <si>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</si>
  <si>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</si>
  <si>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</si>
  <si>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</si>
  <si>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</si>
  <si>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</si>
  <si>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</si>
  <si>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</si>
  <si>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</si>
  <si>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</si>
  <si>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</si>
  <si>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SHAFIPUR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</si>
  <si>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</si>
  <si>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</si>
  <si>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</si>
  <si>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</si>
  <si>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</si>
  <si>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KOTALIPARA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</si>
  <si>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</si>
  <si>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</si>
  <si>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PATGATI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</si>
  <si>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</si>
  <si>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</si>
  <si>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BAKSHIGANJ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</si>
  <si>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</si>
  <si>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</si>
  <si>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</si>
  <si>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</si>
  <si>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</si>
  <si>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</si>
  <si>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</si>
  <si>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</si>
  <si>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</si>
  <si>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</si>
  <si>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</si>
  <si>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KHAN JAHAN ALI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</si>
  <si>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</si>
  <si>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</si>
  <si>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</si>
  <si>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</si>
  <si>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</si>
  <si>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BHAIRAB SME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</si>
  <si>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</si>
  <si>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</si>
  <si>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</si>
  <si>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</si>
  <si>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</si>
  <si>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</si>
  <si>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</si>
  <si>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</si>
  <si>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TAKERHAT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</si>
  <si>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</si>
  <si>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</si>
  <si>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</si>
  <si>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</si>
  <si>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</si>
  <si>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</si>
  <si>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</si>
  <si>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</si>
  <si>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ATRAI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</si>
  <si>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</si>
  <si>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</si>
  <si>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BUNTI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</si>
  <si>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</si>
  <si>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</si>
  <si>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KATCHPUR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</si>
  <si>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</si>
  <si>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</si>
  <si>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</si>
  <si>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</si>
  <si>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</si>
  <si>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</si>
  <si>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</si>
  <si>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</si>
  <si>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</si>
  <si>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</si>
  <si>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</si>
  <si>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KANSAT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</si>
  <si>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</si>
  <si>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</si>
  <si>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</si>
  <si>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</si>
  <si>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</si>
  <si>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</si>
  <si>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</si>
  <si>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</si>
  <si>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SYEDPUR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</si>
  <si>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</si>
  <si>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</si>
  <si>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</si>
  <si>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</si>
  <si>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</si>
  <si>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</si>
  <si>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</si>
  <si>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</si>
  <si>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</si>
  <si>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</si>
  <si>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</si>
  <si>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</si>
  <si>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</si>
  <si>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</si>
  <si>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</si>
  <si>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</si>
  <si>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</si>
  <si>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</si>
  <si>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</si>
  <si>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</si>
  <si>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GOALANDA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</si>
  <si>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</si>
  <si>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</si>
  <si>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</si>
  <si>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</si>
  <si>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</si>
  <si>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</si>
  <si>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</si>
  <si>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</si>
  <si>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BHOJESWAR BAZAR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</si>
  <si>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</si>
  <si>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</si>
  <si>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</si>
  <si>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</si>
  <si>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</si>
  <si>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HATIKUMRUL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</si>
  <si>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</si>
  <si>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</si>
  <si>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</si>
  <si>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</si>
  <si>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</si>
  <si>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</si>
  <si>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</si>
  <si>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</si>
  <si>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</si>
  <si>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</si>
  <si>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</si>
  <si>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</si>
  <si>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</si>
  <si>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</si>
  <si>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</si>
  <si>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</si>
  <si>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STANDARD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</si>
  <si>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</si>
  <si>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</si>
  <si>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</si>
  <si>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</si>
  <si>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</si>
  <si>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</si>
  <si>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31-AGRABAD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</si>
  <si>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</si>
  <si>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</si>
  <si>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</si>
  <si>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</si>
  <si>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</si>
  <si>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CHITTAGONG(MAIN)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</si>
  <si>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</si>
  <si>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</si>
  <si>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NASIRABAD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</si>
  <si>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</si>
  <si>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</si>
  <si>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</si>
  <si>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</si>
  <si>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</si>
  <si>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DHANMONDI(ROAD-2)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</si>
  <si>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</si>
  <si>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</si>
  <si>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DHANMONDI(ROAD-5)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</si>
  <si>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</si>
  <si>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</si>
  <si>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</si>
  <si>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</si>
  <si>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</si>
  <si>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GULSHAN NORTH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</si>
  <si>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</si>
  <si>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</si>
  <si>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</si>
  <si>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</si>
  <si>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</si>
  <si>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</si>
  <si>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</si>
  <si>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</si>
  <si>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</si>
  <si>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</si>
  <si>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</si>
  <si>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</si>
  <si>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</si>
  <si>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</si>
  <si>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</si>
  <si>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</si>
  <si>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</si>
  <si>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DHAKA(MAIN)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</si>
  <si>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</si>
  <si>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</si>
  <si>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</si>
  <si>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</si>
  <si>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</si>
  <si>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</si>
  <si>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</si>
  <si>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</si>
  <si>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</si>
  <si>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</si>
  <si>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STANDARD CHARTERED BANK</t>
    </r>
  </si>
  <si>
    <r>
      <rPr>
        <rFont val="Arial MT"/>
        <color theme="1"/>
        <sz val="5.0"/>
      </rPr>
      <t>SYLHET SADAR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</si>
  <si>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</si>
  <si>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</si>
  <si>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</si>
  <si>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</si>
  <si>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</si>
  <si>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</si>
  <si>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</si>
  <si>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</si>
  <si>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</si>
  <si>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</si>
  <si>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</si>
  <si>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DHAKA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</si>
  <si>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</si>
  <si>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</si>
  <si>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</si>
  <si>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</si>
  <si>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</si>
  <si>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</si>
  <si>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</si>
  <si>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STATE BANK OF INDIA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</si>
  <si>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</si>
  <si>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</si>
  <si>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</si>
  <si>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</si>
  <si>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</si>
  <si>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</si>
  <si>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</si>
  <si>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</si>
  <si>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</si>
  <si>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</si>
  <si>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</si>
  <si>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</si>
  <si>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</si>
  <si>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</si>
  <si>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</si>
  <si>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</si>
  <si>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</si>
  <si>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</si>
  <si>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</si>
  <si>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</si>
  <si>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</si>
  <si>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</si>
  <si>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</si>
  <si>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</si>
  <si>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</si>
  <si>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</si>
  <si>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</si>
  <si>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</si>
  <si>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</si>
  <si>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</si>
  <si>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</si>
  <si>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</si>
  <si>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</si>
  <si>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BHATIARY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</si>
  <si>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</si>
  <si>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</si>
  <si>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</si>
  <si>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</si>
  <si>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</si>
  <si>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</si>
  <si>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</si>
  <si>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</si>
  <si>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</si>
  <si>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</si>
  <si>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</si>
  <si>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</si>
  <si>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</si>
  <si>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</si>
  <si>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</si>
  <si>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</si>
  <si>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</si>
  <si>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LOHAGARA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</si>
  <si>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</si>
  <si>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</si>
  <si>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</si>
  <si>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</si>
  <si>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</si>
  <si>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OXYGEN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</si>
  <si>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</si>
  <si>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</si>
  <si>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</si>
  <si>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</si>
  <si>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</si>
  <si>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</si>
  <si>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</si>
  <si>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</si>
  <si>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PRABARTAK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</si>
  <si>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</si>
  <si>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</si>
  <si>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</si>
  <si>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</si>
  <si>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</si>
  <si>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CHOUDDAGRAM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</si>
  <si>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</si>
  <si>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</si>
  <si>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</si>
  <si>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</si>
  <si>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</si>
  <si>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DAULATGANJ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</si>
  <si>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</si>
  <si>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</si>
  <si>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GOURIPUR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</si>
  <si>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</si>
  <si>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</si>
  <si>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</si>
  <si>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</si>
  <si>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</si>
  <si>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</si>
  <si>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</si>
  <si>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</si>
  <si>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SONARGAON JANAPATH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</si>
  <si>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</si>
  <si>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</si>
  <si>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JAMUNA FUTURE PARK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</si>
  <si>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</si>
  <si>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</si>
  <si>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</si>
  <si>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</si>
  <si>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</si>
  <si>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BANANI LAKE VIEW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</si>
  <si>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</si>
  <si>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</si>
  <si>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</si>
  <si>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</si>
  <si>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</si>
  <si>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DSE NUKUNJA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</si>
  <si>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</si>
  <si>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</si>
  <si>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</si>
  <si>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</si>
  <si>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</si>
  <si>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GULSHAN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</si>
  <si>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</si>
  <si>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</si>
  <si>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</si>
  <si>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</si>
  <si>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</si>
  <si>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</si>
  <si>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</si>
  <si>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</si>
  <si>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</si>
  <si>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</si>
  <si>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</si>
  <si>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</si>
  <si>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</si>
  <si>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</si>
  <si>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</si>
  <si>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</si>
  <si>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</si>
  <si>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SAVAR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</si>
  <si>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</si>
  <si>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</si>
  <si>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</si>
  <si>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</si>
  <si>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</si>
  <si>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</si>
  <si>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</si>
  <si>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</si>
  <si>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</si>
  <si>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</si>
  <si>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</si>
  <si>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B.B.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</si>
  <si>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</si>
  <si>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</si>
  <si>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BANDURA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</si>
  <si>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</si>
  <si>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</si>
  <si>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</si>
  <si>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</si>
  <si>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</si>
  <si>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</si>
  <si>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</si>
  <si>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</si>
  <si>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</si>
  <si>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</si>
  <si>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</si>
  <si>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</si>
  <si>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</si>
  <si>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</si>
  <si>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ISLAMI BANKING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</si>
  <si>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</si>
  <si>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</si>
  <si>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</si>
  <si>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</si>
  <si>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</si>
  <si>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JATRABARI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</si>
  <si>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</si>
  <si>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</si>
  <si>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JOHNSON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</si>
  <si>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</si>
  <si>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</si>
  <si>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JOYPARA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</si>
  <si>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</si>
  <si>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</si>
  <si>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</si>
  <si>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</si>
  <si>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</si>
  <si>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</si>
  <si>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</si>
  <si>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</si>
  <si>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</si>
  <si>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</si>
  <si>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</si>
  <si>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</si>
  <si>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</si>
  <si>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</si>
  <si>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</si>
  <si>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</si>
  <si>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</si>
  <si>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POSTA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</si>
  <si>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</si>
  <si>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</si>
  <si>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</si>
  <si>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</si>
  <si>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</si>
  <si>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</si>
  <si>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</si>
  <si>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</si>
  <si>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URDU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</si>
  <si>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</si>
  <si>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</si>
  <si>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VIP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</si>
  <si>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</si>
  <si>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</si>
  <si>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</si>
  <si>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</si>
  <si>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</si>
  <si>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</si>
  <si>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</si>
  <si>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</si>
  <si>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ALFADANGA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</si>
  <si>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</si>
  <si>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</si>
  <si>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</si>
  <si>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</si>
  <si>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</si>
  <si>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KANAIPUR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</si>
  <si>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</si>
  <si>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</si>
  <si>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</si>
  <si>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</si>
  <si>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</si>
  <si>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GOBINDAGANJ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</si>
  <si>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</si>
  <si>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</si>
  <si>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</si>
  <si>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</si>
  <si>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</si>
  <si>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GAZIPUR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</si>
  <si>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</si>
  <si>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</si>
  <si>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</si>
  <si>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</si>
  <si>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</si>
  <si>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HABIGANJ SME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</si>
  <si>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</si>
  <si>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</si>
  <si>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JAMALPUR SME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</si>
  <si>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</si>
  <si>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</si>
  <si>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</si>
  <si>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</si>
  <si>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</si>
  <si>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</si>
  <si>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</si>
  <si>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</si>
  <si>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</si>
  <si>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</si>
  <si>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</si>
  <si>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</si>
  <si>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</si>
  <si>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</si>
  <si>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KISHOREGANJ SME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</si>
  <si>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</si>
  <si>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</si>
  <si>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</si>
  <si>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</si>
  <si>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</si>
  <si>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</si>
  <si>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</si>
  <si>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</si>
  <si>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</si>
  <si>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</si>
  <si>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</si>
  <si>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</si>
  <si>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</si>
  <si>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</si>
  <si>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</si>
  <si>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</si>
  <si>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</si>
  <si>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</si>
  <si>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</si>
  <si>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</si>
  <si>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</si>
  <si>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</si>
  <si>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</si>
  <si>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REKABI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</si>
  <si>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</si>
  <si>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</si>
  <si>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</si>
  <si>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</si>
  <si>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</si>
  <si>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</si>
  <si>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</si>
  <si>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</si>
  <si>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</si>
  <si>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</si>
  <si>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</si>
  <si>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NETAIGANJ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</si>
  <si>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</si>
  <si>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</si>
  <si>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</si>
  <si>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</si>
  <si>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</si>
  <si>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</si>
  <si>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</si>
  <si>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</si>
  <si>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</si>
  <si>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</si>
  <si>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</si>
  <si>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NATORE SME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</si>
  <si>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</si>
  <si>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</si>
  <si>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</si>
  <si>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</si>
  <si>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</si>
  <si>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ROHANPUR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</si>
  <si>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</si>
  <si>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</si>
  <si>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</si>
  <si>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</si>
  <si>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</si>
  <si>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</si>
  <si>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</si>
  <si>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</si>
  <si>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KABIRHAT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</si>
  <si>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</si>
  <si>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</si>
  <si>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MAIJDEE SME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</si>
  <si>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</si>
  <si>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</si>
  <si>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SENBAGH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</si>
  <si>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</si>
  <si>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</si>
  <si>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SUBARNA CHAR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</si>
  <si>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</si>
  <si>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</si>
  <si>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</si>
  <si>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</si>
  <si>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</si>
  <si>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</si>
  <si>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</si>
  <si>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</si>
  <si>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</si>
  <si>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</si>
  <si>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</si>
  <si>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</si>
  <si>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</si>
  <si>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</si>
  <si>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</si>
  <si>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</si>
  <si>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</si>
  <si>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CHHATAK SME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</si>
  <si>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</si>
  <si>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</si>
  <si>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</si>
  <si>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</si>
  <si>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</si>
  <si>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</si>
  <si>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</si>
  <si>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</si>
  <si>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</si>
  <si>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</si>
  <si>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</si>
  <si>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</si>
  <si>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</si>
  <si>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</si>
  <si>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</si>
  <si>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</si>
  <si>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</si>
  <si>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BANDAR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</si>
  <si>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</si>
  <si>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</si>
  <si>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</si>
  <si>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</si>
  <si>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THE CITY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</si>
  <si>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</si>
  <si>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</si>
  <si>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</si>
  <si>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</si>
  <si>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</si>
  <si>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</si>
  <si>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</si>
  <si>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</si>
  <si>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</si>
  <si>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</si>
  <si>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</si>
  <si>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</si>
  <si>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</si>
  <si>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</si>
  <si>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</si>
  <si>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MURADPUR C.D.A.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</si>
  <si>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</si>
  <si>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</si>
  <si>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</si>
  <si>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</si>
  <si>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</si>
  <si>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</si>
  <si>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</si>
  <si>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</si>
  <si>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</si>
  <si>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</si>
  <si>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</si>
  <si>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IDB BHABAN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</si>
  <si>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</si>
  <si>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</si>
  <si>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</si>
  <si>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</si>
  <si>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</si>
  <si>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MIRPUR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</si>
  <si>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</si>
  <si>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</si>
  <si>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</si>
  <si>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</si>
  <si>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</si>
  <si>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</si>
  <si>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</si>
  <si>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</si>
  <si>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</si>
  <si>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</si>
  <si>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</si>
  <si>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</si>
  <si>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</si>
  <si>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</si>
  <si>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</si>
  <si>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</si>
  <si>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</si>
  <si>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</si>
  <si>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</si>
  <si>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</si>
  <si>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</si>
  <si>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</si>
  <si>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</si>
  <si>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</si>
  <si>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</si>
  <si>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</si>
  <si>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VIP ROAD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</si>
  <si>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</si>
  <si>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</si>
  <si>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</si>
  <si>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</si>
  <si>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</si>
  <si>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</si>
  <si>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</si>
  <si>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</si>
  <si>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BENAPOLE BAZAR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</si>
  <si>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</si>
  <si>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</si>
  <si>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</si>
  <si>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</si>
  <si>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</si>
  <si>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</si>
  <si>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</si>
  <si>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</si>
  <si>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</si>
  <si>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</si>
  <si>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</si>
  <si>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</si>
  <si>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</si>
  <si>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</si>
  <si>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</si>
  <si>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</si>
  <si>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</si>
  <si>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</si>
  <si>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</si>
  <si>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</si>
  <si>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</si>
  <si>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</si>
  <si>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</si>
  <si>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</si>
  <si>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</si>
  <si>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</si>
  <si>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</si>
  <si>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</si>
  <si>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</si>
  <si>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BISHWANATH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</si>
  <si>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</si>
  <si>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ICB ISLAMIC BANK LTD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</si>
  <si>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</si>
  <si>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</si>
  <si>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</si>
  <si>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</si>
  <si>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</si>
  <si>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</si>
  <si>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</si>
  <si>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</si>
  <si>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</si>
  <si>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BOROGOLA SME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</si>
  <si>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</si>
  <si>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</si>
  <si>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</si>
  <si>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</si>
  <si>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</si>
  <si>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BRAHMANBARIA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</si>
  <si>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</si>
  <si>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</si>
  <si>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</si>
  <si>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</si>
  <si>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</si>
  <si>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</si>
  <si>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</si>
  <si>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</si>
  <si>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CHITTAGONG EPZ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</si>
  <si>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</si>
  <si>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</si>
  <si>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</si>
  <si>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</si>
  <si>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</si>
  <si>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</si>
  <si>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</si>
  <si>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</si>
  <si>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</si>
  <si>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</si>
  <si>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</si>
  <si>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</si>
  <si>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</si>
  <si>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</si>
  <si>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</si>
  <si>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</si>
  <si>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</si>
  <si>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</si>
  <si>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</si>
  <si>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</si>
  <si>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SHANTIR HAT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</si>
  <si>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</si>
  <si>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</si>
  <si>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</si>
  <si>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</si>
  <si>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</si>
  <si>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</si>
  <si>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</si>
  <si>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</si>
  <si>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COX'S BAZAR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</si>
  <si>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</si>
  <si>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</si>
  <si>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GARIB-E-NEWAZ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</si>
  <si>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</si>
  <si>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</si>
  <si>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DHANMONDI 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</si>
  <si>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</si>
  <si>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</si>
  <si>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ASHKONA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</si>
  <si>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</si>
  <si>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</si>
  <si>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</si>
  <si>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</si>
  <si>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</si>
  <si>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GULSHAN LINK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</si>
  <si>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</si>
  <si>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</si>
  <si>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</si>
  <si>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</si>
  <si>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</si>
  <si>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BANANI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</si>
  <si>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</si>
  <si>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</si>
  <si>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</si>
  <si>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</si>
  <si>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</si>
  <si>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BARIDHARA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</si>
  <si>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</si>
  <si>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</si>
  <si>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</si>
  <si>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</si>
  <si>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</si>
  <si>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GULSHAN GLASS HOUSE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</si>
  <si>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</si>
  <si>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</si>
  <si>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</si>
  <si>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</si>
  <si>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</si>
  <si>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</si>
  <si>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</si>
  <si>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</si>
  <si>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</si>
  <si>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</si>
  <si>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</si>
  <si>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GULSHAN CIRCLE-2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</si>
  <si>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</si>
  <si>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</si>
  <si>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GULSHAN TEJGAON LINK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</si>
  <si>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</si>
  <si>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</si>
  <si>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</si>
  <si>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</si>
  <si>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</si>
  <si>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KARWAN BAZAR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</si>
  <si>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</si>
  <si>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</si>
  <si>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MIRPUR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</si>
  <si>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</si>
  <si>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</si>
  <si>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MIRPUR SECTION-1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</si>
  <si>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</si>
  <si>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</si>
  <si>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MOHAKHALI(IBB)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</si>
  <si>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</si>
  <si>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</si>
  <si>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MOHAMMADPUR SME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</si>
  <si>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</si>
  <si>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</si>
  <si>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DHAKA 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</si>
  <si>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</si>
  <si>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</si>
  <si>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</si>
  <si>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</si>
  <si>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</si>
  <si>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</si>
  <si>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</si>
  <si>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</si>
  <si>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ROKEYA SHARANI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</si>
  <si>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</si>
  <si>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</si>
  <si>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SATARKUL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</si>
  <si>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</si>
  <si>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</si>
  <si>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</si>
  <si>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</si>
  <si>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</si>
  <si>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SAVAR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</si>
  <si>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</si>
  <si>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</si>
  <si>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</si>
  <si>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</si>
  <si>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</si>
  <si>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</si>
  <si>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</si>
  <si>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</si>
  <si>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</si>
  <si>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</si>
  <si>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</si>
  <si>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</si>
  <si>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</si>
  <si>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</si>
  <si>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BANGLA BAZAR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</si>
  <si>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</si>
  <si>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</si>
  <si>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</si>
  <si>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</si>
  <si>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</si>
  <si>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DANIA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</si>
  <si>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</si>
  <si>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</si>
  <si>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</si>
  <si>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</si>
  <si>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</si>
  <si>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DILKUSHA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</si>
  <si>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</si>
  <si>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</si>
  <si>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HEAD OFFICE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</si>
  <si>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</si>
  <si>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</si>
  <si>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</si>
  <si>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</si>
  <si>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</si>
  <si>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</si>
  <si>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</si>
  <si>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</si>
  <si>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KALAKOPA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</si>
  <si>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</si>
  <si>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</si>
  <si>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KERANIGANJ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</si>
  <si>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</si>
  <si>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</si>
  <si>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MALIBAGH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</si>
  <si>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</si>
  <si>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</si>
  <si>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</si>
  <si>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</si>
  <si>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</si>
  <si>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</si>
  <si>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</si>
  <si>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</si>
  <si>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</si>
  <si>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</si>
  <si>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</si>
  <si>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RAMPURA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</si>
  <si>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</si>
  <si>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</si>
  <si>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</si>
  <si>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</si>
  <si>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</si>
  <si>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</si>
  <si>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</si>
  <si>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</si>
  <si>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</si>
  <si>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</si>
  <si>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</si>
  <si>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</si>
  <si>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</si>
  <si>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</si>
  <si>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</si>
  <si>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</si>
  <si>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</si>
  <si>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</si>
  <si>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</si>
  <si>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</si>
  <si>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</si>
  <si>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</si>
  <si>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</si>
  <si>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</si>
  <si>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</si>
  <si>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</si>
  <si>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</si>
  <si>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</si>
  <si>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</si>
  <si>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TUNGI 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</si>
  <si>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</si>
  <si>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</si>
  <si>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</si>
  <si>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</si>
  <si>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</si>
  <si>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</si>
  <si>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</si>
  <si>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</si>
  <si>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BASHGARI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</si>
  <si>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</si>
  <si>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</si>
  <si>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</si>
  <si>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</si>
  <si>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</si>
  <si>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</si>
  <si>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</si>
  <si>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</si>
  <si>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</si>
  <si>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</si>
  <si>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</si>
  <si>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</si>
  <si>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</si>
  <si>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</si>
  <si>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</si>
  <si>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</si>
  <si>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</si>
  <si>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SHAYMGANJ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</si>
  <si>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</si>
  <si>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</si>
  <si>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</si>
  <si>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</si>
  <si>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</si>
  <si>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KALIBARI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</si>
  <si>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</si>
  <si>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</si>
  <si>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</si>
  <si>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</si>
  <si>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</si>
  <si>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MADANPUR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</si>
  <si>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</si>
  <si>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</si>
  <si>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MEGHNAGHAT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</si>
  <si>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</si>
  <si>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</si>
  <si>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</si>
  <si>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</si>
  <si>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</si>
  <si>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PAGLA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</si>
  <si>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</si>
  <si>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</si>
  <si>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DANGA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</si>
  <si>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</si>
  <si>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</si>
  <si>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</si>
  <si>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</si>
  <si>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</si>
  <si>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</si>
  <si>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</si>
  <si>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</si>
  <si>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</si>
  <si>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</si>
  <si>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</si>
  <si>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CHOWMUHANI SME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</si>
  <si>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</si>
  <si>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</si>
  <si>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KALAPARA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</si>
  <si>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</si>
  <si>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</si>
  <si>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</si>
  <si>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</si>
  <si>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</si>
  <si>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</si>
  <si>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</si>
  <si>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</si>
  <si>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BAGHABARIGHAT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</si>
  <si>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</si>
  <si>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</si>
  <si>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SERAJGANJ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</si>
  <si>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</si>
  <si>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</si>
  <si>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</si>
  <si>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</si>
  <si>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</si>
  <si>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SYLHET(ISLAMI BANKING)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</si>
  <si>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</si>
  <si>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</si>
  <si>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ELENGA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</si>
  <si>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</si>
  <si>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THE PREMIER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</si>
  <si>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</si>
  <si>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</si>
  <si>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</si>
  <si>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</si>
  <si>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</si>
  <si>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</si>
  <si>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MONGLA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</si>
  <si>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</si>
  <si>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</si>
  <si>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</si>
  <si>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</si>
  <si>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</si>
  <si>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</si>
  <si>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</si>
  <si>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</si>
  <si>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BOGRA CANTONMENT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</si>
  <si>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</si>
  <si>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</si>
  <si>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</si>
  <si>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</si>
  <si>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</si>
  <si>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</si>
  <si>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</si>
  <si>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</si>
  <si>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</si>
  <si>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</si>
  <si>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</si>
  <si>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</si>
  <si>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</si>
  <si>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</si>
  <si>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RADISSON BLU CHITTAGONG BAY VIEW HOTEL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</si>
  <si>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</si>
  <si>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</si>
  <si>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AMIRABAD LOHAGORA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</si>
  <si>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</si>
  <si>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</si>
  <si>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</si>
  <si>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</si>
  <si>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</si>
  <si>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CHITTAGONG 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</si>
  <si>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</si>
  <si>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</si>
  <si>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CHITTAGONG CANTONMENT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</si>
  <si>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</si>
  <si>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</si>
  <si>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DEWAN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</si>
  <si>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</si>
  <si>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</si>
  <si>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</si>
  <si>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</si>
  <si>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</si>
  <si>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</si>
  <si>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</si>
  <si>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</si>
  <si>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</si>
  <si>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</si>
  <si>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</si>
  <si>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NAVAL BASE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</si>
  <si>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</si>
  <si>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</si>
  <si>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TITAS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</si>
  <si>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</si>
  <si>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</si>
  <si>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MALIGAON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</si>
  <si>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</si>
  <si>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</si>
  <si>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</si>
  <si>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</si>
  <si>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</si>
  <si>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COMILLA CANTONMENT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</si>
  <si>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</si>
  <si>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</si>
  <si>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</si>
  <si>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</si>
  <si>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</si>
  <si>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</si>
  <si>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</si>
  <si>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</si>
  <si>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RAMU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</si>
  <si>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</si>
  <si>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</si>
  <si>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</si>
  <si>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</si>
  <si>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</si>
  <si>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</si>
  <si>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</si>
  <si>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</si>
  <si>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DHAMRAI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</si>
  <si>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</si>
  <si>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</si>
  <si>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</si>
  <si>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</si>
  <si>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</si>
  <si>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</si>
  <si>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</si>
  <si>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</si>
  <si>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GULSHAN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</si>
  <si>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</si>
  <si>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</si>
  <si>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KAFRUL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</si>
  <si>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</si>
  <si>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</si>
  <si>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</si>
  <si>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</si>
  <si>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</si>
  <si>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KHWAJA GARIB NEWAZ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</si>
  <si>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</si>
  <si>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</si>
  <si>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MILLENNIUM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</si>
  <si>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</si>
  <si>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</si>
  <si>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</si>
  <si>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</si>
  <si>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</si>
  <si>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</si>
  <si>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</si>
  <si>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</si>
  <si>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CENTENNIAL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</si>
  <si>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</si>
  <si>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</si>
  <si>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</si>
  <si>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</si>
  <si>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</si>
  <si>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RADISSON WATER GARDEN HOTEL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</si>
  <si>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</si>
  <si>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</si>
  <si>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SAVAR CANTONMENT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</si>
  <si>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</si>
  <si>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</si>
  <si>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UTTARA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</si>
  <si>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</si>
  <si>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</si>
  <si>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</si>
  <si>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</si>
  <si>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</si>
  <si>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TARANAGAR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</si>
  <si>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</si>
  <si>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</si>
  <si>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DHOLAIKHAL SME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</si>
  <si>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</si>
  <si>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</si>
  <si>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DILKUSHA 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</si>
  <si>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</si>
  <si>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</si>
  <si>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</si>
  <si>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</si>
  <si>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</si>
  <si>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</si>
  <si>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</si>
  <si>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</si>
  <si>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</si>
  <si>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</si>
  <si>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</si>
  <si>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</si>
  <si>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</si>
  <si>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</si>
  <si>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PATUATULI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</si>
  <si>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</si>
  <si>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</si>
  <si>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</si>
  <si>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</si>
  <si>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</si>
  <si>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SENA KALYAN BHABAN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</si>
  <si>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</si>
  <si>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</si>
  <si>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BIR UTTAM SHAHEED MAHBUB CANTONMENT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</si>
  <si>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</si>
  <si>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</si>
  <si>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AULIAPUR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</si>
  <si>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</si>
  <si>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</si>
  <si>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</si>
  <si>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</si>
  <si>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</si>
  <si>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</si>
  <si>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</si>
  <si>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</si>
  <si>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GAZIPUR SENANIBAS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</si>
  <si>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</si>
  <si>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</si>
  <si>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MIRERBAZAR SME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</si>
  <si>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</si>
  <si>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</si>
  <si>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</si>
  <si>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</si>
  <si>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</si>
  <si>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RAJENDRAPUR CANTONMENT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</si>
  <si>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</si>
  <si>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</si>
  <si>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</si>
  <si>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</si>
  <si>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</si>
  <si>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</si>
  <si>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</si>
  <si>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</si>
  <si>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</si>
  <si>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</si>
  <si>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</si>
  <si>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JESSORE CANTONMENT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</si>
  <si>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</si>
  <si>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</si>
  <si>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</si>
  <si>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</si>
  <si>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</si>
  <si>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KHAGRACHARI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</si>
  <si>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</si>
  <si>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</si>
  <si>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</si>
  <si>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</si>
  <si>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</si>
  <si>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JAHANABAD CANTONMENT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</si>
  <si>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</si>
  <si>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</si>
  <si>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</si>
  <si>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</si>
  <si>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</si>
  <si>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BHAIRAB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</si>
  <si>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</si>
  <si>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</si>
  <si>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</si>
  <si>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</si>
  <si>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</si>
  <si>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</si>
  <si>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</si>
  <si>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</si>
  <si>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</si>
  <si>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</si>
  <si>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</si>
  <si>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</si>
  <si>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</si>
  <si>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</si>
  <si>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MANIKGANJ SME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</si>
  <si>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</si>
  <si>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</si>
  <si>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</si>
  <si>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</si>
  <si>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</si>
  <si>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SREENAGAR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</si>
  <si>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</si>
  <si>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</si>
  <si>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SHAMBHUGONJ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</si>
  <si>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</si>
  <si>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</si>
  <si>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MYMENSINGH CANTONMENT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</si>
  <si>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</si>
  <si>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</si>
  <si>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KANCHPUR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</si>
  <si>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</si>
  <si>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</si>
  <si>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</si>
  <si>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</si>
  <si>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</si>
  <si>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MADHABDI SME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</si>
  <si>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</si>
  <si>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</si>
  <si>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</si>
  <si>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</si>
  <si>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</si>
  <si>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DAYARAMPUR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</si>
  <si>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</si>
  <si>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</si>
  <si>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NATORE SME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</si>
  <si>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</si>
  <si>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</si>
  <si>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</si>
  <si>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</si>
  <si>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</si>
  <si>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SAYEDPUR CANTONMENT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</si>
  <si>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</si>
  <si>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</si>
  <si>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</si>
  <si>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</si>
  <si>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</si>
  <si>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KABIRHAT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</si>
  <si>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</si>
  <si>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</si>
  <si>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DASHURIA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</si>
  <si>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</si>
  <si>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</si>
  <si>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</si>
  <si>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</si>
  <si>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</si>
  <si>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PANGSHA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</si>
  <si>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</si>
  <si>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</si>
  <si>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</si>
  <si>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</si>
  <si>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</si>
  <si>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RANGPUR CANTONMENT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</si>
  <si>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</si>
  <si>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</si>
  <si>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SHATIBARI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</si>
  <si>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</si>
  <si>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</si>
  <si>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BHEDERGANJ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</si>
  <si>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</si>
  <si>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</si>
  <si>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</si>
  <si>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</si>
  <si>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</si>
  <si>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KHAWJA YUNUS ALI MEDICAL COLLEGE &amp; HOSPITAL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</si>
  <si>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</si>
  <si>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</si>
  <si>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TAMAI SME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</si>
  <si>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</si>
  <si>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</si>
  <si>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</si>
  <si>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</si>
  <si>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</si>
  <si>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</si>
  <si>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</si>
  <si>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</si>
  <si>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</si>
  <si>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</si>
  <si>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</si>
  <si>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GOLAPGANJ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</si>
  <si>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</si>
  <si>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</si>
  <si>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JALALABAD CANTONMENT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</si>
  <si>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</si>
  <si>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</si>
  <si>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KAZIR BAZAR SME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</si>
  <si>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</si>
  <si>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</si>
  <si>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MADINA MARKET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</si>
  <si>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</si>
  <si>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</si>
  <si>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SHAHJALAL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</si>
  <si>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</si>
  <si>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</si>
  <si>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SYLHET CORPORATE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</si>
  <si>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</si>
  <si>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</si>
  <si>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BANGABANDHU BRIDGE SHAHEED SALAHUDDIN CANTONMENT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</si>
  <si>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</si>
  <si>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TRUST BANK LTD.</t>
    </r>
  </si>
  <si>
    <r>
      <rPr>
        <rFont val="Arial MT"/>
        <color theme="1"/>
        <sz val="5.0"/>
      </rPr>
      <t>GHATAIL CANTONMENT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</si>
  <si>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</si>
  <si>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</si>
  <si>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BANDARBAN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</si>
  <si>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</si>
  <si>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</si>
  <si>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</si>
  <si>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</si>
  <si>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</si>
  <si>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</si>
  <si>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</si>
  <si>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</si>
  <si>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</si>
  <si>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</si>
  <si>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</si>
  <si>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BANCHARAMPUR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</si>
  <si>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</si>
  <si>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</si>
  <si>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</si>
  <si>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</si>
  <si>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</si>
  <si>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KASBA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</si>
  <si>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</si>
  <si>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</si>
  <si>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</si>
  <si>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</si>
  <si>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</si>
  <si>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ENAYET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</si>
  <si>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</si>
  <si>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</si>
  <si>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DAMPARA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</si>
  <si>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</si>
  <si>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</si>
  <si>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</si>
  <si>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</si>
  <si>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</si>
  <si>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CHORPATHARGHATA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</si>
  <si>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</si>
  <si>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</si>
  <si>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ANDERKILLA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</si>
  <si>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</si>
  <si>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</si>
  <si>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</si>
  <si>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</si>
  <si>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</si>
  <si>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OXYGEN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</si>
  <si>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</si>
  <si>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</si>
  <si>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AZADI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</si>
  <si>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</si>
  <si>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</si>
  <si>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BAHADDAR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</si>
  <si>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</si>
  <si>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</si>
  <si>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</si>
  <si>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</si>
  <si>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</si>
  <si>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BATTALI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</si>
  <si>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</si>
  <si>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</si>
  <si>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</si>
  <si>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</si>
  <si>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</si>
  <si>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</si>
  <si>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</si>
  <si>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</si>
  <si>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CHITTAGONG MEDICAL COLLEGE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</si>
  <si>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</si>
  <si>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</si>
  <si>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CHOWDHURI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</si>
  <si>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</si>
  <si>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</si>
  <si>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</si>
  <si>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</si>
  <si>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</si>
  <si>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</si>
  <si>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</si>
  <si>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</si>
  <si>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GOHIRA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</si>
  <si>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</si>
  <si>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</si>
  <si>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</si>
  <si>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</si>
  <si>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</si>
  <si>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HATHAZARI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</si>
  <si>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</si>
  <si>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</si>
  <si>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</si>
  <si>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</si>
  <si>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</si>
  <si>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KADAMTALI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</si>
  <si>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</si>
  <si>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</si>
  <si>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KAMAL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</si>
  <si>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</si>
  <si>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</si>
  <si>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KATGHAR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</si>
  <si>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</si>
  <si>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</si>
  <si>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</si>
  <si>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</si>
  <si>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</si>
  <si>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</si>
  <si>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</si>
  <si>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</si>
  <si>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MADHUNA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</si>
  <si>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</si>
  <si>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</si>
  <si>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</si>
  <si>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</si>
  <si>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</si>
  <si>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NAZIR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</si>
  <si>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</si>
  <si>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</si>
  <si>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</si>
  <si>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</si>
  <si>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</si>
  <si>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</si>
  <si>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</si>
  <si>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</si>
  <si>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</si>
  <si>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</si>
  <si>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</si>
  <si>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PORT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</si>
  <si>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</si>
  <si>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</si>
  <si>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RANGUNIA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</si>
  <si>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</si>
  <si>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</si>
  <si>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RAOZAN SME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</si>
  <si>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</si>
  <si>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</si>
  <si>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</si>
  <si>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</si>
  <si>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</si>
  <si>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</si>
  <si>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</si>
  <si>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</si>
  <si>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</si>
  <si>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</si>
  <si>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</si>
  <si>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JHAWTALA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</si>
  <si>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</si>
  <si>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</si>
  <si>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</si>
  <si>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</si>
  <si>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</si>
  <si>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CHAKARIA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</si>
  <si>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</si>
  <si>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</si>
  <si>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</si>
  <si>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</si>
  <si>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</si>
  <si>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</si>
  <si>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</si>
  <si>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</si>
  <si>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NIKUNJA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</si>
  <si>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</si>
  <si>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</si>
  <si>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</si>
  <si>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</si>
  <si>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</si>
  <si>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SONARGAON AVENUE MOHILA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</si>
  <si>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</si>
  <si>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</si>
  <si>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</si>
  <si>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</si>
  <si>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</si>
  <si>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</si>
  <si>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</si>
  <si>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</si>
  <si>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</si>
  <si>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</si>
  <si>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</si>
  <si>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KHILKHET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</si>
  <si>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</si>
  <si>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</si>
  <si>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DAKSHIN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</si>
  <si>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</si>
  <si>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</si>
  <si>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DARUS-SALAM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</si>
  <si>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</si>
  <si>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</si>
  <si>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</si>
  <si>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</si>
  <si>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</si>
  <si>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</si>
  <si>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</si>
  <si>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</si>
  <si>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ESKATON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</si>
  <si>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</si>
  <si>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</si>
  <si>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KAMARPARA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</si>
  <si>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</si>
  <si>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</si>
  <si>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</si>
  <si>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</si>
  <si>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</si>
  <si>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GULSHAN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</si>
  <si>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</si>
  <si>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</si>
  <si>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</si>
  <si>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</si>
  <si>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</si>
  <si>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</si>
  <si>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</si>
  <si>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</si>
  <si>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MIRPUR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</si>
  <si>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</si>
  <si>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</si>
  <si>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</si>
  <si>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</si>
  <si>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</si>
  <si>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</si>
  <si>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</si>
  <si>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</si>
  <si>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</si>
  <si>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</si>
  <si>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</si>
  <si>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PRAGATI SARANI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</si>
  <si>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</si>
  <si>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</si>
  <si>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SATARKUL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</si>
  <si>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</si>
  <si>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</si>
  <si>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</si>
  <si>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</si>
  <si>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</si>
  <si>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TEJGAON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</si>
  <si>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</si>
  <si>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</si>
  <si>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UTTAR KHAN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</si>
  <si>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</si>
  <si>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</si>
  <si>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</si>
  <si>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</si>
  <si>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</si>
  <si>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</si>
  <si>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</si>
  <si>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</si>
  <si>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SARULIA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</si>
  <si>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</si>
  <si>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</si>
  <si>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BANGSHAL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</si>
  <si>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</si>
  <si>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</si>
  <si>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BIJOY 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</si>
  <si>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</si>
  <si>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</si>
  <si>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</si>
  <si>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</si>
  <si>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</si>
  <si>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</si>
  <si>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</si>
  <si>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</si>
  <si>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</si>
  <si>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</si>
  <si>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</si>
  <si>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</si>
  <si>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</si>
  <si>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</si>
  <si>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</si>
  <si>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</si>
  <si>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</si>
  <si>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</si>
  <si>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</si>
  <si>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</si>
  <si>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</si>
  <si>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</si>
  <si>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</si>
  <si>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</si>
  <si>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</si>
  <si>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</si>
  <si>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KHILGAON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</si>
  <si>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</si>
  <si>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</si>
  <si>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MALIBAGH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</si>
  <si>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</si>
  <si>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</si>
  <si>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MATUAIL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</si>
  <si>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</si>
  <si>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</si>
  <si>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</si>
  <si>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</si>
  <si>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</si>
  <si>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</si>
  <si>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</si>
  <si>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</si>
  <si>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</si>
  <si>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</si>
  <si>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</si>
  <si>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NORTH BROOK HALL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</si>
  <si>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</si>
  <si>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</si>
  <si>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</si>
  <si>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</si>
  <si>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</si>
  <si>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SONARGAON JANAPATH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</si>
  <si>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</si>
  <si>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</si>
  <si>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ZINZIRA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</si>
  <si>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</si>
  <si>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</si>
  <si>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</si>
  <si>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</si>
  <si>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</si>
  <si>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</si>
  <si>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</si>
  <si>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</si>
  <si>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SATOIRE BAZAR SME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</si>
  <si>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</si>
  <si>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</si>
  <si>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KANAIPUR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</si>
  <si>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</si>
  <si>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</si>
  <si>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</si>
  <si>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</si>
  <si>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</si>
  <si>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BHAWAL MIRZAPUR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</si>
  <si>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</si>
  <si>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</si>
  <si>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</si>
  <si>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</si>
  <si>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</si>
  <si>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</si>
  <si>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</si>
  <si>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</si>
  <si>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KALIGANJ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</si>
  <si>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</si>
  <si>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</si>
  <si>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KAPASIA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</si>
  <si>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</si>
  <si>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</si>
  <si>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</si>
  <si>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</si>
  <si>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</si>
  <si>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MAUNA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</si>
  <si>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</si>
  <si>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</si>
  <si>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</si>
  <si>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</si>
  <si>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</si>
  <si>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TONGI STATION ROAD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</si>
  <si>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</si>
  <si>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</si>
  <si>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</si>
  <si>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</si>
  <si>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</si>
  <si>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</si>
  <si>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</si>
  <si>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</si>
  <si>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</si>
  <si>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</si>
  <si>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</si>
  <si>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</si>
  <si>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</si>
  <si>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</si>
  <si>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NOAPARA BAZAR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</si>
  <si>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</si>
  <si>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</si>
  <si>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</si>
  <si>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</si>
  <si>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</si>
  <si>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KHAN JAHAN ALI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</si>
  <si>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</si>
  <si>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</si>
  <si>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</si>
  <si>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</si>
  <si>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</si>
  <si>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</si>
  <si>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</si>
  <si>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</si>
  <si>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</si>
  <si>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</si>
  <si>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</si>
  <si>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</si>
  <si>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</si>
  <si>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</si>
  <si>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</si>
  <si>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</si>
  <si>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</si>
  <si>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</si>
  <si>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</si>
  <si>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</si>
  <si>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</si>
  <si>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</si>
  <si>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</si>
  <si>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BALASUR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</si>
  <si>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</si>
  <si>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</si>
  <si>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</si>
  <si>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</si>
  <si>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</si>
  <si>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</si>
  <si>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</si>
  <si>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</si>
  <si>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</si>
  <si>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</si>
  <si>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</si>
  <si>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KANCHPUR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</si>
  <si>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</si>
  <si>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</si>
  <si>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</si>
  <si>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</si>
  <si>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</si>
  <si>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CHASHARA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</si>
  <si>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</si>
  <si>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</si>
  <si>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GOPALDI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</si>
  <si>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</si>
  <si>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</si>
  <si>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KANCHAN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</si>
  <si>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</si>
  <si>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</si>
  <si>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MEGHNAGHAT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</si>
  <si>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</si>
  <si>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</si>
  <si>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</si>
  <si>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</si>
  <si>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</si>
  <si>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PAGLA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</si>
  <si>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</si>
  <si>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</si>
  <si>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CHINISHPUR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</si>
  <si>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</si>
  <si>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</si>
  <si>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DANGA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</si>
  <si>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</si>
  <si>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</si>
  <si>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</si>
  <si>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</si>
  <si>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</si>
  <si>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</si>
  <si>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</si>
  <si>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</si>
  <si>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</si>
  <si>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</si>
  <si>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</si>
  <si>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</si>
  <si>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</si>
  <si>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</si>
  <si>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KAZIRHAT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</si>
  <si>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</si>
  <si>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</si>
  <si>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</si>
  <si>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</si>
  <si>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</si>
  <si>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</si>
  <si>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</si>
  <si>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</si>
  <si>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SONAIMURI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</si>
  <si>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</si>
  <si>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</si>
  <si>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</si>
  <si>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</si>
  <si>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</si>
  <si>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BANESHWAR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</si>
  <si>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</si>
  <si>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</si>
  <si>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</si>
  <si>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</si>
  <si>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</si>
  <si>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</si>
  <si>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</si>
  <si>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</si>
  <si>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</si>
  <si>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</si>
  <si>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</si>
  <si>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BARAKANDI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</si>
  <si>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</si>
  <si>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</si>
  <si>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ENAYETPUR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</si>
  <si>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</si>
  <si>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</si>
  <si>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</si>
  <si>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</si>
  <si>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</si>
  <si>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</si>
  <si>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</si>
  <si>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</si>
  <si>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</si>
  <si>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</si>
  <si>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</si>
  <si>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</si>
  <si>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</si>
  <si>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</si>
  <si>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</si>
  <si>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</si>
  <si>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</si>
  <si>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</si>
  <si>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</si>
  <si>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</si>
  <si>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</si>
  <si>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</si>
  <si>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</si>
  <si>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LAMABAZAR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</si>
  <si>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</si>
  <si>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</si>
  <si>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SHAHJALAL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</si>
  <si>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</si>
  <si>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</si>
  <si>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</si>
  <si>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</si>
  <si>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</si>
  <si>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SHIBGANJ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</si>
  <si>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</si>
  <si>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</si>
  <si>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SUBID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</si>
  <si>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</si>
  <si>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</si>
  <si>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</si>
  <si>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</si>
  <si>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</si>
  <si>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</si>
  <si>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</si>
  <si>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</si>
  <si>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GHATAIL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</si>
  <si>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</si>
  <si>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UNITED COMMERCIAL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</si>
  <si>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</si>
  <si>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</si>
  <si>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</si>
  <si>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</si>
  <si>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</si>
  <si>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</si>
  <si>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MONGLA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</si>
  <si>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</si>
  <si>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</si>
  <si>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BARGUNA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</si>
  <si>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</si>
  <si>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</si>
  <si>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</si>
  <si>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</si>
  <si>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</si>
  <si>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</si>
  <si>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</si>
  <si>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</si>
  <si>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</si>
  <si>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</si>
  <si>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</si>
  <si>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</si>
  <si>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</si>
  <si>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</si>
  <si>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DAULATKHAN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</si>
  <si>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</si>
  <si>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</si>
  <si>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LALMOHAN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</si>
  <si>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</si>
  <si>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</si>
  <si>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TAZUMUDDIN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</si>
  <si>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</si>
  <si>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</si>
  <si>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</si>
  <si>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</si>
  <si>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</si>
  <si>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</si>
  <si>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</si>
  <si>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</si>
  <si>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DHARKHAR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</si>
  <si>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</si>
  <si>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</si>
  <si>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GOPINATHPUR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</si>
  <si>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</si>
  <si>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</si>
  <si>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</si>
  <si>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</si>
  <si>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</si>
  <si>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</si>
  <si>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</si>
  <si>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</si>
  <si>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BARAIYER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</si>
  <si>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</si>
  <si>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</si>
  <si>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BANDARTILA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</si>
  <si>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</si>
  <si>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</si>
  <si>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CHAKTAI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</si>
  <si>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</si>
  <si>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</si>
  <si>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</si>
  <si>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</si>
  <si>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</si>
  <si>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HALISHAHAR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</si>
  <si>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</si>
  <si>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</si>
  <si>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</si>
  <si>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</si>
  <si>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</si>
  <si>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KATGHAR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</si>
  <si>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</si>
  <si>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</si>
  <si>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</si>
  <si>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</si>
  <si>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</si>
  <si>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LALDIGHI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</si>
  <si>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</si>
  <si>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</si>
  <si>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LALKHAN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</si>
  <si>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</si>
  <si>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</si>
  <si>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</si>
  <si>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</si>
  <si>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</si>
  <si>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NASIRABAD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</si>
  <si>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</si>
  <si>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</si>
  <si>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</si>
  <si>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</si>
  <si>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</si>
  <si>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REAZUDDIN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</si>
  <si>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</si>
  <si>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</si>
  <si>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</si>
  <si>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</si>
  <si>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</si>
  <si>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SANDWIP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</si>
  <si>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</si>
  <si>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</si>
  <si>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SITAKUNDA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</si>
  <si>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</si>
  <si>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</si>
  <si>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SK. MUJIB ROAD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</si>
  <si>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</si>
  <si>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</si>
  <si>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SAROJGANJ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</si>
  <si>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</si>
  <si>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</si>
  <si>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CHUADANGA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</si>
  <si>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</si>
  <si>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</si>
  <si>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B.G.S.L.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</si>
  <si>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</si>
  <si>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</si>
  <si>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</si>
  <si>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</si>
  <si>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</si>
  <si>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</si>
  <si>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</si>
  <si>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</si>
  <si>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</si>
  <si>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</si>
  <si>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</si>
  <si>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MUDAFARGANJ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</si>
  <si>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</si>
  <si>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</si>
  <si>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RAJGONJ ROAD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</si>
  <si>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</si>
  <si>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</si>
  <si>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</si>
  <si>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</si>
  <si>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</si>
  <si>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AMIN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</si>
  <si>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</si>
  <si>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</si>
  <si>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AWLAD HOSSAIN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</si>
  <si>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</si>
  <si>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</si>
  <si>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BADDA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</si>
  <si>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</si>
  <si>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</si>
  <si>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BONOSREE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</si>
  <si>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</si>
  <si>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</si>
  <si>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DARUS-SALAM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</si>
  <si>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</si>
  <si>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</si>
  <si>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DHAKA EPZ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</si>
  <si>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</si>
  <si>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</si>
  <si>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EASTERN PLAZA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</si>
  <si>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</si>
  <si>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</si>
  <si>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ELEPHANT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</si>
  <si>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</si>
  <si>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</si>
  <si>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GREEN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</si>
  <si>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</si>
  <si>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</si>
  <si>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</si>
  <si>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</si>
  <si>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</si>
  <si>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JOARSHARA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</si>
  <si>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</si>
  <si>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</si>
  <si>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KALABAGAN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</si>
  <si>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</si>
  <si>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</si>
  <si>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KARWAN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</si>
  <si>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</si>
  <si>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</si>
  <si>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</si>
  <si>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</si>
  <si>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</si>
  <si>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</si>
  <si>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</si>
  <si>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</si>
  <si>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MOHAMMADPUR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</si>
  <si>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</si>
  <si>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</si>
  <si>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</si>
  <si>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</si>
  <si>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</si>
  <si>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PALLABI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</si>
  <si>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</si>
  <si>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</si>
  <si>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</si>
  <si>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</si>
  <si>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</si>
  <si>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ROKEYA SHARANI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</si>
  <si>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</si>
  <si>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</si>
  <si>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SATMASJID ROAD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</si>
  <si>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</si>
  <si>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</si>
  <si>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SAVAR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</si>
  <si>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</si>
  <si>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</si>
  <si>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SHYAMALI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</si>
  <si>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</si>
  <si>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</si>
  <si>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</si>
  <si>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</si>
  <si>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</si>
  <si>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</si>
  <si>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</si>
  <si>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</si>
  <si>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AZIMPUR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</si>
  <si>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</si>
  <si>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</si>
  <si>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B.B. AVENUE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</si>
  <si>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</si>
  <si>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</si>
  <si>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B.K.S.P.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</si>
  <si>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</si>
  <si>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</si>
  <si>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BABU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</si>
  <si>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</si>
  <si>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</si>
  <si>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</si>
  <si>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</si>
  <si>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</si>
  <si>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BANIJYA SHAKHA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</si>
  <si>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</si>
  <si>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</si>
  <si>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</si>
  <si>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</si>
  <si>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</si>
  <si>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CORPORATE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</si>
  <si>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</si>
  <si>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</si>
  <si>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DANIA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</si>
  <si>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</si>
  <si>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</si>
  <si>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DHAKA SHERATON HOTEL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</si>
  <si>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</si>
  <si>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</si>
  <si>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DHOLAIKHAL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</si>
  <si>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</si>
  <si>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</si>
  <si>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</si>
  <si>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</si>
  <si>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</si>
  <si>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ENGLISH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</si>
  <si>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</si>
  <si>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</si>
  <si>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FAKIRAPOOL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</si>
  <si>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</si>
  <si>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</si>
  <si>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FOREIGN EXCHANGE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</si>
  <si>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</si>
  <si>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</si>
  <si>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FULBARIA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</si>
  <si>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</si>
  <si>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</si>
  <si>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HATKHOLA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</si>
  <si>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</si>
  <si>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</si>
  <si>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</si>
  <si>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</si>
  <si>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</si>
  <si>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HOTEL ISHAKHAN INTERNATIONAL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</si>
  <si>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</si>
  <si>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</si>
  <si>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</si>
  <si>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</si>
  <si>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</si>
  <si>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</si>
  <si>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</si>
  <si>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</si>
  <si>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JATRABARI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</si>
  <si>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</si>
  <si>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</si>
  <si>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JOHNSON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</si>
  <si>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</si>
  <si>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</si>
  <si>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LADIES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</si>
  <si>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</si>
  <si>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</si>
  <si>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LOCAL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</si>
  <si>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</si>
  <si>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</si>
  <si>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MALIBAGH CHOWDHURYPARA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</si>
  <si>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</si>
  <si>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</si>
  <si>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MITFORD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</si>
  <si>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</si>
  <si>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</si>
  <si>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MOGHBAZAR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</si>
  <si>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</si>
  <si>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</si>
  <si>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</si>
  <si>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</si>
  <si>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</si>
  <si>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MUGDA 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</si>
  <si>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</si>
  <si>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</si>
  <si>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</si>
  <si>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</si>
  <si>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</si>
  <si>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</si>
  <si>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</si>
  <si>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</si>
  <si>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</si>
  <si>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</si>
  <si>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</si>
  <si>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NORTH SHAHJAHANPUR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</si>
  <si>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</si>
  <si>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</si>
  <si>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PEEL KHANA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</si>
  <si>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</si>
  <si>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</si>
  <si>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POSTA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</si>
  <si>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</si>
  <si>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</si>
  <si>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POSTAGOLA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</si>
  <si>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</si>
  <si>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</si>
  <si>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RAMNA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</si>
  <si>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</si>
  <si>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</si>
  <si>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SADARGHAT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</si>
  <si>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</si>
  <si>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</si>
  <si>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SHANTINAGAR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</si>
  <si>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</si>
  <si>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</si>
  <si>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SIDDHESWARI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</si>
  <si>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</si>
  <si>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</si>
  <si>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TIPU SULTAN ROAD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</si>
  <si>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</si>
  <si>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</si>
  <si>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</si>
  <si>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</si>
  <si>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</si>
  <si>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PHULBARI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</si>
  <si>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</si>
  <si>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</si>
  <si>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PULHAT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</si>
  <si>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</si>
  <si>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</si>
  <si>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STATION ROAD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</si>
  <si>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</si>
  <si>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</si>
  <si>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</si>
  <si>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</si>
  <si>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</si>
  <si>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BIRINCHI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</si>
  <si>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</si>
  <si>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</si>
  <si>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</si>
  <si>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</si>
  <si>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</si>
  <si>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GAIBANDHA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</si>
  <si>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</si>
  <si>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</si>
  <si>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GAZIPURA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</si>
  <si>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</si>
  <si>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</si>
  <si>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JOYDEBPUR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</si>
  <si>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</si>
  <si>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</si>
  <si>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KONABARI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</si>
  <si>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</si>
  <si>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</si>
  <si>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TONGI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</si>
  <si>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</si>
  <si>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</si>
  <si>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</si>
  <si>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</si>
  <si>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</si>
  <si>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</si>
  <si>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</si>
  <si>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</si>
  <si>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MIRPUR BAZAR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</si>
  <si>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</si>
  <si>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</si>
  <si>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NABIGANJ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</si>
  <si>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</si>
  <si>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</si>
  <si>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JOYPURHAT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</si>
  <si>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</si>
  <si>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</si>
  <si>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</si>
  <si>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</si>
  <si>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</si>
  <si>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</si>
  <si>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</si>
  <si>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</si>
  <si>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NOAPARA</t>
    </r>
  </si>
  <si>
    <r>
      <rPr>
        <rFont val="Arial MT"/>
        <color theme="1"/>
        <sz val="5.0"/>
      </rPr>
      <t>JHALOKATHI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</si>
  <si>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</si>
  <si>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JHALOKATI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</si>
  <si>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</si>
  <si>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</si>
  <si>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</si>
  <si>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</si>
  <si>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</si>
  <si>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DAULATPUR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</si>
  <si>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</si>
  <si>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</si>
  <si>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KDA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</si>
  <si>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</si>
  <si>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</si>
  <si>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KHALISHPUR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</si>
  <si>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</si>
  <si>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</si>
  <si>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LOWER JESSORE ROAD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</si>
  <si>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</si>
  <si>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</si>
  <si>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SIR IQBAL ROAD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</si>
  <si>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</si>
  <si>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</si>
  <si>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BHAGALPUR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</si>
  <si>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</si>
  <si>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</si>
  <si>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BHAIRAB 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</si>
  <si>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</si>
  <si>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</si>
  <si>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</si>
  <si>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</si>
  <si>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</si>
  <si>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MATHKHOLA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</si>
  <si>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</si>
  <si>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</si>
  <si>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KURIGRAM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</si>
  <si>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</si>
  <si>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</si>
  <si>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</si>
  <si>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</si>
  <si>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</si>
  <si>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</si>
  <si>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</si>
  <si>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</si>
  <si>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</si>
  <si>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</si>
  <si>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</si>
  <si>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RAIPUR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</si>
  <si>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</si>
  <si>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</si>
  <si>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LALMONIRHAT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</si>
  <si>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</si>
  <si>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</si>
  <si>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</si>
  <si>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</si>
  <si>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</si>
  <si>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</si>
  <si>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</si>
  <si>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</si>
  <si>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MAGURA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</si>
  <si>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</si>
  <si>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</si>
  <si>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GHIOR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</si>
  <si>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</si>
  <si>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</si>
  <si>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</si>
  <si>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</si>
  <si>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</si>
  <si>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NABAGRAM</t>
    </r>
  </si>
  <si>
    <r>
      <rPr>
        <rFont val="Arial MT"/>
        <color theme="1"/>
        <sz val="5.0"/>
      </rPr>
      <t>MANIKGANJ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</si>
  <si>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</si>
  <si>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SHIBALAYA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</si>
  <si>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</si>
  <si>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</si>
  <si>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MEHERPUR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</si>
  <si>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</si>
  <si>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</si>
  <si>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BARALEKHA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</si>
  <si>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</si>
  <si>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</si>
  <si>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KAZIR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</si>
  <si>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</si>
  <si>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</si>
  <si>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KULAURA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</si>
  <si>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</si>
  <si>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</si>
  <si>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</si>
  <si>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</si>
  <si>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</si>
  <si>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SREE MANGAL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</si>
  <si>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</si>
  <si>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</si>
  <si>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ISAPURA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</si>
  <si>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</si>
  <si>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</si>
  <si>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</si>
  <si>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</si>
  <si>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</si>
  <si>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REKABI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</si>
  <si>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</si>
  <si>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</si>
  <si>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HALUAGHAT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</si>
  <si>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</si>
  <si>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</si>
  <si>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</si>
  <si>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</si>
  <si>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</si>
  <si>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</si>
  <si>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</si>
  <si>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</si>
  <si>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NARAIL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</si>
  <si>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</si>
  <si>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</si>
  <si>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</si>
  <si>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</si>
  <si>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</si>
  <si>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D.I.T.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</si>
  <si>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</si>
  <si>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</si>
  <si>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</si>
  <si>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</si>
  <si>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</si>
  <si>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NETAIGANJ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</si>
  <si>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</si>
  <si>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</si>
  <si>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SONARGAON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</si>
  <si>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</si>
  <si>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</si>
  <si>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TAN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</si>
  <si>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</si>
  <si>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</si>
  <si>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GHORASAL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</si>
  <si>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</si>
  <si>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</si>
  <si>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MADHABDI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</si>
  <si>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</si>
  <si>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</si>
  <si>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</si>
  <si>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</si>
  <si>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</si>
  <si>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SARKARKHANA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</si>
  <si>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</si>
  <si>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</si>
  <si>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BONPARA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</si>
  <si>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</si>
  <si>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</si>
  <si>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LALPUR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</si>
  <si>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</si>
  <si>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</si>
  <si>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</si>
  <si>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</si>
  <si>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</si>
  <si>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CHAPAI NAWABGANJ</t>
    </r>
  </si>
  <si>
    <r>
      <rPr>
        <rFont val="Arial MT"/>
        <color theme="1"/>
        <sz val="5.0"/>
      </rPr>
      <t>NAWABGANJ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</si>
  <si>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</si>
  <si>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KANSAT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</si>
  <si>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</si>
  <si>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</si>
  <si>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</si>
  <si>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</si>
  <si>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</si>
  <si>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</si>
  <si>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</si>
  <si>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</si>
  <si>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SAYEDPUR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</si>
  <si>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</si>
  <si>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</si>
  <si>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BASHURHAT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</si>
  <si>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</si>
  <si>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</si>
  <si>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BEGUMGANJ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</si>
  <si>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</si>
  <si>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</si>
  <si>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CHOUMOHANI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</si>
  <si>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</si>
  <si>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</si>
  <si>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MAIJDEE COURT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</si>
  <si>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</si>
  <si>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</si>
  <si>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SONAPUR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</si>
  <si>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</si>
  <si>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</si>
  <si>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ISHWARDI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</si>
  <si>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</si>
  <si>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</si>
  <si>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</si>
  <si>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</si>
  <si>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</si>
  <si>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PANCHAGARH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</si>
  <si>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</si>
  <si>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</si>
  <si>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GALACHIPA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</si>
  <si>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</si>
  <si>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</si>
  <si>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KHEPUPARA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</si>
  <si>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</si>
  <si>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</si>
  <si>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</si>
  <si>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</si>
  <si>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</si>
  <si>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MATHBARIA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</si>
  <si>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</si>
  <si>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</si>
  <si>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</si>
  <si>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</si>
  <si>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</si>
  <si>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MOHISHALBARI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</si>
  <si>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</si>
  <si>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</si>
  <si>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NEW MARKET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</si>
  <si>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</si>
  <si>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</si>
  <si>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PUTHIA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</si>
  <si>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</si>
  <si>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</si>
  <si>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RANI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</si>
  <si>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</si>
  <si>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</si>
  <si>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SHAHEB BAZAR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</si>
  <si>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</si>
  <si>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</si>
  <si>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</si>
  <si>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</si>
  <si>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</si>
  <si>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RANGAMATI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</si>
  <si>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</si>
  <si>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</si>
  <si>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PAURA PARK MARKET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</si>
  <si>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</si>
  <si>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</si>
  <si>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</si>
  <si>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</si>
  <si>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</si>
  <si>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</si>
  <si>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</si>
  <si>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</si>
  <si>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</si>
  <si>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</si>
  <si>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</si>
  <si>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SERAJGANJ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</si>
  <si>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</si>
  <si>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</si>
  <si>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SHAHJADPUR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</si>
  <si>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</si>
  <si>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</si>
  <si>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SUBGACHA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</si>
  <si>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</si>
  <si>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</si>
  <si>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ULLAPARA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</si>
  <si>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</si>
  <si>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</si>
  <si>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</si>
  <si>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</si>
  <si>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</si>
  <si>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CHHATAK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</si>
  <si>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</si>
  <si>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</si>
  <si>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JAGANNATHPUR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</si>
  <si>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</si>
  <si>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</si>
  <si>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SUNAMGANJ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</si>
  <si>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</si>
  <si>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</si>
  <si>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</si>
  <si>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</si>
  <si>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</si>
  <si>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BEANI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</si>
  <si>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</si>
  <si>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</si>
  <si>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BISHWANATH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</si>
  <si>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</si>
  <si>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</si>
  <si>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COMPANIGANJ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</si>
  <si>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</si>
  <si>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</si>
  <si>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DHAKA DAKHIN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</si>
  <si>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</si>
  <si>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</si>
  <si>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FENCHUGANJ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</si>
  <si>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</si>
  <si>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</si>
  <si>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</si>
  <si>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</si>
  <si>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</si>
  <si>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</si>
  <si>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</si>
  <si>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</si>
  <si>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NAZIR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</si>
  <si>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</si>
  <si>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</si>
  <si>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SHAHJALAL UPASHAHAR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</si>
  <si>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</si>
  <si>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</si>
  <si>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</si>
  <si>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</si>
  <si>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</si>
  <si>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ATIA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</si>
  <si>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</si>
  <si>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</si>
  <si>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</si>
  <si>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</si>
  <si>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UTTARA BANK LTD.</t>
    </r>
  </si>
  <si>
    <r>
      <rPr>
        <rFont val="Arial MT"/>
        <color theme="1"/>
        <sz val="5.0"/>
      </rPr>
      <t>THAKURGAON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</si>
  <si>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</si>
  <si>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WOORI BANK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</si>
  <si>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</si>
  <si>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</si>
  <si>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WOORI BANK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</si>
  <si>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</si>
  <si>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</si>
  <si>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WOORI BANK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</si>
  <si>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</si>
  <si>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</si>
  <si>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WOORI BANK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</si>
  <si>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</si>
  <si>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</si>
  <si>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WOORI BANK</t>
    </r>
  </si>
  <si>
    <r>
      <rPr>
        <rFont val="Arial MT"/>
        <color theme="1"/>
        <sz val="5.0"/>
      </rPr>
      <t>DHAKA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</si>
  <si>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</si>
  <si>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WOORI BANK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</si>
  <si>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</si>
  <si>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</si>
  <si>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</si>
  <si>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</si>
  <si>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</si>
  <si>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</si>
  <si>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</si>
  <si>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</si>
  <si>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</si>
  <si>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</si>
  <si>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</si>
  <si>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</si>
  <si>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BOR DIGHIR PAR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</si>
  <si>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</si>
  <si>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</si>
  <si>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</si>
  <si>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</si>
  <si>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</si>
  <si>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O.R. NIZAM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</si>
  <si>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</si>
  <si>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</si>
  <si>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RAOZAN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</si>
  <si>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</si>
  <si>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</si>
  <si>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MOYNAMOTI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</si>
  <si>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</si>
  <si>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</si>
  <si>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CHANDINA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</si>
  <si>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</si>
  <si>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</si>
  <si>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</si>
  <si>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</si>
  <si>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</si>
  <si>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DHANMONDI MOHILA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</si>
  <si>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</si>
  <si>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</si>
  <si>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ZIRANI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</si>
  <si>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</si>
  <si>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</si>
  <si>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HORIRAMPUR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</si>
  <si>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</si>
  <si>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</si>
  <si>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CHARABAGH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</si>
  <si>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</si>
  <si>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</si>
  <si>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</si>
  <si>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</si>
  <si>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</si>
  <si>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</si>
  <si>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</si>
  <si>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</si>
  <si>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</si>
  <si>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</si>
  <si>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</si>
  <si>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</si>
  <si>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</si>
  <si>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</si>
  <si>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NABINAGAR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</si>
  <si>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</si>
  <si>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</si>
  <si>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</si>
  <si>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</si>
  <si>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</si>
  <si>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ZIRABO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</si>
  <si>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</si>
  <si>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</si>
  <si>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</si>
  <si>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</si>
  <si>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</si>
  <si>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</si>
  <si>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</si>
  <si>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</si>
  <si>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EKORIA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</si>
  <si>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</si>
  <si>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</si>
  <si>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HATIRPUL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</si>
  <si>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</si>
  <si>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</si>
  <si>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NAYA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</si>
  <si>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</si>
  <si>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</si>
  <si>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</si>
  <si>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</si>
  <si>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</si>
  <si>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RUHITPUR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</si>
  <si>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</si>
  <si>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</si>
  <si>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PHUL HAT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</si>
  <si>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</si>
  <si>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</si>
  <si>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</si>
  <si>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</si>
  <si>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</si>
  <si>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BOARD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</si>
  <si>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</si>
  <si>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</si>
  <si>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</si>
  <si>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</si>
  <si>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</si>
  <si>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</si>
  <si>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</si>
  <si>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</si>
  <si>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HATGOPALPUR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</si>
  <si>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</si>
  <si>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</si>
  <si>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</si>
  <si>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</si>
  <si>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</si>
  <si>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CHANDRAGANJ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</si>
  <si>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</si>
  <si>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</si>
  <si>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MUNSHI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</si>
  <si>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</si>
  <si>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</si>
  <si>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</si>
  <si>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</si>
  <si>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</si>
  <si>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</si>
  <si>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</si>
  <si>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</si>
  <si>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BHUIGHAR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</si>
  <si>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</si>
  <si>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</si>
  <si>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</si>
  <si>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</si>
  <si>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</si>
  <si>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MOGRAPARA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</si>
  <si>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</si>
  <si>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</si>
  <si>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</si>
  <si>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</si>
  <si>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</si>
  <si>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PANCHABATI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</si>
  <si>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</si>
  <si>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</si>
  <si>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CHINISHPUR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</si>
  <si>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</si>
  <si>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</si>
  <si>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</si>
  <si>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</si>
  <si>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</si>
  <si>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CHATKHIL</t>
    </r>
  </si>
  <si>
    <r>
      <rPr>
        <rFont val="Arial MT"/>
        <color theme="1"/>
        <sz val="5.0"/>
      </rPr>
      <t>PIROJPUR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</si>
  <si>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</si>
  <si>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INDERHAT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</si>
  <si>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</si>
  <si>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</si>
  <si>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</si>
  <si>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</si>
  <si>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</si>
  <si>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</si>
  <si>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</si>
  <si>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</si>
  <si>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</si>
  <si>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</si>
  <si>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</si>
  <si>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SYLHET UPASHAHAR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</si>
  <si>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</si>
  <si>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NRB COMMERCIAL BANK LTD.</t>
    </r>
  </si>
  <si>
    <r>
      <rPr>
        <rFont val="Arial MT"/>
        <color theme="1"/>
        <sz val="5.0"/>
      </rPr>
      <t>GORAI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</si>
  <si>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</si>
  <si>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</si>
  <si>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</si>
  <si>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</si>
  <si>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</si>
  <si>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</si>
  <si>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</si>
  <si>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</si>
  <si>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TALSHOHOR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</si>
  <si>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</si>
  <si>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</si>
  <si>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MIAR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</si>
  <si>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</si>
  <si>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</si>
  <si>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</si>
  <si>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</si>
  <si>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</si>
  <si>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D.T ROAD EIDGAH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</si>
  <si>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</si>
  <si>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</si>
  <si>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BANSHKHALI(CHANDPUR)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</si>
  <si>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</si>
  <si>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</si>
  <si>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JOTPUKURIA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</si>
  <si>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</si>
  <si>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</si>
  <si>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DEWAN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</si>
  <si>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</si>
  <si>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</si>
  <si>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</si>
  <si>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</si>
  <si>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</si>
  <si>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</si>
  <si>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</si>
  <si>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</si>
  <si>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KUMIRA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</si>
  <si>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</si>
  <si>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</si>
  <si>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LALDIGHI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</si>
  <si>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</si>
  <si>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</si>
  <si>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LICHU BAGAN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</si>
  <si>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</si>
  <si>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</si>
  <si>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MURADPUR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</si>
  <si>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</si>
  <si>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</si>
  <si>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NANUPUR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</si>
  <si>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</si>
  <si>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</si>
  <si>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PAHARTALI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</si>
  <si>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</si>
  <si>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</si>
  <si>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</si>
  <si>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</si>
  <si>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</si>
  <si>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SARKERHAT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</si>
  <si>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</si>
  <si>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</si>
  <si>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SHANTIR HAT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</si>
  <si>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</si>
  <si>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</si>
  <si>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LALMAI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</si>
  <si>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</si>
  <si>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</si>
  <si>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</si>
  <si>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</si>
  <si>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</si>
  <si>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MONSHIRHAT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</si>
  <si>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</si>
  <si>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</si>
  <si>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BADARKHALI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</si>
  <si>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</si>
  <si>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</si>
  <si>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</si>
  <si>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</si>
  <si>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</si>
  <si>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EIDGAON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</si>
  <si>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</si>
  <si>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</si>
  <si>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HANILA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</si>
  <si>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</si>
  <si>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</si>
  <si>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</si>
  <si>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</si>
  <si>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</si>
  <si>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BOGABARI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</si>
  <si>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</si>
  <si>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</si>
  <si>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ASHKONA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</si>
  <si>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</si>
  <si>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</si>
  <si>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JAMUNA FUTURE PARK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</si>
  <si>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</si>
  <si>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</si>
  <si>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</si>
  <si>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</si>
  <si>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</si>
  <si>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</si>
  <si>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</si>
  <si>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</si>
  <si>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</si>
  <si>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</si>
  <si>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</si>
  <si>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</si>
  <si>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</si>
  <si>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</si>
  <si>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</si>
  <si>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</si>
  <si>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</si>
  <si>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</si>
  <si>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</si>
  <si>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</si>
  <si>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</si>
  <si>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</si>
  <si>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</si>
  <si>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</si>
  <si>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</si>
  <si>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</si>
  <si>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HATKHOLA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</si>
  <si>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</si>
  <si>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</si>
  <si>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</si>
  <si>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</si>
  <si>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</si>
  <si>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</si>
  <si>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</si>
  <si>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</si>
  <si>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</si>
  <si>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</si>
  <si>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</si>
  <si>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</si>
  <si>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</si>
  <si>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</si>
  <si>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BAHUBAL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</si>
  <si>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</si>
  <si>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</si>
  <si>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</si>
  <si>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</si>
  <si>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</si>
  <si>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</si>
  <si>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</si>
  <si>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</si>
  <si>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JAKSIN BAZAR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</si>
  <si>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</si>
  <si>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</si>
  <si>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</si>
  <si>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</si>
  <si>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</si>
  <si>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</si>
  <si>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</si>
  <si>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</si>
  <si>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PANCHABATI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</si>
  <si>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</si>
  <si>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</si>
  <si>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BAZAR HASNABAD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</si>
  <si>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</si>
  <si>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</si>
  <si>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</si>
  <si>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</si>
  <si>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</si>
  <si>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BANPARA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</si>
  <si>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</si>
  <si>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</si>
  <si>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KHILPARA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</si>
  <si>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</si>
  <si>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</si>
  <si>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SEBARHAT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</si>
  <si>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</si>
  <si>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</si>
  <si>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ATAIKULA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</si>
  <si>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</si>
  <si>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</si>
  <si>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PABNA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</si>
  <si>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</si>
  <si>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</si>
  <si>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</si>
  <si>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RAJBARI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</si>
  <si>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</si>
  <si>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KALUKHALI BAZAR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</si>
  <si>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</si>
  <si>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</si>
  <si>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</si>
  <si>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</si>
  <si>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</si>
  <si>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SHATIBARI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</si>
  <si>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</si>
  <si>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</si>
  <si>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</si>
  <si>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</si>
  <si>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UNION BANK LTD.</t>
    </r>
  </si>
  <si>
    <r>
      <rPr>
        <rFont val="Arial MT"/>
        <color theme="1"/>
        <sz val="5.0"/>
      </rPr>
      <t>ZINDA BAZAR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</si>
  <si>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</si>
  <si>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</si>
  <si>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KATAKHALI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</si>
  <si>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</si>
  <si>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</si>
  <si>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DIGRAJ</t>
    </r>
  </si>
  <si>
    <r>
      <rPr>
        <rFont val="Arial MT"/>
        <color theme="1"/>
        <sz val="5.0"/>
      </rPr>
      <t>BAGERHAT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</si>
  <si>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</si>
  <si>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MORELGANJ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</si>
  <si>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</si>
  <si>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</si>
  <si>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</si>
  <si>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</si>
  <si>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</si>
  <si>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</si>
  <si>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</si>
  <si>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</si>
  <si>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</si>
  <si>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</si>
  <si>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</si>
  <si>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BHATIARY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</si>
  <si>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</si>
  <si>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</si>
  <si>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FATIKCHARI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</si>
  <si>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</si>
  <si>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</si>
  <si>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</si>
  <si>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</si>
  <si>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</si>
  <si>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</si>
  <si>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</si>
  <si>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</si>
  <si>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MADHUNA GHAT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</si>
  <si>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</si>
  <si>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</si>
  <si>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NASIRABAD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</si>
  <si>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</si>
  <si>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</si>
  <si>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EPZ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</si>
  <si>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</si>
  <si>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</si>
  <si>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MAINAMATI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</si>
  <si>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</si>
  <si>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</si>
  <si>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</si>
  <si>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</si>
  <si>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</si>
  <si>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</si>
  <si>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</si>
  <si>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</si>
  <si>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</si>
  <si>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</si>
  <si>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</si>
  <si>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</si>
  <si>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</si>
  <si>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</si>
  <si>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</si>
  <si>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</si>
  <si>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</si>
  <si>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</si>
  <si>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</si>
  <si>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</si>
  <si>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PANTHA PATH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</si>
  <si>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</si>
  <si>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</si>
  <si>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</si>
  <si>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</si>
  <si>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</si>
  <si>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</si>
  <si>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</si>
  <si>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</si>
  <si>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HASNABAD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</si>
  <si>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</si>
  <si>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</si>
  <si>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</si>
  <si>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</si>
  <si>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</si>
  <si>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KERANIGANJ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</si>
  <si>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</si>
  <si>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</si>
  <si>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</si>
  <si>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</si>
  <si>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</si>
  <si>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NAWABPUR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</si>
  <si>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</si>
  <si>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</si>
  <si>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</si>
  <si>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</si>
  <si>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</si>
  <si>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</si>
  <si>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</si>
  <si>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</si>
  <si>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MALIGRAM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</si>
  <si>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</si>
  <si>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</si>
  <si>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</si>
  <si>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</si>
  <si>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</si>
  <si>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MOUCHAK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</si>
  <si>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</si>
  <si>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</si>
  <si>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</si>
  <si>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</si>
  <si>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</si>
  <si>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</si>
  <si>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</si>
  <si>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</si>
  <si>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GHONAPARA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</si>
  <si>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</si>
  <si>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</si>
  <si>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</si>
  <si>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</si>
  <si>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</si>
  <si>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KHARABAD BAINTOLA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</si>
  <si>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</si>
  <si>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</si>
  <si>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KDA C/A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</si>
  <si>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</si>
  <si>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</si>
  <si>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CHUK 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</si>
  <si>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</si>
  <si>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</si>
  <si>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</si>
  <si>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</si>
  <si>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</si>
  <si>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LABONCHORA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</si>
  <si>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</si>
  <si>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</si>
  <si>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</si>
  <si>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</si>
  <si>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</si>
  <si>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</si>
  <si>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</si>
  <si>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</si>
  <si>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</si>
  <si>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</si>
  <si>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</si>
  <si>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SHIBU MARKET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</si>
  <si>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</si>
  <si>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</si>
  <si>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BABURHAT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</si>
  <si>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</si>
  <si>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</si>
  <si>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SARBOLOKKHONA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</si>
  <si>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</si>
  <si>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</si>
  <si>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CHALAKCHAR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</si>
  <si>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</si>
  <si>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</si>
  <si>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VELA NAGAR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</si>
  <si>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</si>
  <si>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</si>
  <si>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NATORE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</si>
  <si>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</si>
  <si>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</si>
  <si>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BANGLA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</si>
  <si>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</si>
  <si>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</si>
  <si>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</si>
  <si>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</si>
  <si>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</si>
  <si>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</si>
  <si>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</si>
  <si>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</si>
  <si>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</si>
  <si>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</si>
  <si>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</si>
  <si>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SHYAM NAGAR</t>
    </r>
  </si>
  <si>
    <r>
      <rPr>
        <rFont val="Arial MT"/>
        <color theme="1"/>
        <sz val="5.0"/>
      </rPr>
      <t>SATKHIRA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</si>
  <si>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</si>
  <si>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VOMRA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</si>
  <si>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</si>
  <si>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</si>
  <si>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</si>
  <si>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</si>
  <si>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SBAC BANK LIMITED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</si>
  <si>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</si>
  <si>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</si>
  <si>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</si>
  <si>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BARISAL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</si>
  <si>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</si>
  <si>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</si>
  <si>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</si>
  <si>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</si>
  <si>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</si>
  <si>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ANANDA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</si>
  <si>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</si>
  <si>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</si>
  <si>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RAMPUR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</si>
  <si>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</si>
  <si>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</si>
  <si>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</si>
  <si>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</si>
  <si>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</si>
  <si>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AMAN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</si>
  <si>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</si>
  <si>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</si>
  <si>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</si>
  <si>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</si>
  <si>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</si>
  <si>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MADAM BIBIR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</si>
  <si>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</si>
  <si>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</si>
  <si>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</si>
  <si>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</si>
  <si>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</si>
  <si>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MUNSHIRHAT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</si>
  <si>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</si>
  <si>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</si>
  <si>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</si>
  <si>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</si>
  <si>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</si>
  <si>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</si>
  <si>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</si>
  <si>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</si>
  <si>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</si>
  <si>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</si>
  <si>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</si>
  <si>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ZIRABO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</si>
  <si>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</si>
  <si>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</si>
  <si>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DEPZ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</si>
  <si>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</si>
  <si>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</si>
  <si>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</si>
  <si>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</si>
  <si>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</si>
  <si>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KALAMPUR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</si>
  <si>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</si>
  <si>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</si>
  <si>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</si>
  <si>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</si>
  <si>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</si>
  <si>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</si>
  <si>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</si>
  <si>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</si>
  <si>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BANDURA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</si>
  <si>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</si>
  <si>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</si>
  <si>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</si>
  <si>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</si>
  <si>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</si>
  <si>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</si>
  <si>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DINAJPUR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</si>
  <si>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</si>
  <si>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CHEHELGAZI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</si>
  <si>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</si>
  <si>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</si>
  <si>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MOHIPAL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</si>
  <si>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</si>
  <si>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</si>
  <si>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BORMI BAZAR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</si>
  <si>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</si>
  <si>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</si>
  <si>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GAZIPUR CHOWRASTA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</si>
  <si>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</si>
  <si>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</si>
  <si>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</si>
  <si>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</si>
  <si>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</si>
  <si>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BOROBAZAR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</si>
  <si>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</si>
  <si>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</si>
  <si>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</si>
  <si>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</si>
  <si>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</si>
  <si>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TAKERHAT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</si>
  <si>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</si>
  <si>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</si>
  <si>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RAMPAL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</si>
  <si>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</si>
  <si>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</si>
  <si>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</si>
  <si>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</si>
  <si>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</si>
  <si>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</si>
  <si>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</si>
  <si>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</si>
  <si>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CHHAYANI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</si>
  <si>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</si>
  <si>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</si>
  <si>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JAMIDERHAT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</si>
  <si>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</si>
  <si>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</si>
  <si>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SENBAGH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</si>
  <si>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</si>
  <si>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</si>
  <si>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</si>
  <si>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</si>
  <si>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</si>
  <si>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</si>
  <si>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</si>
  <si>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</si>
  <si>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SHATIBARI</t>
    </r>
  </si>
  <si>
    <r>
      <rPr>
        <rFont val="Arial MT"/>
        <color theme="1"/>
        <sz val="5.0"/>
      </rPr>
      <t>SIRAJGANJ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</si>
  <si>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</si>
  <si>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HATIKUMRUL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</si>
  <si>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</si>
  <si>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</si>
  <si>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</si>
  <si>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</si>
  <si>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MEGHNA BANK LIMITED</t>
    </r>
  </si>
  <si>
    <r>
      <rPr>
        <rFont val="Arial MT"/>
        <color theme="1"/>
        <sz val="5.0"/>
      </rPr>
      <t>SOUTH SURMA</t>
    </r>
  </si>
  <si>
    <r>
      <rPr>
        <rFont val="Arial MT"/>
        <color theme="1"/>
        <sz val="5.0"/>
      </rPr>
      <t>BARISHAL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</si>
  <si>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</si>
  <si>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KALASHKATI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</si>
  <si>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</si>
  <si>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</si>
  <si>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</si>
  <si>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</si>
  <si>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</si>
  <si>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</si>
  <si>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</si>
  <si>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</si>
  <si>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RAHIMANAGAR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</si>
  <si>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</si>
  <si>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</si>
  <si>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GRIDAKALINDIA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</si>
  <si>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</si>
  <si>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</si>
  <si>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</si>
  <si>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</si>
  <si>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</si>
  <si>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HAJIGANJ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</si>
  <si>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</si>
  <si>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</si>
  <si>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KACHUA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</si>
  <si>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</si>
  <si>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</si>
  <si>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SUJATPUR BAZAR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</si>
  <si>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</si>
  <si>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</si>
  <si>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NARAYANPUR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</si>
  <si>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</si>
  <si>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</si>
  <si>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KERANIHAT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</si>
  <si>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</si>
  <si>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</si>
  <si>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</si>
  <si>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</si>
  <si>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</si>
  <si>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LOHA GARA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</si>
  <si>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</si>
  <si>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</si>
  <si>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BIBIR BAZAR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</si>
  <si>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</si>
  <si>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</si>
  <si>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</si>
  <si>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</si>
  <si>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</si>
  <si>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</si>
  <si>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</si>
  <si>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</si>
  <si>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POLASHBARI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</si>
  <si>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</si>
  <si>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</si>
  <si>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BASHUNDHARA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</si>
  <si>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</si>
  <si>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</si>
  <si>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GULSHAN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</si>
  <si>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</si>
  <si>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</si>
  <si>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GULSHAN SOUTH AVENUE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</si>
  <si>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</si>
  <si>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</si>
  <si>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</si>
  <si>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</si>
  <si>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</si>
  <si>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</si>
  <si>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</si>
  <si>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</si>
  <si>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</si>
  <si>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</si>
  <si>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</si>
  <si>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</si>
  <si>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</si>
  <si>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</si>
  <si>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IMAMGANJ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</si>
  <si>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</si>
  <si>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</si>
  <si>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</si>
  <si>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</si>
  <si>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</si>
  <si>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KAKRAIL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</si>
  <si>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</si>
  <si>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</si>
  <si>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KAMRANGIRCHAR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</si>
  <si>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</si>
  <si>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</si>
  <si>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</si>
  <si>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</si>
  <si>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</si>
  <si>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SHYAMPUR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</si>
  <si>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</si>
  <si>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</si>
  <si>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</si>
  <si>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</si>
  <si>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</si>
  <si>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</si>
  <si>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</si>
  <si>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</si>
  <si>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BAKSHIGANJ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</si>
  <si>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</si>
  <si>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</si>
  <si>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SHYAMGONJ KALIBARI BAZAR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</si>
  <si>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</si>
  <si>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</si>
  <si>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ISLAMPUR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</si>
  <si>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</si>
  <si>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</si>
  <si>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JAMALPUR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</si>
  <si>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</si>
  <si>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</si>
  <si>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</si>
  <si>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</si>
  <si>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</si>
  <si>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CHADNIGHAT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</si>
  <si>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</si>
  <si>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</si>
  <si>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HALUAGHAT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</si>
  <si>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</si>
  <si>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</si>
  <si>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</si>
  <si>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</si>
  <si>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</si>
  <si>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TARAKANDA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</si>
  <si>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</si>
  <si>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</si>
  <si>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NAOGAON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</si>
  <si>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</si>
  <si>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</si>
  <si>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</si>
  <si>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</si>
  <si>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</si>
  <si>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SIDDIRGANJ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</si>
  <si>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</si>
  <si>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</si>
  <si>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CHINISHPUR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</si>
  <si>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</si>
  <si>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</si>
  <si>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KALMAKANDA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</si>
  <si>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</si>
  <si>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</si>
  <si>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NETROKONA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</si>
  <si>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</si>
  <si>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</si>
  <si>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NILPHAMARI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</si>
  <si>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</si>
  <si>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</si>
  <si>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DUMKI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</si>
  <si>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</si>
  <si>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</si>
  <si>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</si>
  <si>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PATUAKHALI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</si>
  <si>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</si>
  <si>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SUBIDKHALI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</si>
  <si>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</si>
  <si>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</si>
  <si>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JHENAIGATI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</si>
  <si>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</si>
  <si>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</si>
  <si>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NALITABARI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</si>
  <si>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</si>
  <si>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</si>
  <si>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</si>
  <si>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SHERPUR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</si>
  <si>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</si>
  <si>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SREEBORDI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</si>
  <si>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</si>
  <si>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</si>
  <si>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</si>
  <si>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</si>
  <si>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THE FARMERS BANK LIMITED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</si>
  <si>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</si>
  <si>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</si>
  <si>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</si>
  <si>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</si>
  <si>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</si>
  <si>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</si>
  <si>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MOKAMTALA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</si>
  <si>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</si>
  <si>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</si>
  <si>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</si>
  <si>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</si>
  <si>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</si>
  <si>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C.D.A. AVENUE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</si>
  <si>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</si>
  <si>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</si>
  <si>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CHOWDHURI HAT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</si>
  <si>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</si>
  <si>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</si>
  <si>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</si>
  <si>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</si>
  <si>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</si>
  <si>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</si>
  <si>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</si>
  <si>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</si>
  <si>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KAMARPARA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</si>
  <si>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</si>
  <si>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</si>
  <si>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</si>
  <si>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</si>
  <si>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</si>
  <si>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</si>
  <si>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</si>
  <si>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</si>
  <si>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</si>
  <si>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</si>
  <si>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</si>
  <si>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ZIRABO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</si>
  <si>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</si>
  <si>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</si>
  <si>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</si>
  <si>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</si>
  <si>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</si>
  <si>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</si>
  <si>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</si>
  <si>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</si>
  <si>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DILKUSHA CORPORATE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</si>
  <si>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</si>
  <si>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</si>
  <si>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MIRZAPUR BAZAR</t>
    </r>
  </si>
  <si>
    <r>
      <rPr>
        <rFont val="Arial MT"/>
        <color theme="1"/>
        <sz val="5.0"/>
      </rPr>
      <t>LAKSHMIPUR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</si>
  <si>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</si>
  <si>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DALAL BAZAR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</si>
  <si>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</si>
  <si>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</si>
  <si>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PACCAR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</si>
  <si>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</si>
  <si>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</si>
  <si>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BHALUKA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</si>
  <si>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</si>
  <si>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</si>
  <si>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</si>
  <si>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</si>
  <si>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</si>
  <si>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PANCHRUKHI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</si>
  <si>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</si>
  <si>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MIDLAND BANK LIMITED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</si>
  <si>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</si>
  <si>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</si>
  <si>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</si>
  <si>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</si>
  <si>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CHANDPUR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</si>
  <si>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</si>
  <si>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RAHIMANAGAR BAZAR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</si>
  <si>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</si>
  <si>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</si>
  <si>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PATENGA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</si>
  <si>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</si>
  <si>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</si>
  <si>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CHITTAGONG(MAIN)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</si>
  <si>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</si>
  <si>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</si>
  <si>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GEC MOUR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</si>
  <si>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</si>
  <si>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</si>
  <si>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</si>
  <si>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</si>
  <si>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</si>
  <si>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</si>
  <si>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</si>
  <si>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</si>
  <si>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</si>
  <si>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</si>
  <si>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</si>
  <si>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</si>
  <si>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</si>
  <si>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</si>
  <si>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</si>
  <si>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</si>
  <si>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</si>
  <si>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HEMAYET 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</si>
  <si>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</si>
  <si>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</si>
  <si>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</si>
  <si>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</si>
  <si>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</si>
  <si>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</si>
  <si>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</si>
  <si>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</si>
  <si>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ATI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</si>
  <si>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</si>
  <si>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</si>
  <si>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</si>
  <si>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</si>
  <si>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</si>
  <si>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CHAWK BAZAR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</si>
  <si>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</si>
  <si>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</si>
  <si>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DILKUSHA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</si>
  <si>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</si>
  <si>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</si>
  <si>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JOYPARA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</si>
  <si>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</si>
  <si>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</si>
  <si>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HOTAPARA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</si>
  <si>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</si>
  <si>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</si>
  <si>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SHAFIPUR</t>
    </r>
  </si>
  <si>
    <r>
      <rPr>
        <rFont val="Arial MT"/>
        <color theme="1"/>
        <sz val="5.0"/>
      </rPr>
      <t>HABIGANJ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</si>
  <si>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</si>
  <si>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MADHABPUR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</si>
  <si>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</si>
  <si>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</si>
  <si>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KHULNA(MAIN)</t>
    </r>
  </si>
  <si>
    <r>
      <rPr>
        <rFont val="Arial MT"/>
        <color theme="1"/>
        <sz val="5.0"/>
      </rPr>
      <t>MOULVI BAZAR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</si>
  <si>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</si>
  <si>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MOULAVI BAZAR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</si>
  <si>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</si>
  <si>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</si>
  <si>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BHULTA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</si>
  <si>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</si>
  <si>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</si>
  <si>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MOGRAPARA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</si>
  <si>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</si>
  <si>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</si>
  <si>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PANCHDOWNA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</si>
  <si>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</si>
  <si>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</si>
  <si>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PALLA BAZAR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</si>
  <si>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</si>
  <si>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</si>
  <si>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</si>
  <si>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SHARIATPUR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</si>
  <si>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</si>
  <si>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ZAJIRA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</si>
  <si>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</si>
  <si>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</si>
  <si>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GOALA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</si>
  <si>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</si>
  <si>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</si>
  <si>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LALDIGHIRPAR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</si>
  <si>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</si>
  <si>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NRB BANK LIMITED</t>
    </r>
  </si>
  <si>
    <r>
      <rPr>
        <rFont val="Arial MT"/>
        <color theme="1"/>
        <sz val="5.0"/>
      </rPr>
      <t>SYLHET(MAIN)</t>
    </r>
  </si>
  <si>
    <r>
      <rPr>
        <rFont val="Arial MT"/>
        <color theme="1"/>
        <sz val="5.0"/>
      </rPr>
      <t>BHOLA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</si>
  <si>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</si>
  <si>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CHAR FASHION</t>
    </r>
  </si>
  <si>
    <r>
      <rPr>
        <rFont val="Arial MT"/>
        <color theme="1"/>
        <sz val="5.0"/>
      </rPr>
      <t>BRAHMANBARIA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</si>
  <si>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</si>
  <si>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ASHUGANJ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</si>
  <si>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</si>
  <si>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</si>
  <si>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</si>
  <si>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</si>
  <si>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</si>
  <si>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KANKAPAITH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</si>
  <si>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</si>
  <si>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</si>
  <si>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</si>
  <si>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</si>
  <si>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</si>
  <si>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BANGLA MOTOR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</si>
  <si>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</si>
  <si>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</si>
  <si>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GULSHAN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</si>
  <si>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</si>
  <si>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</si>
  <si>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</si>
  <si>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</si>
  <si>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</si>
  <si>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</si>
  <si>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</si>
  <si>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</si>
  <si>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AGANAGAR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</si>
  <si>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</si>
  <si>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</si>
  <si>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</si>
  <si>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</si>
  <si>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</si>
  <si>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SHEIKH KAMAL SARONI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</si>
  <si>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</si>
  <si>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</si>
  <si>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MITFORD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</si>
  <si>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</si>
  <si>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</si>
  <si>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</si>
  <si>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FARIDPUR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</si>
  <si>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</si>
  <si>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KANAIPUR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</si>
  <si>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</si>
  <si>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</si>
  <si>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</si>
  <si>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GOPALGANJ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</si>
  <si>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</si>
  <si>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SHEIKH FAJILATUNNESSA MUJIB EYE HOSPITAL</t>
    </r>
  </si>
  <si>
    <r>
      <rPr>
        <rFont val="Arial MT"/>
        <color theme="1"/>
        <sz val="5.0"/>
      </rPr>
      <t>JHENAIDAH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</si>
  <si>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</si>
  <si>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ZINNAHNAGAR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</si>
  <si>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</si>
  <si>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</si>
  <si>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</si>
  <si>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KUSHTIA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</si>
  <si>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</si>
  <si>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BHERAMARA</t>
    </r>
  </si>
  <si>
    <r>
      <rPr>
        <rFont val="Arial MT"/>
        <color theme="1"/>
        <sz val="5.0"/>
      </rPr>
      <t>MADARIPUR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</si>
  <si>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</si>
  <si>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SHIBCHAR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</si>
  <si>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</si>
  <si>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</si>
  <si>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SHEKHAR NAGAR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</si>
  <si>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</si>
  <si>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</si>
  <si>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SHAMBHUGONJ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</si>
  <si>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</si>
  <si>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</si>
  <si>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KANCHAN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</si>
  <si>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</si>
  <si>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</si>
  <si>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RAJSHAHI</t>
    </r>
  </si>
  <si>
    <r>
      <rPr>
        <rFont val="Arial MT"/>
        <color theme="1"/>
        <sz val="5.0"/>
      </rPr>
      <t>RANGPUR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</si>
  <si>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</si>
  <si>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PIRGANJ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</si>
  <si>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</si>
  <si>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</si>
  <si>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AMBARKHANA</t>
    </r>
  </si>
  <si>
    <r>
      <rPr>
        <rFont val="Arial MT"/>
        <color theme="1"/>
        <sz val="5.0"/>
      </rPr>
      <t>TANGAIL</t>
    </r>
  </si>
  <si>
    <r>
      <rPr>
        <rFont val="Arial MT"/>
        <color theme="1"/>
        <sz val="5.0"/>
      </rPr>
      <t>MODHUMOTI BANK LIMITED</t>
    </r>
  </si>
  <si>
    <r>
      <rPr>
        <rFont val="Arial MT"/>
        <color theme="1"/>
        <sz val="5.0"/>
      </rPr>
      <t>SHAKHIPUR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</si>
  <si>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</si>
  <si>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</si>
  <si>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BOGRA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</si>
  <si>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</si>
  <si>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</si>
  <si>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ALANKAR MOR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</si>
  <si>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</si>
  <si>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</si>
  <si>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AGRABAD CORPORATE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</si>
  <si>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</si>
  <si>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</si>
  <si>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ADHUNAGAR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</si>
  <si>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</si>
  <si>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</si>
  <si>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ANOWARA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</si>
  <si>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</si>
  <si>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</si>
  <si>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CHAMBAL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</si>
  <si>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</si>
  <si>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</si>
  <si>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BOALKHALI CHOWDHURY 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</si>
  <si>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</si>
  <si>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</si>
  <si>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ISAPUR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</si>
  <si>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</si>
  <si>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</si>
  <si>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BARABKUNDA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</si>
  <si>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</si>
  <si>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</si>
  <si>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DOHAZARI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</si>
  <si>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</si>
  <si>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</si>
  <si>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JUBILEE ROAD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</si>
  <si>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</si>
  <si>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</si>
  <si>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KHATUNGANJ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</si>
  <si>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</si>
  <si>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</si>
  <si>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NASIRABAD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</si>
  <si>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</si>
  <si>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</si>
  <si>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PATHERHAT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</si>
  <si>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</si>
  <si>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</si>
  <si>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PATIYA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</si>
  <si>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</si>
  <si>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</si>
  <si>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ROWSHAN HAT</t>
    </r>
  </si>
  <si>
    <r>
      <rPr>
        <rFont val="Arial MT"/>
        <color theme="1"/>
        <sz val="5.0"/>
      </rPr>
      <t>COMILLA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</si>
  <si>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</si>
  <si>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GUNABATI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</si>
  <si>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</si>
  <si>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</si>
  <si>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LINK ROAD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</si>
  <si>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</si>
  <si>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</si>
  <si>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COXS BAZAR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</si>
  <si>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</si>
  <si>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</si>
  <si>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</si>
  <si>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</si>
  <si>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</si>
  <si>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ASHULIA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</si>
  <si>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</si>
  <si>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</si>
  <si>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BANANI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</si>
  <si>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</si>
  <si>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</si>
  <si>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HEAD OFFICE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</si>
  <si>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</si>
  <si>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</si>
  <si>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DHANMONDI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</si>
  <si>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</si>
  <si>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</si>
  <si>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GULSHAN CORPORATE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</si>
  <si>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</si>
  <si>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</si>
  <si>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MIRPUR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</si>
  <si>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</si>
  <si>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</si>
  <si>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MOHAKHALI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</si>
  <si>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</si>
  <si>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</si>
  <si>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UTTARA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</si>
  <si>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</si>
  <si>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</si>
  <si>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PANTHAPATH MOHILA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</si>
  <si>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</si>
  <si>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</si>
  <si>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MOTIJHEEL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</si>
  <si>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</si>
  <si>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</si>
  <si>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NAWABPUR ROAD</t>
    </r>
  </si>
  <si>
    <r>
      <rPr>
        <rFont val="Arial MT"/>
        <color theme="1"/>
        <sz val="5.0"/>
      </rPr>
      <t>DHAKA-SOUTH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</si>
  <si>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</si>
  <si>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NAYA PALTAN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</si>
  <si>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</si>
  <si>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</si>
  <si>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PANCHGACHIA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</si>
  <si>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</si>
  <si>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</si>
  <si>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SINDURPUR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</si>
  <si>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</si>
  <si>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</si>
  <si>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DAKBANGLA BAZAR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</si>
  <si>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</si>
  <si>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</si>
  <si>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FENI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</si>
  <si>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</si>
  <si>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</si>
  <si>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ULUKHOLA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</si>
  <si>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</si>
  <si>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</si>
  <si>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GAZIPURA</t>
    </r>
  </si>
  <si>
    <r>
      <rPr>
        <rFont val="Arial MT"/>
        <color theme="1"/>
        <sz val="5.0"/>
      </rPr>
      <t>GAZIPUR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</si>
  <si>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</si>
  <si>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MAWNA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</si>
  <si>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</si>
  <si>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</si>
  <si>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KHULNA</t>
    </r>
  </si>
  <si>
    <r>
      <rPr>
        <rFont val="Arial MT"/>
        <color theme="1"/>
        <sz val="5.0"/>
      </rPr>
      <t>KISHOREGANJ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</si>
  <si>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</si>
  <si>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KALIA CHAPRA</t>
    </r>
  </si>
  <si>
    <r>
      <rPr>
        <rFont val="Arial MT"/>
        <color theme="1"/>
        <sz val="5.0"/>
      </rPr>
      <t>MUNSHIGANJ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</si>
  <si>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</si>
  <si>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MAOWA</t>
    </r>
  </si>
  <si>
    <r>
      <rPr>
        <rFont val="Arial MT"/>
        <color theme="1"/>
        <sz val="5.0"/>
      </rPr>
      <t>NARAYANGANJ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</si>
  <si>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</si>
  <si>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BELDI BAZAR</t>
    </r>
  </si>
  <si>
    <r>
      <rPr>
        <rFont val="Arial MT"/>
        <color theme="1"/>
        <sz val="5.0"/>
      </rPr>
      <t>NARSHINGDI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</si>
  <si>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</si>
  <si>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MADHABDI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</si>
  <si>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</si>
  <si>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</si>
  <si>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NANDIAPARA BAZAR</t>
    </r>
  </si>
  <si>
    <r>
      <rPr>
        <rFont val="Arial MT"/>
        <color theme="1"/>
        <sz val="5.0"/>
      </rPr>
      <t>NOAKHALI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</si>
  <si>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</si>
  <si>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KASHIPUR BAZAR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</si>
  <si>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</si>
  <si>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NRB GLOBAL BANK LIMITED</t>
    </r>
  </si>
  <si>
    <r>
      <rPr>
        <rFont val="Arial MT"/>
        <color theme="1"/>
        <sz val="5.0"/>
      </rPr>
      <t>SYLHET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</si>
  <si>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</si>
  <si>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SHIMANTO BANK LIMITED</t>
    </r>
  </si>
  <si>
    <r>
      <rPr>
        <rFont val="Arial MT"/>
        <color theme="1"/>
        <sz val="5.0"/>
      </rPr>
      <t>AGRABAD</t>
    </r>
  </si>
  <si>
    <r>
      <rPr>
        <rFont val="Arial MT"/>
        <color theme="1"/>
        <sz val="5.0"/>
      </rPr>
      <t>CHITTAGONG</t>
    </r>
  </si>
  <si>
    <r>
      <rPr>
        <rFont val="Arial MT"/>
        <color theme="1"/>
        <sz val="5.0"/>
      </rPr>
      <t>SHIMANTO BANK LIMITED</t>
    </r>
  </si>
  <si>
    <r>
      <rPr>
        <rFont val="Arial MT"/>
        <color theme="1"/>
        <sz val="5.0"/>
      </rPr>
      <t>SATKANIA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</si>
  <si>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</si>
  <si>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SHIMANTO BANK LIMITED</t>
    </r>
  </si>
  <si>
    <r>
      <rPr>
        <rFont val="Arial MT"/>
        <color theme="1"/>
        <sz val="5.0"/>
      </rPr>
      <t>TRUNCATION POINT</t>
    </r>
  </si>
  <si>
    <r>
      <rPr>
        <rFont val="Arial MT"/>
        <color theme="1"/>
        <sz val="5.0"/>
      </rPr>
      <t>DHAKA-NORTH</t>
    </r>
  </si>
  <si>
    <r>
      <rPr>
        <rFont val="Arial MT"/>
        <color theme="1"/>
        <sz val="5.0"/>
      </rPr>
      <t>SHIMANTO BANK LIMITED</t>
    </r>
  </si>
  <si>
    <r>
      <rPr>
        <rFont val="Arial MT"/>
        <color theme="1"/>
        <sz val="5.0"/>
      </rPr>
      <t>PRINCIPAL</t>
    </r>
  </si>
  <si>
    <r>
      <rPr>
        <rFont val="Arial MT"/>
        <color theme="1"/>
        <sz val="5.0"/>
      </rPr>
      <t>JESSORE</t>
    </r>
  </si>
  <si>
    <r>
      <rPr>
        <rFont val="Arial MT"/>
        <color theme="1"/>
        <sz val="5.0"/>
      </rPr>
      <t>SHIMANTO BANK LIMITED</t>
    </r>
  </si>
  <si>
    <r>
      <rPr>
        <rFont val="Arial MT"/>
        <color theme="1"/>
        <sz val="5.0"/>
      </rPr>
      <t>BENAPOLE</t>
    </r>
  </si>
  <si>
    <r>
      <rPr>
        <rFont val="Arial MT"/>
        <color theme="1"/>
        <sz val="5.0"/>
      </rPr>
      <t>MYMENSINGH</t>
    </r>
  </si>
  <si>
    <r>
      <rPr>
        <rFont val="Arial MT"/>
        <color theme="1"/>
        <sz val="5.0"/>
      </rPr>
      <t>SHIMANTO BANK LIMITED</t>
    </r>
  </si>
  <si>
    <r>
      <rPr>
        <rFont val="Arial MT"/>
        <color theme="1"/>
        <sz val="5.0"/>
      </rPr>
      <t>MYMENSINGH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</si>
</sst>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"/>
    <numFmt numFmtId="165" formatCode="000000000"/>
  </numFmts>
  <fonts count="12"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  <font>
      <b/>
      <sz val="11.0"/>
      <color theme="1"/>
      <name val="Arial"/>
    </font>
    <font>
      <sz val="11.0"/>
      <color rgb="FF000000"/>
      <name val="Arial mt"/>
    </font>
    <font>
      <sz val="11.0"/>
      <color theme="1"/>
      <name val="Arial mt"/>
    </font>
    <font>
      <sz val="11.0"/>
      <color rgb="FF000000"/>
      <name val="Times New Roman"/>
    </font>
    <font>
      <sz val="12.0"/>
      <color rgb="FF000000"/>
      <name val="Arial mt"/>
    </font>
    <font>
      <sz val="12.0"/>
      <color theme="1"/>
      <name val="Arial mt"/>
    </font>
    <font>
      <sz val="12.0"/>
      <color theme="1"/>
      <name val="Calibri"/>
    </font>
    <font>
      <sz val="5.0"/>
      <color rgb="FF000000"/>
      <name val="Arial mt"/>
    </font>
    <font>
      <sz val="5.0"/>
      <color theme="1"/>
      <name val="Arial mt"/>
    </font>
  </fonts>
  <fills count="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A6A6A6"/>
        <bgColor rgb="FFA6A6A6"/>
      </patternFill>
    </fill>
    <fill>
      <patternFill patternType="solid">
        <fgColor rgb="FFD9D9D9"/>
        <bgColor rgb="FFD9D9D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" xfId="0" applyFont="1" applyNumberFormat="1"/>
    <xf borderId="0" fillId="0" fontId="2" numFmtId="164" xfId="0" applyFont="1" applyNumberFormat="1"/>
    <xf borderId="0" fillId="0" fontId="2" numFmtId="165" xfId="0" applyFont="1" applyNumberFormat="1"/>
    <xf borderId="1" fillId="2" fontId="3" numFmtId="0" xfId="0" applyAlignment="1" applyBorder="1" applyFill="1" applyFont="1">
      <alignment horizontal="left" shrinkToFit="0" vertical="center" wrapText="1"/>
    </xf>
    <xf borderId="0" fillId="0" fontId="3" numFmtId="0" xfId="0" applyAlignment="1" applyFont="1">
      <alignment horizontal="left" shrinkToFit="0" vertical="top" wrapText="1"/>
    </xf>
    <xf borderId="0" fillId="0" fontId="0" numFmtId="0" xfId="0" applyFont="1"/>
    <xf borderId="1" fillId="3" fontId="4" numFmtId="1" xfId="0" applyAlignment="1" applyBorder="1" applyFill="1" applyFont="1" applyNumberFormat="1">
      <alignment horizontal="left" shrinkToFit="1" vertical="top" wrapText="0"/>
    </xf>
    <xf borderId="1" fillId="3" fontId="5" numFmtId="0" xfId="0" applyAlignment="1" applyBorder="1" applyFont="1">
      <alignment horizontal="left" shrinkToFit="0" vertical="top" wrapText="1"/>
    </xf>
    <xf borderId="1" fillId="3" fontId="4" numFmtId="164" xfId="0" applyAlignment="1" applyBorder="1" applyFont="1" applyNumberFormat="1">
      <alignment horizontal="left" shrinkToFit="1" vertical="top" wrapText="0"/>
    </xf>
    <xf borderId="1" fillId="3" fontId="4" numFmtId="165" xfId="0" applyAlignment="1" applyBorder="1" applyFont="1" applyNumberFormat="1">
      <alignment horizontal="left" shrinkToFit="1" vertical="top" wrapText="0"/>
    </xf>
    <xf borderId="0" fillId="0" fontId="6" numFmtId="0" xfId="0" applyAlignment="1" applyFont="1">
      <alignment horizontal="left" shrinkToFit="0" vertical="top" wrapText="1"/>
    </xf>
    <xf borderId="1" fillId="4" fontId="4" numFmtId="1" xfId="0" applyAlignment="1" applyBorder="1" applyFill="1" applyFont="1" applyNumberFormat="1">
      <alignment horizontal="left" shrinkToFit="1" vertical="top" wrapText="0"/>
    </xf>
    <xf borderId="1" fillId="4" fontId="5" numFmtId="0" xfId="0" applyAlignment="1" applyBorder="1" applyFont="1">
      <alignment horizontal="left" shrinkToFit="0" vertical="top" wrapText="1"/>
    </xf>
    <xf borderId="1" fillId="4" fontId="4" numFmtId="164" xfId="0" applyAlignment="1" applyBorder="1" applyFont="1" applyNumberFormat="1">
      <alignment horizontal="left" shrinkToFit="1" vertical="top" wrapText="0"/>
    </xf>
    <xf borderId="1" fillId="4" fontId="4" numFmtId="165" xfId="0" applyAlignment="1" applyBorder="1" applyFont="1" applyNumberFormat="1">
      <alignment horizontal="left" shrinkToFit="1" vertical="top" wrapText="0"/>
    </xf>
    <xf borderId="1" fillId="4" fontId="7" numFmtId="1" xfId="0" applyAlignment="1" applyBorder="1" applyFont="1" applyNumberFormat="1">
      <alignment horizontal="left" shrinkToFit="1" vertical="top" wrapText="0"/>
    </xf>
    <xf borderId="1" fillId="4" fontId="8" numFmtId="0" xfId="0" applyAlignment="1" applyBorder="1" applyFont="1">
      <alignment horizontal="left" shrinkToFit="0" vertical="top" wrapText="1"/>
    </xf>
    <xf borderId="1" fillId="4" fontId="7" numFmtId="164" xfId="0" applyAlignment="1" applyBorder="1" applyFont="1" applyNumberFormat="1">
      <alignment horizontal="left" shrinkToFit="1" vertical="top" wrapText="0"/>
    </xf>
    <xf borderId="1" fillId="4" fontId="7" numFmtId="165" xfId="0" applyAlignment="1" applyBorder="1" applyFont="1" applyNumberFormat="1">
      <alignment horizontal="left" shrinkToFit="1" vertical="top" wrapText="0"/>
    </xf>
    <xf borderId="0" fillId="0" fontId="9" numFmtId="0" xfId="0" applyFont="1"/>
    <xf borderId="1" fillId="3" fontId="7" numFmtId="1" xfId="0" applyAlignment="1" applyBorder="1" applyFont="1" applyNumberFormat="1">
      <alignment horizontal="left" shrinkToFit="1" vertical="top" wrapText="0"/>
    </xf>
    <xf borderId="1" fillId="3" fontId="8" numFmtId="0" xfId="0" applyAlignment="1" applyBorder="1" applyFont="1">
      <alignment horizontal="left" shrinkToFit="0" vertical="top" wrapText="1"/>
    </xf>
    <xf borderId="1" fillId="3" fontId="7" numFmtId="164" xfId="0" applyAlignment="1" applyBorder="1" applyFont="1" applyNumberFormat="1">
      <alignment horizontal="left" shrinkToFit="1" vertical="top" wrapText="0"/>
    </xf>
    <xf borderId="1" fillId="3" fontId="7" numFmtId="165" xfId="0" applyAlignment="1" applyBorder="1" applyFont="1" applyNumberFormat="1">
      <alignment horizontal="left" shrinkToFit="1" vertical="top" wrapText="0"/>
    </xf>
    <xf borderId="1" fillId="4" fontId="10" numFmtId="1" xfId="0" applyAlignment="1" applyBorder="1" applyFont="1" applyNumberFormat="1">
      <alignment horizontal="left" shrinkToFit="1" vertical="top" wrapText="0"/>
    </xf>
    <xf borderId="1" fillId="4" fontId="11" numFmtId="0" xfId="0" applyAlignment="1" applyBorder="1" applyFont="1">
      <alignment horizontal="left" shrinkToFit="0" vertical="top" wrapText="1"/>
    </xf>
    <xf borderId="1" fillId="4" fontId="10" numFmtId="164" xfId="0" applyAlignment="1" applyBorder="1" applyFont="1" applyNumberFormat="1">
      <alignment horizontal="left" shrinkToFit="1" vertical="top" wrapText="0"/>
    </xf>
    <xf borderId="1" fillId="4" fontId="10" numFmtId="165" xfId="0" applyAlignment="1" applyBorder="1" applyFont="1" applyNumberFormat="1">
      <alignment horizontal="left" shrinkToFit="1" vertical="top" wrapText="0"/>
    </xf>
    <xf borderId="1" fillId="3" fontId="10" numFmtId="1" xfId="0" applyAlignment="1" applyBorder="1" applyFont="1" applyNumberFormat="1">
      <alignment horizontal="left" shrinkToFit="1" vertical="top" wrapText="0"/>
    </xf>
    <xf borderId="1" fillId="3" fontId="11" numFmtId="0" xfId="0" applyAlignment="1" applyBorder="1" applyFont="1">
      <alignment horizontal="left" shrinkToFit="0" vertical="top" wrapText="1"/>
    </xf>
    <xf borderId="1" fillId="3" fontId="10" numFmtId="164" xfId="0" applyAlignment="1" applyBorder="1" applyFont="1" applyNumberFormat="1">
      <alignment horizontal="left" shrinkToFit="1" vertical="top" wrapText="0"/>
    </xf>
    <xf borderId="1" fillId="3" fontId="10" numFmtId="165" xfId="0" applyAlignment="1" applyBorder="1" applyFont="1" applyNumberFormat="1">
      <alignment horizontal="left" shrinkToFit="1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B2" s="2" t="s">
        <v>16</v>
      </c>
      <c r="C2" s="2" t="s">
        <v>17</v>
      </c>
      <c r="D2" s="2" t="s">
        <v>18</v>
      </c>
      <c r="F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</row>
    <row r="3">
      <c r="F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37</v>
      </c>
      <c r="P3" s="2" t="s">
        <v>38</v>
      </c>
    </row>
    <row r="4">
      <c r="F4" s="2" t="s">
        <v>39</v>
      </c>
      <c r="H4" s="2" t="s">
        <v>40</v>
      </c>
      <c r="I4" s="2" t="s">
        <v>41</v>
      </c>
      <c r="J4" s="2" t="s">
        <v>42</v>
      </c>
      <c r="K4" s="2" t="s">
        <v>43</v>
      </c>
      <c r="L4" s="2" t="s">
        <v>24</v>
      </c>
      <c r="M4" s="2" t="s">
        <v>44</v>
      </c>
      <c r="N4" s="2" t="s">
        <v>45</v>
      </c>
      <c r="O4" s="2" t="s">
        <v>46</v>
      </c>
      <c r="P4" s="2" t="s">
        <v>47</v>
      </c>
    </row>
    <row r="5">
      <c r="H5" s="2" t="s">
        <v>48</v>
      </c>
      <c r="I5" s="2" t="s">
        <v>49</v>
      </c>
      <c r="J5" s="2" t="s">
        <v>50</v>
      </c>
      <c r="K5" s="2" t="s">
        <v>51</v>
      </c>
      <c r="L5" s="2" t="s">
        <v>24</v>
      </c>
      <c r="M5" s="2" t="s">
        <v>52</v>
      </c>
      <c r="N5" s="2" t="s">
        <v>53</v>
      </c>
      <c r="O5" s="2" t="s">
        <v>54</v>
      </c>
      <c r="P5" s="2" t="s">
        <v>55</v>
      </c>
    </row>
    <row r="6">
      <c r="F6" s="2" t="s">
        <v>56</v>
      </c>
      <c r="H6" s="2" t="s">
        <v>57</v>
      </c>
      <c r="I6" s="2" t="s">
        <v>58</v>
      </c>
      <c r="J6" s="2" t="s">
        <v>59</v>
      </c>
      <c r="K6" s="2" t="s">
        <v>60</v>
      </c>
      <c r="L6" s="2" t="s">
        <v>24</v>
      </c>
      <c r="M6" s="2" t="s">
        <v>61</v>
      </c>
      <c r="N6" s="2" t="s">
        <v>62</v>
      </c>
      <c r="O6" s="2" t="s">
        <v>63</v>
      </c>
      <c r="P6" s="2" t="s">
        <v>64</v>
      </c>
    </row>
    <row r="7">
      <c r="F7" s="2" t="s">
        <v>65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24</v>
      </c>
      <c r="M7" s="2" t="s">
        <v>70</v>
      </c>
      <c r="N7" s="2" t="s">
        <v>71</v>
      </c>
      <c r="O7" s="2" t="s">
        <v>72</v>
      </c>
      <c r="P7" s="2" t="s">
        <v>73</v>
      </c>
    </row>
    <row r="8">
      <c r="F8" s="2" t="s">
        <v>74</v>
      </c>
      <c r="H8" s="2" t="s">
        <v>75</v>
      </c>
      <c r="I8" s="2" t="s">
        <v>76</v>
      </c>
      <c r="J8" s="2" t="s">
        <v>77</v>
      </c>
      <c r="K8" s="2" t="s">
        <v>78</v>
      </c>
      <c r="L8" s="2" t="s">
        <v>79</v>
      </c>
      <c r="M8" s="2" t="s">
        <v>80</v>
      </c>
      <c r="N8" s="2" t="s">
        <v>81</v>
      </c>
      <c r="O8" s="2" t="s">
        <v>82</v>
      </c>
      <c r="P8" s="2" t="s">
        <v>83</v>
      </c>
    </row>
    <row r="9">
      <c r="H9" s="2" t="s">
        <v>84</v>
      </c>
      <c r="I9" s="2" t="s">
        <v>85</v>
      </c>
      <c r="J9" s="2" t="s">
        <v>86</v>
      </c>
      <c r="K9" s="2" t="s">
        <v>87</v>
      </c>
      <c r="L9" s="2" t="s">
        <v>24</v>
      </c>
      <c r="M9" s="2" t="s">
        <v>88</v>
      </c>
      <c r="N9" s="2" t="s">
        <v>89</v>
      </c>
      <c r="O9" s="2" t="s">
        <v>90</v>
      </c>
      <c r="P9" s="2" t="s">
        <v>91</v>
      </c>
    </row>
    <row r="10">
      <c r="H10" s="2" t="s">
        <v>92</v>
      </c>
      <c r="I10" s="2" t="s">
        <v>93</v>
      </c>
      <c r="J10" s="2" t="s">
        <v>94</v>
      </c>
      <c r="K10" s="2" t="s">
        <v>95</v>
      </c>
      <c r="L10" s="2" t="s">
        <v>24</v>
      </c>
      <c r="M10" s="2" t="s">
        <v>96</v>
      </c>
      <c r="N10" s="2" t="s">
        <v>97</v>
      </c>
      <c r="O10" s="2" t="s">
        <v>98</v>
      </c>
      <c r="P10" s="2" t="s">
        <v>99</v>
      </c>
    </row>
    <row r="11">
      <c r="H11" s="2" t="s">
        <v>100</v>
      </c>
      <c r="I11" s="2" t="s">
        <v>101</v>
      </c>
      <c r="J11" s="2" t="s">
        <v>102</v>
      </c>
      <c r="K11" s="2" t="s">
        <v>103</v>
      </c>
      <c r="L11" s="2" t="s">
        <v>24</v>
      </c>
      <c r="M11" s="2" t="s">
        <v>104</v>
      </c>
      <c r="N11" s="2" t="s">
        <v>105</v>
      </c>
      <c r="O11" s="2" t="s">
        <v>106</v>
      </c>
      <c r="P11" s="2" t="s">
        <v>107</v>
      </c>
    </row>
    <row r="12">
      <c r="H12" s="2" t="s">
        <v>108</v>
      </c>
      <c r="I12" s="2" t="s">
        <v>109</v>
      </c>
      <c r="J12" s="2" t="s">
        <v>110</v>
      </c>
      <c r="K12" s="2" t="s">
        <v>111</v>
      </c>
      <c r="L12" s="2" t="s">
        <v>24</v>
      </c>
      <c r="M12" s="2" t="s">
        <v>112</v>
      </c>
      <c r="N12" s="2" t="s">
        <v>113</v>
      </c>
      <c r="O12" s="2" t="s">
        <v>114</v>
      </c>
      <c r="P12" s="2" t="s">
        <v>115</v>
      </c>
    </row>
    <row r="13">
      <c r="H13" s="2" t="s">
        <v>116</v>
      </c>
      <c r="I13" s="2" t="s">
        <v>117</v>
      </c>
      <c r="J13" s="2" t="s">
        <v>118</v>
      </c>
      <c r="K13" s="2" t="s">
        <v>119</v>
      </c>
      <c r="L13" s="2" t="s">
        <v>120</v>
      </c>
      <c r="M13" s="2" t="s">
        <v>121</v>
      </c>
      <c r="N13" s="2" t="s">
        <v>122</v>
      </c>
      <c r="O13" s="2" t="s">
        <v>123</v>
      </c>
      <c r="P13" s="2" t="s">
        <v>124</v>
      </c>
    </row>
    <row r="14">
      <c r="H14" s="2" t="s">
        <v>125</v>
      </c>
      <c r="I14" s="2" t="s">
        <v>126</v>
      </c>
      <c r="J14" s="2" t="s">
        <v>127</v>
      </c>
      <c r="K14" s="2" t="s">
        <v>128</v>
      </c>
      <c r="L14" s="2" t="s">
        <v>24</v>
      </c>
      <c r="M14" s="2" t="s">
        <v>129</v>
      </c>
      <c r="N14" s="2" t="s">
        <v>130</v>
      </c>
      <c r="O14" s="2" t="s">
        <v>131</v>
      </c>
      <c r="P14" s="2" t="s">
        <v>132</v>
      </c>
    </row>
    <row r="15">
      <c r="H15" s="2" t="s">
        <v>133</v>
      </c>
      <c r="I15" s="2" t="s">
        <v>134</v>
      </c>
      <c r="J15" s="2" t="s">
        <v>135</v>
      </c>
      <c r="K15" s="2" t="s">
        <v>136</v>
      </c>
      <c r="L15" s="2" t="s">
        <v>24</v>
      </c>
      <c r="M15" s="2" t="s">
        <v>137</v>
      </c>
      <c r="N15" s="2" t="s">
        <v>138</v>
      </c>
      <c r="O15" s="2" t="s">
        <v>139</v>
      </c>
      <c r="P15" s="2" t="s">
        <v>140</v>
      </c>
    </row>
    <row r="16">
      <c r="H16" s="2" t="s">
        <v>141</v>
      </c>
      <c r="I16" s="2" t="s">
        <v>142</v>
      </c>
      <c r="J16" s="2" t="s">
        <v>143</v>
      </c>
      <c r="K16" s="2" t="s">
        <v>144</v>
      </c>
      <c r="L16" s="2" t="s">
        <v>24</v>
      </c>
      <c r="M16" s="2" t="s">
        <v>145</v>
      </c>
      <c r="N16" s="2" t="s">
        <v>146</v>
      </c>
      <c r="O16" s="2" t="s">
        <v>147</v>
      </c>
      <c r="P16" s="2" t="s">
        <v>148</v>
      </c>
    </row>
    <row r="17">
      <c r="H17" s="2" t="s">
        <v>149</v>
      </c>
      <c r="I17" s="2" t="s">
        <v>150</v>
      </c>
      <c r="J17" s="2" t="s">
        <v>151</v>
      </c>
      <c r="K17" s="2" t="s">
        <v>152</v>
      </c>
      <c r="L17" s="2" t="s">
        <v>153</v>
      </c>
      <c r="M17" s="2" t="s">
        <v>154</v>
      </c>
      <c r="N17" s="2" t="s">
        <v>155</v>
      </c>
      <c r="O17" s="2" t="s">
        <v>156</v>
      </c>
      <c r="P17" s="2" t="s">
        <v>157</v>
      </c>
    </row>
    <row r="18">
      <c r="H18" s="2" t="s">
        <v>158</v>
      </c>
      <c r="I18" s="2" t="s">
        <v>159</v>
      </c>
      <c r="J18" s="2" t="s">
        <v>160</v>
      </c>
      <c r="K18" s="2" t="s">
        <v>161</v>
      </c>
      <c r="L18" s="2" t="s">
        <v>24</v>
      </c>
      <c r="M18" s="2" t="s">
        <v>162</v>
      </c>
      <c r="N18" s="2" t="s">
        <v>163</v>
      </c>
      <c r="O18" s="2" t="s">
        <v>164</v>
      </c>
      <c r="P18" s="2" t="s">
        <v>165</v>
      </c>
    </row>
    <row r="19">
      <c r="H19" s="2" t="s">
        <v>166</v>
      </c>
      <c r="I19" s="2" t="s">
        <v>167</v>
      </c>
      <c r="J19" s="2" t="s">
        <v>168</v>
      </c>
      <c r="K19" s="2" t="s">
        <v>169</v>
      </c>
      <c r="L19" s="2" t="s">
        <v>170</v>
      </c>
      <c r="M19" s="2" t="s">
        <v>171</v>
      </c>
      <c r="N19" s="2" t="s">
        <v>172</v>
      </c>
      <c r="O19" s="2" t="s">
        <v>173</v>
      </c>
      <c r="P19" s="2" t="s">
        <v>174</v>
      </c>
    </row>
    <row r="20">
      <c r="H20" s="2" t="s">
        <v>175</v>
      </c>
      <c r="I20" s="2" t="s">
        <v>176</v>
      </c>
      <c r="J20" s="2" t="s">
        <v>177</v>
      </c>
      <c r="K20" s="2" t="s">
        <v>178</v>
      </c>
      <c r="L20" s="2" t="s">
        <v>179</v>
      </c>
      <c r="M20" s="2" t="s">
        <v>180</v>
      </c>
      <c r="N20" s="2" t="s">
        <v>181</v>
      </c>
      <c r="O20" s="2" t="s">
        <v>182</v>
      </c>
      <c r="P20" s="2" t="s">
        <v>183</v>
      </c>
    </row>
    <row r="21" ht="15.75" customHeight="1">
      <c r="H21" s="2" t="s">
        <v>184</v>
      </c>
      <c r="I21" s="2" t="s">
        <v>185</v>
      </c>
      <c r="J21" s="2" t="s">
        <v>186</v>
      </c>
      <c r="K21" s="2" t="s">
        <v>187</v>
      </c>
      <c r="L21" s="2" t="s">
        <v>24</v>
      </c>
      <c r="M21" s="2" t="s">
        <v>188</v>
      </c>
      <c r="N21" s="2" t="s">
        <v>189</v>
      </c>
      <c r="O21" s="2" t="s">
        <v>190</v>
      </c>
      <c r="P21" s="2" t="s">
        <v>191</v>
      </c>
    </row>
    <row r="22" ht="15.75" customHeight="1">
      <c r="H22" s="2" t="s">
        <v>192</v>
      </c>
      <c r="I22" s="2" t="s">
        <v>193</v>
      </c>
      <c r="J22" s="2" t="s">
        <v>194</v>
      </c>
      <c r="K22" s="2" t="s">
        <v>195</v>
      </c>
      <c r="L22" s="2" t="s">
        <v>24</v>
      </c>
      <c r="M22" s="2" t="s">
        <v>196</v>
      </c>
      <c r="N22" s="2" t="s">
        <v>197</v>
      </c>
      <c r="O22" s="2" t="s">
        <v>198</v>
      </c>
      <c r="P22" s="2" t="s">
        <v>199</v>
      </c>
    </row>
    <row r="23" ht="15.75" customHeight="1">
      <c r="H23" s="2" t="s">
        <v>200</v>
      </c>
      <c r="I23" s="2" t="s">
        <v>201</v>
      </c>
      <c r="J23" s="2" t="s">
        <v>202</v>
      </c>
      <c r="K23" s="2" t="s">
        <v>203</v>
      </c>
      <c r="L23" s="2" t="s">
        <v>24</v>
      </c>
      <c r="M23" s="2" t="s">
        <v>204</v>
      </c>
      <c r="N23" s="2" t="s">
        <v>205</v>
      </c>
      <c r="O23" s="2" t="s">
        <v>206</v>
      </c>
      <c r="P23" s="2" t="s">
        <v>207</v>
      </c>
    </row>
    <row r="24" ht="15.75" customHeight="1">
      <c r="H24" s="2" t="s">
        <v>208</v>
      </c>
      <c r="I24" s="2" t="s">
        <v>209</v>
      </c>
      <c r="J24" s="2" t="s">
        <v>210</v>
      </c>
      <c r="K24" s="2" t="s">
        <v>211</v>
      </c>
      <c r="L24" s="2" t="s">
        <v>24</v>
      </c>
      <c r="M24" s="2" t="s">
        <v>212</v>
      </c>
      <c r="N24" s="2" t="s">
        <v>213</v>
      </c>
      <c r="O24" s="2" t="s">
        <v>214</v>
      </c>
      <c r="P24" s="2" t="s">
        <v>215</v>
      </c>
    </row>
    <row r="25" ht="15.75" customHeight="1">
      <c r="H25" s="2" t="s">
        <v>216</v>
      </c>
      <c r="I25" s="2" t="s">
        <v>217</v>
      </c>
      <c r="J25" s="2" t="s">
        <v>218</v>
      </c>
      <c r="K25" s="2" t="s">
        <v>219</v>
      </c>
      <c r="L25" s="2" t="s">
        <v>24</v>
      </c>
      <c r="M25" s="2" t="s">
        <v>220</v>
      </c>
      <c r="N25" s="2" t="s">
        <v>221</v>
      </c>
      <c r="O25" s="2" t="s">
        <v>222</v>
      </c>
      <c r="P25" s="2" t="s">
        <v>223</v>
      </c>
    </row>
    <row r="26" ht="15.75" customHeight="1">
      <c r="H26" s="2" t="s">
        <v>224</v>
      </c>
      <c r="I26" s="2" t="s">
        <v>225</v>
      </c>
      <c r="J26" s="2" t="s">
        <v>226</v>
      </c>
      <c r="K26" s="2" t="s">
        <v>227</v>
      </c>
      <c r="L26" s="2" t="s">
        <v>24</v>
      </c>
      <c r="M26" s="2" t="s">
        <v>228</v>
      </c>
      <c r="N26" s="2" t="s">
        <v>229</v>
      </c>
      <c r="O26" s="2" t="s">
        <v>230</v>
      </c>
      <c r="P26" s="2" t="s">
        <v>231</v>
      </c>
    </row>
    <row r="27" ht="15.75" customHeight="1">
      <c r="H27" s="2" t="s">
        <v>232</v>
      </c>
      <c r="I27" s="2" t="s">
        <v>233</v>
      </c>
      <c r="J27" s="2" t="s">
        <v>234</v>
      </c>
      <c r="K27" s="2" t="s">
        <v>235</v>
      </c>
      <c r="L27" s="2" t="s">
        <v>24</v>
      </c>
      <c r="M27" s="2" t="s">
        <v>236</v>
      </c>
      <c r="N27" s="2" t="s">
        <v>237</v>
      </c>
      <c r="O27" s="2" t="s">
        <v>238</v>
      </c>
      <c r="P27" s="2" t="s">
        <v>239</v>
      </c>
    </row>
    <row r="28" ht="15.75" customHeight="1">
      <c r="H28" s="2" t="s">
        <v>240</v>
      </c>
      <c r="I28" s="2" t="s">
        <v>241</v>
      </c>
      <c r="J28" s="2" t="s">
        <v>242</v>
      </c>
      <c r="K28" s="2" t="s">
        <v>243</v>
      </c>
      <c r="L28" s="2" t="s">
        <v>24</v>
      </c>
      <c r="M28" s="2" t="s">
        <v>244</v>
      </c>
      <c r="N28" s="2" t="s">
        <v>245</v>
      </c>
      <c r="O28" s="2" t="s">
        <v>246</v>
      </c>
      <c r="P28" s="2" t="s">
        <v>247</v>
      </c>
    </row>
    <row r="29" ht="15.75" customHeight="1">
      <c r="H29" s="2" t="s">
        <v>248</v>
      </c>
      <c r="I29" s="2" t="s">
        <v>249</v>
      </c>
      <c r="J29" s="2" t="s">
        <v>250</v>
      </c>
      <c r="K29" s="2" t="s">
        <v>251</v>
      </c>
      <c r="L29" s="2" t="s">
        <v>24</v>
      </c>
      <c r="M29" s="2" t="s">
        <v>252</v>
      </c>
      <c r="N29" s="2" t="s">
        <v>253</v>
      </c>
      <c r="O29" s="2" t="s">
        <v>254</v>
      </c>
      <c r="P29" s="2" t="s">
        <v>255</v>
      </c>
    </row>
    <row r="30" ht="15.75" customHeight="1">
      <c r="H30" s="2" t="s">
        <v>256</v>
      </c>
      <c r="I30" s="2" t="s">
        <v>257</v>
      </c>
      <c r="J30" s="2" t="s">
        <v>258</v>
      </c>
      <c r="K30" s="2" t="s">
        <v>259</v>
      </c>
      <c r="L30" s="2" t="s">
        <v>260</v>
      </c>
      <c r="M30" s="2" t="s">
        <v>261</v>
      </c>
      <c r="N30" s="2" t="s">
        <v>262</v>
      </c>
      <c r="O30" s="2" t="s">
        <v>263</v>
      </c>
      <c r="P30" s="2" t="s">
        <v>264</v>
      </c>
    </row>
    <row r="31" ht="15.75" customHeight="1">
      <c r="F31" s="2" t="s">
        <v>265</v>
      </c>
      <c r="H31" s="2" t="s">
        <v>266</v>
      </c>
      <c r="I31" s="2" t="s">
        <v>267</v>
      </c>
      <c r="J31" s="2" t="s">
        <v>268</v>
      </c>
      <c r="K31" s="2" t="s">
        <v>269</v>
      </c>
      <c r="L31" s="2" t="s">
        <v>24</v>
      </c>
      <c r="M31" s="2" t="s">
        <v>270</v>
      </c>
      <c r="N31" s="2" t="s">
        <v>271</v>
      </c>
      <c r="O31" s="2" t="s">
        <v>272</v>
      </c>
      <c r="P31" s="2" t="s">
        <v>273</v>
      </c>
    </row>
    <row r="32" ht="15.75" customHeight="1">
      <c r="F32" s="2" t="s">
        <v>274</v>
      </c>
      <c r="H32" s="2" t="s">
        <v>275</v>
      </c>
      <c r="I32" s="2" t="s">
        <v>276</v>
      </c>
      <c r="J32" s="2" t="s">
        <v>276</v>
      </c>
      <c r="K32" s="2" t="s">
        <v>277</v>
      </c>
    </row>
    <row r="33" ht="15.75" customHeight="1">
      <c r="H33" s="2" t="s">
        <v>278</v>
      </c>
      <c r="I33" s="2" t="s">
        <v>279</v>
      </c>
      <c r="J33" s="2" t="s">
        <v>274</v>
      </c>
      <c r="K33" s="2" t="s">
        <v>280</v>
      </c>
    </row>
    <row r="34" ht="15.75" customHeight="1">
      <c r="H34" s="2" t="s">
        <v>281</v>
      </c>
      <c r="I34" s="2" t="s">
        <v>282</v>
      </c>
      <c r="J34" s="2" t="s">
        <v>282</v>
      </c>
      <c r="K34" s="2" t="s">
        <v>283</v>
      </c>
    </row>
    <row r="35" ht="15.75" customHeight="1">
      <c r="F35" s="2" t="s">
        <v>284</v>
      </c>
      <c r="H35" s="2" t="s">
        <v>285</v>
      </c>
      <c r="I35" s="2" t="s">
        <v>286</v>
      </c>
      <c r="J35" s="2" t="s">
        <v>287</v>
      </c>
      <c r="K35" s="2" t="s">
        <v>288</v>
      </c>
      <c r="L35" s="2" t="s">
        <v>24</v>
      </c>
      <c r="M35" s="2" t="s">
        <v>289</v>
      </c>
      <c r="N35" s="2" t="s">
        <v>290</v>
      </c>
      <c r="O35" s="2" t="s">
        <v>291</v>
      </c>
      <c r="P35" s="2" t="s">
        <v>292</v>
      </c>
    </row>
    <row r="36" ht="15.75" customHeight="1">
      <c r="H36" s="2" t="s">
        <v>293</v>
      </c>
      <c r="I36" s="2" t="s">
        <v>294</v>
      </c>
      <c r="J36" s="2" t="s">
        <v>295</v>
      </c>
      <c r="K36" s="2" t="s">
        <v>296</v>
      </c>
      <c r="L36" s="2" t="s">
        <v>24</v>
      </c>
      <c r="M36" s="2" t="s">
        <v>297</v>
      </c>
      <c r="N36" s="2" t="s">
        <v>298</v>
      </c>
      <c r="O36" s="2" t="s">
        <v>299</v>
      </c>
      <c r="P36" s="2" t="s">
        <v>300</v>
      </c>
    </row>
    <row r="37" ht="15.75" customHeight="1">
      <c r="H37" s="2" t="s">
        <v>301</v>
      </c>
      <c r="I37" s="2" t="s">
        <v>302</v>
      </c>
      <c r="J37" s="2" t="s">
        <v>303</v>
      </c>
      <c r="K37" s="2" t="s">
        <v>304</v>
      </c>
      <c r="L37" s="2" t="s">
        <v>24</v>
      </c>
      <c r="M37" s="2" t="s">
        <v>305</v>
      </c>
      <c r="N37" s="2" t="s">
        <v>306</v>
      </c>
      <c r="O37" s="2" t="s">
        <v>307</v>
      </c>
      <c r="P37" s="2" t="s">
        <v>308</v>
      </c>
    </row>
    <row r="38" ht="15.75" customHeight="1">
      <c r="H38" s="2" t="s">
        <v>309</v>
      </c>
      <c r="I38" s="2" t="s">
        <v>310</v>
      </c>
      <c r="J38" s="2" t="s">
        <v>311</v>
      </c>
      <c r="K38" s="2" t="s">
        <v>312</v>
      </c>
      <c r="L38" s="2" t="s">
        <v>24</v>
      </c>
      <c r="M38" s="2" t="s">
        <v>313</v>
      </c>
      <c r="N38" s="2" t="s">
        <v>314</v>
      </c>
      <c r="O38" s="2" t="s">
        <v>315</v>
      </c>
      <c r="P38" s="2" t="s">
        <v>316</v>
      </c>
    </row>
    <row r="39" ht="15.75" customHeight="1">
      <c r="H39" s="2" t="s">
        <v>317</v>
      </c>
      <c r="I39" s="2" t="s">
        <v>318</v>
      </c>
      <c r="J39" s="2" t="s">
        <v>319</v>
      </c>
      <c r="K39" s="2" t="s">
        <v>320</v>
      </c>
      <c r="L39" s="2" t="s">
        <v>24</v>
      </c>
      <c r="M39" s="2" t="s">
        <v>321</v>
      </c>
      <c r="N39" s="2" t="s">
        <v>322</v>
      </c>
      <c r="O39" s="2" t="s">
        <v>323</v>
      </c>
      <c r="P39" s="2" t="s">
        <v>324</v>
      </c>
    </row>
    <row r="40" ht="15.75" customHeight="1">
      <c r="H40" s="2" t="s">
        <v>325</v>
      </c>
      <c r="I40" s="2" t="s">
        <v>326</v>
      </c>
      <c r="J40" s="2" t="s">
        <v>327</v>
      </c>
      <c r="K40" s="2" t="s">
        <v>328</v>
      </c>
      <c r="L40" s="2" t="s">
        <v>329</v>
      </c>
      <c r="M40" s="2" t="s">
        <v>330</v>
      </c>
      <c r="N40" s="2" t="s">
        <v>331</v>
      </c>
      <c r="O40" s="2" t="s">
        <v>332</v>
      </c>
      <c r="P40" s="2" t="s">
        <v>333</v>
      </c>
    </row>
    <row r="41" ht="15.75" customHeight="1">
      <c r="H41" s="2" t="s">
        <v>334</v>
      </c>
      <c r="I41" s="2" t="s">
        <v>335</v>
      </c>
      <c r="J41" s="2" t="s">
        <v>336</v>
      </c>
      <c r="K41" s="2" t="s">
        <v>337</v>
      </c>
      <c r="L41" s="2" t="s">
        <v>338</v>
      </c>
      <c r="M41" s="2" t="s">
        <v>339</v>
      </c>
      <c r="N41" s="2" t="s">
        <v>340</v>
      </c>
      <c r="O41" s="2" t="s">
        <v>341</v>
      </c>
      <c r="P41" s="2" t="s">
        <v>342</v>
      </c>
    </row>
    <row r="42" ht="15.75" customHeight="1">
      <c r="H42" s="2" t="s">
        <v>343</v>
      </c>
      <c r="I42" s="2" t="s">
        <v>344</v>
      </c>
      <c r="J42" s="2" t="s">
        <v>345</v>
      </c>
      <c r="K42" s="2" t="s">
        <v>346</v>
      </c>
      <c r="L42" s="2" t="s">
        <v>24</v>
      </c>
      <c r="M42" s="2" t="s">
        <v>347</v>
      </c>
      <c r="N42" s="2" t="s">
        <v>348</v>
      </c>
      <c r="O42" s="2" t="s">
        <v>349</v>
      </c>
      <c r="P42" s="2" t="s">
        <v>350</v>
      </c>
    </row>
    <row r="43" ht="15.75" customHeight="1">
      <c r="H43" s="2" t="s">
        <v>351</v>
      </c>
      <c r="I43" s="2" t="s">
        <v>352</v>
      </c>
      <c r="J43" s="2" t="s">
        <v>353</v>
      </c>
      <c r="K43" s="2" t="s">
        <v>354</v>
      </c>
      <c r="L43" s="2" t="s">
        <v>24</v>
      </c>
      <c r="M43" s="2" t="s">
        <v>355</v>
      </c>
      <c r="N43" s="2" t="s">
        <v>356</v>
      </c>
      <c r="O43" s="2" t="s">
        <v>357</v>
      </c>
      <c r="P43" s="2" t="s">
        <v>358</v>
      </c>
    </row>
    <row r="44" ht="15.75" customHeight="1">
      <c r="H44" s="2" t="s">
        <v>359</v>
      </c>
      <c r="I44" s="2" t="s">
        <v>360</v>
      </c>
      <c r="J44" s="2" t="s">
        <v>361</v>
      </c>
      <c r="K44" s="2" t="s">
        <v>362</v>
      </c>
      <c r="L44" s="2" t="s">
        <v>24</v>
      </c>
      <c r="M44" s="2" t="s">
        <v>363</v>
      </c>
      <c r="N44" s="2" t="s">
        <v>364</v>
      </c>
      <c r="O44" s="2" t="s">
        <v>365</v>
      </c>
      <c r="P44" s="2" t="s">
        <v>366</v>
      </c>
    </row>
    <row r="45" ht="15.75" customHeight="1">
      <c r="H45" s="2" t="s">
        <v>367</v>
      </c>
      <c r="I45" s="2" t="s">
        <v>368</v>
      </c>
      <c r="J45" s="2" t="s">
        <v>369</v>
      </c>
      <c r="K45" s="2" t="s">
        <v>370</v>
      </c>
      <c r="L45" s="2" t="s">
        <v>24</v>
      </c>
      <c r="M45" s="2" t="s">
        <v>371</v>
      </c>
      <c r="N45" s="2" t="s">
        <v>372</v>
      </c>
      <c r="O45" s="2" t="s">
        <v>373</v>
      </c>
      <c r="P45" s="2" t="s">
        <v>374</v>
      </c>
    </row>
    <row r="46" ht="15.75" customHeight="1">
      <c r="H46" s="2" t="s">
        <v>375</v>
      </c>
      <c r="I46" s="2" t="s">
        <v>376</v>
      </c>
      <c r="J46" s="2" t="s">
        <v>377</v>
      </c>
      <c r="K46" s="2" t="s">
        <v>378</v>
      </c>
      <c r="L46" s="2" t="s">
        <v>24</v>
      </c>
      <c r="M46" s="2" t="s">
        <v>379</v>
      </c>
      <c r="N46" s="2" t="s">
        <v>380</v>
      </c>
      <c r="O46" s="2" t="s">
        <v>381</v>
      </c>
      <c r="P46" s="2" t="s">
        <v>382</v>
      </c>
    </row>
    <row r="47" ht="15.75" customHeight="1">
      <c r="H47" s="2" t="s">
        <v>383</v>
      </c>
      <c r="I47" s="2" t="s">
        <v>384</v>
      </c>
      <c r="J47" s="2" t="s">
        <v>385</v>
      </c>
      <c r="K47" s="2" t="s">
        <v>386</v>
      </c>
      <c r="L47" s="2" t="s">
        <v>387</v>
      </c>
      <c r="M47" s="2" t="s">
        <v>388</v>
      </c>
      <c r="N47" s="2" t="s">
        <v>389</v>
      </c>
      <c r="O47" s="2" t="s">
        <v>390</v>
      </c>
      <c r="P47" s="2" t="s">
        <v>391</v>
      </c>
    </row>
    <row r="48" ht="15.75" customHeight="1">
      <c r="H48" s="2" t="s">
        <v>392</v>
      </c>
      <c r="I48" s="2" t="s">
        <v>393</v>
      </c>
      <c r="J48" s="2" t="s">
        <v>394</v>
      </c>
      <c r="K48" s="2" t="s">
        <v>395</v>
      </c>
      <c r="L48" s="2" t="s">
        <v>24</v>
      </c>
      <c r="M48" s="2" t="s">
        <v>396</v>
      </c>
      <c r="N48" s="2" t="s">
        <v>397</v>
      </c>
      <c r="O48" s="2" t="s">
        <v>398</v>
      </c>
      <c r="P48" s="2" t="s">
        <v>399</v>
      </c>
    </row>
    <row r="49" ht="15.75" customHeight="1">
      <c r="H49" s="2" t="s">
        <v>400</v>
      </c>
      <c r="I49" s="2" t="s">
        <v>401</v>
      </c>
      <c r="J49" s="2" t="s">
        <v>402</v>
      </c>
      <c r="K49" s="2" t="s">
        <v>403</v>
      </c>
      <c r="L49" s="2" t="s">
        <v>24</v>
      </c>
      <c r="M49" s="2" t="s">
        <v>404</v>
      </c>
      <c r="N49" s="2" t="s">
        <v>405</v>
      </c>
      <c r="O49" s="2" t="s">
        <v>406</v>
      </c>
      <c r="P49" s="2" t="s">
        <v>407</v>
      </c>
    </row>
    <row r="50" ht="15.75" customHeight="1">
      <c r="H50" s="2" t="s">
        <v>408</v>
      </c>
      <c r="I50" s="2" t="s">
        <v>409</v>
      </c>
      <c r="J50" s="2" t="s">
        <v>410</v>
      </c>
      <c r="K50" s="2" t="s">
        <v>411</v>
      </c>
      <c r="L50" s="2" t="s">
        <v>24</v>
      </c>
      <c r="M50" s="2" t="s">
        <v>412</v>
      </c>
      <c r="N50" s="2" t="s">
        <v>389</v>
      </c>
      <c r="O50" s="2" t="s">
        <v>413</v>
      </c>
      <c r="P50" s="2" t="s">
        <v>391</v>
      </c>
    </row>
    <row r="51" ht="15.75" customHeight="1">
      <c r="H51" s="2" t="s">
        <v>414</v>
      </c>
      <c r="I51" s="2" t="s">
        <v>415</v>
      </c>
      <c r="J51" s="2" t="s">
        <v>416</v>
      </c>
      <c r="K51" s="2" t="s">
        <v>417</v>
      </c>
      <c r="L51" s="2" t="s">
        <v>418</v>
      </c>
      <c r="M51" s="2" t="s">
        <v>419</v>
      </c>
      <c r="N51" s="2" t="s">
        <v>420</v>
      </c>
      <c r="O51" s="2" t="s">
        <v>421</v>
      </c>
      <c r="P51" s="2" t="s">
        <v>422</v>
      </c>
    </row>
    <row r="52" ht="15.75" customHeight="1">
      <c r="H52" s="2" t="s">
        <v>423</v>
      </c>
      <c r="I52" s="2" t="s">
        <v>424</v>
      </c>
      <c r="J52" s="2" t="s">
        <v>425</v>
      </c>
      <c r="K52" s="2" t="s">
        <v>426</v>
      </c>
      <c r="L52" s="2" t="s">
        <v>24</v>
      </c>
      <c r="M52" s="2" t="s">
        <v>427</v>
      </c>
      <c r="N52" s="2" t="s">
        <v>428</v>
      </c>
      <c r="O52" s="2" t="s">
        <v>429</v>
      </c>
      <c r="P52" s="2" t="s">
        <v>430</v>
      </c>
    </row>
    <row r="53" ht="15.75" customHeight="1">
      <c r="H53" s="2" t="s">
        <v>431</v>
      </c>
      <c r="I53" s="2" t="s">
        <v>432</v>
      </c>
      <c r="J53" s="2" t="s">
        <v>433</v>
      </c>
      <c r="K53" s="2" t="s">
        <v>434</v>
      </c>
      <c r="L53" s="2" t="s">
        <v>24</v>
      </c>
      <c r="M53" s="2" t="s">
        <v>435</v>
      </c>
      <c r="N53" s="2" t="s">
        <v>436</v>
      </c>
      <c r="O53" s="2" t="s">
        <v>437</v>
      </c>
      <c r="P53" s="2" t="s">
        <v>438</v>
      </c>
    </row>
    <row r="54" ht="15.75" customHeight="1">
      <c r="H54" s="2" t="s">
        <v>439</v>
      </c>
      <c r="I54" s="2" t="s">
        <v>440</v>
      </c>
      <c r="J54" s="2" t="s">
        <v>441</v>
      </c>
      <c r="K54" s="2" t="s">
        <v>442</v>
      </c>
      <c r="L54" s="2" t="s">
        <v>443</v>
      </c>
      <c r="M54" s="2" t="s">
        <v>444</v>
      </c>
      <c r="N54" s="2" t="s">
        <v>445</v>
      </c>
      <c r="O54" s="2" t="s">
        <v>446</v>
      </c>
      <c r="P54" s="2" t="s">
        <v>447</v>
      </c>
    </row>
    <row r="55" ht="15.75" customHeight="1">
      <c r="H55" s="2" t="s">
        <v>448</v>
      </c>
      <c r="I55" s="2" t="s">
        <v>449</v>
      </c>
      <c r="J55" s="2" t="s">
        <v>450</v>
      </c>
      <c r="K55" s="2" t="s">
        <v>451</v>
      </c>
      <c r="L55" s="2" t="s">
        <v>452</v>
      </c>
      <c r="M55" s="2" t="s">
        <v>453</v>
      </c>
      <c r="N55" s="2" t="s">
        <v>454</v>
      </c>
      <c r="O55" s="2" t="s">
        <v>455</v>
      </c>
      <c r="P55" s="2" t="s">
        <v>456</v>
      </c>
    </row>
    <row r="56" ht="15.75" customHeight="1">
      <c r="H56" s="2" t="s">
        <v>457</v>
      </c>
      <c r="I56" s="2" t="s">
        <v>458</v>
      </c>
      <c r="J56" s="2" t="s">
        <v>459</v>
      </c>
      <c r="K56" s="2" t="s">
        <v>460</v>
      </c>
      <c r="L56" s="2" t="s">
        <v>461</v>
      </c>
      <c r="M56" s="2" t="s">
        <v>462</v>
      </c>
      <c r="N56" s="2" t="s">
        <v>463</v>
      </c>
      <c r="O56" s="2" t="s">
        <v>464</v>
      </c>
      <c r="P56" s="2" t="s">
        <v>465</v>
      </c>
    </row>
    <row r="57" ht="15.75" customHeight="1">
      <c r="H57" s="2" t="s">
        <v>466</v>
      </c>
      <c r="I57" s="2" t="s">
        <v>467</v>
      </c>
      <c r="J57" s="2" t="s">
        <v>468</v>
      </c>
      <c r="K57" s="2" t="s">
        <v>469</v>
      </c>
      <c r="L57" s="2" t="s">
        <v>470</v>
      </c>
      <c r="M57" s="2" t="s">
        <v>471</v>
      </c>
      <c r="N57" s="2" t="s">
        <v>472</v>
      </c>
      <c r="O57" s="2" t="s">
        <v>473</v>
      </c>
      <c r="P57" s="2" t="s">
        <v>474</v>
      </c>
    </row>
    <row r="58" ht="15.75" customHeight="1">
      <c r="H58" s="2" t="s">
        <v>475</v>
      </c>
      <c r="I58" s="2" t="s">
        <v>476</v>
      </c>
      <c r="J58" s="2" t="s">
        <v>477</v>
      </c>
      <c r="K58" s="2" t="s">
        <v>478</v>
      </c>
      <c r="L58" s="2" t="s">
        <v>479</v>
      </c>
      <c r="M58" s="2" t="s">
        <v>480</v>
      </c>
      <c r="N58" s="2" t="s">
        <v>481</v>
      </c>
      <c r="O58" s="2" t="s">
        <v>482</v>
      </c>
      <c r="P58" s="2" t="s">
        <v>483</v>
      </c>
    </row>
    <row r="59" ht="15.75" customHeight="1">
      <c r="H59" s="2" t="s">
        <v>484</v>
      </c>
      <c r="I59" s="2" t="s">
        <v>485</v>
      </c>
      <c r="J59" s="2" t="s">
        <v>486</v>
      </c>
      <c r="K59" s="2" t="s">
        <v>487</v>
      </c>
      <c r="L59" s="2" t="s">
        <v>488</v>
      </c>
      <c r="M59" s="2" t="s">
        <v>489</v>
      </c>
      <c r="N59" s="2" t="s">
        <v>490</v>
      </c>
      <c r="O59" s="2" t="s">
        <v>491</v>
      </c>
      <c r="P59" s="2" t="s">
        <v>492</v>
      </c>
    </row>
    <row r="60" ht="15.75" customHeight="1">
      <c r="H60" s="2" t="s">
        <v>493</v>
      </c>
      <c r="I60" s="2" t="s">
        <v>494</v>
      </c>
      <c r="J60" s="2" t="s">
        <v>495</v>
      </c>
      <c r="K60" s="2" t="s">
        <v>496</v>
      </c>
      <c r="L60" s="2" t="s">
        <v>24</v>
      </c>
      <c r="M60" s="2" t="s">
        <v>497</v>
      </c>
      <c r="N60" s="2" t="s">
        <v>498</v>
      </c>
      <c r="O60" s="2" t="s">
        <v>499</v>
      </c>
      <c r="P60" s="2" t="s">
        <v>500</v>
      </c>
    </row>
    <row r="61" ht="15.75" customHeight="1">
      <c r="H61" s="2" t="s">
        <v>501</v>
      </c>
      <c r="I61" s="2" t="s">
        <v>502</v>
      </c>
      <c r="J61" s="2" t="s">
        <v>503</v>
      </c>
      <c r="K61" s="2" t="s">
        <v>504</v>
      </c>
      <c r="L61" s="2" t="s">
        <v>24</v>
      </c>
      <c r="M61" s="2" t="s">
        <v>505</v>
      </c>
      <c r="N61" s="2" t="s">
        <v>506</v>
      </c>
      <c r="O61" s="2" t="s">
        <v>507</v>
      </c>
      <c r="P61" s="2" t="s">
        <v>508</v>
      </c>
    </row>
    <row r="62" ht="15.75" customHeight="1">
      <c r="H62" s="2" t="s">
        <v>509</v>
      </c>
      <c r="I62" s="2" t="s">
        <v>510</v>
      </c>
      <c r="J62" s="2" t="s">
        <v>511</v>
      </c>
      <c r="K62" s="2" t="s">
        <v>512</v>
      </c>
      <c r="L62" s="2" t="s">
        <v>24</v>
      </c>
      <c r="M62" s="2" t="s">
        <v>513</v>
      </c>
      <c r="N62" s="2" t="s">
        <v>514</v>
      </c>
      <c r="O62" s="2" t="s">
        <v>515</v>
      </c>
      <c r="P62" s="2" t="s">
        <v>516</v>
      </c>
    </row>
    <row r="63" ht="15.75" customHeight="1">
      <c r="H63" s="2" t="s">
        <v>517</v>
      </c>
      <c r="I63" s="2" t="s">
        <v>518</v>
      </c>
      <c r="J63" s="2" t="s">
        <v>519</v>
      </c>
      <c r="K63" s="2" t="s">
        <v>520</v>
      </c>
      <c r="L63" s="2" t="s">
        <v>24</v>
      </c>
      <c r="M63" s="2" t="s">
        <v>521</v>
      </c>
      <c r="N63" s="2" t="s">
        <v>522</v>
      </c>
      <c r="O63" s="2" t="s">
        <v>523</v>
      </c>
      <c r="P63" s="2" t="s">
        <v>524</v>
      </c>
    </row>
    <row r="64" ht="15.75" customHeight="1">
      <c r="H64" s="2" t="s">
        <v>525</v>
      </c>
      <c r="I64" s="2" t="s">
        <v>526</v>
      </c>
      <c r="J64" s="2" t="s">
        <v>527</v>
      </c>
      <c r="K64" s="2" t="s">
        <v>528</v>
      </c>
      <c r="L64" s="2" t="s">
        <v>529</v>
      </c>
      <c r="M64" s="2" t="s">
        <v>530</v>
      </c>
      <c r="N64" s="2" t="s">
        <v>531</v>
      </c>
      <c r="O64" s="2" t="s">
        <v>532</v>
      </c>
      <c r="P64" s="2" t="s">
        <v>533</v>
      </c>
    </row>
    <row r="65" ht="15.75" customHeight="1">
      <c r="F65" s="2" t="s">
        <v>534</v>
      </c>
      <c r="H65" s="2" t="s">
        <v>535</v>
      </c>
      <c r="I65" s="2" t="s">
        <v>536</v>
      </c>
      <c r="J65" s="2" t="s">
        <v>537</v>
      </c>
      <c r="K65" s="2" t="s">
        <v>538</v>
      </c>
    </row>
    <row r="66" ht="15.75" customHeight="1">
      <c r="F66" s="2" t="s">
        <v>539</v>
      </c>
      <c r="H66" s="2" t="s">
        <v>540</v>
      </c>
      <c r="I66" s="2" t="s">
        <v>541</v>
      </c>
      <c r="J66" s="2" t="s">
        <v>542</v>
      </c>
      <c r="K66" s="2" t="s">
        <v>543</v>
      </c>
      <c r="L66" s="2" t="s">
        <v>24</v>
      </c>
      <c r="M66" s="2" t="s">
        <v>544</v>
      </c>
      <c r="N66" s="2" t="s">
        <v>545</v>
      </c>
      <c r="O66" s="2" t="s">
        <v>546</v>
      </c>
      <c r="P66" s="2" t="s">
        <v>547</v>
      </c>
    </row>
    <row r="67" ht="15.75" customHeight="1">
      <c r="F67" s="2" t="s">
        <v>548</v>
      </c>
      <c r="H67" s="2" t="s">
        <v>549</v>
      </c>
      <c r="I67" s="2" t="s">
        <v>550</v>
      </c>
      <c r="J67" s="2" t="s">
        <v>551</v>
      </c>
      <c r="K67" s="2" t="s">
        <v>552</v>
      </c>
      <c r="L67" s="2" t="s">
        <v>24</v>
      </c>
      <c r="M67" s="2" t="s">
        <v>553</v>
      </c>
      <c r="N67" s="2" t="s">
        <v>554</v>
      </c>
      <c r="O67" s="2" t="s">
        <v>555</v>
      </c>
      <c r="P67" s="2" t="s">
        <v>548</v>
      </c>
    </row>
    <row r="68" ht="15.75" customHeight="1">
      <c r="F68" s="2" t="s">
        <v>556</v>
      </c>
      <c r="H68" s="2" t="s">
        <v>557</v>
      </c>
      <c r="I68" s="2" t="s">
        <v>558</v>
      </c>
      <c r="J68" s="2" t="s">
        <v>559</v>
      </c>
      <c r="K68" s="2" t="s">
        <v>560</v>
      </c>
      <c r="L68" s="2" t="s">
        <v>24</v>
      </c>
      <c r="M68" s="2" t="s">
        <v>561</v>
      </c>
      <c r="N68" s="2" t="s">
        <v>562</v>
      </c>
      <c r="O68" s="2" t="s">
        <v>563</v>
      </c>
      <c r="P68" s="2" t="s">
        <v>564</v>
      </c>
    </row>
    <row r="69" ht="15.75" customHeight="1">
      <c r="H69" s="2" t="s">
        <v>565</v>
      </c>
      <c r="I69" s="2" t="s">
        <v>566</v>
      </c>
      <c r="J69" s="2" t="s">
        <v>567</v>
      </c>
      <c r="K69" s="2" t="s">
        <v>568</v>
      </c>
      <c r="L69" s="2" t="s">
        <v>24</v>
      </c>
      <c r="M69" s="2" t="s">
        <v>569</v>
      </c>
      <c r="N69" s="2" t="s">
        <v>570</v>
      </c>
      <c r="O69" s="2" t="s">
        <v>571</v>
      </c>
      <c r="P69" s="2" t="s">
        <v>572</v>
      </c>
    </row>
    <row r="70" ht="15.75" customHeight="1">
      <c r="H70" s="2" t="s">
        <v>573</v>
      </c>
      <c r="I70" s="2" t="s">
        <v>574</v>
      </c>
      <c r="J70" s="2" t="s">
        <v>575</v>
      </c>
      <c r="K70" s="2" t="s">
        <v>576</v>
      </c>
      <c r="L70" s="2" t="s">
        <v>24</v>
      </c>
      <c r="M70" s="2" t="s">
        <v>577</v>
      </c>
      <c r="N70" s="2" t="s">
        <v>578</v>
      </c>
      <c r="O70" s="2" t="s">
        <v>579</v>
      </c>
      <c r="P70" s="2" t="s">
        <v>580</v>
      </c>
    </row>
    <row r="71" ht="15.75" customHeight="1">
      <c r="F71" s="2" t="s">
        <v>581</v>
      </c>
      <c r="H71" s="2" t="s">
        <v>582</v>
      </c>
      <c r="I71" s="2" t="s">
        <v>583</v>
      </c>
      <c r="J71" s="2" t="s">
        <v>584</v>
      </c>
      <c r="K71" s="2" t="s">
        <v>585</v>
      </c>
      <c r="L71" s="2" t="s">
        <v>24</v>
      </c>
      <c r="M71" s="2" t="s">
        <v>586</v>
      </c>
      <c r="N71" s="2" t="s">
        <v>587</v>
      </c>
      <c r="O71" s="2" t="s">
        <v>588</v>
      </c>
      <c r="P71" s="2" t="s">
        <v>589</v>
      </c>
    </row>
    <row r="72" ht="15.75" customHeight="1">
      <c r="H72" s="2" t="s">
        <v>590</v>
      </c>
      <c r="I72" s="2" t="s">
        <v>591</v>
      </c>
      <c r="J72" s="2" t="s">
        <v>592</v>
      </c>
      <c r="K72" s="2" t="s">
        <v>593</v>
      </c>
      <c r="L72" s="2" t="s">
        <v>24</v>
      </c>
      <c r="M72" s="2" t="s">
        <v>594</v>
      </c>
      <c r="N72" s="2" t="s">
        <v>595</v>
      </c>
      <c r="O72" s="2" t="s">
        <v>596</v>
      </c>
      <c r="P72" s="2" t="s">
        <v>597</v>
      </c>
    </row>
    <row r="73" ht="15.75" customHeight="1">
      <c r="F73" s="2" t="s">
        <v>598</v>
      </c>
      <c r="H73" s="2" t="s">
        <v>599</v>
      </c>
      <c r="I73" s="2" t="s">
        <v>600</v>
      </c>
      <c r="J73" s="2" t="s">
        <v>601</v>
      </c>
      <c r="K73" s="2" t="s">
        <v>602</v>
      </c>
      <c r="L73" s="2" t="s">
        <v>24</v>
      </c>
      <c r="M73" s="2" t="s">
        <v>603</v>
      </c>
      <c r="N73" s="2" t="s">
        <v>604</v>
      </c>
      <c r="O73" s="2" t="s">
        <v>605</v>
      </c>
      <c r="P73" s="2" t="s">
        <v>606</v>
      </c>
    </row>
    <row r="74" ht="15.75" customHeight="1">
      <c r="H74" s="2" t="s">
        <v>607</v>
      </c>
      <c r="I74" s="2" t="s">
        <v>608</v>
      </c>
      <c r="J74" s="2" t="s">
        <v>609</v>
      </c>
      <c r="K74" s="2" t="s">
        <v>610</v>
      </c>
      <c r="L74" s="2" t="s">
        <v>611</v>
      </c>
      <c r="M74" s="2" t="s">
        <v>612</v>
      </c>
      <c r="N74" s="2" t="s">
        <v>613</v>
      </c>
      <c r="O74" s="2" t="s">
        <v>614</v>
      </c>
      <c r="P74" s="2" t="s">
        <v>615</v>
      </c>
    </row>
    <row r="75" ht="15.75" customHeight="1">
      <c r="H75" s="2" t="s">
        <v>616</v>
      </c>
      <c r="I75" s="2" t="s">
        <v>617</v>
      </c>
      <c r="J75" s="2" t="s">
        <v>618</v>
      </c>
      <c r="K75" s="2" t="s">
        <v>619</v>
      </c>
      <c r="L75" s="2" t="s">
        <v>24</v>
      </c>
      <c r="M75" s="2" t="s">
        <v>620</v>
      </c>
      <c r="N75" s="2" t="s">
        <v>621</v>
      </c>
      <c r="O75" s="2" t="s">
        <v>622</v>
      </c>
      <c r="P75" s="2" t="s">
        <v>623</v>
      </c>
    </row>
    <row r="76" ht="15.75" customHeight="1">
      <c r="F76" s="2" t="s">
        <v>624</v>
      </c>
      <c r="H76" s="2" t="s">
        <v>625</v>
      </c>
      <c r="I76" s="2" t="s">
        <v>626</v>
      </c>
      <c r="J76" s="2" t="s">
        <v>627</v>
      </c>
      <c r="K76" s="2" t="s">
        <v>628</v>
      </c>
      <c r="L76" s="2" t="s">
        <v>629</v>
      </c>
      <c r="M76" s="2" t="s">
        <v>630</v>
      </c>
      <c r="N76" s="2" t="s">
        <v>631</v>
      </c>
      <c r="O76" s="2" t="s">
        <v>632</v>
      </c>
      <c r="P76" s="2" t="s">
        <v>633</v>
      </c>
    </row>
    <row r="77" ht="15.75" customHeight="1">
      <c r="F77" s="2" t="s">
        <v>634</v>
      </c>
      <c r="H77" s="2" t="s">
        <v>635</v>
      </c>
      <c r="I77" s="2" t="s">
        <v>636</v>
      </c>
      <c r="J77" s="2" t="s">
        <v>637</v>
      </c>
      <c r="K77" s="2" t="s">
        <v>638</v>
      </c>
      <c r="L77" s="2" t="s">
        <v>24</v>
      </c>
      <c r="M77" s="2" t="s">
        <v>639</v>
      </c>
      <c r="N77" s="2" t="s">
        <v>640</v>
      </c>
      <c r="O77" s="2" t="s">
        <v>641</v>
      </c>
      <c r="P77" s="2" t="s">
        <v>642</v>
      </c>
    </row>
    <row r="78" ht="15.75" customHeight="1">
      <c r="H78" s="2" t="s">
        <v>643</v>
      </c>
      <c r="I78" s="2" t="s">
        <v>644</v>
      </c>
      <c r="J78" s="2" t="s">
        <v>645</v>
      </c>
      <c r="K78" s="2" t="s">
        <v>646</v>
      </c>
      <c r="L78" s="2" t="s">
        <v>24</v>
      </c>
      <c r="M78" s="2" t="s">
        <v>647</v>
      </c>
      <c r="N78" s="2" t="s">
        <v>648</v>
      </c>
      <c r="O78" s="2" t="s">
        <v>649</v>
      </c>
      <c r="P78" s="2" t="s">
        <v>650</v>
      </c>
    </row>
    <row r="79" ht="15.75" customHeight="1">
      <c r="F79" s="2" t="s">
        <v>651</v>
      </c>
      <c r="H79" s="2" t="s">
        <v>652</v>
      </c>
      <c r="I79" s="2" t="s">
        <v>653</v>
      </c>
      <c r="J79" s="2" t="s">
        <v>654</v>
      </c>
      <c r="K79" s="2" t="s">
        <v>655</v>
      </c>
      <c r="L79" s="2" t="s">
        <v>24</v>
      </c>
      <c r="M79" s="2" t="s">
        <v>656</v>
      </c>
      <c r="N79" s="2" t="s">
        <v>657</v>
      </c>
      <c r="O79" s="2" t="s">
        <v>658</v>
      </c>
      <c r="P79" s="2" t="s">
        <v>659</v>
      </c>
    </row>
    <row r="80" ht="15.75" customHeight="1">
      <c r="F80" s="2" t="s">
        <v>660</v>
      </c>
      <c r="H80" s="2" t="s">
        <v>661</v>
      </c>
      <c r="I80" s="2" t="s">
        <v>662</v>
      </c>
      <c r="J80" s="2" t="s">
        <v>663</v>
      </c>
      <c r="K80" s="2" t="s">
        <v>664</v>
      </c>
      <c r="L80" s="2" t="s">
        <v>24</v>
      </c>
      <c r="M80" s="2" t="s">
        <v>665</v>
      </c>
      <c r="N80" s="2" t="s">
        <v>666</v>
      </c>
      <c r="O80" s="2" t="s">
        <v>667</v>
      </c>
      <c r="P80" s="2" t="s">
        <v>668</v>
      </c>
    </row>
    <row r="81" ht="15.75" customHeight="1">
      <c r="H81" s="2" t="s">
        <v>669</v>
      </c>
      <c r="I81" s="2" t="s">
        <v>670</v>
      </c>
      <c r="J81" s="2" t="s">
        <v>671</v>
      </c>
      <c r="K81" s="2" t="s">
        <v>672</v>
      </c>
      <c r="L81" s="2" t="s">
        <v>24</v>
      </c>
      <c r="M81" s="2" t="s">
        <v>673</v>
      </c>
      <c r="N81" s="2" t="s">
        <v>674</v>
      </c>
      <c r="O81" s="2" t="s">
        <v>675</v>
      </c>
      <c r="P81" s="2" t="s">
        <v>676</v>
      </c>
    </row>
    <row r="82" ht="15.75" customHeight="1">
      <c r="F82" s="2" t="s">
        <v>677</v>
      </c>
      <c r="H82" s="2" t="s">
        <v>678</v>
      </c>
      <c r="I82" s="2" t="s">
        <v>679</v>
      </c>
      <c r="J82" s="2" t="s">
        <v>680</v>
      </c>
      <c r="K82" s="2" t="s">
        <v>681</v>
      </c>
      <c r="L82" s="2" t="s">
        <v>24</v>
      </c>
      <c r="M82" s="2" t="s">
        <v>682</v>
      </c>
      <c r="N82" s="2" t="s">
        <v>683</v>
      </c>
      <c r="O82" s="2" t="s">
        <v>684</v>
      </c>
      <c r="P82" s="2" t="s">
        <v>685</v>
      </c>
    </row>
    <row r="83" ht="15.75" customHeight="1">
      <c r="H83" s="2" t="s">
        <v>686</v>
      </c>
      <c r="I83" s="2" t="s">
        <v>687</v>
      </c>
      <c r="J83" s="2" t="s">
        <v>688</v>
      </c>
      <c r="K83" s="2" t="s">
        <v>689</v>
      </c>
      <c r="L83" s="2" t="s">
        <v>24</v>
      </c>
      <c r="M83" s="2" t="s">
        <v>690</v>
      </c>
      <c r="N83" s="2" t="s">
        <v>691</v>
      </c>
      <c r="O83" s="2" t="s">
        <v>692</v>
      </c>
      <c r="P83" s="2" t="s">
        <v>693</v>
      </c>
    </row>
    <row r="84" ht="15.75" customHeight="1">
      <c r="F84" s="2" t="s">
        <v>694</v>
      </c>
      <c r="H84" s="2" t="s">
        <v>695</v>
      </c>
      <c r="I84" s="2" t="s">
        <v>696</v>
      </c>
      <c r="J84" s="2" t="s">
        <v>697</v>
      </c>
      <c r="K84" s="2" t="s">
        <v>698</v>
      </c>
      <c r="L84" s="2" t="s">
        <v>24</v>
      </c>
      <c r="M84" s="2" t="s">
        <v>699</v>
      </c>
      <c r="N84" s="2" t="s">
        <v>700</v>
      </c>
      <c r="O84" s="2" t="s">
        <v>701</v>
      </c>
      <c r="P84" s="2" t="s">
        <v>702</v>
      </c>
    </row>
    <row r="85" ht="15.75" customHeight="1">
      <c r="F85" s="2" t="s">
        <v>703</v>
      </c>
      <c r="H85" s="2" t="s">
        <v>704</v>
      </c>
      <c r="I85" s="2" t="s">
        <v>705</v>
      </c>
      <c r="J85" s="2" t="s">
        <v>706</v>
      </c>
      <c r="K85" s="2" t="s">
        <v>707</v>
      </c>
      <c r="L85" s="2" t="s">
        <v>24</v>
      </c>
      <c r="M85" s="2" t="s">
        <v>708</v>
      </c>
      <c r="N85" s="2" t="s">
        <v>709</v>
      </c>
      <c r="O85" s="2" t="s">
        <v>710</v>
      </c>
      <c r="P85" s="2" t="s">
        <v>711</v>
      </c>
    </row>
    <row r="86" ht="15.75" customHeight="1">
      <c r="H86" s="2" t="s">
        <v>712</v>
      </c>
      <c r="I86" s="2" t="s">
        <v>713</v>
      </c>
      <c r="J86" s="2" t="s">
        <v>714</v>
      </c>
      <c r="K86" s="2" t="s">
        <v>715</v>
      </c>
      <c r="L86" s="2" t="s">
        <v>24</v>
      </c>
      <c r="M86" s="2" t="s">
        <v>716</v>
      </c>
      <c r="N86" s="2" t="s">
        <v>717</v>
      </c>
      <c r="O86" s="2" t="s">
        <v>718</v>
      </c>
      <c r="P86" s="2" t="s">
        <v>719</v>
      </c>
    </row>
    <row r="87" ht="15.75" customHeight="1">
      <c r="H87" s="2" t="s">
        <v>720</v>
      </c>
      <c r="I87" s="2" t="s">
        <v>721</v>
      </c>
      <c r="J87" s="2" t="s">
        <v>722</v>
      </c>
      <c r="K87" s="2" t="s">
        <v>723</v>
      </c>
      <c r="L87" s="2" t="s">
        <v>24</v>
      </c>
      <c r="M87" s="2" t="s">
        <v>724</v>
      </c>
      <c r="N87" s="2" t="s">
        <v>725</v>
      </c>
      <c r="O87" s="2" t="s">
        <v>726</v>
      </c>
      <c r="P87" s="2" t="s">
        <v>727</v>
      </c>
    </row>
    <row r="88" ht="15.75" customHeight="1">
      <c r="F88" s="2" t="s">
        <v>728</v>
      </c>
      <c r="H88" s="2" t="s">
        <v>729</v>
      </c>
      <c r="I88" s="2" t="s">
        <v>730</v>
      </c>
      <c r="J88" s="2" t="s">
        <v>731</v>
      </c>
      <c r="K88" s="2" t="s">
        <v>732</v>
      </c>
      <c r="L88" s="2" t="s">
        <v>24</v>
      </c>
      <c r="M88" s="2" t="s">
        <v>733</v>
      </c>
      <c r="N88" s="2" t="s">
        <v>734</v>
      </c>
      <c r="O88" s="2" t="s">
        <v>735</v>
      </c>
      <c r="P88" s="2" t="s">
        <v>736</v>
      </c>
    </row>
    <row r="89" ht="15.75" customHeight="1">
      <c r="F89" s="2" t="s">
        <v>737</v>
      </c>
      <c r="H89" s="2" t="s">
        <v>738</v>
      </c>
      <c r="I89" s="2" t="s">
        <v>739</v>
      </c>
      <c r="J89" s="2" t="s">
        <v>740</v>
      </c>
      <c r="K89" s="2" t="s">
        <v>741</v>
      </c>
      <c r="L89" s="2" t="s">
        <v>24</v>
      </c>
      <c r="M89" s="2" t="s">
        <v>742</v>
      </c>
      <c r="N89" s="2" t="s">
        <v>743</v>
      </c>
      <c r="O89" s="2" t="s">
        <v>744</v>
      </c>
      <c r="P89" s="2" t="s">
        <v>745</v>
      </c>
    </row>
    <row r="90" ht="15.75" customHeight="1">
      <c r="F90" s="2" t="s">
        <v>746</v>
      </c>
      <c r="H90" s="2" t="s">
        <v>747</v>
      </c>
      <c r="I90" s="2" t="s">
        <v>748</v>
      </c>
      <c r="J90" s="2" t="s">
        <v>749</v>
      </c>
      <c r="K90" s="2" t="s">
        <v>750</v>
      </c>
      <c r="L90" s="2" t="s">
        <v>24</v>
      </c>
      <c r="M90" s="2" t="s">
        <v>751</v>
      </c>
      <c r="N90" s="2" t="s">
        <v>752</v>
      </c>
      <c r="O90" s="2" t="s">
        <v>753</v>
      </c>
      <c r="P90" s="2" t="s">
        <v>754</v>
      </c>
    </row>
    <row r="91" ht="15.75" customHeight="1">
      <c r="F91" s="2" t="s">
        <v>755</v>
      </c>
      <c r="H91" s="2" t="s">
        <v>756</v>
      </c>
      <c r="I91" s="2" t="s">
        <v>757</v>
      </c>
      <c r="J91" s="2" t="s">
        <v>758</v>
      </c>
      <c r="K91" s="2" t="s">
        <v>759</v>
      </c>
      <c r="L91" s="2" t="s">
        <v>24</v>
      </c>
      <c r="M91" s="2" t="s">
        <v>760</v>
      </c>
      <c r="N91" s="2" t="s">
        <v>761</v>
      </c>
      <c r="O91" s="2" t="s">
        <v>762</v>
      </c>
      <c r="P91" s="2" t="s">
        <v>763</v>
      </c>
    </row>
    <row r="92" ht="15.75" customHeight="1">
      <c r="F92" s="2" t="s">
        <v>764</v>
      </c>
      <c r="H92" s="2" t="s">
        <v>765</v>
      </c>
      <c r="I92" s="2" t="s">
        <v>766</v>
      </c>
      <c r="J92" s="2" t="s">
        <v>767</v>
      </c>
      <c r="K92" s="2" t="s">
        <v>768</v>
      </c>
      <c r="L92" s="2" t="s">
        <v>24</v>
      </c>
      <c r="M92" s="2" t="s">
        <v>769</v>
      </c>
      <c r="N92" s="2" t="s">
        <v>770</v>
      </c>
      <c r="O92" s="2" t="s">
        <v>771</v>
      </c>
      <c r="P92" s="2" t="s">
        <v>772</v>
      </c>
    </row>
    <row r="93" ht="15.75" customHeight="1">
      <c r="F93" s="2" t="s">
        <v>773</v>
      </c>
      <c r="H93" s="2" t="s">
        <v>774</v>
      </c>
      <c r="I93" s="2" t="s">
        <v>775</v>
      </c>
      <c r="J93" s="2" t="s">
        <v>776</v>
      </c>
      <c r="K93" s="2" t="s">
        <v>777</v>
      </c>
      <c r="L93" s="2" t="s">
        <v>24</v>
      </c>
      <c r="M93" s="2" t="s">
        <v>778</v>
      </c>
      <c r="N93" s="2" t="s">
        <v>779</v>
      </c>
      <c r="O93" s="2" t="s">
        <v>780</v>
      </c>
      <c r="P93" s="2" t="s">
        <v>781</v>
      </c>
    </row>
    <row r="94" ht="15.75" customHeight="1">
      <c r="F94" s="2" t="s">
        <v>782</v>
      </c>
      <c r="H94" s="2" t="s">
        <v>783</v>
      </c>
      <c r="I94" s="2" t="s">
        <v>784</v>
      </c>
      <c r="J94" s="2" t="s">
        <v>785</v>
      </c>
      <c r="K94" s="2" t="s">
        <v>786</v>
      </c>
      <c r="L94" s="2" t="s">
        <v>24</v>
      </c>
      <c r="M94" s="2" t="s">
        <v>787</v>
      </c>
      <c r="N94" s="2" t="s">
        <v>788</v>
      </c>
      <c r="O94" s="2" t="s">
        <v>789</v>
      </c>
      <c r="P94" s="2" t="s">
        <v>790</v>
      </c>
    </row>
    <row r="95" ht="15.75" customHeight="1">
      <c r="F95" s="2" t="s">
        <v>791</v>
      </c>
      <c r="H95" s="2" t="s">
        <v>792</v>
      </c>
      <c r="I95" s="2" t="s">
        <v>793</v>
      </c>
      <c r="J95" s="2" t="s">
        <v>794</v>
      </c>
      <c r="K95" s="2" t="s">
        <v>795</v>
      </c>
      <c r="L95" s="2" t="s">
        <v>24</v>
      </c>
      <c r="M95" s="2" t="s">
        <v>796</v>
      </c>
      <c r="N95" s="2" t="s">
        <v>797</v>
      </c>
      <c r="O95" s="2" t="s">
        <v>798</v>
      </c>
      <c r="P95" s="2" t="s">
        <v>799</v>
      </c>
    </row>
    <row r="96" ht="15.75" customHeight="1">
      <c r="F96" s="2" t="s">
        <v>800</v>
      </c>
      <c r="H96" s="2" t="s">
        <v>801</v>
      </c>
      <c r="I96" s="2" t="s">
        <v>802</v>
      </c>
      <c r="J96" s="2" t="s">
        <v>803</v>
      </c>
      <c r="K96" s="2" t="s">
        <v>804</v>
      </c>
      <c r="L96" s="2" t="s">
        <v>24</v>
      </c>
      <c r="M96" s="2" t="s">
        <v>805</v>
      </c>
      <c r="N96" s="2" t="s">
        <v>806</v>
      </c>
      <c r="O96" s="2" t="s">
        <v>807</v>
      </c>
      <c r="P96" s="2" t="s">
        <v>808</v>
      </c>
    </row>
    <row r="97" ht="15.75" customHeight="1">
      <c r="H97" s="2" t="s">
        <v>809</v>
      </c>
      <c r="I97" s="2" t="s">
        <v>810</v>
      </c>
      <c r="J97" s="2" t="s">
        <v>811</v>
      </c>
      <c r="K97" s="2" t="s">
        <v>812</v>
      </c>
      <c r="L97" s="2" t="s">
        <v>813</v>
      </c>
      <c r="M97" s="2" t="s">
        <v>814</v>
      </c>
      <c r="N97" s="2" t="s">
        <v>815</v>
      </c>
      <c r="O97" s="2" t="s">
        <v>816</v>
      </c>
      <c r="P97" s="2" t="s">
        <v>817</v>
      </c>
    </row>
    <row r="98" ht="15.75" customHeight="1">
      <c r="H98" s="2" t="s">
        <v>818</v>
      </c>
      <c r="I98" s="2" t="s">
        <v>819</v>
      </c>
      <c r="J98" s="2" t="s">
        <v>820</v>
      </c>
      <c r="K98" s="2" t="s">
        <v>821</v>
      </c>
      <c r="L98" s="2" t="s">
        <v>24</v>
      </c>
      <c r="M98" s="2" t="s">
        <v>822</v>
      </c>
      <c r="N98" s="2" t="s">
        <v>823</v>
      </c>
      <c r="O98" s="2" t="s">
        <v>824</v>
      </c>
      <c r="P98" s="2" t="s">
        <v>825</v>
      </c>
    </row>
    <row r="99" ht="15.75" customHeight="1">
      <c r="H99" s="2" t="s">
        <v>826</v>
      </c>
      <c r="I99" s="2" t="s">
        <v>827</v>
      </c>
      <c r="J99" s="2" t="s">
        <v>828</v>
      </c>
      <c r="K99" s="2" t="s">
        <v>829</v>
      </c>
      <c r="L99" s="2" t="s">
        <v>24</v>
      </c>
      <c r="M99" s="2" t="s">
        <v>830</v>
      </c>
      <c r="N99" s="2" t="s">
        <v>831</v>
      </c>
      <c r="O99" s="2" t="s">
        <v>832</v>
      </c>
      <c r="P99" s="2" t="s">
        <v>833</v>
      </c>
    </row>
    <row r="100" ht="15.75" customHeight="1">
      <c r="H100" s="2" t="s">
        <v>834</v>
      </c>
      <c r="I100" s="2" t="s">
        <v>835</v>
      </c>
      <c r="J100" s="2" t="s">
        <v>836</v>
      </c>
      <c r="K100" s="2" t="s">
        <v>837</v>
      </c>
      <c r="L100" s="2" t="s">
        <v>838</v>
      </c>
      <c r="M100" s="2" t="s">
        <v>839</v>
      </c>
      <c r="N100" s="2" t="s">
        <v>840</v>
      </c>
      <c r="O100" s="2" t="s">
        <v>841</v>
      </c>
      <c r="P100" s="2" t="s">
        <v>842</v>
      </c>
    </row>
    <row r="101" ht="15.75" customHeight="1">
      <c r="F101" s="2" t="s">
        <v>843</v>
      </c>
      <c r="H101" s="2" t="s">
        <v>844</v>
      </c>
      <c r="I101" s="2" t="s">
        <v>845</v>
      </c>
      <c r="J101" s="2" t="s">
        <v>846</v>
      </c>
      <c r="K101" s="2" t="s">
        <v>847</v>
      </c>
      <c r="L101" s="2" t="s">
        <v>24</v>
      </c>
      <c r="M101" s="2" t="s">
        <v>848</v>
      </c>
      <c r="N101" s="2" t="s">
        <v>849</v>
      </c>
      <c r="O101" s="2" t="s">
        <v>850</v>
      </c>
      <c r="P101" s="2" t="s">
        <v>851</v>
      </c>
    </row>
    <row r="102" ht="15.75" customHeight="1">
      <c r="B102" s="2" t="s">
        <v>852</v>
      </c>
      <c r="C102" s="2" t="s">
        <v>853</v>
      </c>
      <c r="D102" s="2" t="s">
        <v>854</v>
      </c>
      <c r="F102" s="2" t="s">
        <v>855</v>
      </c>
      <c r="H102" s="2" t="s">
        <v>856</v>
      </c>
      <c r="I102" s="2" t="s">
        <v>857</v>
      </c>
      <c r="J102" s="2" t="s">
        <v>858</v>
      </c>
      <c r="K102" s="2" t="s">
        <v>859</v>
      </c>
    </row>
    <row r="103" ht="15.75" customHeight="1">
      <c r="H103" s="2" t="s">
        <v>860</v>
      </c>
      <c r="I103" s="2" t="s">
        <v>855</v>
      </c>
      <c r="J103" s="2" t="s">
        <v>855</v>
      </c>
      <c r="K103" s="2" t="s">
        <v>861</v>
      </c>
    </row>
    <row r="104" ht="15.75" customHeight="1">
      <c r="H104" s="2" t="s">
        <v>862</v>
      </c>
      <c r="I104" s="2" t="s">
        <v>863</v>
      </c>
      <c r="J104" s="2" t="s">
        <v>864</v>
      </c>
      <c r="K104" s="2" t="s">
        <v>865</v>
      </c>
      <c r="L104" s="2" t="s">
        <v>866</v>
      </c>
      <c r="M104" s="2" t="s">
        <v>867</v>
      </c>
      <c r="N104" s="2" t="s">
        <v>868</v>
      </c>
      <c r="O104" s="2" t="s">
        <v>869</v>
      </c>
      <c r="P104" s="2" t="s">
        <v>870</v>
      </c>
    </row>
    <row r="105" ht="15.75" customHeight="1">
      <c r="H105" s="2" t="s">
        <v>871</v>
      </c>
      <c r="I105" s="2" t="s">
        <v>872</v>
      </c>
      <c r="J105" s="2" t="s">
        <v>873</v>
      </c>
      <c r="K105" s="2" t="s">
        <v>874</v>
      </c>
      <c r="L105" s="2" t="s">
        <v>866</v>
      </c>
      <c r="M105" s="2" t="s">
        <v>875</v>
      </c>
      <c r="N105" s="2" t="s">
        <v>876</v>
      </c>
      <c r="O105" s="2" t="s">
        <v>869</v>
      </c>
      <c r="P105" s="2" t="s">
        <v>870</v>
      </c>
    </row>
    <row r="106" ht="15.75" customHeight="1">
      <c r="H106" s="2" t="s">
        <v>877</v>
      </c>
      <c r="I106" s="2" t="s">
        <v>878</v>
      </c>
      <c r="J106" s="2" t="s">
        <v>879</v>
      </c>
      <c r="K106" s="2" t="s">
        <v>880</v>
      </c>
      <c r="L106" s="2" t="s">
        <v>866</v>
      </c>
      <c r="M106" s="2" t="s">
        <v>881</v>
      </c>
      <c r="N106" s="2" t="s">
        <v>882</v>
      </c>
      <c r="O106" s="2" t="s">
        <v>869</v>
      </c>
      <c r="P106" s="2" t="s">
        <v>870</v>
      </c>
    </row>
    <row r="107" ht="15.75" customHeight="1">
      <c r="H107" s="2" t="s">
        <v>883</v>
      </c>
      <c r="I107" s="2" t="s">
        <v>884</v>
      </c>
      <c r="J107" s="2" t="s">
        <v>885</v>
      </c>
      <c r="K107" s="2" t="s">
        <v>886</v>
      </c>
    </row>
    <row r="108" ht="15.75" customHeight="1">
      <c r="H108" s="2" t="s">
        <v>887</v>
      </c>
      <c r="I108" s="2" t="s">
        <v>888</v>
      </c>
      <c r="J108" s="2" t="s">
        <v>889</v>
      </c>
      <c r="K108" s="2" t="s">
        <v>890</v>
      </c>
      <c r="L108" s="2" t="s">
        <v>866</v>
      </c>
      <c r="M108" s="2" t="s">
        <v>891</v>
      </c>
      <c r="N108" s="2" t="s">
        <v>892</v>
      </c>
      <c r="O108" s="2" t="s">
        <v>869</v>
      </c>
      <c r="P108" s="2" t="s">
        <v>870</v>
      </c>
    </row>
    <row r="109" ht="15.75" customHeight="1">
      <c r="H109" s="2" t="s">
        <v>893</v>
      </c>
      <c r="I109" s="2" t="s">
        <v>894</v>
      </c>
      <c r="J109" s="2" t="s">
        <v>895</v>
      </c>
      <c r="K109" s="2" t="s">
        <v>896</v>
      </c>
    </row>
    <row r="110" ht="15.75" customHeight="1">
      <c r="H110" s="2" t="s">
        <v>897</v>
      </c>
      <c r="I110" s="2" t="s">
        <v>898</v>
      </c>
      <c r="J110" s="2" t="s">
        <v>899</v>
      </c>
      <c r="K110" s="2" t="s">
        <v>900</v>
      </c>
      <c r="L110" s="2" t="s">
        <v>866</v>
      </c>
      <c r="M110" s="2" t="s">
        <v>901</v>
      </c>
      <c r="N110" s="2" t="s">
        <v>902</v>
      </c>
      <c r="O110" s="2" t="s">
        <v>869</v>
      </c>
      <c r="P110" s="2" t="s">
        <v>870</v>
      </c>
    </row>
    <row r="111" ht="15.75" customHeight="1">
      <c r="H111" s="2" t="s">
        <v>903</v>
      </c>
      <c r="I111" s="2" t="s">
        <v>904</v>
      </c>
      <c r="J111" s="2" t="s">
        <v>905</v>
      </c>
      <c r="K111" s="2" t="s">
        <v>906</v>
      </c>
      <c r="L111" s="2" t="s">
        <v>866</v>
      </c>
      <c r="M111" s="2" t="s">
        <v>907</v>
      </c>
      <c r="N111" s="2" t="s">
        <v>908</v>
      </c>
      <c r="O111" s="2" t="s">
        <v>869</v>
      </c>
      <c r="P111" s="2" t="s">
        <v>870</v>
      </c>
    </row>
    <row r="112" ht="15.75" customHeight="1">
      <c r="H112" s="2" t="s">
        <v>909</v>
      </c>
      <c r="I112" s="2" t="s">
        <v>910</v>
      </c>
      <c r="J112" s="2" t="s">
        <v>911</v>
      </c>
      <c r="K112" s="2" t="s">
        <v>912</v>
      </c>
      <c r="L112" s="2" t="s">
        <v>866</v>
      </c>
      <c r="M112" s="2" t="s">
        <v>913</v>
      </c>
      <c r="N112" s="2" t="s">
        <v>914</v>
      </c>
      <c r="O112" s="2" t="s">
        <v>869</v>
      </c>
      <c r="P112" s="2" t="s">
        <v>870</v>
      </c>
    </row>
    <row r="113" ht="15.75" customHeight="1">
      <c r="H113" s="2" t="s">
        <v>915</v>
      </c>
      <c r="I113" s="2" t="s">
        <v>916</v>
      </c>
      <c r="J113" s="2" t="s">
        <v>917</v>
      </c>
      <c r="K113" s="2" t="s">
        <v>918</v>
      </c>
      <c r="L113" s="2" t="s">
        <v>866</v>
      </c>
      <c r="M113" s="2" t="s">
        <v>919</v>
      </c>
      <c r="N113" s="2" t="s">
        <v>920</v>
      </c>
      <c r="O113" s="2" t="s">
        <v>869</v>
      </c>
      <c r="P113" s="2" t="s">
        <v>870</v>
      </c>
    </row>
    <row r="114" ht="15.75" customHeight="1">
      <c r="H114" s="2" t="s">
        <v>921</v>
      </c>
      <c r="I114" s="2" t="s">
        <v>922</v>
      </c>
      <c r="J114" s="2" t="s">
        <v>923</v>
      </c>
      <c r="K114" s="2" t="s">
        <v>924</v>
      </c>
      <c r="L114" s="2" t="s">
        <v>866</v>
      </c>
      <c r="M114" s="2" t="s">
        <v>925</v>
      </c>
      <c r="N114" s="2" t="s">
        <v>926</v>
      </c>
      <c r="O114" s="2" t="s">
        <v>869</v>
      </c>
      <c r="P114" s="2" t="s">
        <v>870</v>
      </c>
    </row>
    <row r="115" ht="15.75" customHeight="1">
      <c r="F115" s="2" t="s">
        <v>927</v>
      </c>
      <c r="H115" s="2" t="s">
        <v>928</v>
      </c>
      <c r="I115" s="2" t="s">
        <v>929</v>
      </c>
      <c r="J115" s="2" t="s">
        <v>930</v>
      </c>
      <c r="K115" s="2" t="s">
        <v>861</v>
      </c>
      <c r="L115" s="2" t="s">
        <v>866</v>
      </c>
      <c r="M115" s="2" t="s">
        <v>931</v>
      </c>
      <c r="N115" s="2" t="s">
        <v>932</v>
      </c>
      <c r="O115" s="2" t="s">
        <v>869</v>
      </c>
      <c r="P115" s="2" t="s">
        <v>870</v>
      </c>
    </row>
    <row r="116" ht="15.75" customHeight="1">
      <c r="H116" s="2" t="s">
        <v>933</v>
      </c>
      <c r="I116" s="2" t="s">
        <v>934</v>
      </c>
      <c r="J116" s="2" t="s">
        <v>935</v>
      </c>
      <c r="K116" s="2" t="s">
        <v>277</v>
      </c>
      <c r="L116" s="2" t="s">
        <v>866</v>
      </c>
      <c r="M116" s="2" t="s">
        <v>936</v>
      </c>
      <c r="N116" s="2" t="s">
        <v>937</v>
      </c>
      <c r="O116" s="2" t="s">
        <v>869</v>
      </c>
      <c r="P116" s="2" t="s">
        <v>870</v>
      </c>
    </row>
    <row r="117" ht="15.75" customHeight="1">
      <c r="F117" s="2" t="s">
        <v>938</v>
      </c>
      <c r="H117" s="2" t="s">
        <v>939</v>
      </c>
      <c r="I117" s="2" t="s">
        <v>940</v>
      </c>
      <c r="J117" s="2" t="s">
        <v>941</v>
      </c>
      <c r="K117" s="2" t="s">
        <v>859</v>
      </c>
      <c r="L117" s="2" t="s">
        <v>866</v>
      </c>
      <c r="M117" s="2" t="s">
        <v>942</v>
      </c>
      <c r="N117" s="2" t="s">
        <v>943</v>
      </c>
      <c r="O117" s="2" t="s">
        <v>869</v>
      </c>
      <c r="P117" s="2" t="s">
        <v>870</v>
      </c>
    </row>
    <row r="118" ht="15.75" customHeight="1">
      <c r="H118" s="2" t="s">
        <v>944</v>
      </c>
      <c r="I118" s="2" t="s">
        <v>945</v>
      </c>
      <c r="J118" s="2" t="s">
        <v>946</v>
      </c>
      <c r="K118" s="2" t="s">
        <v>947</v>
      </c>
      <c r="L118" s="2" t="s">
        <v>866</v>
      </c>
      <c r="M118" s="2" t="s">
        <v>948</v>
      </c>
      <c r="N118" s="2" t="s">
        <v>949</v>
      </c>
      <c r="O118" s="2" t="s">
        <v>869</v>
      </c>
      <c r="P118" s="2" t="s">
        <v>870</v>
      </c>
    </row>
    <row r="119" ht="15.75" customHeight="1">
      <c r="H119" s="2" t="s">
        <v>950</v>
      </c>
      <c r="I119" s="2" t="s">
        <v>951</v>
      </c>
      <c r="J119" s="2" t="s">
        <v>952</v>
      </c>
      <c r="K119" s="2" t="s">
        <v>874</v>
      </c>
      <c r="L119" s="2" t="s">
        <v>866</v>
      </c>
      <c r="M119" s="2" t="s">
        <v>953</v>
      </c>
      <c r="N119" s="2" t="s">
        <v>954</v>
      </c>
      <c r="O119" s="2" t="s">
        <v>869</v>
      </c>
      <c r="P119" s="2" t="s">
        <v>870</v>
      </c>
    </row>
    <row r="120" ht="15.75" customHeight="1">
      <c r="H120" s="2" t="s">
        <v>955</v>
      </c>
      <c r="I120" s="2" t="s">
        <v>956</v>
      </c>
      <c r="J120" s="2" t="s">
        <v>957</v>
      </c>
      <c r="K120" s="2" t="s">
        <v>958</v>
      </c>
      <c r="L120" s="2" t="s">
        <v>866</v>
      </c>
      <c r="M120" s="2" t="s">
        <v>959</v>
      </c>
      <c r="N120" s="2" t="s">
        <v>960</v>
      </c>
      <c r="O120" s="2" t="s">
        <v>869</v>
      </c>
      <c r="P120" s="2" t="s">
        <v>870</v>
      </c>
    </row>
    <row r="121" ht="15.75" customHeight="1">
      <c r="H121" s="2" t="s">
        <v>961</v>
      </c>
      <c r="I121" s="2" t="s">
        <v>962</v>
      </c>
      <c r="J121" s="2" t="s">
        <v>962</v>
      </c>
      <c r="K121" s="2" t="s">
        <v>963</v>
      </c>
    </row>
    <row r="122" ht="15.75" customHeight="1">
      <c r="H122" s="2" t="s">
        <v>964</v>
      </c>
      <c r="I122" s="2" t="s">
        <v>965</v>
      </c>
      <c r="J122" s="2" t="s">
        <v>965</v>
      </c>
      <c r="K122" s="2" t="s">
        <v>966</v>
      </c>
    </row>
    <row r="123" ht="15.75" customHeight="1">
      <c r="H123" s="2" t="s">
        <v>967</v>
      </c>
      <c r="I123" s="2" t="s">
        <v>968</v>
      </c>
      <c r="J123" s="2" t="s">
        <v>969</v>
      </c>
      <c r="K123" s="2" t="s">
        <v>970</v>
      </c>
      <c r="L123" s="2" t="s">
        <v>866</v>
      </c>
      <c r="M123" s="2" t="s">
        <v>971</v>
      </c>
      <c r="N123" s="2" t="s">
        <v>972</v>
      </c>
      <c r="O123" s="2" t="s">
        <v>869</v>
      </c>
      <c r="P123" s="2" t="s">
        <v>870</v>
      </c>
    </row>
    <row r="124" ht="15.75" customHeight="1">
      <c r="F124" s="2" t="s">
        <v>19</v>
      </c>
      <c r="H124" s="2" t="s">
        <v>973</v>
      </c>
      <c r="I124" s="2" t="s">
        <v>974</v>
      </c>
      <c r="J124" s="2" t="s">
        <v>975</v>
      </c>
      <c r="L124" s="2" t="s">
        <v>866</v>
      </c>
      <c r="M124" s="2" t="s">
        <v>976</v>
      </c>
      <c r="N124" s="2" t="s">
        <v>977</v>
      </c>
      <c r="O124" s="2" t="s">
        <v>869</v>
      </c>
      <c r="P124" s="2" t="s">
        <v>870</v>
      </c>
    </row>
    <row r="125" ht="15.75" customHeight="1">
      <c r="H125" s="2" t="s">
        <v>978</v>
      </c>
      <c r="I125" s="2" t="s">
        <v>979</v>
      </c>
      <c r="J125" s="2" t="s">
        <v>980</v>
      </c>
      <c r="K125" s="2" t="s">
        <v>280</v>
      </c>
      <c r="L125" s="2" t="s">
        <v>866</v>
      </c>
      <c r="M125" s="2" t="s">
        <v>981</v>
      </c>
      <c r="N125" s="2" t="s">
        <v>982</v>
      </c>
      <c r="O125" s="2" t="s">
        <v>869</v>
      </c>
      <c r="P125" s="2" t="s">
        <v>870</v>
      </c>
    </row>
    <row r="126" ht="15.75" customHeight="1">
      <c r="H126" s="2" t="s">
        <v>983</v>
      </c>
      <c r="I126" s="2" t="s">
        <v>984</v>
      </c>
      <c r="J126" s="2" t="s">
        <v>985</v>
      </c>
      <c r="K126" s="2" t="s">
        <v>874</v>
      </c>
      <c r="L126" s="2" t="s">
        <v>866</v>
      </c>
      <c r="M126" s="2" t="s">
        <v>986</v>
      </c>
      <c r="N126" s="2" t="s">
        <v>987</v>
      </c>
      <c r="O126" s="2" t="s">
        <v>869</v>
      </c>
      <c r="P126" s="2" t="s">
        <v>870</v>
      </c>
    </row>
    <row r="127" ht="15.75" customHeight="1">
      <c r="H127" s="2" t="s">
        <v>988</v>
      </c>
      <c r="I127" s="2" t="s">
        <v>989</v>
      </c>
      <c r="J127" s="2" t="s">
        <v>990</v>
      </c>
      <c r="K127" s="2" t="s">
        <v>963</v>
      </c>
      <c r="L127" s="2" t="s">
        <v>866</v>
      </c>
      <c r="M127" s="2" t="s">
        <v>991</v>
      </c>
      <c r="N127" s="2" t="s">
        <v>992</v>
      </c>
      <c r="O127" s="2" t="s">
        <v>869</v>
      </c>
      <c r="P127" s="2" t="s">
        <v>870</v>
      </c>
    </row>
    <row r="128" ht="15.75" customHeight="1">
      <c r="H128" s="2" t="s">
        <v>993</v>
      </c>
      <c r="I128" s="2" t="s">
        <v>994</v>
      </c>
      <c r="J128" s="2" t="s">
        <v>995</v>
      </c>
      <c r="K128" s="2" t="s">
        <v>996</v>
      </c>
      <c r="L128" s="2" t="s">
        <v>866</v>
      </c>
      <c r="M128" s="2" t="s">
        <v>997</v>
      </c>
      <c r="N128" s="2" t="s">
        <v>998</v>
      </c>
      <c r="O128" s="2" t="s">
        <v>869</v>
      </c>
      <c r="P128" s="2" t="s">
        <v>870</v>
      </c>
    </row>
    <row r="129" ht="15.75" customHeight="1">
      <c r="H129" s="2" t="s">
        <v>999</v>
      </c>
      <c r="I129" s="2" t="s">
        <v>1000</v>
      </c>
      <c r="J129" s="2" t="s">
        <v>1001</v>
      </c>
      <c r="K129" s="2" t="s">
        <v>890</v>
      </c>
      <c r="L129" s="2" t="s">
        <v>866</v>
      </c>
      <c r="M129" s="2" t="s">
        <v>1002</v>
      </c>
      <c r="N129" s="2" t="s">
        <v>1003</v>
      </c>
      <c r="O129" s="2" t="s">
        <v>869</v>
      </c>
      <c r="P129" s="2" t="s">
        <v>870</v>
      </c>
    </row>
    <row r="130" ht="15.75" customHeight="1">
      <c r="H130" s="2" t="s">
        <v>1004</v>
      </c>
      <c r="I130" s="2" t="s">
        <v>1005</v>
      </c>
      <c r="J130" s="2" t="s">
        <v>1006</v>
      </c>
      <c r="K130" s="2" t="s">
        <v>1007</v>
      </c>
      <c r="L130" s="2" t="s">
        <v>866</v>
      </c>
      <c r="M130" s="2" t="s">
        <v>1008</v>
      </c>
      <c r="N130" s="2" t="s">
        <v>1009</v>
      </c>
      <c r="O130" s="2" t="s">
        <v>869</v>
      </c>
      <c r="P130" s="2" t="s">
        <v>870</v>
      </c>
    </row>
    <row r="131" ht="15.75" customHeight="1">
      <c r="H131" s="2" t="s">
        <v>1010</v>
      </c>
      <c r="I131" s="2" t="s">
        <v>1011</v>
      </c>
      <c r="J131" s="2" t="s">
        <v>1012</v>
      </c>
      <c r="L131" s="2" t="s">
        <v>866</v>
      </c>
      <c r="M131" s="2" t="s">
        <v>1013</v>
      </c>
      <c r="N131" s="2" t="s">
        <v>1014</v>
      </c>
      <c r="O131" s="2" t="s">
        <v>869</v>
      </c>
      <c r="P131" s="2" t="s">
        <v>870</v>
      </c>
    </row>
    <row r="132" ht="15.75" customHeight="1">
      <c r="H132" s="2" t="s">
        <v>1015</v>
      </c>
      <c r="I132" s="2" t="s">
        <v>1016</v>
      </c>
      <c r="J132" s="2" t="s">
        <v>1017</v>
      </c>
      <c r="L132" s="2" t="s">
        <v>866</v>
      </c>
      <c r="M132" s="2" t="s">
        <v>1018</v>
      </c>
      <c r="N132" s="2" t="s">
        <v>869</v>
      </c>
      <c r="O132" s="2" t="s">
        <v>870</v>
      </c>
    </row>
    <row r="133" ht="15.75" customHeight="1">
      <c r="H133" s="2" t="s">
        <v>1019</v>
      </c>
      <c r="I133" s="2" t="s">
        <v>1020</v>
      </c>
      <c r="J133" s="2" t="s">
        <v>1021</v>
      </c>
      <c r="L133" s="2" t="s">
        <v>866</v>
      </c>
      <c r="M133" s="2" t="s">
        <v>1022</v>
      </c>
      <c r="N133" s="2" t="s">
        <v>1023</v>
      </c>
      <c r="O133" s="2" t="s">
        <v>869</v>
      </c>
      <c r="P133" s="2" t="s">
        <v>870</v>
      </c>
    </row>
    <row r="134" ht="15.75" customHeight="1">
      <c r="H134" s="2" t="s">
        <v>1024</v>
      </c>
      <c r="I134" s="2" t="s">
        <v>1025</v>
      </c>
      <c r="J134" s="2" t="s">
        <v>1026</v>
      </c>
      <c r="K134" s="2" t="s">
        <v>1027</v>
      </c>
      <c r="L134" s="2" t="s">
        <v>866</v>
      </c>
      <c r="M134" s="2" t="s">
        <v>1028</v>
      </c>
      <c r="N134" s="2" t="s">
        <v>1029</v>
      </c>
      <c r="O134" s="2" t="s">
        <v>869</v>
      </c>
      <c r="P134" s="2" t="s">
        <v>870</v>
      </c>
    </row>
    <row r="135" ht="15.75" customHeight="1">
      <c r="H135" s="2" t="s">
        <v>1030</v>
      </c>
      <c r="I135" s="2" t="s">
        <v>1031</v>
      </c>
      <c r="J135" s="2" t="s">
        <v>1032</v>
      </c>
      <c r="L135" s="2" t="s">
        <v>866</v>
      </c>
      <c r="M135" s="2" t="s">
        <v>1033</v>
      </c>
      <c r="N135" s="2" t="s">
        <v>1034</v>
      </c>
      <c r="O135" s="2" t="s">
        <v>869</v>
      </c>
      <c r="P135" s="2" t="s">
        <v>870</v>
      </c>
    </row>
    <row r="136" ht="15.75" customHeight="1">
      <c r="H136" s="2" t="s">
        <v>1035</v>
      </c>
      <c r="I136" s="2" t="s">
        <v>1036</v>
      </c>
      <c r="J136" s="2" t="s">
        <v>1037</v>
      </c>
      <c r="K136" s="2" t="s">
        <v>1038</v>
      </c>
      <c r="L136" s="2" t="s">
        <v>866</v>
      </c>
      <c r="M136" s="2" t="s">
        <v>1039</v>
      </c>
      <c r="N136" s="2" t="s">
        <v>1040</v>
      </c>
      <c r="O136" s="2" t="s">
        <v>869</v>
      </c>
      <c r="P136" s="2" t="s">
        <v>870</v>
      </c>
    </row>
    <row r="137" ht="15.75" customHeight="1">
      <c r="H137" s="2" t="s">
        <v>1041</v>
      </c>
      <c r="I137" s="2" t="s">
        <v>1042</v>
      </c>
      <c r="J137" s="2" t="s">
        <v>1043</v>
      </c>
      <c r="L137" s="2" t="s">
        <v>866</v>
      </c>
      <c r="M137" s="2" t="s">
        <v>1044</v>
      </c>
      <c r="N137" s="2" t="s">
        <v>1045</v>
      </c>
      <c r="O137" s="2" t="s">
        <v>869</v>
      </c>
      <c r="P137" s="2" t="s">
        <v>870</v>
      </c>
    </row>
    <row r="138" ht="15.75" customHeight="1">
      <c r="H138" s="2" t="s">
        <v>1046</v>
      </c>
      <c r="I138" s="2" t="s">
        <v>1047</v>
      </c>
      <c r="J138" s="2" t="s">
        <v>1048</v>
      </c>
      <c r="K138" s="2" t="s">
        <v>1049</v>
      </c>
      <c r="L138" s="2" t="s">
        <v>866</v>
      </c>
      <c r="M138" s="2" t="s">
        <v>1050</v>
      </c>
      <c r="N138" s="2" t="s">
        <v>1051</v>
      </c>
      <c r="O138" s="2" t="s">
        <v>869</v>
      </c>
      <c r="P138" s="2" t="s">
        <v>870</v>
      </c>
    </row>
    <row r="139" ht="15.75" customHeight="1">
      <c r="F139" s="2" t="s">
        <v>1052</v>
      </c>
      <c r="H139" s="2" t="s">
        <v>1053</v>
      </c>
      <c r="I139" s="2" t="s">
        <v>1054</v>
      </c>
      <c r="J139" s="2" t="s">
        <v>1055</v>
      </c>
      <c r="K139" s="2" t="s">
        <v>853</v>
      </c>
      <c r="L139" s="2" t="s">
        <v>866</v>
      </c>
      <c r="M139" s="2" t="s">
        <v>1056</v>
      </c>
      <c r="N139" s="2" t="s">
        <v>1057</v>
      </c>
      <c r="O139" s="2" t="s">
        <v>869</v>
      </c>
      <c r="P139" s="2" t="s">
        <v>870</v>
      </c>
    </row>
    <row r="140" ht="15.75" customHeight="1">
      <c r="H140" s="2" t="s">
        <v>1058</v>
      </c>
      <c r="I140" s="2" t="s">
        <v>1059</v>
      </c>
      <c r="J140" s="2" t="s">
        <v>1060</v>
      </c>
      <c r="K140" s="2" t="s">
        <v>1061</v>
      </c>
      <c r="L140" s="2" t="s">
        <v>866</v>
      </c>
      <c r="M140" s="2" t="s">
        <v>1062</v>
      </c>
      <c r="N140" s="2" t="s">
        <v>1063</v>
      </c>
      <c r="O140" s="2" t="s">
        <v>869</v>
      </c>
      <c r="P140" s="2" t="s">
        <v>870</v>
      </c>
    </row>
    <row r="141" ht="15.75" customHeight="1">
      <c r="H141" s="2" t="s">
        <v>1064</v>
      </c>
      <c r="I141" s="2" t="s">
        <v>1065</v>
      </c>
      <c r="J141" s="2" t="s">
        <v>1066</v>
      </c>
      <c r="K141" s="2" t="s">
        <v>280</v>
      </c>
      <c r="L141" s="2" t="s">
        <v>866</v>
      </c>
      <c r="M141" s="2" t="s">
        <v>1067</v>
      </c>
      <c r="N141" s="2" t="s">
        <v>1068</v>
      </c>
      <c r="O141" s="2" t="s">
        <v>869</v>
      </c>
      <c r="P141" s="2" t="s">
        <v>870</v>
      </c>
    </row>
    <row r="142" ht="15.75" customHeight="1">
      <c r="H142" s="2" t="s">
        <v>1069</v>
      </c>
      <c r="I142" s="2" t="s">
        <v>1070</v>
      </c>
      <c r="J142" s="2" t="s">
        <v>1071</v>
      </c>
      <c r="K142" s="2" t="s">
        <v>865</v>
      </c>
      <c r="L142" s="2" t="s">
        <v>866</v>
      </c>
      <c r="M142" s="2" t="s">
        <v>1072</v>
      </c>
      <c r="N142" s="2" t="s">
        <v>1073</v>
      </c>
      <c r="O142" s="2" t="s">
        <v>869</v>
      </c>
      <c r="P142" s="2" t="s">
        <v>870</v>
      </c>
    </row>
    <row r="143" ht="15.75" customHeight="1">
      <c r="H143" s="2" t="s">
        <v>1074</v>
      </c>
      <c r="I143" s="2" t="s">
        <v>1075</v>
      </c>
      <c r="J143" s="2" t="s">
        <v>1076</v>
      </c>
      <c r="K143" s="2" t="s">
        <v>874</v>
      </c>
      <c r="L143" s="2" t="s">
        <v>866</v>
      </c>
      <c r="M143" s="2" t="s">
        <v>1077</v>
      </c>
      <c r="N143" s="2" t="s">
        <v>1078</v>
      </c>
      <c r="O143" s="2" t="s">
        <v>869</v>
      </c>
      <c r="P143" s="2" t="s">
        <v>870</v>
      </c>
    </row>
    <row r="144" ht="15.75" customHeight="1">
      <c r="H144" s="2" t="s">
        <v>1079</v>
      </c>
      <c r="I144" s="2" t="s">
        <v>1080</v>
      </c>
      <c r="J144" s="2" t="s">
        <v>1081</v>
      </c>
      <c r="K144" s="2" t="s">
        <v>996</v>
      </c>
      <c r="L144" s="2" t="s">
        <v>866</v>
      </c>
      <c r="M144" s="2" t="s">
        <v>1082</v>
      </c>
      <c r="N144" s="2" t="s">
        <v>1083</v>
      </c>
      <c r="O144" s="2" t="s">
        <v>869</v>
      </c>
      <c r="P144" s="2" t="s">
        <v>870</v>
      </c>
    </row>
    <row r="145" ht="15.75" customHeight="1">
      <c r="H145" s="2" t="s">
        <v>1084</v>
      </c>
      <c r="I145" s="2" t="s">
        <v>1085</v>
      </c>
      <c r="J145" s="2" t="s">
        <v>1086</v>
      </c>
      <c r="K145" s="2" t="s">
        <v>880</v>
      </c>
      <c r="L145" s="2" t="s">
        <v>866</v>
      </c>
      <c r="M145" s="2" t="s">
        <v>1087</v>
      </c>
      <c r="N145" s="2" t="s">
        <v>1088</v>
      </c>
      <c r="O145" s="2" t="s">
        <v>869</v>
      </c>
      <c r="P145" s="2" t="s">
        <v>870</v>
      </c>
    </row>
    <row r="146" ht="15.75" customHeight="1">
      <c r="H146" s="2" t="s">
        <v>1089</v>
      </c>
      <c r="I146" s="2" t="s">
        <v>1090</v>
      </c>
      <c r="J146" s="2" t="s">
        <v>1091</v>
      </c>
      <c r="K146" s="2" t="s">
        <v>890</v>
      </c>
      <c r="L146" s="2" t="s">
        <v>866</v>
      </c>
      <c r="M146" s="2" t="s">
        <v>1092</v>
      </c>
      <c r="N146" s="2" t="s">
        <v>1093</v>
      </c>
      <c r="O146" s="2" t="s">
        <v>869</v>
      </c>
      <c r="P146" s="2" t="s">
        <v>870</v>
      </c>
    </row>
    <row r="147" ht="15.75" customHeight="1">
      <c r="H147" s="2" t="s">
        <v>1094</v>
      </c>
      <c r="I147" s="2" t="s">
        <v>1095</v>
      </c>
      <c r="J147" s="2" t="s">
        <v>1096</v>
      </c>
      <c r="K147" s="2" t="s">
        <v>906</v>
      </c>
      <c r="L147" s="2" t="s">
        <v>866</v>
      </c>
      <c r="M147" s="2" t="s">
        <v>1097</v>
      </c>
      <c r="N147" s="2" t="s">
        <v>1098</v>
      </c>
      <c r="O147" s="2" t="s">
        <v>869</v>
      </c>
      <c r="P147" s="2" t="s">
        <v>870</v>
      </c>
    </row>
    <row r="148" ht="15.75" customHeight="1">
      <c r="F148" s="2" t="s">
        <v>29</v>
      </c>
      <c r="H148" s="2" t="s">
        <v>1099</v>
      </c>
      <c r="I148" s="2" t="s">
        <v>1100</v>
      </c>
      <c r="J148" s="2" t="s">
        <v>1101</v>
      </c>
      <c r="K148" s="2" t="s">
        <v>277</v>
      </c>
      <c r="L148" s="2" t="s">
        <v>866</v>
      </c>
      <c r="M148" s="2" t="s">
        <v>1102</v>
      </c>
      <c r="N148" s="2" t="s">
        <v>1103</v>
      </c>
      <c r="O148" s="2" t="s">
        <v>869</v>
      </c>
      <c r="P148" s="2" t="s">
        <v>870</v>
      </c>
    </row>
    <row r="149" ht="15.75" customHeight="1">
      <c r="H149" s="2" t="s">
        <v>1104</v>
      </c>
      <c r="I149" s="2" t="s">
        <v>1105</v>
      </c>
      <c r="J149" s="2" t="s">
        <v>1106</v>
      </c>
      <c r="K149" s="2" t="s">
        <v>1061</v>
      </c>
      <c r="L149" s="2" t="s">
        <v>866</v>
      </c>
      <c r="M149" s="2" t="s">
        <v>1107</v>
      </c>
      <c r="N149" s="2" t="s">
        <v>1108</v>
      </c>
      <c r="O149" s="2" t="s">
        <v>869</v>
      </c>
      <c r="P149" s="2" t="s">
        <v>870</v>
      </c>
    </row>
    <row r="150" ht="15.75" customHeight="1">
      <c r="H150" s="2" t="s">
        <v>1109</v>
      </c>
      <c r="I150" s="2" t="s">
        <v>1110</v>
      </c>
      <c r="J150" s="2" t="s">
        <v>1111</v>
      </c>
      <c r="K150" s="2" t="s">
        <v>865</v>
      </c>
      <c r="L150" s="2" t="s">
        <v>866</v>
      </c>
      <c r="M150" s="2" t="s">
        <v>1112</v>
      </c>
      <c r="N150" s="2" t="s">
        <v>1113</v>
      </c>
      <c r="O150" s="2" t="s">
        <v>869</v>
      </c>
      <c r="P150" s="2" t="s">
        <v>870</v>
      </c>
    </row>
    <row r="151" ht="15.75" customHeight="1">
      <c r="H151" s="2" t="s">
        <v>1114</v>
      </c>
      <c r="I151" s="2" t="s">
        <v>1115</v>
      </c>
      <c r="J151" s="2" t="s">
        <v>1116</v>
      </c>
      <c r="K151" s="2" t="s">
        <v>1117</v>
      </c>
      <c r="L151" s="2" t="s">
        <v>866</v>
      </c>
      <c r="M151" s="2" t="s">
        <v>1118</v>
      </c>
      <c r="N151" s="2" t="s">
        <v>1119</v>
      </c>
      <c r="O151" s="2" t="s">
        <v>869</v>
      </c>
      <c r="P151" s="2" t="s">
        <v>870</v>
      </c>
    </row>
    <row r="152" ht="15.75" customHeight="1">
      <c r="H152" s="2" t="s">
        <v>1120</v>
      </c>
      <c r="I152" s="2" t="s">
        <v>1121</v>
      </c>
      <c r="J152" s="2" t="s">
        <v>1122</v>
      </c>
      <c r="K152" s="2" t="s">
        <v>966</v>
      </c>
      <c r="L152" s="2" t="s">
        <v>866</v>
      </c>
      <c r="M152" s="2" t="s">
        <v>1123</v>
      </c>
      <c r="N152" s="2" t="s">
        <v>1124</v>
      </c>
      <c r="O152" s="2" t="s">
        <v>869</v>
      </c>
      <c r="P152" s="2" t="s">
        <v>870</v>
      </c>
    </row>
    <row r="153" ht="15.75" customHeight="1">
      <c r="H153" s="2" t="s">
        <v>1125</v>
      </c>
      <c r="I153" s="2" t="s">
        <v>1126</v>
      </c>
      <c r="J153" s="2" t="s">
        <v>1127</v>
      </c>
      <c r="K153" s="2" t="s">
        <v>1128</v>
      </c>
      <c r="L153" s="2" t="s">
        <v>866</v>
      </c>
      <c r="M153" s="2" t="s">
        <v>1129</v>
      </c>
      <c r="N153" s="2" t="s">
        <v>1130</v>
      </c>
      <c r="O153" s="2" t="s">
        <v>869</v>
      </c>
      <c r="P153" s="2" t="s">
        <v>870</v>
      </c>
    </row>
    <row r="154" ht="15.75" customHeight="1">
      <c r="H154" s="2" t="s">
        <v>1131</v>
      </c>
      <c r="I154" s="2" t="s">
        <v>1132</v>
      </c>
      <c r="J154" s="2" t="s">
        <v>1132</v>
      </c>
      <c r="K154" s="2" t="s">
        <v>1007</v>
      </c>
    </row>
    <row r="155" ht="15.75" customHeight="1">
      <c r="H155" s="2" t="s">
        <v>1133</v>
      </c>
      <c r="I155" s="2" t="s">
        <v>1134</v>
      </c>
      <c r="J155" s="2" t="s">
        <v>1135</v>
      </c>
      <c r="K155" s="2" t="s">
        <v>1136</v>
      </c>
      <c r="L155" s="2" t="s">
        <v>866</v>
      </c>
      <c r="M155" s="2" t="s">
        <v>1137</v>
      </c>
      <c r="N155" s="2" t="s">
        <v>1138</v>
      </c>
      <c r="O155" s="2" t="s">
        <v>869</v>
      </c>
      <c r="P155" s="2" t="s">
        <v>870</v>
      </c>
    </row>
    <row r="156" ht="15.75" customHeight="1">
      <c r="H156" s="2" t="s">
        <v>1139</v>
      </c>
      <c r="I156" s="2" t="s">
        <v>1140</v>
      </c>
      <c r="J156" s="2" t="s">
        <v>1140</v>
      </c>
      <c r="K156" s="2" t="s">
        <v>1141</v>
      </c>
    </row>
    <row r="157" ht="15.75" customHeight="1">
      <c r="H157" s="2" t="s">
        <v>1142</v>
      </c>
      <c r="I157" s="2" t="s">
        <v>1143</v>
      </c>
      <c r="J157" s="2" t="s">
        <v>1144</v>
      </c>
      <c r="K157" s="2" t="s">
        <v>1145</v>
      </c>
      <c r="L157" s="2" t="s">
        <v>866</v>
      </c>
      <c r="M157" s="2" t="s">
        <v>1146</v>
      </c>
      <c r="N157" s="2" t="s">
        <v>1147</v>
      </c>
      <c r="O157" s="2" t="s">
        <v>869</v>
      </c>
      <c r="P157" s="2" t="s">
        <v>870</v>
      </c>
    </row>
    <row r="158" ht="15.75" customHeight="1">
      <c r="H158" s="2" t="s">
        <v>1148</v>
      </c>
      <c r="I158" s="2" t="s">
        <v>1149</v>
      </c>
      <c r="J158" s="2" t="s">
        <v>1150</v>
      </c>
      <c r="K158" s="2" t="s">
        <v>1151</v>
      </c>
      <c r="L158" s="2" t="s">
        <v>866</v>
      </c>
      <c r="M158" s="2" t="s">
        <v>1152</v>
      </c>
      <c r="N158" s="2" t="s">
        <v>1153</v>
      </c>
      <c r="O158" s="2" t="s">
        <v>869</v>
      </c>
      <c r="P158" s="2" t="s">
        <v>870</v>
      </c>
    </row>
    <row r="159" ht="15.75" customHeight="1">
      <c r="H159" s="2" t="s">
        <v>1154</v>
      </c>
      <c r="I159" s="2" t="s">
        <v>1155</v>
      </c>
      <c r="J159" s="2" t="s">
        <v>1156</v>
      </c>
      <c r="K159" s="2" t="s">
        <v>1157</v>
      </c>
      <c r="L159" s="2" t="s">
        <v>866</v>
      </c>
      <c r="M159" s="2" t="s">
        <v>1158</v>
      </c>
      <c r="N159" s="2" t="s">
        <v>1159</v>
      </c>
      <c r="O159" s="2" t="s">
        <v>869</v>
      </c>
      <c r="P159" s="2" t="s">
        <v>870</v>
      </c>
    </row>
    <row r="160" ht="15.75" customHeight="1">
      <c r="H160" s="2" t="s">
        <v>1160</v>
      </c>
      <c r="I160" s="2" t="s">
        <v>1161</v>
      </c>
      <c r="J160" s="2" t="s">
        <v>1162</v>
      </c>
      <c r="K160" s="2" t="s">
        <v>1163</v>
      </c>
      <c r="L160" s="2" t="s">
        <v>866</v>
      </c>
      <c r="M160" s="2" t="s">
        <v>1164</v>
      </c>
      <c r="N160" s="2" t="s">
        <v>1165</v>
      </c>
      <c r="O160" s="2" t="s">
        <v>869</v>
      </c>
      <c r="P160" s="2" t="s">
        <v>870</v>
      </c>
    </row>
    <row r="161" ht="15.75" customHeight="1">
      <c r="H161" s="2" t="s">
        <v>1166</v>
      </c>
      <c r="I161" s="2" t="s">
        <v>1167</v>
      </c>
      <c r="J161" s="2" t="s">
        <v>1168</v>
      </c>
      <c r="K161" s="2" t="s">
        <v>1169</v>
      </c>
      <c r="L161" s="2" t="s">
        <v>866</v>
      </c>
      <c r="M161" s="2" t="s">
        <v>1170</v>
      </c>
      <c r="N161" s="2" t="s">
        <v>1171</v>
      </c>
      <c r="O161" s="2" t="s">
        <v>869</v>
      </c>
      <c r="P161" s="2" t="s">
        <v>870</v>
      </c>
    </row>
    <row r="162" ht="15.75" customHeight="1">
      <c r="H162" s="2" t="s">
        <v>1172</v>
      </c>
      <c r="I162" s="2" t="s">
        <v>1173</v>
      </c>
      <c r="J162" s="2" t="s">
        <v>1174</v>
      </c>
      <c r="K162" s="2" t="s">
        <v>1175</v>
      </c>
      <c r="L162" s="2" t="s">
        <v>866</v>
      </c>
      <c r="M162" s="2" t="s">
        <v>1176</v>
      </c>
      <c r="N162" s="2" t="s">
        <v>1177</v>
      </c>
      <c r="O162" s="2" t="s">
        <v>869</v>
      </c>
      <c r="P162" s="2" t="s">
        <v>870</v>
      </c>
    </row>
    <row r="163" ht="15.75" customHeight="1">
      <c r="H163" s="2" t="s">
        <v>1178</v>
      </c>
      <c r="I163" s="2" t="s">
        <v>1179</v>
      </c>
      <c r="J163" s="2" t="s">
        <v>1180</v>
      </c>
      <c r="K163" s="2" t="s">
        <v>1181</v>
      </c>
      <c r="L163" s="2" t="s">
        <v>866</v>
      </c>
      <c r="M163" s="2" t="s">
        <v>1182</v>
      </c>
      <c r="N163" s="2" t="s">
        <v>1183</v>
      </c>
      <c r="O163" s="2" t="s">
        <v>869</v>
      </c>
      <c r="P163" s="2" t="s">
        <v>870</v>
      </c>
    </row>
    <row r="164" ht="15.75" customHeight="1">
      <c r="H164" s="2" t="s">
        <v>1184</v>
      </c>
      <c r="I164" s="2" t="s">
        <v>1185</v>
      </c>
      <c r="J164" s="2" t="s">
        <v>1186</v>
      </c>
      <c r="K164" s="2" t="s">
        <v>1187</v>
      </c>
      <c r="L164" s="2" t="s">
        <v>866</v>
      </c>
      <c r="M164" s="2" t="s">
        <v>1188</v>
      </c>
      <c r="N164" s="2" t="s">
        <v>1189</v>
      </c>
      <c r="O164" s="2" t="s">
        <v>869</v>
      </c>
      <c r="P164" s="2" t="s">
        <v>870</v>
      </c>
    </row>
    <row r="165" ht="15.75" customHeight="1">
      <c r="H165" s="2" t="s">
        <v>1190</v>
      </c>
      <c r="I165" s="2" t="s">
        <v>1191</v>
      </c>
      <c r="J165" s="2" t="s">
        <v>1192</v>
      </c>
      <c r="K165" s="2" t="s">
        <v>1193</v>
      </c>
      <c r="L165" s="2" t="s">
        <v>866</v>
      </c>
      <c r="M165" s="2" t="s">
        <v>1194</v>
      </c>
      <c r="N165" s="2" t="s">
        <v>1195</v>
      </c>
      <c r="O165" s="2" t="s">
        <v>869</v>
      </c>
      <c r="P165" s="2" t="s">
        <v>870</v>
      </c>
    </row>
    <row r="166" ht="15.75" customHeight="1">
      <c r="H166" s="2" t="s">
        <v>1196</v>
      </c>
      <c r="I166" s="2" t="s">
        <v>1197</v>
      </c>
      <c r="J166" s="2" t="s">
        <v>1198</v>
      </c>
      <c r="K166" s="2" t="s">
        <v>1199</v>
      </c>
      <c r="L166" s="2" t="s">
        <v>866</v>
      </c>
      <c r="M166" s="2" t="s">
        <v>1200</v>
      </c>
      <c r="N166" s="2" t="s">
        <v>1201</v>
      </c>
      <c r="O166" s="2" t="s">
        <v>869</v>
      </c>
      <c r="P166" s="2" t="s">
        <v>870</v>
      </c>
    </row>
    <row r="167" ht="15.75" customHeight="1">
      <c r="H167" s="2" t="s">
        <v>1202</v>
      </c>
      <c r="I167" s="2" t="s">
        <v>1203</v>
      </c>
      <c r="J167" s="2" t="s">
        <v>1204</v>
      </c>
      <c r="K167" s="2" t="s">
        <v>1205</v>
      </c>
      <c r="L167" s="2" t="s">
        <v>866</v>
      </c>
      <c r="M167" s="2" t="s">
        <v>1206</v>
      </c>
      <c r="N167" s="2" t="s">
        <v>1207</v>
      </c>
      <c r="O167" s="2" t="s">
        <v>869</v>
      </c>
      <c r="P167" s="2" t="s">
        <v>870</v>
      </c>
    </row>
    <row r="168" ht="15.75" customHeight="1">
      <c r="H168" s="2" t="s">
        <v>1208</v>
      </c>
      <c r="I168" s="2" t="s">
        <v>1209</v>
      </c>
      <c r="J168" s="2" t="s">
        <v>1210</v>
      </c>
      <c r="K168" s="2" t="s">
        <v>1211</v>
      </c>
      <c r="L168" s="2" t="s">
        <v>866</v>
      </c>
      <c r="M168" s="2" t="s">
        <v>1212</v>
      </c>
      <c r="N168" s="2" t="s">
        <v>1213</v>
      </c>
      <c r="O168" s="2" t="s">
        <v>869</v>
      </c>
      <c r="P168" s="2" t="s">
        <v>870</v>
      </c>
    </row>
    <row r="169" ht="15.75" customHeight="1">
      <c r="H169" s="2" t="s">
        <v>1214</v>
      </c>
      <c r="I169" s="2" t="s">
        <v>1215</v>
      </c>
      <c r="J169" s="2" t="s">
        <v>1216</v>
      </c>
      <c r="K169" s="2" t="s">
        <v>1217</v>
      </c>
      <c r="L169" s="2" t="s">
        <v>866</v>
      </c>
      <c r="M169" s="2" t="s">
        <v>1218</v>
      </c>
      <c r="N169" s="2" t="s">
        <v>1219</v>
      </c>
      <c r="O169" s="2" t="s">
        <v>869</v>
      </c>
      <c r="P169" s="2" t="s">
        <v>870</v>
      </c>
    </row>
    <row r="170" ht="15.75" customHeight="1">
      <c r="H170" s="2" t="s">
        <v>1220</v>
      </c>
      <c r="I170" s="2" t="s">
        <v>1221</v>
      </c>
      <c r="J170" s="2" t="s">
        <v>1222</v>
      </c>
      <c r="K170" s="2" t="s">
        <v>1223</v>
      </c>
      <c r="L170" s="2" t="s">
        <v>866</v>
      </c>
      <c r="M170" s="2" t="s">
        <v>1224</v>
      </c>
      <c r="N170" s="2" t="s">
        <v>1225</v>
      </c>
      <c r="O170" s="2" t="s">
        <v>869</v>
      </c>
      <c r="P170" s="2" t="s">
        <v>870</v>
      </c>
    </row>
    <row r="171" ht="15.75" customHeight="1">
      <c r="H171" s="2" t="s">
        <v>1226</v>
      </c>
      <c r="I171" s="2" t="s">
        <v>1227</v>
      </c>
      <c r="J171" s="2" t="s">
        <v>1228</v>
      </c>
      <c r="K171" s="2" t="s">
        <v>1229</v>
      </c>
      <c r="L171" s="2" t="s">
        <v>866</v>
      </c>
      <c r="M171" s="2" t="s">
        <v>1230</v>
      </c>
      <c r="N171" s="2" t="s">
        <v>1231</v>
      </c>
      <c r="O171" s="2" t="s">
        <v>869</v>
      </c>
      <c r="P171" s="2" t="s">
        <v>870</v>
      </c>
    </row>
    <row r="172" ht="15.75" customHeight="1">
      <c r="H172" s="2" t="s">
        <v>1232</v>
      </c>
      <c r="I172" s="2" t="s">
        <v>1233</v>
      </c>
      <c r="J172" s="2" t="s">
        <v>1234</v>
      </c>
      <c r="K172" s="2" t="s">
        <v>1235</v>
      </c>
      <c r="L172" s="2" t="s">
        <v>866</v>
      </c>
      <c r="M172" s="2" t="s">
        <v>1236</v>
      </c>
      <c r="N172" s="2" t="s">
        <v>1237</v>
      </c>
      <c r="O172" s="2" t="s">
        <v>869</v>
      </c>
      <c r="P172" s="2" t="s">
        <v>870</v>
      </c>
    </row>
    <row r="173" ht="15.75" customHeight="1">
      <c r="H173" s="2" t="s">
        <v>1238</v>
      </c>
      <c r="I173" s="2" t="s">
        <v>1239</v>
      </c>
      <c r="J173" s="2" t="s">
        <v>1240</v>
      </c>
      <c r="K173" s="2" t="s">
        <v>1241</v>
      </c>
      <c r="L173" s="2" t="s">
        <v>866</v>
      </c>
      <c r="M173" s="2" t="s">
        <v>1242</v>
      </c>
      <c r="N173" s="2" t="s">
        <v>1243</v>
      </c>
      <c r="O173" s="2" t="s">
        <v>869</v>
      </c>
      <c r="P173" s="2" t="s">
        <v>870</v>
      </c>
    </row>
    <row r="174" ht="15.75" customHeight="1">
      <c r="H174" s="2" t="s">
        <v>1244</v>
      </c>
      <c r="I174" s="2" t="s">
        <v>1245</v>
      </c>
      <c r="J174" s="2" t="s">
        <v>1246</v>
      </c>
      <c r="K174" s="2" t="s">
        <v>1247</v>
      </c>
    </row>
    <row r="175" ht="15.75" customHeight="1">
      <c r="H175" s="2" t="s">
        <v>1248</v>
      </c>
      <c r="I175" s="2" t="s">
        <v>1249</v>
      </c>
      <c r="J175" s="2" t="s">
        <v>1250</v>
      </c>
      <c r="K175" s="2" t="s">
        <v>1251</v>
      </c>
      <c r="L175" s="2" t="s">
        <v>866</v>
      </c>
      <c r="M175" s="2" t="s">
        <v>1252</v>
      </c>
      <c r="N175" s="2" t="s">
        <v>1253</v>
      </c>
      <c r="O175" s="2" t="s">
        <v>869</v>
      </c>
      <c r="P175" s="2" t="s">
        <v>870</v>
      </c>
    </row>
    <row r="176" ht="15.75" customHeight="1">
      <c r="H176" s="2" t="s">
        <v>1254</v>
      </c>
      <c r="I176" s="2" t="s">
        <v>1255</v>
      </c>
      <c r="J176" s="2" t="s">
        <v>1256</v>
      </c>
      <c r="K176" s="2" t="s">
        <v>1257</v>
      </c>
      <c r="L176" s="2" t="s">
        <v>1258</v>
      </c>
      <c r="M176" s="2" t="s">
        <v>1259</v>
      </c>
      <c r="N176" s="2" t="s">
        <v>1260</v>
      </c>
      <c r="O176" s="2" t="s">
        <v>869</v>
      </c>
      <c r="P176" s="2" t="s">
        <v>870</v>
      </c>
    </row>
    <row r="177" ht="15.75" customHeight="1">
      <c r="H177" s="2" t="s">
        <v>1261</v>
      </c>
      <c r="I177" s="2" t="s">
        <v>1262</v>
      </c>
      <c r="J177" s="2" t="s">
        <v>1263</v>
      </c>
      <c r="K177" s="2" t="s">
        <v>1264</v>
      </c>
      <c r="L177" s="2" t="s">
        <v>866</v>
      </c>
      <c r="M177" s="2" t="s">
        <v>1265</v>
      </c>
      <c r="N177" s="2" t="s">
        <v>1266</v>
      </c>
      <c r="O177" s="2" t="s">
        <v>869</v>
      </c>
      <c r="P177" s="2" t="s">
        <v>870</v>
      </c>
    </row>
    <row r="178" ht="15.75" customHeight="1">
      <c r="F178" s="2" t="s">
        <v>39</v>
      </c>
      <c r="H178" s="2" t="s">
        <v>1267</v>
      </c>
      <c r="I178" s="2" t="s">
        <v>1268</v>
      </c>
      <c r="J178" s="2" t="s">
        <v>1269</v>
      </c>
      <c r="K178" s="2" t="s">
        <v>859</v>
      </c>
      <c r="L178" s="2" t="s">
        <v>866</v>
      </c>
      <c r="M178" s="2" t="s">
        <v>1270</v>
      </c>
      <c r="N178" s="2" t="s">
        <v>1271</v>
      </c>
      <c r="O178" s="2" t="s">
        <v>869</v>
      </c>
      <c r="P178" s="2" t="s">
        <v>870</v>
      </c>
    </row>
    <row r="179" ht="15.75" customHeight="1">
      <c r="H179" s="2" t="s">
        <v>1272</v>
      </c>
      <c r="I179" s="2" t="s">
        <v>41</v>
      </c>
      <c r="J179" s="2" t="s">
        <v>42</v>
      </c>
      <c r="K179" s="2" t="s">
        <v>853</v>
      </c>
      <c r="L179" s="2" t="s">
        <v>866</v>
      </c>
      <c r="M179" s="2" t="s">
        <v>1273</v>
      </c>
      <c r="N179" s="2" t="s">
        <v>1274</v>
      </c>
      <c r="O179" s="2" t="s">
        <v>869</v>
      </c>
      <c r="P179" s="2" t="s">
        <v>870</v>
      </c>
    </row>
    <row r="180" ht="15.75" customHeight="1">
      <c r="H180" s="2" t="s">
        <v>1275</v>
      </c>
      <c r="I180" s="2" t="s">
        <v>1276</v>
      </c>
      <c r="J180" s="2" t="s">
        <v>1277</v>
      </c>
      <c r="K180" s="2" t="s">
        <v>280</v>
      </c>
      <c r="L180" s="2" t="s">
        <v>866</v>
      </c>
      <c r="M180" s="2" t="s">
        <v>1278</v>
      </c>
      <c r="N180" s="2" t="s">
        <v>1279</v>
      </c>
      <c r="O180" s="2" t="s">
        <v>869</v>
      </c>
      <c r="P180" s="2" t="s">
        <v>870</v>
      </c>
    </row>
    <row r="181" ht="15.75" customHeight="1">
      <c r="H181" s="2" t="s">
        <v>1280</v>
      </c>
      <c r="I181" s="2" t="s">
        <v>1281</v>
      </c>
      <c r="J181" s="2" t="s">
        <v>1282</v>
      </c>
      <c r="K181" s="2" t="s">
        <v>865</v>
      </c>
      <c r="L181" s="2" t="s">
        <v>866</v>
      </c>
      <c r="M181" s="2" t="s">
        <v>1283</v>
      </c>
      <c r="N181" s="2" t="s">
        <v>1284</v>
      </c>
      <c r="O181" s="2" t="s">
        <v>869</v>
      </c>
      <c r="P181" s="2" t="s">
        <v>870</v>
      </c>
    </row>
    <row r="182" ht="15.75" customHeight="1">
      <c r="H182" s="2" t="s">
        <v>1285</v>
      </c>
      <c r="I182" s="2" t="s">
        <v>1286</v>
      </c>
      <c r="J182" s="2" t="s">
        <v>1287</v>
      </c>
      <c r="K182" s="2" t="s">
        <v>1288</v>
      </c>
      <c r="L182" s="2" t="s">
        <v>866</v>
      </c>
      <c r="M182" s="2" t="s">
        <v>1289</v>
      </c>
      <c r="N182" s="2" t="s">
        <v>1290</v>
      </c>
      <c r="O182" s="2" t="s">
        <v>869</v>
      </c>
      <c r="P182" s="2" t="s">
        <v>870</v>
      </c>
    </row>
    <row r="183" ht="15.75" customHeight="1">
      <c r="H183" s="2" t="s">
        <v>1291</v>
      </c>
      <c r="I183" s="2" t="s">
        <v>49</v>
      </c>
      <c r="J183" s="2" t="s">
        <v>50</v>
      </c>
      <c r="K183" s="2" t="s">
        <v>1117</v>
      </c>
      <c r="L183" s="2" t="s">
        <v>866</v>
      </c>
      <c r="M183" s="2" t="s">
        <v>1292</v>
      </c>
      <c r="N183" s="2" t="s">
        <v>1293</v>
      </c>
      <c r="O183" s="2" t="s">
        <v>869</v>
      </c>
      <c r="P183" s="2" t="s">
        <v>870</v>
      </c>
    </row>
    <row r="184" ht="15.75" customHeight="1">
      <c r="H184" s="2" t="s">
        <v>1294</v>
      </c>
      <c r="I184" s="2" t="s">
        <v>1295</v>
      </c>
      <c r="J184" s="2" t="s">
        <v>1296</v>
      </c>
      <c r="K184" s="2" t="s">
        <v>1297</v>
      </c>
      <c r="L184" s="2" t="s">
        <v>866</v>
      </c>
      <c r="M184" s="2" t="s">
        <v>1298</v>
      </c>
      <c r="N184" s="2" t="s">
        <v>1299</v>
      </c>
      <c r="O184" s="2" t="s">
        <v>869</v>
      </c>
      <c r="P184" s="2" t="s">
        <v>870</v>
      </c>
    </row>
    <row r="185" ht="15.75" customHeight="1">
      <c r="H185" s="2" t="s">
        <v>1300</v>
      </c>
      <c r="I185" s="2" t="s">
        <v>1301</v>
      </c>
      <c r="J185" s="2" t="s">
        <v>1302</v>
      </c>
      <c r="K185" s="2" t="s">
        <v>283</v>
      </c>
      <c r="L185" s="2" t="s">
        <v>866</v>
      </c>
      <c r="M185" s="2" t="s">
        <v>1303</v>
      </c>
      <c r="N185" s="2" t="s">
        <v>1304</v>
      </c>
      <c r="O185" s="2" t="s">
        <v>869</v>
      </c>
      <c r="P185" s="2" t="s">
        <v>870</v>
      </c>
    </row>
    <row r="186" ht="15.75" customHeight="1">
      <c r="H186" s="2" t="s">
        <v>1305</v>
      </c>
      <c r="I186" s="2" t="s">
        <v>1306</v>
      </c>
      <c r="J186" s="2" t="s">
        <v>1307</v>
      </c>
      <c r="K186" s="2" t="s">
        <v>906</v>
      </c>
      <c r="L186" s="2" t="s">
        <v>866</v>
      </c>
      <c r="M186" s="2" t="s">
        <v>1308</v>
      </c>
      <c r="N186" s="2" t="s">
        <v>1309</v>
      </c>
      <c r="O186" s="2" t="s">
        <v>869</v>
      </c>
      <c r="P186" s="2" t="s">
        <v>870</v>
      </c>
    </row>
    <row r="187" ht="15.75" customHeight="1">
      <c r="H187" s="2" t="s">
        <v>1310</v>
      </c>
      <c r="I187" s="2" t="s">
        <v>1311</v>
      </c>
      <c r="J187" s="2" t="s">
        <v>1312</v>
      </c>
      <c r="K187" s="2" t="s">
        <v>1313</v>
      </c>
      <c r="L187" s="2" t="s">
        <v>866</v>
      </c>
      <c r="M187" s="2" t="s">
        <v>1314</v>
      </c>
      <c r="N187" s="2" t="s">
        <v>1315</v>
      </c>
      <c r="O187" s="2" t="s">
        <v>869</v>
      </c>
      <c r="P187" s="2" t="s">
        <v>870</v>
      </c>
    </row>
    <row r="188" ht="15.75" customHeight="1">
      <c r="H188" s="2" t="s">
        <v>1316</v>
      </c>
      <c r="I188" s="2" t="s">
        <v>1317</v>
      </c>
      <c r="J188" s="2" t="s">
        <v>1318</v>
      </c>
      <c r="K188" s="2" t="s">
        <v>1319</v>
      </c>
      <c r="L188" s="2" t="s">
        <v>866</v>
      </c>
      <c r="M188" s="2" t="s">
        <v>1320</v>
      </c>
      <c r="N188" s="2" t="s">
        <v>1321</v>
      </c>
      <c r="O188" s="2" t="s">
        <v>869</v>
      </c>
      <c r="P188" s="2" t="s">
        <v>870</v>
      </c>
    </row>
    <row r="189" ht="15.75" customHeight="1">
      <c r="H189" s="2" t="s">
        <v>1322</v>
      </c>
      <c r="I189" s="2" t="s">
        <v>1323</v>
      </c>
      <c r="J189" s="2" t="s">
        <v>1324</v>
      </c>
      <c r="K189" s="2" t="s">
        <v>1325</v>
      </c>
      <c r="L189" s="2" t="s">
        <v>866</v>
      </c>
      <c r="M189" s="2" t="s">
        <v>1326</v>
      </c>
      <c r="N189" s="2" t="s">
        <v>1327</v>
      </c>
      <c r="O189" s="2" t="s">
        <v>869</v>
      </c>
      <c r="P189" s="2" t="s">
        <v>870</v>
      </c>
    </row>
    <row r="190" ht="15.75" customHeight="1">
      <c r="H190" s="2" t="s">
        <v>1328</v>
      </c>
      <c r="I190" s="2" t="s">
        <v>1329</v>
      </c>
      <c r="J190" s="2" t="s">
        <v>1330</v>
      </c>
      <c r="K190" s="2" t="s">
        <v>1331</v>
      </c>
      <c r="L190" s="2" t="s">
        <v>866</v>
      </c>
      <c r="M190" s="2" t="s">
        <v>1332</v>
      </c>
      <c r="N190" s="2" t="s">
        <v>1333</v>
      </c>
      <c r="O190" s="2" t="s">
        <v>869</v>
      </c>
      <c r="P190" s="2" t="s">
        <v>870</v>
      </c>
    </row>
    <row r="191" ht="15.75" customHeight="1">
      <c r="H191" s="2" t="s">
        <v>1334</v>
      </c>
      <c r="I191" s="2" t="s">
        <v>1335</v>
      </c>
      <c r="J191" s="2" t="s">
        <v>1336</v>
      </c>
      <c r="L191" s="2" t="s">
        <v>866</v>
      </c>
      <c r="M191" s="2" t="s">
        <v>1337</v>
      </c>
      <c r="N191" s="2" t="s">
        <v>1338</v>
      </c>
      <c r="O191" s="2" t="s">
        <v>869</v>
      </c>
      <c r="P191" s="2" t="s">
        <v>870</v>
      </c>
    </row>
    <row r="192" ht="15.75" customHeight="1">
      <c r="H192" s="2" t="s">
        <v>1339</v>
      </c>
      <c r="I192" s="2" t="s">
        <v>1340</v>
      </c>
      <c r="J192" s="2" t="s">
        <v>1341</v>
      </c>
      <c r="K192" s="2" t="s">
        <v>1163</v>
      </c>
      <c r="L192" s="2" t="s">
        <v>866</v>
      </c>
      <c r="M192" s="2" t="s">
        <v>1342</v>
      </c>
      <c r="N192" s="2" t="s">
        <v>1343</v>
      </c>
      <c r="O192" s="2" t="s">
        <v>869</v>
      </c>
      <c r="P192" s="2" t="s">
        <v>870</v>
      </c>
    </row>
    <row r="193" ht="15.75" customHeight="1">
      <c r="F193" s="2" t="s">
        <v>56</v>
      </c>
      <c r="H193" s="2" t="s">
        <v>1344</v>
      </c>
      <c r="I193" s="2" t="s">
        <v>1345</v>
      </c>
      <c r="J193" s="2" t="s">
        <v>1346</v>
      </c>
      <c r="L193" s="2" t="s">
        <v>866</v>
      </c>
      <c r="M193" s="2" t="s">
        <v>1347</v>
      </c>
      <c r="N193" s="2" t="s">
        <v>1348</v>
      </c>
      <c r="O193" s="2" t="s">
        <v>869</v>
      </c>
      <c r="P193" s="2" t="s">
        <v>870</v>
      </c>
    </row>
    <row r="194" ht="15.75" customHeight="1">
      <c r="H194" s="2" t="s">
        <v>1349</v>
      </c>
      <c r="I194" s="2" t="s">
        <v>1350</v>
      </c>
      <c r="J194" s="2" t="s">
        <v>1351</v>
      </c>
      <c r="K194" s="2" t="s">
        <v>947</v>
      </c>
      <c r="L194" s="2" t="s">
        <v>866</v>
      </c>
      <c r="M194" s="2" t="s">
        <v>1352</v>
      </c>
      <c r="N194" s="2" t="s">
        <v>1353</v>
      </c>
      <c r="O194" s="2" t="s">
        <v>869</v>
      </c>
      <c r="P194" s="2" t="s">
        <v>870</v>
      </c>
    </row>
    <row r="195" ht="15.75" customHeight="1">
      <c r="H195" s="2" t="s">
        <v>1354</v>
      </c>
      <c r="I195" s="2" t="s">
        <v>1355</v>
      </c>
      <c r="J195" s="2" t="s">
        <v>1356</v>
      </c>
      <c r="L195" s="2" t="s">
        <v>866</v>
      </c>
      <c r="M195" s="2" t="s">
        <v>1357</v>
      </c>
      <c r="N195" s="2" t="s">
        <v>1358</v>
      </c>
      <c r="O195" s="2" t="s">
        <v>869</v>
      </c>
      <c r="P195" s="2" t="s">
        <v>870</v>
      </c>
    </row>
    <row r="196" ht="15.75" customHeight="1">
      <c r="H196" s="2" t="s">
        <v>1359</v>
      </c>
      <c r="I196" s="2" t="s">
        <v>1360</v>
      </c>
      <c r="J196" s="2" t="s">
        <v>1361</v>
      </c>
      <c r="K196" s="2" t="s">
        <v>1362</v>
      </c>
      <c r="L196" s="2" t="s">
        <v>866</v>
      </c>
      <c r="M196" s="2" t="s">
        <v>1363</v>
      </c>
      <c r="N196" s="2" t="s">
        <v>1364</v>
      </c>
      <c r="O196" s="2" t="s">
        <v>869</v>
      </c>
      <c r="P196" s="2" t="s">
        <v>870</v>
      </c>
    </row>
    <row r="197" ht="15.75" customHeight="1">
      <c r="H197" s="2" t="s">
        <v>1365</v>
      </c>
      <c r="I197" s="2" t="s">
        <v>1366</v>
      </c>
      <c r="J197" s="2" t="s">
        <v>1367</v>
      </c>
      <c r="K197" s="2" t="s">
        <v>1368</v>
      </c>
      <c r="L197" s="2" t="s">
        <v>866</v>
      </c>
      <c r="M197" s="2" t="s">
        <v>1369</v>
      </c>
      <c r="N197" s="2" t="s">
        <v>1370</v>
      </c>
      <c r="O197" s="2" t="s">
        <v>869</v>
      </c>
      <c r="P197" s="2" t="s">
        <v>870</v>
      </c>
    </row>
    <row r="198" ht="15.75" customHeight="1">
      <c r="H198" s="2" t="s">
        <v>1371</v>
      </c>
      <c r="I198" s="2" t="s">
        <v>1372</v>
      </c>
      <c r="J198" s="2" t="s">
        <v>1373</v>
      </c>
      <c r="K198" s="2" t="s">
        <v>996</v>
      </c>
      <c r="L198" s="2" t="s">
        <v>866</v>
      </c>
      <c r="M198" s="2" t="s">
        <v>1374</v>
      </c>
      <c r="N198" s="2" t="s">
        <v>1375</v>
      </c>
      <c r="O198" s="2" t="s">
        <v>869</v>
      </c>
      <c r="P198" s="2" t="s">
        <v>870</v>
      </c>
    </row>
    <row r="199" ht="15.75" customHeight="1">
      <c r="H199" s="2" t="s">
        <v>1376</v>
      </c>
      <c r="I199" s="2" t="s">
        <v>1377</v>
      </c>
      <c r="J199" s="2" t="s">
        <v>1378</v>
      </c>
      <c r="L199" s="2" t="s">
        <v>866</v>
      </c>
      <c r="M199" s="2" t="s">
        <v>1379</v>
      </c>
      <c r="N199" s="2" t="s">
        <v>1380</v>
      </c>
      <c r="O199" s="2" t="s">
        <v>869</v>
      </c>
      <c r="P199" s="2" t="s">
        <v>870</v>
      </c>
    </row>
    <row r="200" ht="15.75" customHeight="1">
      <c r="H200" s="2" t="s">
        <v>1381</v>
      </c>
      <c r="I200" s="2" t="s">
        <v>1382</v>
      </c>
      <c r="J200" s="2" t="s">
        <v>1383</v>
      </c>
      <c r="K200" s="2" t="s">
        <v>1136</v>
      </c>
      <c r="L200" s="2" t="s">
        <v>866</v>
      </c>
      <c r="M200" s="2" t="s">
        <v>1384</v>
      </c>
      <c r="N200" s="2" t="s">
        <v>1385</v>
      </c>
      <c r="O200" s="2" t="s">
        <v>869</v>
      </c>
      <c r="P200" s="2" t="s">
        <v>870</v>
      </c>
    </row>
    <row r="201" ht="15.75" customHeight="1">
      <c r="H201" s="2" t="s">
        <v>1386</v>
      </c>
      <c r="I201" s="2" t="s">
        <v>1387</v>
      </c>
      <c r="J201" s="2" t="s">
        <v>1388</v>
      </c>
      <c r="L201" s="2" t="s">
        <v>866</v>
      </c>
      <c r="M201" s="2" t="s">
        <v>1389</v>
      </c>
      <c r="N201" s="2" t="s">
        <v>1390</v>
      </c>
      <c r="O201" s="2" t="s">
        <v>869</v>
      </c>
      <c r="P201" s="2" t="s">
        <v>870</v>
      </c>
    </row>
    <row r="202" ht="15.75" customHeight="1">
      <c r="H202" s="2" t="s">
        <v>1391</v>
      </c>
      <c r="I202" s="2" t="s">
        <v>1392</v>
      </c>
      <c r="J202" s="2" t="s">
        <v>1393</v>
      </c>
      <c r="K202" s="2" t="s">
        <v>906</v>
      </c>
      <c r="L202" s="2" t="s">
        <v>866</v>
      </c>
      <c r="M202" s="2" t="s">
        <v>1394</v>
      </c>
      <c r="N202" s="2" t="s">
        <v>1395</v>
      </c>
      <c r="O202" s="2" t="s">
        <v>869</v>
      </c>
      <c r="P202" s="2" t="s">
        <v>870</v>
      </c>
    </row>
    <row r="203" ht="15.75" customHeight="1">
      <c r="H203" s="2" t="s">
        <v>1396</v>
      </c>
      <c r="I203" s="2" t="s">
        <v>1397</v>
      </c>
      <c r="J203" s="2" t="s">
        <v>1398</v>
      </c>
      <c r="K203" s="2" t="s">
        <v>1141</v>
      </c>
      <c r="L203" s="2" t="s">
        <v>866</v>
      </c>
      <c r="M203" s="2" t="s">
        <v>1399</v>
      </c>
      <c r="N203" s="2" t="s">
        <v>1400</v>
      </c>
      <c r="O203" s="2" t="s">
        <v>869</v>
      </c>
      <c r="P203" s="2" t="s">
        <v>870</v>
      </c>
    </row>
    <row r="204" ht="15.75" customHeight="1">
      <c r="H204" s="2" t="s">
        <v>1401</v>
      </c>
      <c r="I204" s="2" t="s">
        <v>1402</v>
      </c>
      <c r="J204" s="2" t="s">
        <v>1402</v>
      </c>
      <c r="K204" s="2" t="s">
        <v>924</v>
      </c>
    </row>
    <row r="205" ht="15.75" customHeight="1">
      <c r="H205" s="2" t="s">
        <v>1403</v>
      </c>
      <c r="I205" s="2" t="s">
        <v>1404</v>
      </c>
      <c r="J205" s="2" t="s">
        <v>1405</v>
      </c>
      <c r="K205" s="2" t="s">
        <v>1406</v>
      </c>
      <c r="L205" s="2" t="s">
        <v>866</v>
      </c>
      <c r="M205" s="2" t="s">
        <v>1407</v>
      </c>
      <c r="N205" s="2" t="s">
        <v>1408</v>
      </c>
      <c r="O205" s="2" t="s">
        <v>869</v>
      </c>
      <c r="P205" s="2" t="s">
        <v>870</v>
      </c>
    </row>
    <row r="206" ht="15.75" customHeight="1">
      <c r="H206" s="2" t="s">
        <v>1409</v>
      </c>
      <c r="I206" s="2" t="s">
        <v>1410</v>
      </c>
      <c r="J206" s="2" t="s">
        <v>1411</v>
      </c>
      <c r="K206" s="2" t="s">
        <v>1412</v>
      </c>
      <c r="L206" s="2" t="s">
        <v>866</v>
      </c>
      <c r="M206" s="2" t="s">
        <v>1413</v>
      </c>
      <c r="N206" s="2" t="s">
        <v>1414</v>
      </c>
      <c r="O206" s="2" t="s">
        <v>869</v>
      </c>
      <c r="P206" s="2" t="s">
        <v>870</v>
      </c>
    </row>
    <row r="207" ht="15.75" customHeight="1">
      <c r="H207" s="2" t="s">
        <v>1415</v>
      </c>
      <c r="I207" s="2" t="s">
        <v>1416</v>
      </c>
      <c r="J207" s="2" t="s">
        <v>1417</v>
      </c>
      <c r="K207" s="2" t="s">
        <v>1418</v>
      </c>
      <c r="L207" s="2" t="s">
        <v>866</v>
      </c>
      <c r="M207" s="2" t="s">
        <v>1419</v>
      </c>
      <c r="N207" s="2" t="s">
        <v>1420</v>
      </c>
      <c r="O207" s="2" t="s">
        <v>869</v>
      </c>
      <c r="P207" s="2" t="s">
        <v>870</v>
      </c>
    </row>
    <row r="208" ht="15.75" customHeight="1">
      <c r="H208" s="2" t="s">
        <v>1421</v>
      </c>
      <c r="I208" s="2" t="s">
        <v>1422</v>
      </c>
      <c r="J208" s="2" t="s">
        <v>1423</v>
      </c>
      <c r="K208" s="2" t="s">
        <v>1424</v>
      </c>
    </row>
    <row r="209" ht="15.75" customHeight="1">
      <c r="H209" s="2" t="s">
        <v>1425</v>
      </c>
      <c r="I209" s="2" t="s">
        <v>1426</v>
      </c>
      <c r="J209" s="2" t="s">
        <v>1427</v>
      </c>
      <c r="K209" s="2" t="s">
        <v>1331</v>
      </c>
      <c r="L209" s="2" t="s">
        <v>866</v>
      </c>
      <c r="M209" s="2" t="s">
        <v>1428</v>
      </c>
      <c r="N209" s="2" t="s">
        <v>1429</v>
      </c>
      <c r="O209" s="2" t="s">
        <v>869</v>
      </c>
      <c r="P209" s="2" t="s">
        <v>870</v>
      </c>
    </row>
    <row r="210" ht="15.75" customHeight="1">
      <c r="H210" s="2" t="s">
        <v>1430</v>
      </c>
      <c r="I210" s="2" t="s">
        <v>1431</v>
      </c>
      <c r="J210" s="2" t="s">
        <v>1432</v>
      </c>
      <c r="K210" s="2" t="s">
        <v>1433</v>
      </c>
      <c r="L210" s="2" t="s">
        <v>866</v>
      </c>
      <c r="M210" s="2" t="s">
        <v>1434</v>
      </c>
      <c r="N210" s="2" t="s">
        <v>1435</v>
      </c>
      <c r="O210" s="2" t="s">
        <v>869</v>
      </c>
      <c r="P210" s="2" t="s">
        <v>870</v>
      </c>
    </row>
    <row r="211" ht="15.75" customHeight="1">
      <c r="H211" s="2" t="s">
        <v>1436</v>
      </c>
      <c r="I211" s="2" t="s">
        <v>1437</v>
      </c>
      <c r="J211" s="2" t="s">
        <v>1438</v>
      </c>
      <c r="K211" s="2" t="s">
        <v>1439</v>
      </c>
      <c r="L211" s="2" t="s">
        <v>866</v>
      </c>
      <c r="M211" s="2" t="s">
        <v>1440</v>
      </c>
      <c r="N211" s="2" t="s">
        <v>1441</v>
      </c>
      <c r="O211" s="2" t="s">
        <v>869</v>
      </c>
      <c r="P211" s="2" t="s">
        <v>870</v>
      </c>
    </row>
    <row r="212" ht="15.75" customHeight="1">
      <c r="H212" s="2" t="s">
        <v>1442</v>
      </c>
      <c r="I212" s="2" t="s">
        <v>257</v>
      </c>
      <c r="J212" s="2" t="s">
        <v>258</v>
      </c>
      <c r="K212" s="2" t="s">
        <v>1443</v>
      </c>
      <c r="L212" s="2" t="s">
        <v>866</v>
      </c>
      <c r="M212" s="2" t="s">
        <v>1444</v>
      </c>
      <c r="N212" s="2" t="s">
        <v>1445</v>
      </c>
      <c r="O212" s="2" t="s">
        <v>869</v>
      </c>
      <c r="P212" s="2" t="s">
        <v>870</v>
      </c>
    </row>
    <row r="213" ht="15.75" customHeight="1">
      <c r="F213" s="2" t="s">
        <v>65</v>
      </c>
      <c r="H213" s="2" t="s">
        <v>1446</v>
      </c>
      <c r="I213" s="2" t="s">
        <v>1447</v>
      </c>
      <c r="J213" s="2" t="s">
        <v>1448</v>
      </c>
      <c r="K213" s="2" t="s">
        <v>859</v>
      </c>
      <c r="L213" s="2" t="s">
        <v>866</v>
      </c>
      <c r="M213" s="2" t="s">
        <v>1449</v>
      </c>
      <c r="N213" s="2" t="s">
        <v>1450</v>
      </c>
      <c r="O213" s="2" t="s">
        <v>869</v>
      </c>
      <c r="P213" s="2" t="s">
        <v>870</v>
      </c>
    </row>
    <row r="214" ht="15.75" customHeight="1">
      <c r="H214" s="2" t="s">
        <v>1451</v>
      </c>
      <c r="I214" s="2" t="s">
        <v>1452</v>
      </c>
      <c r="J214" s="2" t="s">
        <v>1453</v>
      </c>
      <c r="K214" s="2" t="s">
        <v>947</v>
      </c>
      <c r="L214" s="2" t="s">
        <v>866</v>
      </c>
      <c r="M214" s="2" t="s">
        <v>1454</v>
      </c>
      <c r="N214" s="2" t="s">
        <v>1455</v>
      </c>
      <c r="O214" s="2" t="s">
        <v>869</v>
      </c>
      <c r="P214" s="2" t="s">
        <v>870</v>
      </c>
    </row>
    <row r="215" ht="15.75" customHeight="1">
      <c r="H215" s="2" t="s">
        <v>1456</v>
      </c>
      <c r="I215" s="2" t="s">
        <v>1457</v>
      </c>
      <c r="J215" s="2" t="s">
        <v>1458</v>
      </c>
      <c r="K215" s="2" t="s">
        <v>1061</v>
      </c>
      <c r="L215" s="2" t="s">
        <v>866</v>
      </c>
      <c r="M215" s="2" t="s">
        <v>1459</v>
      </c>
      <c r="N215" s="2" t="s">
        <v>1460</v>
      </c>
      <c r="O215" s="2" t="s">
        <v>869</v>
      </c>
      <c r="P215" s="2" t="s">
        <v>870</v>
      </c>
    </row>
    <row r="216" ht="15.75" customHeight="1">
      <c r="H216" s="2" t="s">
        <v>1461</v>
      </c>
      <c r="I216" s="2" t="s">
        <v>67</v>
      </c>
      <c r="J216" s="2" t="s">
        <v>68</v>
      </c>
      <c r="K216" s="2" t="s">
        <v>280</v>
      </c>
      <c r="L216" s="2" t="s">
        <v>866</v>
      </c>
      <c r="M216" s="2" t="s">
        <v>1462</v>
      </c>
      <c r="N216" s="2" t="s">
        <v>1463</v>
      </c>
      <c r="O216" s="2" t="s">
        <v>869</v>
      </c>
      <c r="P216" s="2" t="s">
        <v>870</v>
      </c>
    </row>
    <row r="217" ht="15.75" customHeight="1">
      <c r="H217" s="2" t="s">
        <v>1464</v>
      </c>
      <c r="I217" s="2" t="s">
        <v>1465</v>
      </c>
      <c r="J217" s="2" t="s">
        <v>1466</v>
      </c>
      <c r="K217" s="2" t="s">
        <v>1467</v>
      </c>
      <c r="L217" s="2" t="s">
        <v>866</v>
      </c>
      <c r="M217" s="2" t="s">
        <v>1468</v>
      </c>
      <c r="N217" s="2" t="s">
        <v>1469</v>
      </c>
      <c r="O217" s="2" t="s">
        <v>869</v>
      </c>
      <c r="P217" s="2" t="s">
        <v>870</v>
      </c>
    </row>
    <row r="218" ht="15.75" customHeight="1">
      <c r="H218" s="2" t="s">
        <v>1470</v>
      </c>
      <c r="I218" s="2" t="s">
        <v>1471</v>
      </c>
      <c r="J218" s="2" t="s">
        <v>1472</v>
      </c>
      <c r="K218" s="2" t="s">
        <v>1288</v>
      </c>
      <c r="L218" s="2" t="s">
        <v>866</v>
      </c>
      <c r="M218" s="2" t="s">
        <v>1473</v>
      </c>
      <c r="N218" s="2" t="s">
        <v>1474</v>
      </c>
      <c r="O218" s="2" t="s">
        <v>869</v>
      </c>
      <c r="P218" s="2" t="s">
        <v>870</v>
      </c>
    </row>
    <row r="219" ht="15.75" customHeight="1">
      <c r="H219" s="2" t="s">
        <v>1475</v>
      </c>
      <c r="I219" s="2" t="s">
        <v>1476</v>
      </c>
      <c r="J219" s="2" t="s">
        <v>1477</v>
      </c>
      <c r="K219" s="2" t="s">
        <v>996</v>
      </c>
      <c r="L219" s="2" t="s">
        <v>866</v>
      </c>
      <c r="M219" s="2" t="s">
        <v>1478</v>
      </c>
      <c r="N219" s="2" t="s">
        <v>1479</v>
      </c>
      <c r="O219" s="2" t="s">
        <v>869</v>
      </c>
      <c r="P219" s="2" t="s">
        <v>870</v>
      </c>
    </row>
    <row r="220" ht="15.75" customHeight="1">
      <c r="H220" s="2" t="s">
        <v>1480</v>
      </c>
      <c r="I220" s="2" t="s">
        <v>1481</v>
      </c>
      <c r="J220" s="2" t="s">
        <v>1482</v>
      </c>
      <c r="K220" s="2" t="s">
        <v>890</v>
      </c>
      <c r="L220" s="2" t="s">
        <v>866</v>
      </c>
      <c r="M220" s="2" t="s">
        <v>1483</v>
      </c>
      <c r="N220" s="2" t="s">
        <v>1484</v>
      </c>
      <c r="O220" s="2" t="s">
        <v>869</v>
      </c>
      <c r="P220" s="2" t="s">
        <v>870</v>
      </c>
    </row>
    <row r="221" ht="15.75" customHeight="1">
      <c r="H221" s="2" t="s">
        <v>1485</v>
      </c>
      <c r="I221" s="2" t="s">
        <v>1486</v>
      </c>
      <c r="J221" s="2" t="s">
        <v>1487</v>
      </c>
      <c r="K221" s="2" t="s">
        <v>880</v>
      </c>
      <c r="L221" s="2" t="s">
        <v>866</v>
      </c>
      <c r="M221" s="2" t="s">
        <v>1488</v>
      </c>
      <c r="N221" s="2" t="s">
        <v>1489</v>
      </c>
      <c r="O221" s="2" t="s">
        <v>869</v>
      </c>
      <c r="P221" s="2" t="s">
        <v>870</v>
      </c>
    </row>
    <row r="222" ht="15.75" customHeight="1">
      <c r="H222" s="2" t="s">
        <v>1490</v>
      </c>
      <c r="I222" s="2" t="s">
        <v>1491</v>
      </c>
      <c r="J222" s="2" t="s">
        <v>1492</v>
      </c>
      <c r="K222" s="2" t="s">
        <v>1007</v>
      </c>
      <c r="L222" s="2" t="s">
        <v>866</v>
      </c>
      <c r="M222" s="2" t="s">
        <v>1493</v>
      </c>
      <c r="N222" s="2" t="s">
        <v>1494</v>
      </c>
      <c r="O222" s="2" t="s">
        <v>869</v>
      </c>
      <c r="P222" s="2" t="s">
        <v>870</v>
      </c>
    </row>
    <row r="223" ht="15.75" customHeight="1">
      <c r="H223" s="2" t="s">
        <v>1495</v>
      </c>
      <c r="I223" s="2" t="s">
        <v>1496</v>
      </c>
      <c r="J223" s="2" t="s">
        <v>1497</v>
      </c>
      <c r="K223" s="2" t="s">
        <v>1136</v>
      </c>
      <c r="L223" s="2" t="s">
        <v>866</v>
      </c>
      <c r="M223" s="2" t="s">
        <v>1498</v>
      </c>
      <c r="N223" s="2" t="s">
        <v>1499</v>
      </c>
      <c r="O223" s="2" t="s">
        <v>869</v>
      </c>
      <c r="P223" s="2" t="s">
        <v>870</v>
      </c>
    </row>
    <row r="224" ht="15.75" customHeight="1">
      <c r="H224" s="2" t="s">
        <v>1500</v>
      </c>
      <c r="I224" s="2" t="s">
        <v>1501</v>
      </c>
      <c r="J224" s="2" t="s">
        <v>1502</v>
      </c>
      <c r="K224" s="2" t="s">
        <v>283</v>
      </c>
      <c r="L224" s="2" t="s">
        <v>866</v>
      </c>
      <c r="M224" s="2" t="s">
        <v>1503</v>
      </c>
      <c r="N224" s="2" t="s">
        <v>1504</v>
      </c>
      <c r="O224" s="2" t="s">
        <v>869</v>
      </c>
      <c r="P224" s="2" t="s">
        <v>870</v>
      </c>
    </row>
    <row r="225" ht="15.75" customHeight="1">
      <c r="H225" s="2" t="s">
        <v>1505</v>
      </c>
      <c r="I225" s="2" t="s">
        <v>1506</v>
      </c>
      <c r="J225" s="2" t="s">
        <v>1507</v>
      </c>
      <c r="K225" s="2" t="s">
        <v>1508</v>
      </c>
      <c r="L225" s="2" t="s">
        <v>866</v>
      </c>
      <c r="M225" s="2" t="s">
        <v>1509</v>
      </c>
      <c r="N225" s="2" t="s">
        <v>1510</v>
      </c>
      <c r="O225" s="2" t="s">
        <v>869</v>
      </c>
      <c r="P225" s="2" t="s">
        <v>870</v>
      </c>
    </row>
    <row r="226" ht="15.75" customHeight="1">
      <c r="F226" s="2" t="s">
        <v>74</v>
      </c>
      <c r="H226" s="2" t="s">
        <v>1511</v>
      </c>
      <c r="I226" s="2" t="s">
        <v>76</v>
      </c>
      <c r="J226" s="2" t="s">
        <v>77</v>
      </c>
      <c r="K226" s="2" t="s">
        <v>277</v>
      </c>
      <c r="L226" s="2" t="s">
        <v>866</v>
      </c>
      <c r="M226" s="2" t="s">
        <v>1512</v>
      </c>
      <c r="N226" s="2" t="s">
        <v>1513</v>
      </c>
      <c r="O226" s="2" t="s">
        <v>869</v>
      </c>
      <c r="P226" s="2" t="s">
        <v>870</v>
      </c>
    </row>
    <row r="227" ht="15.75" customHeight="1">
      <c r="H227" s="2" t="s">
        <v>1514</v>
      </c>
      <c r="I227" s="2" t="s">
        <v>1515</v>
      </c>
      <c r="J227" s="2" t="s">
        <v>1516</v>
      </c>
      <c r="K227" s="2" t="s">
        <v>865</v>
      </c>
      <c r="L227" s="2" t="s">
        <v>866</v>
      </c>
      <c r="M227" s="2" t="s">
        <v>1517</v>
      </c>
      <c r="N227" s="2" t="s">
        <v>1518</v>
      </c>
      <c r="O227" s="2" t="s">
        <v>869</v>
      </c>
      <c r="P227" s="2" t="s">
        <v>870</v>
      </c>
    </row>
    <row r="228" ht="15.75" customHeight="1">
      <c r="H228" s="2" t="s">
        <v>1519</v>
      </c>
      <c r="I228" s="2" t="s">
        <v>1520</v>
      </c>
      <c r="J228" s="2" t="s">
        <v>1521</v>
      </c>
      <c r="K228" s="2" t="s">
        <v>1288</v>
      </c>
      <c r="L228" s="2" t="s">
        <v>866</v>
      </c>
      <c r="M228" s="2" t="s">
        <v>1522</v>
      </c>
      <c r="N228" s="2" t="s">
        <v>1523</v>
      </c>
      <c r="O228" s="2" t="s">
        <v>869</v>
      </c>
      <c r="P228" s="2" t="s">
        <v>870</v>
      </c>
    </row>
    <row r="229" ht="15.75" customHeight="1">
      <c r="H229" s="2" t="s">
        <v>1524</v>
      </c>
      <c r="I229" s="2" t="s">
        <v>1525</v>
      </c>
      <c r="J229" s="2" t="s">
        <v>1526</v>
      </c>
      <c r="K229" s="2" t="s">
        <v>1117</v>
      </c>
      <c r="L229" s="2" t="s">
        <v>866</v>
      </c>
      <c r="M229" s="2" t="s">
        <v>1527</v>
      </c>
      <c r="N229" s="2" t="s">
        <v>1528</v>
      </c>
      <c r="O229" s="2" t="s">
        <v>869</v>
      </c>
      <c r="P229" s="2" t="s">
        <v>870</v>
      </c>
    </row>
    <row r="230" ht="15.75" customHeight="1">
      <c r="H230" s="2" t="s">
        <v>1529</v>
      </c>
      <c r="I230" s="2" t="s">
        <v>1530</v>
      </c>
      <c r="J230" s="2" t="s">
        <v>1531</v>
      </c>
      <c r="K230" s="2" t="s">
        <v>996</v>
      </c>
      <c r="L230" s="2" t="s">
        <v>866</v>
      </c>
      <c r="M230" s="2" t="s">
        <v>1532</v>
      </c>
      <c r="N230" s="2" t="s">
        <v>1533</v>
      </c>
      <c r="O230" s="2" t="s">
        <v>869</v>
      </c>
      <c r="P230" s="2" t="s">
        <v>870</v>
      </c>
    </row>
    <row r="231" ht="15.75" customHeight="1">
      <c r="H231" s="2" t="s">
        <v>1534</v>
      </c>
      <c r="I231" s="2" t="s">
        <v>1535</v>
      </c>
      <c r="J231" s="2" t="s">
        <v>1536</v>
      </c>
      <c r="K231" s="2" t="s">
        <v>1297</v>
      </c>
      <c r="L231" s="2" t="s">
        <v>1537</v>
      </c>
      <c r="M231" s="2" t="s">
        <v>1538</v>
      </c>
      <c r="N231" s="2" t="s">
        <v>1539</v>
      </c>
      <c r="O231" s="2" t="s">
        <v>869</v>
      </c>
      <c r="P231" s="2" t="s">
        <v>870</v>
      </c>
    </row>
    <row r="232" ht="15.75" customHeight="1">
      <c r="H232" s="2" t="s">
        <v>1540</v>
      </c>
      <c r="I232" s="2" t="s">
        <v>1541</v>
      </c>
      <c r="J232" s="2" t="s">
        <v>1542</v>
      </c>
      <c r="K232" s="2" t="s">
        <v>886</v>
      </c>
      <c r="L232" s="2" t="s">
        <v>866</v>
      </c>
      <c r="M232" s="2" t="s">
        <v>1543</v>
      </c>
      <c r="N232" s="2" t="s">
        <v>1544</v>
      </c>
      <c r="O232" s="2" t="s">
        <v>869</v>
      </c>
      <c r="P232" s="2" t="s">
        <v>870</v>
      </c>
    </row>
    <row r="233" ht="15.75" customHeight="1">
      <c r="H233" s="2" t="s">
        <v>1545</v>
      </c>
      <c r="I233" s="2" t="s">
        <v>1546</v>
      </c>
      <c r="J233" s="2" t="s">
        <v>1547</v>
      </c>
      <c r="K233" s="2" t="s">
        <v>970</v>
      </c>
      <c r="L233" s="2" t="s">
        <v>866</v>
      </c>
      <c r="M233" s="2" t="s">
        <v>1548</v>
      </c>
      <c r="N233" s="2" t="s">
        <v>1549</v>
      </c>
      <c r="O233" s="2" t="s">
        <v>869</v>
      </c>
      <c r="P233" s="2" t="s">
        <v>870</v>
      </c>
    </row>
    <row r="234" ht="15.75" customHeight="1">
      <c r="H234" s="2" t="s">
        <v>1550</v>
      </c>
      <c r="I234" s="2" t="s">
        <v>93</v>
      </c>
      <c r="J234" s="2" t="s">
        <v>94</v>
      </c>
      <c r="K234" s="2" t="s">
        <v>1551</v>
      </c>
      <c r="L234" s="2" t="s">
        <v>866</v>
      </c>
      <c r="M234" s="2" t="s">
        <v>1552</v>
      </c>
      <c r="N234" s="2" t="s">
        <v>1553</v>
      </c>
      <c r="O234" s="2" t="s">
        <v>869</v>
      </c>
      <c r="P234" s="2" t="s">
        <v>870</v>
      </c>
    </row>
    <row r="235" ht="15.75" customHeight="1">
      <c r="H235" s="2" t="s">
        <v>1554</v>
      </c>
      <c r="I235" s="2" t="s">
        <v>1555</v>
      </c>
      <c r="J235" s="2" t="s">
        <v>1556</v>
      </c>
      <c r="K235" s="2" t="s">
        <v>918</v>
      </c>
      <c r="L235" s="2" t="s">
        <v>866</v>
      </c>
      <c r="M235" s="2" t="s">
        <v>1557</v>
      </c>
      <c r="N235" s="2" t="s">
        <v>1558</v>
      </c>
      <c r="O235" s="2" t="s">
        <v>869</v>
      </c>
      <c r="P235" s="2" t="s">
        <v>870</v>
      </c>
    </row>
    <row r="236" ht="15.75" customHeight="1">
      <c r="H236" s="2" t="s">
        <v>1559</v>
      </c>
      <c r="I236" s="2" t="s">
        <v>1560</v>
      </c>
      <c r="J236" s="2" t="s">
        <v>1561</v>
      </c>
      <c r="K236" s="2" t="s">
        <v>1145</v>
      </c>
      <c r="L236" s="2" t="s">
        <v>866</v>
      </c>
      <c r="M236" s="2" t="s">
        <v>1562</v>
      </c>
      <c r="N236" s="2" t="s">
        <v>1563</v>
      </c>
      <c r="O236" s="2" t="s">
        <v>869</v>
      </c>
      <c r="P236" s="2" t="s">
        <v>870</v>
      </c>
    </row>
    <row r="237" ht="15.75" customHeight="1">
      <c r="H237" s="2" t="s">
        <v>1564</v>
      </c>
      <c r="I237" s="2" t="s">
        <v>1565</v>
      </c>
      <c r="J237" s="2" t="s">
        <v>1566</v>
      </c>
      <c r="K237" s="2" t="s">
        <v>1567</v>
      </c>
    </row>
    <row r="238" ht="15.75" customHeight="1">
      <c r="H238" s="2" t="s">
        <v>1568</v>
      </c>
      <c r="I238" s="2" t="s">
        <v>109</v>
      </c>
      <c r="J238" s="2" t="s">
        <v>110</v>
      </c>
      <c r="K238" s="2" t="s">
        <v>1569</v>
      </c>
      <c r="L238" s="2" t="s">
        <v>866</v>
      </c>
      <c r="M238" s="2" t="s">
        <v>1570</v>
      </c>
      <c r="N238" s="2" t="s">
        <v>1571</v>
      </c>
      <c r="O238" s="2" t="s">
        <v>869</v>
      </c>
      <c r="P238" s="2" t="s">
        <v>870</v>
      </c>
    </row>
    <row r="239" ht="15.75" customHeight="1">
      <c r="H239" s="2" t="s">
        <v>1572</v>
      </c>
      <c r="I239" s="2" t="s">
        <v>1573</v>
      </c>
      <c r="J239" s="2" t="s">
        <v>1574</v>
      </c>
      <c r="K239" s="2" t="s">
        <v>1157</v>
      </c>
      <c r="L239" s="2" t="s">
        <v>866</v>
      </c>
      <c r="M239" s="2" t="s">
        <v>1575</v>
      </c>
      <c r="N239" s="2" t="s">
        <v>1576</v>
      </c>
      <c r="O239" s="2" t="s">
        <v>869</v>
      </c>
      <c r="P239" s="2" t="s">
        <v>870</v>
      </c>
    </row>
    <row r="240" ht="15.75" customHeight="1">
      <c r="H240" s="2" t="s">
        <v>1577</v>
      </c>
      <c r="I240" s="2" t="s">
        <v>1578</v>
      </c>
      <c r="J240" s="2" t="s">
        <v>1579</v>
      </c>
      <c r="K240" s="2" t="s">
        <v>1169</v>
      </c>
      <c r="L240" s="2" t="s">
        <v>866</v>
      </c>
      <c r="M240" s="2" t="s">
        <v>1580</v>
      </c>
      <c r="N240" s="2" t="s">
        <v>1581</v>
      </c>
      <c r="O240" s="2" t="s">
        <v>869</v>
      </c>
      <c r="P240" s="2" t="s">
        <v>870</v>
      </c>
    </row>
    <row r="241" ht="15.75" customHeight="1">
      <c r="H241" s="2" t="s">
        <v>1582</v>
      </c>
      <c r="I241" s="2" t="s">
        <v>126</v>
      </c>
      <c r="J241" s="2" t="s">
        <v>127</v>
      </c>
      <c r="L241" s="2" t="s">
        <v>866</v>
      </c>
      <c r="M241" s="2" t="s">
        <v>1583</v>
      </c>
      <c r="N241" s="2" t="s">
        <v>1584</v>
      </c>
      <c r="O241" s="2" t="s">
        <v>869</v>
      </c>
      <c r="P241" s="2" t="s">
        <v>870</v>
      </c>
    </row>
    <row r="242" ht="15.75" customHeight="1">
      <c r="H242" s="2" t="s">
        <v>1585</v>
      </c>
      <c r="I242" s="2" t="s">
        <v>1586</v>
      </c>
      <c r="J242" s="2" t="s">
        <v>1587</v>
      </c>
      <c r="K242" s="2" t="s">
        <v>1061</v>
      </c>
      <c r="L242" s="2" t="s">
        <v>866</v>
      </c>
      <c r="M242" s="2" t="s">
        <v>1588</v>
      </c>
      <c r="N242" s="2" t="s">
        <v>1589</v>
      </c>
      <c r="O242" s="2" t="s">
        <v>869</v>
      </c>
      <c r="P242" s="2" t="s">
        <v>870</v>
      </c>
    </row>
    <row r="243" ht="15.75" customHeight="1">
      <c r="H243" s="2" t="s">
        <v>1590</v>
      </c>
      <c r="I243" s="2" t="s">
        <v>1591</v>
      </c>
      <c r="J243" s="2" t="s">
        <v>1592</v>
      </c>
      <c r="K243" s="2" t="s">
        <v>1593</v>
      </c>
      <c r="L243" s="2" t="s">
        <v>866</v>
      </c>
      <c r="M243" s="2" t="s">
        <v>1594</v>
      </c>
      <c r="N243" s="2" t="s">
        <v>1595</v>
      </c>
      <c r="O243" s="2" t="s">
        <v>869</v>
      </c>
      <c r="P243" s="2" t="s">
        <v>870</v>
      </c>
    </row>
    <row r="244" ht="15.75" customHeight="1">
      <c r="H244" s="2" t="s">
        <v>1596</v>
      </c>
      <c r="I244" s="2" t="s">
        <v>1597</v>
      </c>
      <c r="J244" s="2" t="s">
        <v>1598</v>
      </c>
    </row>
    <row r="245" ht="15.75" customHeight="1">
      <c r="H245" s="2" t="s">
        <v>1599</v>
      </c>
      <c r="I245" s="2" t="s">
        <v>1600</v>
      </c>
      <c r="J245" s="2" t="s">
        <v>1601</v>
      </c>
      <c r="K245" s="2" t="s">
        <v>1602</v>
      </c>
      <c r="L245" s="2" t="s">
        <v>866</v>
      </c>
      <c r="M245" s="2" t="s">
        <v>1603</v>
      </c>
      <c r="N245" s="2" t="s">
        <v>1604</v>
      </c>
      <c r="O245" s="2" t="s">
        <v>869</v>
      </c>
      <c r="P245" s="2" t="s">
        <v>870</v>
      </c>
    </row>
    <row r="246" ht="15.75" customHeight="1">
      <c r="H246" s="2" t="s">
        <v>1605</v>
      </c>
      <c r="I246" s="2" t="s">
        <v>1606</v>
      </c>
      <c r="J246" s="2" t="s">
        <v>1607</v>
      </c>
      <c r="K246" s="2" t="s">
        <v>283</v>
      </c>
      <c r="L246" s="2" t="s">
        <v>866</v>
      </c>
      <c r="M246" s="2" t="s">
        <v>1608</v>
      </c>
      <c r="N246" s="2" t="s">
        <v>1609</v>
      </c>
      <c r="O246" s="2" t="s">
        <v>869</v>
      </c>
      <c r="P246" s="2" t="s">
        <v>870</v>
      </c>
    </row>
    <row r="247" ht="15.75" customHeight="1">
      <c r="H247" s="2" t="s">
        <v>1610</v>
      </c>
      <c r="I247" s="2" t="s">
        <v>1611</v>
      </c>
      <c r="J247" s="2" t="s">
        <v>1612</v>
      </c>
      <c r="K247" s="2" t="s">
        <v>1443</v>
      </c>
      <c r="L247" s="2" t="s">
        <v>866</v>
      </c>
      <c r="M247" s="2" t="s">
        <v>1613</v>
      </c>
      <c r="N247" s="2" t="s">
        <v>1614</v>
      </c>
      <c r="O247" s="2" t="s">
        <v>869</v>
      </c>
      <c r="P247" s="2" t="s">
        <v>870</v>
      </c>
    </row>
    <row r="248" ht="15.75" customHeight="1">
      <c r="H248" s="2" t="s">
        <v>1615</v>
      </c>
      <c r="I248" s="2" t="s">
        <v>1616</v>
      </c>
      <c r="J248" s="2" t="s">
        <v>1617</v>
      </c>
      <c r="K248" s="2" t="s">
        <v>1618</v>
      </c>
      <c r="L248" s="2" t="s">
        <v>866</v>
      </c>
      <c r="M248" s="2" t="s">
        <v>1619</v>
      </c>
      <c r="N248" s="2" t="s">
        <v>1620</v>
      </c>
      <c r="O248" s="2" t="s">
        <v>869</v>
      </c>
      <c r="P248" s="2" t="s">
        <v>870</v>
      </c>
    </row>
    <row r="249" ht="15.75" customHeight="1">
      <c r="H249" s="2" t="s">
        <v>1621</v>
      </c>
      <c r="I249" s="2" t="s">
        <v>1622</v>
      </c>
      <c r="J249" s="2" t="s">
        <v>1623</v>
      </c>
      <c r="K249" s="2" t="s">
        <v>1624</v>
      </c>
    </row>
    <row r="250" ht="15.75" customHeight="1">
      <c r="H250" s="2" t="s">
        <v>1625</v>
      </c>
      <c r="I250" s="2" t="s">
        <v>142</v>
      </c>
      <c r="J250" s="2" t="s">
        <v>143</v>
      </c>
      <c r="K250" s="2" t="s">
        <v>1205</v>
      </c>
      <c r="L250" s="2" t="s">
        <v>866</v>
      </c>
      <c r="M250" s="2" t="s">
        <v>1626</v>
      </c>
      <c r="N250" s="2" t="s">
        <v>1627</v>
      </c>
      <c r="O250" s="2" t="s">
        <v>869</v>
      </c>
      <c r="P250" s="2" t="s">
        <v>870</v>
      </c>
    </row>
    <row r="251" ht="15.75" customHeight="1">
      <c r="H251" s="2" t="s">
        <v>1628</v>
      </c>
      <c r="I251" s="2" t="s">
        <v>1629</v>
      </c>
      <c r="J251" s="2" t="s">
        <v>1630</v>
      </c>
      <c r="K251" s="2" t="s">
        <v>1631</v>
      </c>
      <c r="L251" s="2" t="s">
        <v>866</v>
      </c>
      <c r="M251" s="2" t="s">
        <v>1632</v>
      </c>
      <c r="N251" s="2" t="s">
        <v>1633</v>
      </c>
      <c r="O251" s="2" t="s">
        <v>869</v>
      </c>
      <c r="P251" s="2" t="s">
        <v>870</v>
      </c>
    </row>
    <row r="252" ht="15.75" customHeight="1">
      <c r="H252" s="2" t="s">
        <v>1634</v>
      </c>
      <c r="I252" s="2" t="s">
        <v>1635</v>
      </c>
      <c r="J252" s="2" t="s">
        <v>1636</v>
      </c>
      <c r="K252" s="2" t="s">
        <v>1637</v>
      </c>
      <c r="L252" s="2" t="s">
        <v>866</v>
      </c>
      <c r="M252" s="2" t="s">
        <v>1638</v>
      </c>
      <c r="N252" s="2" t="s">
        <v>1639</v>
      </c>
      <c r="O252" s="2" t="s">
        <v>869</v>
      </c>
      <c r="P252" s="2" t="s">
        <v>870</v>
      </c>
    </row>
    <row r="253" ht="15.75" customHeight="1">
      <c r="H253" s="2" t="s">
        <v>1640</v>
      </c>
      <c r="I253" s="2" t="s">
        <v>1641</v>
      </c>
      <c r="J253" s="2" t="s">
        <v>1642</v>
      </c>
      <c r="K253" s="2" t="s">
        <v>1223</v>
      </c>
      <c r="L253" s="2" t="s">
        <v>866</v>
      </c>
      <c r="M253" s="2" t="s">
        <v>1643</v>
      </c>
      <c r="N253" s="2" t="s">
        <v>1644</v>
      </c>
      <c r="O253" s="2" t="s">
        <v>869</v>
      </c>
      <c r="P253" s="2" t="s">
        <v>870</v>
      </c>
    </row>
    <row r="254" ht="15.75" customHeight="1">
      <c r="H254" s="2" t="s">
        <v>1645</v>
      </c>
      <c r="I254" s="2" t="s">
        <v>1646</v>
      </c>
      <c r="J254" s="2" t="s">
        <v>1647</v>
      </c>
      <c r="K254" s="2" t="s">
        <v>1648</v>
      </c>
      <c r="L254" s="2" t="s">
        <v>866</v>
      </c>
      <c r="M254" s="2" t="s">
        <v>1649</v>
      </c>
      <c r="N254" s="2" t="s">
        <v>1650</v>
      </c>
      <c r="O254" s="2" t="s">
        <v>869</v>
      </c>
      <c r="P254" s="2" t="s">
        <v>870</v>
      </c>
    </row>
    <row r="255" ht="15.75" customHeight="1">
      <c r="H255" s="2" t="s">
        <v>1651</v>
      </c>
      <c r="I255" s="2" t="s">
        <v>1652</v>
      </c>
      <c r="J255" s="2" t="s">
        <v>1653</v>
      </c>
      <c r="K255" s="2" t="s">
        <v>1654</v>
      </c>
      <c r="L255" s="2" t="s">
        <v>866</v>
      </c>
      <c r="M255" s="2" t="s">
        <v>1655</v>
      </c>
      <c r="N255" s="2" t="s">
        <v>1656</v>
      </c>
      <c r="O255" s="2" t="s">
        <v>869</v>
      </c>
      <c r="P255" s="2" t="s">
        <v>870</v>
      </c>
    </row>
    <row r="256" ht="15.75" customHeight="1">
      <c r="H256" s="2" t="s">
        <v>1657</v>
      </c>
      <c r="I256" s="2" t="s">
        <v>1658</v>
      </c>
      <c r="J256" s="2" t="s">
        <v>1659</v>
      </c>
      <c r="K256" s="2" t="s">
        <v>1241</v>
      </c>
      <c r="L256" s="2" t="s">
        <v>866</v>
      </c>
      <c r="M256" s="2" t="s">
        <v>1660</v>
      </c>
      <c r="N256" s="2" t="s">
        <v>1661</v>
      </c>
      <c r="O256" s="2" t="s">
        <v>869</v>
      </c>
      <c r="P256" s="2" t="s">
        <v>870</v>
      </c>
    </row>
    <row r="257" ht="15.75" customHeight="1">
      <c r="H257" s="2" t="s">
        <v>1662</v>
      </c>
      <c r="I257" s="2" t="s">
        <v>1663</v>
      </c>
      <c r="J257" s="2" t="s">
        <v>1664</v>
      </c>
      <c r="K257" s="2" t="s">
        <v>1257</v>
      </c>
      <c r="L257" s="2" t="s">
        <v>866</v>
      </c>
      <c r="M257" s="2" t="s">
        <v>1665</v>
      </c>
      <c r="N257" s="2" t="s">
        <v>1666</v>
      </c>
      <c r="O257" s="2" t="s">
        <v>869</v>
      </c>
      <c r="P257" s="2" t="s">
        <v>870</v>
      </c>
    </row>
    <row r="258" ht="15.75" customHeight="1">
      <c r="H258" s="2" t="s">
        <v>1667</v>
      </c>
      <c r="I258" s="2" t="s">
        <v>159</v>
      </c>
      <c r="J258" s="2" t="s">
        <v>160</v>
      </c>
      <c r="K258" s="2" t="s">
        <v>1264</v>
      </c>
      <c r="L258" s="2" t="s">
        <v>866</v>
      </c>
      <c r="M258" s="2" t="s">
        <v>1668</v>
      </c>
      <c r="N258" s="2" t="s">
        <v>1669</v>
      </c>
      <c r="O258" s="2" t="s">
        <v>869</v>
      </c>
      <c r="P258" s="2" t="s">
        <v>870</v>
      </c>
    </row>
    <row r="259" ht="15.75" customHeight="1">
      <c r="H259" s="2" t="s">
        <v>1670</v>
      </c>
      <c r="I259" s="2" t="s">
        <v>1671</v>
      </c>
      <c r="J259" s="2" t="s">
        <v>1671</v>
      </c>
      <c r="K259" s="2" t="s">
        <v>1672</v>
      </c>
    </row>
    <row r="260" ht="15.75" customHeight="1">
      <c r="H260" s="2" t="s">
        <v>1673</v>
      </c>
      <c r="I260" s="2" t="s">
        <v>1674</v>
      </c>
      <c r="J260" s="2" t="s">
        <v>1675</v>
      </c>
      <c r="K260" s="2" t="s">
        <v>1676</v>
      </c>
      <c r="L260" s="2" t="s">
        <v>866</v>
      </c>
      <c r="M260" s="2" t="s">
        <v>1677</v>
      </c>
      <c r="N260" s="2" t="s">
        <v>1678</v>
      </c>
      <c r="O260" s="2" t="s">
        <v>869</v>
      </c>
      <c r="P260" s="2" t="s">
        <v>870</v>
      </c>
    </row>
    <row r="261" ht="15.75" customHeight="1">
      <c r="H261" s="2" t="s">
        <v>1679</v>
      </c>
      <c r="I261" s="2" t="s">
        <v>1680</v>
      </c>
      <c r="J261" s="2" t="s">
        <v>1681</v>
      </c>
      <c r="K261" s="2" t="s">
        <v>1682</v>
      </c>
      <c r="L261" s="2" t="s">
        <v>866</v>
      </c>
      <c r="M261" s="2" t="s">
        <v>1683</v>
      </c>
      <c r="N261" s="2" t="s">
        <v>1684</v>
      </c>
      <c r="O261" s="2" t="s">
        <v>869</v>
      </c>
      <c r="P261" s="2" t="s">
        <v>870</v>
      </c>
    </row>
    <row r="262" ht="15.75" customHeight="1">
      <c r="H262" s="2" t="s">
        <v>1685</v>
      </c>
      <c r="I262" s="2" t="s">
        <v>1686</v>
      </c>
      <c r="J262" s="2" t="s">
        <v>1687</v>
      </c>
      <c r="K262" s="2" t="s">
        <v>1688</v>
      </c>
      <c r="L262" s="2" t="s">
        <v>866</v>
      </c>
      <c r="M262" s="2" t="s">
        <v>1689</v>
      </c>
      <c r="N262" s="2" t="s">
        <v>1690</v>
      </c>
      <c r="O262" s="2" t="s">
        <v>869</v>
      </c>
      <c r="P262" s="2" t="s">
        <v>870</v>
      </c>
    </row>
    <row r="263" ht="15.75" customHeight="1">
      <c r="H263" s="2" t="s">
        <v>1691</v>
      </c>
      <c r="I263" s="2" t="s">
        <v>167</v>
      </c>
      <c r="J263" s="2" t="s">
        <v>168</v>
      </c>
      <c r="K263" s="2" t="s">
        <v>1692</v>
      </c>
      <c r="L263" s="2" t="s">
        <v>866</v>
      </c>
      <c r="M263" s="2" t="s">
        <v>1693</v>
      </c>
      <c r="N263" s="2" t="s">
        <v>1694</v>
      </c>
      <c r="O263" s="2" t="s">
        <v>869</v>
      </c>
      <c r="P263" s="2" t="s">
        <v>870</v>
      </c>
    </row>
    <row r="264" ht="15.75" customHeight="1">
      <c r="H264" s="2" t="s">
        <v>1695</v>
      </c>
      <c r="I264" s="2" t="s">
        <v>1696</v>
      </c>
      <c r="J264" s="2" t="s">
        <v>1697</v>
      </c>
      <c r="K264" s="2" t="s">
        <v>1698</v>
      </c>
      <c r="L264" s="2" t="s">
        <v>866</v>
      </c>
      <c r="M264" s="2" t="s">
        <v>1699</v>
      </c>
      <c r="N264" s="2" t="s">
        <v>1700</v>
      </c>
      <c r="O264" s="2" t="s">
        <v>869</v>
      </c>
      <c r="P264" s="2" t="s">
        <v>870</v>
      </c>
    </row>
    <row r="265" ht="15.75" customHeight="1">
      <c r="H265" s="2" t="s">
        <v>1701</v>
      </c>
      <c r="I265" s="2" t="s">
        <v>1702</v>
      </c>
      <c r="J265" s="2" t="s">
        <v>1703</v>
      </c>
      <c r="K265" s="2" t="s">
        <v>1704</v>
      </c>
      <c r="L265" s="2" t="s">
        <v>866</v>
      </c>
      <c r="M265" s="2" t="s">
        <v>1705</v>
      </c>
      <c r="N265" s="2" t="s">
        <v>1706</v>
      </c>
      <c r="O265" s="2" t="s">
        <v>869</v>
      </c>
      <c r="P265" s="2" t="s">
        <v>870</v>
      </c>
    </row>
    <row r="266" ht="15.75" customHeight="1">
      <c r="H266" s="2" t="s">
        <v>1707</v>
      </c>
      <c r="I266" s="2" t="s">
        <v>176</v>
      </c>
      <c r="J266" s="2" t="s">
        <v>177</v>
      </c>
      <c r="K266" s="2" t="s">
        <v>1708</v>
      </c>
      <c r="L266" s="2" t="s">
        <v>866</v>
      </c>
      <c r="M266" s="2" t="s">
        <v>1709</v>
      </c>
      <c r="N266" s="2" t="s">
        <v>1710</v>
      </c>
      <c r="O266" s="2" t="s">
        <v>869</v>
      </c>
      <c r="P266" s="2" t="s">
        <v>870</v>
      </c>
    </row>
    <row r="267" ht="15.75" customHeight="1">
      <c r="H267" s="2" t="s">
        <v>1711</v>
      </c>
      <c r="I267" s="2" t="s">
        <v>185</v>
      </c>
      <c r="J267" s="2" t="s">
        <v>186</v>
      </c>
      <c r="K267" s="2" t="s">
        <v>1712</v>
      </c>
      <c r="L267" s="2" t="s">
        <v>866</v>
      </c>
      <c r="M267" s="2" t="s">
        <v>1713</v>
      </c>
      <c r="N267" s="2" t="s">
        <v>1714</v>
      </c>
      <c r="O267" s="2" t="s">
        <v>869</v>
      </c>
      <c r="P267" s="2" t="s">
        <v>870</v>
      </c>
    </row>
    <row r="268" ht="15.75" customHeight="1">
      <c r="H268" s="2" t="s">
        <v>1715</v>
      </c>
      <c r="I268" s="2" t="s">
        <v>1716</v>
      </c>
      <c r="J268" s="2" t="s">
        <v>1717</v>
      </c>
      <c r="K268" s="2" t="s">
        <v>1718</v>
      </c>
      <c r="L268" s="2" t="s">
        <v>1719</v>
      </c>
      <c r="M268" s="2" t="s">
        <v>1720</v>
      </c>
      <c r="N268" s="2" t="s">
        <v>1721</v>
      </c>
      <c r="O268" s="2" t="s">
        <v>869</v>
      </c>
      <c r="P268" s="2" t="s">
        <v>870</v>
      </c>
    </row>
    <row r="269" ht="15.75" customHeight="1">
      <c r="H269" s="2" t="s">
        <v>1722</v>
      </c>
      <c r="I269" s="2" t="s">
        <v>1723</v>
      </c>
      <c r="J269" s="2" t="s">
        <v>1724</v>
      </c>
      <c r="K269" s="2" t="s">
        <v>1725</v>
      </c>
      <c r="L269" s="2" t="s">
        <v>866</v>
      </c>
      <c r="M269" s="2" t="s">
        <v>1726</v>
      </c>
      <c r="N269" s="2" t="s">
        <v>1727</v>
      </c>
      <c r="O269" s="2" t="s">
        <v>869</v>
      </c>
      <c r="P269" s="2" t="s">
        <v>870</v>
      </c>
    </row>
    <row r="270" ht="15.75" customHeight="1">
      <c r="H270" s="2" t="s">
        <v>1728</v>
      </c>
      <c r="I270" s="2" t="s">
        <v>1729</v>
      </c>
      <c r="J270" s="2" t="s">
        <v>1730</v>
      </c>
      <c r="K270" s="2" t="s">
        <v>1731</v>
      </c>
      <c r="L270" s="2" t="s">
        <v>866</v>
      </c>
      <c r="M270" s="2" t="s">
        <v>1732</v>
      </c>
      <c r="N270" s="2" t="s">
        <v>1733</v>
      </c>
      <c r="O270" s="2" t="s">
        <v>869</v>
      </c>
      <c r="P270" s="2" t="s">
        <v>870</v>
      </c>
    </row>
    <row r="271" ht="15.75" customHeight="1">
      <c r="H271" s="2" t="s">
        <v>1734</v>
      </c>
      <c r="I271" s="2" t="s">
        <v>1735</v>
      </c>
      <c r="J271" s="2" t="s">
        <v>1736</v>
      </c>
      <c r="K271" s="2" t="s">
        <v>1737</v>
      </c>
      <c r="L271" s="2" t="s">
        <v>866</v>
      </c>
      <c r="M271" s="2" t="s">
        <v>1738</v>
      </c>
      <c r="N271" s="2" t="s">
        <v>1739</v>
      </c>
      <c r="O271" s="2" t="s">
        <v>869</v>
      </c>
      <c r="P271" s="2" t="s">
        <v>870</v>
      </c>
    </row>
    <row r="272" ht="15.75" customHeight="1">
      <c r="H272" s="2" t="s">
        <v>1740</v>
      </c>
      <c r="I272" s="2" t="s">
        <v>1741</v>
      </c>
      <c r="J272" s="2" t="s">
        <v>1742</v>
      </c>
      <c r="K272" s="2" t="s">
        <v>1743</v>
      </c>
      <c r="L272" s="2" t="s">
        <v>866</v>
      </c>
      <c r="M272" s="2" t="s">
        <v>1744</v>
      </c>
      <c r="N272" s="2" t="s">
        <v>1745</v>
      </c>
      <c r="O272" s="2" t="s">
        <v>869</v>
      </c>
      <c r="P272" s="2" t="s">
        <v>870</v>
      </c>
    </row>
    <row r="273" ht="15.75" customHeight="1">
      <c r="H273" s="2" t="s">
        <v>1746</v>
      </c>
      <c r="I273" s="2" t="s">
        <v>1747</v>
      </c>
      <c r="J273" s="2" t="s">
        <v>1748</v>
      </c>
      <c r="K273" s="2" t="s">
        <v>1749</v>
      </c>
      <c r="L273" s="2" t="s">
        <v>866</v>
      </c>
      <c r="M273" s="2" t="s">
        <v>1750</v>
      </c>
      <c r="N273" s="2" t="s">
        <v>1751</v>
      </c>
      <c r="O273" s="2" t="s">
        <v>869</v>
      </c>
      <c r="P273" s="2" t="s">
        <v>870</v>
      </c>
    </row>
    <row r="274" ht="15.75" customHeight="1">
      <c r="H274" s="2" t="s">
        <v>1752</v>
      </c>
      <c r="I274" s="2" t="s">
        <v>1753</v>
      </c>
      <c r="J274" s="2" t="s">
        <v>1754</v>
      </c>
      <c r="K274" s="2" t="s">
        <v>1755</v>
      </c>
      <c r="L274" s="2" t="s">
        <v>866</v>
      </c>
      <c r="M274" s="2" t="s">
        <v>1756</v>
      </c>
      <c r="N274" s="2" t="s">
        <v>1757</v>
      </c>
      <c r="O274" s="2" t="s">
        <v>869</v>
      </c>
      <c r="P274" s="2" t="s">
        <v>870</v>
      </c>
    </row>
    <row r="275" ht="15.75" customHeight="1">
      <c r="H275" s="2" t="s">
        <v>1758</v>
      </c>
      <c r="I275" s="2" t="s">
        <v>1759</v>
      </c>
      <c r="J275" s="2" t="s">
        <v>1760</v>
      </c>
      <c r="K275" s="2" t="s">
        <v>1761</v>
      </c>
      <c r="L275" s="2" t="s">
        <v>1762</v>
      </c>
      <c r="M275" s="2" t="s">
        <v>1763</v>
      </c>
      <c r="N275" s="2" t="s">
        <v>1764</v>
      </c>
      <c r="O275" s="2" t="s">
        <v>869</v>
      </c>
      <c r="P275" s="2" t="s">
        <v>870</v>
      </c>
    </row>
    <row r="276" ht="15.75" customHeight="1">
      <c r="H276" s="2" t="s">
        <v>1765</v>
      </c>
      <c r="I276" s="2" t="s">
        <v>1766</v>
      </c>
      <c r="J276" s="2" t="s">
        <v>1767</v>
      </c>
      <c r="K276" s="2" t="s">
        <v>1768</v>
      </c>
      <c r="L276" s="2" t="s">
        <v>866</v>
      </c>
      <c r="M276" s="2" t="s">
        <v>1769</v>
      </c>
      <c r="N276" s="2" t="s">
        <v>1770</v>
      </c>
      <c r="O276" s="2" t="s">
        <v>869</v>
      </c>
      <c r="P276" s="2" t="s">
        <v>870</v>
      </c>
    </row>
    <row r="277" ht="15.75" customHeight="1">
      <c r="H277" s="2" t="s">
        <v>1771</v>
      </c>
      <c r="I277" s="2" t="s">
        <v>1772</v>
      </c>
      <c r="J277" s="2" t="s">
        <v>1773</v>
      </c>
      <c r="K277" s="2" t="s">
        <v>1774</v>
      </c>
      <c r="L277" s="2" t="s">
        <v>866</v>
      </c>
      <c r="M277" s="2" t="s">
        <v>1775</v>
      </c>
      <c r="N277" s="2" t="s">
        <v>1776</v>
      </c>
      <c r="O277" s="2" t="s">
        <v>869</v>
      </c>
      <c r="P277" s="2" t="s">
        <v>870</v>
      </c>
    </row>
    <row r="278" ht="15.75" customHeight="1">
      <c r="H278" s="2" t="s">
        <v>1777</v>
      </c>
      <c r="I278" s="2" t="s">
        <v>1778</v>
      </c>
      <c r="J278" s="2" t="s">
        <v>1779</v>
      </c>
      <c r="K278" s="2" t="s">
        <v>1439</v>
      </c>
      <c r="L278" s="2" t="s">
        <v>866</v>
      </c>
      <c r="M278" s="2" t="s">
        <v>1780</v>
      </c>
      <c r="N278" s="2" t="s">
        <v>1781</v>
      </c>
      <c r="O278" s="2" t="s">
        <v>869</v>
      </c>
      <c r="P278" s="2" t="s">
        <v>870</v>
      </c>
    </row>
    <row r="279" ht="15.75" customHeight="1">
      <c r="H279" s="2" t="s">
        <v>1782</v>
      </c>
      <c r="I279" s="2" t="s">
        <v>1783</v>
      </c>
      <c r="J279" s="2" t="s">
        <v>1784</v>
      </c>
      <c r="K279" s="2" t="s">
        <v>1785</v>
      </c>
      <c r="L279" s="2" t="s">
        <v>866</v>
      </c>
      <c r="M279" s="2" t="s">
        <v>1786</v>
      </c>
      <c r="N279" s="2" t="s">
        <v>1787</v>
      </c>
      <c r="O279" s="2" t="s">
        <v>869</v>
      </c>
      <c r="P279" s="2" t="s">
        <v>870</v>
      </c>
    </row>
    <row r="280" ht="15.75" customHeight="1">
      <c r="H280" s="2" t="s">
        <v>1788</v>
      </c>
      <c r="I280" s="2" t="s">
        <v>1789</v>
      </c>
      <c r="J280" s="2" t="s">
        <v>1790</v>
      </c>
      <c r="K280" s="2" t="s">
        <v>1791</v>
      </c>
      <c r="L280" s="2" t="s">
        <v>866</v>
      </c>
      <c r="M280" s="2" t="s">
        <v>1792</v>
      </c>
      <c r="N280" s="2" t="s">
        <v>1793</v>
      </c>
      <c r="O280" s="2" t="s">
        <v>869</v>
      </c>
      <c r="P280" s="2" t="s">
        <v>870</v>
      </c>
    </row>
    <row r="281" ht="15.75" customHeight="1">
      <c r="H281" s="2" t="s">
        <v>1794</v>
      </c>
      <c r="I281" s="2" t="s">
        <v>1795</v>
      </c>
      <c r="J281" s="2" t="s">
        <v>1796</v>
      </c>
      <c r="K281" s="2" t="s">
        <v>1797</v>
      </c>
      <c r="L281" s="2" t="s">
        <v>866</v>
      </c>
      <c r="M281" s="2" t="s">
        <v>1798</v>
      </c>
      <c r="N281" s="2" t="s">
        <v>1799</v>
      </c>
      <c r="O281" s="2" t="s">
        <v>869</v>
      </c>
      <c r="P281" s="2" t="s">
        <v>870</v>
      </c>
    </row>
    <row r="282" ht="15.75" customHeight="1">
      <c r="H282" s="2" t="s">
        <v>1800</v>
      </c>
      <c r="I282" s="2" t="s">
        <v>1501</v>
      </c>
      <c r="J282" s="2" t="s">
        <v>1502</v>
      </c>
      <c r="K282" s="2" t="s">
        <v>1801</v>
      </c>
      <c r="L282" s="2" t="s">
        <v>866</v>
      </c>
      <c r="M282" s="2" t="s">
        <v>1802</v>
      </c>
      <c r="N282" s="2" t="s">
        <v>1803</v>
      </c>
      <c r="O282" s="2" t="s">
        <v>869</v>
      </c>
      <c r="P282" s="2" t="s">
        <v>870</v>
      </c>
    </row>
    <row r="283" ht="15.75" customHeight="1">
      <c r="H283" s="2" t="s">
        <v>1804</v>
      </c>
      <c r="I283" s="2" t="s">
        <v>241</v>
      </c>
      <c r="J283" s="2" t="s">
        <v>242</v>
      </c>
      <c r="L283" s="2" t="s">
        <v>866</v>
      </c>
      <c r="M283" s="2" t="s">
        <v>1805</v>
      </c>
      <c r="N283" s="2" t="s">
        <v>1806</v>
      </c>
      <c r="O283" s="2" t="s">
        <v>869</v>
      </c>
      <c r="P283" s="2" t="s">
        <v>870</v>
      </c>
    </row>
    <row r="284" ht="15.75" customHeight="1">
      <c r="H284" s="2" t="s">
        <v>1807</v>
      </c>
      <c r="I284" s="2" t="s">
        <v>1808</v>
      </c>
      <c r="J284" s="2" t="s">
        <v>1809</v>
      </c>
      <c r="K284" s="2" t="s">
        <v>1810</v>
      </c>
      <c r="L284" s="2" t="s">
        <v>866</v>
      </c>
      <c r="M284" s="2" t="s">
        <v>1811</v>
      </c>
      <c r="N284" s="2" t="s">
        <v>1812</v>
      </c>
      <c r="O284" s="2" t="s">
        <v>869</v>
      </c>
      <c r="P284" s="2" t="s">
        <v>870</v>
      </c>
    </row>
    <row r="285" ht="15.75" customHeight="1">
      <c r="H285" s="2" t="s">
        <v>1813</v>
      </c>
      <c r="I285" s="2" t="s">
        <v>1814</v>
      </c>
      <c r="J285" s="2" t="s">
        <v>1815</v>
      </c>
      <c r="K285" s="2" t="s">
        <v>1816</v>
      </c>
      <c r="L285" s="2" t="s">
        <v>866</v>
      </c>
      <c r="M285" s="2" t="s">
        <v>1817</v>
      </c>
      <c r="N285" s="2" t="s">
        <v>1818</v>
      </c>
      <c r="O285" s="2" t="s">
        <v>869</v>
      </c>
      <c r="P285" s="2" t="s">
        <v>870</v>
      </c>
    </row>
    <row r="286" ht="15.75" customHeight="1">
      <c r="H286" s="2" t="s">
        <v>1819</v>
      </c>
      <c r="I286" s="2" t="s">
        <v>1820</v>
      </c>
      <c r="J286" s="2" t="s">
        <v>1821</v>
      </c>
      <c r="K286" s="2" t="s">
        <v>1822</v>
      </c>
      <c r="L286" s="2" t="s">
        <v>866</v>
      </c>
      <c r="M286" s="2" t="s">
        <v>1823</v>
      </c>
      <c r="N286" s="2" t="s">
        <v>1824</v>
      </c>
      <c r="O286" s="2" t="s">
        <v>869</v>
      </c>
      <c r="P286" s="2" t="s">
        <v>870</v>
      </c>
    </row>
    <row r="287" ht="15.75" customHeight="1">
      <c r="H287" s="2" t="s">
        <v>1825</v>
      </c>
      <c r="I287" s="2" t="s">
        <v>1826</v>
      </c>
      <c r="J287" s="2" t="s">
        <v>1827</v>
      </c>
      <c r="K287" s="2" t="s">
        <v>1828</v>
      </c>
      <c r="L287" s="2" t="s">
        <v>866</v>
      </c>
      <c r="M287" s="2" t="s">
        <v>1829</v>
      </c>
      <c r="N287" s="2" t="s">
        <v>1830</v>
      </c>
      <c r="O287" s="2" t="s">
        <v>869</v>
      </c>
      <c r="P287" s="2" t="s">
        <v>870</v>
      </c>
    </row>
    <row r="288" ht="15.75" customHeight="1">
      <c r="H288" s="2" t="s">
        <v>1831</v>
      </c>
      <c r="I288" s="2" t="s">
        <v>249</v>
      </c>
      <c r="J288" s="2" t="s">
        <v>250</v>
      </c>
      <c r="K288" s="2" t="s">
        <v>1832</v>
      </c>
      <c r="L288" s="2" t="s">
        <v>866</v>
      </c>
      <c r="M288" s="2" t="s">
        <v>1833</v>
      </c>
      <c r="N288" s="2" t="s">
        <v>1834</v>
      </c>
      <c r="O288" s="2" t="s">
        <v>869</v>
      </c>
      <c r="P288" s="2" t="s">
        <v>870</v>
      </c>
    </row>
    <row r="289" ht="15.75" customHeight="1">
      <c r="H289" s="2" t="s">
        <v>1835</v>
      </c>
      <c r="I289" s="2" t="s">
        <v>1836</v>
      </c>
      <c r="J289" s="2" t="s">
        <v>1837</v>
      </c>
      <c r="K289" s="2" t="s">
        <v>1838</v>
      </c>
      <c r="L289" s="2" t="s">
        <v>866</v>
      </c>
      <c r="M289" s="2" t="s">
        <v>1839</v>
      </c>
      <c r="N289" s="2" t="s">
        <v>1840</v>
      </c>
      <c r="O289" s="2" t="s">
        <v>869</v>
      </c>
      <c r="P289" s="2" t="s">
        <v>870</v>
      </c>
    </row>
    <row r="290" ht="15.75" customHeight="1">
      <c r="H290" s="2" t="s">
        <v>1841</v>
      </c>
      <c r="I290" s="2" t="s">
        <v>1842</v>
      </c>
      <c r="J290" s="2" t="s">
        <v>1843</v>
      </c>
      <c r="K290" s="2" t="s">
        <v>1844</v>
      </c>
      <c r="L290" s="2" t="s">
        <v>866</v>
      </c>
      <c r="M290" s="2" t="s">
        <v>1845</v>
      </c>
      <c r="N290" s="2" t="s">
        <v>1846</v>
      </c>
      <c r="O290" s="2" t="s">
        <v>869</v>
      </c>
      <c r="P290" s="2" t="s">
        <v>870</v>
      </c>
    </row>
    <row r="291" ht="15.75" customHeight="1">
      <c r="H291" s="2" t="s">
        <v>1847</v>
      </c>
      <c r="I291" s="2" t="s">
        <v>1848</v>
      </c>
      <c r="J291" s="2" t="s">
        <v>1849</v>
      </c>
      <c r="K291" s="2" t="s">
        <v>1850</v>
      </c>
      <c r="L291" s="2" t="s">
        <v>1851</v>
      </c>
      <c r="M291" s="2" t="s">
        <v>1852</v>
      </c>
      <c r="N291" s="2" t="s">
        <v>1853</v>
      </c>
      <c r="O291" s="2" t="s">
        <v>869</v>
      </c>
      <c r="P291" s="2" t="s">
        <v>870</v>
      </c>
    </row>
    <row r="292" ht="15.75" customHeight="1">
      <c r="F292" s="2" t="s">
        <v>1854</v>
      </c>
      <c r="H292" s="2" t="s">
        <v>1855</v>
      </c>
      <c r="I292" s="2" t="s">
        <v>1856</v>
      </c>
      <c r="J292" s="2" t="s">
        <v>1857</v>
      </c>
      <c r="K292" s="2" t="s">
        <v>859</v>
      </c>
      <c r="L292" s="2" t="s">
        <v>866</v>
      </c>
      <c r="M292" s="2" t="s">
        <v>1858</v>
      </c>
      <c r="N292" s="2" t="s">
        <v>1859</v>
      </c>
      <c r="O292" s="2" t="s">
        <v>869</v>
      </c>
      <c r="P292" s="2" t="s">
        <v>870</v>
      </c>
    </row>
    <row r="293" ht="15.75" customHeight="1">
      <c r="H293" s="2" t="s">
        <v>1860</v>
      </c>
      <c r="I293" s="2" t="s">
        <v>1861</v>
      </c>
      <c r="J293" s="2" t="s">
        <v>1862</v>
      </c>
      <c r="K293" s="2" t="s">
        <v>853</v>
      </c>
      <c r="L293" s="2" t="s">
        <v>866</v>
      </c>
      <c r="M293" s="2" t="s">
        <v>1863</v>
      </c>
      <c r="N293" s="2" t="s">
        <v>1864</v>
      </c>
      <c r="O293" s="2" t="s">
        <v>869</v>
      </c>
      <c r="P293" s="2" t="s">
        <v>870</v>
      </c>
    </row>
    <row r="294" ht="15.75" customHeight="1">
      <c r="H294" s="2" t="s">
        <v>1865</v>
      </c>
      <c r="I294" s="2" t="s">
        <v>1866</v>
      </c>
      <c r="J294" s="2" t="s">
        <v>1867</v>
      </c>
      <c r="K294" s="2" t="s">
        <v>947</v>
      </c>
      <c r="L294" s="2" t="s">
        <v>866</v>
      </c>
      <c r="M294" s="2" t="s">
        <v>1868</v>
      </c>
      <c r="N294" s="2" t="s">
        <v>1869</v>
      </c>
      <c r="O294" s="2" t="s">
        <v>869</v>
      </c>
      <c r="P294" s="2" t="s">
        <v>870</v>
      </c>
    </row>
    <row r="295" ht="15.75" customHeight="1">
      <c r="H295" s="2" t="s">
        <v>1870</v>
      </c>
      <c r="I295" s="2" t="s">
        <v>1871</v>
      </c>
      <c r="J295" s="2" t="s">
        <v>1872</v>
      </c>
      <c r="K295" s="2" t="s">
        <v>1061</v>
      </c>
      <c r="L295" s="2" t="s">
        <v>866</v>
      </c>
      <c r="M295" s="2" t="s">
        <v>1873</v>
      </c>
      <c r="N295" s="2" t="s">
        <v>1874</v>
      </c>
      <c r="O295" s="2" t="s">
        <v>869</v>
      </c>
      <c r="P295" s="2" t="s">
        <v>870</v>
      </c>
    </row>
    <row r="296" ht="15.75" customHeight="1">
      <c r="H296" s="2" t="s">
        <v>1875</v>
      </c>
      <c r="I296" s="2" t="s">
        <v>1876</v>
      </c>
      <c r="J296" s="2" t="s">
        <v>1877</v>
      </c>
      <c r="K296" s="2" t="s">
        <v>1878</v>
      </c>
      <c r="L296" s="2" t="s">
        <v>866</v>
      </c>
      <c r="M296" s="2" t="s">
        <v>1879</v>
      </c>
      <c r="N296" s="2" t="s">
        <v>1880</v>
      </c>
      <c r="O296" s="2" t="s">
        <v>869</v>
      </c>
      <c r="P296" s="2" t="s">
        <v>870</v>
      </c>
    </row>
    <row r="297" ht="15.75" customHeight="1">
      <c r="H297" s="2" t="s">
        <v>1881</v>
      </c>
      <c r="I297" s="2" t="s">
        <v>1882</v>
      </c>
      <c r="J297" s="2" t="s">
        <v>1883</v>
      </c>
      <c r="K297" s="2" t="s">
        <v>1117</v>
      </c>
      <c r="L297" s="2" t="s">
        <v>866</v>
      </c>
      <c r="M297" s="2" t="s">
        <v>1884</v>
      </c>
      <c r="N297" s="2" t="s">
        <v>1885</v>
      </c>
      <c r="O297" s="2" t="s">
        <v>869</v>
      </c>
      <c r="P297" s="2" t="s">
        <v>870</v>
      </c>
    </row>
    <row r="298" ht="15.75" customHeight="1">
      <c r="H298" s="2" t="s">
        <v>1886</v>
      </c>
      <c r="I298" s="2" t="s">
        <v>1887</v>
      </c>
      <c r="J298" s="2" t="s">
        <v>1888</v>
      </c>
      <c r="K298" s="2" t="s">
        <v>1297</v>
      </c>
      <c r="L298" s="2" t="s">
        <v>866</v>
      </c>
      <c r="M298" s="2" t="s">
        <v>1889</v>
      </c>
      <c r="N298" s="2" t="s">
        <v>1890</v>
      </c>
      <c r="O298" s="2" t="s">
        <v>869</v>
      </c>
      <c r="P298" s="2" t="s">
        <v>870</v>
      </c>
    </row>
    <row r="299" ht="15.75" customHeight="1">
      <c r="H299" s="2" t="s">
        <v>1891</v>
      </c>
      <c r="I299" s="2" t="s">
        <v>1892</v>
      </c>
      <c r="J299" s="2" t="s">
        <v>1893</v>
      </c>
      <c r="K299" s="2" t="s">
        <v>890</v>
      </c>
      <c r="L299" s="2" t="s">
        <v>866</v>
      </c>
      <c r="M299" s="2" t="s">
        <v>1894</v>
      </c>
      <c r="N299" s="2" t="s">
        <v>1895</v>
      </c>
      <c r="O299" s="2" t="s">
        <v>869</v>
      </c>
      <c r="P299" s="2" t="s">
        <v>870</v>
      </c>
    </row>
    <row r="300" ht="15.75" customHeight="1">
      <c r="H300" s="2" t="s">
        <v>1896</v>
      </c>
      <c r="I300" s="2" t="s">
        <v>1897</v>
      </c>
      <c r="J300" s="2" t="s">
        <v>1898</v>
      </c>
      <c r="K300" s="2" t="s">
        <v>1551</v>
      </c>
      <c r="L300" s="2" t="s">
        <v>866</v>
      </c>
      <c r="M300" s="2" t="s">
        <v>1899</v>
      </c>
      <c r="N300" s="2" t="s">
        <v>1900</v>
      </c>
      <c r="O300" s="2" t="s">
        <v>869</v>
      </c>
      <c r="P300" s="2" t="s">
        <v>870</v>
      </c>
    </row>
    <row r="301" ht="15.75" customHeight="1">
      <c r="H301" s="2" t="s">
        <v>1901</v>
      </c>
      <c r="I301" s="2" t="s">
        <v>1902</v>
      </c>
      <c r="J301" s="2" t="s">
        <v>1903</v>
      </c>
      <c r="K301" s="2" t="s">
        <v>1007</v>
      </c>
      <c r="L301" s="2" t="s">
        <v>866</v>
      </c>
      <c r="M301" s="2" t="s">
        <v>1904</v>
      </c>
      <c r="N301" s="2" t="s">
        <v>1905</v>
      </c>
      <c r="O301" s="2" t="s">
        <v>869</v>
      </c>
      <c r="P301" s="2" t="s">
        <v>870</v>
      </c>
    </row>
    <row r="302" ht="15.75" customHeight="1">
      <c r="F302" s="2" t="s">
        <v>265</v>
      </c>
      <c r="H302" s="2" t="s">
        <v>1906</v>
      </c>
      <c r="I302" s="2" t="s">
        <v>1907</v>
      </c>
      <c r="J302" s="2" t="s">
        <v>1908</v>
      </c>
      <c r="K302" s="2" t="s">
        <v>277</v>
      </c>
      <c r="L302" s="2" t="s">
        <v>866</v>
      </c>
      <c r="M302" s="2" t="s">
        <v>1909</v>
      </c>
      <c r="N302" s="2" t="s">
        <v>1910</v>
      </c>
      <c r="O302" s="2" t="s">
        <v>869</v>
      </c>
      <c r="P302" s="2" t="s">
        <v>870</v>
      </c>
    </row>
    <row r="303" ht="15.75" customHeight="1">
      <c r="H303" s="2" t="s">
        <v>1911</v>
      </c>
      <c r="I303" s="2" t="s">
        <v>1912</v>
      </c>
      <c r="J303" s="2" t="s">
        <v>1913</v>
      </c>
      <c r="K303" s="2" t="s">
        <v>970</v>
      </c>
      <c r="L303" s="2" t="s">
        <v>866</v>
      </c>
      <c r="M303" s="2" t="s">
        <v>1914</v>
      </c>
      <c r="N303" s="2" t="s">
        <v>1915</v>
      </c>
      <c r="O303" s="2" t="s">
        <v>869</v>
      </c>
      <c r="P303" s="2" t="s">
        <v>870</v>
      </c>
    </row>
    <row r="304" ht="15.75" customHeight="1">
      <c r="H304" s="2" t="s">
        <v>1916</v>
      </c>
      <c r="I304" s="2" t="s">
        <v>1917</v>
      </c>
      <c r="J304" s="2" t="s">
        <v>1918</v>
      </c>
      <c r="K304" s="2" t="s">
        <v>874</v>
      </c>
      <c r="L304" s="2" t="s">
        <v>866</v>
      </c>
      <c r="M304" s="2" t="s">
        <v>1919</v>
      </c>
      <c r="N304" s="2" t="s">
        <v>1920</v>
      </c>
      <c r="O304" s="2" t="s">
        <v>869</v>
      </c>
      <c r="P304" s="2" t="s">
        <v>870</v>
      </c>
    </row>
    <row r="305" ht="15.75" customHeight="1">
      <c r="H305" s="2" t="s">
        <v>1921</v>
      </c>
      <c r="I305" s="2" t="s">
        <v>1922</v>
      </c>
      <c r="J305" s="2" t="s">
        <v>1923</v>
      </c>
      <c r="K305" s="2" t="s">
        <v>996</v>
      </c>
      <c r="L305" s="2" t="s">
        <v>866</v>
      </c>
      <c r="M305" s="2" t="s">
        <v>1924</v>
      </c>
      <c r="N305" s="2" t="s">
        <v>1925</v>
      </c>
      <c r="O305" s="2" t="s">
        <v>869</v>
      </c>
      <c r="P305" s="2" t="s">
        <v>870</v>
      </c>
    </row>
    <row r="306" ht="15.75" customHeight="1">
      <c r="H306" s="2" t="s">
        <v>1926</v>
      </c>
      <c r="I306" s="2" t="s">
        <v>1927</v>
      </c>
      <c r="J306" s="2" t="s">
        <v>1928</v>
      </c>
      <c r="K306" s="2" t="s">
        <v>963</v>
      </c>
    </row>
    <row r="307" ht="15.75" customHeight="1">
      <c r="H307" s="2" t="s">
        <v>1929</v>
      </c>
      <c r="I307" s="2" t="s">
        <v>1930</v>
      </c>
      <c r="J307" s="2" t="s">
        <v>1931</v>
      </c>
      <c r="K307" s="2" t="s">
        <v>280</v>
      </c>
      <c r="L307" s="2" t="s">
        <v>866</v>
      </c>
      <c r="M307" s="2" t="s">
        <v>1932</v>
      </c>
      <c r="N307" s="2" t="s">
        <v>1933</v>
      </c>
      <c r="O307" s="2" t="s">
        <v>869</v>
      </c>
      <c r="P307" s="2" t="s">
        <v>870</v>
      </c>
    </row>
    <row r="308" ht="15.75" customHeight="1">
      <c r="H308" s="2" t="s">
        <v>1934</v>
      </c>
      <c r="I308" s="2" t="s">
        <v>1935</v>
      </c>
      <c r="J308" s="2" t="s">
        <v>1936</v>
      </c>
      <c r="L308" s="2" t="s">
        <v>866</v>
      </c>
      <c r="M308" s="2" t="s">
        <v>1937</v>
      </c>
      <c r="N308" s="2" t="s">
        <v>1938</v>
      </c>
      <c r="O308" s="2" t="s">
        <v>869</v>
      </c>
      <c r="P308" s="2" t="s">
        <v>870</v>
      </c>
    </row>
    <row r="309" ht="15.75" customHeight="1">
      <c r="H309" s="2" t="s">
        <v>1939</v>
      </c>
      <c r="I309" s="2" t="s">
        <v>1940</v>
      </c>
      <c r="J309" s="2" t="s">
        <v>1941</v>
      </c>
      <c r="K309" s="2" t="s">
        <v>1136</v>
      </c>
      <c r="L309" s="2" t="s">
        <v>866</v>
      </c>
      <c r="M309" s="2" t="s">
        <v>1942</v>
      </c>
      <c r="N309" s="2" t="s">
        <v>1943</v>
      </c>
      <c r="O309" s="2" t="s">
        <v>869</v>
      </c>
      <c r="P309" s="2" t="s">
        <v>870</v>
      </c>
    </row>
    <row r="310" ht="15.75" customHeight="1">
      <c r="H310" s="2" t="s">
        <v>1944</v>
      </c>
      <c r="I310" s="2" t="s">
        <v>1945</v>
      </c>
      <c r="J310" s="2" t="s">
        <v>1946</v>
      </c>
      <c r="L310" s="2" t="s">
        <v>866</v>
      </c>
      <c r="M310" s="2" t="s">
        <v>1947</v>
      </c>
      <c r="N310" s="2" t="s">
        <v>1948</v>
      </c>
      <c r="O310" s="2" t="s">
        <v>869</v>
      </c>
      <c r="P310" s="2" t="s">
        <v>870</v>
      </c>
    </row>
    <row r="311" ht="15.75" customHeight="1">
      <c r="H311" s="2" t="s">
        <v>1949</v>
      </c>
      <c r="I311" s="2" t="s">
        <v>1950</v>
      </c>
      <c r="J311" s="2" t="s">
        <v>1951</v>
      </c>
      <c r="K311" s="2" t="s">
        <v>1952</v>
      </c>
      <c r="L311" s="2" t="s">
        <v>866</v>
      </c>
      <c r="M311" s="2" t="s">
        <v>1953</v>
      </c>
      <c r="N311" s="2" t="s">
        <v>1954</v>
      </c>
      <c r="O311" s="2" t="s">
        <v>869</v>
      </c>
      <c r="P311" s="2" t="s">
        <v>870</v>
      </c>
    </row>
    <row r="312" ht="15.75" customHeight="1">
      <c r="H312" s="2" t="s">
        <v>1955</v>
      </c>
      <c r="I312" s="2" t="s">
        <v>1956</v>
      </c>
      <c r="J312" s="2" t="s">
        <v>1956</v>
      </c>
      <c r="K312" s="2" t="s">
        <v>1151</v>
      </c>
    </row>
    <row r="313" ht="15.75" customHeight="1">
      <c r="H313" s="2" t="s">
        <v>1957</v>
      </c>
      <c r="I313" s="2" t="s">
        <v>1958</v>
      </c>
      <c r="J313" s="2" t="s">
        <v>1959</v>
      </c>
      <c r="K313" s="2" t="s">
        <v>1193</v>
      </c>
      <c r="L313" s="2" t="s">
        <v>866</v>
      </c>
      <c r="M313" s="2" t="s">
        <v>1960</v>
      </c>
      <c r="N313" s="2" t="s">
        <v>1961</v>
      </c>
      <c r="O313" s="2" t="s">
        <v>869</v>
      </c>
      <c r="P313" s="2" t="s">
        <v>870</v>
      </c>
    </row>
    <row r="314" ht="15.75" customHeight="1">
      <c r="H314" s="2" t="s">
        <v>1962</v>
      </c>
      <c r="I314" s="2" t="s">
        <v>1963</v>
      </c>
      <c r="J314" s="2" t="s">
        <v>1964</v>
      </c>
      <c r="K314" s="2" t="s">
        <v>1049</v>
      </c>
      <c r="L314" s="2" t="s">
        <v>866</v>
      </c>
      <c r="M314" s="2" t="s">
        <v>1965</v>
      </c>
      <c r="N314" s="2" t="s">
        <v>1966</v>
      </c>
      <c r="O314" s="2" t="s">
        <v>869</v>
      </c>
      <c r="P314" s="2" t="s">
        <v>870</v>
      </c>
    </row>
    <row r="315" ht="15.75" customHeight="1">
      <c r="H315" s="2" t="s">
        <v>1967</v>
      </c>
      <c r="I315" s="2" t="s">
        <v>1968</v>
      </c>
      <c r="J315" s="2" t="s">
        <v>1969</v>
      </c>
      <c r="K315" s="2" t="s">
        <v>1199</v>
      </c>
      <c r="L315" s="2" t="s">
        <v>866</v>
      </c>
      <c r="M315" s="2" t="s">
        <v>1970</v>
      </c>
      <c r="N315" s="2" t="s">
        <v>1971</v>
      </c>
      <c r="O315" s="2" t="s">
        <v>869</v>
      </c>
      <c r="P315" s="2" t="s">
        <v>870</v>
      </c>
    </row>
    <row r="316" ht="15.75" customHeight="1">
      <c r="H316" s="2" t="s">
        <v>1972</v>
      </c>
      <c r="I316" s="2" t="s">
        <v>1973</v>
      </c>
      <c r="J316" s="2" t="s">
        <v>1974</v>
      </c>
      <c r="K316" s="2" t="s">
        <v>1975</v>
      </c>
      <c r="L316" s="2" t="s">
        <v>866</v>
      </c>
      <c r="M316" s="2" t="s">
        <v>1976</v>
      </c>
      <c r="N316" s="2" t="s">
        <v>1977</v>
      </c>
      <c r="O316" s="2" t="s">
        <v>869</v>
      </c>
      <c r="P316" s="2" t="s">
        <v>870</v>
      </c>
    </row>
    <row r="317" ht="15.75" customHeight="1">
      <c r="H317" s="2" t="s">
        <v>1978</v>
      </c>
      <c r="I317" s="2" t="s">
        <v>1979</v>
      </c>
      <c r="J317" s="2" t="s">
        <v>1980</v>
      </c>
      <c r="K317" s="2" t="s">
        <v>1981</v>
      </c>
      <c r="L317" s="2" t="s">
        <v>866</v>
      </c>
      <c r="M317" s="2" t="s">
        <v>1982</v>
      </c>
      <c r="N317" s="2" t="s">
        <v>1983</v>
      </c>
      <c r="O317" s="2" t="s">
        <v>869</v>
      </c>
      <c r="P317" s="2" t="s">
        <v>870</v>
      </c>
    </row>
    <row r="318" ht="15.75" customHeight="1">
      <c r="H318" s="2" t="s">
        <v>1984</v>
      </c>
      <c r="I318" s="2" t="s">
        <v>1985</v>
      </c>
      <c r="J318" s="2" t="s">
        <v>1986</v>
      </c>
      <c r="L318" s="2" t="s">
        <v>866</v>
      </c>
      <c r="M318" s="2" t="s">
        <v>1987</v>
      </c>
      <c r="N318" s="2" t="s">
        <v>1988</v>
      </c>
      <c r="O318" s="2" t="s">
        <v>869</v>
      </c>
      <c r="P318" s="2" t="s">
        <v>870</v>
      </c>
    </row>
    <row r="319" ht="15.75" customHeight="1">
      <c r="H319" s="2" t="s">
        <v>1989</v>
      </c>
      <c r="I319" s="2" t="s">
        <v>1990</v>
      </c>
      <c r="J319" s="2" t="s">
        <v>1991</v>
      </c>
      <c r="K319" s="2" t="s">
        <v>1992</v>
      </c>
      <c r="L319" s="2" t="s">
        <v>866</v>
      </c>
      <c r="M319" s="2" t="s">
        <v>1993</v>
      </c>
      <c r="N319" s="2" t="s">
        <v>1994</v>
      </c>
      <c r="O319" s="2" t="s">
        <v>869</v>
      </c>
      <c r="P319" s="2" t="s">
        <v>870</v>
      </c>
    </row>
    <row r="320" ht="15.75" customHeight="1">
      <c r="H320" s="2" t="s">
        <v>1995</v>
      </c>
      <c r="I320" s="2" t="s">
        <v>1996</v>
      </c>
      <c r="J320" s="2" t="s">
        <v>1997</v>
      </c>
      <c r="K320" s="2" t="s">
        <v>1631</v>
      </c>
      <c r="L320" s="2" t="s">
        <v>866</v>
      </c>
      <c r="M320" s="2" t="s">
        <v>1998</v>
      </c>
      <c r="N320" s="2" t="s">
        <v>1999</v>
      </c>
      <c r="O320" s="2" t="s">
        <v>869</v>
      </c>
      <c r="P320" s="2" t="s">
        <v>870</v>
      </c>
    </row>
    <row r="321" ht="15.75" customHeight="1">
      <c r="H321" s="2" t="s">
        <v>2000</v>
      </c>
      <c r="I321" s="2" t="s">
        <v>2001</v>
      </c>
      <c r="J321" s="2" t="s">
        <v>2002</v>
      </c>
      <c r="K321" s="2" t="s">
        <v>2003</v>
      </c>
      <c r="L321" s="2" t="s">
        <v>866</v>
      </c>
      <c r="M321" s="2" t="s">
        <v>2004</v>
      </c>
      <c r="N321" s="2" t="s">
        <v>2005</v>
      </c>
      <c r="O321" s="2" t="s">
        <v>869</v>
      </c>
      <c r="P321" s="2" t="s">
        <v>870</v>
      </c>
    </row>
    <row r="322" ht="15.75" customHeight="1">
      <c r="H322" s="2" t="s">
        <v>2006</v>
      </c>
      <c r="I322" s="2" t="s">
        <v>2007</v>
      </c>
      <c r="J322" s="2" t="s">
        <v>2008</v>
      </c>
      <c r="K322" s="2" t="s">
        <v>2009</v>
      </c>
      <c r="L322" s="2" t="s">
        <v>866</v>
      </c>
      <c r="M322" s="2" t="s">
        <v>2010</v>
      </c>
      <c r="N322" s="2" t="s">
        <v>2011</v>
      </c>
      <c r="O322" s="2" t="s">
        <v>869</v>
      </c>
      <c r="P322" s="2" t="s">
        <v>870</v>
      </c>
    </row>
    <row r="323" ht="15.75" customHeight="1">
      <c r="H323" s="2" t="s">
        <v>2012</v>
      </c>
      <c r="I323" s="2" t="s">
        <v>2013</v>
      </c>
      <c r="J323" s="2" t="s">
        <v>2014</v>
      </c>
      <c r="K323" s="2" t="s">
        <v>1241</v>
      </c>
      <c r="L323" s="2" t="s">
        <v>866</v>
      </c>
      <c r="M323" s="2" t="s">
        <v>2015</v>
      </c>
      <c r="N323" s="2" t="s">
        <v>2016</v>
      </c>
      <c r="O323" s="2" t="s">
        <v>869</v>
      </c>
      <c r="P323" s="2" t="s">
        <v>870</v>
      </c>
    </row>
    <row r="324" ht="15.75" customHeight="1">
      <c r="H324" s="2" t="s">
        <v>2017</v>
      </c>
      <c r="I324" s="2" t="s">
        <v>1404</v>
      </c>
      <c r="J324" s="2" t="s">
        <v>1405</v>
      </c>
      <c r="K324" s="2" t="s">
        <v>1247</v>
      </c>
      <c r="L324" s="2" t="s">
        <v>866</v>
      </c>
      <c r="M324" s="2" t="s">
        <v>2018</v>
      </c>
      <c r="N324" s="2" t="s">
        <v>2019</v>
      </c>
      <c r="O324" s="2" t="s">
        <v>869</v>
      </c>
      <c r="P324" s="2" t="s">
        <v>870</v>
      </c>
    </row>
    <row r="325" ht="15.75" customHeight="1">
      <c r="H325" s="2" t="s">
        <v>2020</v>
      </c>
      <c r="I325" s="2" t="s">
        <v>2021</v>
      </c>
      <c r="J325" s="2" t="s">
        <v>2021</v>
      </c>
      <c r="K325" s="2" t="s">
        <v>1672</v>
      </c>
    </row>
    <row r="326" ht="15.75" customHeight="1">
      <c r="H326" s="2" t="s">
        <v>2022</v>
      </c>
      <c r="I326" s="2" t="s">
        <v>2023</v>
      </c>
      <c r="J326" s="2" t="s">
        <v>2024</v>
      </c>
      <c r="K326" s="2" t="s">
        <v>2025</v>
      </c>
      <c r="L326" s="2" t="s">
        <v>866</v>
      </c>
      <c r="M326" s="2" t="s">
        <v>2026</v>
      </c>
      <c r="N326" s="2" t="s">
        <v>2027</v>
      </c>
      <c r="O326" s="2" t="s">
        <v>869</v>
      </c>
      <c r="P326" s="2" t="s">
        <v>870</v>
      </c>
    </row>
    <row r="327" ht="15.75" customHeight="1">
      <c r="H327" s="2" t="s">
        <v>2028</v>
      </c>
      <c r="I327" s="2" t="s">
        <v>2029</v>
      </c>
      <c r="J327" s="2" t="s">
        <v>2030</v>
      </c>
      <c r="K327" s="2" t="s">
        <v>2031</v>
      </c>
      <c r="L327" s="2" t="s">
        <v>866</v>
      </c>
      <c r="M327" s="2" t="s">
        <v>2032</v>
      </c>
      <c r="N327" s="2" t="s">
        <v>2033</v>
      </c>
      <c r="O327" s="2" t="s">
        <v>869</v>
      </c>
      <c r="P327" s="2" t="s">
        <v>870</v>
      </c>
    </row>
    <row r="328" ht="15.75" customHeight="1">
      <c r="H328" s="2" t="s">
        <v>2034</v>
      </c>
      <c r="I328" s="2" t="s">
        <v>2035</v>
      </c>
      <c r="J328" s="2" t="s">
        <v>2036</v>
      </c>
      <c r="K328" s="2" t="s">
        <v>2037</v>
      </c>
      <c r="L328" s="2" t="s">
        <v>866</v>
      </c>
      <c r="M328" s="2" t="s">
        <v>2038</v>
      </c>
      <c r="N328" s="2" t="s">
        <v>2039</v>
      </c>
      <c r="O328" s="2" t="s">
        <v>869</v>
      </c>
      <c r="P328" s="2" t="s">
        <v>870</v>
      </c>
    </row>
    <row r="329" ht="15.75" customHeight="1">
      <c r="H329" s="2" t="s">
        <v>2040</v>
      </c>
      <c r="I329" s="2" t="s">
        <v>2041</v>
      </c>
      <c r="J329" s="2" t="s">
        <v>2042</v>
      </c>
      <c r="K329" s="2" t="s">
        <v>2043</v>
      </c>
      <c r="L329" s="2" t="s">
        <v>866</v>
      </c>
      <c r="M329" s="2" t="s">
        <v>2044</v>
      </c>
      <c r="N329" s="2" t="s">
        <v>2045</v>
      </c>
      <c r="O329" s="2" t="s">
        <v>869</v>
      </c>
      <c r="P329" s="2" t="s">
        <v>870</v>
      </c>
    </row>
    <row r="330" ht="15.75" customHeight="1">
      <c r="H330" s="2" t="s">
        <v>2046</v>
      </c>
      <c r="I330" s="2" t="s">
        <v>2047</v>
      </c>
      <c r="J330" s="2" t="s">
        <v>2048</v>
      </c>
      <c r="K330" s="2" t="s">
        <v>2049</v>
      </c>
      <c r="L330" s="2" t="s">
        <v>2050</v>
      </c>
      <c r="M330" s="2" t="s">
        <v>2051</v>
      </c>
      <c r="N330" s="2" t="s">
        <v>2052</v>
      </c>
      <c r="O330" s="2" t="s">
        <v>869</v>
      </c>
      <c r="P330" s="2" t="s">
        <v>870</v>
      </c>
    </row>
    <row r="331" ht="15.75" customHeight="1">
      <c r="H331" s="2" t="s">
        <v>2053</v>
      </c>
      <c r="I331" s="2" t="s">
        <v>2054</v>
      </c>
      <c r="J331" s="2" t="s">
        <v>2055</v>
      </c>
      <c r="K331" s="2" t="s">
        <v>2056</v>
      </c>
      <c r="L331" s="2" t="s">
        <v>866</v>
      </c>
      <c r="M331" s="2" t="s">
        <v>2057</v>
      </c>
      <c r="N331" s="2" t="s">
        <v>2058</v>
      </c>
      <c r="O331" s="2" t="s">
        <v>869</v>
      </c>
      <c r="P331" s="2" t="s">
        <v>870</v>
      </c>
    </row>
    <row r="332" ht="15.75" customHeight="1">
      <c r="H332" s="2" t="s">
        <v>2059</v>
      </c>
      <c r="I332" s="2" t="s">
        <v>2060</v>
      </c>
      <c r="J332" s="2" t="s">
        <v>2061</v>
      </c>
      <c r="K332" s="2" t="s">
        <v>2062</v>
      </c>
      <c r="L332" s="2" t="s">
        <v>866</v>
      </c>
      <c r="M332" s="2" t="s">
        <v>2063</v>
      </c>
      <c r="N332" s="2" t="s">
        <v>2064</v>
      </c>
      <c r="O332" s="2" t="s">
        <v>869</v>
      </c>
      <c r="P332" s="2" t="s">
        <v>870</v>
      </c>
    </row>
    <row r="333" ht="15.75" customHeight="1">
      <c r="H333" s="2" t="s">
        <v>2065</v>
      </c>
      <c r="I333" s="2" t="s">
        <v>2066</v>
      </c>
      <c r="J333" s="2" t="s">
        <v>2067</v>
      </c>
      <c r="K333" s="2" t="s">
        <v>2068</v>
      </c>
      <c r="L333" s="2" t="s">
        <v>866</v>
      </c>
      <c r="M333" s="2" t="s">
        <v>2069</v>
      </c>
      <c r="N333" s="2" t="s">
        <v>2070</v>
      </c>
      <c r="O333" s="2" t="s">
        <v>869</v>
      </c>
      <c r="P333" s="2" t="s">
        <v>870</v>
      </c>
    </row>
    <row r="334" ht="15.75" customHeight="1">
      <c r="F334" s="2" t="s">
        <v>274</v>
      </c>
      <c r="H334" s="2" t="s">
        <v>2071</v>
      </c>
      <c r="I334" s="2" t="s">
        <v>279</v>
      </c>
      <c r="J334" s="2" t="s">
        <v>274</v>
      </c>
      <c r="K334" s="2" t="s">
        <v>280</v>
      </c>
    </row>
    <row r="335" ht="15.75" customHeight="1">
      <c r="H335" s="2" t="s">
        <v>2072</v>
      </c>
      <c r="I335" s="2" t="s">
        <v>2073</v>
      </c>
      <c r="J335" s="2" t="s">
        <v>2073</v>
      </c>
      <c r="K335" s="2" t="s">
        <v>966</v>
      </c>
    </row>
    <row r="336" ht="15.75" customHeight="1">
      <c r="H336" s="2" t="s">
        <v>2074</v>
      </c>
      <c r="I336" s="2" t="s">
        <v>2075</v>
      </c>
      <c r="J336" s="2" t="s">
        <v>2075</v>
      </c>
      <c r="K336" s="2" t="s">
        <v>890</v>
      </c>
    </row>
    <row r="337" ht="15.75" customHeight="1">
      <c r="H337" s="2" t="s">
        <v>2076</v>
      </c>
      <c r="I337" s="2" t="s">
        <v>282</v>
      </c>
      <c r="J337" s="2" t="s">
        <v>282</v>
      </c>
      <c r="K337" s="2" t="s">
        <v>283</v>
      </c>
    </row>
    <row r="338" ht="15.75" customHeight="1">
      <c r="F338" s="2" t="s">
        <v>284</v>
      </c>
      <c r="H338" s="2" t="s">
        <v>2077</v>
      </c>
      <c r="I338" s="2" t="s">
        <v>2078</v>
      </c>
      <c r="J338" s="2" t="s">
        <v>2079</v>
      </c>
      <c r="K338" s="2" t="s">
        <v>853</v>
      </c>
      <c r="L338" s="2" t="s">
        <v>866</v>
      </c>
      <c r="M338" s="2" t="s">
        <v>2080</v>
      </c>
      <c r="N338" s="2" t="s">
        <v>2081</v>
      </c>
      <c r="O338" s="2" t="s">
        <v>869</v>
      </c>
      <c r="P338" s="2" t="s">
        <v>870</v>
      </c>
    </row>
    <row r="339" ht="15.75" customHeight="1">
      <c r="H339" s="2" t="s">
        <v>2082</v>
      </c>
      <c r="I339" s="2" t="s">
        <v>2083</v>
      </c>
      <c r="J339" s="2" t="s">
        <v>2084</v>
      </c>
      <c r="K339" s="2" t="s">
        <v>280</v>
      </c>
      <c r="L339" s="2" t="s">
        <v>2085</v>
      </c>
      <c r="M339" s="2" t="s">
        <v>2086</v>
      </c>
      <c r="N339" s="2" t="s">
        <v>2087</v>
      </c>
      <c r="O339" s="2" t="s">
        <v>869</v>
      </c>
      <c r="P339" s="2" t="s">
        <v>870</v>
      </c>
    </row>
    <row r="340" ht="15.75" customHeight="1">
      <c r="H340" s="2" t="s">
        <v>2088</v>
      </c>
      <c r="I340" s="2" t="s">
        <v>2089</v>
      </c>
      <c r="J340" s="2" t="s">
        <v>2090</v>
      </c>
      <c r="K340" s="2" t="s">
        <v>865</v>
      </c>
      <c r="L340" s="2" t="s">
        <v>866</v>
      </c>
      <c r="M340" s="2" t="s">
        <v>2091</v>
      </c>
      <c r="N340" s="2" t="s">
        <v>2092</v>
      </c>
      <c r="O340" s="2" t="s">
        <v>869</v>
      </c>
      <c r="P340" s="2" t="s">
        <v>870</v>
      </c>
    </row>
    <row r="341" ht="15.75" customHeight="1">
      <c r="H341" s="2" t="s">
        <v>2093</v>
      </c>
      <c r="I341" s="2" t="s">
        <v>2094</v>
      </c>
      <c r="J341" s="2" t="s">
        <v>2095</v>
      </c>
      <c r="K341" s="2" t="s">
        <v>996</v>
      </c>
      <c r="L341" s="2" t="s">
        <v>866</v>
      </c>
      <c r="M341" s="2" t="s">
        <v>2096</v>
      </c>
      <c r="N341" s="2" t="s">
        <v>2097</v>
      </c>
      <c r="O341" s="2" t="s">
        <v>869</v>
      </c>
      <c r="P341" s="2" t="s">
        <v>870</v>
      </c>
    </row>
    <row r="342" ht="15.75" customHeight="1">
      <c r="H342" s="2" t="s">
        <v>2098</v>
      </c>
      <c r="I342" s="2" t="s">
        <v>286</v>
      </c>
      <c r="J342" s="2" t="s">
        <v>287</v>
      </c>
      <c r="K342" s="2" t="s">
        <v>1117</v>
      </c>
      <c r="L342" s="2" t="s">
        <v>2099</v>
      </c>
      <c r="M342" s="2" t="s">
        <v>2100</v>
      </c>
      <c r="N342" s="2" t="s">
        <v>2101</v>
      </c>
      <c r="O342" s="2" t="s">
        <v>869</v>
      </c>
      <c r="P342" s="2" t="s">
        <v>870</v>
      </c>
    </row>
    <row r="343" ht="15.75" customHeight="1">
      <c r="H343" s="2" t="s">
        <v>2102</v>
      </c>
      <c r="I343" s="2" t="s">
        <v>2103</v>
      </c>
      <c r="J343" s="2" t="s">
        <v>2104</v>
      </c>
      <c r="K343" s="2" t="s">
        <v>1117</v>
      </c>
      <c r="L343" s="2" t="s">
        <v>2105</v>
      </c>
      <c r="M343" s="2" t="s">
        <v>2106</v>
      </c>
      <c r="N343" s="2" t="s">
        <v>2107</v>
      </c>
      <c r="O343" s="2" t="s">
        <v>869</v>
      </c>
      <c r="P343" s="2" t="s">
        <v>870</v>
      </c>
    </row>
    <row r="344" ht="15.75" customHeight="1">
      <c r="H344" s="2" t="s">
        <v>2108</v>
      </c>
      <c r="I344" s="2" t="s">
        <v>2109</v>
      </c>
      <c r="J344" s="2" t="s">
        <v>2110</v>
      </c>
      <c r="K344" s="2" t="s">
        <v>1878</v>
      </c>
      <c r="L344" s="2" t="s">
        <v>866</v>
      </c>
      <c r="M344" s="2" t="s">
        <v>2111</v>
      </c>
      <c r="N344" s="2" t="s">
        <v>2112</v>
      </c>
      <c r="O344" s="2" t="s">
        <v>869</v>
      </c>
      <c r="P344" s="2" t="s">
        <v>870</v>
      </c>
    </row>
    <row r="345" ht="15.75" customHeight="1">
      <c r="H345" s="2" t="s">
        <v>2113</v>
      </c>
      <c r="I345" s="2" t="s">
        <v>2114</v>
      </c>
      <c r="J345" s="2" t="s">
        <v>2115</v>
      </c>
      <c r="K345" s="2" t="s">
        <v>1551</v>
      </c>
      <c r="L345" s="2" t="s">
        <v>866</v>
      </c>
      <c r="M345" s="2" t="s">
        <v>2116</v>
      </c>
      <c r="N345" s="2" t="s">
        <v>2117</v>
      </c>
      <c r="O345" s="2" t="s">
        <v>869</v>
      </c>
      <c r="P345" s="2" t="s">
        <v>870</v>
      </c>
    </row>
    <row r="346" ht="15.75" customHeight="1">
      <c r="H346" s="2" t="s">
        <v>2118</v>
      </c>
      <c r="I346" s="2" t="s">
        <v>2119</v>
      </c>
      <c r="J346" s="2" t="s">
        <v>2120</v>
      </c>
      <c r="K346" s="2" t="s">
        <v>958</v>
      </c>
      <c r="L346" s="2" t="s">
        <v>866</v>
      </c>
      <c r="M346" s="2" t="s">
        <v>2121</v>
      </c>
      <c r="N346" s="2" t="s">
        <v>2122</v>
      </c>
      <c r="O346" s="2" t="s">
        <v>869</v>
      </c>
      <c r="P346" s="2" t="s">
        <v>870</v>
      </c>
    </row>
    <row r="347" ht="15.75" customHeight="1">
      <c r="H347" s="2" t="s">
        <v>2123</v>
      </c>
      <c r="I347" s="2" t="s">
        <v>2124</v>
      </c>
      <c r="J347" s="2" t="s">
        <v>2125</v>
      </c>
      <c r="K347" s="2" t="s">
        <v>900</v>
      </c>
      <c r="L347" s="2" t="s">
        <v>866</v>
      </c>
      <c r="M347" s="2" t="s">
        <v>2126</v>
      </c>
      <c r="N347" s="2" t="s">
        <v>2127</v>
      </c>
      <c r="O347" s="2" t="s">
        <v>869</v>
      </c>
      <c r="P347" s="2" t="s">
        <v>870</v>
      </c>
    </row>
    <row r="348" ht="15.75" customHeight="1">
      <c r="H348" s="2" t="s">
        <v>2128</v>
      </c>
      <c r="I348" s="2" t="s">
        <v>2129</v>
      </c>
      <c r="J348" s="2" t="s">
        <v>2130</v>
      </c>
      <c r="K348" s="2" t="s">
        <v>906</v>
      </c>
      <c r="L348" s="2" t="s">
        <v>866</v>
      </c>
      <c r="M348" s="2" t="s">
        <v>2131</v>
      </c>
      <c r="N348" s="2" t="s">
        <v>2132</v>
      </c>
      <c r="O348" s="2" t="s">
        <v>869</v>
      </c>
      <c r="P348" s="2" t="s">
        <v>870</v>
      </c>
    </row>
    <row r="349" ht="15.75" customHeight="1">
      <c r="H349" s="2" t="s">
        <v>2133</v>
      </c>
      <c r="I349" s="2" t="s">
        <v>2134</v>
      </c>
      <c r="J349" s="2" t="s">
        <v>2135</v>
      </c>
      <c r="K349" s="2" t="s">
        <v>912</v>
      </c>
      <c r="L349" s="2" t="s">
        <v>866</v>
      </c>
      <c r="M349" s="2" t="s">
        <v>2136</v>
      </c>
      <c r="N349" s="2" t="s">
        <v>2137</v>
      </c>
      <c r="O349" s="2" t="s">
        <v>869</v>
      </c>
      <c r="P349" s="2" t="s">
        <v>870</v>
      </c>
    </row>
    <row r="350" ht="15.75" customHeight="1">
      <c r="H350" s="2" t="s">
        <v>2138</v>
      </c>
      <c r="I350" s="2" t="s">
        <v>2139</v>
      </c>
      <c r="J350" s="2" t="s">
        <v>2140</v>
      </c>
      <c r="K350" s="2" t="s">
        <v>1141</v>
      </c>
      <c r="L350" s="2" t="s">
        <v>866</v>
      </c>
      <c r="M350" s="2" t="s">
        <v>2141</v>
      </c>
      <c r="N350" s="2" t="s">
        <v>2142</v>
      </c>
      <c r="O350" s="2" t="s">
        <v>869</v>
      </c>
      <c r="P350" s="2" t="s">
        <v>870</v>
      </c>
    </row>
    <row r="351" ht="15.75" customHeight="1">
      <c r="H351" s="2" t="s">
        <v>2143</v>
      </c>
      <c r="I351" s="2" t="s">
        <v>1000</v>
      </c>
      <c r="J351" s="2" t="s">
        <v>1001</v>
      </c>
      <c r="K351" s="2" t="s">
        <v>924</v>
      </c>
      <c r="L351" s="2" t="s">
        <v>866</v>
      </c>
      <c r="M351" s="2" t="s">
        <v>2144</v>
      </c>
      <c r="N351" s="2" t="s">
        <v>2145</v>
      </c>
      <c r="O351" s="2" t="s">
        <v>869</v>
      </c>
      <c r="P351" s="2" t="s">
        <v>870</v>
      </c>
    </row>
    <row r="352" ht="15.75" customHeight="1">
      <c r="H352" s="2" t="s">
        <v>2146</v>
      </c>
      <c r="I352" s="2" t="s">
        <v>2147</v>
      </c>
      <c r="J352" s="2" t="s">
        <v>2148</v>
      </c>
      <c r="K352" s="2" t="s">
        <v>1406</v>
      </c>
      <c r="L352" s="2" t="s">
        <v>866</v>
      </c>
      <c r="M352" s="2" t="s">
        <v>2149</v>
      </c>
      <c r="N352" s="2" t="s">
        <v>2150</v>
      </c>
      <c r="O352" s="2" t="s">
        <v>869</v>
      </c>
      <c r="P352" s="2" t="s">
        <v>870</v>
      </c>
    </row>
    <row r="353" ht="15.75" customHeight="1">
      <c r="H353" s="2" t="s">
        <v>2151</v>
      </c>
      <c r="I353" s="2" t="s">
        <v>2152</v>
      </c>
      <c r="J353" s="2" t="s">
        <v>2153</v>
      </c>
      <c r="K353" s="2" t="s">
        <v>1688</v>
      </c>
      <c r="L353" s="2" t="s">
        <v>866</v>
      </c>
      <c r="M353" s="2" t="s">
        <v>2154</v>
      </c>
      <c r="N353" s="2" t="s">
        <v>2155</v>
      </c>
      <c r="O353" s="2" t="s">
        <v>869</v>
      </c>
      <c r="P353" s="2" t="s">
        <v>870</v>
      </c>
    </row>
    <row r="354" ht="15.75" customHeight="1">
      <c r="H354" s="2" t="s">
        <v>2156</v>
      </c>
      <c r="I354" s="2" t="s">
        <v>2157</v>
      </c>
      <c r="J354" s="2" t="s">
        <v>2158</v>
      </c>
      <c r="K354" s="2" t="s">
        <v>1331</v>
      </c>
      <c r="L354" s="2" t="s">
        <v>866</v>
      </c>
      <c r="M354" s="2" t="s">
        <v>2159</v>
      </c>
      <c r="N354" s="2" t="s">
        <v>2160</v>
      </c>
      <c r="O354" s="2" t="s">
        <v>869</v>
      </c>
      <c r="P354" s="2" t="s">
        <v>870</v>
      </c>
    </row>
    <row r="355" ht="15.75" customHeight="1">
      <c r="H355" s="2" t="s">
        <v>2161</v>
      </c>
      <c r="I355" s="2" t="s">
        <v>2162</v>
      </c>
      <c r="J355" s="2" t="s">
        <v>2163</v>
      </c>
      <c r="K355" s="2" t="s">
        <v>1313</v>
      </c>
      <c r="L355" s="2" t="s">
        <v>866</v>
      </c>
      <c r="M355" s="2" t="s">
        <v>2164</v>
      </c>
      <c r="N355" s="2" t="s">
        <v>869</v>
      </c>
      <c r="O355" s="2" t="s">
        <v>870</v>
      </c>
    </row>
    <row r="356" ht="15.75" customHeight="1">
      <c r="H356" s="2" t="s">
        <v>2165</v>
      </c>
      <c r="I356" s="2" t="s">
        <v>310</v>
      </c>
      <c r="J356" s="2" t="s">
        <v>311</v>
      </c>
      <c r="K356" s="2" t="s">
        <v>1567</v>
      </c>
      <c r="L356" s="2" t="s">
        <v>866</v>
      </c>
      <c r="M356" s="2" t="s">
        <v>2166</v>
      </c>
      <c r="N356" s="2" t="s">
        <v>2167</v>
      </c>
      <c r="O356" s="2" t="s">
        <v>869</v>
      </c>
      <c r="P356" s="2" t="s">
        <v>870</v>
      </c>
    </row>
    <row r="357" ht="15.75" customHeight="1">
      <c r="H357" s="2" t="s">
        <v>2168</v>
      </c>
      <c r="I357" s="2" t="s">
        <v>2169</v>
      </c>
      <c r="J357" s="2" t="s">
        <v>2170</v>
      </c>
      <c r="K357" s="2" t="s">
        <v>2171</v>
      </c>
      <c r="L357" s="2" t="s">
        <v>866</v>
      </c>
      <c r="M357" s="2" t="s">
        <v>2172</v>
      </c>
      <c r="N357" s="2" t="s">
        <v>2173</v>
      </c>
      <c r="O357" s="2" t="s">
        <v>869</v>
      </c>
      <c r="P357" s="2" t="s">
        <v>870</v>
      </c>
    </row>
    <row r="358" ht="15.75" customHeight="1">
      <c r="H358" s="2" t="s">
        <v>2174</v>
      </c>
      <c r="I358" s="2" t="s">
        <v>2175</v>
      </c>
      <c r="J358" s="2" t="s">
        <v>2176</v>
      </c>
      <c r="K358" s="2" t="s">
        <v>1406</v>
      </c>
      <c r="L358" s="2" t="s">
        <v>866</v>
      </c>
      <c r="M358" s="2" t="s">
        <v>2177</v>
      </c>
      <c r="N358" s="2" t="s">
        <v>2178</v>
      </c>
      <c r="O358" s="2" t="s">
        <v>869</v>
      </c>
      <c r="P358" s="2" t="s">
        <v>870</v>
      </c>
    </row>
    <row r="359" ht="15.75" customHeight="1">
      <c r="H359" s="2" t="s">
        <v>2179</v>
      </c>
      <c r="I359" s="2" t="s">
        <v>2180</v>
      </c>
      <c r="J359" s="2" t="s">
        <v>2181</v>
      </c>
      <c r="K359" s="2" t="s">
        <v>1049</v>
      </c>
      <c r="L359" s="2" t="s">
        <v>866</v>
      </c>
      <c r="M359" s="2" t="s">
        <v>2182</v>
      </c>
      <c r="N359" s="2" t="s">
        <v>2183</v>
      </c>
      <c r="O359" s="2" t="s">
        <v>869</v>
      </c>
      <c r="P359" s="2" t="s">
        <v>870</v>
      </c>
    </row>
    <row r="360" ht="15.75" customHeight="1">
      <c r="H360" s="2" t="s">
        <v>2184</v>
      </c>
      <c r="I360" s="2" t="s">
        <v>2185</v>
      </c>
      <c r="J360" s="2" t="s">
        <v>2186</v>
      </c>
      <c r="K360" s="2" t="s">
        <v>1199</v>
      </c>
      <c r="L360" s="2" t="s">
        <v>866</v>
      </c>
      <c r="M360" s="2" t="s">
        <v>2187</v>
      </c>
      <c r="N360" s="2" t="s">
        <v>2188</v>
      </c>
      <c r="O360" s="2" t="s">
        <v>869</v>
      </c>
      <c r="P360" s="2" t="s">
        <v>870</v>
      </c>
    </row>
    <row r="361" ht="15.75" customHeight="1">
      <c r="H361" s="2" t="s">
        <v>2189</v>
      </c>
      <c r="I361" s="2" t="s">
        <v>2190</v>
      </c>
      <c r="J361" s="2" t="s">
        <v>2191</v>
      </c>
      <c r="K361" s="2" t="s">
        <v>1418</v>
      </c>
      <c r="L361" s="2" t="s">
        <v>866</v>
      </c>
      <c r="M361" s="2" t="s">
        <v>2192</v>
      </c>
      <c r="N361" s="2" t="s">
        <v>2193</v>
      </c>
      <c r="O361" s="2" t="s">
        <v>869</v>
      </c>
      <c r="P361" s="2" t="s">
        <v>870</v>
      </c>
    </row>
    <row r="362" ht="15.75" customHeight="1">
      <c r="H362" s="2" t="s">
        <v>2194</v>
      </c>
      <c r="I362" s="2" t="s">
        <v>2195</v>
      </c>
      <c r="J362" s="2" t="s">
        <v>2196</v>
      </c>
      <c r="K362" s="2" t="s">
        <v>1624</v>
      </c>
      <c r="L362" s="2" t="s">
        <v>2197</v>
      </c>
      <c r="M362" s="2" t="s">
        <v>2198</v>
      </c>
      <c r="N362" s="2" t="s">
        <v>2199</v>
      </c>
      <c r="O362" s="2" t="s">
        <v>869</v>
      </c>
      <c r="P362" s="2" t="s">
        <v>870</v>
      </c>
    </row>
    <row r="363" ht="15.75" customHeight="1">
      <c r="H363" s="2" t="s">
        <v>2200</v>
      </c>
      <c r="I363" s="2" t="s">
        <v>2201</v>
      </c>
      <c r="J363" s="2" t="s">
        <v>2202</v>
      </c>
      <c r="K363" s="2" t="s">
        <v>2203</v>
      </c>
      <c r="L363" s="2" t="s">
        <v>866</v>
      </c>
      <c r="M363" s="2" t="s">
        <v>2204</v>
      </c>
      <c r="N363" s="2" t="s">
        <v>2205</v>
      </c>
      <c r="O363" s="2" t="s">
        <v>869</v>
      </c>
      <c r="P363" s="2" t="s">
        <v>870</v>
      </c>
    </row>
    <row r="364" ht="15.75" customHeight="1">
      <c r="H364" s="2" t="s">
        <v>2206</v>
      </c>
      <c r="I364" s="2" t="s">
        <v>2207</v>
      </c>
      <c r="J364" s="2" t="s">
        <v>2208</v>
      </c>
      <c r="K364" s="2" t="s">
        <v>1027</v>
      </c>
      <c r="L364" s="2" t="s">
        <v>2209</v>
      </c>
      <c r="M364" s="2" t="s">
        <v>2210</v>
      </c>
      <c r="N364" s="2" t="s">
        <v>2211</v>
      </c>
      <c r="O364" s="2" t="s">
        <v>869</v>
      </c>
      <c r="P364" s="2" t="s">
        <v>870</v>
      </c>
    </row>
    <row r="365" ht="15.75" customHeight="1">
      <c r="H365" s="2" t="s">
        <v>2212</v>
      </c>
      <c r="I365" s="2" t="s">
        <v>326</v>
      </c>
      <c r="J365" s="2" t="s">
        <v>327</v>
      </c>
      <c r="K365" s="2" t="s">
        <v>1331</v>
      </c>
      <c r="L365" s="2" t="s">
        <v>866</v>
      </c>
      <c r="M365" s="2" t="s">
        <v>2213</v>
      </c>
      <c r="N365" s="2" t="s">
        <v>2214</v>
      </c>
      <c r="O365" s="2" t="s">
        <v>869</v>
      </c>
      <c r="P365" s="2" t="s">
        <v>870</v>
      </c>
    </row>
    <row r="366" ht="15.75" customHeight="1">
      <c r="H366" s="2" t="s">
        <v>2215</v>
      </c>
      <c r="I366" s="2" t="s">
        <v>2216</v>
      </c>
      <c r="J366" s="2" t="s">
        <v>2217</v>
      </c>
      <c r="K366" s="2" t="s">
        <v>1992</v>
      </c>
      <c r="L366" s="2" t="s">
        <v>866</v>
      </c>
      <c r="M366" s="2" t="s">
        <v>2218</v>
      </c>
      <c r="N366" s="2" t="s">
        <v>2219</v>
      </c>
      <c r="O366" s="2" t="s">
        <v>869</v>
      </c>
      <c r="P366" s="2" t="s">
        <v>870</v>
      </c>
    </row>
    <row r="367" ht="15.75" customHeight="1">
      <c r="H367" s="2" t="s">
        <v>2220</v>
      </c>
      <c r="I367" s="2" t="s">
        <v>2221</v>
      </c>
      <c r="J367" s="2" t="s">
        <v>2222</v>
      </c>
      <c r="K367" s="2" t="s">
        <v>2223</v>
      </c>
      <c r="L367" s="2" t="s">
        <v>2224</v>
      </c>
      <c r="M367" s="2" t="s">
        <v>2225</v>
      </c>
      <c r="N367" s="2" t="s">
        <v>2226</v>
      </c>
      <c r="O367" s="2" t="s">
        <v>869</v>
      </c>
      <c r="P367" s="2" t="s">
        <v>870</v>
      </c>
    </row>
    <row r="368" ht="15.75" customHeight="1">
      <c r="H368" s="2" t="s">
        <v>2227</v>
      </c>
      <c r="I368" s="2" t="s">
        <v>2228</v>
      </c>
      <c r="J368" s="2" t="s">
        <v>2229</v>
      </c>
      <c r="K368" s="2" t="s">
        <v>1187</v>
      </c>
      <c r="L368" s="2" t="s">
        <v>866</v>
      </c>
      <c r="M368" s="2" t="s">
        <v>2230</v>
      </c>
      <c r="N368" s="2" t="s">
        <v>2231</v>
      </c>
      <c r="O368" s="2" t="s">
        <v>869</v>
      </c>
      <c r="P368" s="2" t="s">
        <v>870</v>
      </c>
    </row>
    <row r="369" ht="15.75" customHeight="1">
      <c r="H369" s="2" t="s">
        <v>2232</v>
      </c>
      <c r="I369" s="2" t="s">
        <v>335</v>
      </c>
      <c r="J369" s="2" t="s">
        <v>336</v>
      </c>
      <c r="K369" s="2" t="s">
        <v>1637</v>
      </c>
      <c r="L369" s="2" t="s">
        <v>866</v>
      </c>
      <c r="M369" s="2" t="s">
        <v>2233</v>
      </c>
      <c r="N369" s="2" t="s">
        <v>2234</v>
      </c>
      <c r="O369" s="2" t="s">
        <v>869</v>
      </c>
      <c r="P369" s="2" t="s">
        <v>870</v>
      </c>
    </row>
    <row r="370" ht="15.75" customHeight="1">
      <c r="H370" s="2" t="s">
        <v>2235</v>
      </c>
      <c r="I370" s="2" t="s">
        <v>352</v>
      </c>
      <c r="J370" s="2" t="s">
        <v>353</v>
      </c>
      <c r="K370" s="2" t="s">
        <v>2236</v>
      </c>
      <c r="L370" s="2" t="s">
        <v>866</v>
      </c>
      <c r="M370" s="2" t="s">
        <v>2237</v>
      </c>
      <c r="N370" s="2" t="s">
        <v>2238</v>
      </c>
      <c r="O370" s="2" t="s">
        <v>869</v>
      </c>
      <c r="P370" s="2" t="s">
        <v>870</v>
      </c>
    </row>
    <row r="371" ht="15.75" customHeight="1">
      <c r="H371" s="2" t="s">
        <v>2239</v>
      </c>
      <c r="I371" s="2" t="s">
        <v>2240</v>
      </c>
      <c r="J371" s="2" t="s">
        <v>2241</v>
      </c>
      <c r="K371" s="2" t="s">
        <v>1247</v>
      </c>
      <c r="L371" s="2" t="s">
        <v>866</v>
      </c>
      <c r="M371" s="2" t="s">
        <v>2242</v>
      </c>
      <c r="N371" s="2" t="s">
        <v>2243</v>
      </c>
      <c r="O371" s="2" t="s">
        <v>869</v>
      </c>
      <c r="P371" s="2" t="s">
        <v>870</v>
      </c>
    </row>
    <row r="372" ht="15.75" customHeight="1">
      <c r="H372" s="2" t="s">
        <v>2244</v>
      </c>
      <c r="I372" s="2" t="s">
        <v>2245</v>
      </c>
      <c r="J372" s="2" t="s">
        <v>2246</v>
      </c>
      <c r="K372" s="2" t="s">
        <v>1199</v>
      </c>
      <c r="L372" s="2" t="s">
        <v>866</v>
      </c>
      <c r="M372" s="2" t="s">
        <v>2247</v>
      </c>
      <c r="N372" s="2" t="s">
        <v>2248</v>
      </c>
      <c r="O372" s="2" t="s">
        <v>869</v>
      </c>
      <c r="P372" s="2" t="s">
        <v>870</v>
      </c>
    </row>
    <row r="373" ht="15.75" customHeight="1">
      <c r="H373" s="2" t="s">
        <v>2249</v>
      </c>
      <c r="I373" s="2" t="s">
        <v>2250</v>
      </c>
      <c r="J373" s="2" t="s">
        <v>2251</v>
      </c>
      <c r="K373" s="2" t="s">
        <v>2252</v>
      </c>
      <c r="L373" s="2" t="s">
        <v>866</v>
      </c>
      <c r="M373" s="2" t="s">
        <v>2253</v>
      </c>
      <c r="N373" s="2" t="s">
        <v>2254</v>
      </c>
      <c r="O373" s="2" t="s">
        <v>869</v>
      </c>
      <c r="P373" s="2" t="s">
        <v>870</v>
      </c>
    </row>
    <row r="374" ht="15.75" customHeight="1">
      <c r="H374" s="2" t="s">
        <v>2255</v>
      </c>
      <c r="I374" s="2" t="s">
        <v>360</v>
      </c>
      <c r="J374" s="2" t="s">
        <v>361</v>
      </c>
      <c r="K374" s="2" t="s">
        <v>1264</v>
      </c>
      <c r="L374" s="2" t="s">
        <v>866</v>
      </c>
      <c r="M374" s="2" t="s">
        <v>2256</v>
      </c>
      <c r="N374" s="2" t="s">
        <v>2257</v>
      </c>
      <c r="O374" s="2" t="s">
        <v>869</v>
      </c>
      <c r="P374" s="2" t="s">
        <v>870</v>
      </c>
    </row>
    <row r="375" ht="15.75" customHeight="1">
      <c r="H375" s="2" t="s">
        <v>2258</v>
      </c>
      <c r="I375" s="2" t="s">
        <v>376</v>
      </c>
      <c r="J375" s="2" t="s">
        <v>377</v>
      </c>
      <c r="K375" s="2" t="s">
        <v>2025</v>
      </c>
      <c r="L375" s="2" t="s">
        <v>866</v>
      </c>
      <c r="M375" s="2" t="s">
        <v>2259</v>
      </c>
      <c r="N375" s="2" t="s">
        <v>2260</v>
      </c>
      <c r="O375" s="2" t="s">
        <v>869</v>
      </c>
      <c r="P375" s="2" t="s">
        <v>870</v>
      </c>
    </row>
    <row r="376" ht="15.75" customHeight="1">
      <c r="H376" s="2" t="s">
        <v>2261</v>
      </c>
      <c r="I376" s="2" t="s">
        <v>2262</v>
      </c>
      <c r="J376" s="2" t="s">
        <v>2263</v>
      </c>
      <c r="K376" s="2" t="s">
        <v>2037</v>
      </c>
      <c r="L376" s="2" t="s">
        <v>866</v>
      </c>
      <c r="M376" s="2" t="s">
        <v>2264</v>
      </c>
      <c r="N376" s="2" t="s">
        <v>2265</v>
      </c>
      <c r="O376" s="2" t="s">
        <v>869</v>
      </c>
      <c r="P376" s="2" t="s">
        <v>870</v>
      </c>
    </row>
    <row r="377" ht="15.75" customHeight="1">
      <c r="H377" s="2" t="s">
        <v>2266</v>
      </c>
      <c r="I377" s="2" t="s">
        <v>2267</v>
      </c>
      <c r="J377" s="2" t="s">
        <v>2268</v>
      </c>
      <c r="K377" s="2" t="s">
        <v>2269</v>
      </c>
      <c r="L377" s="2" t="s">
        <v>866</v>
      </c>
      <c r="M377" s="2" t="s">
        <v>2270</v>
      </c>
      <c r="N377" s="2" t="s">
        <v>2271</v>
      </c>
      <c r="O377" s="2" t="s">
        <v>869</v>
      </c>
      <c r="P377" s="2" t="s">
        <v>870</v>
      </c>
    </row>
    <row r="378" ht="15.75" customHeight="1">
      <c r="H378" s="2" t="s">
        <v>2272</v>
      </c>
      <c r="I378" s="2" t="s">
        <v>409</v>
      </c>
      <c r="J378" s="2" t="s">
        <v>410</v>
      </c>
      <c r="L378" s="2" t="s">
        <v>866</v>
      </c>
      <c r="M378" s="2" t="s">
        <v>2273</v>
      </c>
      <c r="N378" s="2" t="s">
        <v>2274</v>
      </c>
      <c r="O378" s="2" t="s">
        <v>869</v>
      </c>
      <c r="P378" s="2" t="s">
        <v>870</v>
      </c>
    </row>
    <row r="379" ht="15.75" customHeight="1">
      <c r="H379" s="2" t="s">
        <v>2275</v>
      </c>
      <c r="I379" s="2" t="s">
        <v>2276</v>
      </c>
      <c r="J379" s="2" t="s">
        <v>2277</v>
      </c>
      <c r="K379" s="2" t="s">
        <v>2278</v>
      </c>
      <c r="L379" s="2" t="s">
        <v>866</v>
      </c>
      <c r="M379" s="2" t="s">
        <v>2279</v>
      </c>
      <c r="N379" s="2" t="s">
        <v>2280</v>
      </c>
      <c r="O379" s="2" t="s">
        <v>869</v>
      </c>
      <c r="P379" s="2" t="s">
        <v>870</v>
      </c>
    </row>
    <row r="380" ht="15.75" customHeight="1">
      <c r="H380" s="2" t="s">
        <v>2281</v>
      </c>
      <c r="I380" s="2" t="s">
        <v>424</v>
      </c>
      <c r="J380" s="2" t="s">
        <v>425</v>
      </c>
      <c r="K380" s="2" t="s">
        <v>2282</v>
      </c>
      <c r="L380" s="2" t="s">
        <v>866</v>
      </c>
      <c r="M380" s="2" t="s">
        <v>2283</v>
      </c>
      <c r="N380" s="2" t="s">
        <v>2284</v>
      </c>
      <c r="O380" s="2" t="s">
        <v>869</v>
      </c>
      <c r="P380" s="2" t="s">
        <v>870</v>
      </c>
    </row>
    <row r="381" ht="15.75" customHeight="1">
      <c r="H381" s="2" t="s">
        <v>2285</v>
      </c>
      <c r="I381" s="2" t="s">
        <v>2286</v>
      </c>
      <c r="J381" s="2" t="s">
        <v>2287</v>
      </c>
      <c r="K381" s="2" t="s">
        <v>2288</v>
      </c>
      <c r="L381" s="2" t="s">
        <v>866</v>
      </c>
      <c r="M381" s="2" t="s">
        <v>2289</v>
      </c>
      <c r="N381" s="2" t="s">
        <v>2290</v>
      </c>
      <c r="O381" s="2" t="s">
        <v>869</v>
      </c>
      <c r="P381" s="2" t="s">
        <v>870</v>
      </c>
    </row>
    <row r="382" ht="15.75" customHeight="1">
      <c r="H382" s="2" t="s">
        <v>2291</v>
      </c>
      <c r="I382" s="2" t="s">
        <v>432</v>
      </c>
      <c r="J382" s="2" t="s">
        <v>433</v>
      </c>
      <c r="K382" s="2" t="s">
        <v>2236</v>
      </c>
      <c r="L382" s="2" t="s">
        <v>866</v>
      </c>
      <c r="M382" s="2" t="s">
        <v>2292</v>
      </c>
      <c r="N382" s="2" t="s">
        <v>2293</v>
      </c>
      <c r="O382" s="2" t="s">
        <v>869</v>
      </c>
      <c r="P382" s="2" t="s">
        <v>870</v>
      </c>
    </row>
    <row r="383" ht="15.75" customHeight="1">
      <c r="H383" s="2" t="s">
        <v>2294</v>
      </c>
      <c r="I383" s="2" t="s">
        <v>440</v>
      </c>
      <c r="J383" s="2" t="s">
        <v>441</v>
      </c>
      <c r="K383" s="2" t="s">
        <v>2252</v>
      </c>
      <c r="L383" s="2" t="s">
        <v>866</v>
      </c>
      <c r="M383" s="2" t="s">
        <v>2295</v>
      </c>
      <c r="N383" s="2" t="s">
        <v>2296</v>
      </c>
      <c r="O383" s="2" t="s">
        <v>869</v>
      </c>
      <c r="P383" s="2" t="s">
        <v>870</v>
      </c>
    </row>
    <row r="384" ht="15.75" customHeight="1">
      <c r="H384" s="2" t="s">
        <v>2297</v>
      </c>
      <c r="I384" s="2" t="s">
        <v>2298</v>
      </c>
      <c r="J384" s="2" t="s">
        <v>2299</v>
      </c>
      <c r="K384" s="2" t="s">
        <v>2025</v>
      </c>
      <c r="L384" s="2" t="s">
        <v>866</v>
      </c>
      <c r="M384" s="2" t="s">
        <v>2300</v>
      </c>
      <c r="N384" s="2" t="s">
        <v>2301</v>
      </c>
      <c r="O384" s="2" t="s">
        <v>869</v>
      </c>
      <c r="P384" s="2" t="s">
        <v>870</v>
      </c>
    </row>
    <row r="385" ht="15.75" customHeight="1">
      <c r="H385" s="2" t="s">
        <v>2302</v>
      </c>
      <c r="I385" s="2" t="s">
        <v>2303</v>
      </c>
      <c r="J385" s="2" t="s">
        <v>2304</v>
      </c>
      <c r="K385" s="2" t="s">
        <v>2305</v>
      </c>
      <c r="L385" s="2" t="s">
        <v>866</v>
      </c>
      <c r="M385" s="2" t="s">
        <v>2306</v>
      </c>
      <c r="N385" s="2" t="s">
        <v>2307</v>
      </c>
      <c r="O385" s="2" t="s">
        <v>869</v>
      </c>
      <c r="P385" s="2" t="s">
        <v>870</v>
      </c>
    </row>
    <row r="386" ht="15.75" customHeight="1">
      <c r="H386" s="2" t="s">
        <v>2308</v>
      </c>
      <c r="I386" s="2" t="s">
        <v>662</v>
      </c>
      <c r="J386" s="2" t="s">
        <v>663</v>
      </c>
      <c r="K386" s="2" t="s">
        <v>2309</v>
      </c>
      <c r="L386" s="2" t="s">
        <v>2310</v>
      </c>
      <c r="M386" s="2" t="s">
        <v>2311</v>
      </c>
      <c r="N386" s="2" t="s">
        <v>2312</v>
      </c>
      <c r="O386" s="2" t="s">
        <v>869</v>
      </c>
      <c r="P386" s="2" t="s">
        <v>870</v>
      </c>
    </row>
    <row r="387" ht="15.75" customHeight="1">
      <c r="H387" s="2" t="s">
        <v>2313</v>
      </c>
      <c r="I387" s="2" t="s">
        <v>2314</v>
      </c>
      <c r="J387" s="2" t="s">
        <v>2315</v>
      </c>
      <c r="K387" s="2" t="s">
        <v>2316</v>
      </c>
      <c r="L387" s="2" t="s">
        <v>866</v>
      </c>
      <c r="M387" s="2" t="s">
        <v>2317</v>
      </c>
      <c r="N387" s="2" t="s">
        <v>2318</v>
      </c>
      <c r="O387" s="2" t="s">
        <v>869</v>
      </c>
      <c r="P387" s="2" t="s">
        <v>870</v>
      </c>
    </row>
    <row r="388" ht="15.75" customHeight="1">
      <c r="H388" s="2" t="s">
        <v>2319</v>
      </c>
      <c r="I388" s="2" t="s">
        <v>2320</v>
      </c>
      <c r="J388" s="2" t="s">
        <v>2321</v>
      </c>
      <c r="K388" s="2" t="s">
        <v>2322</v>
      </c>
      <c r="L388" s="2" t="s">
        <v>866</v>
      </c>
      <c r="M388" s="2" t="s">
        <v>2323</v>
      </c>
      <c r="N388" s="2" t="s">
        <v>2324</v>
      </c>
      <c r="O388" s="2" t="s">
        <v>869</v>
      </c>
      <c r="P388" s="2" t="s">
        <v>870</v>
      </c>
    </row>
    <row r="389" ht="15.75" customHeight="1">
      <c r="H389" s="2" t="s">
        <v>2325</v>
      </c>
      <c r="I389" s="2" t="s">
        <v>2326</v>
      </c>
      <c r="J389" s="2" t="s">
        <v>2327</v>
      </c>
      <c r="K389" s="2" t="s">
        <v>1257</v>
      </c>
      <c r="L389" s="2" t="s">
        <v>866</v>
      </c>
      <c r="M389" s="2" t="s">
        <v>2328</v>
      </c>
      <c r="N389" s="2" t="s">
        <v>2329</v>
      </c>
      <c r="O389" s="2" t="s">
        <v>869</v>
      </c>
      <c r="P389" s="2" t="s">
        <v>870</v>
      </c>
    </row>
    <row r="390" ht="15.75" customHeight="1">
      <c r="H390" s="2" t="s">
        <v>2330</v>
      </c>
      <c r="I390" s="2" t="s">
        <v>2331</v>
      </c>
      <c r="J390" s="2" t="s">
        <v>2332</v>
      </c>
      <c r="L390" s="2" t="s">
        <v>866</v>
      </c>
      <c r="M390" s="2" t="s">
        <v>2333</v>
      </c>
      <c r="N390" s="2" t="s">
        <v>2334</v>
      </c>
      <c r="O390" s="2" t="s">
        <v>869</v>
      </c>
      <c r="P390" s="2" t="s">
        <v>870</v>
      </c>
    </row>
    <row r="391" ht="15.75" customHeight="1">
      <c r="H391" s="2" t="s">
        <v>2335</v>
      </c>
      <c r="I391" s="2" t="s">
        <v>2336</v>
      </c>
      <c r="J391" s="2" t="s">
        <v>2337</v>
      </c>
      <c r="K391" s="2" t="s">
        <v>1731</v>
      </c>
      <c r="L391" s="2" t="s">
        <v>866</v>
      </c>
      <c r="M391" s="2" t="s">
        <v>2338</v>
      </c>
      <c r="N391" s="2" t="s">
        <v>2339</v>
      </c>
      <c r="O391" s="2" t="s">
        <v>869</v>
      </c>
      <c r="P391" s="2" t="s">
        <v>870</v>
      </c>
    </row>
    <row r="392" ht="15.75" customHeight="1">
      <c r="H392" s="2" t="s">
        <v>2340</v>
      </c>
      <c r="I392" s="2" t="s">
        <v>2341</v>
      </c>
      <c r="J392" s="2" t="s">
        <v>2342</v>
      </c>
      <c r="K392" s="2" t="s">
        <v>2343</v>
      </c>
      <c r="L392" s="2" t="s">
        <v>2344</v>
      </c>
      <c r="M392" s="2" t="s">
        <v>2345</v>
      </c>
      <c r="N392" s="2" t="s">
        <v>2346</v>
      </c>
      <c r="O392" s="2" t="s">
        <v>869</v>
      </c>
      <c r="P392" s="2" t="s">
        <v>870</v>
      </c>
    </row>
    <row r="393" ht="15.75" customHeight="1">
      <c r="H393" s="2" t="s">
        <v>2347</v>
      </c>
      <c r="I393" s="2" t="s">
        <v>476</v>
      </c>
      <c r="J393" s="2" t="s">
        <v>477</v>
      </c>
      <c r="K393" s="2" t="s">
        <v>2348</v>
      </c>
      <c r="L393" s="2" t="s">
        <v>866</v>
      </c>
      <c r="M393" s="2" t="s">
        <v>2349</v>
      </c>
      <c r="N393" s="2" t="s">
        <v>2350</v>
      </c>
      <c r="O393" s="2" t="s">
        <v>869</v>
      </c>
      <c r="P393" s="2" t="s">
        <v>870</v>
      </c>
    </row>
    <row r="394" ht="15.75" customHeight="1">
      <c r="H394" s="2" t="s">
        <v>2351</v>
      </c>
      <c r="I394" s="2" t="s">
        <v>2352</v>
      </c>
      <c r="J394" s="2" t="s">
        <v>2353</v>
      </c>
      <c r="K394" s="2" t="s">
        <v>2049</v>
      </c>
      <c r="L394" s="2" t="s">
        <v>866</v>
      </c>
      <c r="M394" s="2" t="s">
        <v>2354</v>
      </c>
      <c r="N394" s="2" t="s">
        <v>2355</v>
      </c>
      <c r="O394" s="2" t="s">
        <v>869</v>
      </c>
      <c r="P394" s="2" t="s">
        <v>870</v>
      </c>
    </row>
    <row r="395" ht="15.75" customHeight="1">
      <c r="H395" s="2" t="s">
        <v>2356</v>
      </c>
      <c r="I395" s="2" t="s">
        <v>2357</v>
      </c>
      <c r="J395" s="2" t="s">
        <v>2358</v>
      </c>
      <c r="K395" s="2" t="s">
        <v>2359</v>
      </c>
      <c r="L395" s="2" t="s">
        <v>866</v>
      </c>
      <c r="M395" s="2" t="s">
        <v>2360</v>
      </c>
      <c r="N395" s="2" t="s">
        <v>2361</v>
      </c>
      <c r="O395" s="2" t="s">
        <v>869</v>
      </c>
      <c r="P395" s="2" t="s">
        <v>870</v>
      </c>
    </row>
    <row r="396" ht="15.75" customHeight="1">
      <c r="H396" s="2" t="s">
        <v>2362</v>
      </c>
      <c r="I396" s="2" t="s">
        <v>2363</v>
      </c>
      <c r="J396" s="2" t="s">
        <v>2364</v>
      </c>
      <c r="K396" s="2" t="s">
        <v>2365</v>
      </c>
      <c r="L396" s="2" t="s">
        <v>866</v>
      </c>
      <c r="M396" s="2" t="s">
        <v>2366</v>
      </c>
      <c r="N396" s="2" t="s">
        <v>2367</v>
      </c>
      <c r="O396" s="2" t="s">
        <v>869</v>
      </c>
      <c r="P396" s="2" t="s">
        <v>870</v>
      </c>
    </row>
    <row r="397" ht="15.75" customHeight="1">
      <c r="H397" s="2" t="s">
        <v>2368</v>
      </c>
      <c r="I397" s="2" t="s">
        <v>2369</v>
      </c>
      <c r="J397" s="2" t="s">
        <v>2370</v>
      </c>
      <c r="K397" s="2" t="s">
        <v>2371</v>
      </c>
      <c r="L397" s="2" t="s">
        <v>866</v>
      </c>
      <c r="M397" s="2" t="s">
        <v>2372</v>
      </c>
      <c r="N397" s="2" t="s">
        <v>2373</v>
      </c>
      <c r="O397" s="2" t="s">
        <v>869</v>
      </c>
      <c r="P397" s="2" t="s">
        <v>870</v>
      </c>
    </row>
    <row r="398" ht="15.75" customHeight="1">
      <c r="H398" s="2" t="s">
        <v>2374</v>
      </c>
      <c r="I398" s="2" t="s">
        <v>485</v>
      </c>
      <c r="J398" s="2" t="s">
        <v>486</v>
      </c>
      <c r="K398" s="2" t="s">
        <v>2375</v>
      </c>
      <c r="L398" s="2" t="s">
        <v>2376</v>
      </c>
      <c r="M398" s="2" t="s">
        <v>2377</v>
      </c>
      <c r="N398" s="2" t="s">
        <v>2378</v>
      </c>
      <c r="O398" s="2" t="s">
        <v>869</v>
      </c>
      <c r="P398" s="2" t="s">
        <v>870</v>
      </c>
    </row>
    <row r="399" ht="15.75" customHeight="1">
      <c r="H399" s="2" t="s">
        <v>2379</v>
      </c>
      <c r="I399" s="2" t="s">
        <v>2380</v>
      </c>
      <c r="J399" s="2" t="s">
        <v>2381</v>
      </c>
      <c r="K399" s="2" t="s">
        <v>2382</v>
      </c>
      <c r="L399" s="2" t="s">
        <v>2383</v>
      </c>
      <c r="M399" s="2" t="s">
        <v>2384</v>
      </c>
      <c r="N399" s="2" t="s">
        <v>2385</v>
      </c>
      <c r="O399" s="2" t="s">
        <v>869</v>
      </c>
      <c r="P399" s="2" t="s">
        <v>870</v>
      </c>
    </row>
    <row r="400" ht="15.75" customHeight="1">
      <c r="H400" s="2" t="s">
        <v>2386</v>
      </c>
      <c r="I400" s="2" t="s">
        <v>2387</v>
      </c>
      <c r="J400" s="2" t="s">
        <v>2388</v>
      </c>
      <c r="K400" s="2" t="s">
        <v>2389</v>
      </c>
      <c r="L400" s="2" t="s">
        <v>866</v>
      </c>
      <c r="M400" s="2" t="s">
        <v>2390</v>
      </c>
      <c r="N400" s="2" t="s">
        <v>2391</v>
      </c>
      <c r="O400" s="2" t="s">
        <v>869</v>
      </c>
      <c r="P400" s="2" t="s">
        <v>870</v>
      </c>
    </row>
    <row r="401" ht="15.75" customHeight="1">
      <c r="H401" s="2" t="s">
        <v>2392</v>
      </c>
      <c r="I401" s="2" t="s">
        <v>2393</v>
      </c>
      <c r="J401" s="2" t="s">
        <v>2394</v>
      </c>
      <c r="K401" s="2" t="s">
        <v>2395</v>
      </c>
      <c r="L401" s="2" t="s">
        <v>866</v>
      </c>
      <c r="M401" s="2" t="s">
        <v>2396</v>
      </c>
      <c r="N401" s="2" t="s">
        <v>2397</v>
      </c>
      <c r="O401" s="2" t="s">
        <v>869</v>
      </c>
      <c r="P401" s="2" t="s">
        <v>870</v>
      </c>
    </row>
    <row r="402" ht="15.75" customHeight="1">
      <c r="H402" s="2" t="s">
        <v>2398</v>
      </c>
      <c r="I402" s="2" t="s">
        <v>2399</v>
      </c>
      <c r="J402" s="2" t="s">
        <v>2400</v>
      </c>
      <c r="K402" s="2" t="s">
        <v>2401</v>
      </c>
      <c r="L402" s="2" t="s">
        <v>2402</v>
      </c>
      <c r="M402" s="2" t="s">
        <v>2403</v>
      </c>
      <c r="N402" s="2" t="s">
        <v>2404</v>
      </c>
      <c r="O402" s="2" t="s">
        <v>869</v>
      </c>
      <c r="P402" s="2" t="s">
        <v>870</v>
      </c>
    </row>
    <row r="403" ht="15.75" customHeight="1">
      <c r="H403" s="2" t="s">
        <v>2405</v>
      </c>
      <c r="I403" s="2" t="s">
        <v>2406</v>
      </c>
      <c r="J403" s="2" t="s">
        <v>2407</v>
      </c>
      <c r="K403" s="2" t="s">
        <v>2408</v>
      </c>
      <c r="L403" s="2" t="s">
        <v>866</v>
      </c>
      <c r="M403" s="2" t="s">
        <v>2409</v>
      </c>
      <c r="N403" s="2" t="s">
        <v>2410</v>
      </c>
      <c r="O403" s="2" t="s">
        <v>869</v>
      </c>
      <c r="P403" s="2" t="s">
        <v>870</v>
      </c>
    </row>
    <row r="404" ht="15.75" customHeight="1">
      <c r="H404" s="2" t="s">
        <v>2411</v>
      </c>
      <c r="I404" s="2" t="s">
        <v>2412</v>
      </c>
      <c r="J404" s="2" t="s">
        <v>2413</v>
      </c>
      <c r="K404" s="2" t="s">
        <v>2282</v>
      </c>
      <c r="L404" s="2" t="s">
        <v>866</v>
      </c>
      <c r="M404" s="2" t="s">
        <v>2414</v>
      </c>
      <c r="N404" s="2" t="s">
        <v>2415</v>
      </c>
      <c r="O404" s="2" t="s">
        <v>869</v>
      </c>
      <c r="P404" s="2" t="s">
        <v>870</v>
      </c>
    </row>
    <row r="405" ht="15.75" customHeight="1">
      <c r="H405" s="2" t="s">
        <v>2416</v>
      </c>
      <c r="I405" s="2" t="s">
        <v>1501</v>
      </c>
      <c r="J405" s="2" t="s">
        <v>1502</v>
      </c>
      <c r="K405" s="2" t="s">
        <v>1768</v>
      </c>
      <c r="L405" s="2" t="s">
        <v>2417</v>
      </c>
      <c r="M405" s="2" t="s">
        <v>2418</v>
      </c>
      <c r="N405" s="2" t="s">
        <v>2419</v>
      </c>
      <c r="O405" s="2" t="s">
        <v>869</v>
      </c>
      <c r="P405" s="2" t="s">
        <v>870</v>
      </c>
    </row>
    <row r="406" ht="15.75" customHeight="1">
      <c r="H406" s="2" t="s">
        <v>2420</v>
      </c>
      <c r="I406" s="2" t="s">
        <v>2421</v>
      </c>
      <c r="J406" s="2" t="s">
        <v>2422</v>
      </c>
      <c r="K406" s="2" t="s">
        <v>1698</v>
      </c>
      <c r="L406" s="2" t="s">
        <v>866</v>
      </c>
      <c r="M406" s="2" t="s">
        <v>2423</v>
      </c>
      <c r="N406" s="2" t="s">
        <v>2424</v>
      </c>
      <c r="O406" s="2" t="s">
        <v>869</v>
      </c>
      <c r="P406" s="2" t="s">
        <v>870</v>
      </c>
    </row>
    <row r="407" ht="15.75" customHeight="1">
      <c r="H407" s="2" t="s">
        <v>2425</v>
      </c>
      <c r="I407" s="2" t="s">
        <v>510</v>
      </c>
      <c r="J407" s="2" t="s">
        <v>511</v>
      </c>
      <c r="K407" s="2" t="s">
        <v>2068</v>
      </c>
      <c r="L407" s="2" t="s">
        <v>866</v>
      </c>
      <c r="M407" s="2" t="s">
        <v>2426</v>
      </c>
      <c r="N407" s="2" t="s">
        <v>2427</v>
      </c>
      <c r="O407" s="2" t="s">
        <v>869</v>
      </c>
      <c r="P407" s="2" t="s">
        <v>870</v>
      </c>
    </row>
    <row r="408" ht="15.75" customHeight="1">
      <c r="H408" s="2" t="s">
        <v>2428</v>
      </c>
      <c r="I408" s="2" t="s">
        <v>2429</v>
      </c>
      <c r="J408" s="2" t="s">
        <v>2430</v>
      </c>
      <c r="K408" s="2" t="s">
        <v>2431</v>
      </c>
      <c r="L408" s="2" t="s">
        <v>866</v>
      </c>
      <c r="M408" s="2" t="s">
        <v>2432</v>
      </c>
      <c r="N408" s="2" t="s">
        <v>2433</v>
      </c>
      <c r="O408" s="2" t="s">
        <v>869</v>
      </c>
      <c r="P408" s="2" t="s">
        <v>870</v>
      </c>
    </row>
    <row r="409" ht="15.75" customHeight="1">
      <c r="H409" s="2" t="s">
        <v>2434</v>
      </c>
      <c r="I409" s="2" t="s">
        <v>2435</v>
      </c>
      <c r="J409" s="2" t="s">
        <v>2436</v>
      </c>
      <c r="K409" s="2" t="s">
        <v>2437</v>
      </c>
      <c r="L409" s="2" t="s">
        <v>866</v>
      </c>
      <c r="M409" s="2" t="s">
        <v>2438</v>
      </c>
      <c r="N409" s="2" t="s">
        <v>2439</v>
      </c>
      <c r="O409" s="2" t="s">
        <v>869</v>
      </c>
      <c r="P409" s="2" t="s">
        <v>870</v>
      </c>
    </row>
    <row r="410" ht="15.75" customHeight="1">
      <c r="H410" s="2" t="s">
        <v>2440</v>
      </c>
      <c r="I410" s="2" t="s">
        <v>2441</v>
      </c>
      <c r="J410" s="2" t="s">
        <v>2442</v>
      </c>
      <c r="K410" s="2" t="s">
        <v>1708</v>
      </c>
      <c r="L410" s="2" t="s">
        <v>866</v>
      </c>
      <c r="M410" s="2" t="s">
        <v>2443</v>
      </c>
      <c r="N410" s="2" t="s">
        <v>2444</v>
      </c>
      <c r="O410" s="2" t="s">
        <v>869</v>
      </c>
      <c r="P410" s="2" t="s">
        <v>870</v>
      </c>
    </row>
    <row r="411" ht="15.75" customHeight="1">
      <c r="H411" s="2" t="s">
        <v>2445</v>
      </c>
      <c r="I411" s="2" t="s">
        <v>2446</v>
      </c>
      <c r="J411" s="2" t="s">
        <v>2447</v>
      </c>
      <c r="K411" s="2" t="s">
        <v>2448</v>
      </c>
      <c r="L411" s="2" t="s">
        <v>866</v>
      </c>
      <c r="M411" s="2" t="s">
        <v>2449</v>
      </c>
      <c r="N411" s="2" t="s">
        <v>2450</v>
      </c>
      <c r="O411" s="2" t="s">
        <v>869</v>
      </c>
      <c r="P411" s="2" t="s">
        <v>870</v>
      </c>
    </row>
    <row r="412" ht="15.75" customHeight="1">
      <c r="H412" s="2" t="s">
        <v>2451</v>
      </c>
      <c r="I412" s="2" t="s">
        <v>518</v>
      </c>
      <c r="J412" s="2" t="s">
        <v>519</v>
      </c>
      <c r="K412" s="2" t="s">
        <v>2452</v>
      </c>
      <c r="L412" s="2" t="s">
        <v>866</v>
      </c>
      <c r="M412" s="2" t="s">
        <v>2453</v>
      </c>
      <c r="N412" s="2" t="s">
        <v>2454</v>
      </c>
      <c r="O412" s="2" t="s">
        <v>869</v>
      </c>
      <c r="P412" s="2" t="s">
        <v>870</v>
      </c>
    </row>
    <row r="413" ht="15.75" customHeight="1">
      <c r="H413" s="2" t="s">
        <v>2455</v>
      </c>
      <c r="I413" s="2" t="s">
        <v>2456</v>
      </c>
      <c r="J413" s="2" t="s">
        <v>2457</v>
      </c>
      <c r="K413" s="2" t="s">
        <v>1712</v>
      </c>
      <c r="L413" s="2" t="s">
        <v>866</v>
      </c>
      <c r="M413" s="2" t="s">
        <v>2458</v>
      </c>
      <c r="N413" s="2" t="s">
        <v>2459</v>
      </c>
      <c r="O413" s="2" t="s">
        <v>869</v>
      </c>
      <c r="P413" s="2" t="s">
        <v>870</v>
      </c>
    </row>
    <row r="414" ht="15.75" customHeight="1">
      <c r="H414" s="2" t="s">
        <v>2460</v>
      </c>
      <c r="I414" s="2" t="s">
        <v>2461</v>
      </c>
      <c r="J414" s="2" t="s">
        <v>2462</v>
      </c>
      <c r="K414" s="2" t="s">
        <v>1467</v>
      </c>
      <c r="L414" s="2" t="s">
        <v>866</v>
      </c>
      <c r="M414" s="2" t="s">
        <v>2463</v>
      </c>
      <c r="N414" s="2" t="s">
        <v>2464</v>
      </c>
      <c r="O414" s="2" t="s">
        <v>869</v>
      </c>
      <c r="P414" s="2" t="s">
        <v>870</v>
      </c>
    </row>
    <row r="415" ht="15.75" customHeight="1">
      <c r="H415" s="2" t="s">
        <v>2465</v>
      </c>
      <c r="I415" s="2" t="s">
        <v>2466</v>
      </c>
      <c r="J415" s="2" t="s">
        <v>2467</v>
      </c>
      <c r="K415" s="2" t="s">
        <v>2068</v>
      </c>
      <c r="L415" s="2" t="s">
        <v>866</v>
      </c>
      <c r="M415" s="2" t="s">
        <v>2468</v>
      </c>
      <c r="N415" s="2" t="s">
        <v>2469</v>
      </c>
      <c r="O415" s="2" t="s">
        <v>869</v>
      </c>
      <c r="P415" s="2" t="s">
        <v>870</v>
      </c>
    </row>
    <row r="416" ht="15.75" customHeight="1">
      <c r="H416" s="2" t="s">
        <v>2470</v>
      </c>
      <c r="I416" s="2" t="s">
        <v>2471</v>
      </c>
      <c r="J416" s="2" t="s">
        <v>2472</v>
      </c>
      <c r="K416" s="2" t="s">
        <v>2473</v>
      </c>
      <c r="L416" s="2" t="s">
        <v>866</v>
      </c>
      <c r="M416" s="2" t="s">
        <v>2474</v>
      </c>
      <c r="N416" s="2" t="s">
        <v>2475</v>
      </c>
      <c r="O416" s="2" t="s">
        <v>869</v>
      </c>
      <c r="P416" s="2" t="s">
        <v>870</v>
      </c>
    </row>
    <row r="417" ht="15.75" customHeight="1">
      <c r="H417" s="2" t="s">
        <v>2476</v>
      </c>
      <c r="I417" s="2" t="s">
        <v>2477</v>
      </c>
      <c r="J417" s="2" t="s">
        <v>2478</v>
      </c>
      <c r="K417" s="2" t="s">
        <v>2479</v>
      </c>
      <c r="L417" s="2" t="s">
        <v>866</v>
      </c>
      <c r="M417" s="2" t="s">
        <v>2480</v>
      </c>
      <c r="N417" s="2" t="s">
        <v>2481</v>
      </c>
      <c r="O417" s="2" t="s">
        <v>869</v>
      </c>
      <c r="P417" s="2" t="s">
        <v>870</v>
      </c>
    </row>
    <row r="418" ht="15.75" customHeight="1">
      <c r="H418" s="2" t="s">
        <v>2482</v>
      </c>
      <c r="I418" s="2" t="s">
        <v>2483</v>
      </c>
      <c r="J418" s="2" t="s">
        <v>2484</v>
      </c>
      <c r="K418" s="2" t="s">
        <v>2485</v>
      </c>
      <c r="L418" s="2" t="s">
        <v>866</v>
      </c>
      <c r="M418" s="2" t="s">
        <v>2486</v>
      </c>
      <c r="N418" s="2" t="s">
        <v>2487</v>
      </c>
      <c r="O418" s="2" t="s">
        <v>869</v>
      </c>
      <c r="P418" s="2" t="s">
        <v>870</v>
      </c>
    </row>
    <row r="419" ht="15.75" customHeight="1">
      <c r="H419" s="2" t="s">
        <v>2488</v>
      </c>
      <c r="I419" s="2" t="s">
        <v>2489</v>
      </c>
      <c r="J419" s="2" t="s">
        <v>2490</v>
      </c>
      <c r="K419" s="2" t="s">
        <v>1731</v>
      </c>
      <c r="L419" s="2" t="s">
        <v>866</v>
      </c>
      <c r="M419" s="2" t="s">
        <v>2491</v>
      </c>
      <c r="N419" s="2" t="s">
        <v>2492</v>
      </c>
      <c r="O419" s="2" t="s">
        <v>869</v>
      </c>
      <c r="P419" s="2" t="s">
        <v>870</v>
      </c>
    </row>
    <row r="420" ht="15.75" customHeight="1">
      <c r="H420" s="2" t="s">
        <v>2493</v>
      </c>
      <c r="I420" s="2" t="s">
        <v>1095</v>
      </c>
      <c r="J420" s="2" t="s">
        <v>1096</v>
      </c>
      <c r="K420" s="2" t="s">
        <v>1828</v>
      </c>
      <c r="L420" s="2" t="s">
        <v>2494</v>
      </c>
      <c r="M420" s="2" t="s">
        <v>2495</v>
      </c>
      <c r="N420" s="2" t="s">
        <v>2496</v>
      </c>
      <c r="O420" s="2" t="s">
        <v>869</v>
      </c>
      <c r="P420" s="2" t="s">
        <v>870</v>
      </c>
    </row>
    <row r="421" ht="15.75" customHeight="1">
      <c r="H421" s="2" t="s">
        <v>2497</v>
      </c>
      <c r="I421" s="2" t="s">
        <v>2498</v>
      </c>
      <c r="J421" s="2" t="s">
        <v>2499</v>
      </c>
      <c r="K421" s="2" t="s">
        <v>2343</v>
      </c>
      <c r="L421" s="2" t="s">
        <v>2500</v>
      </c>
      <c r="M421" s="2" t="s">
        <v>2501</v>
      </c>
      <c r="N421" s="2" t="s">
        <v>2502</v>
      </c>
      <c r="O421" s="2" t="s">
        <v>869</v>
      </c>
      <c r="P421" s="2" t="s">
        <v>870</v>
      </c>
    </row>
    <row r="422" ht="15.75" customHeight="1">
      <c r="H422" s="2" t="s">
        <v>2503</v>
      </c>
      <c r="I422" s="2" t="s">
        <v>2504</v>
      </c>
      <c r="J422" s="2" t="s">
        <v>2505</v>
      </c>
      <c r="K422" s="2" t="s">
        <v>1816</v>
      </c>
      <c r="L422" s="2" t="s">
        <v>866</v>
      </c>
      <c r="M422" s="2" t="s">
        <v>2506</v>
      </c>
      <c r="N422" s="2" t="s">
        <v>2507</v>
      </c>
      <c r="O422" s="2" t="s">
        <v>869</v>
      </c>
      <c r="P422" s="2" t="s">
        <v>870</v>
      </c>
    </row>
    <row r="423" ht="15.75" customHeight="1">
      <c r="F423" s="2" t="s">
        <v>2508</v>
      </c>
      <c r="H423" s="2" t="s">
        <v>2509</v>
      </c>
      <c r="I423" s="2" t="s">
        <v>2510</v>
      </c>
      <c r="J423" s="2" t="s">
        <v>2510</v>
      </c>
      <c r="K423" s="2" t="s">
        <v>1692</v>
      </c>
    </row>
    <row r="424" ht="15.75" customHeight="1">
      <c r="F424" s="2" t="s">
        <v>534</v>
      </c>
      <c r="H424" s="2" t="s">
        <v>2511</v>
      </c>
      <c r="I424" s="2" t="s">
        <v>2512</v>
      </c>
      <c r="J424" s="2" t="s">
        <v>2513</v>
      </c>
      <c r="K424" s="2" t="s">
        <v>2514</v>
      </c>
    </row>
    <row r="425" ht="15.75" customHeight="1">
      <c r="H425" s="2" t="s">
        <v>2515</v>
      </c>
      <c r="I425" s="2" t="s">
        <v>2516</v>
      </c>
      <c r="J425" s="2" t="s">
        <v>2517</v>
      </c>
      <c r="K425" s="2" t="s">
        <v>1737</v>
      </c>
    </row>
    <row r="426" ht="15.75" customHeight="1">
      <c r="H426" s="2" t="s">
        <v>2518</v>
      </c>
      <c r="I426" s="2" t="s">
        <v>536</v>
      </c>
      <c r="J426" s="2" t="s">
        <v>537</v>
      </c>
      <c r="K426" s="2" t="s">
        <v>538</v>
      </c>
    </row>
    <row r="427" ht="15.75" customHeight="1">
      <c r="F427" s="2" t="s">
        <v>539</v>
      </c>
      <c r="H427" s="2" t="s">
        <v>2519</v>
      </c>
      <c r="I427" s="2" t="s">
        <v>940</v>
      </c>
      <c r="J427" s="2" t="s">
        <v>941</v>
      </c>
      <c r="K427" s="2" t="s">
        <v>861</v>
      </c>
      <c r="L427" s="2" t="s">
        <v>866</v>
      </c>
      <c r="M427" s="2" t="s">
        <v>2520</v>
      </c>
      <c r="N427" s="2" t="s">
        <v>2521</v>
      </c>
      <c r="O427" s="2" t="s">
        <v>869</v>
      </c>
      <c r="P427" s="2" t="s">
        <v>870</v>
      </c>
    </row>
    <row r="428" ht="15.75" customHeight="1">
      <c r="H428" s="2" t="s">
        <v>2522</v>
      </c>
      <c r="I428" s="2" t="s">
        <v>2523</v>
      </c>
      <c r="J428" s="2" t="s">
        <v>2524</v>
      </c>
      <c r="K428" s="2" t="s">
        <v>865</v>
      </c>
      <c r="L428" s="2" t="s">
        <v>866</v>
      </c>
      <c r="M428" s="2" t="s">
        <v>2525</v>
      </c>
      <c r="N428" s="2" t="s">
        <v>2526</v>
      </c>
      <c r="O428" s="2" t="s">
        <v>869</v>
      </c>
      <c r="P428" s="2" t="s">
        <v>870</v>
      </c>
    </row>
    <row r="429" ht="15.75" customHeight="1">
      <c r="H429" s="2" t="s">
        <v>2527</v>
      </c>
      <c r="I429" s="2" t="s">
        <v>2528</v>
      </c>
      <c r="J429" s="2" t="s">
        <v>2529</v>
      </c>
      <c r="K429" s="2" t="s">
        <v>1467</v>
      </c>
      <c r="L429" s="2" t="s">
        <v>866</v>
      </c>
      <c r="M429" s="2" t="s">
        <v>2530</v>
      </c>
      <c r="N429" s="2" t="s">
        <v>2531</v>
      </c>
      <c r="O429" s="2" t="s">
        <v>869</v>
      </c>
      <c r="P429" s="2" t="s">
        <v>870</v>
      </c>
    </row>
    <row r="430" ht="15.75" customHeight="1">
      <c r="H430" s="2" t="s">
        <v>2532</v>
      </c>
      <c r="I430" s="2" t="s">
        <v>2533</v>
      </c>
      <c r="J430" s="2" t="s">
        <v>2534</v>
      </c>
      <c r="K430" s="2" t="s">
        <v>283</v>
      </c>
      <c r="L430" s="2" t="s">
        <v>2535</v>
      </c>
      <c r="M430" s="2" t="s">
        <v>2536</v>
      </c>
      <c r="N430" s="2" t="s">
        <v>2537</v>
      </c>
      <c r="O430" s="2" t="s">
        <v>869</v>
      </c>
      <c r="P430" s="2" t="s">
        <v>870</v>
      </c>
    </row>
    <row r="431" ht="15.75" customHeight="1">
      <c r="H431" s="2" t="s">
        <v>2538</v>
      </c>
      <c r="I431" s="2" t="s">
        <v>2539</v>
      </c>
      <c r="J431" s="2" t="s">
        <v>2540</v>
      </c>
      <c r="K431" s="2" t="s">
        <v>1313</v>
      </c>
      <c r="L431" s="2" t="s">
        <v>866</v>
      </c>
      <c r="M431" s="2" t="s">
        <v>2541</v>
      </c>
      <c r="N431" s="2" t="s">
        <v>2542</v>
      </c>
      <c r="O431" s="2" t="s">
        <v>869</v>
      </c>
      <c r="P431" s="2" t="s">
        <v>870</v>
      </c>
    </row>
    <row r="432" ht="15.75" customHeight="1">
      <c r="H432" s="2" t="s">
        <v>2543</v>
      </c>
      <c r="I432" s="2" t="s">
        <v>2544</v>
      </c>
      <c r="J432" s="2" t="s">
        <v>2545</v>
      </c>
      <c r="K432" s="2" t="s">
        <v>1319</v>
      </c>
      <c r="L432" s="2" t="s">
        <v>866</v>
      </c>
      <c r="M432" s="2" t="s">
        <v>2546</v>
      </c>
      <c r="N432" s="2" t="s">
        <v>2547</v>
      </c>
      <c r="O432" s="2" t="s">
        <v>869</v>
      </c>
      <c r="P432" s="2" t="s">
        <v>870</v>
      </c>
    </row>
    <row r="433" ht="15.75" customHeight="1">
      <c r="H433" s="2" t="s">
        <v>2548</v>
      </c>
      <c r="I433" s="2" t="s">
        <v>2549</v>
      </c>
      <c r="J433" s="2" t="s">
        <v>2550</v>
      </c>
      <c r="K433" s="2" t="s">
        <v>2551</v>
      </c>
      <c r="L433" s="2" t="s">
        <v>2552</v>
      </c>
      <c r="M433" s="2" t="s">
        <v>2553</v>
      </c>
      <c r="N433" s="2" t="s">
        <v>2554</v>
      </c>
      <c r="O433" s="2" t="s">
        <v>869</v>
      </c>
      <c r="P433" s="2" t="s">
        <v>870</v>
      </c>
    </row>
    <row r="434" ht="15.75" customHeight="1">
      <c r="H434" s="2" t="s">
        <v>2555</v>
      </c>
      <c r="I434" s="2" t="s">
        <v>2556</v>
      </c>
      <c r="J434" s="2" t="s">
        <v>2557</v>
      </c>
      <c r="K434" s="2" t="s">
        <v>1325</v>
      </c>
      <c r="L434" s="2" t="s">
        <v>866</v>
      </c>
      <c r="M434" s="2" t="s">
        <v>2558</v>
      </c>
      <c r="N434" s="2" t="s">
        <v>2559</v>
      </c>
      <c r="O434" s="2" t="s">
        <v>869</v>
      </c>
      <c r="P434" s="2" t="s">
        <v>870</v>
      </c>
    </row>
    <row r="435" ht="15.75" customHeight="1">
      <c r="H435" s="2" t="s">
        <v>2560</v>
      </c>
      <c r="I435" s="2" t="s">
        <v>2331</v>
      </c>
      <c r="J435" s="2" t="s">
        <v>2332</v>
      </c>
      <c r="K435" s="2" t="s">
        <v>2223</v>
      </c>
      <c r="L435" s="2" t="s">
        <v>866</v>
      </c>
      <c r="M435" s="2" t="s">
        <v>2561</v>
      </c>
      <c r="N435" s="2" t="s">
        <v>2562</v>
      </c>
      <c r="O435" s="2" t="s">
        <v>869</v>
      </c>
      <c r="P435" s="2" t="s">
        <v>870</v>
      </c>
    </row>
    <row r="436" ht="15.75" customHeight="1">
      <c r="H436" s="2" t="s">
        <v>2563</v>
      </c>
      <c r="I436" s="2" t="s">
        <v>2564</v>
      </c>
      <c r="J436" s="2" t="s">
        <v>2565</v>
      </c>
      <c r="K436" s="2" t="s">
        <v>1038</v>
      </c>
      <c r="L436" s="2" t="s">
        <v>866</v>
      </c>
      <c r="M436" s="2" t="s">
        <v>2566</v>
      </c>
      <c r="N436" s="2" t="s">
        <v>869</v>
      </c>
      <c r="O436" s="2" t="s">
        <v>870</v>
      </c>
    </row>
    <row r="437" ht="15.75" customHeight="1">
      <c r="H437" s="2" t="s">
        <v>2567</v>
      </c>
      <c r="I437" s="2" t="s">
        <v>2568</v>
      </c>
      <c r="J437" s="2" t="s">
        <v>2569</v>
      </c>
      <c r="K437" s="2" t="s">
        <v>2171</v>
      </c>
      <c r="L437" s="2" t="s">
        <v>866</v>
      </c>
      <c r="M437" s="2" t="s">
        <v>2570</v>
      </c>
      <c r="N437" s="2" t="s">
        <v>2571</v>
      </c>
      <c r="O437" s="2" t="s">
        <v>869</v>
      </c>
      <c r="P437" s="2" t="s">
        <v>870</v>
      </c>
    </row>
    <row r="438" ht="15.75" customHeight="1">
      <c r="H438" s="2" t="s">
        <v>2572</v>
      </c>
      <c r="I438" s="2" t="s">
        <v>2573</v>
      </c>
      <c r="J438" s="2" t="s">
        <v>2574</v>
      </c>
      <c r="K438" s="2" t="s">
        <v>1163</v>
      </c>
      <c r="L438" s="2" t="s">
        <v>866</v>
      </c>
      <c r="M438" s="2" t="s">
        <v>2575</v>
      </c>
      <c r="N438" s="2" t="s">
        <v>2576</v>
      </c>
      <c r="O438" s="2" t="s">
        <v>869</v>
      </c>
      <c r="P438" s="2" t="s">
        <v>870</v>
      </c>
    </row>
    <row r="439" ht="15.75" customHeight="1">
      <c r="H439" s="2" t="s">
        <v>2577</v>
      </c>
      <c r="I439" s="2" t="s">
        <v>2578</v>
      </c>
      <c r="J439" s="2" t="s">
        <v>2579</v>
      </c>
      <c r="K439" s="2" t="s">
        <v>1175</v>
      </c>
      <c r="L439" s="2" t="s">
        <v>866</v>
      </c>
      <c r="M439" s="2" t="s">
        <v>2580</v>
      </c>
      <c r="N439" s="2" t="s">
        <v>2581</v>
      </c>
      <c r="O439" s="2" t="s">
        <v>869</v>
      </c>
      <c r="P439" s="2" t="s">
        <v>870</v>
      </c>
    </row>
    <row r="440" ht="15.75" customHeight="1">
      <c r="H440" s="2" t="s">
        <v>2582</v>
      </c>
      <c r="I440" s="2" t="s">
        <v>2583</v>
      </c>
      <c r="J440" s="2" t="s">
        <v>2584</v>
      </c>
      <c r="K440" s="2" t="s">
        <v>2585</v>
      </c>
      <c r="L440" s="2" t="s">
        <v>866</v>
      </c>
      <c r="M440" s="2" t="s">
        <v>2586</v>
      </c>
      <c r="N440" s="2" t="s">
        <v>2587</v>
      </c>
      <c r="O440" s="2" t="s">
        <v>869</v>
      </c>
      <c r="P440" s="2" t="s">
        <v>870</v>
      </c>
    </row>
    <row r="441" ht="15.75" customHeight="1">
      <c r="H441" s="2" t="s">
        <v>2588</v>
      </c>
      <c r="I441" s="2" t="s">
        <v>257</v>
      </c>
      <c r="J441" s="2" t="s">
        <v>258</v>
      </c>
      <c r="K441" s="2" t="s">
        <v>1624</v>
      </c>
      <c r="L441" s="2" t="s">
        <v>866</v>
      </c>
      <c r="M441" s="2" t="s">
        <v>2589</v>
      </c>
      <c r="N441" s="2" t="s">
        <v>2590</v>
      </c>
      <c r="O441" s="2" t="s">
        <v>869</v>
      </c>
      <c r="P441" s="2" t="s">
        <v>870</v>
      </c>
    </row>
    <row r="442" ht="15.75" customHeight="1">
      <c r="H442" s="2" t="s">
        <v>2591</v>
      </c>
      <c r="I442" s="2" t="s">
        <v>2592</v>
      </c>
      <c r="J442" s="2" t="s">
        <v>2593</v>
      </c>
      <c r="K442" s="2" t="s">
        <v>2594</v>
      </c>
      <c r="L442" s="2" t="s">
        <v>866</v>
      </c>
      <c r="M442" s="2" t="s">
        <v>2595</v>
      </c>
      <c r="N442" s="2" t="s">
        <v>2596</v>
      </c>
      <c r="O442" s="2" t="s">
        <v>869</v>
      </c>
      <c r="P442" s="2" t="s">
        <v>870</v>
      </c>
    </row>
    <row r="443" ht="15.75" customHeight="1">
      <c r="F443" s="2" t="s">
        <v>2597</v>
      </c>
      <c r="H443" s="2" t="s">
        <v>2598</v>
      </c>
      <c r="I443" s="2" t="s">
        <v>2599</v>
      </c>
      <c r="J443" s="2" t="s">
        <v>2600</v>
      </c>
      <c r="K443" s="2" t="s">
        <v>277</v>
      </c>
      <c r="L443" s="2" t="s">
        <v>866</v>
      </c>
      <c r="M443" s="2" t="s">
        <v>2601</v>
      </c>
      <c r="N443" s="2" t="s">
        <v>2602</v>
      </c>
      <c r="O443" s="2" t="s">
        <v>869</v>
      </c>
      <c r="P443" s="2" t="s">
        <v>870</v>
      </c>
    </row>
    <row r="444" ht="15.75" customHeight="1">
      <c r="H444" s="2" t="s">
        <v>2603</v>
      </c>
      <c r="I444" s="2" t="s">
        <v>2604</v>
      </c>
      <c r="J444" s="2" t="s">
        <v>2605</v>
      </c>
      <c r="K444" s="2" t="s">
        <v>865</v>
      </c>
      <c r="L444" s="2" t="s">
        <v>866</v>
      </c>
      <c r="M444" s="2" t="s">
        <v>2606</v>
      </c>
      <c r="N444" s="2" t="s">
        <v>2607</v>
      </c>
      <c r="O444" s="2" t="s">
        <v>869</v>
      </c>
      <c r="P444" s="2" t="s">
        <v>870</v>
      </c>
    </row>
    <row r="445" ht="15.75" customHeight="1">
      <c r="H445" s="2" t="s">
        <v>2608</v>
      </c>
      <c r="I445" s="2" t="s">
        <v>2609</v>
      </c>
      <c r="J445" s="2" t="s">
        <v>2610</v>
      </c>
      <c r="K445" s="2" t="s">
        <v>1467</v>
      </c>
      <c r="L445" s="2" t="s">
        <v>866</v>
      </c>
      <c r="M445" s="2" t="s">
        <v>2611</v>
      </c>
      <c r="N445" s="2" t="s">
        <v>2612</v>
      </c>
      <c r="O445" s="2" t="s">
        <v>869</v>
      </c>
      <c r="P445" s="2" t="s">
        <v>870</v>
      </c>
    </row>
    <row r="446" ht="15.75" customHeight="1">
      <c r="H446" s="2" t="s">
        <v>2613</v>
      </c>
      <c r="I446" s="2" t="s">
        <v>2614</v>
      </c>
      <c r="J446" s="2" t="s">
        <v>2615</v>
      </c>
      <c r="K446" s="2" t="s">
        <v>874</v>
      </c>
      <c r="L446" s="2" t="s">
        <v>866</v>
      </c>
      <c r="M446" s="2" t="s">
        <v>2616</v>
      </c>
      <c r="N446" s="2" t="s">
        <v>2617</v>
      </c>
      <c r="O446" s="2" t="s">
        <v>869</v>
      </c>
      <c r="P446" s="2" t="s">
        <v>870</v>
      </c>
    </row>
    <row r="447" ht="15.75" customHeight="1">
      <c r="H447" s="2" t="s">
        <v>2618</v>
      </c>
      <c r="I447" s="2" t="s">
        <v>2619</v>
      </c>
      <c r="J447" s="2" t="s">
        <v>2620</v>
      </c>
      <c r="K447" s="2" t="s">
        <v>1117</v>
      </c>
      <c r="L447" s="2" t="s">
        <v>866</v>
      </c>
      <c r="M447" s="2" t="s">
        <v>2621</v>
      </c>
      <c r="N447" s="2" t="s">
        <v>2622</v>
      </c>
      <c r="O447" s="2" t="s">
        <v>869</v>
      </c>
      <c r="P447" s="2" t="s">
        <v>870</v>
      </c>
    </row>
    <row r="448" ht="15.75" customHeight="1">
      <c r="H448" s="2" t="s">
        <v>2623</v>
      </c>
      <c r="I448" s="2" t="s">
        <v>2624</v>
      </c>
      <c r="J448" s="2" t="s">
        <v>2625</v>
      </c>
      <c r="K448" s="2" t="s">
        <v>963</v>
      </c>
      <c r="L448" s="2" t="s">
        <v>2626</v>
      </c>
      <c r="M448" s="2" t="s">
        <v>2627</v>
      </c>
      <c r="N448" s="2" t="s">
        <v>2628</v>
      </c>
      <c r="O448" s="2" t="s">
        <v>869</v>
      </c>
      <c r="P448" s="2" t="s">
        <v>870</v>
      </c>
    </row>
    <row r="449" ht="15.75" customHeight="1">
      <c r="H449" s="2" t="s">
        <v>2629</v>
      </c>
      <c r="I449" s="2" t="s">
        <v>2630</v>
      </c>
      <c r="J449" s="2" t="s">
        <v>2631</v>
      </c>
      <c r="K449" s="2" t="s">
        <v>1297</v>
      </c>
      <c r="L449" s="2" t="s">
        <v>866</v>
      </c>
      <c r="M449" s="2" t="s">
        <v>2632</v>
      </c>
      <c r="N449" s="2" t="s">
        <v>2633</v>
      </c>
      <c r="O449" s="2" t="s">
        <v>869</v>
      </c>
      <c r="P449" s="2" t="s">
        <v>870</v>
      </c>
    </row>
    <row r="450" ht="15.75" customHeight="1">
      <c r="H450" s="2" t="s">
        <v>2634</v>
      </c>
      <c r="I450" s="2" t="s">
        <v>2635</v>
      </c>
      <c r="J450" s="2" t="s">
        <v>2636</v>
      </c>
      <c r="K450" s="2" t="s">
        <v>918</v>
      </c>
      <c r="L450" s="2" t="s">
        <v>866</v>
      </c>
      <c r="M450" s="2" t="s">
        <v>2637</v>
      </c>
      <c r="N450" s="2" t="s">
        <v>2638</v>
      </c>
      <c r="O450" s="2" t="s">
        <v>869</v>
      </c>
      <c r="P450" s="2" t="s">
        <v>870</v>
      </c>
    </row>
    <row r="451" ht="15.75" customHeight="1">
      <c r="H451" s="2" t="s">
        <v>2639</v>
      </c>
      <c r="I451" s="2" t="s">
        <v>2640</v>
      </c>
      <c r="J451" s="2" t="s">
        <v>2641</v>
      </c>
      <c r="K451" s="2" t="s">
        <v>1567</v>
      </c>
      <c r="L451" s="2" t="s">
        <v>866</v>
      </c>
      <c r="M451" s="2" t="s">
        <v>2642</v>
      </c>
      <c r="N451" s="2" t="s">
        <v>2643</v>
      </c>
      <c r="O451" s="2" t="s">
        <v>869</v>
      </c>
      <c r="P451" s="2" t="s">
        <v>870</v>
      </c>
    </row>
    <row r="452" ht="15.75" customHeight="1">
      <c r="H452" s="2" t="s">
        <v>2644</v>
      </c>
      <c r="I452" s="2" t="s">
        <v>2645</v>
      </c>
      <c r="J452" s="2" t="s">
        <v>2646</v>
      </c>
      <c r="K452" s="2" t="s">
        <v>924</v>
      </c>
      <c r="L452" s="2" t="s">
        <v>866</v>
      </c>
      <c r="M452" s="2" t="s">
        <v>2647</v>
      </c>
      <c r="N452" s="2" t="s">
        <v>2648</v>
      </c>
      <c r="O452" s="2" t="s">
        <v>869</v>
      </c>
      <c r="P452" s="2" t="s">
        <v>870</v>
      </c>
    </row>
    <row r="453" ht="15.75" customHeight="1">
      <c r="H453" s="2" t="s">
        <v>2649</v>
      </c>
      <c r="I453" s="2" t="s">
        <v>2650</v>
      </c>
      <c r="J453" s="2" t="s">
        <v>2651</v>
      </c>
      <c r="K453" s="2" t="s">
        <v>1406</v>
      </c>
      <c r="L453" s="2" t="s">
        <v>866</v>
      </c>
      <c r="M453" s="2" t="s">
        <v>2652</v>
      </c>
      <c r="N453" s="2" t="s">
        <v>2653</v>
      </c>
      <c r="O453" s="2" t="s">
        <v>869</v>
      </c>
      <c r="P453" s="2" t="s">
        <v>870</v>
      </c>
    </row>
    <row r="454" ht="15.75" customHeight="1">
      <c r="H454" s="2" t="s">
        <v>2654</v>
      </c>
      <c r="I454" s="2" t="s">
        <v>2655</v>
      </c>
      <c r="J454" s="2" t="s">
        <v>2656</v>
      </c>
      <c r="K454" s="2" t="s">
        <v>1952</v>
      </c>
    </row>
    <row r="455" ht="15.75" customHeight="1">
      <c r="F455" s="2" t="s">
        <v>548</v>
      </c>
      <c r="H455" s="2" t="s">
        <v>2657</v>
      </c>
      <c r="I455" s="2" t="s">
        <v>2658</v>
      </c>
      <c r="J455" s="2" t="s">
        <v>2659</v>
      </c>
      <c r="K455" s="2" t="s">
        <v>947</v>
      </c>
      <c r="L455" s="2" t="s">
        <v>866</v>
      </c>
      <c r="M455" s="2" t="s">
        <v>2660</v>
      </c>
      <c r="N455" s="2" t="s">
        <v>2661</v>
      </c>
      <c r="O455" s="2" t="s">
        <v>869</v>
      </c>
      <c r="P455" s="2" t="s">
        <v>870</v>
      </c>
    </row>
    <row r="456" ht="15.75" customHeight="1">
      <c r="H456" s="2" t="s">
        <v>2662</v>
      </c>
      <c r="I456" s="2" t="s">
        <v>2663</v>
      </c>
      <c r="J456" s="2" t="s">
        <v>2664</v>
      </c>
      <c r="K456" s="2" t="s">
        <v>1878</v>
      </c>
      <c r="L456" s="2" t="s">
        <v>866</v>
      </c>
      <c r="M456" s="2" t="s">
        <v>2665</v>
      </c>
      <c r="N456" s="2" t="s">
        <v>2666</v>
      </c>
      <c r="O456" s="2" t="s">
        <v>869</v>
      </c>
      <c r="P456" s="2" t="s">
        <v>870</v>
      </c>
    </row>
    <row r="457" ht="15.75" customHeight="1">
      <c r="H457" s="2" t="s">
        <v>2667</v>
      </c>
      <c r="I457" s="2" t="s">
        <v>550</v>
      </c>
      <c r="J457" s="2" t="s">
        <v>551</v>
      </c>
      <c r="K457" s="2" t="s">
        <v>963</v>
      </c>
      <c r="L457" s="2" t="s">
        <v>866</v>
      </c>
      <c r="M457" s="2" t="s">
        <v>2668</v>
      </c>
      <c r="N457" s="2" t="s">
        <v>2669</v>
      </c>
      <c r="O457" s="2" t="s">
        <v>869</v>
      </c>
      <c r="P457" s="2" t="s">
        <v>870</v>
      </c>
    </row>
    <row r="458" ht="15.75" customHeight="1">
      <c r="H458" s="2" t="s">
        <v>2670</v>
      </c>
      <c r="I458" s="2" t="s">
        <v>2671</v>
      </c>
      <c r="J458" s="2" t="s">
        <v>2672</v>
      </c>
      <c r="K458" s="2" t="s">
        <v>1551</v>
      </c>
      <c r="L458" s="2" t="s">
        <v>866</v>
      </c>
      <c r="M458" s="2" t="s">
        <v>2673</v>
      </c>
      <c r="N458" s="2" t="s">
        <v>2674</v>
      </c>
      <c r="O458" s="2" t="s">
        <v>869</v>
      </c>
      <c r="P458" s="2" t="s">
        <v>870</v>
      </c>
    </row>
    <row r="459" ht="15.75" customHeight="1">
      <c r="H459" s="2" t="s">
        <v>2675</v>
      </c>
      <c r="I459" s="2" t="s">
        <v>2676</v>
      </c>
      <c r="J459" s="2" t="s">
        <v>2677</v>
      </c>
      <c r="K459" s="2" t="s">
        <v>924</v>
      </c>
      <c r="L459" s="2" t="s">
        <v>866</v>
      </c>
      <c r="M459" s="2" t="s">
        <v>2678</v>
      </c>
      <c r="N459" s="2" t="s">
        <v>2679</v>
      </c>
      <c r="O459" s="2" t="s">
        <v>869</v>
      </c>
      <c r="P459" s="2" t="s">
        <v>870</v>
      </c>
    </row>
    <row r="460" ht="15.75" customHeight="1">
      <c r="H460" s="2" t="s">
        <v>2680</v>
      </c>
      <c r="I460" s="2" t="s">
        <v>2681</v>
      </c>
      <c r="J460" s="2" t="s">
        <v>2682</v>
      </c>
      <c r="K460" s="2" t="s">
        <v>1424</v>
      </c>
      <c r="L460" s="2" t="s">
        <v>866</v>
      </c>
      <c r="M460" s="2" t="s">
        <v>2683</v>
      </c>
      <c r="N460" s="2" t="s">
        <v>2684</v>
      </c>
      <c r="O460" s="2" t="s">
        <v>869</v>
      </c>
      <c r="P460" s="2" t="s">
        <v>870</v>
      </c>
    </row>
    <row r="461" ht="15.75" customHeight="1">
      <c r="H461" s="2" t="s">
        <v>2685</v>
      </c>
      <c r="I461" s="2" t="s">
        <v>2686</v>
      </c>
      <c r="J461" s="2" t="s">
        <v>2687</v>
      </c>
      <c r="L461" s="2" t="s">
        <v>866</v>
      </c>
      <c r="M461" s="2" t="s">
        <v>2688</v>
      </c>
      <c r="N461" s="2" t="s">
        <v>2689</v>
      </c>
      <c r="O461" s="2" t="s">
        <v>869</v>
      </c>
      <c r="P461" s="2" t="s">
        <v>870</v>
      </c>
    </row>
    <row r="462" ht="15.75" customHeight="1">
      <c r="H462" s="2" t="s">
        <v>2690</v>
      </c>
      <c r="I462" s="2" t="s">
        <v>2691</v>
      </c>
      <c r="J462" s="2" t="s">
        <v>2692</v>
      </c>
      <c r="K462" s="2" t="s">
        <v>1952</v>
      </c>
    </row>
    <row r="463" ht="15.75" customHeight="1">
      <c r="F463" s="2" t="s">
        <v>2693</v>
      </c>
      <c r="H463" s="2" t="s">
        <v>2694</v>
      </c>
      <c r="I463" s="2" t="s">
        <v>2695</v>
      </c>
      <c r="J463" s="2" t="s">
        <v>2696</v>
      </c>
      <c r="K463" s="2" t="s">
        <v>1362</v>
      </c>
      <c r="L463" s="2" t="s">
        <v>866</v>
      </c>
      <c r="M463" s="2" t="s">
        <v>2697</v>
      </c>
      <c r="N463" s="2" t="s">
        <v>2698</v>
      </c>
      <c r="O463" s="2" t="s">
        <v>869</v>
      </c>
      <c r="P463" s="2" t="s">
        <v>870</v>
      </c>
    </row>
    <row r="464" ht="15.75" customHeight="1">
      <c r="H464" s="2" t="s">
        <v>2699</v>
      </c>
      <c r="I464" s="2" t="s">
        <v>2700</v>
      </c>
      <c r="J464" s="2" t="s">
        <v>2701</v>
      </c>
      <c r="K464" s="2" t="s">
        <v>874</v>
      </c>
      <c r="L464" s="2" t="s">
        <v>866</v>
      </c>
      <c r="M464" s="2" t="s">
        <v>2702</v>
      </c>
      <c r="N464" s="2" t="s">
        <v>2703</v>
      </c>
      <c r="O464" s="2" t="s">
        <v>869</v>
      </c>
      <c r="P464" s="2" t="s">
        <v>870</v>
      </c>
    </row>
    <row r="465" ht="15.75" customHeight="1">
      <c r="H465" s="2" t="s">
        <v>2704</v>
      </c>
      <c r="I465" s="2" t="s">
        <v>2705</v>
      </c>
      <c r="J465" s="2" t="s">
        <v>2706</v>
      </c>
      <c r="K465" s="2" t="s">
        <v>958</v>
      </c>
      <c r="L465" s="2" t="s">
        <v>866</v>
      </c>
      <c r="M465" s="2" t="s">
        <v>2707</v>
      </c>
      <c r="N465" s="2" t="s">
        <v>2708</v>
      </c>
      <c r="O465" s="2" t="s">
        <v>869</v>
      </c>
      <c r="P465" s="2" t="s">
        <v>870</v>
      </c>
    </row>
    <row r="466" ht="15.75" customHeight="1">
      <c r="H466" s="2" t="s">
        <v>2709</v>
      </c>
      <c r="I466" s="2" t="s">
        <v>2710</v>
      </c>
      <c r="J466" s="2" t="s">
        <v>2711</v>
      </c>
      <c r="K466" s="2" t="s">
        <v>963</v>
      </c>
      <c r="L466" s="2" t="s">
        <v>866</v>
      </c>
      <c r="M466" s="2" t="s">
        <v>2712</v>
      </c>
      <c r="N466" s="2" t="s">
        <v>2713</v>
      </c>
      <c r="O466" s="2" t="s">
        <v>869</v>
      </c>
      <c r="P466" s="2" t="s">
        <v>870</v>
      </c>
    </row>
    <row r="467" ht="15.75" customHeight="1">
      <c r="H467" s="2" t="s">
        <v>2714</v>
      </c>
      <c r="I467" s="2" t="s">
        <v>2715</v>
      </c>
      <c r="J467" s="2" t="s">
        <v>2716</v>
      </c>
      <c r="K467" s="2" t="s">
        <v>890</v>
      </c>
      <c r="L467" s="2" t="s">
        <v>866</v>
      </c>
      <c r="M467" s="2" t="s">
        <v>2717</v>
      </c>
      <c r="N467" s="2" t="s">
        <v>2718</v>
      </c>
      <c r="O467" s="2" t="s">
        <v>869</v>
      </c>
      <c r="P467" s="2" t="s">
        <v>870</v>
      </c>
    </row>
    <row r="468" ht="15.75" customHeight="1">
      <c r="H468" s="2" t="s">
        <v>2719</v>
      </c>
      <c r="I468" s="2" t="s">
        <v>2720</v>
      </c>
      <c r="J468" s="2" t="s">
        <v>2721</v>
      </c>
      <c r="K468" s="2" t="s">
        <v>906</v>
      </c>
      <c r="L468" s="2" t="s">
        <v>866</v>
      </c>
      <c r="M468" s="2" t="s">
        <v>2722</v>
      </c>
      <c r="N468" s="2" t="s">
        <v>2723</v>
      </c>
      <c r="O468" s="2" t="s">
        <v>869</v>
      </c>
      <c r="P468" s="2" t="s">
        <v>870</v>
      </c>
    </row>
    <row r="469" ht="15.75" customHeight="1">
      <c r="H469" s="2" t="s">
        <v>2724</v>
      </c>
      <c r="I469" s="2" t="s">
        <v>2725</v>
      </c>
      <c r="J469" s="2" t="s">
        <v>2726</v>
      </c>
      <c r="K469" s="2" t="s">
        <v>918</v>
      </c>
      <c r="L469" s="2" t="s">
        <v>866</v>
      </c>
      <c r="M469" s="2" t="s">
        <v>2727</v>
      </c>
      <c r="N469" s="2" t="s">
        <v>2728</v>
      </c>
      <c r="O469" s="2" t="s">
        <v>869</v>
      </c>
      <c r="P469" s="2" t="s">
        <v>870</v>
      </c>
    </row>
    <row r="470" ht="15.75" customHeight="1">
      <c r="H470" s="2" t="s">
        <v>2729</v>
      </c>
      <c r="I470" s="2" t="s">
        <v>2730</v>
      </c>
      <c r="J470" s="2" t="s">
        <v>2731</v>
      </c>
      <c r="K470" s="2" t="s">
        <v>1141</v>
      </c>
      <c r="L470" s="2" t="s">
        <v>866</v>
      </c>
      <c r="M470" s="2" t="s">
        <v>2732</v>
      </c>
      <c r="N470" s="2" t="s">
        <v>2733</v>
      </c>
      <c r="O470" s="2" t="s">
        <v>869</v>
      </c>
      <c r="P470" s="2" t="s">
        <v>870</v>
      </c>
    </row>
    <row r="471" ht="15.75" customHeight="1">
      <c r="H471" s="2" t="s">
        <v>2734</v>
      </c>
      <c r="I471" s="2" t="s">
        <v>2735</v>
      </c>
      <c r="J471" s="2" t="s">
        <v>2736</v>
      </c>
      <c r="K471" s="2" t="s">
        <v>2737</v>
      </c>
      <c r="L471" s="2" t="s">
        <v>866</v>
      </c>
      <c r="M471" s="2" t="s">
        <v>2738</v>
      </c>
      <c r="N471" s="2" t="s">
        <v>2739</v>
      </c>
      <c r="O471" s="2" t="s">
        <v>869</v>
      </c>
      <c r="P471" s="2" t="s">
        <v>870</v>
      </c>
    </row>
    <row r="472" ht="15.75" customHeight="1">
      <c r="H472" s="2" t="s">
        <v>2740</v>
      </c>
      <c r="I472" s="2" t="s">
        <v>2741</v>
      </c>
      <c r="J472" s="2" t="s">
        <v>2742</v>
      </c>
      <c r="K472" s="2" t="s">
        <v>924</v>
      </c>
      <c r="L472" s="2" t="s">
        <v>866</v>
      </c>
      <c r="M472" s="2" t="s">
        <v>2743</v>
      </c>
      <c r="N472" s="2" t="s">
        <v>2744</v>
      </c>
      <c r="O472" s="2" t="s">
        <v>869</v>
      </c>
      <c r="P472" s="2" t="s">
        <v>870</v>
      </c>
    </row>
    <row r="473" ht="15.75" customHeight="1">
      <c r="H473" s="2" t="s">
        <v>2745</v>
      </c>
      <c r="I473" s="2" t="s">
        <v>2746</v>
      </c>
      <c r="J473" s="2" t="s">
        <v>2747</v>
      </c>
      <c r="K473" s="2" t="s">
        <v>1569</v>
      </c>
      <c r="L473" s="2" t="s">
        <v>866</v>
      </c>
      <c r="M473" s="2" t="s">
        <v>2748</v>
      </c>
      <c r="N473" s="2" t="s">
        <v>2749</v>
      </c>
      <c r="O473" s="2" t="s">
        <v>869</v>
      </c>
      <c r="P473" s="2" t="s">
        <v>870</v>
      </c>
    </row>
    <row r="474" ht="15.75" customHeight="1">
      <c r="F474" s="2" t="s">
        <v>556</v>
      </c>
      <c r="H474" s="2" t="s">
        <v>2750</v>
      </c>
      <c r="I474" s="2" t="s">
        <v>2751</v>
      </c>
      <c r="J474" s="2" t="s">
        <v>2752</v>
      </c>
      <c r="K474" s="2" t="s">
        <v>865</v>
      </c>
      <c r="L474" s="2" t="s">
        <v>866</v>
      </c>
      <c r="M474" s="2" t="s">
        <v>2753</v>
      </c>
      <c r="N474" s="2" t="s">
        <v>2754</v>
      </c>
      <c r="O474" s="2" t="s">
        <v>869</v>
      </c>
      <c r="P474" s="2" t="s">
        <v>870</v>
      </c>
    </row>
    <row r="475" ht="15.75" customHeight="1">
      <c r="H475" s="2" t="s">
        <v>2755</v>
      </c>
      <c r="I475" s="2" t="s">
        <v>558</v>
      </c>
      <c r="J475" s="2" t="s">
        <v>559</v>
      </c>
      <c r="K475" s="2" t="s">
        <v>1362</v>
      </c>
      <c r="L475" s="2" t="s">
        <v>866</v>
      </c>
      <c r="M475" s="2" t="s">
        <v>2756</v>
      </c>
      <c r="N475" s="2" t="s">
        <v>2757</v>
      </c>
      <c r="O475" s="2" t="s">
        <v>869</v>
      </c>
      <c r="P475" s="2" t="s">
        <v>870</v>
      </c>
    </row>
    <row r="476" ht="15.75" customHeight="1">
      <c r="H476" s="2" t="s">
        <v>2758</v>
      </c>
      <c r="I476" s="2" t="s">
        <v>2759</v>
      </c>
      <c r="J476" s="2" t="s">
        <v>2760</v>
      </c>
      <c r="L476" s="2" t="s">
        <v>866</v>
      </c>
      <c r="M476" s="2" t="s">
        <v>2761</v>
      </c>
      <c r="N476" s="2" t="s">
        <v>2762</v>
      </c>
      <c r="O476" s="2" t="s">
        <v>869</v>
      </c>
      <c r="P476" s="2" t="s">
        <v>870</v>
      </c>
    </row>
    <row r="477" ht="15.75" customHeight="1">
      <c r="H477" s="2" t="s">
        <v>2763</v>
      </c>
      <c r="I477" s="2" t="s">
        <v>2764</v>
      </c>
      <c r="J477" s="2" t="s">
        <v>2765</v>
      </c>
      <c r="K477" s="2" t="s">
        <v>1117</v>
      </c>
      <c r="L477" s="2" t="s">
        <v>866</v>
      </c>
      <c r="M477" s="2" t="s">
        <v>2766</v>
      </c>
      <c r="N477" s="2" t="s">
        <v>2767</v>
      </c>
      <c r="O477" s="2" t="s">
        <v>869</v>
      </c>
      <c r="P477" s="2" t="s">
        <v>870</v>
      </c>
    </row>
    <row r="478" ht="15.75" customHeight="1">
      <c r="H478" s="2" t="s">
        <v>2768</v>
      </c>
      <c r="I478" s="2" t="s">
        <v>2769</v>
      </c>
      <c r="J478" s="2" t="s">
        <v>2770</v>
      </c>
      <c r="K478" s="2" t="s">
        <v>963</v>
      </c>
      <c r="L478" s="2" t="s">
        <v>866</v>
      </c>
      <c r="M478" s="2" t="s">
        <v>2771</v>
      </c>
      <c r="N478" s="2" t="s">
        <v>2772</v>
      </c>
      <c r="O478" s="2" t="s">
        <v>869</v>
      </c>
      <c r="P478" s="2" t="s">
        <v>870</v>
      </c>
    </row>
    <row r="479" ht="15.75" customHeight="1">
      <c r="H479" s="2" t="s">
        <v>2773</v>
      </c>
      <c r="I479" s="2" t="s">
        <v>2774</v>
      </c>
      <c r="J479" s="2" t="s">
        <v>2775</v>
      </c>
      <c r="K479" s="2" t="s">
        <v>958</v>
      </c>
      <c r="L479" s="2" t="s">
        <v>866</v>
      </c>
      <c r="M479" s="2" t="s">
        <v>2776</v>
      </c>
      <c r="N479" s="2" t="s">
        <v>2777</v>
      </c>
      <c r="O479" s="2" t="s">
        <v>869</v>
      </c>
      <c r="P479" s="2" t="s">
        <v>870</v>
      </c>
    </row>
    <row r="480" ht="15.75" customHeight="1">
      <c r="H480" s="2" t="s">
        <v>2778</v>
      </c>
      <c r="I480" s="2" t="s">
        <v>2779</v>
      </c>
      <c r="J480" s="2" t="s">
        <v>2780</v>
      </c>
      <c r="K480" s="2" t="s">
        <v>966</v>
      </c>
      <c r="L480" s="2" t="s">
        <v>866</v>
      </c>
      <c r="M480" s="2" t="s">
        <v>2781</v>
      </c>
      <c r="N480" s="2" t="s">
        <v>2782</v>
      </c>
      <c r="O480" s="2" t="s">
        <v>869</v>
      </c>
      <c r="P480" s="2" t="s">
        <v>870</v>
      </c>
    </row>
    <row r="481" ht="15.75" customHeight="1">
      <c r="H481" s="2" t="s">
        <v>2783</v>
      </c>
      <c r="I481" s="2" t="s">
        <v>2784</v>
      </c>
      <c r="J481" s="2" t="s">
        <v>2785</v>
      </c>
      <c r="L481" s="2" t="s">
        <v>866</v>
      </c>
      <c r="M481" s="2" t="s">
        <v>2786</v>
      </c>
      <c r="N481" s="2" t="s">
        <v>869</v>
      </c>
      <c r="O481" s="2" t="s">
        <v>870</v>
      </c>
    </row>
    <row r="482" ht="15.75" customHeight="1">
      <c r="H482" s="2" t="s">
        <v>2787</v>
      </c>
      <c r="I482" s="2" t="s">
        <v>2788</v>
      </c>
      <c r="J482" s="2" t="s">
        <v>2789</v>
      </c>
      <c r="K482" s="2" t="s">
        <v>896</v>
      </c>
      <c r="L482" s="2" t="s">
        <v>866</v>
      </c>
      <c r="M482" s="2" t="s">
        <v>2790</v>
      </c>
      <c r="N482" s="2" t="s">
        <v>2791</v>
      </c>
      <c r="O482" s="2" t="s">
        <v>869</v>
      </c>
      <c r="P482" s="2" t="s">
        <v>870</v>
      </c>
    </row>
    <row r="483" ht="15.75" customHeight="1">
      <c r="H483" s="2" t="s">
        <v>2792</v>
      </c>
      <c r="I483" s="2" t="s">
        <v>2793</v>
      </c>
      <c r="J483" s="2" t="s">
        <v>2794</v>
      </c>
      <c r="K483" s="2" t="s">
        <v>1136</v>
      </c>
      <c r="L483" s="2" t="s">
        <v>866</v>
      </c>
      <c r="M483" s="2" t="s">
        <v>2795</v>
      </c>
      <c r="N483" s="2" t="s">
        <v>2796</v>
      </c>
      <c r="O483" s="2" t="s">
        <v>869</v>
      </c>
      <c r="P483" s="2" t="s">
        <v>870</v>
      </c>
    </row>
    <row r="484" ht="15.75" customHeight="1">
      <c r="H484" s="2" t="s">
        <v>2797</v>
      </c>
      <c r="I484" s="2" t="s">
        <v>2798</v>
      </c>
      <c r="J484" s="2" t="s">
        <v>2799</v>
      </c>
      <c r="K484" s="2" t="s">
        <v>283</v>
      </c>
      <c r="L484" s="2" t="s">
        <v>866</v>
      </c>
      <c r="M484" s="2" t="s">
        <v>2800</v>
      </c>
      <c r="N484" s="2" t="s">
        <v>2801</v>
      </c>
      <c r="O484" s="2" t="s">
        <v>869</v>
      </c>
      <c r="P484" s="2" t="s">
        <v>870</v>
      </c>
    </row>
    <row r="485" ht="15.75" customHeight="1">
      <c r="H485" s="2" t="s">
        <v>2802</v>
      </c>
      <c r="I485" s="2" t="s">
        <v>2803</v>
      </c>
      <c r="J485" s="2" t="s">
        <v>2804</v>
      </c>
      <c r="K485" s="2" t="s">
        <v>918</v>
      </c>
      <c r="L485" s="2" t="s">
        <v>866</v>
      </c>
      <c r="M485" s="2" t="s">
        <v>2805</v>
      </c>
      <c r="N485" s="2" t="s">
        <v>2806</v>
      </c>
      <c r="O485" s="2" t="s">
        <v>869</v>
      </c>
      <c r="P485" s="2" t="s">
        <v>870</v>
      </c>
    </row>
    <row r="486" ht="15.75" customHeight="1">
      <c r="H486" s="2" t="s">
        <v>2807</v>
      </c>
      <c r="I486" s="2" t="s">
        <v>2808</v>
      </c>
      <c r="J486" s="2" t="s">
        <v>2809</v>
      </c>
      <c r="K486" s="2" t="s">
        <v>1313</v>
      </c>
      <c r="L486" s="2" t="s">
        <v>866</v>
      </c>
      <c r="M486" s="2" t="s">
        <v>2810</v>
      </c>
      <c r="N486" s="2" t="s">
        <v>2811</v>
      </c>
      <c r="O486" s="2" t="s">
        <v>869</v>
      </c>
      <c r="P486" s="2" t="s">
        <v>870</v>
      </c>
    </row>
    <row r="487" ht="15.75" customHeight="1">
      <c r="H487" s="2" t="s">
        <v>2812</v>
      </c>
      <c r="I487" s="2" t="s">
        <v>2813</v>
      </c>
      <c r="J487" s="2" t="s">
        <v>2813</v>
      </c>
      <c r="K487" s="2" t="s">
        <v>1569</v>
      </c>
    </row>
    <row r="488" ht="15.75" customHeight="1">
      <c r="H488" s="2" t="s">
        <v>2814</v>
      </c>
      <c r="I488" s="2" t="s">
        <v>2815</v>
      </c>
      <c r="J488" s="2" t="s">
        <v>2816</v>
      </c>
      <c r="K488" s="2" t="s">
        <v>1424</v>
      </c>
      <c r="L488" s="2" t="s">
        <v>866</v>
      </c>
      <c r="M488" s="2" t="s">
        <v>2817</v>
      </c>
      <c r="N488" s="2" t="s">
        <v>2818</v>
      </c>
      <c r="O488" s="2" t="s">
        <v>869</v>
      </c>
      <c r="P488" s="2" t="s">
        <v>870</v>
      </c>
    </row>
    <row r="489" ht="15.75" customHeight="1">
      <c r="H489" s="2" t="s">
        <v>2819</v>
      </c>
      <c r="I489" s="2" t="s">
        <v>2820</v>
      </c>
      <c r="J489" s="2" t="s">
        <v>2821</v>
      </c>
      <c r="K489" s="2" t="s">
        <v>1325</v>
      </c>
      <c r="L489" s="2" t="s">
        <v>866</v>
      </c>
      <c r="M489" s="2" t="s">
        <v>2822</v>
      </c>
      <c r="N489" s="2" t="s">
        <v>2823</v>
      </c>
      <c r="O489" s="2" t="s">
        <v>869</v>
      </c>
      <c r="P489" s="2" t="s">
        <v>870</v>
      </c>
    </row>
    <row r="490" ht="15.75" customHeight="1">
      <c r="H490" s="2" t="s">
        <v>2824</v>
      </c>
      <c r="I490" s="2" t="s">
        <v>574</v>
      </c>
      <c r="J490" s="2" t="s">
        <v>575</v>
      </c>
      <c r="K490" s="2" t="s">
        <v>2223</v>
      </c>
      <c r="L490" s="2" t="s">
        <v>866</v>
      </c>
      <c r="M490" s="2" t="s">
        <v>2825</v>
      </c>
      <c r="N490" s="2" t="s">
        <v>2826</v>
      </c>
      <c r="O490" s="2" t="s">
        <v>869</v>
      </c>
      <c r="P490" s="2" t="s">
        <v>870</v>
      </c>
    </row>
    <row r="491" ht="15.75" customHeight="1">
      <c r="F491" s="2" t="s">
        <v>2827</v>
      </c>
      <c r="H491" s="2" t="s">
        <v>2828</v>
      </c>
      <c r="I491" s="2" t="s">
        <v>2829</v>
      </c>
      <c r="J491" s="2" t="s">
        <v>2830</v>
      </c>
      <c r="L491" s="2" t="s">
        <v>866</v>
      </c>
      <c r="M491" s="2" t="s">
        <v>2831</v>
      </c>
      <c r="N491" s="2" t="s">
        <v>2832</v>
      </c>
      <c r="O491" s="2" t="s">
        <v>869</v>
      </c>
      <c r="P491" s="2" t="s">
        <v>870</v>
      </c>
    </row>
    <row r="492" ht="15.75" customHeight="1">
      <c r="H492" s="2" t="s">
        <v>2833</v>
      </c>
      <c r="I492" s="2" t="s">
        <v>2834</v>
      </c>
      <c r="J492" s="2" t="s">
        <v>2835</v>
      </c>
      <c r="K492" s="2" t="s">
        <v>2836</v>
      </c>
    </row>
    <row r="493" ht="15.75" customHeight="1">
      <c r="H493" s="2" t="s">
        <v>2837</v>
      </c>
      <c r="I493" s="2" t="s">
        <v>2838</v>
      </c>
      <c r="J493" s="2" t="s">
        <v>2839</v>
      </c>
      <c r="L493" s="2" t="s">
        <v>866</v>
      </c>
      <c r="M493" s="2" t="s">
        <v>2827</v>
      </c>
      <c r="N493" s="2" t="s">
        <v>2840</v>
      </c>
      <c r="O493" s="2" t="s">
        <v>869</v>
      </c>
      <c r="P493" s="2" t="s">
        <v>870</v>
      </c>
    </row>
    <row r="494" ht="15.75" customHeight="1">
      <c r="H494" s="2" t="s">
        <v>2841</v>
      </c>
      <c r="I494" s="2" t="s">
        <v>2842</v>
      </c>
      <c r="J494" s="2" t="s">
        <v>2843</v>
      </c>
      <c r="K494" s="2" t="s">
        <v>874</v>
      </c>
      <c r="L494" s="2" t="s">
        <v>866</v>
      </c>
      <c r="M494" s="2" t="s">
        <v>2844</v>
      </c>
      <c r="N494" s="2" t="s">
        <v>2845</v>
      </c>
      <c r="O494" s="2" t="s">
        <v>869</v>
      </c>
      <c r="P494" s="2" t="s">
        <v>870</v>
      </c>
    </row>
    <row r="495" ht="15.75" customHeight="1">
      <c r="H495" s="2" t="s">
        <v>2846</v>
      </c>
      <c r="I495" s="2" t="s">
        <v>2847</v>
      </c>
      <c r="J495" s="2" t="s">
        <v>2848</v>
      </c>
      <c r="K495" s="2" t="s">
        <v>1368</v>
      </c>
      <c r="L495" s="2" t="s">
        <v>866</v>
      </c>
      <c r="M495" s="2" t="s">
        <v>2849</v>
      </c>
      <c r="N495" s="2" t="s">
        <v>2850</v>
      </c>
      <c r="O495" s="2" t="s">
        <v>869</v>
      </c>
      <c r="P495" s="2" t="s">
        <v>870</v>
      </c>
    </row>
    <row r="496" ht="15.75" customHeight="1">
      <c r="H496" s="2" t="s">
        <v>2851</v>
      </c>
      <c r="I496" s="2" t="s">
        <v>2852</v>
      </c>
      <c r="J496" s="2" t="s">
        <v>2853</v>
      </c>
      <c r="K496" s="2" t="s">
        <v>958</v>
      </c>
      <c r="L496" s="2" t="s">
        <v>866</v>
      </c>
      <c r="M496" s="2" t="s">
        <v>2854</v>
      </c>
      <c r="N496" s="2" t="s">
        <v>2855</v>
      </c>
      <c r="O496" s="2" t="s">
        <v>869</v>
      </c>
      <c r="P496" s="2" t="s">
        <v>870</v>
      </c>
    </row>
    <row r="497" ht="15.75" customHeight="1">
      <c r="H497" s="2" t="s">
        <v>2856</v>
      </c>
      <c r="I497" s="2" t="s">
        <v>2857</v>
      </c>
      <c r="J497" s="2" t="s">
        <v>2858</v>
      </c>
      <c r="K497" s="2" t="s">
        <v>1297</v>
      </c>
      <c r="L497" s="2" t="s">
        <v>866</v>
      </c>
      <c r="M497" s="2" t="s">
        <v>2859</v>
      </c>
      <c r="N497" s="2" t="s">
        <v>2860</v>
      </c>
      <c r="O497" s="2" t="s">
        <v>869</v>
      </c>
      <c r="P497" s="2" t="s">
        <v>870</v>
      </c>
    </row>
    <row r="498" ht="15.75" customHeight="1">
      <c r="H498" s="2" t="s">
        <v>2861</v>
      </c>
      <c r="I498" s="2" t="s">
        <v>2862</v>
      </c>
      <c r="J498" s="2" t="s">
        <v>2863</v>
      </c>
      <c r="K498" s="2" t="s">
        <v>886</v>
      </c>
      <c r="L498" s="2" t="s">
        <v>866</v>
      </c>
      <c r="M498" s="2" t="s">
        <v>2864</v>
      </c>
      <c r="N498" s="2" t="s">
        <v>2865</v>
      </c>
      <c r="O498" s="2" t="s">
        <v>869</v>
      </c>
      <c r="P498" s="2" t="s">
        <v>870</v>
      </c>
    </row>
    <row r="499" ht="15.75" customHeight="1">
      <c r="H499" s="2" t="s">
        <v>2866</v>
      </c>
      <c r="I499" s="2" t="s">
        <v>2867</v>
      </c>
      <c r="J499" s="2" t="s">
        <v>2868</v>
      </c>
      <c r="K499" s="2" t="s">
        <v>970</v>
      </c>
      <c r="L499" s="2" t="s">
        <v>866</v>
      </c>
      <c r="M499" s="2" t="s">
        <v>2869</v>
      </c>
      <c r="N499" s="2" t="s">
        <v>2870</v>
      </c>
      <c r="O499" s="2" t="s">
        <v>869</v>
      </c>
      <c r="P499" s="2" t="s">
        <v>870</v>
      </c>
    </row>
    <row r="500" ht="15.75" customHeight="1">
      <c r="H500" s="2" t="s">
        <v>2871</v>
      </c>
      <c r="I500" s="2" t="s">
        <v>2872</v>
      </c>
      <c r="J500" s="2" t="s">
        <v>2873</v>
      </c>
      <c r="K500" s="2" t="s">
        <v>896</v>
      </c>
      <c r="L500" s="2" t="s">
        <v>866</v>
      </c>
      <c r="M500" s="2" t="s">
        <v>2874</v>
      </c>
      <c r="N500" s="2" t="s">
        <v>2875</v>
      </c>
      <c r="O500" s="2" t="s">
        <v>869</v>
      </c>
      <c r="P500" s="2" t="s">
        <v>870</v>
      </c>
    </row>
    <row r="501" ht="15.75" customHeight="1">
      <c r="H501" s="2" t="s">
        <v>2876</v>
      </c>
      <c r="I501" s="2" t="s">
        <v>1902</v>
      </c>
      <c r="J501" s="2" t="s">
        <v>1903</v>
      </c>
      <c r="L501" s="2" t="s">
        <v>866</v>
      </c>
      <c r="M501" s="2" t="s">
        <v>2877</v>
      </c>
      <c r="N501" s="2" t="s">
        <v>2878</v>
      </c>
      <c r="O501" s="2" t="s">
        <v>869</v>
      </c>
      <c r="P501" s="2" t="s">
        <v>870</v>
      </c>
    </row>
    <row r="502" ht="15.75" customHeight="1">
      <c r="H502" s="2" t="s">
        <v>2879</v>
      </c>
      <c r="I502" s="2" t="s">
        <v>2880</v>
      </c>
      <c r="J502" s="2" t="s">
        <v>2881</v>
      </c>
      <c r="K502" s="2" t="s">
        <v>1145</v>
      </c>
      <c r="L502" s="2" t="s">
        <v>866</v>
      </c>
      <c r="M502" s="2" t="s">
        <v>2882</v>
      </c>
      <c r="N502" s="2" t="s">
        <v>2883</v>
      </c>
      <c r="O502" s="2" t="s">
        <v>869</v>
      </c>
      <c r="P502" s="2" t="s">
        <v>870</v>
      </c>
    </row>
    <row r="503" ht="15.75" customHeight="1">
      <c r="F503" s="2" t="s">
        <v>581</v>
      </c>
      <c r="H503" s="2" t="s">
        <v>2884</v>
      </c>
      <c r="I503" s="2" t="s">
        <v>2885</v>
      </c>
      <c r="J503" s="2" t="s">
        <v>2886</v>
      </c>
      <c r="K503" s="2" t="s">
        <v>963</v>
      </c>
      <c r="L503" s="2" t="s">
        <v>866</v>
      </c>
      <c r="M503" s="2" t="s">
        <v>2887</v>
      </c>
      <c r="N503" s="2" t="s">
        <v>2888</v>
      </c>
      <c r="O503" s="2" t="s">
        <v>869</v>
      </c>
      <c r="P503" s="2" t="s">
        <v>870</v>
      </c>
    </row>
    <row r="504" ht="15.75" customHeight="1">
      <c r="H504" s="2" t="s">
        <v>2889</v>
      </c>
      <c r="I504" s="2" t="s">
        <v>583</v>
      </c>
      <c r="J504" s="2" t="s">
        <v>584</v>
      </c>
      <c r="K504" s="2" t="s">
        <v>880</v>
      </c>
      <c r="L504" s="2" t="s">
        <v>866</v>
      </c>
      <c r="M504" s="2" t="s">
        <v>2890</v>
      </c>
      <c r="N504" s="2" t="s">
        <v>2891</v>
      </c>
      <c r="O504" s="2" t="s">
        <v>869</v>
      </c>
      <c r="P504" s="2" t="s">
        <v>870</v>
      </c>
    </row>
    <row r="505" ht="15.75" customHeight="1">
      <c r="H505" s="2" t="s">
        <v>2892</v>
      </c>
      <c r="I505" s="2" t="s">
        <v>2893</v>
      </c>
      <c r="J505" s="2" t="s">
        <v>2893</v>
      </c>
      <c r="K505" s="2" t="s">
        <v>890</v>
      </c>
    </row>
    <row r="506" ht="15.75" customHeight="1">
      <c r="H506" s="2" t="s">
        <v>2894</v>
      </c>
      <c r="I506" s="2" t="s">
        <v>2895</v>
      </c>
      <c r="J506" s="2" t="s">
        <v>2896</v>
      </c>
      <c r="K506" s="2" t="s">
        <v>1145</v>
      </c>
      <c r="L506" s="2" t="s">
        <v>866</v>
      </c>
      <c r="M506" s="2" t="s">
        <v>2897</v>
      </c>
      <c r="N506" s="2" t="s">
        <v>2898</v>
      </c>
      <c r="O506" s="2" t="s">
        <v>869</v>
      </c>
      <c r="P506" s="2" t="s">
        <v>870</v>
      </c>
    </row>
    <row r="507" ht="15.75" customHeight="1">
      <c r="H507" s="2" t="s">
        <v>2899</v>
      </c>
      <c r="I507" s="2" t="s">
        <v>2900</v>
      </c>
      <c r="J507" s="2" t="s">
        <v>2901</v>
      </c>
      <c r="K507" s="2" t="s">
        <v>1406</v>
      </c>
    </row>
    <row r="508" ht="15.75" customHeight="1">
      <c r="F508" s="2" t="s">
        <v>2902</v>
      </c>
      <c r="H508" s="2" t="s">
        <v>2903</v>
      </c>
      <c r="I508" s="2" t="s">
        <v>2904</v>
      </c>
      <c r="J508" s="2" t="s">
        <v>2905</v>
      </c>
      <c r="L508" s="2" t="s">
        <v>866</v>
      </c>
      <c r="M508" s="2" t="s">
        <v>2906</v>
      </c>
      <c r="N508" s="2" t="s">
        <v>2907</v>
      </c>
      <c r="O508" s="2" t="s">
        <v>869</v>
      </c>
      <c r="P508" s="2" t="s">
        <v>870</v>
      </c>
    </row>
    <row r="509" ht="15.75" customHeight="1">
      <c r="H509" s="2" t="s">
        <v>2908</v>
      </c>
      <c r="I509" s="2" t="s">
        <v>2614</v>
      </c>
      <c r="J509" s="2" t="s">
        <v>2615</v>
      </c>
      <c r="K509" s="2" t="s">
        <v>1288</v>
      </c>
      <c r="L509" s="2" t="s">
        <v>866</v>
      </c>
      <c r="M509" s="2" t="s">
        <v>2909</v>
      </c>
      <c r="N509" s="2" t="s">
        <v>2910</v>
      </c>
      <c r="O509" s="2" t="s">
        <v>869</v>
      </c>
      <c r="P509" s="2" t="s">
        <v>870</v>
      </c>
    </row>
    <row r="510" ht="15.75" customHeight="1">
      <c r="H510" s="2" t="s">
        <v>2911</v>
      </c>
      <c r="I510" s="2" t="s">
        <v>2912</v>
      </c>
      <c r="J510" s="2" t="s">
        <v>2913</v>
      </c>
      <c r="K510" s="2" t="s">
        <v>890</v>
      </c>
      <c r="L510" s="2" t="s">
        <v>866</v>
      </c>
      <c r="M510" s="2" t="s">
        <v>2914</v>
      </c>
      <c r="N510" s="2" t="s">
        <v>2915</v>
      </c>
      <c r="O510" s="2" t="s">
        <v>869</v>
      </c>
      <c r="P510" s="2" t="s">
        <v>870</v>
      </c>
    </row>
    <row r="511" ht="15.75" customHeight="1">
      <c r="H511" s="2" t="s">
        <v>2916</v>
      </c>
      <c r="I511" s="2" t="s">
        <v>2917</v>
      </c>
      <c r="J511" s="2" t="s">
        <v>2918</v>
      </c>
      <c r="K511" s="2" t="s">
        <v>1551</v>
      </c>
      <c r="L511" s="2" t="s">
        <v>866</v>
      </c>
      <c r="M511" s="2" t="s">
        <v>2919</v>
      </c>
      <c r="N511" s="2" t="s">
        <v>2920</v>
      </c>
      <c r="O511" s="2" t="s">
        <v>869</v>
      </c>
      <c r="P511" s="2" t="s">
        <v>870</v>
      </c>
    </row>
    <row r="512" ht="15.75" customHeight="1">
      <c r="H512" s="2" t="s">
        <v>2921</v>
      </c>
      <c r="I512" s="2" t="s">
        <v>2922</v>
      </c>
      <c r="J512" s="2" t="s">
        <v>2923</v>
      </c>
      <c r="K512" s="2" t="s">
        <v>1007</v>
      </c>
    </row>
    <row r="513" ht="15.75" customHeight="1">
      <c r="H513" s="2" t="s">
        <v>2924</v>
      </c>
      <c r="I513" s="2" t="s">
        <v>2925</v>
      </c>
      <c r="J513" s="2" t="s">
        <v>2926</v>
      </c>
      <c r="K513" s="2" t="s">
        <v>896</v>
      </c>
      <c r="L513" s="2" t="s">
        <v>866</v>
      </c>
      <c r="M513" s="2" t="s">
        <v>2927</v>
      </c>
      <c r="N513" s="2" t="s">
        <v>2928</v>
      </c>
      <c r="O513" s="2" t="s">
        <v>869</v>
      </c>
      <c r="P513" s="2" t="s">
        <v>870</v>
      </c>
    </row>
    <row r="514" ht="15.75" customHeight="1">
      <c r="H514" s="2" t="s">
        <v>2929</v>
      </c>
      <c r="I514" s="2" t="s">
        <v>2930</v>
      </c>
      <c r="J514" s="2" t="s">
        <v>2931</v>
      </c>
      <c r="K514" s="2" t="s">
        <v>1508</v>
      </c>
      <c r="L514" s="2" t="s">
        <v>866</v>
      </c>
      <c r="M514" s="2" t="s">
        <v>2932</v>
      </c>
      <c r="N514" s="2" t="s">
        <v>2933</v>
      </c>
      <c r="O514" s="2" t="s">
        <v>869</v>
      </c>
      <c r="P514" s="2" t="s">
        <v>870</v>
      </c>
    </row>
    <row r="515" ht="15.75" customHeight="1">
      <c r="H515" s="2" t="s">
        <v>2934</v>
      </c>
      <c r="I515" s="2" t="s">
        <v>2935</v>
      </c>
      <c r="J515" s="2" t="s">
        <v>2936</v>
      </c>
      <c r="K515" s="2" t="s">
        <v>2937</v>
      </c>
      <c r="L515" s="2" t="s">
        <v>866</v>
      </c>
      <c r="M515" s="2" t="s">
        <v>2938</v>
      </c>
      <c r="N515" s="2" t="s">
        <v>2939</v>
      </c>
      <c r="O515" s="2" t="s">
        <v>869</v>
      </c>
      <c r="P515" s="2" t="s">
        <v>870</v>
      </c>
    </row>
    <row r="516" ht="15.75" customHeight="1">
      <c r="H516" s="2" t="s">
        <v>2940</v>
      </c>
      <c r="I516" s="2" t="s">
        <v>2941</v>
      </c>
      <c r="J516" s="2" t="s">
        <v>2942</v>
      </c>
      <c r="K516" s="2" t="s">
        <v>918</v>
      </c>
      <c r="L516" s="2" t="s">
        <v>866</v>
      </c>
      <c r="M516" s="2" t="s">
        <v>2943</v>
      </c>
      <c r="N516" s="2" t="s">
        <v>2944</v>
      </c>
      <c r="O516" s="2" t="s">
        <v>869</v>
      </c>
      <c r="P516" s="2" t="s">
        <v>870</v>
      </c>
    </row>
    <row r="517" ht="15.75" customHeight="1">
      <c r="H517" s="2" t="s">
        <v>2945</v>
      </c>
      <c r="I517" s="2" t="s">
        <v>2946</v>
      </c>
      <c r="J517" s="2" t="s">
        <v>2947</v>
      </c>
      <c r="K517" s="2" t="s">
        <v>2551</v>
      </c>
      <c r="L517" s="2" t="s">
        <v>866</v>
      </c>
      <c r="M517" s="2" t="s">
        <v>2948</v>
      </c>
      <c r="N517" s="2" t="s">
        <v>2949</v>
      </c>
      <c r="O517" s="2" t="s">
        <v>869</v>
      </c>
      <c r="P517" s="2" t="s">
        <v>870</v>
      </c>
    </row>
    <row r="518" ht="15.75" customHeight="1">
      <c r="H518" s="2" t="s">
        <v>2950</v>
      </c>
      <c r="I518" s="2" t="s">
        <v>2951</v>
      </c>
      <c r="J518" s="2" t="s">
        <v>2952</v>
      </c>
      <c r="K518" s="2" t="s">
        <v>1412</v>
      </c>
      <c r="L518" s="2" t="s">
        <v>866</v>
      </c>
      <c r="M518" s="2" t="s">
        <v>2953</v>
      </c>
      <c r="N518" s="2" t="s">
        <v>2954</v>
      </c>
      <c r="O518" s="2" t="s">
        <v>869</v>
      </c>
      <c r="P518" s="2" t="s">
        <v>870</v>
      </c>
    </row>
    <row r="519" ht="15.75" customHeight="1">
      <c r="H519" s="2" t="s">
        <v>2955</v>
      </c>
      <c r="I519" s="2" t="s">
        <v>2956</v>
      </c>
      <c r="J519" s="2" t="s">
        <v>2957</v>
      </c>
      <c r="K519" s="2" t="s">
        <v>1424</v>
      </c>
      <c r="L519" s="2" t="s">
        <v>866</v>
      </c>
      <c r="M519" s="2" t="s">
        <v>2958</v>
      </c>
      <c r="N519" s="2" t="s">
        <v>2959</v>
      </c>
      <c r="O519" s="2" t="s">
        <v>869</v>
      </c>
      <c r="P519" s="2" t="s">
        <v>870</v>
      </c>
    </row>
    <row r="520" ht="15.75" customHeight="1">
      <c r="H520" s="2" t="s">
        <v>2960</v>
      </c>
      <c r="I520" s="2" t="s">
        <v>2961</v>
      </c>
      <c r="J520" s="2" t="s">
        <v>2962</v>
      </c>
      <c r="K520" s="2" t="s">
        <v>2203</v>
      </c>
      <c r="L520" s="2" t="s">
        <v>866</v>
      </c>
      <c r="M520" s="2" t="s">
        <v>2963</v>
      </c>
      <c r="N520" s="2" t="s">
        <v>2964</v>
      </c>
      <c r="O520" s="2" t="s">
        <v>869</v>
      </c>
      <c r="P520" s="2" t="s">
        <v>870</v>
      </c>
    </row>
    <row r="521" ht="15.75" customHeight="1">
      <c r="H521" s="2" t="s">
        <v>2965</v>
      </c>
      <c r="I521" s="2" t="s">
        <v>2966</v>
      </c>
      <c r="J521" s="2" t="s">
        <v>2967</v>
      </c>
      <c r="K521" s="2" t="s">
        <v>1593</v>
      </c>
      <c r="L521" s="2" t="s">
        <v>866</v>
      </c>
      <c r="M521" s="2" t="s">
        <v>2968</v>
      </c>
      <c r="N521" s="2" t="s">
        <v>2969</v>
      </c>
      <c r="O521" s="2" t="s">
        <v>869</v>
      </c>
      <c r="P521" s="2" t="s">
        <v>870</v>
      </c>
    </row>
    <row r="522" ht="15.75" customHeight="1">
      <c r="F522" s="2" t="s">
        <v>598</v>
      </c>
      <c r="H522" s="2" t="s">
        <v>2970</v>
      </c>
      <c r="I522" s="2" t="s">
        <v>2971</v>
      </c>
      <c r="J522" s="2" t="s">
        <v>2972</v>
      </c>
      <c r="K522" s="2" t="s">
        <v>900</v>
      </c>
      <c r="L522" s="2" t="s">
        <v>866</v>
      </c>
      <c r="M522" s="2" t="s">
        <v>2973</v>
      </c>
      <c r="N522" s="2" t="s">
        <v>2974</v>
      </c>
      <c r="O522" s="2" t="s">
        <v>869</v>
      </c>
      <c r="P522" s="2" t="s">
        <v>870</v>
      </c>
    </row>
    <row r="523" ht="15.75" customHeight="1">
      <c r="H523" s="2" t="s">
        <v>2975</v>
      </c>
      <c r="I523" s="2" t="s">
        <v>2976</v>
      </c>
      <c r="J523" s="2" t="s">
        <v>2976</v>
      </c>
      <c r="K523" s="2" t="s">
        <v>947</v>
      </c>
    </row>
    <row r="524" ht="15.75" customHeight="1">
      <c r="H524" s="2" t="s">
        <v>2977</v>
      </c>
      <c r="I524" s="2" t="s">
        <v>2978</v>
      </c>
      <c r="J524" s="2" t="s">
        <v>2979</v>
      </c>
      <c r="K524" s="2" t="s">
        <v>280</v>
      </c>
      <c r="L524" s="2" t="s">
        <v>866</v>
      </c>
      <c r="M524" s="2" t="s">
        <v>2980</v>
      </c>
      <c r="N524" s="2" t="s">
        <v>2981</v>
      </c>
      <c r="O524" s="2" t="s">
        <v>869</v>
      </c>
      <c r="P524" s="2" t="s">
        <v>870</v>
      </c>
    </row>
    <row r="525" ht="15.75" customHeight="1">
      <c r="H525" s="2" t="s">
        <v>2982</v>
      </c>
      <c r="I525" s="2" t="s">
        <v>2983</v>
      </c>
      <c r="J525" s="2" t="s">
        <v>2984</v>
      </c>
      <c r="K525" s="2" t="s">
        <v>1878</v>
      </c>
      <c r="L525" s="2" t="s">
        <v>866</v>
      </c>
      <c r="M525" s="2" t="s">
        <v>2985</v>
      </c>
      <c r="N525" s="2" t="s">
        <v>2986</v>
      </c>
      <c r="O525" s="2" t="s">
        <v>869</v>
      </c>
      <c r="P525" s="2" t="s">
        <v>870</v>
      </c>
    </row>
    <row r="526" ht="15.75" customHeight="1">
      <c r="H526" s="2" t="s">
        <v>2987</v>
      </c>
      <c r="I526" s="2" t="s">
        <v>2988</v>
      </c>
      <c r="J526" s="2" t="s">
        <v>2989</v>
      </c>
      <c r="K526" s="2" t="s">
        <v>1467</v>
      </c>
    </row>
    <row r="527" ht="15.75" customHeight="1">
      <c r="H527" s="2" t="s">
        <v>2990</v>
      </c>
      <c r="I527" s="2" t="s">
        <v>2991</v>
      </c>
      <c r="J527" s="2" t="s">
        <v>2992</v>
      </c>
      <c r="K527" s="2" t="s">
        <v>1288</v>
      </c>
    </row>
    <row r="528" ht="15.75" customHeight="1">
      <c r="H528" s="2" t="s">
        <v>2993</v>
      </c>
      <c r="I528" s="2" t="s">
        <v>2994</v>
      </c>
      <c r="J528" s="2" t="s">
        <v>2995</v>
      </c>
      <c r="K528" s="2" t="s">
        <v>880</v>
      </c>
      <c r="L528" s="2" t="s">
        <v>866</v>
      </c>
      <c r="M528" s="2" t="s">
        <v>2996</v>
      </c>
      <c r="N528" s="2" t="s">
        <v>2997</v>
      </c>
      <c r="O528" s="2" t="s">
        <v>869</v>
      </c>
      <c r="P528" s="2" t="s">
        <v>870</v>
      </c>
    </row>
    <row r="529" ht="15.75" customHeight="1">
      <c r="H529" s="2" t="s">
        <v>2998</v>
      </c>
      <c r="I529" s="2" t="s">
        <v>2999</v>
      </c>
      <c r="J529" s="2" t="s">
        <v>3000</v>
      </c>
      <c r="K529" s="2" t="s">
        <v>886</v>
      </c>
      <c r="L529" s="2" t="s">
        <v>866</v>
      </c>
      <c r="M529" s="2" t="s">
        <v>3001</v>
      </c>
      <c r="N529" s="2" t="s">
        <v>3002</v>
      </c>
      <c r="O529" s="2" t="s">
        <v>869</v>
      </c>
      <c r="P529" s="2" t="s">
        <v>870</v>
      </c>
    </row>
    <row r="530" ht="15.75" customHeight="1">
      <c r="H530" s="2" t="s">
        <v>3003</v>
      </c>
      <c r="I530" s="2" t="s">
        <v>3004</v>
      </c>
      <c r="J530" s="2" t="s">
        <v>3005</v>
      </c>
      <c r="K530" s="2" t="s">
        <v>970</v>
      </c>
      <c r="L530" s="2" t="s">
        <v>866</v>
      </c>
      <c r="M530" s="2" t="s">
        <v>3006</v>
      </c>
      <c r="N530" s="2" t="s">
        <v>3007</v>
      </c>
      <c r="O530" s="2" t="s">
        <v>869</v>
      </c>
      <c r="P530" s="2" t="s">
        <v>870</v>
      </c>
    </row>
    <row r="531" ht="15.75" customHeight="1">
      <c r="H531" s="2" t="s">
        <v>3008</v>
      </c>
      <c r="I531" s="2" t="s">
        <v>3009</v>
      </c>
      <c r="J531" s="2" t="s">
        <v>3010</v>
      </c>
      <c r="K531" s="2" t="s">
        <v>896</v>
      </c>
      <c r="L531" s="2" t="s">
        <v>866</v>
      </c>
      <c r="M531" s="2" t="s">
        <v>3011</v>
      </c>
      <c r="N531" s="2" t="s">
        <v>3012</v>
      </c>
      <c r="O531" s="2" t="s">
        <v>869</v>
      </c>
      <c r="P531" s="2" t="s">
        <v>870</v>
      </c>
    </row>
    <row r="532" ht="15.75" customHeight="1">
      <c r="H532" s="2" t="s">
        <v>3013</v>
      </c>
      <c r="I532" s="2" t="s">
        <v>608</v>
      </c>
      <c r="J532" s="2" t="s">
        <v>609</v>
      </c>
      <c r="K532" s="2" t="s">
        <v>1508</v>
      </c>
      <c r="L532" s="2" t="s">
        <v>3014</v>
      </c>
      <c r="M532" s="2" t="s">
        <v>3015</v>
      </c>
      <c r="N532" s="2" t="s">
        <v>3016</v>
      </c>
      <c r="O532" s="2" t="s">
        <v>869</v>
      </c>
      <c r="P532" s="2" t="s">
        <v>870</v>
      </c>
    </row>
    <row r="533" ht="15.75" customHeight="1">
      <c r="H533" s="2" t="s">
        <v>3017</v>
      </c>
      <c r="I533" s="2" t="s">
        <v>3018</v>
      </c>
      <c r="J533" s="2" t="s">
        <v>3019</v>
      </c>
      <c r="K533" s="2" t="s">
        <v>1145</v>
      </c>
      <c r="L533" s="2" t="s">
        <v>866</v>
      </c>
      <c r="M533" s="2" t="s">
        <v>3020</v>
      </c>
      <c r="N533" s="2" t="s">
        <v>3021</v>
      </c>
      <c r="O533" s="2" t="s">
        <v>869</v>
      </c>
      <c r="P533" s="2" t="s">
        <v>870</v>
      </c>
    </row>
    <row r="534" ht="15.75" customHeight="1">
      <c r="H534" s="2" t="s">
        <v>3022</v>
      </c>
      <c r="I534" s="2" t="s">
        <v>3023</v>
      </c>
      <c r="J534" s="2" t="s">
        <v>3024</v>
      </c>
      <c r="K534" s="2" t="s">
        <v>918</v>
      </c>
      <c r="L534" s="2" t="s">
        <v>866</v>
      </c>
      <c r="M534" s="2" t="s">
        <v>3025</v>
      </c>
      <c r="N534" s="2" t="s">
        <v>3026</v>
      </c>
      <c r="O534" s="2" t="s">
        <v>869</v>
      </c>
      <c r="P534" s="2" t="s">
        <v>870</v>
      </c>
    </row>
    <row r="535" ht="15.75" customHeight="1">
      <c r="H535" s="2" t="s">
        <v>3027</v>
      </c>
      <c r="I535" s="2" t="s">
        <v>3028</v>
      </c>
      <c r="J535" s="2" t="s">
        <v>3029</v>
      </c>
      <c r="L535" s="2" t="s">
        <v>866</v>
      </c>
      <c r="M535" s="2" t="s">
        <v>3030</v>
      </c>
      <c r="N535" s="2" t="s">
        <v>3031</v>
      </c>
      <c r="O535" s="2" t="s">
        <v>869</v>
      </c>
      <c r="P535" s="2" t="s">
        <v>870</v>
      </c>
    </row>
    <row r="536" ht="15.75" customHeight="1">
      <c r="H536" s="2" t="s">
        <v>3032</v>
      </c>
      <c r="I536" s="2" t="s">
        <v>3033</v>
      </c>
      <c r="J536" s="2" t="s">
        <v>3034</v>
      </c>
      <c r="K536" s="2" t="s">
        <v>1141</v>
      </c>
      <c r="L536" s="2" t="s">
        <v>866</v>
      </c>
      <c r="M536" s="2" t="s">
        <v>3035</v>
      </c>
      <c r="N536" s="2" t="s">
        <v>3036</v>
      </c>
      <c r="O536" s="2" t="s">
        <v>869</v>
      </c>
      <c r="P536" s="2" t="s">
        <v>870</v>
      </c>
    </row>
    <row r="537" ht="15.75" customHeight="1">
      <c r="H537" s="2" t="s">
        <v>3037</v>
      </c>
      <c r="I537" s="2" t="s">
        <v>3038</v>
      </c>
      <c r="J537" s="2" t="s">
        <v>3039</v>
      </c>
      <c r="K537" s="2" t="s">
        <v>1157</v>
      </c>
      <c r="L537" s="2" t="s">
        <v>866</v>
      </c>
      <c r="M537" s="2" t="s">
        <v>3040</v>
      </c>
      <c r="N537" s="2" t="s">
        <v>3041</v>
      </c>
      <c r="O537" s="2" t="s">
        <v>869</v>
      </c>
      <c r="P537" s="2" t="s">
        <v>870</v>
      </c>
    </row>
    <row r="538" ht="15.75" customHeight="1">
      <c r="H538" s="2" t="s">
        <v>3042</v>
      </c>
      <c r="I538" s="2" t="s">
        <v>3043</v>
      </c>
      <c r="J538" s="2" t="s">
        <v>3044</v>
      </c>
      <c r="K538" s="2" t="s">
        <v>1433</v>
      </c>
      <c r="L538" s="2" t="s">
        <v>866</v>
      </c>
      <c r="M538" s="2" t="s">
        <v>3045</v>
      </c>
      <c r="N538" s="2" t="s">
        <v>3046</v>
      </c>
      <c r="O538" s="2" t="s">
        <v>869</v>
      </c>
      <c r="P538" s="2" t="s">
        <v>870</v>
      </c>
    </row>
    <row r="539" ht="15.75" customHeight="1">
      <c r="H539" s="2" t="s">
        <v>3047</v>
      </c>
      <c r="I539" s="2" t="s">
        <v>3048</v>
      </c>
      <c r="J539" s="2" t="s">
        <v>3049</v>
      </c>
      <c r="K539" s="2" t="s">
        <v>2171</v>
      </c>
      <c r="L539" s="2" t="s">
        <v>866</v>
      </c>
      <c r="M539" s="2" t="s">
        <v>3050</v>
      </c>
      <c r="N539" s="2" t="s">
        <v>3051</v>
      </c>
      <c r="O539" s="2" t="s">
        <v>869</v>
      </c>
      <c r="P539" s="2" t="s">
        <v>870</v>
      </c>
    </row>
    <row r="540" ht="15.75" customHeight="1">
      <c r="H540" s="2" t="s">
        <v>3052</v>
      </c>
      <c r="I540" s="2" t="s">
        <v>3053</v>
      </c>
      <c r="J540" s="2" t="s">
        <v>3054</v>
      </c>
      <c r="K540" s="2" t="s">
        <v>1175</v>
      </c>
      <c r="L540" s="2" t="s">
        <v>866</v>
      </c>
      <c r="M540" s="2" t="s">
        <v>3055</v>
      </c>
      <c r="N540" s="2" t="s">
        <v>3056</v>
      </c>
      <c r="O540" s="2" t="s">
        <v>869</v>
      </c>
      <c r="P540" s="2" t="s">
        <v>870</v>
      </c>
    </row>
    <row r="541" ht="15.75" customHeight="1">
      <c r="H541" s="2" t="s">
        <v>3057</v>
      </c>
      <c r="I541" s="2" t="s">
        <v>3058</v>
      </c>
      <c r="J541" s="2" t="s">
        <v>3059</v>
      </c>
      <c r="K541" s="2" t="s">
        <v>2585</v>
      </c>
      <c r="L541" s="2" t="s">
        <v>866</v>
      </c>
      <c r="M541" s="2" t="s">
        <v>3060</v>
      </c>
      <c r="N541" s="2" t="s">
        <v>3061</v>
      </c>
      <c r="O541" s="2" t="s">
        <v>869</v>
      </c>
      <c r="P541" s="2" t="s">
        <v>870</v>
      </c>
    </row>
    <row r="542" ht="15.75" customHeight="1">
      <c r="F542" s="2" t="s">
        <v>3062</v>
      </c>
      <c r="H542" s="2" t="s">
        <v>3063</v>
      </c>
      <c r="I542" s="2" t="s">
        <v>3064</v>
      </c>
      <c r="J542" s="2" t="s">
        <v>3065</v>
      </c>
      <c r="K542" s="2" t="s">
        <v>1878</v>
      </c>
      <c r="L542" s="2" t="s">
        <v>866</v>
      </c>
      <c r="M542" s="2" t="s">
        <v>3066</v>
      </c>
      <c r="N542" s="2" t="s">
        <v>3067</v>
      </c>
      <c r="O542" s="2" t="s">
        <v>869</v>
      </c>
      <c r="P542" s="2" t="s">
        <v>870</v>
      </c>
    </row>
    <row r="543" ht="15.75" customHeight="1">
      <c r="F543" s="2" t="s">
        <v>3068</v>
      </c>
      <c r="H543" s="2" t="s">
        <v>3069</v>
      </c>
      <c r="I543" s="2" t="s">
        <v>3070</v>
      </c>
      <c r="J543" s="2" t="s">
        <v>3071</v>
      </c>
      <c r="K543" s="2" t="s">
        <v>861</v>
      </c>
    </row>
    <row r="544" ht="15.75" customHeight="1">
      <c r="H544" s="2" t="s">
        <v>3072</v>
      </c>
      <c r="I544" s="2" t="s">
        <v>3073</v>
      </c>
      <c r="J544" s="2" t="s">
        <v>3074</v>
      </c>
      <c r="K544" s="2" t="s">
        <v>1362</v>
      </c>
    </row>
    <row r="545" ht="15.75" customHeight="1">
      <c r="H545" s="2" t="s">
        <v>3075</v>
      </c>
      <c r="I545" s="2" t="s">
        <v>3076</v>
      </c>
      <c r="J545" s="2" t="s">
        <v>3076</v>
      </c>
      <c r="K545" s="2" t="s">
        <v>958</v>
      </c>
    </row>
    <row r="546" ht="15.75" customHeight="1">
      <c r="H546" s="2" t="s">
        <v>3077</v>
      </c>
      <c r="I546" s="2" t="s">
        <v>3078</v>
      </c>
      <c r="J546" s="2" t="s">
        <v>3078</v>
      </c>
      <c r="K546" s="2" t="s">
        <v>880</v>
      </c>
    </row>
    <row r="547" ht="15.75" customHeight="1">
      <c r="F547" s="2" t="s">
        <v>3079</v>
      </c>
      <c r="H547" s="2" t="s">
        <v>3080</v>
      </c>
      <c r="I547" s="2" t="s">
        <v>3081</v>
      </c>
      <c r="J547" s="2" t="s">
        <v>3082</v>
      </c>
      <c r="K547" s="2" t="s">
        <v>853</v>
      </c>
      <c r="L547" s="2" t="s">
        <v>866</v>
      </c>
      <c r="M547" s="2" t="s">
        <v>3083</v>
      </c>
      <c r="N547" s="2" t="s">
        <v>3084</v>
      </c>
      <c r="O547" s="2" t="s">
        <v>869</v>
      </c>
      <c r="P547" s="2" t="s">
        <v>870</v>
      </c>
    </row>
    <row r="548" ht="15.75" customHeight="1">
      <c r="H548" s="2" t="s">
        <v>3085</v>
      </c>
      <c r="I548" s="2" t="s">
        <v>3086</v>
      </c>
      <c r="J548" s="2" t="s">
        <v>3087</v>
      </c>
      <c r="K548" s="2" t="s">
        <v>1878</v>
      </c>
      <c r="L548" s="2" t="s">
        <v>866</v>
      </c>
      <c r="M548" s="2" t="s">
        <v>3088</v>
      </c>
      <c r="N548" s="2" t="s">
        <v>3089</v>
      </c>
      <c r="O548" s="2" t="s">
        <v>869</v>
      </c>
      <c r="P548" s="2" t="s">
        <v>870</v>
      </c>
    </row>
    <row r="549" ht="15.75" customHeight="1">
      <c r="H549" s="2" t="s">
        <v>3090</v>
      </c>
      <c r="I549" s="2" t="s">
        <v>3091</v>
      </c>
      <c r="J549" s="2" t="s">
        <v>3092</v>
      </c>
      <c r="K549" s="2" t="s">
        <v>880</v>
      </c>
      <c r="L549" s="2" t="s">
        <v>866</v>
      </c>
      <c r="M549" s="2" t="s">
        <v>3093</v>
      </c>
      <c r="N549" s="2" t="s">
        <v>3094</v>
      </c>
      <c r="O549" s="2" t="s">
        <v>869</v>
      </c>
      <c r="P549" s="2" t="s">
        <v>870</v>
      </c>
    </row>
    <row r="550" ht="15.75" customHeight="1">
      <c r="H550" s="2" t="s">
        <v>3095</v>
      </c>
      <c r="I550" s="2" t="s">
        <v>3096</v>
      </c>
      <c r="J550" s="2" t="s">
        <v>3097</v>
      </c>
      <c r="K550" s="2" t="s">
        <v>1368</v>
      </c>
      <c r="L550" s="2" t="s">
        <v>866</v>
      </c>
      <c r="M550" s="2" t="s">
        <v>3098</v>
      </c>
      <c r="N550" s="2" t="s">
        <v>3099</v>
      </c>
      <c r="O550" s="2" t="s">
        <v>869</v>
      </c>
      <c r="P550" s="2" t="s">
        <v>870</v>
      </c>
    </row>
    <row r="551" ht="15.75" customHeight="1">
      <c r="H551" s="2" t="s">
        <v>3100</v>
      </c>
      <c r="I551" s="2" t="s">
        <v>3101</v>
      </c>
      <c r="J551" s="2" t="s">
        <v>3102</v>
      </c>
      <c r="K551" s="2" t="s">
        <v>966</v>
      </c>
      <c r="L551" s="2" t="s">
        <v>866</v>
      </c>
      <c r="M551" s="2" t="s">
        <v>3103</v>
      </c>
      <c r="N551" s="2" t="s">
        <v>3104</v>
      </c>
      <c r="O551" s="2" t="s">
        <v>869</v>
      </c>
      <c r="P551" s="2" t="s">
        <v>870</v>
      </c>
    </row>
    <row r="552" ht="15.75" customHeight="1">
      <c r="H552" s="2" t="s">
        <v>3105</v>
      </c>
      <c r="I552" s="2" t="s">
        <v>3106</v>
      </c>
      <c r="J552" s="2" t="s">
        <v>3107</v>
      </c>
      <c r="K552" s="2" t="s">
        <v>970</v>
      </c>
      <c r="L552" s="2" t="s">
        <v>866</v>
      </c>
      <c r="M552" s="2" t="s">
        <v>3108</v>
      </c>
      <c r="N552" s="2" t="s">
        <v>869</v>
      </c>
      <c r="O552" s="2" t="s">
        <v>870</v>
      </c>
    </row>
    <row r="553" ht="15.75" customHeight="1">
      <c r="H553" s="2" t="s">
        <v>3109</v>
      </c>
      <c r="I553" s="2" t="s">
        <v>3110</v>
      </c>
      <c r="J553" s="2" t="s">
        <v>3111</v>
      </c>
      <c r="K553" s="2" t="s">
        <v>1551</v>
      </c>
      <c r="L553" s="2" t="s">
        <v>866</v>
      </c>
      <c r="M553" s="2" t="s">
        <v>3112</v>
      </c>
      <c r="N553" s="2" t="s">
        <v>3113</v>
      </c>
      <c r="O553" s="2" t="s">
        <v>869</v>
      </c>
      <c r="P553" s="2" t="s">
        <v>870</v>
      </c>
    </row>
    <row r="554" ht="15.75" customHeight="1">
      <c r="H554" s="2" t="s">
        <v>3114</v>
      </c>
      <c r="I554" s="2" t="s">
        <v>3115</v>
      </c>
      <c r="J554" s="2" t="s">
        <v>3116</v>
      </c>
      <c r="K554" s="2" t="s">
        <v>896</v>
      </c>
      <c r="L554" s="2" t="s">
        <v>866</v>
      </c>
      <c r="M554" s="2" t="s">
        <v>3117</v>
      </c>
      <c r="N554" s="2" t="s">
        <v>3118</v>
      </c>
      <c r="O554" s="2" t="s">
        <v>869</v>
      </c>
      <c r="P554" s="2" t="s">
        <v>870</v>
      </c>
    </row>
    <row r="555" ht="15.75" customHeight="1">
      <c r="H555" s="2" t="s">
        <v>3119</v>
      </c>
      <c r="I555" s="2" t="s">
        <v>3120</v>
      </c>
      <c r="J555" s="2" t="s">
        <v>3121</v>
      </c>
      <c r="L555" s="2" t="s">
        <v>866</v>
      </c>
      <c r="M555" s="2" t="s">
        <v>3122</v>
      </c>
      <c r="N555" s="2" t="s">
        <v>3123</v>
      </c>
      <c r="O555" s="2" t="s">
        <v>869</v>
      </c>
      <c r="P555" s="2" t="s">
        <v>870</v>
      </c>
    </row>
    <row r="556" ht="15.75" customHeight="1">
      <c r="H556" s="2" t="s">
        <v>3124</v>
      </c>
      <c r="I556" s="2" t="s">
        <v>3125</v>
      </c>
      <c r="J556" s="2" t="s">
        <v>3126</v>
      </c>
      <c r="K556" s="2" t="s">
        <v>1141</v>
      </c>
      <c r="L556" s="2" t="s">
        <v>866</v>
      </c>
      <c r="M556" s="2" t="s">
        <v>3127</v>
      </c>
      <c r="N556" s="2" t="s">
        <v>3128</v>
      </c>
      <c r="O556" s="2" t="s">
        <v>869</v>
      </c>
      <c r="P556" s="2" t="s">
        <v>870</v>
      </c>
    </row>
    <row r="557" ht="15.75" customHeight="1">
      <c r="F557" s="2" t="s">
        <v>3129</v>
      </c>
      <c r="H557" s="2" t="s">
        <v>3130</v>
      </c>
      <c r="I557" s="2" t="s">
        <v>3131</v>
      </c>
      <c r="J557" s="2" t="s">
        <v>3132</v>
      </c>
      <c r="K557" s="2" t="s">
        <v>859</v>
      </c>
      <c r="L557" s="2" t="s">
        <v>866</v>
      </c>
      <c r="M557" s="2" t="s">
        <v>3133</v>
      </c>
      <c r="N557" s="2" t="s">
        <v>3134</v>
      </c>
      <c r="O557" s="2" t="s">
        <v>869</v>
      </c>
      <c r="P557" s="2" t="s">
        <v>870</v>
      </c>
    </row>
    <row r="558" ht="15.75" customHeight="1">
      <c r="H558" s="2" t="s">
        <v>3135</v>
      </c>
      <c r="I558" s="2" t="s">
        <v>3136</v>
      </c>
      <c r="J558" s="2" t="s">
        <v>3137</v>
      </c>
      <c r="K558" s="2" t="s">
        <v>853</v>
      </c>
      <c r="L558" s="2" t="s">
        <v>866</v>
      </c>
      <c r="M558" s="2" t="s">
        <v>3138</v>
      </c>
      <c r="N558" s="2" t="s">
        <v>3139</v>
      </c>
      <c r="O558" s="2" t="s">
        <v>869</v>
      </c>
      <c r="P558" s="2" t="s">
        <v>870</v>
      </c>
    </row>
    <row r="559" ht="15.75" customHeight="1">
      <c r="H559" s="2" t="s">
        <v>3140</v>
      </c>
      <c r="I559" s="2" t="s">
        <v>3141</v>
      </c>
      <c r="J559" s="2" t="s">
        <v>3142</v>
      </c>
      <c r="K559" s="2" t="s">
        <v>1362</v>
      </c>
      <c r="L559" s="2" t="s">
        <v>866</v>
      </c>
      <c r="M559" s="2" t="s">
        <v>3143</v>
      </c>
      <c r="N559" s="2" t="s">
        <v>3144</v>
      </c>
      <c r="O559" s="2" t="s">
        <v>869</v>
      </c>
      <c r="P559" s="2" t="s">
        <v>870</v>
      </c>
    </row>
    <row r="560" ht="15.75" customHeight="1">
      <c r="H560" s="2" t="s">
        <v>3145</v>
      </c>
      <c r="I560" s="2" t="s">
        <v>3146</v>
      </c>
      <c r="J560" s="2" t="s">
        <v>3147</v>
      </c>
      <c r="K560" s="2" t="s">
        <v>1288</v>
      </c>
      <c r="L560" s="2" t="s">
        <v>866</v>
      </c>
      <c r="M560" s="2" t="s">
        <v>3148</v>
      </c>
      <c r="N560" s="2" t="s">
        <v>3149</v>
      </c>
      <c r="O560" s="2" t="s">
        <v>869</v>
      </c>
      <c r="P560" s="2" t="s">
        <v>870</v>
      </c>
    </row>
    <row r="561" ht="15.75" customHeight="1">
      <c r="H561" s="2" t="s">
        <v>3150</v>
      </c>
      <c r="I561" s="2" t="s">
        <v>3151</v>
      </c>
      <c r="J561" s="2" t="s">
        <v>3152</v>
      </c>
      <c r="K561" s="2" t="s">
        <v>1368</v>
      </c>
      <c r="L561" s="2" t="s">
        <v>866</v>
      </c>
      <c r="M561" s="2" t="s">
        <v>3153</v>
      </c>
      <c r="N561" s="2" t="s">
        <v>3154</v>
      </c>
      <c r="O561" s="2" t="s">
        <v>869</v>
      </c>
      <c r="P561" s="2" t="s">
        <v>870</v>
      </c>
    </row>
    <row r="562" ht="15.75" customHeight="1">
      <c r="H562" s="2" t="s">
        <v>3155</v>
      </c>
      <c r="I562" s="2" t="s">
        <v>3156</v>
      </c>
      <c r="J562" s="2" t="s">
        <v>3157</v>
      </c>
      <c r="K562" s="2" t="s">
        <v>963</v>
      </c>
      <c r="L562" s="2" t="s">
        <v>866</v>
      </c>
      <c r="M562" s="2" t="s">
        <v>3158</v>
      </c>
      <c r="N562" s="2" t="s">
        <v>3159</v>
      </c>
      <c r="O562" s="2" t="s">
        <v>869</v>
      </c>
      <c r="P562" s="2" t="s">
        <v>870</v>
      </c>
    </row>
    <row r="563" ht="15.75" customHeight="1">
      <c r="H563" s="2" t="s">
        <v>3160</v>
      </c>
      <c r="I563" s="2" t="s">
        <v>3161</v>
      </c>
      <c r="J563" s="2" t="s">
        <v>3162</v>
      </c>
      <c r="K563" s="2" t="s">
        <v>1297</v>
      </c>
      <c r="L563" s="2" t="s">
        <v>866</v>
      </c>
      <c r="M563" s="2" t="s">
        <v>3163</v>
      </c>
      <c r="N563" s="2" t="s">
        <v>3164</v>
      </c>
      <c r="O563" s="2" t="s">
        <v>869</v>
      </c>
      <c r="P563" s="2" t="s">
        <v>870</v>
      </c>
    </row>
    <row r="564" ht="15.75" customHeight="1">
      <c r="H564" s="2" t="s">
        <v>3165</v>
      </c>
      <c r="I564" s="2" t="s">
        <v>3166</v>
      </c>
      <c r="J564" s="2" t="s">
        <v>3167</v>
      </c>
      <c r="K564" s="2" t="s">
        <v>886</v>
      </c>
      <c r="L564" s="2" t="s">
        <v>866</v>
      </c>
      <c r="M564" s="2" t="s">
        <v>3168</v>
      </c>
      <c r="N564" s="2" t="s">
        <v>3169</v>
      </c>
      <c r="O564" s="2" t="s">
        <v>869</v>
      </c>
      <c r="P564" s="2" t="s">
        <v>870</v>
      </c>
    </row>
    <row r="565" ht="15.75" customHeight="1">
      <c r="F565" s="2" t="s">
        <v>3170</v>
      </c>
      <c r="H565" s="2" t="s">
        <v>3171</v>
      </c>
      <c r="I565" s="2" t="s">
        <v>3172</v>
      </c>
      <c r="J565" s="2" t="s">
        <v>3173</v>
      </c>
      <c r="K565" s="2" t="s">
        <v>861</v>
      </c>
      <c r="L565" s="2" t="s">
        <v>866</v>
      </c>
      <c r="M565" s="2" t="s">
        <v>3174</v>
      </c>
      <c r="N565" s="2" t="s">
        <v>3175</v>
      </c>
      <c r="O565" s="2" t="s">
        <v>869</v>
      </c>
      <c r="P565" s="2" t="s">
        <v>870</v>
      </c>
    </row>
    <row r="566" ht="15.75" customHeight="1">
      <c r="H566" s="2" t="s">
        <v>3176</v>
      </c>
      <c r="I566" s="2" t="s">
        <v>3177</v>
      </c>
      <c r="J566" s="2" t="s">
        <v>3178</v>
      </c>
      <c r="K566" s="2" t="s">
        <v>1878</v>
      </c>
      <c r="L566" s="2" t="s">
        <v>866</v>
      </c>
      <c r="M566" s="2" t="s">
        <v>3179</v>
      </c>
      <c r="N566" s="2" t="s">
        <v>3180</v>
      </c>
      <c r="O566" s="2" t="s">
        <v>869</v>
      </c>
      <c r="P566" s="2" t="s">
        <v>870</v>
      </c>
    </row>
    <row r="567" ht="15.75" customHeight="1">
      <c r="F567" s="2" t="s">
        <v>624</v>
      </c>
      <c r="H567" s="2" t="s">
        <v>3181</v>
      </c>
      <c r="I567" s="2" t="s">
        <v>3182</v>
      </c>
      <c r="J567" s="2" t="s">
        <v>3183</v>
      </c>
      <c r="K567" s="2" t="s">
        <v>861</v>
      </c>
      <c r="L567" s="2" t="s">
        <v>866</v>
      </c>
      <c r="M567" s="2" t="s">
        <v>3184</v>
      </c>
      <c r="N567" s="2" t="s">
        <v>3185</v>
      </c>
      <c r="O567" s="2" t="s">
        <v>869</v>
      </c>
      <c r="P567" s="2" t="s">
        <v>870</v>
      </c>
    </row>
    <row r="568" ht="15.75" customHeight="1">
      <c r="H568" s="2" t="s">
        <v>3186</v>
      </c>
      <c r="I568" s="2" t="s">
        <v>3187</v>
      </c>
      <c r="J568" s="2" t="s">
        <v>3188</v>
      </c>
      <c r="K568" s="2" t="s">
        <v>947</v>
      </c>
      <c r="L568" s="2" t="s">
        <v>866</v>
      </c>
      <c r="M568" s="2" t="s">
        <v>3189</v>
      </c>
      <c r="N568" s="2" t="s">
        <v>3190</v>
      </c>
      <c r="O568" s="2" t="s">
        <v>869</v>
      </c>
      <c r="P568" s="2" t="s">
        <v>870</v>
      </c>
    </row>
    <row r="569" ht="15.75" customHeight="1">
      <c r="H569" s="2" t="s">
        <v>3191</v>
      </c>
      <c r="I569" s="2" t="s">
        <v>3192</v>
      </c>
      <c r="J569" s="2" t="s">
        <v>3193</v>
      </c>
      <c r="K569" s="2" t="s">
        <v>1061</v>
      </c>
      <c r="L569" s="2" t="s">
        <v>866</v>
      </c>
      <c r="M569" s="2" t="s">
        <v>3194</v>
      </c>
      <c r="N569" s="2" t="s">
        <v>3195</v>
      </c>
      <c r="O569" s="2" t="s">
        <v>869</v>
      </c>
      <c r="P569" s="2" t="s">
        <v>870</v>
      </c>
    </row>
    <row r="570" ht="15.75" customHeight="1">
      <c r="H570" s="2" t="s">
        <v>3196</v>
      </c>
      <c r="I570" s="2" t="s">
        <v>3197</v>
      </c>
      <c r="J570" s="2" t="s">
        <v>3198</v>
      </c>
      <c r="K570" s="2" t="s">
        <v>865</v>
      </c>
      <c r="L570" s="2" t="s">
        <v>866</v>
      </c>
      <c r="M570" s="2" t="s">
        <v>3199</v>
      </c>
      <c r="N570" s="2" t="s">
        <v>3200</v>
      </c>
      <c r="O570" s="2" t="s">
        <v>869</v>
      </c>
      <c r="P570" s="2" t="s">
        <v>870</v>
      </c>
    </row>
    <row r="571" ht="15.75" customHeight="1">
      <c r="H571" s="2" t="s">
        <v>3201</v>
      </c>
      <c r="I571" s="2" t="s">
        <v>3202</v>
      </c>
      <c r="J571" s="2" t="s">
        <v>3203</v>
      </c>
      <c r="K571" s="2" t="s">
        <v>853</v>
      </c>
      <c r="L571" s="2" t="s">
        <v>866</v>
      </c>
      <c r="M571" s="2" t="s">
        <v>3204</v>
      </c>
      <c r="N571" s="2" t="s">
        <v>3205</v>
      </c>
      <c r="O571" s="2" t="s">
        <v>869</v>
      </c>
      <c r="P571" s="2" t="s">
        <v>870</v>
      </c>
    </row>
    <row r="572" ht="15.75" customHeight="1">
      <c r="H572" s="2" t="s">
        <v>3206</v>
      </c>
      <c r="I572" s="2" t="s">
        <v>3207</v>
      </c>
      <c r="J572" s="2" t="s">
        <v>3208</v>
      </c>
      <c r="K572" s="2" t="s">
        <v>996</v>
      </c>
      <c r="L572" s="2" t="s">
        <v>866</v>
      </c>
      <c r="M572" s="2" t="s">
        <v>3209</v>
      </c>
      <c r="N572" s="2" t="s">
        <v>3210</v>
      </c>
      <c r="O572" s="2" t="s">
        <v>869</v>
      </c>
      <c r="P572" s="2" t="s">
        <v>870</v>
      </c>
    </row>
    <row r="573" ht="15.75" customHeight="1">
      <c r="H573" s="2" t="s">
        <v>3211</v>
      </c>
      <c r="I573" s="2" t="s">
        <v>3212</v>
      </c>
      <c r="J573" s="2" t="s">
        <v>3213</v>
      </c>
      <c r="K573" s="2" t="s">
        <v>1297</v>
      </c>
      <c r="L573" s="2" t="s">
        <v>3214</v>
      </c>
      <c r="M573" s="2" t="s">
        <v>3215</v>
      </c>
      <c r="N573" s="2" t="s">
        <v>3216</v>
      </c>
      <c r="O573" s="2" t="s">
        <v>869</v>
      </c>
      <c r="P573" s="2" t="s">
        <v>870</v>
      </c>
    </row>
    <row r="574" ht="15.75" customHeight="1">
      <c r="H574" s="2" t="s">
        <v>3217</v>
      </c>
      <c r="I574" s="2" t="s">
        <v>3218</v>
      </c>
      <c r="J574" s="2" t="s">
        <v>3219</v>
      </c>
      <c r="K574" s="2" t="s">
        <v>886</v>
      </c>
    </row>
    <row r="575" ht="15.75" customHeight="1">
      <c r="H575" s="2" t="s">
        <v>3220</v>
      </c>
      <c r="I575" s="2" t="s">
        <v>3221</v>
      </c>
      <c r="J575" s="2" t="s">
        <v>3222</v>
      </c>
      <c r="K575" s="2" t="s">
        <v>890</v>
      </c>
      <c r="L575" s="2" t="s">
        <v>866</v>
      </c>
      <c r="M575" s="2" t="s">
        <v>3223</v>
      </c>
      <c r="N575" s="2" t="s">
        <v>3224</v>
      </c>
      <c r="O575" s="2" t="s">
        <v>869</v>
      </c>
      <c r="P575" s="2" t="s">
        <v>870</v>
      </c>
    </row>
    <row r="576" ht="15.75" customHeight="1">
      <c r="H576" s="2" t="s">
        <v>3225</v>
      </c>
      <c r="I576" s="2" t="s">
        <v>3226</v>
      </c>
      <c r="J576" s="2" t="s">
        <v>3227</v>
      </c>
      <c r="K576" s="2" t="s">
        <v>1007</v>
      </c>
      <c r="L576" s="2" t="s">
        <v>866</v>
      </c>
      <c r="M576" s="2" t="s">
        <v>3228</v>
      </c>
      <c r="N576" s="2" t="s">
        <v>3229</v>
      </c>
      <c r="O576" s="2" t="s">
        <v>869</v>
      </c>
      <c r="P576" s="2" t="s">
        <v>870</v>
      </c>
    </row>
    <row r="577" ht="15.75" customHeight="1">
      <c r="H577" s="2" t="s">
        <v>3230</v>
      </c>
      <c r="I577" s="2" t="s">
        <v>3231</v>
      </c>
      <c r="J577" s="2" t="s">
        <v>3232</v>
      </c>
      <c r="K577" s="2" t="s">
        <v>283</v>
      </c>
      <c r="L577" s="2" t="s">
        <v>866</v>
      </c>
      <c r="M577" s="2" t="s">
        <v>3233</v>
      </c>
      <c r="N577" s="2" t="s">
        <v>3234</v>
      </c>
      <c r="O577" s="2" t="s">
        <v>869</v>
      </c>
      <c r="P577" s="2" t="s">
        <v>870</v>
      </c>
    </row>
    <row r="578" ht="15.75" customHeight="1">
      <c r="H578" s="2" t="s">
        <v>3235</v>
      </c>
      <c r="I578" s="2" t="s">
        <v>3236</v>
      </c>
      <c r="J578" s="2" t="s">
        <v>3237</v>
      </c>
      <c r="K578" s="2" t="s">
        <v>912</v>
      </c>
      <c r="L578" s="2" t="s">
        <v>866</v>
      </c>
      <c r="M578" s="2" t="s">
        <v>3238</v>
      </c>
      <c r="N578" s="2" t="s">
        <v>3239</v>
      </c>
      <c r="O578" s="2" t="s">
        <v>869</v>
      </c>
      <c r="P578" s="2" t="s">
        <v>870</v>
      </c>
    </row>
    <row r="579" ht="15.75" customHeight="1">
      <c r="H579" s="2" t="s">
        <v>3240</v>
      </c>
      <c r="I579" s="2" t="s">
        <v>3241</v>
      </c>
      <c r="J579" s="2" t="s">
        <v>3242</v>
      </c>
      <c r="K579" s="2" t="s">
        <v>918</v>
      </c>
      <c r="L579" s="2" t="s">
        <v>866</v>
      </c>
      <c r="M579" s="2" t="s">
        <v>3243</v>
      </c>
      <c r="N579" s="2" t="s">
        <v>3244</v>
      </c>
      <c r="O579" s="2" t="s">
        <v>869</v>
      </c>
      <c r="P579" s="2" t="s">
        <v>870</v>
      </c>
    </row>
    <row r="580" ht="15.75" customHeight="1">
      <c r="H580" s="2" t="s">
        <v>3245</v>
      </c>
      <c r="I580" s="2" t="s">
        <v>3246</v>
      </c>
      <c r="J580" s="2" t="s">
        <v>3247</v>
      </c>
      <c r="K580" s="2" t="s">
        <v>924</v>
      </c>
      <c r="L580" s="2" t="s">
        <v>866</v>
      </c>
      <c r="M580" s="2" t="s">
        <v>3248</v>
      </c>
      <c r="N580" s="2" t="s">
        <v>3249</v>
      </c>
      <c r="O580" s="2" t="s">
        <v>869</v>
      </c>
      <c r="P580" s="2" t="s">
        <v>870</v>
      </c>
    </row>
    <row r="581" ht="15.75" customHeight="1">
      <c r="H581" s="2" t="s">
        <v>3250</v>
      </c>
      <c r="I581" s="2" t="s">
        <v>3251</v>
      </c>
      <c r="J581" s="2" t="s">
        <v>3252</v>
      </c>
      <c r="K581" s="2" t="s">
        <v>1319</v>
      </c>
      <c r="L581" s="2" t="s">
        <v>866</v>
      </c>
      <c r="M581" s="2" t="s">
        <v>3253</v>
      </c>
      <c r="N581" s="2" t="s">
        <v>3254</v>
      </c>
      <c r="O581" s="2" t="s">
        <v>869</v>
      </c>
      <c r="P581" s="2" t="s">
        <v>870</v>
      </c>
    </row>
    <row r="582" ht="15.75" customHeight="1">
      <c r="H582" s="2" t="s">
        <v>3255</v>
      </c>
      <c r="I582" s="2" t="s">
        <v>3256</v>
      </c>
      <c r="J582" s="2" t="s">
        <v>3257</v>
      </c>
      <c r="K582" s="2" t="s">
        <v>1418</v>
      </c>
      <c r="L582" s="2" t="s">
        <v>866</v>
      </c>
      <c r="M582" s="2" t="s">
        <v>3258</v>
      </c>
      <c r="N582" s="2" t="s">
        <v>3259</v>
      </c>
      <c r="O582" s="2" t="s">
        <v>869</v>
      </c>
      <c r="P582" s="2" t="s">
        <v>870</v>
      </c>
    </row>
    <row r="583" ht="15.75" customHeight="1">
      <c r="H583" s="2" t="s">
        <v>3260</v>
      </c>
      <c r="I583" s="2" t="s">
        <v>3261</v>
      </c>
      <c r="J583" s="2" t="s">
        <v>3262</v>
      </c>
      <c r="K583" s="2" t="s">
        <v>1424</v>
      </c>
      <c r="L583" s="2" t="s">
        <v>866</v>
      </c>
      <c r="M583" s="2" t="s">
        <v>3263</v>
      </c>
      <c r="N583" s="2" t="s">
        <v>3264</v>
      </c>
      <c r="O583" s="2" t="s">
        <v>869</v>
      </c>
      <c r="P583" s="2" t="s">
        <v>870</v>
      </c>
    </row>
    <row r="584" ht="15.75" customHeight="1">
      <c r="H584" s="2" t="s">
        <v>3265</v>
      </c>
      <c r="I584" s="2" t="s">
        <v>3266</v>
      </c>
      <c r="J584" s="2" t="s">
        <v>3267</v>
      </c>
      <c r="K584" s="2" t="s">
        <v>2223</v>
      </c>
      <c r="L584" s="2" t="s">
        <v>866</v>
      </c>
      <c r="M584" s="2" t="s">
        <v>3268</v>
      </c>
      <c r="N584" s="2" t="s">
        <v>3269</v>
      </c>
      <c r="O584" s="2" t="s">
        <v>869</v>
      </c>
      <c r="P584" s="2" t="s">
        <v>870</v>
      </c>
    </row>
    <row r="585" ht="15.75" customHeight="1">
      <c r="H585" s="2" t="s">
        <v>3270</v>
      </c>
      <c r="I585" s="2" t="s">
        <v>3271</v>
      </c>
      <c r="J585" s="2" t="s">
        <v>3272</v>
      </c>
      <c r="K585" s="2" t="s">
        <v>1141</v>
      </c>
      <c r="L585" s="2" t="s">
        <v>866</v>
      </c>
      <c r="M585" s="2" t="s">
        <v>3273</v>
      </c>
      <c r="N585" s="2" t="s">
        <v>3274</v>
      </c>
      <c r="O585" s="2" t="s">
        <v>869</v>
      </c>
      <c r="P585" s="2" t="s">
        <v>870</v>
      </c>
    </row>
    <row r="586" ht="15.75" customHeight="1">
      <c r="H586" s="2" t="s">
        <v>3275</v>
      </c>
      <c r="I586" s="2" t="s">
        <v>3276</v>
      </c>
      <c r="J586" s="2" t="s">
        <v>3277</v>
      </c>
      <c r="K586" s="2" t="s">
        <v>1027</v>
      </c>
      <c r="L586" s="2" t="s">
        <v>866</v>
      </c>
      <c r="M586" s="2" t="s">
        <v>3278</v>
      </c>
      <c r="N586" s="2" t="s">
        <v>3279</v>
      </c>
      <c r="O586" s="2" t="s">
        <v>869</v>
      </c>
      <c r="P586" s="2" t="s">
        <v>870</v>
      </c>
    </row>
    <row r="587" ht="15.75" customHeight="1">
      <c r="H587" s="2" t="s">
        <v>3280</v>
      </c>
      <c r="I587" s="2" t="s">
        <v>3281</v>
      </c>
      <c r="J587" s="2" t="s">
        <v>3282</v>
      </c>
      <c r="K587" s="2" t="s">
        <v>1169</v>
      </c>
      <c r="L587" s="2" t="s">
        <v>866</v>
      </c>
      <c r="M587" s="2" t="s">
        <v>3283</v>
      </c>
      <c r="N587" s="2" t="s">
        <v>3284</v>
      </c>
      <c r="O587" s="2" t="s">
        <v>869</v>
      </c>
      <c r="P587" s="2" t="s">
        <v>870</v>
      </c>
    </row>
    <row r="588" ht="15.75" customHeight="1">
      <c r="H588" s="2" t="s">
        <v>3285</v>
      </c>
      <c r="I588" s="2" t="s">
        <v>3286</v>
      </c>
      <c r="J588" s="2" t="s">
        <v>3287</v>
      </c>
      <c r="K588" s="2" t="s">
        <v>1175</v>
      </c>
      <c r="L588" s="2" t="s">
        <v>866</v>
      </c>
      <c r="M588" s="2" t="s">
        <v>3288</v>
      </c>
      <c r="N588" s="2" t="s">
        <v>3289</v>
      </c>
      <c r="O588" s="2" t="s">
        <v>869</v>
      </c>
      <c r="P588" s="2" t="s">
        <v>870</v>
      </c>
    </row>
    <row r="589" ht="15.75" customHeight="1">
      <c r="H589" s="2" t="s">
        <v>3290</v>
      </c>
      <c r="I589" s="2" t="s">
        <v>3291</v>
      </c>
      <c r="J589" s="2" t="s">
        <v>3292</v>
      </c>
      <c r="K589" s="2" t="s">
        <v>1187</v>
      </c>
      <c r="L589" s="2" t="s">
        <v>866</v>
      </c>
      <c r="M589" s="2" t="s">
        <v>3293</v>
      </c>
      <c r="N589" s="2" t="s">
        <v>3294</v>
      </c>
      <c r="O589" s="2" t="s">
        <v>869</v>
      </c>
      <c r="P589" s="2" t="s">
        <v>870</v>
      </c>
    </row>
    <row r="590" ht="15.75" customHeight="1">
      <c r="H590" s="2" t="s">
        <v>3295</v>
      </c>
      <c r="I590" s="2" t="s">
        <v>3296</v>
      </c>
      <c r="J590" s="2" t="s">
        <v>3297</v>
      </c>
      <c r="K590" s="2" t="s">
        <v>3298</v>
      </c>
      <c r="L590" s="2" t="s">
        <v>866</v>
      </c>
      <c r="M590" s="2" t="s">
        <v>3299</v>
      </c>
      <c r="N590" s="2" t="s">
        <v>3300</v>
      </c>
      <c r="O590" s="2" t="s">
        <v>869</v>
      </c>
      <c r="P590" s="2" t="s">
        <v>870</v>
      </c>
    </row>
    <row r="591" ht="15.75" customHeight="1">
      <c r="H591" s="2" t="s">
        <v>3301</v>
      </c>
      <c r="I591" s="2" t="s">
        <v>3302</v>
      </c>
      <c r="J591" s="2" t="s">
        <v>3303</v>
      </c>
      <c r="K591" s="2" t="s">
        <v>1975</v>
      </c>
      <c r="L591" s="2" t="s">
        <v>866</v>
      </c>
      <c r="M591" s="2" t="s">
        <v>3304</v>
      </c>
      <c r="N591" s="2" t="s">
        <v>3305</v>
      </c>
      <c r="O591" s="2" t="s">
        <v>869</v>
      </c>
      <c r="P591" s="2" t="s">
        <v>870</v>
      </c>
    </row>
    <row r="592" ht="15.75" customHeight="1">
      <c r="H592" s="2" t="s">
        <v>3306</v>
      </c>
      <c r="I592" s="2" t="s">
        <v>3307</v>
      </c>
      <c r="J592" s="2" t="s">
        <v>3308</v>
      </c>
      <c r="K592" s="2" t="s">
        <v>3309</v>
      </c>
      <c r="L592" s="2" t="s">
        <v>866</v>
      </c>
      <c r="M592" s="2" t="s">
        <v>3310</v>
      </c>
      <c r="N592" s="2" t="s">
        <v>3311</v>
      </c>
      <c r="O592" s="2" t="s">
        <v>869</v>
      </c>
      <c r="P592" s="2" t="s">
        <v>870</v>
      </c>
    </row>
    <row r="593" ht="15.75" customHeight="1">
      <c r="H593" s="2" t="s">
        <v>3312</v>
      </c>
      <c r="I593" s="2" t="s">
        <v>3313</v>
      </c>
      <c r="J593" s="2" t="s">
        <v>3314</v>
      </c>
      <c r="K593" s="2" t="s">
        <v>1981</v>
      </c>
      <c r="L593" s="2" t="s">
        <v>3315</v>
      </c>
      <c r="M593" s="2" t="s">
        <v>3316</v>
      </c>
      <c r="N593" s="2" t="s">
        <v>3317</v>
      </c>
      <c r="O593" s="2" t="s">
        <v>869</v>
      </c>
      <c r="P593" s="2" t="s">
        <v>870</v>
      </c>
    </row>
    <row r="594" ht="15.75" customHeight="1">
      <c r="H594" s="2" t="s">
        <v>3318</v>
      </c>
      <c r="I594" s="2" t="s">
        <v>3319</v>
      </c>
      <c r="J594" s="2" t="s">
        <v>3320</v>
      </c>
      <c r="K594" s="2" t="s">
        <v>2594</v>
      </c>
      <c r="L594" s="2" t="s">
        <v>866</v>
      </c>
      <c r="M594" s="2" t="s">
        <v>3321</v>
      </c>
      <c r="N594" s="2" t="s">
        <v>3322</v>
      </c>
      <c r="O594" s="2" t="s">
        <v>869</v>
      </c>
      <c r="P594" s="2" t="s">
        <v>870</v>
      </c>
    </row>
    <row r="595" ht="15.75" customHeight="1">
      <c r="H595" s="2" t="s">
        <v>3323</v>
      </c>
      <c r="I595" s="2" t="s">
        <v>3324</v>
      </c>
      <c r="J595" s="2" t="s">
        <v>3325</v>
      </c>
      <c r="K595" s="2" t="s">
        <v>2278</v>
      </c>
      <c r="L595" s="2" t="s">
        <v>866</v>
      </c>
      <c r="M595" s="2" t="s">
        <v>3326</v>
      </c>
      <c r="N595" s="2" t="s">
        <v>3327</v>
      </c>
      <c r="O595" s="2" t="s">
        <v>869</v>
      </c>
      <c r="P595" s="2" t="s">
        <v>870</v>
      </c>
    </row>
    <row r="596" ht="15.75" customHeight="1">
      <c r="F596" s="2" t="s">
        <v>634</v>
      </c>
      <c r="H596" s="2" t="s">
        <v>3328</v>
      </c>
      <c r="I596" s="2" t="s">
        <v>3329</v>
      </c>
      <c r="J596" s="2" t="s">
        <v>3330</v>
      </c>
      <c r="K596" s="2" t="s">
        <v>853</v>
      </c>
      <c r="L596" s="2" t="s">
        <v>866</v>
      </c>
      <c r="M596" s="2" t="s">
        <v>3331</v>
      </c>
      <c r="N596" s="2" t="s">
        <v>3332</v>
      </c>
      <c r="O596" s="2" t="s">
        <v>869</v>
      </c>
      <c r="P596" s="2" t="s">
        <v>870</v>
      </c>
    </row>
    <row r="597" ht="15.75" customHeight="1">
      <c r="H597" s="2" t="s">
        <v>3333</v>
      </c>
      <c r="I597" s="2" t="s">
        <v>644</v>
      </c>
      <c r="J597" s="2" t="s">
        <v>645</v>
      </c>
      <c r="K597" s="2" t="s">
        <v>1362</v>
      </c>
      <c r="L597" s="2" t="s">
        <v>866</v>
      </c>
      <c r="M597" s="2" t="s">
        <v>3334</v>
      </c>
      <c r="N597" s="2" t="s">
        <v>3335</v>
      </c>
      <c r="O597" s="2" t="s">
        <v>869</v>
      </c>
      <c r="P597" s="2" t="s">
        <v>870</v>
      </c>
    </row>
    <row r="598" ht="15.75" customHeight="1">
      <c r="H598" s="2" t="s">
        <v>3336</v>
      </c>
      <c r="I598" s="2" t="s">
        <v>3337</v>
      </c>
      <c r="J598" s="2" t="s">
        <v>3338</v>
      </c>
      <c r="K598" s="2" t="s">
        <v>280</v>
      </c>
      <c r="L598" s="2" t="s">
        <v>866</v>
      </c>
      <c r="M598" s="2" t="s">
        <v>3339</v>
      </c>
      <c r="N598" s="2" t="s">
        <v>3340</v>
      </c>
      <c r="O598" s="2" t="s">
        <v>869</v>
      </c>
      <c r="P598" s="2" t="s">
        <v>870</v>
      </c>
    </row>
    <row r="599" ht="15.75" customHeight="1">
      <c r="H599" s="2" t="s">
        <v>3341</v>
      </c>
      <c r="I599" s="2" t="s">
        <v>3342</v>
      </c>
      <c r="J599" s="2" t="s">
        <v>3343</v>
      </c>
      <c r="K599" s="2" t="s">
        <v>1288</v>
      </c>
      <c r="L599" s="2" t="s">
        <v>866</v>
      </c>
      <c r="M599" s="2" t="s">
        <v>3344</v>
      </c>
      <c r="N599" s="2" t="s">
        <v>3345</v>
      </c>
      <c r="O599" s="2" t="s">
        <v>869</v>
      </c>
      <c r="P599" s="2" t="s">
        <v>870</v>
      </c>
    </row>
    <row r="600" ht="15.75" customHeight="1">
      <c r="H600" s="2" t="s">
        <v>3346</v>
      </c>
      <c r="I600" s="2" t="s">
        <v>3347</v>
      </c>
      <c r="J600" s="2" t="s">
        <v>3348</v>
      </c>
      <c r="K600" s="2" t="s">
        <v>996</v>
      </c>
      <c r="L600" s="2" t="s">
        <v>866</v>
      </c>
      <c r="M600" s="2" t="s">
        <v>3349</v>
      </c>
      <c r="N600" s="2" t="s">
        <v>3350</v>
      </c>
      <c r="O600" s="2" t="s">
        <v>869</v>
      </c>
      <c r="P600" s="2" t="s">
        <v>870</v>
      </c>
    </row>
    <row r="601" ht="15.75" customHeight="1">
      <c r="H601" s="2" t="s">
        <v>3351</v>
      </c>
      <c r="I601" s="2" t="s">
        <v>3352</v>
      </c>
      <c r="J601" s="2" t="s">
        <v>3353</v>
      </c>
      <c r="K601" s="2" t="s">
        <v>880</v>
      </c>
      <c r="L601" s="2" t="s">
        <v>866</v>
      </c>
      <c r="M601" s="2" t="s">
        <v>3354</v>
      </c>
      <c r="N601" s="2" t="s">
        <v>3355</v>
      </c>
      <c r="O601" s="2" t="s">
        <v>869</v>
      </c>
      <c r="P601" s="2" t="s">
        <v>870</v>
      </c>
    </row>
    <row r="602" ht="15.75" customHeight="1">
      <c r="H602" s="2" t="s">
        <v>3356</v>
      </c>
      <c r="I602" s="2" t="s">
        <v>3357</v>
      </c>
      <c r="J602" s="2" t="s">
        <v>3358</v>
      </c>
      <c r="K602" s="2" t="s">
        <v>886</v>
      </c>
      <c r="L602" s="2" t="s">
        <v>866</v>
      </c>
      <c r="M602" s="2" t="s">
        <v>3359</v>
      </c>
      <c r="N602" s="2" t="s">
        <v>3360</v>
      </c>
      <c r="O602" s="2" t="s">
        <v>869</v>
      </c>
      <c r="P602" s="2" t="s">
        <v>870</v>
      </c>
    </row>
    <row r="603" ht="15.75" customHeight="1">
      <c r="H603" s="2" t="s">
        <v>3361</v>
      </c>
      <c r="I603" s="2" t="s">
        <v>3362</v>
      </c>
      <c r="J603" s="2" t="s">
        <v>3363</v>
      </c>
      <c r="K603" s="2" t="s">
        <v>970</v>
      </c>
      <c r="L603" s="2" t="s">
        <v>866</v>
      </c>
      <c r="M603" s="2" t="s">
        <v>3364</v>
      </c>
      <c r="N603" s="2" t="s">
        <v>3365</v>
      </c>
      <c r="O603" s="2" t="s">
        <v>869</v>
      </c>
      <c r="P603" s="2" t="s">
        <v>870</v>
      </c>
    </row>
    <row r="604" ht="15.75" customHeight="1">
      <c r="H604" s="2" t="s">
        <v>3366</v>
      </c>
      <c r="I604" s="2" t="s">
        <v>1167</v>
      </c>
      <c r="J604" s="2" t="s">
        <v>1168</v>
      </c>
      <c r="K604" s="2" t="s">
        <v>283</v>
      </c>
      <c r="L604" s="2" t="s">
        <v>866</v>
      </c>
      <c r="M604" s="2" t="s">
        <v>3367</v>
      </c>
      <c r="N604" s="2" t="s">
        <v>3368</v>
      </c>
      <c r="O604" s="2" t="s">
        <v>869</v>
      </c>
      <c r="P604" s="2" t="s">
        <v>870</v>
      </c>
    </row>
    <row r="605" ht="15.75" customHeight="1">
      <c r="H605" s="2" t="s">
        <v>3369</v>
      </c>
      <c r="I605" s="2" t="s">
        <v>3370</v>
      </c>
      <c r="J605" s="2" t="s">
        <v>3371</v>
      </c>
      <c r="K605" s="2" t="s">
        <v>1136</v>
      </c>
      <c r="L605" s="2" t="s">
        <v>866</v>
      </c>
      <c r="M605" s="2" t="s">
        <v>3372</v>
      </c>
      <c r="N605" s="2" t="s">
        <v>3373</v>
      </c>
      <c r="O605" s="2" t="s">
        <v>869</v>
      </c>
      <c r="P605" s="2" t="s">
        <v>870</v>
      </c>
    </row>
    <row r="606" ht="15.75" customHeight="1">
      <c r="H606" s="2" t="s">
        <v>3374</v>
      </c>
      <c r="I606" s="2" t="s">
        <v>3375</v>
      </c>
      <c r="J606" s="2" t="s">
        <v>3376</v>
      </c>
      <c r="K606" s="2" t="s">
        <v>2937</v>
      </c>
      <c r="L606" s="2" t="s">
        <v>866</v>
      </c>
      <c r="M606" s="2" t="s">
        <v>3377</v>
      </c>
      <c r="N606" s="2" t="s">
        <v>3378</v>
      </c>
      <c r="O606" s="2" t="s">
        <v>869</v>
      </c>
      <c r="P606" s="2" t="s">
        <v>870</v>
      </c>
    </row>
    <row r="607" ht="15.75" customHeight="1">
      <c r="H607" s="2" t="s">
        <v>3379</v>
      </c>
      <c r="I607" s="2" t="s">
        <v>3380</v>
      </c>
      <c r="J607" s="2" t="s">
        <v>3381</v>
      </c>
      <c r="K607" s="2" t="s">
        <v>912</v>
      </c>
      <c r="L607" s="2" t="s">
        <v>866</v>
      </c>
      <c r="M607" s="2" t="s">
        <v>3382</v>
      </c>
      <c r="N607" s="2" t="s">
        <v>3383</v>
      </c>
      <c r="O607" s="2" t="s">
        <v>869</v>
      </c>
      <c r="P607" s="2" t="s">
        <v>870</v>
      </c>
    </row>
    <row r="608" ht="15.75" customHeight="1">
      <c r="F608" s="2" t="s">
        <v>3384</v>
      </c>
      <c r="H608" s="2" t="s">
        <v>3385</v>
      </c>
      <c r="I608" s="2" t="s">
        <v>3386</v>
      </c>
      <c r="J608" s="2" t="s">
        <v>3387</v>
      </c>
      <c r="K608" s="2" t="s">
        <v>861</v>
      </c>
      <c r="L608" s="2" t="s">
        <v>866</v>
      </c>
      <c r="M608" s="2" t="s">
        <v>3388</v>
      </c>
      <c r="N608" s="2" t="s">
        <v>3389</v>
      </c>
      <c r="O608" s="2" t="s">
        <v>869</v>
      </c>
      <c r="P608" s="2" t="s">
        <v>870</v>
      </c>
    </row>
    <row r="609" ht="15.75" customHeight="1">
      <c r="H609" s="2" t="s">
        <v>3390</v>
      </c>
      <c r="I609" s="2" t="s">
        <v>3391</v>
      </c>
      <c r="J609" s="2" t="s">
        <v>3392</v>
      </c>
      <c r="K609" s="2" t="s">
        <v>853</v>
      </c>
      <c r="L609" s="2" t="s">
        <v>866</v>
      </c>
      <c r="M609" s="2" t="s">
        <v>3393</v>
      </c>
      <c r="N609" s="2" t="s">
        <v>3394</v>
      </c>
      <c r="O609" s="2" t="s">
        <v>869</v>
      </c>
      <c r="P609" s="2" t="s">
        <v>870</v>
      </c>
    </row>
    <row r="610" ht="15.75" customHeight="1">
      <c r="H610" s="2" t="s">
        <v>3395</v>
      </c>
      <c r="I610" s="2" t="s">
        <v>3396</v>
      </c>
      <c r="J610" s="2" t="s">
        <v>3397</v>
      </c>
      <c r="K610" s="2" t="s">
        <v>947</v>
      </c>
      <c r="L610" s="2" t="s">
        <v>866</v>
      </c>
      <c r="M610" s="2" t="s">
        <v>3398</v>
      </c>
      <c r="N610" s="2" t="s">
        <v>3399</v>
      </c>
      <c r="O610" s="2" t="s">
        <v>869</v>
      </c>
      <c r="P610" s="2" t="s">
        <v>870</v>
      </c>
    </row>
    <row r="611" ht="15.75" customHeight="1">
      <c r="H611" s="2" t="s">
        <v>3400</v>
      </c>
      <c r="I611" s="2" t="s">
        <v>3401</v>
      </c>
      <c r="J611" s="2" t="s">
        <v>3402</v>
      </c>
      <c r="K611" s="2" t="s">
        <v>1288</v>
      </c>
      <c r="L611" s="2" t="s">
        <v>866</v>
      </c>
      <c r="M611" s="2" t="s">
        <v>3403</v>
      </c>
      <c r="N611" s="2" t="s">
        <v>3404</v>
      </c>
      <c r="O611" s="2" t="s">
        <v>869</v>
      </c>
      <c r="P611" s="2" t="s">
        <v>870</v>
      </c>
    </row>
    <row r="612" ht="15.75" customHeight="1">
      <c r="H612" s="2" t="s">
        <v>3405</v>
      </c>
      <c r="I612" s="2" t="s">
        <v>3406</v>
      </c>
      <c r="J612" s="2" t="s">
        <v>3407</v>
      </c>
      <c r="K612" s="2" t="s">
        <v>1368</v>
      </c>
      <c r="L612" s="2" t="s">
        <v>866</v>
      </c>
      <c r="M612" s="2" t="s">
        <v>3408</v>
      </c>
      <c r="N612" s="2" t="s">
        <v>3409</v>
      </c>
      <c r="O612" s="2" t="s">
        <v>869</v>
      </c>
      <c r="P612" s="2" t="s">
        <v>870</v>
      </c>
    </row>
    <row r="613" ht="15.75" customHeight="1">
      <c r="H613" s="2" t="s">
        <v>3410</v>
      </c>
      <c r="I613" s="2" t="s">
        <v>3411</v>
      </c>
      <c r="J613" s="2" t="s">
        <v>3412</v>
      </c>
      <c r="K613" s="2" t="s">
        <v>958</v>
      </c>
      <c r="L613" s="2" t="s">
        <v>866</v>
      </c>
      <c r="M613" s="2" t="s">
        <v>3413</v>
      </c>
      <c r="N613" s="2" t="s">
        <v>3414</v>
      </c>
      <c r="O613" s="2" t="s">
        <v>869</v>
      </c>
      <c r="P613" s="2" t="s">
        <v>870</v>
      </c>
    </row>
    <row r="614" ht="15.75" customHeight="1">
      <c r="H614" s="2" t="s">
        <v>3415</v>
      </c>
      <c r="I614" s="2" t="s">
        <v>3053</v>
      </c>
      <c r="J614" s="2" t="s">
        <v>3054</v>
      </c>
      <c r="K614" s="2" t="s">
        <v>1297</v>
      </c>
      <c r="L614" s="2" t="s">
        <v>866</v>
      </c>
      <c r="M614" s="2" t="s">
        <v>3416</v>
      </c>
      <c r="N614" s="2" t="s">
        <v>3417</v>
      </c>
      <c r="O614" s="2" t="s">
        <v>869</v>
      </c>
      <c r="P614" s="2" t="s">
        <v>870</v>
      </c>
    </row>
    <row r="615" ht="15.75" customHeight="1">
      <c r="H615" s="2" t="s">
        <v>3418</v>
      </c>
      <c r="I615" s="2" t="s">
        <v>3419</v>
      </c>
      <c r="J615" s="2" t="s">
        <v>3420</v>
      </c>
      <c r="K615" s="2" t="s">
        <v>890</v>
      </c>
      <c r="L615" s="2" t="s">
        <v>866</v>
      </c>
      <c r="M615" s="2" t="s">
        <v>3421</v>
      </c>
      <c r="N615" s="2" t="s">
        <v>3422</v>
      </c>
      <c r="O615" s="2" t="s">
        <v>869</v>
      </c>
      <c r="P615" s="2" t="s">
        <v>870</v>
      </c>
    </row>
    <row r="616" ht="15.75" customHeight="1">
      <c r="F616" s="2" t="s">
        <v>651</v>
      </c>
      <c r="H616" s="2" t="s">
        <v>3423</v>
      </c>
      <c r="I616" s="2" t="s">
        <v>3424</v>
      </c>
      <c r="J616" s="2" t="s">
        <v>3425</v>
      </c>
      <c r="K616" s="2" t="s">
        <v>861</v>
      </c>
      <c r="L616" s="2" t="s">
        <v>866</v>
      </c>
      <c r="M616" s="2" t="s">
        <v>3426</v>
      </c>
      <c r="N616" s="2" t="s">
        <v>3427</v>
      </c>
      <c r="O616" s="2" t="s">
        <v>869</v>
      </c>
      <c r="P616" s="2" t="s">
        <v>870</v>
      </c>
    </row>
    <row r="617" ht="15.75" customHeight="1">
      <c r="H617" s="2" t="s">
        <v>3428</v>
      </c>
      <c r="I617" s="2" t="s">
        <v>3429</v>
      </c>
      <c r="J617" s="2" t="s">
        <v>3430</v>
      </c>
      <c r="K617" s="2" t="s">
        <v>1061</v>
      </c>
      <c r="L617" s="2" t="s">
        <v>866</v>
      </c>
      <c r="M617" s="2" t="s">
        <v>3431</v>
      </c>
      <c r="N617" s="2" t="s">
        <v>3432</v>
      </c>
      <c r="O617" s="2" t="s">
        <v>869</v>
      </c>
      <c r="P617" s="2" t="s">
        <v>870</v>
      </c>
    </row>
    <row r="618" ht="15.75" customHeight="1">
      <c r="H618" s="2" t="s">
        <v>3433</v>
      </c>
      <c r="I618" s="2" t="s">
        <v>3434</v>
      </c>
      <c r="J618" s="2" t="s">
        <v>3435</v>
      </c>
      <c r="K618" s="2" t="s">
        <v>1362</v>
      </c>
      <c r="L618" s="2" t="s">
        <v>866</v>
      </c>
      <c r="M618" s="2" t="s">
        <v>3436</v>
      </c>
      <c r="N618" s="2" t="s">
        <v>3437</v>
      </c>
      <c r="O618" s="2" t="s">
        <v>869</v>
      </c>
      <c r="P618" s="2" t="s">
        <v>870</v>
      </c>
    </row>
    <row r="619" ht="15.75" customHeight="1">
      <c r="H619" s="2" t="s">
        <v>3438</v>
      </c>
      <c r="I619" s="2" t="s">
        <v>3439</v>
      </c>
      <c r="J619" s="2" t="s">
        <v>3440</v>
      </c>
      <c r="K619" s="2" t="s">
        <v>865</v>
      </c>
      <c r="L619" s="2" t="s">
        <v>866</v>
      </c>
      <c r="M619" s="2" t="s">
        <v>3441</v>
      </c>
      <c r="N619" s="2" t="s">
        <v>3442</v>
      </c>
      <c r="O619" s="2" t="s">
        <v>869</v>
      </c>
      <c r="P619" s="2" t="s">
        <v>870</v>
      </c>
    </row>
    <row r="620" ht="15.75" customHeight="1">
      <c r="H620" s="2" t="s">
        <v>3443</v>
      </c>
      <c r="I620" s="2" t="s">
        <v>3221</v>
      </c>
      <c r="J620" s="2" t="s">
        <v>3222</v>
      </c>
      <c r="K620" s="2" t="s">
        <v>1368</v>
      </c>
      <c r="L620" s="2" t="s">
        <v>866</v>
      </c>
      <c r="M620" s="2" t="s">
        <v>3444</v>
      </c>
      <c r="N620" s="2" t="s">
        <v>3445</v>
      </c>
      <c r="O620" s="2" t="s">
        <v>869</v>
      </c>
      <c r="P620" s="2" t="s">
        <v>870</v>
      </c>
    </row>
    <row r="621" ht="15.75" customHeight="1">
      <c r="H621" s="2" t="s">
        <v>3446</v>
      </c>
      <c r="I621" s="2" t="s">
        <v>3447</v>
      </c>
      <c r="J621" s="2" t="s">
        <v>3448</v>
      </c>
      <c r="K621" s="2" t="s">
        <v>996</v>
      </c>
      <c r="L621" s="2" t="s">
        <v>866</v>
      </c>
      <c r="M621" s="2" t="s">
        <v>3449</v>
      </c>
      <c r="N621" s="2" t="s">
        <v>3450</v>
      </c>
      <c r="O621" s="2" t="s">
        <v>869</v>
      </c>
      <c r="P621" s="2" t="s">
        <v>870</v>
      </c>
    </row>
    <row r="622" ht="15.75" customHeight="1">
      <c r="H622" s="2" t="s">
        <v>3451</v>
      </c>
      <c r="I622" s="2" t="s">
        <v>3452</v>
      </c>
      <c r="J622" s="2" t="s">
        <v>3453</v>
      </c>
      <c r="K622" s="2" t="s">
        <v>886</v>
      </c>
      <c r="L622" s="2" t="s">
        <v>866</v>
      </c>
      <c r="M622" s="2" t="s">
        <v>3454</v>
      </c>
      <c r="N622" s="2" t="s">
        <v>3455</v>
      </c>
      <c r="O622" s="2" t="s">
        <v>869</v>
      </c>
      <c r="P622" s="2" t="s">
        <v>870</v>
      </c>
    </row>
    <row r="623" ht="15.75" customHeight="1">
      <c r="H623" s="2" t="s">
        <v>3456</v>
      </c>
      <c r="I623" s="2" t="s">
        <v>3457</v>
      </c>
      <c r="J623" s="2" t="s">
        <v>3458</v>
      </c>
      <c r="K623" s="2" t="s">
        <v>1551</v>
      </c>
      <c r="L623" s="2" t="s">
        <v>866</v>
      </c>
      <c r="M623" s="2" t="s">
        <v>3459</v>
      </c>
      <c r="N623" s="2" t="s">
        <v>3460</v>
      </c>
      <c r="O623" s="2" t="s">
        <v>869</v>
      </c>
      <c r="P623" s="2" t="s">
        <v>870</v>
      </c>
    </row>
    <row r="624" ht="15.75" customHeight="1">
      <c r="H624" s="2" t="s">
        <v>3461</v>
      </c>
      <c r="I624" s="2" t="s">
        <v>3462</v>
      </c>
      <c r="J624" s="2" t="s">
        <v>3463</v>
      </c>
      <c r="K624" s="2" t="s">
        <v>1136</v>
      </c>
      <c r="L624" s="2" t="s">
        <v>866</v>
      </c>
      <c r="M624" s="2" t="s">
        <v>3464</v>
      </c>
      <c r="N624" s="2" t="s">
        <v>3465</v>
      </c>
      <c r="O624" s="2" t="s">
        <v>869</v>
      </c>
      <c r="P624" s="2" t="s">
        <v>870</v>
      </c>
    </row>
    <row r="625" ht="15.75" customHeight="1">
      <c r="H625" s="2" t="s">
        <v>3466</v>
      </c>
      <c r="I625" s="2" t="s">
        <v>3467</v>
      </c>
      <c r="J625" s="2" t="s">
        <v>3468</v>
      </c>
      <c r="K625" s="2" t="s">
        <v>2737</v>
      </c>
      <c r="L625" s="2" t="s">
        <v>866</v>
      </c>
      <c r="M625" s="2" t="s">
        <v>3469</v>
      </c>
      <c r="N625" s="2" t="s">
        <v>3470</v>
      </c>
      <c r="O625" s="2" t="s">
        <v>869</v>
      </c>
      <c r="P625" s="2" t="s">
        <v>870</v>
      </c>
    </row>
    <row r="626" ht="15.75" customHeight="1">
      <c r="H626" s="2" t="s">
        <v>3471</v>
      </c>
      <c r="I626" s="2" t="s">
        <v>3472</v>
      </c>
      <c r="J626" s="2" t="s">
        <v>3473</v>
      </c>
      <c r="K626" s="2" t="s">
        <v>906</v>
      </c>
      <c r="L626" s="2" t="s">
        <v>866</v>
      </c>
      <c r="M626" s="2" t="s">
        <v>3474</v>
      </c>
      <c r="N626" s="2" t="s">
        <v>869</v>
      </c>
      <c r="O626" s="2" t="s">
        <v>870</v>
      </c>
    </row>
    <row r="627" ht="15.75" customHeight="1">
      <c r="H627" s="2" t="s">
        <v>3475</v>
      </c>
      <c r="I627" s="2" t="s">
        <v>3476</v>
      </c>
      <c r="J627" s="2" t="s">
        <v>3477</v>
      </c>
      <c r="K627" s="2" t="s">
        <v>1313</v>
      </c>
      <c r="L627" s="2" t="s">
        <v>866</v>
      </c>
      <c r="M627" s="2" t="s">
        <v>3478</v>
      </c>
      <c r="N627" s="2" t="s">
        <v>3479</v>
      </c>
      <c r="O627" s="2" t="s">
        <v>869</v>
      </c>
      <c r="P627" s="2" t="s">
        <v>870</v>
      </c>
    </row>
    <row r="628" ht="15.75" customHeight="1">
      <c r="H628" s="2" t="s">
        <v>3480</v>
      </c>
      <c r="I628" s="2" t="s">
        <v>432</v>
      </c>
      <c r="J628" s="2" t="s">
        <v>433</v>
      </c>
      <c r="K628" s="2" t="s">
        <v>912</v>
      </c>
      <c r="L628" s="2" t="s">
        <v>866</v>
      </c>
      <c r="M628" s="2" t="s">
        <v>3481</v>
      </c>
      <c r="N628" s="2" t="s">
        <v>3482</v>
      </c>
      <c r="O628" s="2" t="s">
        <v>869</v>
      </c>
      <c r="P628" s="2" t="s">
        <v>870</v>
      </c>
    </row>
    <row r="629" ht="15.75" customHeight="1">
      <c r="H629" s="2" t="s">
        <v>3483</v>
      </c>
      <c r="I629" s="2" t="s">
        <v>3484</v>
      </c>
      <c r="J629" s="2" t="s">
        <v>3485</v>
      </c>
      <c r="K629" s="2" t="s">
        <v>924</v>
      </c>
      <c r="L629" s="2" t="s">
        <v>866</v>
      </c>
      <c r="M629" s="2" t="s">
        <v>3486</v>
      </c>
      <c r="N629" s="2" t="s">
        <v>3487</v>
      </c>
      <c r="O629" s="2" t="s">
        <v>869</v>
      </c>
      <c r="P629" s="2" t="s">
        <v>870</v>
      </c>
    </row>
    <row r="630" ht="15.75" customHeight="1">
      <c r="H630" s="2" t="s">
        <v>3488</v>
      </c>
      <c r="I630" s="2" t="s">
        <v>3489</v>
      </c>
      <c r="J630" s="2" t="s">
        <v>3490</v>
      </c>
      <c r="K630" s="2" t="s">
        <v>1412</v>
      </c>
      <c r="L630" s="2" t="s">
        <v>866</v>
      </c>
      <c r="M630" s="2" t="s">
        <v>3491</v>
      </c>
      <c r="N630" s="2" t="s">
        <v>3492</v>
      </c>
      <c r="O630" s="2" t="s">
        <v>869</v>
      </c>
      <c r="P630" s="2" t="s">
        <v>870</v>
      </c>
    </row>
    <row r="631" ht="15.75" customHeight="1">
      <c r="H631" s="2" t="s">
        <v>3493</v>
      </c>
      <c r="I631" s="2" t="s">
        <v>3494</v>
      </c>
      <c r="J631" s="2" t="s">
        <v>3495</v>
      </c>
      <c r="K631" s="2" t="s">
        <v>1406</v>
      </c>
      <c r="L631" s="2" t="s">
        <v>866</v>
      </c>
      <c r="M631" s="2" t="s">
        <v>3496</v>
      </c>
      <c r="N631" s="2" t="s">
        <v>3497</v>
      </c>
      <c r="O631" s="2" t="s">
        <v>869</v>
      </c>
      <c r="P631" s="2" t="s">
        <v>870</v>
      </c>
    </row>
    <row r="632" ht="15.75" customHeight="1">
      <c r="H632" s="2" t="s">
        <v>3498</v>
      </c>
      <c r="I632" s="2" t="s">
        <v>3499</v>
      </c>
      <c r="J632" s="2" t="s">
        <v>3500</v>
      </c>
      <c r="K632" s="2" t="s">
        <v>1424</v>
      </c>
      <c r="L632" s="2" t="s">
        <v>866</v>
      </c>
      <c r="M632" s="2" t="s">
        <v>3501</v>
      </c>
      <c r="N632" s="2" t="s">
        <v>3502</v>
      </c>
      <c r="O632" s="2" t="s">
        <v>869</v>
      </c>
      <c r="P632" s="2" t="s">
        <v>870</v>
      </c>
    </row>
    <row r="633" ht="15.75" customHeight="1">
      <c r="H633" s="2" t="s">
        <v>3503</v>
      </c>
      <c r="I633" s="2" t="s">
        <v>3504</v>
      </c>
      <c r="J633" s="2" t="s">
        <v>3505</v>
      </c>
      <c r="K633" s="2" t="s">
        <v>2203</v>
      </c>
      <c r="L633" s="2" t="s">
        <v>866</v>
      </c>
      <c r="M633" s="2" t="s">
        <v>3506</v>
      </c>
      <c r="N633" s="2" t="s">
        <v>3507</v>
      </c>
      <c r="O633" s="2" t="s">
        <v>869</v>
      </c>
      <c r="P633" s="2" t="s">
        <v>870</v>
      </c>
    </row>
    <row r="634" ht="15.75" customHeight="1">
      <c r="H634" s="2" t="s">
        <v>3508</v>
      </c>
      <c r="I634" s="2" t="s">
        <v>257</v>
      </c>
      <c r="J634" s="2" t="s">
        <v>258</v>
      </c>
      <c r="K634" s="2" t="s">
        <v>1325</v>
      </c>
      <c r="L634" s="2" t="s">
        <v>866</v>
      </c>
      <c r="M634" s="2" t="s">
        <v>3509</v>
      </c>
      <c r="N634" s="2" t="s">
        <v>3510</v>
      </c>
      <c r="O634" s="2" t="s">
        <v>869</v>
      </c>
      <c r="P634" s="2" t="s">
        <v>870</v>
      </c>
    </row>
    <row r="635" ht="15.75" customHeight="1">
      <c r="H635" s="2" t="s">
        <v>3511</v>
      </c>
      <c r="I635" s="2" t="s">
        <v>3512</v>
      </c>
      <c r="J635" s="2" t="s">
        <v>3513</v>
      </c>
      <c r="K635" s="2" t="s">
        <v>1593</v>
      </c>
      <c r="L635" s="2" t="s">
        <v>866</v>
      </c>
      <c r="M635" s="2" t="s">
        <v>3514</v>
      </c>
      <c r="N635" s="2" t="s">
        <v>3515</v>
      </c>
      <c r="O635" s="2" t="s">
        <v>869</v>
      </c>
      <c r="P635" s="2" t="s">
        <v>870</v>
      </c>
    </row>
    <row r="636" ht="15.75" customHeight="1">
      <c r="H636" s="2" t="s">
        <v>3516</v>
      </c>
      <c r="I636" s="2" t="s">
        <v>3517</v>
      </c>
      <c r="J636" s="2" t="s">
        <v>3518</v>
      </c>
      <c r="K636" s="2" t="s">
        <v>1027</v>
      </c>
      <c r="L636" s="2" t="s">
        <v>866</v>
      </c>
      <c r="M636" s="2" t="s">
        <v>3519</v>
      </c>
      <c r="N636" s="2" t="s">
        <v>3520</v>
      </c>
      <c r="O636" s="2" t="s">
        <v>869</v>
      </c>
      <c r="P636" s="2" t="s">
        <v>870</v>
      </c>
    </row>
    <row r="637" ht="15.75" customHeight="1">
      <c r="F637" s="2" t="s">
        <v>3521</v>
      </c>
      <c r="H637" s="2" t="s">
        <v>3522</v>
      </c>
      <c r="I637" s="2" t="s">
        <v>3523</v>
      </c>
      <c r="J637" s="2" t="s">
        <v>3524</v>
      </c>
      <c r="K637" s="2" t="s">
        <v>861</v>
      </c>
      <c r="L637" s="2" t="s">
        <v>866</v>
      </c>
      <c r="M637" s="2" t="s">
        <v>3525</v>
      </c>
      <c r="N637" s="2" t="s">
        <v>3526</v>
      </c>
      <c r="O637" s="2" t="s">
        <v>869</v>
      </c>
      <c r="P637" s="2" t="s">
        <v>870</v>
      </c>
    </row>
    <row r="638" ht="15.75" customHeight="1">
      <c r="H638" s="2" t="s">
        <v>3527</v>
      </c>
      <c r="I638" s="2" t="s">
        <v>3528</v>
      </c>
      <c r="J638" s="2" t="s">
        <v>3529</v>
      </c>
      <c r="K638" s="2" t="s">
        <v>1288</v>
      </c>
      <c r="L638" s="2" t="s">
        <v>866</v>
      </c>
      <c r="M638" s="2" t="s">
        <v>3530</v>
      </c>
      <c r="N638" s="2" t="s">
        <v>3531</v>
      </c>
      <c r="O638" s="2" t="s">
        <v>869</v>
      </c>
      <c r="P638" s="2" t="s">
        <v>870</v>
      </c>
    </row>
    <row r="639" ht="15.75" customHeight="1">
      <c r="H639" s="2" t="s">
        <v>3532</v>
      </c>
      <c r="I639" s="2" t="s">
        <v>3533</v>
      </c>
      <c r="J639" s="2" t="s">
        <v>3534</v>
      </c>
      <c r="K639" s="2" t="s">
        <v>1368</v>
      </c>
      <c r="L639" s="2" t="s">
        <v>866</v>
      </c>
      <c r="M639" s="2" t="s">
        <v>3535</v>
      </c>
      <c r="N639" s="2" t="s">
        <v>3536</v>
      </c>
      <c r="O639" s="2" t="s">
        <v>869</v>
      </c>
      <c r="P639" s="2" t="s">
        <v>870</v>
      </c>
    </row>
    <row r="640" ht="15.75" customHeight="1">
      <c r="H640" s="2" t="s">
        <v>3537</v>
      </c>
      <c r="I640" s="2" t="s">
        <v>3538</v>
      </c>
      <c r="J640" s="2" t="s">
        <v>3539</v>
      </c>
      <c r="K640" s="2" t="s">
        <v>970</v>
      </c>
      <c r="L640" s="2" t="s">
        <v>866</v>
      </c>
      <c r="M640" s="2" t="s">
        <v>3540</v>
      </c>
      <c r="N640" s="2" t="s">
        <v>3541</v>
      </c>
      <c r="O640" s="2" t="s">
        <v>869</v>
      </c>
      <c r="P640" s="2" t="s">
        <v>870</v>
      </c>
    </row>
    <row r="641" ht="15.75" customHeight="1">
      <c r="H641" s="2" t="s">
        <v>3542</v>
      </c>
      <c r="I641" s="2" t="s">
        <v>3543</v>
      </c>
      <c r="J641" s="2" t="s">
        <v>3544</v>
      </c>
      <c r="K641" s="2" t="s">
        <v>1007</v>
      </c>
      <c r="L641" s="2" t="s">
        <v>866</v>
      </c>
      <c r="M641" s="2" t="s">
        <v>3545</v>
      </c>
      <c r="N641" s="2" t="s">
        <v>3546</v>
      </c>
      <c r="O641" s="2" t="s">
        <v>869</v>
      </c>
      <c r="P641" s="2" t="s">
        <v>870</v>
      </c>
    </row>
    <row r="642" ht="15.75" customHeight="1">
      <c r="H642" s="2" t="s">
        <v>3547</v>
      </c>
      <c r="I642" s="2" t="s">
        <v>3548</v>
      </c>
      <c r="J642" s="2" t="s">
        <v>3549</v>
      </c>
      <c r="K642" s="2" t="s">
        <v>283</v>
      </c>
      <c r="L642" s="2" t="s">
        <v>866</v>
      </c>
      <c r="M642" s="2" t="s">
        <v>3550</v>
      </c>
      <c r="N642" s="2" t="s">
        <v>3551</v>
      </c>
      <c r="O642" s="2" t="s">
        <v>869</v>
      </c>
      <c r="P642" s="2" t="s">
        <v>870</v>
      </c>
    </row>
    <row r="643" ht="15.75" customHeight="1">
      <c r="H643" s="2" t="s">
        <v>3552</v>
      </c>
      <c r="I643" s="2" t="s">
        <v>3553</v>
      </c>
      <c r="J643" s="2" t="s">
        <v>3554</v>
      </c>
      <c r="K643" s="2" t="s">
        <v>900</v>
      </c>
      <c r="L643" s="2" t="s">
        <v>866</v>
      </c>
      <c r="M643" s="2" t="s">
        <v>3555</v>
      </c>
      <c r="N643" s="2" t="s">
        <v>3556</v>
      </c>
      <c r="O643" s="2" t="s">
        <v>869</v>
      </c>
      <c r="P643" s="2" t="s">
        <v>870</v>
      </c>
    </row>
    <row r="644" ht="15.75" customHeight="1">
      <c r="H644" s="2" t="s">
        <v>3557</v>
      </c>
      <c r="I644" s="2" t="s">
        <v>3558</v>
      </c>
      <c r="J644" s="2" t="s">
        <v>3559</v>
      </c>
      <c r="K644" s="2" t="s">
        <v>906</v>
      </c>
      <c r="L644" s="2" t="s">
        <v>866</v>
      </c>
      <c r="M644" s="2" t="s">
        <v>3560</v>
      </c>
      <c r="N644" s="2" t="s">
        <v>3561</v>
      </c>
      <c r="O644" s="2" t="s">
        <v>869</v>
      </c>
      <c r="P644" s="2" t="s">
        <v>870</v>
      </c>
    </row>
    <row r="645" ht="15.75" customHeight="1">
      <c r="H645" s="2" t="s">
        <v>3562</v>
      </c>
      <c r="I645" s="2" t="s">
        <v>3563</v>
      </c>
      <c r="J645" s="2" t="s">
        <v>3564</v>
      </c>
      <c r="K645" s="2" t="s">
        <v>912</v>
      </c>
      <c r="L645" s="2" t="s">
        <v>866</v>
      </c>
      <c r="M645" s="2" t="s">
        <v>3565</v>
      </c>
      <c r="N645" s="2" t="s">
        <v>3566</v>
      </c>
      <c r="O645" s="2" t="s">
        <v>869</v>
      </c>
      <c r="P645" s="2" t="s">
        <v>870</v>
      </c>
    </row>
    <row r="646" ht="15.75" customHeight="1">
      <c r="F646" s="2" t="s">
        <v>3567</v>
      </c>
      <c r="H646" s="2" t="s">
        <v>3568</v>
      </c>
      <c r="I646" s="2" t="s">
        <v>3569</v>
      </c>
      <c r="J646" s="2" t="s">
        <v>3570</v>
      </c>
      <c r="K646" s="2" t="s">
        <v>1368</v>
      </c>
      <c r="L646" s="2" t="s">
        <v>866</v>
      </c>
      <c r="M646" s="2" t="s">
        <v>3571</v>
      </c>
      <c r="N646" s="2" t="s">
        <v>3572</v>
      </c>
      <c r="O646" s="2" t="s">
        <v>869</v>
      </c>
      <c r="P646" s="2" t="s">
        <v>870</v>
      </c>
    </row>
    <row r="647" ht="15.75" customHeight="1">
      <c r="H647" s="2" t="s">
        <v>3573</v>
      </c>
      <c r="I647" s="2" t="s">
        <v>3574</v>
      </c>
      <c r="J647" s="2" t="s">
        <v>3575</v>
      </c>
      <c r="L647" s="2" t="s">
        <v>866</v>
      </c>
      <c r="M647" s="2" t="s">
        <v>3576</v>
      </c>
      <c r="N647" s="2" t="s">
        <v>869</v>
      </c>
      <c r="O647" s="2" t="s">
        <v>870</v>
      </c>
    </row>
    <row r="648" ht="15.75" customHeight="1">
      <c r="F648" s="2" t="s">
        <v>3577</v>
      </c>
      <c r="H648" s="2" t="s">
        <v>3578</v>
      </c>
      <c r="I648" s="2" t="s">
        <v>3579</v>
      </c>
      <c r="J648" s="2" t="s">
        <v>3580</v>
      </c>
      <c r="K648" s="2" t="s">
        <v>861</v>
      </c>
      <c r="L648" s="2" t="s">
        <v>866</v>
      </c>
      <c r="M648" s="2" t="s">
        <v>3581</v>
      </c>
      <c r="N648" s="2" t="s">
        <v>3582</v>
      </c>
      <c r="O648" s="2" t="s">
        <v>869</v>
      </c>
      <c r="P648" s="2" t="s">
        <v>870</v>
      </c>
    </row>
    <row r="649" ht="15.75" customHeight="1">
      <c r="H649" s="2" t="s">
        <v>3583</v>
      </c>
      <c r="I649" s="2" t="s">
        <v>3584</v>
      </c>
      <c r="J649" s="2" t="s">
        <v>3585</v>
      </c>
      <c r="L649" s="2" t="s">
        <v>866</v>
      </c>
      <c r="M649" s="2" t="s">
        <v>3586</v>
      </c>
      <c r="N649" s="2" t="s">
        <v>869</v>
      </c>
      <c r="O649" s="2" t="s">
        <v>870</v>
      </c>
    </row>
    <row r="650" ht="15.75" customHeight="1">
      <c r="H650" s="2" t="s">
        <v>3587</v>
      </c>
      <c r="I650" s="2" t="s">
        <v>3588</v>
      </c>
      <c r="J650" s="2" t="s">
        <v>3589</v>
      </c>
      <c r="K650" s="2" t="s">
        <v>865</v>
      </c>
      <c r="L650" s="2" t="s">
        <v>866</v>
      </c>
      <c r="M650" s="2" t="s">
        <v>3590</v>
      </c>
      <c r="N650" s="2" t="s">
        <v>3591</v>
      </c>
      <c r="O650" s="2" t="s">
        <v>869</v>
      </c>
      <c r="P650" s="2" t="s">
        <v>870</v>
      </c>
    </row>
    <row r="651" ht="15.75" customHeight="1">
      <c r="H651" s="2" t="s">
        <v>3592</v>
      </c>
      <c r="I651" s="2" t="s">
        <v>3593</v>
      </c>
      <c r="J651" s="2" t="s">
        <v>3594</v>
      </c>
      <c r="K651" s="2" t="s">
        <v>1288</v>
      </c>
      <c r="L651" s="2" t="s">
        <v>866</v>
      </c>
      <c r="M651" s="2" t="s">
        <v>3595</v>
      </c>
      <c r="N651" s="2" t="s">
        <v>3596</v>
      </c>
      <c r="O651" s="2" t="s">
        <v>869</v>
      </c>
      <c r="P651" s="2" t="s">
        <v>870</v>
      </c>
    </row>
    <row r="652" ht="15.75" customHeight="1">
      <c r="H652" s="2" t="s">
        <v>3597</v>
      </c>
      <c r="I652" s="2" t="s">
        <v>1759</v>
      </c>
      <c r="J652" s="2" t="s">
        <v>1760</v>
      </c>
      <c r="K652" s="2" t="s">
        <v>1297</v>
      </c>
      <c r="L652" s="2" t="s">
        <v>866</v>
      </c>
      <c r="M652" s="2" t="s">
        <v>3598</v>
      </c>
      <c r="N652" s="2" t="s">
        <v>3599</v>
      </c>
      <c r="O652" s="2" t="s">
        <v>869</v>
      </c>
      <c r="P652" s="2" t="s">
        <v>870</v>
      </c>
    </row>
    <row r="653" ht="15.75" customHeight="1">
      <c r="H653" s="2" t="s">
        <v>3600</v>
      </c>
      <c r="I653" s="2" t="s">
        <v>3601</v>
      </c>
      <c r="J653" s="2" t="s">
        <v>3602</v>
      </c>
      <c r="K653" s="2" t="s">
        <v>1128</v>
      </c>
      <c r="L653" s="2" t="s">
        <v>866</v>
      </c>
      <c r="M653" s="2" t="s">
        <v>3603</v>
      </c>
      <c r="N653" s="2" t="s">
        <v>3604</v>
      </c>
      <c r="O653" s="2" t="s">
        <v>869</v>
      </c>
      <c r="P653" s="2" t="s">
        <v>870</v>
      </c>
    </row>
    <row r="654" ht="15.75" customHeight="1">
      <c r="F654" s="2" t="s">
        <v>3605</v>
      </c>
      <c r="H654" s="2" t="s">
        <v>3606</v>
      </c>
      <c r="I654" s="2" t="s">
        <v>3607</v>
      </c>
      <c r="J654" s="2" t="s">
        <v>3608</v>
      </c>
      <c r="K654" s="2" t="s">
        <v>277</v>
      </c>
      <c r="L654" s="2" t="s">
        <v>866</v>
      </c>
      <c r="M654" s="2" t="s">
        <v>3609</v>
      </c>
      <c r="N654" s="2" t="s">
        <v>3610</v>
      </c>
      <c r="O654" s="2" t="s">
        <v>869</v>
      </c>
      <c r="P654" s="2" t="s">
        <v>870</v>
      </c>
    </row>
    <row r="655" ht="15.75" customHeight="1">
      <c r="H655" s="2" t="s">
        <v>3611</v>
      </c>
      <c r="I655" s="2" t="s">
        <v>3612</v>
      </c>
      <c r="J655" s="2" t="s">
        <v>3613</v>
      </c>
      <c r="K655" s="2" t="s">
        <v>874</v>
      </c>
      <c r="L655" s="2" t="s">
        <v>866</v>
      </c>
      <c r="M655" s="2" t="s">
        <v>3614</v>
      </c>
      <c r="N655" s="2" t="s">
        <v>3615</v>
      </c>
      <c r="O655" s="2" t="s">
        <v>869</v>
      </c>
      <c r="P655" s="2" t="s">
        <v>870</v>
      </c>
    </row>
    <row r="656" ht="15.75" customHeight="1">
      <c r="H656" s="2" t="s">
        <v>3616</v>
      </c>
      <c r="I656" s="2" t="s">
        <v>3617</v>
      </c>
      <c r="J656" s="2" t="s">
        <v>3618</v>
      </c>
      <c r="K656" s="2" t="s">
        <v>1288</v>
      </c>
      <c r="L656" s="2" t="s">
        <v>866</v>
      </c>
      <c r="M656" s="2" t="s">
        <v>3619</v>
      </c>
      <c r="N656" s="2" t="s">
        <v>3620</v>
      </c>
      <c r="O656" s="2" t="s">
        <v>869</v>
      </c>
      <c r="P656" s="2" t="s">
        <v>870</v>
      </c>
    </row>
    <row r="657" ht="15.75" customHeight="1">
      <c r="H657" s="2" t="s">
        <v>3621</v>
      </c>
      <c r="I657" s="2" t="s">
        <v>3622</v>
      </c>
      <c r="J657" s="2" t="s">
        <v>3623</v>
      </c>
      <c r="K657" s="2" t="s">
        <v>996</v>
      </c>
      <c r="L657" s="2" t="s">
        <v>866</v>
      </c>
      <c r="M657" s="2" t="s">
        <v>3624</v>
      </c>
      <c r="N657" s="2" t="s">
        <v>3625</v>
      </c>
      <c r="O657" s="2" t="s">
        <v>869</v>
      </c>
      <c r="P657" s="2" t="s">
        <v>870</v>
      </c>
    </row>
    <row r="658" ht="15.75" customHeight="1">
      <c r="H658" s="2" t="s">
        <v>3626</v>
      </c>
      <c r="I658" s="2" t="s">
        <v>3627</v>
      </c>
      <c r="J658" s="2" t="s">
        <v>3628</v>
      </c>
      <c r="K658" s="2" t="s">
        <v>2937</v>
      </c>
    </row>
    <row r="659" ht="15.75" customHeight="1">
      <c r="F659" s="2" t="s">
        <v>3629</v>
      </c>
      <c r="H659" s="2" t="s">
        <v>3630</v>
      </c>
      <c r="I659" s="2" t="s">
        <v>3631</v>
      </c>
      <c r="J659" s="2" t="s">
        <v>3632</v>
      </c>
      <c r="K659" s="2" t="s">
        <v>859</v>
      </c>
      <c r="L659" s="2" t="s">
        <v>866</v>
      </c>
      <c r="M659" s="2" t="s">
        <v>3633</v>
      </c>
      <c r="N659" s="2" t="s">
        <v>3634</v>
      </c>
      <c r="O659" s="2" t="s">
        <v>869</v>
      </c>
      <c r="P659" s="2" t="s">
        <v>870</v>
      </c>
    </row>
    <row r="660" ht="15.75" customHeight="1">
      <c r="H660" s="2" t="s">
        <v>3635</v>
      </c>
      <c r="I660" s="2" t="s">
        <v>3636</v>
      </c>
      <c r="J660" s="2" t="s">
        <v>3637</v>
      </c>
      <c r="K660" s="2" t="s">
        <v>277</v>
      </c>
      <c r="L660" s="2" t="s">
        <v>866</v>
      </c>
      <c r="M660" s="2" t="s">
        <v>3638</v>
      </c>
      <c r="N660" s="2" t="s">
        <v>3639</v>
      </c>
      <c r="O660" s="2" t="s">
        <v>869</v>
      </c>
      <c r="P660" s="2" t="s">
        <v>870</v>
      </c>
    </row>
    <row r="661" ht="15.75" customHeight="1">
      <c r="H661" s="2" t="s">
        <v>3640</v>
      </c>
      <c r="I661" s="2" t="s">
        <v>3641</v>
      </c>
      <c r="J661" s="2" t="s">
        <v>3642</v>
      </c>
      <c r="K661" s="2" t="s">
        <v>1362</v>
      </c>
      <c r="L661" s="2" t="s">
        <v>866</v>
      </c>
      <c r="M661" s="2" t="s">
        <v>3643</v>
      </c>
      <c r="N661" s="2" t="s">
        <v>3644</v>
      </c>
      <c r="O661" s="2" t="s">
        <v>869</v>
      </c>
      <c r="P661" s="2" t="s">
        <v>870</v>
      </c>
    </row>
    <row r="662" ht="15.75" customHeight="1">
      <c r="H662" s="2" t="s">
        <v>3645</v>
      </c>
      <c r="I662" s="2" t="s">
        <v>3646</v>
      </c>
      <c r="J662" s="2" t="s">
        <v>3647</v>
      </c>
      <c r="K662" s="2" t="s">
        <v>1878</v>
      </c>
      <c r="L662" s="2" t="s">
        <v>866</v>
      </c>
      <c r="M662" s="2" t="s">
        <v>3648</v>
      </c>
      <c r="N662" s="2" t="s">
        <v>3649</v>
      </c>
      <c r="O662" s="2" t="s">
        <v>869</v>
      </c>
      <c r="P662" s="2" t="s">
        <v>870</v>
      </c>
    </row>
    <row r="663" ht="15.75" customHeight="1">
      <c r="H663" s="2" t="s">
        <v>3650</v>
      </c>
      <c r="I663" s="2" t="s">
        <v>3651</v>
      </c>
      <c r="J663" s="2" t="s">
        <v>3652</v>
      </c>
      <c r="K663" s="2" t="s">
        <v>996</v>
      </c>
      <c r="L663" s="2" t="s">
        <v>866</v>
      </c>
      <c r="M663" s="2" t="s">
        <v>3653</v>
      </c>
      <c r="N663" s="2" t="s">
        <v>3654</v>
      </c>
      <c r="O663" s="2" t="s">
        <v>869</v>
      </c>
      <c r="P663" s="2" t="s">
        <v>870</v>
      </c>
    </row>
    <row r="664" ht="15.75" customHeight="1">
      <c r="H664" s="2" t="s">
        <v>3655</v>
      </c>
      <c r="I664" s="2" t="s">
        <v>3656</v>
      </c>
      <c r="J664" s="2" t="s">
        <v>3657</v>
      </c>
      <c r="K664" s="2" t="s">
        <v>1297</v>
      </c>
      <c r="L664" s="2" t="s">
        <v>866</v>
      </c>
      <c r="M664" s="2" t="s">
        <v>3658</v>
      </c>
      <c r="N664" s="2" t="s">
        <v>3659</v>
      </c>
      <c r="O664" s="2" t="s">
        <v>869</v>
      </c>
      <c r="P664" s="2" t="s">
        <v>870</v>
      </c>
    </row>
    <row r="665" ht="15.75" customHeight="1">
      <c r="H665" s="2" t="s">
        <v>3660</v>
      </c>
      <c r="I665" s="2" t="s">
        <v>3661</v>
      </c>
      <c r="J665" s="2" t="s">
        <v>3662</v>
      </c>
      <c r="K665" s="2" t="s">
        <v>880</v>
      </c>
      <c r="L665" s="2" t="s">
        <v>866</v>
      </c>
      <c r="M665" s="2" t="s">
        <v>3663</v>
      </c>
      <c r="N665" s="2" t="s">
        <v>3664</v>
      </c>
      <c r="O665" s="2" t="s">
        <v>869</v>
      </c>
      <c r="P665" s="2" t="s">
        <v>870</v>
      </c>
    </row>
    <row r="666" ht="15.75" customHeight="1">
      <c r="H666" s="2" t="s">
        <v>3665</v>
      </c>
      <c r="I666" s="2" t="s">
        <v>3666</v>
      </c>
      <c r="J666" s="2" t="s">
        <v>3667</v>
      </c>
      <c r="K666" s="2" t="s">
        <v>886</v>
      </c>
      <c r="L666" s="2" t="s">
        <v>866</v>
      </c>
      <c r="M666" s="2" t="s">
        <v>3668</v>
      </c>
      <c r="N666" s="2" t="s">
        <v>3669</v>
      </c>
      <c r="O666" s="2" t="s">
        <v>869</v>
      </c>
      <c r="P666" s="2" t="s">
        <v>870</v>
      </c>
    </row>
    <row r="667" ht="15.75" customHeight="1">
      <c r="H667" s="2" t="s">
        <v>3670</v>
      </c>
      <c r="I667" s="2" t="s">
        <v>3671</v>
      </c>
      <c r="J667" s="2" t="s">
        <v>3672</v>
      </c>
      <c r="K667" s="2" t="s">
        <v>958</v>
      </c>
      <c r="L667" s="2" t="s">
        <v>866</v>
      </c>
      <c r="M667" s="2" t="s">
        <v>3673</v>
      </c>
      <c r="N667" s="2" t="s">
        <v>3674</v>
      </c>
      <c r="O667" s="2" t="s">
        <v>869</v>
      </c>
      <c r="P667" s="2" t="s">
        <v>870</v>
      </c>
    </row>
    <row r="668" ht="15.75" customHeight="1">
      <c r="H668" s="2" t="s">
        <v>3675</v>
      </c>
      <c r="I668" s="2" t="s">
        <v>3676</v>
      </c>
      <c r="J668" s="2" t="s">
        <v>3677</v>
      </c>
      <c r="K668" s="2" t="s">
        <v>1007</v>
      </c>
      <c r="L668" s="2" t="s">
        <v>866</v>
      </c>
      <c r="M668" s="2" t="s">
        <v>3678</v>
      </c>
      <c r="N668" s="2" t="s">
        <v>3679</v>
      </c>
      <c r="O668" s="2" t="s">
        <v>869</v>
      </c>
      <c r="P668" s="2" t="s">
        <v>870</v>
      </c>
    </row>
    <row r="669" ht="15.75" customHeight="1">
      <c r="H669" s="2" t="s">
        <v>3680</v>
      </c>
      <c r="I669" s="2" t="s">
        <v>3681</v>
      </c>
      <c r="J669" s="2" t="s">
        <v>3682</v>
      </c>
      <c r="K669" s="2" t="s">
        <v>1136</v>
      </c>
      <c r="L669" s="2" t="s">
        <v>866</v>
      </c>
      <c r="M669" s="2" t="s">
        <v>3683</v>
      </c>
      <c r="N669" s="2" t="s">
        <v>3684</v>
      </c>
      <c r="O669" s="2" t="s">
        <v>869</v>
      </c>
      <c r="P669" s="2" t="s">
        <v>870</v>
      </c>
    </row>
    <row r="670" ht="15.75" customHeight="1">
      <c r="F670" s="2" t="s">
        <v>3685</v>
      </c>
      <c r="H670" s="2" t="s">
        <v>3686</v>
      </c>
      <c r="I670" s="2" t="s">
        <v>3687</v>
      </c>
      <c r="J670" s="2" t="s">
        <v>3688</v>
      </c>
      <c r="K670" s="2" t="s">
        <v>861</v>
      </c>
      <c r="L670" s="2" t="s">
        <v>866</v>
      </c>
      <c r="M670" s="2" t="s">
        <v>3689</v>
      </c>
      <c r="N670" s="2" t="s">
        <v>3690</v>
      </c>
      <c r="O670" s="2" t="s">
        <v>869</v>
      </c>
      <c r="P670" s="2" t="s">
        <v>870</v>
      </c>
    </row>
    <row r="671" ht="15.75" customHeight="1">
      <c r="H671" s="2" t="s">
        <v>3691</v>
      </c>
      <c r="I671" s="2" t="s">
        <v>3692</v>
      </c>
      <c r="J671" s="2" t="s">
        <v>3693</v>
      </c>
      <c r="K671" s="2" t="s">
        <v>947</v>
      </c>
      <c r="L671" s="2" t="s">
        <v>866</v>
      </c>
      <c r="M671" s="2" t="s">
        <v>3694</v>
      </c>
      <c r="N671" s="2" t="s">
        <v>3695</v>
      </c>
      <c r="O671" s="2" t="s">
        <v>869</v>
      </c>
      <c r="P671" s="2" t="s">
        <v>870</v>
      </c>
    </row>
    <row r="672" ht="15.75" customHeight="1">
      <c r="H672" s="2" t="s">
        <v>3696</v>
      </c>
      <c r="I672" s="2" t="s">
        <v>3697</v>
      </c>
      <c r="J672" s="2" t="s">
        <v>3698</v>
      </c>
      <c r="K672" s="2" t="s">
        <v>874</v>
      </c>
      <c r="L672" s="2" t="s">
        <v>866</v>
      </c>
      <c r="M672" s="2" t="s">
        <v>3699</v>
      </c>
      <c r="N672" s="2" t="s">
        <v>3700</v>
      </c>
      <c r="O672" s="2" t="s">
        <v>869</v>
      </c>
      <c r="P672" s="2" t="s">
        <v>870</v>
      </c>
    </row>
    <row r="673" ht="15.75" customHeight="1">
      <c r="H673" s="2" t="s">
        <v>3701</v>
      </c>
      <c r="I673" s="2" t="s">
        <v>3702</v>
      </c>
      <c r="J673" s="2" t="s">
        <v>3703</v>
      </c>
      <c r="K673" s="2" t="s">
        <v>1368</v>
      </c>
      <c r="L673" s="2" t="s">
        <v>866</v>
      </c>
      <c r="M673" s="2" t="s">
        <v>3704</v>
      </c>
      <c r="N673" s="2" t="s">
        <v>3705</v>
      </c>
      <c r="O673" s="2" t="s">
        <v>869</v>
      </c>
      <c r="P673" s="2" t="s">
        <v>870</v>
      </c>
    </row>
    <row r="674" ht="15.75" customHeight="1">
      <c r="F674" s="2" t="s">
        <v>660</v>
      </c>
      <c r="H674" s="2" t="s">
        <v>3706</v>
      </c>
      <c r="I674" s="2" t="s">
        <v>3707</v>
      </c>
      <c r="J674" s="2" t="s">
        <v>3708</v>
      </c>
      <c r="K674" s="2" t="s">
        <v>1362</v>
      </c>
      <c r="L674" s="2" t="s">
        <v>866</v>
      </c>
      <c r="M674" s="2" t="s">
        <v>3709</v>
      </c>
      <c r="N674" s="2" t="s">
        <v>3710</v>
      </c>
      <c r="O674" s="2" t="s">
        <v>869</v>
      </c>
      <c r="P674" s="2" t="s">
        <v>870</v>
      </c>
    </row>
    <row r="675" ht="15.75" customHeight="1">
      <c r="H675" s="2" t="s">
        <v>3711</v>
      </c>
      <c r="I675" s="2" t="s">
        <v>3712</v>
      </c>
      <c r="J675" s="2" t="s">
        <v>3713</v>
      </c>
      <c r="K675" s="2" t="s">
        <v>996</v>
      </c>
      <c r="L675" s="2" t="s">
        <v>866</v>
      </c>
      <c r="M675" s="2" t="s">
        <v>3714</v>
      </c>
      <c r="N675" s="2" t="s">
        <v>3715</v>
      </c>
      <c r="O675" s="2" t="s">
        <v>869</v>
      </c>
      <c r="P675" s="2" t="s">
        <v>870</v>
      </c>
    </row>
    <row r="676" ht="15.75" customHeight="1">
      <c r="H676" s="2" t="s">
        <v>3716</v>
      </c>
      <c r="I676" s="2" t="s">
        <v>3717</v>
      </c>
      <c r="J676" s="2" t="s">
        <v>3718</v>
      </c>
      <c r="K676" s="2" t="s">
        <v>1007</v>
      </c>
      <c r="L676" s="2" t="s">
        <v>866</v>
      </c>
      <c r="M676" s="2" t="s">
        <v>3719</v>
      </c>
      <c r="N676" s="2" t="s">
        <v>3720</v>
      </c>
      <c r="O676" s="2" t="s">
        <v>869</v>
      </c>
      <c r="P676" s="2" t="s">
        <v>870</v>
      </c>
    </row>
    <row r="677" ht="15.75" customHeight="1">
      <c r="H677" s="2" t="s">
        <v>3721</v>
      </c>
      <c r="I677" s="2" t="s">
        <v>3722</v>
      </c>
      <c r="J677" s="2" t="s">
        <v>3723</v>
      </c>
      <c r="K677" s="2" t="s">
        <v>896</v>
      </c>
      <c r="L677" s="2" t="s">
        <v>866</v>
      </c>
      <c r="M677" s="2" t="s">
        <v>3724</v>
      </c>
      <c r="N677" s="2" t="s">
        <v>3725</v>
      </c>
      <c r="O677" s="2" t="s">
        <v>869</v>
      </c>
      <c r="P677" s="2" t="s">
        <v>870</v>
      </c>
    </row>
    <row r="678" ht="15.75" customHeight="1">
      <c r="H678" s="2" t="s">
        <v>3726</v>
      </c>
      <c r="I678" s="2" t="s">
        <v>3727</v>
      </c>
      <c r="J678" s="2" t="s">
        <v>3728</v>
      </c>
      <c r="K678" s="2" t="s">
        <v>1508</v>
      </c>
      <c r="L678" s="2" t="s">
        <v>866</v>
      </c>
      <c r="M678" s="2" t="s">
        <v>3729</v>
      </c>
      <c r="N678" s="2" t="s">
        <v>3730</v>
      </c>
      <c r="O678" s="2" t="s">
        <v>869</v>
      </c>
      <c r="P678" s="2" t="s">
        <v>870</v>
      </c>
    </row>
    <row r="679" ht="15.75" customHeight="1">
      <c r="H679" s="2" t="s">
        <v>3731</v>
      </c>
      <c r="I679" s="2" t="s">
        <v>3732</v>
      </c>
      <c r="J679" s="2" t="s">
        <v>3733</v>
      </c>
      <c r="K679" s="2" t="s">
        <v>1313</v>
      </c>
      <c r="L679" s="2" t="s">
        <v>866</v>
      </c>
      <c r="M679" s="2" t="s">
        <v>3734</v>
      </c>
      <c r="N679" s="2" t="s">
        <v>3735</v>
      </c>
      <c r="O679" s="2" t="s">
        <v>869</v>
      </c>
      <c r="P679" s="2" t="s">
        <v>870</v>
      </c>
    </row>
    <row r="680" ht="15.75" customHeight="1">
      <c r="H680" s="2" t="s">
        <v>3736</v>
      </c>
      <c r="I680" s="2" t="s">
        <v>662</v>
      </c>
      <c r="J680" s="2" t="s">
        <v>663</v>
      </c>
      <c r="K680" s="2" t="s">
        <v>1567</v>
      </c>
      <c r="L680" s="2" t="s">
        <v>866</v>
      </c>
      <c r="M680" s="2" t="s">
        <v>3737</v>
      </c>
      <c r="N680" s="2" t="s">
        <v>3738</v>
      </c>
      <c r="O680" s="2" t="s">
        <v>869</v>
      </c>
      <c r="P680" s="2" t="s">
        <v>870</v>
      </c>
    </row>
    <row r="681" ht="15.75" customHeight="1">
      <c r="H681" s="2" t="s">
        <v>3739</v>
      </c>
      <c r="I681" s="2" t="s">
        <v>3740</v>
      </c>
      <c r="J681" s="2" t="s">
        <v>3741</v>
      </c>
      <c r="K681" s="2" t="s">
        <v>2737</v>
      </c>
      <c r="L681" s="2" t="s">
        <v>866</v>
      </c>
      <c r="M681" s="2" t="s">
        <v>3742</v>
      </c>
      <c r="N681" s="2" t="s">
        <v>3743</v>
      </c>
      <c r="O681" s="2" t="s">
        <v>869</v>
      </c>
      <c r="P681" s="2" t="s">
        <v>870</v>
      </c>
    </row>
    <row r="682" ht="15.75" customHeight="1">
      <c r="H682" s="2" t="s">
        <v>3744</v>
      </c>
      <c r="I682" s="2" t="s">
        <v>3745</v>
      </c>
      <c r="J682" s="2" t="s">
        <v>3746</v>
      </c>
      <c r="K682" s="2" t="s">
        <v>1319</v>
      </c>
      <c r="L682" s="2" t="s">
        <v>866</v>
      </c>
      <c r="M682" s="2" t="s">
        <v>3747</v>
      </c>
      <c r="N682" s="2" t="s">
        <v>3725</v>
      </c>
      <c r="O682" s="2" t="s">
        <v>869</v>
      </c>
      <c r="P682" s="2" t="s">
        <v>870</v>
      </c>
    </row>
    <row r="683" ht="15.75" customHeight="1">
      <c r="H683" s="2" t="s">
        <v>3748</v>
      </c>
      <c r="I683" s="2" t="s">
        <v>3749</v>
      </c>
      <c r="J683" s="2" t="s">
        <v>3750</v>
      </c>
      <c r="K683" s="2" t="s">
        <v>1027</v>
      </c>
      <c r="L683" s="2" t="s">
        <v>866</v>
      </c>
      <c r="M683" s="2" t="s">
        <v>3751</v>
      </c>
      <c r="N683" s="2" t="s">
        <v>3752</v>
      </c>
      <c r="O683" s="2" t="s">
        <v>869</v>
      </c>
      <c r="P683" s="2" t="s">
        <v>870</v>
      </c>
    </row>
    <row r="684" ht="15.75" customHeight="1">
      <c r="H684" s="2" t="s">
        <v>3753</v>
      </c>
      <c r="I684" s="2" t="s">
        <v>670</v>
      </c>
      <c r="J684" s="2" t="s">
        <v>671</v>
      </c>
      <c r="K684" s="2" t="s">
        <v>1331</v>
      </c>
      <c r="L684" s="2" t="s">
        <v>866</v>
      </c>
      <c r="M684" s="2" t="s">
        <v>3754</v>
      </c>
      <c r="N684" s="2" t="s">
        <v>3752</v>
      </c>
      <c r="O684" s="2" t="s">
        <v>869</v>
      </c>
      <c r="P684" s="2" t="s">
        <v>870</v>
      </c>
    </row>
    <row r="685" ht="15.75" customHeight="1">
      <c r="F685" s="2" t="s">
        <v>3755</v>
      </c>
      <c r="H685" s="2" t="s">
        <v>3756</v>
      </c>
      <c r="I685" s="2" t="s">
        <v>3757</v>
      </c>
      <c r="J685" s="2" t="s">
        <v>3758</v>
      </c>
      <c r="K685" s="2" t="s">
        <v>1297</v>
      </c>
    </row>
    <row r="686" ht="15.75" customHeight="1">
      <c r="H686" s="2" t="s">
        <v>3759</v>
      </c>
      <c r="I686" s="2" t="s">
        <v>3760</v>
      </c>
      <c r="J686" s="2" t="s">
        <v>3761</v>
      </c>
      <c r="K686" s="2" t="s">
        <v>2937</v>
      </c>
    </row>
    <row r="687" ht="15.75" customHeight="1">
      <c r="F687" s="2" t="s">
        <v>3762</v>
      </c>
      <c r="H687" s="2" t="s">
        <v>3763</v>
      </c>
      <c r="I687" s="2" t="s">
        <v>3764</v>
      </c>
      <c r="J687" s="2" t="s">
        <v>3765</v>
      </c>
      <c r="K687" s="2" t="s">
        <v>947</v>
      </c>
      <c r="L687" s="2" t="s">
        <v>866</v>
      </c>
      <c r="M687" s="2" t="s">
        <v>3766</v>
      </c>
      <c r="N687" s="2" t="s">
        <v>3767</v>
      </c>
      <c r="O687" s="2" t="s">
        <v>869</v>
      </c>
      <c r="P687" s="2" t="s">
        <v>870</v>
      </c>
    </row>
    <row r="688" ht="15.75" customHeight="1">
      <c r="H688" s="2" t="s">
        <v>3768</v>
      </c>
      <c r="I688" s="2" t="s">
        <v>3769</v>
      </c>
      <c r="J688" s="2" t="s">
        <v>3770</v>
      </c>
      <c r="K688" s="2" t="s">
        <v>1117</v>
      </c>
      <c r="L688" s="2" t="s">
        <v>866</v>
      </c>
      <c r="M688" s="2" t="s">
        <v>3771</v>
      </c>
      <c r="N688" s="2" t="s">
        <v>3772</v>
      </c>
      <c r="O688" s="2" t="s">
        <v>869</v>
      </c>
      <c r="P688" s="2" t="s">
        <v>870</v>
      </c>
    </row>
    <row r="689" ht="15.75" customHeight="1">
      <c r="H689" s="2" t="s">
        <v>3773</v>
      </c>
      <c r="I689" s="2" t="s">
        <v>3774</v>
      </c>
      <c r="J689" s="2" t="s">
        <v>3775</v>
      </c>
      <c r="K689" s="2" t="s">
        <v>996</v>
      </c>
      <c r="L689" s="2" t="s">
        <v>866</v>
      </c>
      <c r="M689" s="2" t="s">
        <v>3776</v>
      </c>
      <c r="N689" s="2" t="s">
        <v>3777</v>
      </c>
      <c r="O689" s="2" t="s">
        <v>869</v>
      </c>
      <c r="P689" s="2" t="s">
        <v>870</v>
      </c>
    </row>
    <row r="690" ht="15.75" customHeight="1">
      <c r="H690" s="2" t="s">
        <v>3778</v>
      </c>
      <c r="I690" s="2" t="s">
        <v>3779</v>
      </c>
      <c r="J690" s="2" t="s">
        <v>3780</v>
      </c>
      <c r="K690" s="2" t="s">
        <v>880</v>
      </c>
      <c r="L690" s="2" t="s">
        <v>866</v>
      </c>
      <c r="M690" s="2" t="s">
        <v>3781</v>
      </c>
      <c r="N690" s="2" t="s">
        <v>3782</v>
      </c>
      <c r="O690" s="2" t="s">
        <v>869</v>
      </c>
      <c r="P690" s="2" t="s">
        <v>870</v>
      </c>
    </row>
    <row r="691" ht="15.75" customHeight="1">
      <c r="H691" s="2" t="s">
        <v>3783</v>
      </c>
      <c r="I691" s="2" t="s">
        <v>3784</v>
      </c>
      <c r="J691" s="2" t="s">
        <v>3785</v>
      </c>
      <c r="K691" s="2" t="s">
        <v>966</v>
      </c>
      <c r="L691" s="2" t="s">
        <v>866</v>
      </c>
      <c r="M691" s="2" t="s">
        <v>3786</v>
      </c>
      <c r="N691" s="2" t="s">
        <v>3787</v>
      </c>
      <c r="O691" s="2" t="s">
        <v>869</v>
      </c>
      <c r="P691" s="2" t="s">
        <v>870</v>
      </c>
    </row>
    <row r="692" ht="15.75" customHeight="1">
      <c r="H692" s="2" t="s">
        <v>3788</v>
      </c>
      <c r="I692" s="2" t="s">
        <v>3789</v>
      </c>
      <c r="J692" s="2" t="s">
        <v>3790</v>
      </c>
      <c r="K692" s="2" t="s">
        <v>1007</v>
      </c>
      <c r="L692" s="2" t="s">
        <v>866</v>
      </c>
      <c r="M692" s="2" t="s">
        <v>3791</v>
      </c>
      <c r="N692" s="2" t="s">
        <v>3792</v>
      </c>
      <c r="O692" s="2" t="s">
        <v>869</v>
      </c>
      <c r="P692" s="2" t="s">
        <v>870</v>
      </c>
    </row>
    <row r="693" ht="15.75" customHeight="1">
      <c r="H693" s="2" t="s">
        <v>3793</v>
      </c>
      <c r="I693" s="2" t="s">
        <v>3794</v>
      </c>
      <c r="J693" s="2" t="s">
        <v>3795</v>
      </c>
      <c r="K693" s="2" t="s">
        <v>890</v>
      </c>
      <c r="L693" s="2" t="s">
        <v>866</v>
      </c>
      <c r="M693" s="2" t="s">
        <v>3796</v>
      </c>
      <c r="N693" s="2" t="s">
        <v>3797</v>
      </c>
      <c r="O693" s="2" t="s">
        <v>869</v>
      </c>
      <c r="P693" s="2" t="s">
        <v>870</v>
      </c>
    </row>
    <row r="694" ht="15.75" customHeight="1">
      <c r="H694" s="2" t="s">
        <v>3798</v>
      </c>
      <c r="I694" s="2" t="s">
        <v>3799</v>
      </c>
      <c r="J694" s="2" t="s">
        <v>3800</v>
      </c>
      <c r="K694" s="2" t="s">
        <v>900</v>
      </c>
      <c r="L694" s="2" t="s">
        <v>866</v>
      </c>
      <c r="M694" s="2" t="s">
        <v>3801</v>
      </c>
      <c r="N694" s="2" t="s">
        <v>3802</v>
      </c>
      <c r="O694" s="2" t="s">
        <v>869</v>
      </c>
      <c r="P694" s="2" t="s">
        <v>870</v>
      </c>
    </row>
    <row r="695" ht="15.75" customHeight="1">
      <c r="H695" s="2" t="s">
        <v>3803</v>
      </c>
      <c r="I695" s="2" t="s">
        <v>3804</v>
      </c>
      <c r="J695" s="2" t="s">
        <v>3805</v>
      </c>
      <c r="K695" s="2" t="s">
        <v>2937</v>
      </c>
      <c r="L695" s="2" t="s">
        <v>866</v>
      </c>
      <c r="M695" s="2" t="s">
        <v>3806</v>
      </c>
      <c r="N695" s="2" t="s">
        <v>3807</v>
      </c>
      <c r="O695" s="2" t="s">
        <v>869</v>
      </c>
      <c r="P695" s="2" t="s">
        <v>870</v>
      </c>
    </row>
    <row r="696" ht="15.75" customHeight="1">
      <c r="H696" s="2" t="s">
        <v>3808</v>
      </c>
      <c r="I696" s="2" t="s">
        <v>3809</v>
      </c>
      <c r="J696" s="2" t="s">
        <v>3810</v>
      </c>
      <c r="K696" s="2" t="s">
        <v>906</v>
      </c>
      <c r="L696" s="2" t="s">
        <v>866</v>
      </c>
      <c r="M696" s="2" t="s">
        <v>3811</v>
      </c>
      <c r="N696" s="2" t="s">
        <v>3812</v>
      </c>
      <c r="O696" s="2" t="s">
        <v>869</v>
      </c>
      <c r="P696" s="2" t="s">
        <v>870</v>
      </c>
    </row>
    <row r="697" ht="15.75" customHeight="1">
      <c r="H697" s="2" t="s">
        <v>3813</v>
      </c>
      <c r="I697" s="2" t="s">
        <v>1404</v>
      </c>
      <c r="J697" s="2" t="s">
        <v>1405</v>
      </c>
      <c r="K697" s="2" t="s">
        <v>912</v>
      </c>
      <c r="L697" s="2" t="s">
        <v>866</v>
      </c>
      <c r="M697" s="2" t="s">
        <v>3814</v>
      </c>
      <c r="N697" s="2" t="s">
        <v>3815</v>
      </c>
      <c r="O697" s="2" t="s">
        <v>869</v>
      </c>
      <c r="P697" s="2" t="s">
        <v>870</v>
      </c>
    </row>
    <row r="698" ht="15.75" customHeight="1">
      <c r="H698" s="2" t="s">
        <v>3816</v>
      </c>
      <c r="I698" s="2" t="s">
        <v>3817</v>
      </c>
      <c r="J698" s="2" t="s">
        <v>3818</v>
      </c>
      <c r="K698" s="2" t="s">
        <v>1313</v>
      </c>
      <c r="L698" s="2" t="s">
        <v>866</v>
      </c>
      <c r="M698" s="2" t="s">
        <v>3819</v>
      </c>
      <c r="N698" s="2" t="s">
        <v>3820</v>
      </c>
      <c r="O698" s="2" t="s">
        <v>869</v>
      </c>
      <c r="P698" s="2" t="s">
        <v>870</v>
      </c>
    </row>
    <row r="699" ht="15.75" customHeight="1">
      <c r="H699" s="2" t="s">
        <v>3821</v>
      </c>
      <c r="I699" s="2" t="s">
        <v>3822</v>
      </c>
      <c r="J699" s="2" t="s">
        <v>3823</v>
      </c>
      <c r="K699" s="2" t="s">
        <v>1319</v>
      </c>
      <c r="L699" s="2" t="s">
        <v>866</v>
      </c>
      <c r="M699" s="2" t="s">
        <v>3824</v>
      </c>
      <c r="N699" s="2" t="s">
        <v>3782</v>
      </c>
      <c r="O699" s="2" t="s">
        <v>869</v>
      </c>
      <c r="P699" s="2" t="s">
        <v>870</v>
      </c>
    </row>
    <row r="700" ht="15.75" customHeight="1">
      <c r="H700" s="2" t="s">
        <v>3825</v>
      </c>
      <c r="I700" s="2" t="s">
        <v>3826</v>
      </c>
      <c r="J700" s="2" t="s">
        <v>3827</v>
      </c>
      <c r="K700" s="2" t="s">
        <v>2551</v>
      </c>
      <c r="L700" s="2" t="s">
        <v>866</v>
      </c>
      <c r="M700" s="2" t="s">
        <v>3828</v>
      </c>
      <c r="N700" s="2" t="s">
        <v>3829</v>
      </c>
      <c r="O700" s="2" t="s">
        <v>869</v>
      </c>
      <c r="P700" s="2" t="s">
        <v>870</v>
      </c>
    </row>
    <row r="701" ht="15.75" customHeight="1">
      <c r="F701" s="2" t="s">
        <v>677</v>
      </c>
      <c r="H701" s="2" t="s">
        <v>3830</v>
      </c>
      <c r="I701" s="2" t="s">
        <v>3831</v>
      </c>
      <c r="J701" s="2" t="s">
        <v>3832</v>
      </c>
      <c r="K701" s="2" t="s">
        <v>947</v>
      </c>
      <c r="L701" s="2" t="s">
        <v>866</v>
      </c>
      <c r="M701" s="2" t="s">
        <v>3833</v>
      </c>
      <c r="N701" s="2" t="s">
        <v>3834</v>
      </c>
      <c r="O701" s="2" t="s">
        <v>869</v>
      </c>
      <c r="P701" s="2" t="s">
        <v>870</v>
      </c>
    </row>
    <row r="702" ht="15.75" customHeight="1">
      <c r="H702" s="2" t="s">
        <v>3835</v>
      </c>
      <c r="I702" s="2" t="s">
        <v>3836</v>
      </c>
      <c r="J702" s="2" t="s">
        <v>3837</v>
      </c>
      <c r="K702" s="2" t="s">
        <v>865</v>
      </c>
      <c r="L702" s="2" t="s">
        <v>866</v>
      </c>
      <c r="M702" s="2" t="s">
        <v>3838</v>
      </c>
      <c r="N702" s="2" t="s">
        <v>3839</v>
      </c>
      <c r="O702" s="2" t="s">
        <v>869</v>
      </c>
      <c r="P702" s="2" t="s">
        <v>870</v>
      </c>
    </row>
    <row r="703" ht="15.75" customHeight="1">
      <c r="H703" s="2" t="s">
        <v>3840</v>
      </c>
      <c r="I703" s="2" t="s">
        <v>3841</v>
      </c>
      <c r="J703" s="2" t="s">
        <v>3842</v>
      </c>
      <c r="K703" s="2" t="s">
        <v>1878</v>
      </c>
      <c r="L703" s="2" t="s">
        <v>866</v>
      </c>
      <c r="M703" s="2" t="s">
        <v>3843</v>
      </c>
      <c r="N703" s="2" t="s">
        <v>3844</v>
      </c>
      <c r="O703" s="2" t="s">
        <v>869</v>
      </c>
      <c r="P703" s="2" t="s">
        <v>870</v>
      </c>
    </row>
    <row r="704" ht="15.75" customHeight="1">
      <c r="H704" s="2" t="s">
        <v>3845</v>
      </c>
      <c r="I704" s="2" t="s">
        <v>3846</v>
      </c>
      <c r="J704" s="2" t="s">
        <v>3847</v>
      </c>
      <c r="L704" s="2" t="s">
        <v>866</v>
      </c>
      <c r="M704" s="2" t="s">
        <v>3848</v>
      </c>
      <c r="N704" s="2" t="s">
        <v>3849</v>
      </c>
      <c r="O704" s="2" t="s">
        <v>869</v>
      </c>
      <c r="P704" s="2" t="s">
        <v>870</v>
      </c>
    </row>
    <row r="705" ht="15.75" customHeight="1">
      <c r="H705" s="2" t="s">
        <v>3850</v>
      </c>
      <c r="I705" s="2" t="s">
        <v>3851</v>
      </c>
      <c r="J705" s="2" t="s">
        <v>3852</v>
      </c>
      <c r="K705" s="2" t="s">
        <v>1297</v>
      </c>
      <c r="L705" s="2" t="s">
        <v>866</v>
      </c>
      <c r="M705" s="2" t="s">
        <v>3853</v>
      </c>
      <c r="N705" s="2" t="s">
        <v>3854</v>
      </c>
      <c r="O705" s="2" t="s">
        <v>869</v>
      </c>
      <c r="P705" s="2" t="s">
        <v>870</v>
      </c>
    </row>
    <row r="706" ht="15.75" customHeight="1">
      <c r="H706" s="2" t="s">
        <v>3855</v>
      </c>
      <c r="I706" s="2" t="s">
        <v>3856</v>
      </c>
      <c r="J706" s="2" t="s">
        <v>3857</v>
      </c>
      <c r="K706" s="2" t="s">
        <v>1288</v>
      </c>
      <c r="L706" s="2" t="s">
        <v>866</v>
      </c>
      <c r="M706" s="2" t="s">
        <v>3858</v>
      </c>
      <c r="N706" s="2" t="s">
        <v>3859</v>
      </c>
      <c r="O706" s="2" t="s">
        <v>869</v>
      </c>
      <c r="P706" s="2" t="s">
        <v>870</v>
      </c>
    </row>
    <row r="707" ht="15.75" customHeight="1">
      <c r="H707" s="2" t="s">
        <v>3860</v>
      </c>
      <c r="I707" s="2" t="s">
        <v>3861</v>
      </c>
      <c r="J707" s="2" t="s">
        <v>3862</v>
      </c>
      <c r="K707" s="2" t="s">
        <v>1007</v>
      </c>
      <c r="L707" s="2" t="s">
        <v>866</v>
      </c>
      <c r="M707" s="2" t="s">
        <v>3863</v>
      </c>
      <c r="N707" s="2" t="s">
        <v>3864</v>
      </c>
      <c r="O707" s="2" t="s">
        <v>869</v>
      </c>
      <c r="P707" s="2" t="s">
        <v>870</v>
      </c>
    </row>
    <row r="708" ht="15.75" customHeight="1">
      <c r="H708" s="2" t="s">
        <v>3865</v>
      </c>
      <c r="I708" s="2" t="s">
        <v>3866</v>
      </c>
      <c r="J708" s="2" t="s">
        <v>3867</v>
      </c>
      <c r="K708" s="2" t="s">
        <v>2937</v>
      </c>
      <c r="L708" s="2" t="s">
        <v>866</v>
      </c>
      <c r="M708" s="2" t="s">
        <v>3868</v>
      </c>
      <c r="N708" s="2" t="s">
        <v>3869</v>
      </c>
      <c r="O708" s="2" t="s">
        <v>869</v>
      </c>
      <c r="P708" s="2" t="s">
        <v>870</v>
      </c>
    </row>
    <row r="709" ht="15.75" customHeight="1">
      <c r="H709" s="2" t="s">
        <v>3870</v>
      </c>
      <c r="I709" s="2" t="s">
        <v>3871</v>
      </c>
      <c r="J709" s="2" t="s">
        <v>3872</v>
      </c>
      <c r="K709" s="2" t="s">
        <v>2737</v>
      </c>
      <c r="L709" s="2" t="s">
        <v>866</v>
      </c>
      <c r="M709" s="2" t="s">
        <v>3873</v>
      </c>
      <c r="N709" s="2" t="s">
        <v>3849</v>
      </c>
      <c r="O709" s="2" t="s">
        <v>869</v>
      </c>
      <c r="P709" s="2" t="s">
        <v>870</v>
      </c>
    </row>
    <row r="710" ht="15.75" customHeight="1">
      <c r="H710" s="2" t="s">
        <v>3874</v>
      </c>
      <c r="I710" s="2" t="s">
        <v>3875</v>
      </c>
      <c r="J710" s="2" t="s">
        <v>3876</v>
      </c>
      <c r="K710" s="2" t="s">
        <v>1569</v>
      </c>
      <c r="L710" s="2" t="s">
        <v>866</v>
      </c>
      <c r="M710" s="2" t="s">
        <v>3877</v>
      </c>
      <c r="N710" s="2" t="s">
        <v>3878</v>
      </c>
      <c r="O710" s="2" t="s">
        <v>869</v>
      </c>
      <c r="P710" s="2" t="s">
        <v>870</v>
      </c>
    </row>
    <row r="711" ht="15.75" customHeight="1">
      <c r="H711" s="2" t="s">
        <v>3879</v>
      </c>
      <c r="I711" s="2" t="s">
        <v>3880</v>
      </c>
      <c r="J711" s="2" t="s">
        <v>3881</v>
      </c>
      <c r="K711" s="2" t="s">
        <v>1151</v>
      </c>
      <c r="L711" s="2" t="s">
        <v>866</v>
      </c>
      <c r="M711" s="2" t="s">
        <v>3882</v>
      </c>
      <c r="N711" s="2" t="s">
        <v>3883</v>
      </c>
      <c r="O711" s="2" t="s">
        <v>869</v>
      </c>
      <c r="P711" s="2" t="s">
        <v>870</v>
      </c>
    </row>
    <row r="712" ht="15.75" customHeight="1">
      <c r="H712" s="2" t="s">
        <v>3884</v>
      </c>
      <c r="I712" s="2" t="s">
        <v>3885</v>
      </c>
      <c r="J712" s="2" t="s">
        <v>3886</v>
      </c>
      <c r="K712" s="2" t="s">
        <v>1027</v>
      </c>
      <c r="L712" s="2" t="s">
        <v>866</v>
      </c>
      <c r="M712" s="2" t="s">
        <v>3887</v>
      </c>
      <c r="N712" s="2" t="s">
        <v>3888</v>
      </c>
      <c r="O712" s="2" t="s">
        <v>869</v>
      </c>
      <c r="P712" s="2" t="s">
        <v>870</v>
      </c>
    </row>
    <row r="713" ht="15.75" customHeight="1">
      <c r="H713" s="2" t="s">
        <v>3889</v>
      </c>
      <c r="I713" s="2" t="s">
        <v>679</v>
      </c>
      <c r="J713" s="2" t="s">
        <v>680</v>
      </c>
      <c r="K713" s="2" t="s">
        <v>1157</v>
      </c>
      <c r="L713" s="2" t="s">
        <v>866</v>
      </c>
      <c r="M713" s="2" t="s">
        <v>3853</v>
      </c>
      <c r="N713" s="2" t="s">
        <v>3890</v>
      </c>
      <c r="O713" s="2" t="s">
        <v>869</v>
      </c>
      <c r="P713" s="2" t="s">
        <v>870</v>
      </c>
    </row>
    <row r="714" ht="15.75" customHeight="1">
      <c r="H714" s="2" t="s">
        <v>3891</v>
      </c>
      <c r="I714" s="2" t="s">
        <v>3892</v>
      </c>
      <c r="J714" s="2" t="s">
        <v>3893</v>
      </c>
      <c r="K714" s="2" t="s">
        <v>906</v>
      </c>
      <c r="L714" s="2" t="s">
        <v>866</v>
      </c>
      <c r="M714" s="2" t="s">
        <v>3894</v>
      </c>
      <c r="N714" s="2" t="s">
        <v>3895</v>
      </c>
      <c r="O714" s="2" t="s">
        <v>869</v>
      </c>
      <c r="P714" s="2" t="s">
        <v>870</v>
      </c>
    </row>
    <row r="715" ht="15.75" customHeight="1">
      <c r="H715" s="2" t="s">
        <v>3896</v>
      </c>
      <c r="I715" s="2" t="s">
        <v>3897</v>
      </c>
      <c r="J715" s="2" t="s">
        <v>3898</v>
      </c>
      <c r="K715" s="2" t="s">
        <v>2223</v>
      </c>
      <c r="L715" s="2" t="s">
        <v>866</v>
      </c>
      <c r="M715" s="2" t="s">
        <v>3899</v>
      </c>
      <c r="N715" s="2" t="s">
        <v>3900</v>
      </c>
      <c r="O715" s="2" t="s">
        <v>869</v>
      </c>
      <c r="P715" s="2" t="s">
        <v>870</v>
      </c>
    </row>
    <row r="716" ht="15.75" customHeight="1">
      <c r="H716" s="2" t="s">
        <v>3901</v>
      </c>
      <c r="I716" s="2" t="s">
        <v>3902</v>
      </c>
      <c r="J716" s="2" t="s">
        <v>3903</v>
      </c>
      <c r="L716" s="2" t="s">
        <v>866</v>
      </c>
      <c r="M716" s="2" t="s">
        <v>3904</v>
      </c>
      <c r="N716" s="2" t="s">
        <v>3905</v>
      </c>
      <c r="O716" s="2" t="s">
        <v>869</v>
      </c>
      <c r="P716" s="2" t="s">
        <v>870</v>
      </c>
    </row>
    <row r="717" ht="15.75" customHeight="1">
      <c r="H717" s="2" t="s">
        <v>3906</v>
      </c>
      <c r="I717" s="2" t="s">
        <v>3907</v>
      </c>
      <c r="J717" s="2" t="s">
        <v>3908</v>
      </c>
      <c r="K717" s="2" t="s">
        <v>900</v>
      </c>
      <c r="L717" s="2" t="s">
        <v>866</v>
      </c>
      <c r="M717" s="2" t="s">
        <v>3909</v>
      </c>
      <c r="N717" s="2" t="s">
        <v>3910</v>
      </c>
      <c r="O717" s="2" t="s">
        <v>869</v>
      </c>
      <c r="P717" s="2" t="s">
        <v>870</v>
      </c>
    </row>
    <row r="718" ht="15.75" customHeight="1">
      <c r="H718" s="2" t="s">
        <v>3911</v>
      </c>
      <c r="I718" s="2" t="s">
        <v>3912</v>
      </c>
      <c r="J718" s="2" t="s">
        <v>3913</v>
      </c>
      <c r="L718" s="2" t="s">
        <v>866</v>
      </c>
      <c r="M718" s="2" t="s">
        <v>3914</v>
      </c>
      <c r="N718" s="2" t="s">
        <v>3915</v>
      </c>
      <c r="O718" s="2" t="s">
        <v>869</v>
      </c>
      <c r="P718" s="2" t="s">
        <v>870</v>
      </c>
    </row>
    <row r="719" ht="15.75" customHeight="1">
      <c r="F719" s="2" t="s">
        <v>694</v>
      </c>
      <c r="H719" s="2" t="s">
        <v>3916</v>
      </c>
      <c r="I719" s="2" t="s">
        <v>3917</v>
      </c>
      <c r="J719" s="2" t="s">
        <v>3918</v>
      </c>
      <c r="K719" s="2" t="s">
        <v>853</v>
      </c>
      <c r="L719" s="2" t="s">
        <v>866</v>
      </c>
      <c r="M719" s="2" t="s">
        <v>3919</v>
      </c>
      <c r="N719" s="2" t="s">
        <v>3920</v>
      </c>
      <c r="O719" s="2" t="s">
        <v>869</v>
      </c>
      <c r="P719" s="2" t="s">
        <v>870</v>
      </c>
    </row>
    <row r="720" ht="15.75" customHeight="1">
      <c r="H720" s="2" t="s">
        <v>3921</v>
      </c>
      <c r="I720" s="2" t="s">
        <v>3922</v>
      </c>
      <c r="J720" s="2" t="s">
        <v>3923</v>
      </c>
      <c r="K720" s="2" t="s">
        <v>947</v>
      </c>
      <c r="L720" s="2" t="s">
        <v>866</v>
      </c>
      <c r="M720" s="2" t="s">
        <v>3924</v>
      </c>
      <c r="N720" s="2" t="s">
        <v>3925</v>
      </c>
      <c r="O720" s="2" t="s">
        <v>869</v>
      </c>
      <c r="P720" s="2" t="s">
        <v>870</v>
      </c>
    </row>
    <row r="721" ht="15.75" customHeight="1">
      <c r="H721" s="2" t="s">
        <v>3926</v>
      </c>
      <c r="I721" s="2" t="s">
        <v>3927</v>
      </c>
      <c r="J721" s="2" t="s">
        <v>3928</v>
      </c>
      <c r="K721" s="2" t="s">
        <v>1288</v>
      </c>
      <c r="L721" s="2" t="s">
        <v>866</v>
      </c>
      <c r="M721" s="2" t="s">
        <v>3929</v>
      </c>
      <c r="N721" s="2" t="s">
        <v>3930</v>
      </c>
      <c r="O721" s="2" t="s">
        <v>869</v>
      </c>
      <c r="P721" s="2" t="s">
        <v>870</v>
      </c>
    </row>
    <row r="722" ht="15.75" customHeight="1">
      <c r="H722" s="2" t="s">
        <v>3931</v>
      </c>
      <c r="I722" s="2" t="s">
        <v>2614</v>
      </c>
      <c r="J722" s="2" t="s">
        <v>2615</v>
      </c>
      <c r="K722" s="2" t="s">
        <v>1117</v>
      </c>
      <c r="L722" s="2" t="s">
        <v>866</v>
      </c>
      <c r="M722" s="2" t="s">
        <v>3932</v>
      </c>
      <c r="N722" s="2" t="s">
        <v>3933</v>
      </c>
      <c r="O722" s="2" t="s">
        <v>869</v>
      </c>
      <c r="P722" s="2" t="s">
        <v>870</v>
      </c>
    </row>
    <row r="723" ht="15.75" customHeight="1">
      <c r="H723" s="2" t="s">
        <v>3934</v>
      </c>
      <c r="I723" s="2" t="s">
        <v>3935</v>
      </c>
      <c r="J723" s="2" t="s">
        <v>3936</v>
      </c>
      <c r="K723" s="2" t="s">
        <v>1551</v>
      </c>
      <c r="L723" s="2" t="s">
        <v>866</v>
      </c>
      <c r="M723" s="2" t="s">
        <v>3937</v>
      </c>
      <c r="N723" s="2" t="s">
        <v>3938</v>
      </c>
      <c r="O723" s="2" t="s">
        <v>869</v>
      </c>
      <c r="P723" s="2" t="s">
        <v>870</v>
      </c>
    </row>
    <row r="724" ht="15.75" customHeight="1">
      <c r="H724" s="2" t="s">
        <v>3939</v>
      </c>
      <c r="I724" s="2" t="s">
        <v>3940</v>
      </c>
      <c r="J724" s="2" t="s">
        <v>3941</v>
      </c>
      <c r="K724" s="2" t="s">
        <v>900</v>
      </c>
      <c r="L724" s="2" t="s">
        <v>866</v>
      </c>
      <c r="M724" s="2" t="s">
        <v>3942</v>
      </c>
      <c r="N724" s="2" t="s">
        <v>3943</v>
      </c>
      <c r="O724" s="2" t="s">
        <v>869</v>
      </c>
      <c r="P724" s="2" t="s">
        <v>870</v>
      </c>
    </row>
    <row r="725" ht="15.75" customHeight="1">
      <c r="H725" s="2" t="s">
        <v>3944</v>
      </c>
      <c r="I725" s="2" t="s">
        <v>3945</v>
      </c>
      <c r="J725" s="2" t="s">
        <v>3946</v>
      </c>
      <c r="K725" s="2" t="s">
        <v>912</v>
      </c>
      <c r="L725" s="2" t="s">
        <v>866</v>
      </c>
      <c r="M725" s="2" t="s">
        <v>3947</v>
      </c>
      <c r="N725" s="2" t="s">
        <v>3948</v>
      </c>
      <c r="O725" s="2" t="s">
        <v>869</v>
      </c>
      <c r="P725" s="2" t="s">
        <v>870</v>
      </c>
    </row>
    <row r="726" ht="15.75" customHeight="1">
      <c r="H726" s="2" t="s">
        <v>3949</v>
      </c>
      <c r="I726" s="2" t="s">
        <v>696</v>
      </c>
      <c r="J726" s="2" t="s">
        <v>697</v>
      </c>
      <c r="K726" s="2" t="s">
        <v>1567</v>
      </c>
      <c r="L726" s="2" t="s">
        <v>866</v>
      </c>
      <c r="M726" s="2" t="s">
        <v>3950</v>
      </c>
      <c r="N726" s="2" t="s">
        <v>3951</v>
      </c>
      <c r="O726" s="2" t="s">
        <v>869</v>
      </c>
      <c r="P726" s="2" t="s">
        <v>870</v>
      </c>
    </row>
    <row r="727" ht="15.75" customHeight="1">
      <c r="H727" s="2" t="s">
        <v>3952</v>
      </c>
      <c r="I727" s="2" t="s">
        <v>3953</v>
      </c>
      <c r="J727" s="2" t="s">
        <v>3954</v>
      </c>
      <c r="K727" s="2" t="s">
        <v>1406</v>
      </c>
      <c r="L727" s="2" t="s">
        <v>866</v>
      </c>
      <c r="M727" s="2" t="s">
        <v>3955</v>
      </c>
      <c r="N727" s="2" t="s">
        <v>3956</v>
      </c>
      <c r="O727" s="2" t="s">
        <v>869</v>
      </c>
      <c r="P727" s="2" t="s">
        <v>870</v>
      </c>
    </row>
    <row r="728" ht="15.75" customHeight="1">
      <c r="H728" s="2" t="s">
        <v>3957</v>
      </c>
      <c r="I728" s="2" t="s">
        <v>3958</v>
      </c>
      <c r="J728" s="2" t="s">
        <v>3959</v>
      </c>
      <c r="K728" s="2" t="s">
        <v>1952</v>
      </c>
      <c r="L728" s="2" t="s">
        <v>866</v>
      </c>
      <c r="M728" s="2" t="s">
        <v>3960</v>
      </c>
      <c r="N728" s="2" t="s">
        <v>3961</v>
      </c>
      <c r="O728" s="2" t="s">
        <v>869</v>
      </c>
      <c r="P728" s="2" t="s">
        <v>870</v>
      </c>
    </row>
    <row r="729" ht="15.75" customHeight="1">
      <c r="H729" s="2" t="s">
        <v>3962</v>
      </c>
      <c r="I729" s="2" t="s">
        <v>3963</v>
      </c>
      <c r="J729" s="2" t="s">
        <v>3964</v>
      </c>
      <c r="K729" s="2" t="s">
        <v>1418</v>
      </c>
      <c r="L729" s="2" t="s">
        <v>866</v>
      </c>
      <c r="M729" s="2" t="s">
        <v>3965</v>
      </c>
      <c r="N729" s="2" t="s">
        <v>3966</v>
      </c>
      <c r="O729" s="2" t="s">
        <v>869</v>
      </c>
      <c r="P729" s="2" t="s">
        <v>870</v>
      </c>
    </row>
    <row r="730" ht="15.75" customHeight="1">
      <c r="H730" s="2" t="s">
        <v>3967</v>
      </c>
      <c r="I730" s="2" t="s">
        <v>3968</v>
      </c>
      <c r="J730" s="2" t="s">
        <v>3969</v>
      </c>
      <c r="K730" s="2" t="s">
        <v>1157</v>
      </c>
      <c r="L730" s="2" t="s">
        <v>866</v>
      </c>
      <c r="M730" s="2" t="s">
        <v>3970</v>
      </c>
      <c r="N730" s="2" t="s">
        <v>3971</v>
      </c>
      <c r="O730" s="2" t="s">
        <v>869</v>
      </c>
      <c r="P730" s="2" t="s">
        <v>870</v>
      </c>
    </row>
    <row r="731" ht="15.75" customHeight="1">
      <c r="F731" s="2" t="s">
        <v>3972</v>
      </c>
      <c r="H731" s="2" t="s">
        <v>3973</v>
      </c>
      <c r="I731" s="2" t="s">
        <v>3974</v>
      </c>
      <c r="J731" s="2" t="s">
        <v>3974</v>
      </c>
      <c r="K731" s="2" t="s">
        <v>859</v>
      </c>
    </row>
    <row r="732" ht="15.75" customHeight="1">
      <c r="H732" s="2" t="s">
        <v>3975</v>
      </c>
      <c r="I732" s="2" t="s">
        <v>3976</v>
      </c>
      <c r="J732" s="2" t="s">
        <v>3977</v>
      </c>
      <c r="K732" s="2" t="s">
        <v>861</v>
      </c>
      <c r="L732" s="2" t="s">
        <v>866</v>
      </c>
      <c r="M732" s="2" t="s">
        <v>3978</v>
      </c>
      <c r="N732" s="2" t="s">
        <v>3979</v>
      </c>
      <c r="O732" s="2" t="s">
        <v>869</v>
      </c>
      <c r="P732" s="2" t="s">
        <v>870</v>
      </c>
    </row>
    <row r="733" ht="15.75" customHeight="1">
      <c r="H733" s="2" t="s">
        <v>3980</v>
      </c>
      <c r="I733" s="2" t="s">
        <v>3981</v>
      </c>
      <c r="J733" s="2" t="s">
        <v>3981</v>
      </c>
      <c r="K733" s="2" t="s">
        <v>1061</v>
      </c>
    </row>
    <row r="734" ht="15.75" customHeight="1">
      <c r="H734" s="2" t="s">
        <v>3982</v>
      </c>
      <c r="I734" s="2" t="s">
        <v>3983</v>
      </c>
      <c r="J734" s="2" t="s">
        <v>3984</v>
      </c>
      <c r="K734" s="2" t="s">
        <v>865</v>
      </c>
      <c r="L734" s="2" t="s">
        <v>866</v>
      </c>
      <c r="M734" s="2" t="s">
        <v>3985</v>
      </c>
      <c r="N734" s="2" t="s">
        <v>3986</v>
      </c>
      <c r="O734" s="2" t="s">
        <v>869</v>
      </c>
      <c r="P734" s="2" t="s">
        <v>870</v>
      </c>
    </row>
    <row r="735" ht="15.75" customHeight="1">
      <c r="H735" s="2" t="s">
        <v>3987</v>
      </c>
      <c r="I735" s="2" t="s">
        <v>3988</v>
      </c>
      <c r="J735" s="2" t="s">
        <v>3989</v>
      </c>
      <c r="K735" s="2" t="s">
        <v>1878</v>
      </c>
      <c r="L735" s="2" t="s">
        <v>866</v>
      </c>
      <c r="M735" s="2" t="s">
        <v>3990</v>
      </c>
      <c r="N735" s="2" t="s">
        <v>3991</v>
      </c>
      <c r="O735" s="2" t="s">
        <v>869</v>
      </c>
      <c r="P735" s="2" t="s">
        <v>870</v>
      </c>
    </row>
    <row r="736" ht="15.75" customHeight="1">
      <c r="H736" s="2" t="s">
        <v>3992</v>
      </c>
      <c r="I736" s="2" t="s">
        <v>3993</v>
      </c>
      <c r="J736" s="2" t="s">
        <v>3994</v>
      </c>
      <c r="K736" s="2" t="s">
        <v>1467</v>
      </c>
      <c r="L736" s="2" t="s">
        <v>866</v>
      </c>
      <c r="M736" s="2" t="s">
        <v>3995</v>
      </c>
      <c r="N736" s="2" t="s">
        <v>3996</v>
      </c>
      <c r="O736" s="2" t="s">
        <v>869</v>
      </c>
      <c r="P736" s="2" t="s">
        <v>870</v>
      </c>
    </row>
    <row r="737" ht="15.75" customHeight="1">
      <c r="H737" s="2" t="s">
        <v>3997</v>
      </c>
      <c r="I737" s="2" t="s">
        <v>193</v>
      </c>
      <c r="J737" s="2" t="s">
        <v>194</v>
      </c>
      <c r="K737" s="2" t="s">
        <v>1368</v>
      </c>
      <c r="L737" s="2" t="s">
        <v>866</v>
      </c>
      <c r="M737" s="2" t="s">
        <v>3998</v>
      </c>
      <c r="N737" s="2" t="s">
        <v>3999</v>
      </c>
      <c r="O737" s="2" t="s">
        <v>869</v>
      </c>
      <c r="P737" s="2" t="s">
        <v>870</v>
      </c>
    </row>
    <row r="738" ht="15.75" customHeight="1">
      <c r="H738" s="2" t="s">
        <v>4000</v>
      </c>
      <c r="I738" s="2" t="s">
        <v>4001</v>
      </c>
      <c r="J738" s="2" t="s">
        <v>4002</v>
      </c>
      <c r="K738" s="2" t="s">
        <v>966</v>
      </c>
      <c r="L738" s="2" t="s">
        <v>866</v>
      </c>
      <c r="M738" s="2" t="s">
        <v>4003</v>
      </c>
      <c r="N738" s="2" t="s">
        <v>4004</v>
      </c>
      <c r="O738" s="2" t="s">
        <v>869</v>
      </c>
      <c r="P738" s="2" t="s">
        <v>870</v>
      </c>
    </row>
    <row r="739" ht="15.75" customHeight="1">
      <c r="H739" s="2" t="s">
        <v>4005</v>
      </c>
      <c r="I739" s="2" t="s">
        <v>4006</v>
      </c>
      <c r="J739" s="2" t="s">
        <v>4007</v>
      </c>
      <c r="K739" s="2" t="s">
        <v>890</v>
      </c>
      <c r="L739" s="2" t="s">
        <v>866</v>
      </c>
      <c r="M739" s="2" t="s">
        <v>4008</v>
      </c>
      <c r="N739" s="2" t="s">
        <v>4009</v>
      </c>
      <c r="O739" s="2" t="s">
        <v>869</v>
      </c>
      <c r="P739" s="2" t="s">
        <v>870</v>
      </c>
    </row>
    <row r="740" ht="15.75" customHeight="1">
      <c r="F740" s="2" t="s">
        <v>703</v>
      </c>
      <c r="H740" s="2" t="s">
        <v>4010</v>
      </c>
      <c r="I740" s="2" t="s">
        <v>4011</v>
      </c>
      <c r="J740" s="2" t="s">
        <v>4012</v>
      </c>
      <c r="K740" s="2" t="s">
        <v>859</v>
      </c>
      <c r="L740" s="2" t="s">
        <v>866</v>
      </c>
      <c r="M740" s="2" t="s">
        <v>4013</v>
      </c>
      <c r="N740" s="2" t="s">
        <v>4014</v>
      </c>
      <c r="O740" s="2" t="s">
        <v>869</v>
      </c>
      <c r="P740" s="2" t="s">
        <v>870</v>
      </c>
    </row>
    <row r="741" ht="15.75" customHeight="1">
      <c r="H741" s="2" t="s">
        <v>4015</v>
      </c>
      <c r="I741" s="2" t="s">
        <v>4016</v>
      </c>
      <c r="J741" s="2" t="s">
        <v>4017</v>
      </c>
      <c r="K741" s="2" t="s">
        <v>861</v>
      </c>
      <c r="L741" s="2" t="s">
        <v>4018</v>
      </c>
      <c r="M741" s="2" t="s">
        <v>4019</v>
      </c>
      <c r="N741" s="2" t="s">
        <v>4020</v>
      </c>
      <c r="O741" s="2" t="s">
        <v>869</v>
      </c>
      <c r="P741" s="2" t="s">
        <v>870</v>
      </c>
    </row>
    <row r="742" ht="15.75" customHeight="1">
      <c r="H742" s="2" t="s">
        <v>4021</v>
      </c>
      <c r="I742" s="2" t="s">
        <v>4022</v>
      </c>
      <c r="J742" s="2" t="s">
        <v>4023</v>
      </c>
      <c r="K742" s="2" t="s">
        <v>947</v>
      </c>
      <c r="L742" s="2" t="s">
        <v>866</v>
      </c>
      <c r="M742" s="2" t="s">
        <v>4024</v>
      </c>
      <c r="N742" s="2" t="s">
        <v>4025</v>
      </c>
      <c r="O742" s="2" t="s">
        <v>869</v>
      </c>
      <c r="P742" s="2" t="s">
        <v>870</v>
      </c>
    </row>
    <row r="743" ht="15.75" customHeight="1">
      <c r="H743" s="2" t="s">
        <v>4026</v>
      </c>
      <c r="I743" s="2" t="s">
        <v>4027</v>
      </c>
      <c r="J743" s="2" t="s">
        <v>4028</v>
      </c>
      <c r="K743" s="2" t="s">
        <v>280</v>
      </c>
      <c r="L743" s="2" t="s">
        <v>4029</v>
      </c>
      <c r="M743" s="2" t="s">
        <v>4030</v>
      </c>
      <c r="N743" s="2" t="s">
        <v>4031</v>
      </c>
      <c r="O743" s="2" t="s">
        <v>869</v>
      </c>
      <c r="P743" s="2" t="s">
        <v>870</v>
      </c>
    </row>
    <row r="744" ht="15.75" customHeight="1">
      <c r="H744" s="2" t="s">
        <v>4032</v>
      </c>
      <c r="I744" s="2" t="s">
        <v>4033</v>
      </c>
      <c r="J744" s="2" t="s">
        <v>4033</v>
      </c>
      <c r="K744" s="2" t="s">
        <v>1878</v>
      </c>
    </row>
    <row r="745" ht="15.75" customHeight="1">
      <c r="H745" s="2" t="s">
        <v>4034</v>
      </c>
      <c r="I745" s="2" t="s">
        <v>4035</v>
      </c>
      <c r="J745" s="2" t="s">
        <v>4036</v>
      </c>
      <c r="K745" s="2" t="s">
        <v>970</v>
      </c>
      <c r="L745" s="2" t="s">
        <v>866</v>
      </c>
      <c r="M745" s="2" t="s">
        <v>4037</v>
      </c>
      <c r="N745" s="2" t="s">
        <v>4038</v>
      </c>
      <c r="O745" s="2" t="s">
        <v>869</v>
      </c>
      <c r="P745" s="2" t="s">
        <v>870</v>
      </c>
    </row>
    <row r="746" ht="15.75" customHeight="1">
      <c r="H746" s="2" t="s">
        <v>4039</v>
      </c>
      <c r="I746" s="2" t="s">
        <v>4040</v>
      </c>
      <c r="J746" s="2" t="s">
        <v>4041</v>
      </c>
      <c r="K746" s="2" t="s">
        <v>1551</v>
      </c>
      <c r="L746" s="2" t="s">
        <v>866</v>
      </c>
      <c r="M746" s="2" t="s">
        <v>4042</v>
      </c>
      <c r="N746" s="2" t="s">
        <v>4043</v>
      </c>
      <c r="O746" s="2" t="s">
        <v>869</v>
      </c>
      <c r="P746" s="2" t="s">
        <v>870</v>
      </c>
    </row>
    <row r="747" ht="15.75" customHeight="1">
      <c r="H747" s="2" t="s">
        <v>4044</v>
      </c>
      <c r="I747" s="2" t="s">
        <v>4045</v>
      </c>
      <c r="J747" s="2" t="s">
        <v>4046</v>
      </c>
      <c r="K747" s="2" t="s">
        <v>906</v>
      </c>
      <c r="L747" s="2" t="s">
        <v>866</v>
      </c>
      <c r="M747" s="2" t="s">
        <v>4047</v>
      </c>
      <c r="N747" s="2" t="s">
        <v>4048</v>
      </c>
      <c r="O747" s="2" t="s">
        <v>869</v>
      </c>
      <c r="P747" s="2" t="s">
        <v>870</v>
      </c>
    </row>
    <row r="748" ht="15.75" customHeight="1">
      <c r="H748" s="2" t="s">
        <v>4049</v>
      </c>
      <c r="I748" s="2" t="s">
        <v>4050</v>
      </c>
      <c r="J748" s="2" t="s">
        <v>4051</v>
      </c>
      <c r="K748" s="2" t="s">
        <v>2203</v>
      </c>
      <c r="L748" s="2" t="s">
        <v>866</v>
      </c>
      <c r="M748" s="2" t="s">
        <v>4052</v>
      </c>
      <c r="N748" s="2" t="s">
        <v>4053</v>
      </c>
      <c r="O748" s="2" t="s">
        <v>869</v>
      </c>
      <c r="P748" s="2" t="s">
        <v>870</v>
      </c>
    </row>
    <row r="749" ht="15.75" customHeight="1">
      <c r="H749" s="2" t="s">
        <v>4054</v>
      </c>
      <c r="I749" s="2" t="s">
        <v>4055</v>
      </c>
      <c r="J749" s="2" t="s">
        <v>4056</v>
      </c>
      <c r="K749" s="2" t="s">
        <v>2223</v>
      </c>
      <c r="L749" s="2" t="s">
        <v>866</v>
      </c>
      <c r="M749" s="2" t="s">
        <v>4057</v>
      </c>
      <c r="N749" s="2" t="s">
        <v>4058</v>
      </c>
      <c r="O749" s="2" t="s">
        <v>869</v>
      </c>
      <c r="P749" s="2" t="s">
        <v>870</v>
      </c>
    </row>
    <row r="750" ht="15.75" customHeight="1">
      <c r="H750" s="2" t="s">
        <v>4059</v>
      </c>
      <c r="I750" s="2" t="s">
        <v>4060</v>
      </c>
      <c r="J750" s="2" t="s">
        <v>4061</v>
      </c>
      <c r="K750" s="2" t="s">
        <v>1027</v>
      </c>
      <c r="L750" s="2" t="s">
        <v>866</v>
      </c>
      <c r="M750" s="2" t="s">
        <v>4062</v>
      </c>
      <c r="N750" s="2" t="s">
        <v>4063</v>
      </c>
      <c r="O750" s="2" t="s">
        <v>869</v>
      </c>
      <c r="P750" s="2" t="s">
        <v>870</v>
      </c>
    </row>
    <row r="751" ht="15.75" customHeight="1">
      <c r="H751" s="2" t="s">
        <v>4064</v>
      </c>
      <c r="I751" s="2" t="s">
        <v>4065</v>
      </c>
      <c r="J751" s="2" t="s">
        <v>4066</v>
      </c>
      <c r="K751" s="2" t="s">
        <v>1157</v>
      </c>
      <c r="L751" s="2" t="s">
        <v>866</v>
      </c>
      <c r="M751" s="2" t="s">
        <v>4067</v>
      </c>
      <c r="N751" s="2" t="s">
        <v>4068</v>
      </c>
      <c r="O751" s="2" t="s">
        <v>869</v>
      </c>
      <c r="P751" s="2" t="s">
        <v>870</v>
      </c>
    </row>
    <row r="752" ht="15.75" customHeight="1">
      <c r="F752" s="2" t="s">
        <v>728</v>
      </c>
      <c r="H752" s="2" t="s">
        <v>4069</v>
      </c>
      <c r="I752" s="2" t="s">
        <v>4070</v>
      </c>
      <c r="J752" s="2" t="s">
        <v>4071</v>
      </c>
      <c r="K752" s="2" t="s">
        <v>859</v>
      </c>
      <c r="L752" s="2" t="s">
        <v>866</v>
      </c>
      <c r="M752" s="2" t="s">
        <v>4072</v>
      </c>
      <c r="N752" s="2" t="s">
        <v>4073</v>
      </c>
      <c r="O752" s="2" t="s">
        <v>869</v>
      </c>
      <c r="P752" s="2" t="s">
        <v>870</v>
      </c>
    </row>
    <row r="753" ht="15.75" customHeight="1">
      <c r="H753" s="2" t="s">
        <v>4074</v>
      </c>
      <c r="I753" s="2" t="s">
        <v>1350</v>
      </c>
      <c r="J753" s="2" t="s">
        <v>1351</v>
      </c>
      <c r="K753" s="2" t="s">
        <v>853</v>
      </c>
      <c r="L753" s="2" t="s">
        <v>866</v>
      </c>
      <c r="M753" s="2" t="s">
        <v>4075</v>
      </c>
      <c r="N753" s="2" t="s">
        <v>4076</v>
      </c>
      <c r="O753" s="2" t="s">
        <v>869</v>
      </c>
      <c r="P753" s="2" t="s">
        <v>870</v>
      </c>
    </row>
    <row r="754" ht="15.75" customHeight="1">
      <c r="H754" s="2" t="s">
        <v>4077</v>
      </c>
      <c r="I754" s="2" t="s">
        <v>4078</v>
      </c>
      <c r="J754" s="2" t="s">
        <v>4079</v>
      </c>
      <c r="K754" s="2" t="s">
        <v>2836</v>
      </c>
    </row>
    <row r="755" ht="15.75" customHeight="1">
      <c r="H755" s="2" t="s">
        <v>4080</v>
      </c>
      <c r="I755" s="2" t="s">
        <v>4081</v>
      </c>
      <c r="J755" s="2" t="s">
        <v>4082</v>
      </c>
      <c r="K755" s="2" t="s">
        <v>1878</v>
      </c>
      <c r="L755" s="2" t="s">
        <v>866</v>
      </c>
      <c r="M755" s="2" t="s">
        <v>4083</v>
      </c>
      <c r="N755" s="2" t="s">
        <v>4084</v>
      </c>
      <c r="O755" s="2" t="s">
        <v>869</v>
      </c>
      <c r="P755" s="2" t="s">
        <v>870</v>
      </c>
    </row>
    <row r="756" ht="15.75" customHeight="1">
      <c r="H756" s="2" t="s">
        <v>4085</v>
      </c>
      <c r="I756" s="2" t="s">
        <v>4086</v>
      </c>
      <c r="J756" s="2" t="s">
        <v>4087</v>
      </c>
      <c r="K756" s="2" t="s">
        <v>970</v>
      </c>
      <c r="L756" s="2" t="s">
        <v>866</v>
      </c>
      <c r="M756" s="2" t="s">
        <v>4088</v>
      </c>
      <c r="N756" s="2" t="s">
        <v>4089</v>
      </c>
      <c r="O756" s="2" t="s">
        <v>869</v>
      </c>
      <c r="P756" s="2" t="s">
        <v>870</v>
      </c>
    </row>
    <row r="757" ht="15.75" customHeight="1">
      <c r="H757" s="2" t="s">
        <v>4090</v>
      </c>
      <c r="I757" s="2" t="s">
        <v>4091</v>
      </c>
      <c r="J757" s="2" t="s">
        <v>4092</v>
      </c>
      <c r="K757" s="2" t="s">
        <v>1551</v>
      </c>
      <c r="L757" s="2" t="s">
        <v>866</v>
      </c>
      <c r="M757" s="2" t="s">
        <v>4093</v>
      </c>
      <c r="N757" s="2" t="s">
        <v>4094</v>
      </c>
      <c r="O757" s="2" t="s">
        <v>869</v>
      </c>
      <c r="P757" s="2" t="s">
        <v>870</v>
      </c>
    </row>
    <row r="758" ht="15.75" customHeight="1">
      <c r="H758" s="2" t="s">
        <v>4095</v>
      </c>
      <c r="I758" s="2" t="s">
        <v>4096</v>
      </c>
      <c r="J758" s="2" t="s">
        <v>4097</v>
      </c>
      <c r="K758" s="2" t="s">
        <v>896</v>
      </c>
      <c r="L758" s="2" t="s">
        <v>866</v>
      </c>
      <c r="M758" s="2" t="s">
        <v>4098</v>
      </c>
      <c r="N758" s="2" t="s">
        <v>4099</v>
      </c>
      <c r="O758" s="2" t="s">
        <v>869</v>
      </c>
      <c r="P758" s="2" t="s">
        <v>870</v>
      </c>
    </row>
    <row r="759" ht="15.75" customHeight="1">
      <c r="H759" s="2" t="s">
        <v>4100</v>
      </c>
      <c r="I759" s="2" t="s">
        <v>4101</v>
      </c>
      <c r="J759" s="2" t="s">
        <v>4102</v>
      </c>
      <c r="K759" s="2" t="s">
        <v>1508</v>
      </c>
      <c r="L759" s="2" t="s">
        <v>866</v>
      </c>
      <c r="M759" s="2" t="s">
        <v>4103</v>
      </c>
      <c r="N759" s="2" t="s">
        <v>4104</v>
      </c>
      <c r="O759" s="2" t="s">
        <v>869</v>
      </c>
      <c r="P759" s="2" t="s">
        <v>870</v>
      </c>
    </row>
    <row r="760" ht="15.75" customHeight="1">
      <c r="H760" s="2" t="s">
        <v>4105</v>
      </c>
      <c r="I760" s="2" t="s">
        <v>4106</v>
      </c>
      <c r="J760" s="2" t="s">
        <v>4107</v>
      </c>
      <c r="K760" s="2" t="s">
        <v>912</v>
      </c>
      <c r="L760" s="2" t="s">
        <v>866</v>
      </c>
      <c r="M760" s="2" t="s">
        <v>4108</v>
      </c>
      <c r="N760" s="2" t="s">
        <v>4109</v>
      </c>
      <c r="O760" s="2" t="s">
        <v>869</v>
      </c>
      <c r="P760" s="2" t="s">
        <v>870</v>
      </c>
    </row>
    <row r="761" ht="15.75" customHeight="1">
      <c r="H761" s="2" t="s">
        <v>4110</v>
      </c>
      <c r="I761" s="2" t="s">
        <v>1335</v>
      </c>
      <c r="J761" s="2" t="s">
        <v>1336</v>
      </c>
      <c r="L761" s="2" t="s">
        <v>866</v>
      </c>
      <c r="M761" s="2" t="s">
        <v>4111</v>
      </c>
      <c r="N761" s="2" t="s">
        <v>4112</v>
      </c>
      <c r="O761" s="2" t="s">
        <v>869</v>
      </c>
      <c r="P761" s="2" t="s">
        <v>870</v>
      </c>
    </row>
    <row r="762" ht="15.75" customHeight="1">
      <c r="H762" s="2" t="s">
        <v>4113</v>
      </c>
      <c r="I762" s="2" t="s">
        <v>257</v>
      </c>
      <c r="J762" s="2" t="s">
        <v>258</v>
      </c>
      <c r="K762" s="2" t="s">
        <v>1319</v>
      </c>
      <c r="L762" s="2" t="s">
        <v>866</v>
      </c>
      <c r="M762" s="2" t="s">
        <v>4098</v>
      </c>
      <c r="N762" s="2" t="s">
        <v>4114</v>
      </c>
      <c r="O762" s="2" t="s">
        <v>869</v>
      </c>
      <c r="P762" s="2" t="s">
        <v>870</v>
      </c>
    </row>
    <row r="763" ht="15.75" customHeight="1">
      <c r="F763" s="2" t="s">
        <v>4115</v>
      </c>
      <c r="H763" s="2" t="s">
        <v>4116</v>
      </c>
      <c r="I763" s="2" t="s">
        <v>4117</v>
      </c>
      <c r="J763" s="2" t="s">
        <v>4118</v>
      </c>
      <c r="K763" s="2" t="s">
        <v>947</v>
      </c>
      <c r="L763" s="2" t="s">
        <v>866</v>
      </c>
      <c r="M763" s="2" t="s">
        <v>4119</v>
      </c>
      <c r="N763" s="2" t="s">
        <v>4120</v>
      </c>
      <c r="O763" s="2" t="s">
        <v>869</v>
      </c>
      <c r="P763" s="2" t="s">
        <v>870</v>
      </c>
    </row>
    <row r="764" ht="15.75" customHeight="1">
      <c r="H764" s="2" t="s">
        <v>4121</v>
      </c>
      <c r="I764" s="2" t="s">
        <v>4122</v>
      </c>
      <c r="J764" s="2" t="s">
        <v>4123</v>
      </c>
      <c r="L764" s="2" t="s">
        <v>866</v>
      </c>
      <c r="M764" s="2" t="s">
        <v>4124</v>
      </c>
      <c r="N764" s="2" t="s">
        <v>4125</v>
      </c>
      <c r="O764" s="2" t="s">
        <v>869</v>
      </c>
      <c r="P764" s="2" t="s">
        <v>870</v>
      </c>
    </row>
    <row r="765" ht="15.75" customHeight="1">
      <c r="H765" s="2" t="s">
        <v>4126</v>
      </c>
      <c r="I765" s="2" t="s">
        <v>4127</v>
      </c>
      <c r="J765" s="2" t="s">
        <v>4128</v>
      </c>
      <c r="K765" s="2" t="s">
        <v>958</v>
      </c>
      <c r="L765" s="2" t="s">
        <v>866</v>
      </c>
      <c r="M765" s="2" t="s">
        <v>4129</v>
      </c>
      <c r="N765" s="2" t="s">
        <v>4130</v>
      </c>
      <c r="O765" s="2" t="s">
        <v>869</v>
      </c>
      <c r="P765" s="2" t="s">
        <v>870</v>
      </c>
    </row>
    <row r="766" ht="15.75" customHeight="1">
      <c r="H766" s="2" t="s">
        <v>4131</v>
      </c>
      <c r="I766" s="2" t="s">
        <v>4132</v>
      </c>
      <c r="J766" s="2" t="s">
        <v>4133</v>
      </c>
      <c r="K766" s="2" t="s">
        <v>1297</v>
      </c>
      <c r="L766" s="2" t="s">
        <v>866</v>
      </c>
      <c r="M766" s="2" t="s">
        <v>4134</v>
      </c>
      <c r="N766" s="2" t="s">
        <v>4135</v>
      </c>
      <c r="O766" s="2" t="s">
        <v>869</v>
      </c>
      <c r="P766" s="2" t="s">
        <v>870</v>
      </c>
    </row>
    <row r="767" ht="15.75" customHeight="1">
      <c r="H767" s="2" t="s">
        <v>4136</v>
      </c>
      <c r="I767" s="2" t="s">
        <v>4137</v>
      </c>
      <c r="J767" s="2" t="s">
        <v>4138</v>
      </c>
      <c r="K767" s="2" t="s">
        <v>1508</v>
      </c>
      <c r="L767" s="2" t="s">
        <v>866</v>
      </c>
      <c r="M767" s="2" t="s">
        <v>4139</v>
      </c>
      <c r="N767" s="2" t="s">
        <v>4140</v>
      </c>
      <c r="O767" s="2" t="s">
        <v>869</v>
      </c>
      <c r="P767" s="2" t="s">
        <v>870</v>
      </c>
    </row>
    <row r="768" ht="15.75" customHeight="1">
      <c r="H768" s="2" t="s">
        <v>4141</v>
      </c>
      <c r="I768" s="2" t="s">
        <v>4142</v>
      </c>
      <c r="J768" s="2" t="s">
        <v>4143</v>
      </c>
      <c r="L768" s="2" t="s">
        <v>866</v>
      </c>
      <c r="M768" s="2" t="s">
        <v>4144</v>
      </c>
      <c r="N768" s="2" t="s">
        <v>4145</v>
      </c>
      <c r="O768" s="2" t="s">
        <v>869</v>
      </c>
      <c r="P768" s="2" t="s">
        <v>870</v>
      </c>
    </row>
    <row r="769" ht="15.75" customHeight="1">
      <c r="H769" s="2" t="s">
        <v>4146</v>
      </c>
      <c r="I769" s="2" t="s">
        <v>4147</v>
      </c>
      <c r="J769" s="2" t="s">
        <v>4148</v>
      </c>
      <c r="K769" s="2" t="s">
        <v>1145</v>
      </c>
      <c r="L769" s="2" t="s">
        <v>866</v>
      </c>
      <c r="M769" s="2" t="s">
        <v>4149</v>
      </c>
      <c r="N769" s="2" t="s">
        <v>4150</v>
      </c>
      <c r="O769" s="2" t="s">
        <v>869</v>
      </c>
      <c r="P769" s="2" t="s">
        <v>870</v>
      </c>
    </row>
    <row r="770" ht="15.75" customHeight="1">
      <c r="H770" s="2" t="s">
        <v>4151</v>
      </c>
      <c r="I770" s="2" t="s">
        <v>4152</v>
      </c>
      <c r="J770" s="2" t="s">
        <v>4153</v>
      </c>
      <c r="K770" s="2" t="s">
        <v>1313</v>
      </c>
      <c r="L770" s="2" t="s">
        <v>866</v>
      </c>
      <c r="M770" s="2" t="s">
        <v>4154</v>
      </c>
      <c r="N770" s="2" t="s">
        <v>4155</v>
      </c>
      <c r="O770" s="2" t="s">
        <v>869</v>
      </c>
      <c r="P770" s="2" t="s">
        <v>870</v>
      </c>
    </row>
    <row r="771" ht="15.75" customHeight="1">
      <c r="H771" s="2" t="s">
        <v>4156</v>
      </c>
      <c r="I771" s="2" t="s">
        <v>4157</v>
      </c>
      <c r="J771" s="2" t="s">
        <v>4158</v>
      </c>
      <c r="K771" s="2" t="s">
        <v>1141</v>
      </c>
      <c r="L771" s="2" t="s">
        <v>866</v>
      </c>
      <c r="M771" s="2" t="s">
        <v>4159</v>
      </c>
      <c r="N771" s="2" t="s">
        <v>4160</v>
      </c>
      <c r="O771" s="2" t="s">
        <v>869</v>
      </c>
      <c r="P771" s="2" t="s">
        <v>870</v>
      </c>
    </row>
    <row r="772" ht="15.75" customHeight="1">
      <c r="H772" s="2" t="s">
        <v>4161</v>
      </c>
      <c r="I772" s="2" t="s">
        <v>4162</v>
      </c>
      <c r="J772" s="2" t="s">
        <v>4163</v>
      </c>
      <c r="K772" s="2" t="s">
        <v>906</v>
      </c>
      <c r="L772" s="2" t="s">
        <v>866</v>
      </c>
      <c r="M772" s="2" t="s">
        <v>4129</v>
      </c>
      <c r="N772" s="2" t="s">
        <v>4164</v>
      </c>
      <c r="O772" s="2" t="s">
        <v>869</v>
      </c>
      <c r="P772" s="2" t="s">
        <v>870</v>
      </c>
    </row>
    <row r="773" ht="15.75" customHeight="1">
      <c r="H773" s="2" t="s">
        <v>4165</v>
      </c>
      <c r="I773" s="2" t="s">
        <v>4166</v>
      </c>
      <c r="J773" s="2" t="s">
        <v>4167</v>
      </c>
      <c r="K773" s="2" t="s">
        <v>1319</v>
      </c>
      <c r="L773" s="2" t="s">
        <v>866</v>
      </c>
      <c r="M773" s="2" t="s">
        <v>4168</v>
      </c>
      <c r="N773" s="2" t="s">
        <v>4169</v>
      </c>
      <c r="O773" s="2" t="s">
        <v>869</v>
      </c>
      <c r="P773" s="2" t="s">
        <v>870</v>
      </c>
    </row>
    <row r="774" ht="15.75" customHeight="1">
      <c r="H774" s="2" t="s">
        <v>4170</v>
      </c>
      <c r="I774" s="2" t="s">
        <v>4171</v>
      </c>
      <c r="J774" s="2" t="s">
        <v>4172</v>
      </c>
      <c r="K774" s="2" t="s">
        <v>2551</v>
      </c>
      <c r="L774" s="2" t="s">
        <v>866</v>
      </c>
      <c r="M774" s="2" t="s">
        <v>4173</v>
      </c>
      <c r="N774" s="2" t="s">
        <v>4174</v>
      </c>
      <c r="O774" s="2" t="s">
        <v>869</v>
      </c>
      <c r="P774" s="2" t="s">
        <v>870</v>
      </c>
    </row>
    <row r="775" ht="15.75" customHeight="1">
      <c r="H775" s="2" t="s">
        <v>4175</v>
      </c>
      <c r="I775" s="2" t="s">
        <v>4176</v>
      </c>
      <c r="J775" s="2" t="s">
        <v>4177</v>
      </c>
      <c r="K775" s="2" t="s">
        <v>1424</v>
      </c>
      <c r="L775" s="2" t="s">
        <v>866</v>
      </c>
      <c r="M775" s="2" t="s">
        <v>4178</v>
      </c>
      <c r="N775" s="2" t="s">
        <v>4179</v>
      </c>
      <c r="O775" s="2" t="s">
        <v>869</v>
      </c>
      <c r="P775" s="2" t="s">
        <v>870</v>
      </c>
    </row>
    <row r="776" ht="15.75" customHeight="1">
      <c r="F776" s="2" t="s">
        <v>4180</v>
      </c>
      <c r="H776" s="2" t="s">
        <v>4181</v>
      </c>
      <c r="I776" s="2" t="s">
        <v>4182</v>
      </c>
      <c r="J776" s="2" t="s">
        <v>4183</v>
      </c>
      <c r="K776" s="2" t="s">
        <v>861</v>
      </c>
      <c r="L776" s="2" t="s">
        <v>866</v>
      </c>
      <c r="M776" s="2" t="s">
        <v>4184</v>
      </c>
      <c r="N776" s="2" t="s">
        <v>4185</v>
      </c>
      <c r="O776" s="2" t="s">
        <v>869</v>
      </c>
      <c r="P776" s="2" t="s">
        <v>870</v>
      </c>
    </row>
    <row r="777" ht="15.75" customHeight="1">
      <c r="H777" s="2" t="s">
        <v>4186</v>
      </c>
      <c r="I777" s="2" t="s">
        <v>4187</v>
      </c>
      <c r="J777" s="2" t="s">
        <v>4188</v>
      </c>
      <c r="K777" s="2" t="s">
        <v>853</v>
      </c>
      <c r="L777" s="2" t="s">
        <v>866</v>
      </c>
      <c r="M777" s="2" t="s">
        <v>4189</v>
      </c>
      <c r="N777" s="2" t="s">
        <v>4190</v>
      </c>
      <c r="O777" s="2" t="s">
        <v>869</v>
      </c>
      <c r="P777" s="2" t="s">
        <v>870</v>
      </c>
    </row>
    <row r="778" ht="15.75" customHeight="1">
      <c r="H778" s="2" t="s">
        <v>4191</v>
      </c>
      <c r="I778" s="2" t="s">
        <v>1629</v>
      </c>
      <c r="J778" s="2" t="s">
        <v>1630</v>
      </c>
      <c r="K778" s="2" t="s">
        <v>1061</v>
      </c>
      <c r="L778" s="2" t="s">
        <v>866</v>
      </c>
      <c r="M778" s="2" t="s">
        <v>4192</v>
      </c>
      <c r="N778" s="2" t="s">
        <v>4193</v>
      </c>
      <c r="O778" s="2" t="s">
        <v>869</v>
      </c>
      <c r="P778" s="2" t="s">
        <v>870</v>
      </c>
    </row>
    <row r="779" ht="15.75" customHeight="1">
      <c r="H779" s="2" t="s">
        <v>4194</v>
      </c>
      <c r="I779" s="2" t="s">
        <v>4195</v>
      </c>
      <c r="J779" s="2" t="s">
        <v>4196</v>
      </c>
      <c r="K779" s="2" t="s">
        <v>1362</v>
      </c>
      <c r="L779" s="2" t="s">
        <v>866</v>
      </c>
      <c r="M779" s="2" t="s">
        <v>4197</v>
      </c>
      <c r="N779" s="2" t="s">
        <v>4198</v>
      </c>
      <c r="O779" s="2" t="s">
        <v>869</v>
      </c>
      <c r="P779" s="2" t="s">
        <v>870</v>
      </c>
    </row>
    <row r="780" ht="15.75" customHeight="1">
      <c r="H780" s="2" t="s">
        <v>4199</v>
      </c>
      <c r="I780" s="2" t="s">
        <v>4200</v>
      </c>
      <c r="J780" s="2" t="s">
        <v>4201</v>
      </c>
      <c r="K780" s="2" t="s">
        <v>1467</v>
      </c>
      <c r="L780" s="2" t="s">
        <v>866</v>
      </c>
      <c r="M780" s="2" t="s">
        <v>4202</v>
      </c>
      <c r="N780" s="2" t="s">
        <v>4203</v>
      </c>
      <c r="O780" s="2" t="s">
        <v>869</v>
      </c>
      <c r="P780" s="2" t="s">
        <v>870</v>
      </c>
    </row>
    <row r="781" ht="15.75" customHeight="1">
      <c r="H781" s="2" t="s">
        <v>4204</v>
      </c>
      <c r="I781" s="2" t="s">
        <v>4205</v>
      </c>
      <c r="J781" s="2" t="s">
        <v>4206</v>
      </c>
      <c r="K781" s="2" t="s">
        <v>1368</v>
      </c>
      <c r="L781" s="2" t="s">
        <v>866</v>
      </c>
      <c r="M781" s="2" t="s">
        <v>4207</v>
      </c>
      <c r="N781" s="2" t="s">
        <v>4208</v>
      </c>
      <c r="O781" s="2" t="s">
        <v>869</v>
      </c>
      <c r="P781" s="2" t="s">
        <v>870</v>
      </c>
    </row>
    <row r="782" ht="15.75" customHeight="1">
      <c r="H782" s="2" t="s">
        <v>4209</v>
      </c>
      <c r="I782" s="2" t="s">
        <v>4210</v>
      </c>
      <c r="J782" s="2" t="s">
        <v>4211</v>
      </c>
      <c r="K782" s="2" t="s">
        <v>886</v>
      </c>
      <c r="L782" s="2" t="s">
        <v>866</v>
      </c>
      <c r="M782" s="2" t="s">
        <v>4212</v>
      </c>
      <c r="N782" s="2" t="s">
        <v>4213</v>
      </c>
      <c r="O782" s="2" t="s">
        <v>869</v>
      </c>
      <c r="P782" s="2" t="s">
        <v>870</v>
      </c>
    </row>
    <row r="783" ht="15.75" customHeight="1">
      <c r="H783" s="2" t="s">
        <v>4214</v>
      </c>
      <c r="I783" s="2" t="s">
        <v>4215</v>
      </c>
      <c r="J783" s="2" t="s">
        <v>4216</v>
      </c>
      <c r="K783" s="2" t="s">
        <v>970</v>
      </c>
      <c r="L783" s="2" t="s">
        <v>866</v>
      </c>
      <c r="M783" s="2" t="s">
        <v>4217</v>
      </c>
      <c r="N783" s="2" t="s">
        <v>4218</v>
      </c>
      <c r="O783" s="2" t="s">
        <v>869</v>
      </c>
      <c r="P783" s="2" t="s">
        <v>870</v>
      </c>
    </row>
    <row r="784" ht="15.75" customHeight="1">
      <c r="H784" s="2" t="s">
        <v>4219</v>
      </c>
      <c r="I784" s="2" t="s">
        <v>4220</v>
      </c>
      <c r="J784" s="2" t="s">
        <v>4221</v>
      </c>
      <c r="K784" s="2" t="s">
        <v>1551</v>
      </c>
      <c r="L784" s="2" t="s">
        <v>866</v>
      </c>
      <c r="M784" s="2" t="s">
        <v>4222</v>
      </c>
      <c r="N784" s="2" t="s">
        <v>4223</v>
      </c>
      <c r="O784" s="2" t="s">
        <v>869</v>
      </c>
      <c r="P784" s="2" t="s">
        <v>870</v>
      </c>
    </row>
    <row r="785" ht="15.75" customHeight="1">
      <c r="H785" s="2" t="s">
        <v>4224</v>
      </c>
      <c r="I785" s="2" t="s">
        <v>4225</v>
      </c>
      <c r="J785" s="2" t="s">
        <v>4226</v>
      </c>
      <c r="K785" s="2" t="s">
        <v>896</v>
      </c>
      <c r="L785" s="2" t="s">
        <v>866</v>
      </c>
      <c r="M785" s="2" t="s">
        <v>4227</v>
      </c>
      <c r="N785" s="2" t="s">
        <v>4228</v>
      </c>
      <c r="O785" s="2" t="s">
        <v>869</v>
      </c>
      <c r="P785" s="2" t="s">
        <v>870</v>
      </c>
    </row>
    <row r="786" ht="15.75" customHeight="1">
      <c r="H786" s="2" t="s">
        <v>4229</v>
      </c>
      <c r="I786" s="2" t="s">
        <v>4230</v>
      </c>
      <c r="J786" s="2" t="s">
        <v>4231</v>
      </c>
      <c r="K786" s="2" t="s">
        <v>912</v>
      </c>
      <c r="L786" s="2" t="s">
        <v>866</v>
      </c>
      <c r="M786" s="2" t="s">
        <v>4232</v>
      </c>
      <c r="N786" s="2" t="s">
        <v>4233</v>
      </c>
      <c r="O786" s="2" t="s">
        <v>869</v>
      </c>
      <c r="P786" s="2" t="s">
        <v>870</v>
      </c>
    </row>
    <row r="787" ht="15.75" customHeight="1">
      <c r="F787" s="2" t="s">
        <v>737</v>
      </c>
      <c r="H787" s="2" t="s">
        <v>4234</v>
      </c>
      <c r="I787" s="2" t="s">
        <v>4235</v>
      </c>
      <c r="J787" s="2" t="s">
        <v>4235</v>
      </c>
      <c r="K787" s="2" t="s">
        <v>958</v>
      </c>
    </row>
    <row r="788" ht="15.75" customHeight="1">
      <c r="H788" s="2" t="s">
        <v>4236</v>
      </c>
      <c r="I788" s="2" t="s">
        <v>4237</v>
      </c>
      <c r="J788" s="2" t="s">
        <v>4238</v>
      </c>
      <c r="K788" s="2" t="s">
        <v>970</v>
      </c>
      <c r="L788" s="2" t="s">
        <v>866</v>
      </c>
      <c r="M788" s="2" t="s">
        <v>4239</v>
      </c>
      <c r="N788" s="2" t="s">
        <v>4240</v>
      </c>
      <c r="O788" s="2" t="s">
        <v>869</v>
      </c>
      <c r="P788" s="2" t="s">
        <v>870</v>
      </c>
    </row>
    <row r="789" ht="15.75" customHeight="1">
      <c r="H789" s="2" t="s">
        <v>4241</v>
      </c>
      <c r="I789" s="2" t="s">
        <v>739</v>
      </c>
      <c r="J789" s="2" t="s">
        <v>740</v>
      </c>
      <c r="K789" s="2" t="s">
        <v>1551</v>
      </c>
      <c r="L789" s="2" t="s">
        <v>866</v>
      </c>
      <c r="M789" s="2" t="s">
        <v>4242</v>
      </c>
      <c r="N789" s="2" t="s">
        <v>4243</v>
      </c>
      <c r="O789" s="2" t="s">
        <v>869</v>
      </c>
      <c r="P789" s="2" t="s">
        <v>870</v>
      </c>
    </row>
    <row r="790" ht="15.75" customHeight="1">
      <c r="H790" s="2" t="s">
        <v>4244</v>
      </c>
      <c r="I790" s="2" t="s">
        <v>4245</v>
      </c>
      <c r="J790" s="2" t="s">
        <v>4246</v>
      </c>
      <c r="K790" s="2" t="s">
        <v>1007</v>
      </c>
      <c r="L790" s="2" t="s">
        <v>866</v>
      </c>
      <c r="M790" s="2" t="s">
        <v>4247</v>
      </c>
      <c r="N790" s="2" t="s">
        <v>4248</v>
      </c>
      <c r="O790" s="2" t="s">
        <v>869</v>
      </c>
      <c r="P790" s="2" t="s">
        <v>870</v>
      </c>
    </row>
    <row r="791" ht="15.75" customHeight="1">
      <c r="F791" s="2" t="s">
        <v>746</v>
      </c>
      <c r="H791" s="2" t="s">
        <v>4249</v>
      </c>
      <c r="I791" s="2" t="s">
        <v>4250</v>
      </c>
      <c r="J791" s="2" t="s">
        <v>4251</v>
      </c>
      <c r="K791" s="2" t="s">
        <v>947</v>
      </c>
      <c r="L791" s="2" t="s">
        <v>866</v>
      </c>
      <c r="M791" s="2" t="s">
        <v>4252</v>
      </c>
      <c r="N791" s="2" t="s">
        <v>4253</v>
      </c>
      <c r="O791" s="2" t="s">
        <v>869</v>
      </c>
      <c r="P791" s="2" t="s">
        <v>870</v>
      </c>
    </row>
    <row r="792" ht="15.75" customHeight="1">
      <c r="H792" s="2" t="s">
        <v>4254</v>
      </c>
      <c r="I792" s="2" t="s">
        <v>4255</v>
      </c>
      <c r="J792" s="2" t="s">
        <v>4256</v>
      </c>
      <c r="K792" s="2" t="s">
        <v>277</v>
      </c>
      <c r="L792" s="2" t="s">
        <v>866</v>
      </c>
      <c r="M792" s="2" t="s">
        <v>4257</v>
      </c>
      <c r="N792" s="2" t="s">
        <v>4258</v>
      </c>
      <c r="O792" s="2" t="s">
        <v>869</v>
      </c>
      <c r="P792" s="2" t="s">
        <v>870</v>
      </c>
    </row>
    <row r="793" ht="15.75" customHeight="1">
      <c r="H793" s="2" t="s">
        <v>4259</v>
      </c>
      <c r="I793" s="2" t="s">
        <v>4260</v>
      </c>
      <c r="J793" s="2" t="s">
        <v>4261</v>
      </c>
      <c r="K793" s="2" t="s">
        <v>280</v>
      </c>
      <c r="L793" s="2" t="s">
        <v>866</v>
      </c>
      <c r="M793" s="2" t="s">
        <v>4262</v>
      </c>
      <c r="N793" s="2" t="s">
        <v>4263</v>
      </c>
      <c r="O793" s="2" t="s">
        <v>869</v>
      </c>
      <c r="P793" s="2" t="s">
        <v>870</v>
      </c>
    </row>
    <row r="794" ht="15.75" customHeight="1">
      <c r="H794" s="2" t="s">
        <v>4264</v>
      </c>
      <c r="I794" s="2" t="s">
        <v>4265</v>
      </c>
      <c r="J794" s="2" t="s">
        <v>4266</v>
      </c>
      <c r="K794" s="2" t="s">
        <v>1878</v>
      </c>
      <c r="L794" s="2" t="s">
        <v>866</v>
      </c>
      <c r="M794" s="2" t="s">
        <v>4267</v>
      </c>
      <c r="N794" s="2" t="s">
        <v>4268</v>
      </c>
      <c r="O794" s="2" t="s">
        <v>869</v>
      </c>
      <c r="P794" s="2" t="s">
        <v>870</v>
      </c>
    </row>
    <row r="795" ht="15.75" customHeight="1">
      <c r="H795" s="2" t="s">
        <v>4269</v>
      </c>
      <c r="I795" s="2" t="s">
        <v>4270</v>
      </c>
      <c r="J795" s="2" t="s">
        <v>4271</v>
      </c>
      <c r="K795" s="2" t="s">
        <v>874</v>
      </c>
      <c r="L795" s="2" t="s">
        <v>866</v>
      </c>
      <c r="M795" s="2" t="s">
        <v>4272</v>
      </c>
      <c r="N795" s="2" t="s">
        <v>4273</v>
      </c>
      <c r="O795" s="2" t="s">
        <v>869</v>
      </c>
      <c r="P795" s="2" t="s">
        <v>870</v>
      </c>
    </row>
    <row r="796" ht="15.75" customHeight="1">
      <c r="H796" s="2" t="s">
        <v>4274</v>
      </c>
      <c r="I796" s="2" t="s">
        <v>4275</v>
      </c>
      <c r="J796" s="2" t="s">
        <v>4275</v>
      </c>
      <c r="K796" s="2" t="s">
        <v>1288</v>
      </c>
    </row>
    <row r="797" ht="15.75" customHeight="1">
      <c r="H797" s="2" t="s">
        <v>4276</v>
      </c>
      <c r="I797" s="2" t="s">
        <v>4277</v>
      </c>
      <c r="J797" s="2" t="s">
        <v>4278</v>
      </c>
      <c r="K797" s="2" t="s">
        <v>1297</v>
      </c>
      <c r="L797" s="2" t="s">
        <v>866</v>
      </c>
      <c r="M797" s="2" t="s">
        <v>4279</v>
      </c>
      <c r="N797" s="2" t="s">
        <v>4280</v>
      </c>
      <c r="O797" s="2" t="s">
        <v>869</v>
      </c>
      <c r="P797" s="2" t="s">
        <v>870</v>
      </c>
    </row>
    <row r="798" ht="15.75" customHeight="1">
      <c r="H798" s="2" t="s">
        <v>4281</v>
      </c>
      <c r="I798" s="2" t="s">
        <v>4282</v>
      </c>
      <c r="J798" s="2" t="s">
        <v>4283</v>
      </c>
      <c r="K798" s="2" t="s">
        <v>886</v>
      </c>
      <c r="L798" s="2" t="s">
        <v>4284</v>
      </c>
      <c r="M798" s="2" t="s">
        <v>4285</v>
      </c>
      <c r="N798" s="2" t="s">
        <v>4286</v>
      </c>
      <c r="O798" s="2" t="s">
        <v>869</v>
      </c>
      <c r="P798" s="2" t="s">
        <v>870</v>
      </c>
    </row>
    <row r="799" ht="15.75" customHeight="1">
      <c r="H799" s="2" t="s">
        <v>4287</v>
      </c>
      <c r="I799" s="2" t="s">
        <v>4288</v>
      </c>
      <c r="J799" s="2" t="s">
        <v>4289</v>
      </c>
      <c r="K799" s="2" t="s">
        <v>1128</v>
      </c>
      <c r="L799" s="2" t="s">
        <v>866</v>
      </c>
      <c r="M799" s="2" t="s">
        <v>4290</v>
      </c>
      <c r="N799" s="2" t="s">
        <v>4291</v>
      </c>
      <c r="O799" s="2" t="s">
        <v>869</v>
      </c>
      <c r="P799" s="2" t="s">
        <v>870</v>
      </c>
    </row>
    <row r="800" ht="15.75" customHeight="1">
      <c r="H800" s="2" t="s">
        <v>4292</v>
      </c>
      <c r="I800" s="2" t="s">
        <v>4293</v>
      </c>
      <c r="J800" s="2" t="s">
        <v>4294</v>
      </c>
      <c r="K800" s="2" t="s">
        <v>1551</v>
      </c>
      <c r="L800" s="2" t="s">
        <v>866</v>
      </c>
      <c r="M800" s="2" t="s">
        <v>4295</v>
      </c>
      <c r="N800" s="2" t="s">
        <v>4296</v>
      </c>
      <c r="O800" s="2" t="s">
        <v>869</v>
      </c>
      <c r="P800" s="2" t="s">
        <v>870</v>
      </c>
    </row>
    <row r="801" ht="15.75" customHeight="1">
      <c r="H801" s="2" t="s">
        <v>4297</v>
      </c>
      <c r="I801" s="2" t="s">
        <v>4298</v>
      </c>
      <c r="J801" s="2" t="s">
        <v>4299</v>
      </c>
      <c r="K801" s="2" t="s">
        <v>896</v>
      </c>
      <c r="L801" s="2" t="s">
        <v>866</v>
      </c>
      <c r="M801" s="2" t="s">
        <v>4300</v>
      </c>
      <c r="N801" s="2" t="s">
        <v>4301</v>
      </c>
      <c r="O801" s="2" t="s">
        <v>869</v>
      </c>
      <c r="P801" s="2" t="s">
        <v>870</v>
      </c>
    </row>
    <row r="802" ht="15.75" customHeight="1">
      <c r="H802" s="2" t="s">
        <v>4302</v>
      </c>
      <c r="I802" s="2" t="s">
        <v>4127</v>
      </c>
      <c r="J802" s="2" t="s">
        <v>4128</v>
      </c>
      <c r="K802" s="2" t="s">
        <v>2937</v>
      </c>
      <c r="L802" s="2" t="s">
        <v>866</v>
      </c>
      <c r="M802" s="2" t="s">
        <v>4303</v>
      </c>
      <c r="N802" s="2" t="s">
        <v>4304</v>
      </c>
      <c r="O802" s="2" t="s">
        <v>869</v>
      </c>
      <c r="P802" s="2" t="s">
        <v>870</v>
      </c>
    </row>
    <row r="803" ht="15.75" customHeight="1">
      <c r="H803" s="2" t="s">
        <v>4305</v>
      </c>
      <c r="I803" s="2" t="s">
        <v>4306</v>
      </c>
      <c r="J803" s="2" t="s">
        <v>4307</v>
      </c>
      <c r="K803" s="2" t="s">
        <v>906</v>
      </c>
      <c r="L803" s="2" t="s">
        <v>866</v>
      </c>
      <c r="M803" s="2" t="s">
        <v>4308</v>
      </c>
      <c r="N803" s="2" t="s">
        <v>4309</v>
      </c>
      <c r="O803" s="2" t="s">
        <v>869</v>
      </c>
      <c r="P803" s="2" t="s">
        <v>870</v>
      </c>
    </row>
    <row r="804" ht="15.75" customHeight="1">
      <c r="H804" s="2" t="s">
        <v>4310</v>
      </c>
      <c r="I804" s="2" t="s">
        <v>4311</v>
      </c>
      <c r="J804" s="2" t="s">
        <v>4311</v>
      </c>
      <c r="K804" s="2" t="s">
        <v>1567</v>
      </c>
    </row>
    <row r="805" ht="15.75" customHeight="1">
      <c r="H805" s="2" t="s">
        <v>4312</v>
      </c>
      <c r="I805" s="2" t="s">
        <v>4313</v>
      </c>
      <c r="J805" s="2" t="s">
        <v>4314</v>
      </c>
      <c r="K805" s="2" t="s">
        <v>1412</v>
      </c>
      <c r="L805" s="2" t="s">
        <v>866</v>
      </c>
      <c r="M805" s="2" t="s">
        <v>4315</v>
      </c>
      <c r="N805" s="2" t="s">
        <v>4316</v>
      </c>
      <c r="O805" s="2" t="s">
        <v>869</v>
      </c>
      <c r="P805" s="2" t="s">
        <v>870</v>
      </c>
    </row>
    <row r="806" ht="15.75" customHeight="1">
      <c r="H806" s="2" t="s">
        <v>4317</v>
      </c>
      <c r="I806" s="2" t="s">
        <v>4318</v>
      </c>
      <c r="J806" s="2" t="s">
        <v>4319</v>
      </c>
      <c r="K806" s="2" t="s">
        <v>1424</v>
      </c>
      <c r="L806" s="2" t="s">
        <v>866</v>
      </c>
      <c r="M806" s="2" t="s">
        <v>4320</v>
      </c>
      <c r="N806" s="2" t="s">
        <v>4321</v>
      </c>
      <c r="O806" s="2" t="s">
        <v>869</v>
      </c>
      <c r="P806" s="2" t="s">
        <v>870</v>
      </c>
    </row>
    <row r="807" ht="15.75" customHeight="1">
      <c r="H807" s="2" t="s">
        <v>4322</v>
      </c>
      <c r="I807" s="2" t="s">
        <v>4323</v>
      </c>
      <c r="J807" s="2" t="s">
        <v>4324</v>
      </c>
      <c r="K807" s="2" t="s">
        <v>1325</v>
      </c>
      <c r="L807" s="2" t="s">
        <v>866</v>
      </c>
      <c r="M807" s="2" t="s">
        <v>4325</v>
      </c>
      <c r="N807" s="2" t="s">
        <v>4326</v>
      </c>
      <c r="O807" s="2" t="s">
        <v>869</v>
      </c>
      <c r="P807" s="2" t="s">
        <v>870</v>
      </c>
    </row>
    <row r="808" ht="15.75" customHeight="1">
      <c r="H808" s="2" t="s">
        <v>4327</v>
      </c>
      <c r="I808" s="2" t="s">
        <v>4328</v>
      </c>
      <c r="J808" s="2" t="s">
        <v>4329</v>
      </c>
      <c r="K808" s="2" t="s">
        <v>2223</v>
      </c>
    </row>
    <row r="809" ht="15.75" customHeight="1">
      <c r="H809" s="2" t="s">
        <v>4330</v>
      </c>
      <c r="I809" s="2" t="s">
        <v>4331</v>
      </c>
      <c r="J809" s="2" t="s">
        <v>4332</v>
      </c>
      <c r="K809" s="2" t="s">
        <v>1593</v>
      </c>
      <c r="L809" s="2" t="s">
        <v>866</v>
      </c>
      <c r="M809" s="2" t="s">
        <v>4333</v>
      </c>
      <c r="N809" s="2" t="s">
        <v>4334</v>
      </c>
      <c r="O809" s="2" t="s">
        <v>869</v>
      </c>
      <c r="P809" s="2" t="s">
        <v>870</v>
      </c>
    </row>
    <row r="810" ht="15.75" customHeight="1">
      <c r="H810" s="2" t="s">
        <v>4335</v>
      </c>
      <c r="I810" s="2" t="s">
        <v>4336</v>
      </c>
      <c r="J810" s="2" t="s">
        <v>4337</v>
      </c>
      <c r="K810" s="2" t="s">
        <v>2585</v>
      </c>
    </row>
    <row r="811" ht="15.75" customHeight="1">
      <c r="H811" s="2" t="s">
        <v>4338</v>
      </c>
      <c r="I811" s="2" t="s">
        <v>4339</v>
      </c>
      <c r="J811" s="2" t="s">
        <v>4340</v>
      </c>
      <c r="K811" s="2" t="s">
        <v>1193</v>
      </c>
      <c r="L811" s="2" t="s">
        <v>866</v>
      </c>
      <c r="M811" s="2" t="s">
        <v>4341</v>
      </c>
      <c r="N811" s="2" t="s">
        <v>4342</v>
      </c>
      <c r="O811" s="2" t="s">
        <v>869</v>
      </c>
      <c r="P811" s="2" t="s">
        <v>870</v>
      </c>
    </row>
    <row r="812" ht="15.75" customHeight="1">
      <c r="H812" s="2" t="s">
        <v>4343</v>
      </c>
      <c r="I812" s="2" t="s">
        <v>4344</v>
      </c>
      <c r="J812" s="2" t="s">
        <v>4345</v>
      </c>
      <c r="K812" s="2" t="s">
        <v>1049</v>
      </c>
      <c r="L812" s="2" t="s">
        <v>866</v>
      </c>
      <c r="M812" s="2" t="s">
        <v>4346</v>
      </c>
      <c r="N812" s="2" t="s">
        <v>4347</v>
      </c>
      <c r="O812" s="2" t="s">
        <v>869</v>
      </c>
      <c r="P812" s="2" t="s">
        <v>870</v>
      </c>
    </row>
    <row r="813" ht="15.75" customHeight="1">
      <c r="H813" s="2" t="s">
        <v>4348</v>
      </c>
      <c r="I813" s="2" t="s">
        <v>4349</v>
      </c>
      <c r="J813" s="2" t="s">
        <v>4350</v>
      </c>
      <c r="K813" s="2" t="s">
        <v>1205</v>
      </c>
      <c r="L813" s="2" t="s">
        <v>866</v>
      </c>
      <c r="M813" s="2" t="s">
        <v>4351</v>
      </c>
      <c r="N813" s="2" t="s">
        <v>4352</v>
      </c>
      <c r="O813" s="2" t="s">
        <v>869</v>
      </c>
      <c r="P813" s="2" t="s">
        <v>870</v>
      </c>
    </row>
    <row r="814" ht="15.75" customHeight="1">
      <c r="F814" s="2" t="s">
        <v>4353</v>
      </c>
      <c r="H814" s="2" t="s">
        <v>4354</v>
      </c>
      <c r="I814" s="2" t="s">
        <v>4355</v>
      </c>
      <c r="J814" s="2" t="s">
        <v>4356</v>
      </c>
      <c r="K814" s="2" t="s">
        <v>859</v>
      </c>
      <c r="L814" s="2" t="s">
        <v>866</v>
      </c>
      <c r="M814" s="2" t="s">
        <v>4357</v>
      </c>
      <c r="N814" s="2" t="s">
        <v>4358</v>
      </c>
      <c r="O814" s="2" t="s">
        <v>869</v>
      </c>
      <c r="P814" s="2" t="s">
        <v>870</v>
      </c>
    </row>
    <row r="815" ht="15.75" customHeight="1">
      <c r="H815" s="2" t="s">
        <v>4359</v>
      </c>
      <c r="I815" s="2" t="s">
        <v>4360</v>
      </c>
      <c r="J815" s="2" t="s">
        <v>4360</v>
      </c>
      <c r="K815" s="2" t="s">
        <v>1362</v>
      </c>
    </row>
    <row r="816" ht="15.75" customHeight="1">
      <c r="H816" s="2" t="s">
        <v>4361</v>
      </c>
      <c r="I816" s="2" t="s">
        <v>4362</v>
      </c>
      <c r="J816" s="2" t="s">
        <v>4363</v>
      </c>
      <c r="K816" s="2" t="s">
        <v>280</v>
      </c>
      <c r="L816" s="2" t="s">
        <v>866</v>
      </c>
      <c r="M816" s="2" t="s">
        <v>4364</v>
      </c>
      <c r="N816" s="2" t="s">
        <v>4365</v>
      </c>
      <c r="O816" s="2" t="s">
        <v>869</v>
      </c>
      <c r="P816" s="2" t="s">
        <v>870</v>
      </c>
    </row>
    <row r="817" ht="15.75" customHeight="1">
      <c r="H817" s="2" t="s">
        <v>4366</v>
      </c>
      <c r="I817" s="2" t="s">
        <v>4367</v>
      </c>
      <c r="J817" s="2" t="s">
        <v>4368</v>
      </c>
      <c r="K817" s="2" t="s">
        <v>1288</v>
      </c>
      <c r="L817" s="2" t="s">
        <v>866</v>
      </c>
      <c r="M817" s="2" t="s">
        <v>4369</v>
      </c>
      <c r="N817" s="2" t="s">
        <v>4370</v>
      </c>
      <c r="O817" s="2" t="s">
        <v>869</v>
      </c>
      <c r="P817" s="2" t="s">
        <v>870</v>
      </c>
    </row>
    <row r="818" ht="15.75" customHeight="1">
      <c r="H818" s="2" t="s">
        <v>4371</v>
      </c>
      <c r="I818" s="2" t="s">
        <v>4372</v>
      </c>
      <c r="J818" s="2" t="s">
        <v>4373</v>
      </c>
      <c r="K818" s="2" t="s">
        <v>880</v>
      </c>
      <c r="L818" s="2" t="s">
        <v>866</v>
      </c>
      <c r="M818" s="2" t="s">
        <v>4374</v>
      </c>
      <c r="N818" s="2" t="s">
        <v>4375</v>
      </c>
      <c r="O818" s="2" t="s">
        <v>869</v>
      </c>
      <c r="P818" s="2" t="s">
        <v>870</v>
      </c>
    </row>
    <row r="819" ht="15.75" customHeight="1">
      <c r="H819" s="2" t="s">
        <v>4376</v>
      </c>
      <c r="I819" s="2" t="s">
        <v>4377</v>
      </c>
      <c r="J819" s="2" t="s">
        <v>4378</v>
      </c>
      <c r="K819" s="2" t="s">
        <v>890</v>
      </c>
      <c r="L819" s="2" t="s">
        <v>866</v>
      </c>
      <c r="M819" s="2" t="s">
        <v>4379</v>
      </c>
      <c r="N819" s="2" t="s">
        <v>4380</v>
      </c>
      <c r="O819" s="2" t="s">
        <v>869</v>
      </c>
      <c r="P819" s="2" t="s">
        <v>870</v>
      </c>
    </row>
    <row r="820" ht="15.75" customHeight="1">
      <c r="H820" s="2" t="s">
        <v>4381</v>
      </c>
      <c r="I820" s="2" t="s">
        <v>4027</v>
      </c>
      <c r="J820" s="2" t="s">
        <v>4028</v>
      </c>
      <c r="K820" s="2" t="s">
        <v>970</v>
      </c>
      <c r="L820" s="2" t="s">
        <v>866</v>
      </c>
      <c r="M820" s="2" t="s">
        <v>4382</v>
      </c>
      <c r="N820" s="2" t="s">
        <v>4383</v>
      </c>
      <c r="O820" s="2" t="s">
        <v>869</v>
      </c>
      <c r="P820" s="2" t="s">
        <v>870</v>
      </c>
    </row>
    <row r="821" ht="15.75" customHeight="1">
      <c r="H821" s="2" t="s">
        <v>4384</v>
      </c>
      <c r="I821" s="2" t="s">
        <v>4385</v>
      </c>
      <c r="J821" s="2" t="s">
        <v>4386</v>
      </c>
      <c r="K821" s="2" t="s">
        <v>1508</v>
      </c>
      <c r="L821" s="2" t="s">
        <v>866</v>
      </c>
      <c r="M821" s="2" t="s">
        <v>4387</v>
      </c>
      <c r="N821" s="2" t="s">
        <v>4388</v>
      </c>
      <c r="O821" s="2" t="s">
        <v>869</v>
      </c>
      <c r="P821" s="2" t="s">
        <v>870</v>
      </c>
    </row>
    <row r="822" ht="15.75" customHeight="1">
      <c r="H822" s="2" t="s">
        <v>4389</v>
      </c>
      <c r="I822" s="2" t="s">
        <v>4390</v>
      </c>
      <c r="J822" s="2" t="s">
        <v>4391</v>
      </c>
      <c r="K822" s="2" t="s">
        <v>918</v>
      </c>
      <c r="L822" s="2" t="s">
        <v>866</v>
      </c>
      <c r="M822" s="2" t="s">
        <v>4392</v>
      </c>
      <c r="N822" s="2" t="s">
        <v>4393</v>
      </c>
      <c r="O822" s="2" t="s">
        <v>869</v>
      </c>
      <c r="P822" s="2" t="s">
        <v>870</v>
      </c>
    </row>
    <row r="823" ht="15.75" customHeight="1">
      <c r="H823" s="2" t="s">
        <v>4394</v>
      </c>
      <c r="I823" s="2" t="s">
        <v>4395</v>
      </c>
      <c r="J823" s="2" t="s">
        <v>4396</v>
      </c>
      <c r="K823" s="2" t="s">
        <v>1141</v>
      </c>
      <c r="L823" s="2" t="s">
        <v>866</v>
      </c>
      <c r="M823" s="2" t="s">
        <v>4397</v>
      </c>
      <c r="N823" s="2" t="s">
        <v>4398</v>
      </c>
      <c r="O823" s="2" t="s">
        <v>869</v>
      </c>
      <c r="P823" s="2" t="s">
        <v>870</v>
      </c>
    </row>
    <row r="824" ht="15.75" customHeight="1">
      <c r="H824" s="2" t="s">
        <v>4399</v>
      </c>
      <c r="I824" s="2" t="s">
        <v>4400</v>
      </c>
      <c r="J824" s="2" t="s">
        <v>4401</v>
      </c>
      <c r="K824" s="2" t="s">
        <v>2203</v>
      </c>
      <c r="L824" s="2" t="s">
        <v>866</v>
      </c>
      <c r="M824" s="2" t="s">
        <v>4402</v>
      </c>
      <c r="N824" s="2" t="s">
        <v>4403</v>
      </c>
      <c r="O824" s="2" t="s">
        <v>869</v>
      </c>
      <c r="P824" s="2" t="s">
        <v>870</v>
      </c>
    </row>
    <row r="825" ht="15.75" customHeight="1">
      <c r="H825" s="2" t="s">
        <v>4404</v>
      </c>
      <c r="I825" s="2" t="s">
        <v>4405</v>
      </c>
      <c r="J825" s="2" t="s">
        <v>4406</v>
      </c>
      <c r="K825" s="2" t="s">
        <v>1325</v>
      </c>
      <c r="L825" s="2" t="s">
        <v>866</v>
      </c>
      <c r="M825" s="2" t="s">
        <v>4407</v>
      </c>
      <c r="N825" s="2" t="s">
        <v>4408</v>
      </c>
      <c r="O825" s="2" t="s">
        <v>869</v>
      </c>
      <c r="P825" s="2" t="s">
        <v>870</v>
      </c>
    </row>
    <row r="826" ht="15.75" customHeight="1">
      <c r="H826" s="2" t="s">
        <v>4409</v>
      </c>
      <c r="I826" s="2" t="s">
        <v>4410</v>
      </c>
      <c r="J826" s="2" t="s">
        <v>4411</v>
      </c>
      <c r="K826" s="2" t="s">
        <v>1593</v>
      </c>
      <c r="L826" s="2" t="s">
        <v>866</v>
      </c>
      <c r="M826" s="2" t="s">
        <v>4412</v>
      </c>
      <c r="N826" s="2" t="s">
        <v>4413</v>
      </c>
      <c r="O826" s="2" t="s">
        <v>869</v>
      </c>
      <c r="P826" s="2" t="s">
        <v>870</v>
      </c>
    </row>
    <row r="827" ht="15.75" customHeight="1">
      <c r="H827" s="2" t="s">
        <v>4414</v>
      </c>
      <c r="I827" s="2" t="s">
        <v>4415</v>
      </c>
      <c r="J827" s="2" t="s">
        <v>4416</v>
      </c>
      <c r="K827" s="2" t="s">
        <v>1027</v>
      </c>
      <c r="L827" s="2" t="s">
        <v>866</v>
      </c>
      <c r="M827" s="2" t="s">
        <v>4417</v>
      </c>
      <c r="N827" s="2" t="s">
        <v>4418</v>
      </c>
      <c r="O827" s="2" t="s">
        <v>869</v>
      </c>
      <c r="P827" s="2" t="s">
        <v>870</v>
      </c>
    </row>
    <row r="828" ht="15.75" customHeight="1">
      <c r="H828" s="2" t="s">
        <v>4419</v>
      </c>
      <c r="I828" s="2" t="s">
        <v>4420</v>
      </c>
      <c r="J828" s="2" t="s">
        <v>4421</v>
      </c>
      <c r="K828" s="2" t="s">
        <v>1331</v>
      </c>
      <c r="L828" s="2" t="s">
        <v>866</v>
      </c>
      <c r="M828" s="2" t="s">
        <v>4422</v>
      </c>
      <c r="N828" s="2" t="s">
        <v>4423</v>
      </c>
      <c r="O828" s="2" t="s">
        <v>869</v>
      </c>
      <c r="P828" s="2" t="s">
        <v>870</v>
      </c>
    </row>
    <row r="829" ht="15.75" customHeight="1">
      <c r="H829" s="2" t="s">
        <v>4424</v>
      </c>
      <c r="I829" s="2" t="s">
        <v>4425</v>
      </c>
      <c r="J829" s="2" t="s">
        <v>4425</v>
      </c>
      <c r="K829" s="2" t="s">
        <v>1169</v>
      </c>
    </row>
    <row r="830" ht="15.75" customHeight="1">
      <c r="H830" s="2" t="s">
        <v>4426</v>
      </c>
      <c r="I830" s="2" t="s">
        <v>4427</v>
      </c>
      <c r="J830" s="2" t="s">
        <v>4428</v>
      </c>
      <c r="K830" s="2" t="s">
        <v>4429</v>
      </c>
      <c r="L830" s="2" t="s">
        <v>866</v>
      </c>
      <c r="M830" s="2" t="s">
        <v>4430</v>
      </c>
      <c r="N830" s="2" t="s">
        <v>4431</v>
      </c>
      <c r="O830" s="2" t="s">
        <v>869</v>
      </c>
      <c r="P830" s="2" t="s">
        <v>870</v>
      </c>
    </row>
    <row r="831" ht="15.75" customHeight="1">
      <c r="H831" s="2" t="s">
        <v>4432</v>
      </c>
      <c r="I831" s="2" t="s">
        <v>3048</v>
      </c>
      <c r="J831" s="2" t="s">
        <v>3049</v>
      </c>
      <c r="K831" s="2" t="s">
        <v>1175</v>
      </c>
      <c r="L831" s="2" t="s">
        <v>866</v>
      </c>
      <c r="M831" s="2" t="s">
        <v>4433</v>
      </c>
      <c r="N831" s="2" t="s">
        <v>4413</v>
      </c>
      <c r="O831" s="2" t="s">
        <v>869</v>
      </c>
      <c r="P831" s="2" t="s">
        <v>870</v>
      </c>
    </row>
    <row r="832" ht="15.75" customHeight="1">
      <c r="H832" s="2" t="s">
        <v>4434</v>
      </c>
      <c r="I832" s="2" t="s">
        <v>4435</v>
      </c>
      <c r="J832" s="2" t="s">
        <v>4435</v>
      </c>
      <c r="K832" s="2" t="s">
        <v>4436</v>
      </c>
    </row>
    <row r="833" ht="15.75" customHeight="1">
      <c r="H833" s="2" t="s">
        <v>4437</v>
      </c>
      <c r="I833" s="2" t="s">
        <v>4438</v>
      </c>
      <c r="J833" s="2" t="s">
        <v>4439</v>
      </c>
      <c r="K833" s="2" t="s">
        <v>1181</v>
      </c>
      <c r="L833" s="2" t="s">
        <v>866</v>
      </c>
      <c r="M833" s="2" t="s">
        <v>4440</v>
      </c>
      <c r="N833" s="2" t="s">
        <v>4441</v>
      </c>
      <c r="O833" s="2" t="s">
        <v>869</v>
      </c>
      <c r="P833" s="2" t="s">
        <v>870</v>
      </c>
    </row>
    <row r="834" ht="15.75" customHeight="1">
      <c r="H834" s="2" t="s">
        <v>4442</v>
      </c>
      <c r="I834" s="2" t="s">
        <v>4443</v>
      </c>
      <c r="J834" s="2" t="s">
        <v>4444</v>
      </c>
      <c r="K834" s="2" t="s">
        <v>2585</v>
      </c>
      <c r="L834" s="2" t="s">
        <v>866</v>
      </c>
      <c r="M834" s="2" t="s">
        <v>4445</v>
      </c>
      <c r="N834" s="2" t="s">
        <v>4446</v>
      </c>
      <c r="O834" s="2" t="s">
        <v>869</v>
      </c>
      <c r="P834" s="2" t="s">
        <v>870</v>
      </c>
    </row>
    <row r="835" ht="15.75" customHeight="1">
      <c r="H835" s="2" t="s">
        <v>4447</v>
      </c>
      <c r="I835" s="2" t="s">
        <v>4448</v>
      </c>
      <c r="J835" s="2" t="s">
        <v>4449</v>
      </c>
      <c r="K835" s="2" t="s">
        <v>1193</v>
      </c>
      <c r="L835" s="2" t="s">
        <v>866</v>
      </c>
      <c r="M835" s="2" t="s">
        <v>4450</v>
      </c>
      <c r="N835" s="2" t="s">
        <v>4451</v>
      </c>
      <c r="O835" s="2" t="s">
        <v>869</v>
      </c>
      <c r="P835" s="2" t="s">
        <v>870</v>
      </c>
    </row>
    <row r="836" ht="15.75" customHeight="1">
      <c r="H836" s="2" t="s">
        <v>4452</v>
      </c>
      <c r="I836" s="2" t="s">
        <v>4453</v>
      </c>
      <c r="J836" s="2" t="s">
        <v>4454</v>
      </c>
      <c r="K836" s="2" t="s">
        <v>1199</v>
      </c>
      <c r="L836" s="2" t="s">
        <v>866</v>
      </c>
      <c r="M836" s="2" t="s">
        <v>4455</v>
      </c>
      <c r="N836" s="2" t="s">
        <v>4456</v>
      </c>
      <c r="O836" s="2" t="s">
        <v>869</v>
      </c>
      <c r="P836" s="2" t="s">
        <v>870</v>
      </c>
    </row>
    <row r="837" ht="15.75" customHeight="1">
      <c r="H837" s="2" t="s">
        <v>4457</v>
      </c>
      <c r="I837" s="2" t="s">
        <v>4458</v>
      </c>
      <c r="J837" s="2" t="s">
        <v>4459</v>
      </c>
      <c r="L837" s="2" t="s">
        <v>866</v>
      </c>
      <c r="M837" s="2" t="s">
        <v>4460</v>
      </c>
      <c r="N837" s="2" t="s">
        <v>4461</v>
      </c>
      <c r="O837" s="2" t="s">
        <v>869</v>
      </c>
      <c r="P837" s="2" t="s">
        <v>870</v>
      </c>
    </row>
    <row r="838" ht="15.75" customHeight="1">
      <c r="F838" s="2" t="s">
        <v>4462</v>
      </c>
      <c r="H838" s="2" t="s">
        <v>4463</v>
      </c>
      <c r="I838" s="2" t="s">
        <v>4464</v>
      </c>
      <c r="J838" s="2" t="s">
        <v>4465</v>
      </c>
      <c r="K838" s="2" t="s">
        <v>277</v>
      </c>
      <c r="L838" s="2" t="s">
        <v>866</v>
      </c>
      <c r="M838" s="2" t="s">
        <v>4466</v>
      </c>
      <c r="N838" s="2" t="s">
        <v>4467</v>
      </c>
      <c r="O838" s="2" t="s">
        <v>869</v>
      </c>
      <c r="P838" s="2" t="s">
        <v>870</v>
      </c>
    </row>
    <row r="839" ht="15.75" customHeight="1">
      <c r="H839" s="2" t="s">
        <v>4468</v>
      </c>
      <c r="I839" s="2" t="s">
        <v>4469</v>
      </c>
      <c r="J839" s="2" t="s">
        <v>4470</v>
      </c>
      <c r="K839" s="2" t="s">
        <v>1467</v>
      </c>
      <c r="L839" s="2" t="s">
        <v>866</v>
      </c>
      <c r="M839" s="2" t="s">
        <v>4471</v>
      </c>
      <c r="N839" s="2" t="s">
        <v>4472</v>
      </c>
      <c r="O839" s="2" t="s">
        <v>869</v>
      </c>
      <c r="P839" s="2" t="s">
        <v>870</v>
      </c>
    </row>
    <row r="840" ht="15.75" customHeight="1">
      <c r="H840" s="2" t="s">
        <v>4473</v>
      </c>
      <c r="I840" s="2" t="s">
        <v>1167</v>
      </c>
      <c r="J840" s="2" t="s">
        <v>1168</v>
      </c>
      <c r="K840" s="2" t="s">
        <v>963</v>
      </c>
      <c r="L840" s="2" t="s">
        <v>866</v>
      </c>
      <c r="M840" s="2" t="s">
        <v>4474</v>
      </c>
      <c r="N840" s="2" t="s">
        <v>4475</v>
      </c>
      <c r="O840" s="2" t="s">
        <v>869</v>
      </c>
      <c r="P840" s="2" t="s">
        <v>870</v>
      </c>
    </row>
    <row r="841" ht="15.75" customHeight="1">
      <c r="H841" s="2" t="s">
        <v>4476</v>
      </c>
      <c r="I841" s="2" t="s">
        <v>4477</v>
      </c>
      <c r="J841" s="2" t="s">
        <v>4478</v>
      </c>
      <c r="K841" s="2" t="s">
        <v>996</v>
      </c>
      <c r="L841" s="2" t="s">
        <v>866</v>
      </c>
      <c r="M841" s="2" t="s">
        <v>4479</v>
      </c>
      <c r="N841" s="2" t="s">
        <v>4480</v>
      </c>
      <c r="O841" s="2" t="s">
        <v>869</v>
      </c>
      <c r="P841" s="2" t="s">
        <v>870</v>
      </c>
    </row>
    <row r="842" ht="15.75" customHeight="1">
      <c r="H842" s="2" t="s">
        <v>4481</v>
      </c>
      <c r="I842" s="2" t="s">
        <v>4482</v>
      </c>
      <c r="J842" s="2" t="s">
        <v>4483</v>
      </c>
      <c r="K842" s="2" t="s">
        <v>880</v>
      </c>
      <c r="L842" s="2" t="s">
        <v>866</v>
      </c>
      <c r="M842" s="2" t="s">
        <v>4484</v>
      </c>
      <c r="N842" s="2" t="s">
        <v>4485</v>
      </c>
      <c r="O842" s="2" t="s">
        <v>869</v>
      </c>
      <c r="P842" s="2" t="s">
        <v>870</v>
      </c>
    </row>
    <row r="843" ht="15.75" customHeight="1">
      <c r="H843" s="2" t="s">
        <v>4486</v>
      </c>
      <c r="I843" s="2" t="s">
        <v>4487</v>
      </c>
      <c r="J843" s="2" t="s">
        <v>4488</v>
      </c>
      <c r="K843" s="2" t="s">
        <v>1128</v>
      </c>
      <c r="L843" s="2" t="s">
        <v>866</v>
      </c>
      <c r="M843" s="2" t="s">
        <v>4489</v>
      </c>
      <c r="N843" s="2" t="s">
        <v>4490</v>
      </c>
      <c r="O843" s="2" t="s">
        <v>869</v>
      </c>
      <c r="P843" s="2" t="s">
        <v>870</v>
      </c>
    </row>
    <row r="844" ht="15.75" customHeight="1">
      <c r="F844" s="2" t="s">
        <v>4491</v>
      </c>
      <c r="H844" s="2" t="s">
        <v>4492</v>
      </c>
      <c r="I844" s="2" t="s">
        <v>4493</v>
      </c>
      <c r="J844" s="2" t="s">
        <v>4494</v>
      </c>
      <c r="K844" s="2" t="s">
        <v>1061</v>
      </c>
      <c r="L844" s="2" t="s">
        <v>866</v>
      </c>
      <c r="M844" s="2" t="s">
        <v>4495</v>
      </c>
      <c r="N844" s="2" t="s">
        <v>4496</v>
      </c>
      <c r="O844" s="2" t="s">
        <v>869</v>
      </c>
      <c r="P844" s="2" t="s">
        <v>870</v>
      </c>
    </row>
    <row r="845" ht="15.75" customHeight="1">
      <c r="H845" s="2" t="s">
        <v>4497</v>
      </c>
      <c r="I845" s="2" t="s">
        <v>4498</v>
      </c>
      <c r="J845" s="2" t="s">
        <v>4499</v>
      </c>
      <c r="K845" s="2" t="s">
        <v>1467</v>
      </c>
      <c r="L845" s="2" t="s">
        <v>866</v>
      </c>
      <c r="M845" s="2" t="s">
        <v>4500</v>
      </c>
      <c r="N845" s="2" t="s">
        <v>4501</v>
      </c>
      <c r="O845" s="2" t="s">
        <v>869</v>
      </c>
      <c r="P845" s="2" t="s">
        <v>870</v>
      </c>
    </row>
    <row r="846" ht="15.75" customHeight="1">
      <c r="H846" s="2" t="s">
        <v>4502</v>
      </c>
      <c r="I846" s="2" t="s">
        <v>4503</v>
      </c>
      <c r="J846" s="2" t="s">
        <v>4504</v>
      </c>
      <c r="K846" s="2" t="s">
        <v>958</v>
      </c>
      <c r="L846" s="2" t="s">
        <v>866</v>
      </c>
      <c r="M846" s="2" t="s">
        <v>4505</v>
      </c>
      <c r="N846" s="2" t="s">
        <v>4506</v>
      </c>
      <c r="O846" s="2" t="s">
        <v>869</v>
      </c>
      <c r="P846" s="2" t="s">
        <v>870</v>
      </c>
    </row>
    <row r="847" ht="15.75" customHeight="1">
      <c r="H847" s="2" t="s">
        <v>4507</v>
      </c>
      <c r="I847" s="2" t="s">
        <v>4508</v>
      </c>
      <c r="J847" s="2" t="s">
        <v>4509</v>
      </c>
      <c r="K847" s="2" t="s">
        <v>966</v>
      </c>
      <c r="L847" s="2" t="s">
        <v>866</v>
      </c>
      <c r="M847" s="2" t="s">
        <v>4510</v>
      </c>
      <c r="N847" s="2" t="s">
        <v>4511</v>
      </c>
      <c r="O847" s="2" t="s">
        <v>869</v>
      </c>
      <c r="P847" s="2" t="s">
        <v>870</v>
      </c>
    </row>
    <row r="848" ht="15.75" customHeight="1">
      <c r="H848" s="2" t="s">
        <v>4512</v>
      </c>
      <c r="I848" s="2" t="s">
        <v>4513</v>
      </c>
      <c r="J848" s="2" t="s">
        <v>4514</v>
      </c>
      <c r="K848" s="2" t="s">
        <v>1128</v>
      </c>
      <c r="L848" s="2" t="s">
        <v>866</v>
      </c>
      <c r="M848" s="2" t="s">
        <v>4515</v>
      </c>
      <c r="N848" s="2" t="s">
        <v>4516</v>
      </c>
      <c r="O848" s="2" t="s">
        <v>869</v>
      </c>
      <c r="P848" s="2" t="s">
        <v>870</v>
      </c>
    </row>
    <row r="849" ht="15.75" customHeight="1">
      <c r="H849" s="2" t="s">
        <v>4517</v>
      </c>
      <c r="I849" s="2" t="s">
        <v>4518</v>
      </c>
      <c r="J849" s="2" t="s">
        <v>4519</v>
      </c>
      <c r="K849" s="2" t="s">
        <v>1551</v>
      </c>
      <c r="L849" s="2" t="s">
        <v>866</v>
      </c>
      <c r="M849" s="2" t="s">
        <v>4520</v>
      </c>
      <c r="N849" s="2" t="s">
        <v>4521</v>
      </c>
      <c r="O849" s="2" t="s">
        <v>869</v>
      </c>
      <c r="P849" s="2" t="s">
        <v>870</v>
      </c>
    </row>
    <row r="850" ht="15.75" customHeight="1">
      <c r="H850" s="2" t="s">
        <v>4522</v>
      </c>
      <c r="I850" s="2" t="s">
        <v>4523</v>
      </c>
      <c r="J850" s="2" t="s">
        <v>4524</v>
      </c>
      <c r="K850" s="2" t="s">
        <v>1007</v>
      </c>
      <c r="L850" s="2" t="s">
        <v>866</v>
      </c>
      <c r="M850" s="2" t="s">
        <v>4525</v>
      </c>
      <c r="N850" s="2" t="s">
        <v>4526</v>
      </c>
      <c r="O850" s="2" t="s">
        <v>869</v>
      </c>
      <c r="P850" s="2" t="s">
        <v>870</v>
      </c>
    </row>
    <row r="851" ht="15.75" customHeight="1">
      <c r="H851" s="2" t="s">
        <v>4527</v>
      </c>
      <c r="I851" s="2" t="s">
        <v>4528</v>
      </c>
      <c r="J851" s="2" t="s">
        <v>4529</v>
      </c>
      <c r="K851" s="2" t="s">
        <v>2937</v>
      </c>
      <c r="L851" s="2" t="s">
        <v>866</v>
      </c>
      <c r="M851" s="2" t="s">
        <v>4530</v>
      </c>
      <c r="N851" s="2" t="s">
        <v>4531</v>
      </c>
      <c r="O851" s="2" t="s">
        <v>869</v>
      </c>
      <c r="P851" s="2" t="s">
        <v>870</v>
      </c>
    </row>
    <row r="852" ht="15.75" customHeight="1">
      <c r="H852" s="2" t="s">
        <v>4532</v>
      </c>
      <c r="I852" s="2" t="s">
        <v>4533</v>
      </c>
      <c r="J852" s="2" t="s">
        <v>4533</v>
      </c>
      <c r="K852" s="2" t="s">
        <v>906</v>
      </c>
    </row>
    <row r="853" ht="15.75" customHeight="1">
      <c r="H853" s="2" t="s">
        <v>4534</v>
      </c>
      <c r="I853" s="2" t="s">
        <v>4535</v>
      </c>
      <c r="J853" s="2" t="s">
        <v>4536</v>
      </c>
      <c r="K853" s="2" t="s">
        <v>1567</v>
      </c>
      <c r="L853" s="2" t="s">
        <v>866</v>
      </c>
      <c r="M853" s="2" t="s">
        <v>4537</v>
      </c>
      <c r="N853" s="2" t="s">
        <v>4538</v>
      </c>
      <c r="O853" s="2" t="s">
        <v>869</v>
      </c>
      <c r="P853" s="2" t="s">
        <v>870</v>
      </c>
    </row>
    <row r="854" ht="15.75" customHeight="1">
      <c r="H854" s="2" t="s">
        <v>4539</v>
      </c>
      <c r="I854" s="2" t="s">
        <v>1025</v>
      </c>
      <c r="J854" s="2" t="s">
        <v>1026</v>
      </c>
      <c r="K854" s="2" t="s">
        <v>2737</v>
      </c>
      <c r="L854" s="2" t="s">
        <v>866</v>
      </c>
      <c r="M854" s="2" t="s">
        <v>4540</v>
      </c>
      <c r="N854" s="2" t="s">
        <v>4541</v>
      </c>
      <c r="O854" s="2" t="s">
        <v>869</v>
      </c>
      <c r="P854" s="2" t="s">
        <v>870</v>
      </c>
    </row>
    <row r="855" ht="15.75" customHeight="1">
      <c r="H855" s="2" t="s">
        <v>4542</v>
      </c>
      <c r="I855" s="2" t="s">
        <v>4543</v>
      </c>
      <c r="J855" s="2" t="s">
        <v>4543</v>
      </c>
      <c r="K855" s="2" t="s">
        <v>1569</v>
      </c>
    </row>
    <row r="856" ht="15.75" customHeight="1">
      <c r="F856" s="2" t="s">
        <v>4544</v>
      </c>
      <c r="H856" s="2" t="s">
        <v>4545</v>
      </c>
      <c r="I856" s="2" t="s">
        <v>4546</v>
      </c>
      <c r="J856" s="2" t="s">
        <v>4547</v>
      </c>
      <c r="K856" s="2" t="s">
        <v>947</v>
      </c>
      <c r="L856" s="2" t="s">
        <v>866</v>
      </c>
      <c r="M856" s="2" t="s">
        <v>4548</v>
      </c>
      <c r="N856" s="2" t="s">
        <v>4549</v>
      </c>
      <c r="O856" s="2" t="s">
        <v>869</v>
      </c>
      <c r="P856" s="2" t="s">
        <v>870</v>
      </c>
    </row>
    <row r="857" ht="15.75" customHeight="1">
      <c r="H857" s="2" t="s">
        <v>4550</v>
      </c>
      <c r="I857" s="2" t="s">
        <v>4551</v>
      </c>
      <c r="J857" s="2" t="s">
        <v>4552</v>
      </c>
      <c r="K857" s="2" t="s">
        <v>1117</v>
      </c>
      <c r="L857" s="2" t="s">
        <v>866</v>
      </c>
      <c r="M857" s="2" t="s">
        <v>4553</v>
      </c>
      <c r="N857" s="2" t="s">
        <v>4554</v>
      </c>
      <c r="O857" s="2" t="s">
        <v>869</v>
      </c>
      <c r="P857" s="2" t="s">
        <v>870</v>
      </c>
    </row>
    <row r="858" ht="15.75" customHeight="1">
      <c r="H858" s="2" t="s">
        <v>4555</v>
      </c>
      <c r="I858" s="2" t="s">
        <v>4556</v>
      </c>
      <c r="J858" s="2" t="s">
        <v>4557</v>
      </c>
      <c r="K858" s="2" t="s">
        <v>963</v>
      </c>
      <c r="L858" s="2" t="s">
        <v>866</v>
      </c>
      <c r="M858" s="2" t="s">
        <v>4558</v>
      </c>
      <c r="N858" s="2" t="s">
        <v>4559</v>
      </c>
      <c r="O858" s="2" t="s">
        <v>869</v>
      </c>
      <c r="P858" s="2" t="s">
        <v>870</v>
      </c>
    </row>
    <row r="859" ht="15.75" customHeight="1">
      <c r="H859" s="2" t="s">
        <v>4560</v>
      </c>
      <c r="I859" s="2" t="s">
        <v>4561</v>
      </c>
      <c r="J859" s="2" t="s">
        <v>4562</v>
      </c>
      <c r="K859" s="2" t="s">
        <v>966</v>
      </c>
      <c r="L859" s="2" t="s">
        <v>866</v>
      </c>
      <c r="M859" s="2" t="s">
        <v>4563</v>
      </c>
      <c r="N859" s="2" t="s">
        <v>4564</v>
      </c>
      <c r="O859" s="2" t="s">
        <v>869</v>
      </c>
      <c r="P859" s="2" t="s">
        <v>870</v>
      </c>
    </row>
    <row r="860" ht="15.75" customHeight="1">
      <c r="H860" s="2" t="s">
        <v>4565</v>
      </c>
      <c r="I860" s="2" t="s">
        <v>4566</v>
      </c>
      <c r="J860" s="2" t="s">
        <v>4567</v>
      </c>
      <c r="K860" s="2" t="s">
        <v>970</v>
      </c>
      <c r="L860" s="2" t="s">
        <v>866</v>
      </c>
      <c r="M860" s="2" t="s">
        <v>4568</v>
      </c>
      <c r="N860" s="2" t="s">
        <v>4569</v>
      </c>
      <c r="O860" s="2" t="s">
        <v>869</v>
      </c>
      <c r="P860" s="2" t="s">
        <v>870</v>
      </c>
    </row>
    <row r="861" ht="15.75" customHeight="1">
      <c r="H861" s="2" t="s">
        <v>4570</v>
      </c>
      <c r="I861" s="2" t="s">
        <v>4571</v>
      </c>
      <c r="J861" s="2" t="s">
        <v>4572</v>
      </c>
      <c r="K861" s="2" t="s">
        <v>1551</v>
      </c>
    </row>
    <row r="862" ht="15.75" customHeight="1">
      <c r="H862" s="2" t="s">
        <v>4573</v>
      </c>
      <c r="I862" s="2" t="s">
        <v>4574</v>
      </c>
      <c r="J862" s="2" t="s">
        <v>4575</v>
      </c>
      <c r="K862" s="2" t="s">
        <v>1007</v>
      </c>
    </row>
    <row r="863" ht="15.75" customHeight="1">
      <c r="F863" s="2" t="s">
        <v>4576</v>
      </c>
      <c r="H863" s="2" t="s">
        <v>4577</v>
      </c>
      <c r="I863" s="2" t="s">
        <v>4578</v>
      </c>
      <c r="J863" s="2" t="s">
        <v>4578</v>
      </c>
      <c r="K863" s="2" t="s">
        <v>859</v>
      </c>
    </row>
    <row r="864" ht="15.75" customHeight="1">
      <c r="H864" s="2" t="s">
        <v>4579</v>
      </c>
      <c r="I864" s="2" t="s">
        <v>4580</v>
      </c>
      <c r="J864" s="2" t="s">
        <v>4580</v>
      </c>
      <c r="K864" s="2" t="s">
        <v>874</v>
      </c>
    </row>
    <row r="865" ht="15.75" customHeight="1">
      <c r="H865" s="2" t="s">
        <v>4581</v>
      </c>
      <c r="I865" s="2" t="s">
        <v>4582</v>
      </c>
      <c r="J865" s="2" t="s">
        <v>4582</v>
      </c>
      <c r="K865" s="2" t="s">
        <v>996</v>
      </c>
    </row>
    <row r="866" ht="15.75" customHeight="1">
      <c r="H866" s="2" t="s">
        <v>4583</v>
      </c>
      <c r="I866" s="2" t="s">
        <v>4584</v>
      </c>
      <c r="J866" s="2" t="s">
        <v>4585</v>
      </c>
      <c r="K866" s="2" t="s">
        <v>886</v>
      </c>
      <c r="L866" s="2" t="s">
        <v>866</v>
      </c>
      <c r="M866" s="2" t="s">
        <v>4586</v>
      </c>
      <c r="N866" s="2" t="s">
        <v>4587</v>
      </c>
      <c r="O866" s="2" t="s">
        <v>869</v>
      </c>
      <c r="P866" s="2" t="s">
        <v>870</v>
      </c>
    </row>
    <row r="867" ht="15.75" customHeight="1">
      <c r="H867" s="2" t="s">
        <v>4588</v>
      </c>
      <c r="I867" s="2" t="s">
        <v>4589</v>
      </c>
      <c r="J867" s="2" t="s">
        <v>4590</v>
      </c>
      <c r="K867" s="2" t="s">
        <v>970</v>
      </c>
      <c r="L867" s="2" t="s">
        <v>866</v>
      </c>
      <c r="M867" s="2" t="s">
        <v>4591</v>
      </c>
      <c r="N867" s="2" t="s">
        <v>4592</v>
      </c>
      <c r="O867" s="2" t="s">
        <v>869</v>
      </c>
      <c r="P867" s="2" t="s">
        <v>870</v>
      </c>
    </row>
    <row r="868" ht="15.75" customHeight="1">
      <c r="F868" s="2" t="s">
        <v>755</v>
      </c>
      <c r="H868" s="2" t="s">
        <v>4593</v>
      </c>
      <c r="I868" s="2" t="s">
        <v>4594</v>
      </c>
      <c r="J868" s="2" t="s">
        <v>4595</v>
      </c>
      <c r="K868" s="2" t="s">
        <v>947</v>
      </c>
      <c r="L868" s="2" t="s">
        <v>866</v>
      </c>
      <c r="M868" s="2" t="s">
        <v>4596</v>
      </c>
      <c r="N868" s="2" t="s">
        <v>4597</v>
      </c>
      <c r="O868" s="2" t="s">
        <v>869</v>
      </c>
      <c r="P868" s="2" t="s">
        <v>870</v>
      </c>
    </row>
    <row r="869" ht="15.75" customHeight="1">
      <c r="H869" s="2" t="s">
        <v>4598</v>
      </c>
      <c r="I869" s="2" t="s">
        <v>4599</v>
      </c>
      <c r="J869" s="2" t="s">
        <v>4600</v>
      </c>
      <c r="K869" s="2" t="s">
        <v>277</v>
      </c>
      <c r="L869" s="2" t="s">
        <v>866</v>
      </c>
      <c r="M869" s="2" t="s">
        <v>4601</v>
      </c>
      <c r="N869" s="2" t="s">
        <v>4602</v>
      </c>
      <c r="O869" s="2" t="s">
        <v>869</v>
      </c>
      <c r="P869" s="2" t="s">
        <v>870</v>
      </c>
    </row>
    <row r="870" ht="15.75" customHeight="1">
      <c r="H870" s="2" t="s">
        <v>4603</v>
      </c>
      <c r="I870" s="2" t="s">
        <v>4604</v>
      </c>
      <c r="J870" s="2" t="s">
        <v>4605</v>
      </c>
      <c r="K870" s="2" t="s">
        <v>1061</v>
      </c>
      <c r="L870" s="2" t="s">
        <v>866</v>
      </c>
      <c r="M870" s="2" t="s">
        <v>4606</v>
      </c>
      <c r="N870" s="2" t="s">
        <v>4607</v>
      </c>
      <c r="O870" s="2" t="s">
        <v>869</v>
      </c>
      <c r="P870" s="2" t="s">
        <v>870</v>
      </c>
    </row>
    <row r="871" ht="15.75" customHeight="1">
      <c r="H871" s="2" t="s">
        <v>4608</v>
      </c>
      <c r="I871" s="2" t="s">
        <v>4609</v>
      </c>
      <c r="J871" s="2" t="s">
        <v>4610</v>
      </c>
      <c r="K871" s="2" t="s">
        <v>1288</v>
      </c>
      <c r="L871" s="2" t="s">
        <v>866</v>
      </c>
      <c r="M871" s="2" t="s">
        <v>4611</v>
      </c>
      <c r="N871" s="2" t="s">
        <v>4612</v>
      </c>
      <c r="O871" s="2" t="s">
        <v>869</v>
      </c>
      <c r="P871" s="2" t="s">
        <v>870</v>
      </c>
    </row>
    <row r="872" ht="15.75" customHeight="1">
      <c r="H872" s="2" t="s">
        <v>4613</v>
      </c>
      <c r="I872" s="2" t="s">
        <v>4614</v>
      </c>
      <c r="J872" s="2" t="s">
        <v>4615</v>
      </c>
      <c r="L872" s="2" t="s">
        <v>866</v>
      </c>
      <c r="M872" s="2" t="s">
        <v>4616</v>
      </c>
      <c r="N872" s="2" t="s">
        <v>4617</v>
      </c>
      <c r="O872" s="2" t="s">
        <v>869</v>
      </c>
      <c r="P872" s="2" t="s">
        <v>870</v>
      </c>
    </row>
    <row r="873" ht="15.75" customHeight="1">
      <c r="H873" s="2" t="s">
        <v>4618</v>
      </c>
      <c r="I873" s="2" t="s">
        <v>4619</v>
      </c>
      <c r="J873" s="2" t="s">
        <v>4620</v>
      </c>
      <c r="K873" s="2" t="s">
        <v>1128</v>
      </c>
      <c r="L873" s="2" t="s">
        <v>866</v>
      </c>
      <c r="M873" s="2" t="s">
        <v>4621</v>
      </c>
      <c r="N873" s="2" t="s">
        <v>4622</v>
      </c>
      <c r="O873" s="2" t="s">
        <v>869</v>
      </c>
      <c r="P873" s="2" t="s">
        <v>870</v>
      </c>
    </row>
    <row r="874" ht="15.75" customHeight="1">
      <c r="H874" s="2" t="s">
        <v>4623</v>
      </c>
      <c r="I874" s="2" t="s">
        <v>3538</v>
      </c>
      <c r="J874" s="2" t="s">
        <v>3539</v>
      </c>
      <c r="K874" s="2" t="s">
        <v>1567</v>
      </c>
      <c r="L874" s="2" t="s">
        <v>866</v>
      </c>
      <c r="M874" s="2" t="s">
        <v>4624</v>
      </c>
      <c r="N874" s="2" t="s">
        <v>4625</v>
      </c>
      <c r="O874" s="2" t="s">
        <v>869</v>
      </c>
      <c r="P874" s="2" t="s">
        <v>870</v>
      </c>
    </row>
    <row r="875" ht="15.75" customHeight="1">
      <c r="H875" s="2" t="s">
        <v>4626</v>
      </c>
      <c r="I875" s="2" t="s">
        <v>4627</v>
      </c>
      <c r="J875" s="2" t="s">
        <v>4628</v>
      </c>
      <c r="K875" s="2" t="s">
        <v>2737</v>
      </c>
    </row>
    <row r="876" ht="15.75" customHeight="1">
      <c r="H876" s="2" t="s">
        <v>4629</v>
      </c>
      <c r="I876" s="2" t="s">
        <v>4630</v>
      </c>
      <c r="J876" s="2" t="s">
        <v>4631</v>
      </c>
      <c r="K876" s="2" t="s">
        <v>924</v>
      </c>
      <c r="L876" s="2" t="s">
        <v>866</v>
      </c>
      <c r="M876" s="2" t="s">
        <v>4632</v>
      </c>
      <c r="N876" s="2" t="s">
        <v>4633</v>
      </c>
      <c r="O876" s="2" t="s">
        <v>869</v>
      </c>
      <c r="P876" s="2" t="s">
        <v>870</v>
      </c>
    </row>
    <row r="877" ht="15.75" customHeight="1">
      <c r="H877" s="2" t="s">
        <v>4634</v>
      </c>
      <c r="I877" s="2" t="s">
        <v>4635</v>
      </c>
      <c r="J877" s="2" t="s">
        <v>4636</v>
      </c>
      <c r="K877" s="2" t="s">
        <v>1151</v>
      </c>
      <c r="L877" s="2" t="s">
        <v>866</v>
      </c>
      <c r="M877" s="2" t="s">
        <v>4637</v>
      </c>
      <c r="N877" s="2" t="s">
        <v>4638</v>
      </c>
      <c r="O877" s="2" t="s">
        <v>869</v>
      </c>
      <c r="P877" s="2" t="s">
        <v>870</v>
      </c>
    </row>
    <row r="878" ht="15.75" customHeight="1">
      <c r="H878" s="2" t="s">
        <v>4639</v>
      </c>
      <c r="I878" s="2" t="s">
        <v>4640</v>
      </c>
      <c r="J878" s="2" t="s">
        <v>4641</v>
      </c>
      <c r="K878" s="2" t="s">
        <v>1163</v>
      </c>
      <c r="L878" s="2" t="s">
        <v>866</v>
      </c>
      <c r="M878" s="2" t="s">
        <v>4642</v>
      </c>
      <c r="N878" s="2" t="s">
        <v>4643</v>
      </c>
      <c r="O878" s="2" t="s">
        <v>869</v>
      </c>
      <c r="P878" s="2" t="s">
        <v>870</v>
      </c>
    </row>
    <row r="879" ht="15.75" customHeight="1">
      <c r="H879" s="2" t="s">
        <v>4644</v>
      </c>
      <c r="I879" s="2" t="s">
        <v>4645</v>
      </c>
      <c r="J879" s="2" t="s">
        <v>4646</v>
      </c>
      <c r="K879" s="2" t="s">
        <v>2171</v>
      </c>
      <c r="L879" s="2" t="s">
        <v>866</v>
      </c>
      <c r="M879" s="2" t="s">
        <v>4647</v>
      </c>
      <c r="N879" s="2" t="s">
        <v>4648</v>
      </c>
      <c r="O879" s="2" t="s">
        <v>869</v>
      </c>
      <c r="P879" s="2" t="s">
        <v>870</v>
      </c>
    </row>
    <row r="880" ht="15.75" customHeight="1">
      <c r="H880" s="2" t="s">
        <v>4649</v>
      </c>
      <c r="I880" s="2" t="s">
        <v>4650</v>
      </c>
      <c r="J880" s="2" t="s">
        <v>4651</v>
      </c>
      <c r="K880" s="2" t="s">
        <v>4436</v>
      </c>
      <c r="L880" s="2" t="s">
        <v>866</v>
      </c>
      <c r="M880" s="2" t="s">
        <v>4652</v>
      </c>
      <c r="N880" s="2" t="s">
        <v>4653</v>
      </c>
      <c r="O880" s="2" t="s">
        <v>869</v>
      </c>
      <c r="P880" s="2" t="s">
        <v>870</v>
      </c>
    </row>
    <row r="881" ht="15.75" customHeight="1">
      <c r="H881" s="2" t="s">
        <v>4654</v>
      </c>
      <c r="I881" s="2" t="s">
        <v>4655</v>
      </c>
      <c r="J881" s="2" t="s">
        <v>4656</v>
      </c>
      <c r="K881" s="2" t="s">
        <v>2223</v>
      </c>
      <c r="L881" s="2" t="s">
        <v>866</v>
      </c>
      <c r="M881" s="2" t="s">
        <v>4657</v>
      </c>
      <c r="N881" s="2" t="s">
        <v>4658</v>
      </c>
      <c r="O881" s="2" t="s">
        <v>869</v>
      </c>
      <c r="P881" s="2" t="s">
        <v>870</v>
      </c>
    </row>
    <row r="882" ht="15.75" customHeight="1">
      <c r="H882" s="2" t="s">
        <v>4659</v>
      </c>
      <c r="I882" s="2" t="s">
        <v>4660</v>
      </c>
      <c r="J882" s="2" t="s">
        <v>4661</v>
      </c>
      <c r="K882" s="2" t="s">
        <v>1187</v>
      </c>
      <c r="L882" s="2" t="s">
        <v>866</v>
      </c>
      <c r="M882" s="2" t="s">
        <v>4662</v>
      </c>
      <c r="N882" s="2" t="s">
        <v>4663</v>
      </c>
      <c r="O882" s="2" t="s">
        <v>869</v>
      </c>
      <c r="P882" s="2" t="s">
        <v>870</v>
      </c>
    </row>
    <row r="883" ht="15.75" customHeight="1">
      <c r="H883" s="2" t="s">
        <v>4664</v>
      </c>
      <c r="I883" s="2" t="s">
        <v>4665</v>
      </c>
      <c r="J883" s="2" t="s">
        <v>4666</v>
      </c>
      <c r="K883" s="2" t="s">
        <v>1199</v>
      </c>
      <c r="L883" s="2" t="s">
        <v>4667</v>
      </c>
      <c r="M883" s="2" t="s">
        <v>4668</v>
      </c>
      <c r="N883" s="2" t="s">
        <v>4669</v>
      </c>
      <c r="O883" s="2" t="s">
        <v>869</v>
      </c>
      <c r="P883" s="2" t="s">
        <v>870</v>
      </c>
    </row>
    <row r="884" ht="15.75" customHeight="1">
      <c r="H884" s="2" t="s">
        <v>4670</v>
      </c>
      <c r="I884" s="2" t="s">
        <v>4671</v>
      </c>
      <c r="J884" s="2" t="s">
        <v>4671</v>
      </c>
      <c r="K884" s="2" t="s">
        <v>1975</v>
      </c>
    </row>
    <row r="885" ht="15.75" customHeight="1">
      <c r="H885" s="2" t="s">
        <v>4672</v>
      </c>
      <c r="I885" s="2" t="s">
        <v>4673</v>
      </c>
      <c r="J885" s="2" t="s">
        <v>4674</v>
      </c>
      <c r="K885" s="2" t="s">
        <v>2594</v>
      </c>
      <c r="L885" s="2" t="s">
        <v>866</v>
      </c>
      <c r="M885" s="2" t="s">
        <v>4675</v>
      </c>
      <c r="N885" s="2" t="s">
        <v>4676</v>
      </c>
      <c r="O885" s="2" t="s">
        <v>869</v>
      </c>
      <c r="P885" s="2" t="s">
        <v>870</v>
      </c>
    </row>
    <row r="886" ht="15.75" customHeight="1">
      <c r="F886" s="2" t="s">
        <v>4677</v>
      </c>
      <c r="H886" s="2" t="s">
        <v>4678</v>
      </c>
      <c r="I886" s="2" t="s">
        <v>4679</v>
      </c>
      <c r="J886" s="2" t="s">
        <v>4680</v>
      </c>
      <c r="K886" s="2" t="s">
        <v>861</v>
      </c>
      <c r="L886" s="2" t="s">
        <v>866</v>
      </c>
      <c r="M886" s="2" t="s">
        <v>4681</v>
      </c>
      <c r="N886" s="2" t="s">
        <v>4682</v>
      </c>
      <c r="O886" s="2" t="s">
        <v>869</v>
      </c>
      <c r="P886" s="2" t="s">
        <v>870</v>
      </c>
    </row>
    <row r="887" ht="15.75" customHeight="1">
      <c r="H887" s="2" t="s">
        <v>4683</v>
      </c>
      <c r="I887" s="2" t="s">
        <v>4684</v>
      </c>
      <c r="J887" s="2" t="s">
        <v>4685</v>
      </c>
      <c r="K887" s="2" t="s">
        <v>1061</v>
      </c>
      <c r="L887" s="2" t="s">
        <v>866</v>
      </c>
      <c r="M887" s="2" t="s">
        <v>4686</v>
      </c>
      <c r="N887" s="2" t="s">
        <v>4687</v>
      </c>
      <c r="O887" s="2" t="s">
        <v>869</v>
      </c>
      <c r="P887" s="2" t="s">
        <v>870</v>
      </c>
    </row>
    <row r="888" ht="15.75" customHeight="1">
      <c r="H888" s="2" t="s">
        <v>4688</v>
      </c>
      <c r="I888" s="2" t="s">
        <v>4689</v>
      </c>
      <c r="J888" s="2" t="s">
        <v>4690</v>
      </c>
      <c r="K888" s="2" t="s">
        <v>865</v>
      </c>
      <c r="L888" s="2" t="s">
        <v>866</v>
      </c>
      <c r="M888" s="2" t="s">
        <v>4691</v>
      </c>
      <c r="N888" s="2" t="s">
        <v>4692</v>
      </c>
      <c r="O888" s="2" t="s">
        <v>869</v>
      </c>
      <c r="P888" s="2" t="s">
        <v>870</v>
      </c>
    </row>
    <row r="889" ht="15.75" customHeight="1">
      <c r="H889" s="2" t="s">
        <v>4693</v>
      </c>
      <c r="I889" s="2" t="s">
        <v>4694</v>
      </c>
      <c r="J889" s="2" t="s">
        <v>4695</v>
      </c>
      <c r="K889" s="2" t="s">
        <v>963</v>
      </c>
      <c r="L889" s="2" t="s">
        <v>866</v>
      </c>
      <c r="M889" s="2" t="s">
        <v>4696</v>
      </c>
      <c r="N889" s="2" t="s">
        <v>4697</v>
      </c>
      <c r="O889" s="2" t="s">
        <v>869</v>
      </c>
      <c r="P889" s="2" t="s">
        <v>870</v>
      </c>
    </row>
    <row r="890" ht="15.75" customHeight="1">
      <c r="F890" s="2" t="s">
        <v>764</v>
      </c>
      <c r="H890" s="2" t="s">
        <v>4698</v>
      </c>
      <c r="I890" s="2" t="s">
        <v>4699</v>
      </c>
      <c r="J890" s="2" t="s">
        <v>4700</v>
      </c>
      <c r="K890" s="2" t="s">
        <v>859</v>
      </c>
      <c r="L890" s="2" t="s">
        <v>866</v>
      </c>
      <c r="M890" s="2" t="s">
        <v>4701</v>
      </c>
      <c r="N890" s="2" t="s">
        <v>4702</v>
      </c>
      <c r="O890" s="2" t="s">
        <v>869</v>
      </c>
      <c r="P890" s="2" t="s">
        <v>870</v>
      </c>
    </row>
    <row r="891" ht="15.75" customHeight="1">
      <c r="H891" s="2" t="s">
        <v>4703</v>
      </c>
      <c r="I891" s="2" t="s">
        <v>4704</v>
      </c>
      <c r="J891" s="2" t="s">
        <v>4705</v>
      </c>
      <c r="K891" s="2" t="s">
        <v>853</v>
      </c>
      <c r="L891" s="2" t="s">
        <v>866</v>
      </c>
      <c r="M891" s="2" t="s">
        <v>4706</v>
      </c>
      <c r="N891" s="2" t="s">
        <v>4707</v>
      </c>
      <c r="O891" s="2" t="s">
        <v>869</v>
      </c>
      <c r="P891" s="2" t="s">
        <v>870</v>
      </c>
    </row>
    <row r="892" ht="15.75" customHeight="1">
      <c r="H892" s="2" t="s">
        <v>4708</v>
      </c>
      <c r="I892" s="2" t="s">
        <v>4709</v>
      </c>
      <c r="J892" s="2" t="s">
        <v>4710</v>
      </c>
      <c r="K892" s="2" t="s">
        <v>1467</v>
      </c>
      <c r="L892" s="2" t="s">
        <v>866</v>
      </c>
      <c r="M892" s="2" t="s">
        <v>4711</v>
      </c>
      <c r="N892" s="2" t="s">
        <v>4712</v>
      </c>
      <c r="O892" s="2" t="s">
        <v>869</v>
      </c>
      <c r="P892" s="2" t="s">
        <v>870</v>
      </c>
    </row>
    <row r="893" ht="15.75" customHeight="1">
      <c r="H893" s="2" t="s">
        <v>4713</v>
      </c>
      <c r="I893" s="2" t="s">
        <v>4714</v>
      </c>
      <c r="J893" s="2" t="s">
        <v>4715</v>
      </c>
      <c r="K893" s="2" t="s">
        <v>1567</v>
      </c>
      <c r="L893" s="2" t="s">
        <v>866</v>
      </c>
      <c r="M893" s="2" t="s">
        <v>4716</v>
      </c>
      <c r="N893" s="2" t="s">
        <v>4717</v>
      </c>
      <c r="O893" s="2" t="s">
        <v>869</v>
      </c>
      <c r="P893" s="2" t="s">
        <v>870</v>
      </c>
    </row>
    <row r="894" ht="15.75" customHeight="1">
      <c r="H894" s="2" t="s">
        <v>4718</v>
      </c>
      <c r="I894" s="2" t="s">
        <v>4719</v>
      </c>
      <c r="J894" s="2" t="s">
        <v>4720</v>
      </c>
      <c r="K894" s="2" t="s">
        <v>1569</v>
      </c>
      <c r="L894" s="2" t="s">
        <v>866</v>
      </c>
      <c r="M894" s="2" t="s">
        <v>4721</v>
      </c>
      <c r="N894" s="2" t="s">
        <v>4722</v>
      </c>
      <c r="O894" s="2" t="s">
        <v>869</v>
      </c>
      <c r="P894" s="2" t="s">
        <v>870</v>
      </c>
    </row>
    <row r="895" ht="15.75" customHeight="1">
      <c r="H895" s="2" t="s">
        <v>4723</v>
      </c>
      <c r="I895" s="2" t="s">
        <v>4724</v>
      </c>
      <c r="J895" s="2" t="s">
        <v>4725</v>
      </c>
      <c r="K895" s="2" t="s">
        <v>1406</v>
      </c>
      <c r="L895" s="2" t="s">
        <v>866</v>
      </c>
      <c r="M895" s="2" t="s">
        <v>4726</v>
      </c>
      <c r="N895" s="2" t="s">
        <v>4727</v>
      </c>
      <c r="O895" s="2" t="s">
        <v>869</v>
      </c>
      <c r="P895" s="2" t="s">
        <v>870</v>
      </c>
    </row>
    <row r="896" ht="15.75" customHeight="1">
      <c r="H896" s="2" t="s">
        <v>4728</v>
      </c>
      <c r="I896" s="2" t="s">
        <v>766</v>
      </c>
      <c r="J896" s="2" t="s">
        <v>767</v>
      </c>
      <c r="K896" s="2" t="s">
        <v>1418</v>
      </c>
      <c r="L896" s="2" t="s">
        <v>866</v>
      </c>
      <c r="M896" s="2" t="s">
        <v>4729</v>
      </c>
      <c r="N896" s="2" t="s">
        <v>4730</v>
      </c>
      <c r="O896" s="2" t="s">
        <v>869</v>
      </c>
      <c r="P896" s="2" t="s">
        <v>870</v>
      </c>
    </row>
    <row r="897" ht="15.75" customHeight="1">
      <c r="H897" s="2" t="s">
        <v>4731</v>
      </c>
      <c r="I897" s="2" t="s">
        <v>4732</v>
      </c>
      <c r="J897" s="2" t="s">
        <v>4733</v>
      </c>
      <c r="K897" s="2" t="s">
        <v>1878</v>
      </c>
      <c r="L897" s="2" t="s">
        <v>866</v>
      </c>
      <c r="M897" s="2" t="s">
        <v>4734</v>
      </c>
      <c r="N897" s="2" t="s">
        <v>4735</v>
      </c>
      <c r="O897" s="2" t="s">
        <v>869</v>
      </c>
      <c r="P897" s="2" t="s">
        <v>870</v>
      </c>
    </row>
    <row r="898" ht="15.75" customHeight="1">
      <c r="H898" s="2" t="s">
        <v>4736</v>
      </c>
      <c r="I898" s="2" t="s">
        <v>4737</v>
      </c>
      <c r="J898" s="2" t="s">
        <v>4738</v>
      </c>
      <c r="K898" s="2" t="s">
        <v>906</v>
      </c>
      <c r="L898" s="2" t="s">
        <v>866</v>
      </c>
      <c r="M898" s="2" t="s">
        <v>4739</v>
      </c>
      <c r="N898" s="2" t="s">
        <v>4740</v>
      </c>
      <c r="O898" s="2" t="s">
        <v>869</v>
      </c>
      <c r="P898" s="2" t="s">
        <v>870</v>
      </c>
    </row>
    <row r="899" ht="15.75" customHeight="1">
      <c r="H899" s="2" t="s">
        <v>4741</v>
      </c>
      <c r="I899" s="2" t="s">
        <v>4742</v>
      </c>
      <c r="J899" s="2" t="s">
        <v>4743</v>
      </c>
      <c r="K899" s="2" t="s">
        <v>1593</v>
      </c>
      <c r="L899" s="2" t="s">
        <v>866</v>
      </c>
      <c r="M899" s="2" t="s">
        <v>4744</v>
      </c>
      <c r="N899" s="2" t="s">
        <v>4745</v>
      </c>
      <c r="O899" s="2" t="s">
        <v>869</v>
      </c>
      <c r="P899" s="2" t="s">
        <v>870</v>
      </c>
    </row>
    <row r="900" ht="15.75" customHeight="1">
      <c r="H900" s="2" t="s">
        <v>4746</v>
      </c>
      <c r="I900" s="2" t="s">
        <v>4747</v>
      </c>
      <c r="J900" s="2" t="s">
        <v>4748</v>
      </c>
      <c r="K900" s="2" t="s">
        <v>1331</v>
      </c>
      <c r="L900" s="2" t="s">
        <v>866</v>
      </c>
      <c r="M900" s="2" t="s">
        <v>4749</v>
      </c>
      <c r="N900" s="2" t="s">
        <v>4750</v>
      </c>
      <c r="O900" s="2" t="s">
        <v>869</v>
      </c>
      <c r="P900" s="2" t="s">
        <v>870</v>
      </c>
    </row>
    <row r="901" ht="15.75" customHeight="1">
      <c r="H901" s="2" t="s">
        <v>4751</v>
      </c>
      <c r="I901" s="2" t="s">
        <v>4752</v>
      </c>
      <c r="J901" s="2" t="s">
        <v>4753</v>
      </c>
      <c r="K901" s="2" t="s">
        <v>4429</v>
      </c>
      <c r="L901" s="2" t="s">
        <v>866</v>
      </c>
      <c r="M901" s="2" t="s">
        <v>4754</v>
      </c>
      <c r="N901" s="2" t="s">
        <v>4755</v>
      </c>
      <c r="O901" s="2" t="s">
        <v>869</v>
      </c>
      <c r="P901" s="2" t="s">
        <v>870</v>
      </c>
    </row>
    <row r="902" ht="15.75" customHeight="1">
      <c r="F902" s="2" t="s">
        <v>773</v>
      </c>
      <c r="H902" s="2" t="s">
        <v>4756</v>
      </c>
      <c r="I902" s="2" t="s">
        <v>4757</v>
      </c>
      <c r="J902" s="2" t="s">
        <v>4758</v>
      </c>
      <c r="K902" s="2" t="s">
        <v>277</v>
      </c>
      <c r="L902" s="2" t="s">
        <v>866</v>
      </c>
      <c r="M902" s="2" t="s">
        <v>4759</v>
      </c>
      <c r="N902" s="2" t="s">
        <v>4760</v>
      </c>
      <c r="O902" s="2" t="s">
        <v>869</v>
      </c>
      <c r="P902" s="2" t="s">
        <v>870</v>
      </c>
    </row>
    <row r="903" ht="15.75" customHeight="1">
      <c r="H903" s="2" t="s">
        <v>4761</v>
      </c>
      <c r="I903" s="2" t="s">
        <v>4762</v>
      </c>
      <c r="J903" s="2" t="s">
        <v>4763</v>
      </c>
      <c r="K903" s="2" t="s">
        <v>280</v>
      </c>
      <c r="L903" s="2" t="s">
        <v>866</v>
      </c>
      <c r="M903" s="2" t="s">
        <v>4764</v>
      </c>
      <c r="N903" s="2" t="s">
        <v>4765</v>
      </c>
      <c r="O903" s="2" t="s">
        <v>869</v>
      </c>
      <c r="P903" s="2" t="s">
        <v>870</v>
      </c>
    </row>
    <row r="904" ht="15.75" customHeight="1">
      <c r="H904" s="2" t="s">
        <v>4766</v>
      </c>
      <c r="I904" s="2" t="s">
        <v>4767</v>
      </c>
      <c r="J904" s="2" t="s">
        <v>4768</v>
      </c>
      <c r="K904" s="2" t="s">
        <v>874</v>
      </c>
      <c r="L904" s="2" t="s">
        <v>866</v>
      </c>
      <c r="M904" s="2" t="s">
        <v>4769</v>
      </c>
      <c r="N904" s="2" t="s">
        <v>4770</v>
      </c>
      <c r="O904" s="2" t="s">
        <v>869</v>
      </c>
      <c r="P904" s="2" t="s">
        <v>870</v>
      </c>
    </row>
    <row r="905" ht="15.75" customHeight="1">
      <c r="H905" s="2" t="s">
        <v>4771</v>
      </c>
      <c r="I905" s="2" t="s">
        <v>4772</v>
      </c>
      <c r="J905" s="2" t="s">
        <v>4773</v>
      </c>
      <c r="K905" s="2" t="s">
        <v>1117</v>
      </c>
      <c r="L905" s="2" t="s">
        <v>866</v>
      </c>
      <c r="M905" s="2" t="s">
        <v>4774</v>
      </c>
      <c r="N905" s="2" t="s">
        <v>4770</v>
      </c>
      <c r="O905" s="2" t="s">
        <v>869</v>
      </c>
      <c r="P905" s="2" t="s">
        <v>870</v>
      </c>
    </row>
    <row r="906" ht="15.75" customHeight="1">
      <c r="H906" s="2" t="s">
        <v>4775</v>
      </c>
      <c r="I906" s="2" t="s">
        <v>4776</v>
      </c>
      <c r="J906" s="2" t="s">
        <v>4777</v>
      </c>
      <c r="K906" s="2" t="s">
        <v>896</v>
      </c>
      <c r="L906" s="2" t="s">
        <v>866</v>
      </c>
      <c r="M906" s="2" t="s">
        <v>4778</v>
      </c>
      <c r="N906" s="2" t="s">
        <v>4779</v>
      </c>
      <c r="O906" s="2" t="s">
        <v>869</v>
      </c>
      <c r="P906" s="2" t="s">
        <v>870</v>
      </c>
    </row>
    <row r="907" ht="15.75" customHeight="1">
      <c r="H907" s="2" t="s">
        <v>4780</v>
      </c>
      <c r="I907" s="2" t="s">
        <v>4781</v>
      </c>
      <c r="J907" s="2" t="s">
        <v>4782</v>
      </c>
      <c r="K907" s="2" t="s">
        <v>1136</v>
      </c>
    </row>
    <row r="908" ht="15.75" customHeight="1">
      <c r="H908" s="2" t="s">
        <v>4783</v>
      </c>
      <c r="I908" s="2" t="s">
        <v>4784</v>
      </c>
      <c r="J908" s="2" t="s">
        <v>4785</v>
      </c>
      <c r="K908" s="2" t="s">
        <v>4786</v>
      </c>
      <c r="L908" s="2" t="s">
        <v>866</v>
      </c>
      <c r="M908" s="2" t="s">
        <v>4787</v>
      </c>
      <c r="N908" s="2" t="s">
        <v>4788</v>
      </c>
      <c r="O908" s="2" t="s">
        <v>869</v>
      </c>
      <c r="P908" s="2" t="s">
        <v>870</v>
      </c>
    </row>
    <row r="909" ht="15.75" customHeight="1">
      <c r="H909" s="2" t="s">
        <v>4789</v>
      </c>
      <c r="I909" s="2" t="s">
        <v>4790</v>
      </c>
      <c r="J909" s="2" t="s">
        <v>4791</v>
      </c>
      <c r="K909" s="2" t="s">
        <v>906</v>
      </c>
      <c r="L909" s="2" t="s">
        <v>866</v>
      </c>
      <c r="M909" s="2" t="s">
        <v>4792</v>
      </c>
      <c r="N909" s="2" t="s">
        <v>4793</v>
      </c>
      <c r="O909" s="2" t="s">
        <v>869</v>
      </c>
      <c r="P909" s="2" t="s">
        <v>870</v>
      </c>
    </row>
    <row r="910" ht="15.75" customHeight="1">
      <c r="H910" s="2" t="s">
        <v>4794</v>
      </c>
      <c r="I910" s="2" t="s">
        <v>775</v>
      </c>
      <c r="J910" s="2" t="s">
        <v>776</v>
      </c>
      <c r="K910" s="2" t="s">
        <v>1145</v>
      </c>
      <c r="L910" s="2" t="s">
        <v>866</v>
      </c>
      <c r="M910" s="2" t="s">
        <v>4795</v>
      </c>
      <c r="N910" s="2" t="s">
        <v>4796</v>
      </c>
      <c r="O910" s="2" t="s">
        <v>869</v>
      </c>
      <c r="P910" s="2" t="s">
        <v>870</v>
      </c>
    </row>
    <row r="911" ht="15.75" customHeight="1">
      <c r="H911" s="2" t="s">
        <v>4797</v>
      </c>
      <c r="I911" s="2" t="s">
        <v>4798</v>
      </c>
      <c r="J911" s="2" t="s">
        <v>4799</v>
      </c>
      <c r="K911" s="2" t="s">
        <v>1141</v>
      </c>
      <c r="L911" s="2" t="s">
        <v>866</v>
      </c>
      <c r="M911" s="2" t="s">
        <v>4800</v>
      </c>
      <c r="N911" s="2" t="s">
        <v>4801</v>
      </c>
      <c r="O911" s="2" t="s">
        <v>869</v>
      </c>
      <c r="P911" s="2" t="s">
        <v>870</v>
      </c>
    </row>
    <row r="912" ht="15.75" customHeight="1">
      <c r="F912" s="2" t="s">
        <v>4802</v>
      </c>
      <c r="H912" s="2" t="s">
        <v>4803</v>
      </c>
      <c r="I912" s="2" t="s">
        <v>4804</v>
      </c>
      <c r="J912" s="2" t="s">
        <v>4805</v>
      </c>
      <c r="K912" s="2" t="s">
        <v>1061</v>
      </c>
      <c r="L912" s="2" t="s">
        <v>866</v>
      </c>
      <c r="M912" s="2" t="s">
        <v>4806</v>
      </c>
      <c r="N912" s="2" t="s">
        <v>4807</v>
      </c>
      <c r="O912" s="2" t="s">
        <v>869</v>
      </c>
      <c r="P912" s="2" t="s">
        <v>870</v>
      </c>
    </row>
    <row r="913" ht="15.75" customHeight="1">
      <c r="H913" s="2" t="s">
        <v>4808</v>
      </c>
      <c r="I913" s="2" t="s">
        <v>4809</v>
      </c>
      <c r="J913" s="2" t="s">
        <v>4810</v>
      </c>
      <c r="K913" s="2" t="s">
        <v>963</v>
      </c>
      <c r="L913" s="2" t="s">
        <v>866</v>
      </c>
      <c r="M913" s="2" t="s">
        <v>4811</v>
      </c>
      <c r="N913" s="2" t="s">
        <v>4812</v>
      </c>
      <c r="O913" s="2" t="s">
        <v>869</v>
      </c>
      <c r="P913" s="2" t="s">
        <v>870</v>
      </c>
    </row>
    <row r="914" ht="15.75" customHeight="1">
      <c r="H914" s="2" t="s">
        <v>4813</v>
      </c>
      <c r="I914" s="2" t="s">
        <v>4814</v>
      </c>
      <c r="J914" s="2" t="s">
        <v>4815</v>
      </c>
      <c r="K914" s="2" t="s">
        <v>1297</v>
      </c>
      <c r="L914" s="2" t="s">
        <v>866</v>
      </c>
      <c r="M914" s="2" t="s">
        <v>4816</v>
      </c>
      <c r="N914" s="2" t="s">
        <v>4817</v>
      </c>
      <c r="O914" s="2" t="s">
        <v>869</v>
      </c>
      <c r="P914" s="2" t="s">
        <v>870</v>
      </c>
    </row>
    <row r="915" ht="15.75" customHeight="1">
      <c r="H915" s="2" t="s">
        <v>4818</v>
      </c>
      <c r="I915" s="2" t="s">
        <v>4819</v>
      </c>
      <c r="J915" s="2" t="s">
        <v>4820</v>
      </c>
      <c r="K915" s="2" t="s">
        <v>886</v>
      </c>
      <c r="L915" s="2" t="s">
        <v>866</v>
      </c>
      <c r="M915" s="2" t="s">
        <v>4821</v>
      </c>
      <c r="N915" s="2" t="s">
        <v>4822</v>
      </c>
      <c r="O915" s="2" t="s">
        <v>869</v>
      </c>
      <c r="P915" s="2" t="s">
        <v>870</v>
      </c>
    </row>
    <row r="916" ht="15.75" customHeight="1">
      <c r="H916" s="2" t="s">
        <v>4823</v>
      </c>
      <c r="I916" s="2" t="s">
        <v>4824</v>
      </c>
      <c r="J916" s="2" t="s">
        <v>4824</v>
      </c>
      <c r="K916" s="2" t="s">
        <v>890</v>
      </c>
    </row>
    <row r="917" ht="15.75" customHeight="1">
      <c r="F917" s="2" t="s">
        <v>4825</v>
      </c>
      <c r="H917" s="2" t="s">
        <v>4826</v>
      </c>
      <c r="I917" s="2" t="s">
        <v>4827</v>
      </c>
      <c r="J917" s="2" t="s">
        <v>4828</v>
      </c>
      <c r="K917" s="2" t="s">
        <v>1061</v>
      </c>
      <c r="L917" s="2" t="s">
        <v>866</v>
      </c>
      <c r="M917" s="2" t="s">
        <v>4829</v>
      </c>
      <c r="N917" s="2" t="s">
        <v>4830</v>
      </c>
      <c r="O917" s="2" t="s">
        <v>869</v>
      </c>
      <c r="P917" s="2" t="s">
        <v>870</v>
      </c>
    </row>
    <row r="918" ht="15.75" customHeight="1">
      <c r="H918" s="2" t="s">
        <v>4831</v>
      </c>
      <c r="I918" s="2" t="s">
        <v>4832</v>
      </c>
      <c r="J918" s="2" t="s">
        <v>4833</v>
      </c>
      <c r="K918" s="2" t="s">
        <v>1467</v>
      </c>
      <c r="L918" s="2" t="s">
        <v>866</v>
      </c>
      <c r="M918" s="2" t="s">
        <v>4834</v>
      </c>
      <c r="N918" s="2" t="s">
        <v>4835</v>
      </c>
      <c r="O918" s="2" t="s">
        <v>869</v>
      </c>
      <c r="P918" s="2" t="s">
        <v>870</v>
      </c>
    </row>
    <row r="919" ht="15.75" customHeight="1">
      <c r="H919" s="2" t="s">
        <v>4836</v>
      </c>
      <c r="I919" s="2" t="s">
        <v>4837</v>
      </c>
      <c r="J919" s="2" t="s">
        <v>4838</v>
      </c>
      <c r="K919" s="2" t="s">
        <v>1288</v>
      </c>
      <c r="L919" s="2" t="s">
        <v>866</v>
      </c>
      <c r="M919" s="2" t="s">
        <v>4839</v>
      </c>
      <c r="N919" s="2" t="s">
        <v>4840</v>
      </c>
      <c r="O919" s="2" t="s">
        <v>869</v>
      </c>
      <c r="P919" s="2" t="s">
        <v>870</v>
      </c>
    </row>
    <row r="920" ht="15.75" customHeight="1">
      <c r="H920" s="2" t="s">
        <v>4841</v>
      </c>
      <c r="I920" s="2" t="s">
        <v>4842</v>
      </c>
      <c r="J920" s="2" t="s">
        <v>4843</v>
      </c>
      <c r="K920" s="2" t="s">
        <v>1117</v>
      </c>
      <c r="L920" s="2" t="s">
        <v>866</v>
      </c>
      <c r="M920" s="2" t="s">
        <v>4844</v>
      </c>
      <c r="N920" s="2" t="s">
        <v>4845</v>
      </c>
      <c r="O920" s="2" t="s">
        <v>869</v>
      </c>
      <c r="P920" s="2" t="s">
        <v>870</v>
      </c>
    </row>
    <row r="921" ht="15.75" customHeight="1">
      <c r="H921" s="2" t="s">
        <v>4846</v>
      </c>
      <c r="I921" s="2" t="s">
        <v>1215</v>
      </c>
      <c r="J921" s="2" t="s">
        <v>1216</v>
      </c>
      <c r="K921" s="2" t="s">
        <v>996</v>
      </c>
      <c r="L921" s="2" t="s">
        <v>866</v>
      </c>
      <c r="M921" s="2" t="s">
        <v>4847</v>
      </c>
      <c r="N921" s="2" t="s">
        <v>4848</v>
      </c>
      <c r="O921" s="2" t="s">
        <v>869</v>
      </c>
      <c r="P921" s="2" t="s">
        <v>870</v>
      </c>
    </row>
    <row r="922" ht="15.75" customHeight="1">
      <c r="H922" s="2" t="s">
        <v>4849</v>
      </c>
      <c r="I922" s="2" t="s">
        <v>4850</v>
      </c>
      <c r="J922" s="2" t="s">
        <v>4851</v>
      </c>
      <c r="K922" s="2" t="s">
        <v>890</v>
      </c>
      <c r="L922" s="2" t="s">
        <v>866</v>
      </c>
      <c r="M922" s="2" t="s">
        <v>4852</v>
      </c>
      <c r="N922" s="2" t="s">
        <v>4853</v>
      </c>
      <c r="O922" s="2" t="s">
        <v>869</v>
      </c>
      <c r="P922" s="2" t="s">
        <v>870</v>
      </c>
    </row>
    <row r="923" ht="15.75" customHeight="1">
      <c r="F923" s="2" t="s">
        <v>782</v>
      </c>
      <c r="H923" s="2" t="s">
        <v>4854</v>
      </c>
      <c r="I923" s="2" t="s">
        <v>4855</v>
      </c>
      <c r="J923" s="2" t="s">
        <v>4856</v>
      </c>
      <c r="K923" s="2" t="s">
        <v>277</v>
      </c>
      <c r="L923" s="2" t="s">
        <v>866</v>
      </c>
      <c r="M923" s="2" t="s">
        <v>4857</v>
      </c>
      <c r="N923" s="2" t="s">
        <v>4858</v>
      </c>
      <c r="O923" s="2" t="s">
        <v>869</v>
      </c>
      <c r="P923" s="2" t="s">
        <v>870</v>
      </c>
    </row>
    <row r="924" ht="15.75" customHeight="1">
      <c r="H924" s="2" t="s">
        <v>4859</v>
      </c>
      <c r="I924" s="2" t="s">
        <v>4860</v>
      </c>
      <c r="J924" s="2" t="s">
        <v>4861</v>
      </c>
      <c r="K924" s="2" t="s">
        <v>1141</v>
      </c>
      <c r="L924" s="2" t="s">
        <v>866</v>
      </c>
      <c r="M924" s="2" t="s">
        <v>4862</v>
      </c>
      <c r="N924" s="2" t="s">
        <v>4863</v>
      </c>
      <c r="O924" s="2" t="s">
        <v>869</v>
      </c>
      <c r="P924" s="2" t="s">
        <v>870</v>
      </c>
    </row>
    <row r="925" ht="15.75" customHeight="1">
      <c r="H925" s="2" t="s">
        <v>4864</v>
      </c>
      <c r="I925" s="2" t="s">
        <v>4865</v>
      </c>
      <c r="J925" s="2" t="s">
        <v>4866</v>
      </c>
      <c r="K925" s="2" t="s">
        <v>280</v>
      </c>
      <c r="L925" s="2" t="s">
        <v>866</v>
      </c>
      <c r="M925" s="2" t="s">
        <v>4867</v>
      </c>
      <c r="N925" s="2" t="s">
        <v>4868</v>
      </c>
      <c r="O925" s="2" t="s">
        <v>869</v>
      </c>
      <c r="P925" s="2" t="s">
        <v>870</v>
      </c>
    </row>
    <row r="926" ht="15.75" customHeight="1">
      <c r="H926" s="2" t="s">
        <v>4869</v>
      </c>
      <c r="I926" s="2" t="s">
        <v>4870</v>
      </c>
      <c r="J926" s="2" t="s">
        <v>4871</v>
      </c>
      <c r="K926" s="2" t="s">
        <v>874</v>
      </c>
      <c r="L926" s="2" t="s">
        <v>866</v>
      </c>
      <c r="M926" s="2" t="s">
        <v>4872</v>
      </c>
      <c r="N926" s="2" t="s">
        <v>4873</v>
      </c>
      <c r="O926" s="2" t="s">
        <v>869</v>
      </c>
      <c r="P926" s="2" t="s">
        <v>870</v>
      </c>
    </row>
    <row r="927" ht="15.75" customHeight="1">
      <c r="H927" s="2" t="s">
        <v>4874</v>
      </c>
      <c r="I927" s="2" t="s">
        <v>4875</v>
      </c>
      <c r="J927" s="2" t="s">
        <v>4876</v>
      </c>
      <c r="K927" s="2" t="s">
        <v>1117</v>
      </c>
      <c r="L927" s="2" t="s">
        <v>866</v>
      </c>
      <c r="M927" s="2" t="s">
        <v>4877</v>
      </c>
      <c r="N927" s="2" t="s">
        <v>4878</v>
      </c>
      <c r="O927" s="2" t="s">
        <v>869</v>
      </c>
      <c r="P927" s="2" t="s">
        <v>870</v>
      </c>
    </row>
    <row r="928" ht="15.75" customHeight="1">
      <c r="H928" s="2" t="s">
        <v>4879</v>
      </c>
      <c r="I928" s="2" t="s">
        <v>4880</v>
      </c>
      <c r="J928" s="2" t="s">
        <v>4881</v>
      </c>
      <c r="K928" s="2" t="s">
        <v>970</v>
      </c>
      <c r="L928" s="2" t="s">
        <v>866</v>
      </c>
      <c r="M928" s="2" t="s">
        <v>4882</v>
      </c>
      <c r="N928" s="2" t="s">
        <v>4883</v>
      </c>
      <c r="O928" s="2" t="s">
        <v>869</v>
      </c>
      <c r="P928" s="2" t="s">
        <v>870</v>
      </c>
    </row>
    <row r="929" ht="15.75" customHeight="1">
      <c r="H929" s="2" t="s">
        <v>4884</v>
      </c>
      <c r="I929" s="2" t="s">
        <v>4885</v>
      </c>
      <c r="J929" s="2" t="s">
        <v>4886</v>
      </c>
      <c r="K929" s="2" t="s">
        <v>1007</v>
      </c>
      <c r="L929" s="2" t="s">
        <v>866</v>
      </c>
      <c r="M929" s="2" t="s">
        <v>4887</v>
      </c>
      <c r="N929" s="2" t="s">
        <v>4888</v>
      </c>
      <c r="O929" s="2" t="s">
        <v>869</v>
      </c>
      <c r="P929" s="2" t="s">
        <v>870</v>
      </c>
    </row>
    <row r="930" ht="15.75" customHeight="1">
      <c r="H930" s="2" t="s">
        <v>4889</v>
      </c>
      <c r="I930" s="2" t="s">
        <v>4890</v>
      </c>
      <c r="J930" s="2" t="s">
        <v>4891</v>
      </c>
      <c r="K930" s="2" t="s">
        <v>1136</v>
      </c>
      <c r="L930" s="2" t="s">
        <v>866</v>
      </c>
      <c r="M930" s="2" t="s">
        <v>4892</v>
      </c>
      <c r="N930" s="2" t="s">
        <v>4893</v>
      </c>
      <c r="O930" s="2" t="s">
        <v>869</v>
      </c>
      <c r="P930" s="2" t="s">
        <v>870</v>
      </c>
    </row>
    <row r="931" ht="15.75" customHeight="1">
      <c r="H931" s="2" t="s">
        <v>4894</v>
      </c>
      <c r="I931" s="2" t="s">
        <v>4895</v>
      </c>
      <c r="J931" s="2" t="s">
        <v>4896</v>
      </c>
      <c r="K931" s="2" t="s">
        <v>2937</v>
      </c>
      <c r="L931" s="2" t="s">
        <v>866</v>
      </c>
      <c r="M931" s="2" t="s">
        <v>4897</v>
      </c>
      <c r="N931" s="2" t="s">
        <v>4898</v>
      </c>
      <c r="O931" s="2" t="s">
        <v>869</v>
      </c>
      <c r="P931" s="2" t="s">
        <v>870</v>
      </c>
    </row>
    <row r="932" ht="15.75" customHeight="1">
      <c r="H932" s="2" t="s">
        <v>4899</v>
      </c>
      <c r="I932" s="2" t="s">
        <v>1759</v>
      </c>
      <c r="J932" s="2" t="s">
        <v>1760</v>
      </c>
      <c r="K932" s="2" t="s">
        <v>1418</v>
      </c>
      <c r="L932" s="2" t="s">
        <v>866</v>
      </c>
      <c r="M932" s="2" t="s">
        <v>4900</v>
      </c>
      <c r="N932" s="2" t="s">
        <v>4901</v>
      </c>
      <c r="O932" s="2" t="s">
        <v>869</v>
      </c>
      <c r="P932" s="2" t="s">
        <v>870</v>
      </c>
    </row>
    <row r="933" ht="15.75" customHeight="1">
      <c r="H933" s="2" t="s">
        <v>4902</v>
      </c>
      <c r="I933" s="2" t="s">
        <v>4903</v>
      </c>
      <c r="J933" s="2" t="s">
        <v>4904</v>
      </c>
      <c r="K933" s="2" t="s">
        <v>1952</v>
      </c>
      <c r="L933" s="2" t="s">
        <v>866</v>
      </c>
      <c r="M933" s="2" t="s">
        <v>4905</v>
      </c>
      <c r="N933" s="2" t="s">
        <v>4906</v>
      </c>
      <c r="O933" s="2" t="s">
        <v>869</v>
      </c>
      <c r="P933" s="2" t="s">
        <v>870</v>
      </c>
    </row>
    <row r="934" ht="15.75" customHeight="1">
      <c r="H934" s="2" t="s">
        <v>4907</v>
      </c>
      <c r="I934" s="2" t="s">
        <v>4908</v>
      </c>
      <c r="J934" s="2" t="s">
        <v>4909</v>
      </c>
      <c r="K934" s="2" t="s">
        <v>1325</v>
      </c>
      <c r="L934" s="2" t="s">
        <v>866</v>
      </c>
      <c r="M934" s="2" t="s">
        <v>4910</v>
      </c>
      <c r="N934" s="2" t="s">
        <v>4911</v>
      </c>
      <c r="O934" s="2" t="s">
        <v>869</v>
      </c>
      <c r="P934" s="2" t="s">
        <v>870</v>
      </c>
    </row>
    <row r="935" ht="15.75" customHeight="1">
      <c r="H935" s="2" t="s">
        <v>4912</v>
      </c>
      <c r="I935" s="2" t="s">
        <v>4913</v>
      </c>
      <c r="J935" s="2" t="s">
        <v>4914</v>
      </c>
      <c r="K935" s="2" t="s">
        <v>1151</v>
      </c>
      <c r="L935" s="2" t="s">
        <v>866</v>
      </c>
      <c r="M935" s="2" t="s">
        <v>4915</v>
      </c>
      <c r="N935" s="2" t="s">
        <v>4916</v>
      </c>
      <c r="O935" s="2" t="s">
        <v>869</v>
      </c>
      <c r="P935" s="2" t="s">
        <v>870</v>
      </c>
    </row>
    <row r="936" ht="15.75" customHeight="1">
      <c r="H936" s="2" t="s">
        <v>4917</v>
      </c>
      <c r="I936" s="2" t="s">
        <v>4918</v>
      </c>
      <c r="J936" s="2" t="s">
        <v>4919</v>
      </c>
      <c r="K936" s="2" t="s">
        <v>1027</v>
      </c>
      <c r="L936" s="2" t="s">
        <v>866</v>
      </c>
      <c r="M936" s="2" t="s">
        <v>4920</v>
      </c>
      <c r="N936" s="2" t="s">
        <v>4921</v>
      </c>
      <c r="O936" s="2" t="s">
        <v>869</v>
      </c>
      <c r="P936" s="2" t="s">
        <v>870</v>
      </c>
    </row>
    <row r="937" ht="15.75" customHeight="1">
      <c r="H937" s="2" t="s">
        <v>4922</v>
      </c>
      <c r="I937" s="2" t="s">
        <v>4923</v>
      </c>
      <c r="J937" s="2" t="s">
        <v>4924</v>
      </c>
      <c r="K937" s="2" t="s">
        <v>1169</v>
      </c>
      <c r="L937" s="2" t="s">
        <v>866</v>
      </c>
      <c r="M937" s="2" t="s">
        <v>4925</v>
      </c>
      <c r="N937" s="2" t="s">
        <v>4926</v>
      </c>
      <c r="O937" s="2" t="s">
        <v>869</v>
      </c>
      <c r="P937" s="2" t="s">
        <v>870</v>
      </c>
    </row>
    <row r="938" ht="15.75" customHeight="1">
      <c r="H938" s="2" t="s">
        <v>4927</v>
      </c>
      <c r="I938" s="2" t="s">
        <v>4928</v>
      </c>
      <c r="J938" s="2" t="s">
        <v>4929</v>
      </c>
      <c r="K938" s="2" t="s">
        <v>4436</v>
      </c>
      <c r="L938" s="2" t="s">
        <v>866</v>
      </c>
      <c r="M938" s="2" t="s">
        <v>4930</v>
      </c>
      <c r="N938" s="2" t="s">
        <v>4931</v>
      </c>
      <c r="O938" s="2" t="s">
        <v>869</v>
      </c>
      <c r="P938" s="2" t="s">
        <v>870</v>
      </c>
    </row>
    <row r="939" ht="15.75" customHeight="1">
      <c r="H939" s="2" t="s">
        <v>4932</v>
      </c>
      <c r="I939" s="2" t="s">
        <v>4933</v>
      </c>
      <c r="J939" s="2" t="s">
        <v>4934</v>
      </c>
      <c r="K939" s="2" t="s">
        <v>1433</v>
      </c>
      <c r="L939" s="2" t="s">
        <v>866</v>
      </c>
      <c r="M939" s="2" t="s">
        <v>4935</v>
      </c>
      <c r="N939" s="2" t="s">
        <v>4936</v>
      </c>
      <c r="O939" s="2" t="s">
        <v>869</v>
      </c>
      <c r="P939" s="2" t="s">
        <v>870</v>
      </c>
    </row>
    <row r="940" ht="15.75" customHeight="1">
      <c r="H940" s="2" t="s">
        <v>4937</v>
      </c>
      <c r="I940" s="2" t="s">
        <v>257</v>
      </c>
      <c r="J940" s="2" t="s">
        <v>258</v>
      </c>
      <c r="K940" s="2" t="s">
        <v>1439</v>
      </c>
      <c r="L940" s="2" t="s">
        <v>866</v>
      </c>
      <c r="M940" s="2" t="s">
        <v>4938</v>
      </c>
      <c r="N940" s="2" t="s">
        <v>4939</v>
      </c>
      <c r="O940" s="2" t="s">
        <v>869</v>
      </c>
      <c r="P940" s="2" t="s">
        <v>870</v>
      </c>
    </row>
    <row r="941" ht="15.75" customHeight="1">
      <c r="H941" s="2" t="s">
        <v>4940</v>
      </c>
      <c r="I941" s="2" t="s">
        <v>4941</v>
      </c>
      <c r="J941" s="2" t="s">
        <v>4942</v>
      </c>
      <c r="K941" s="2" t="s">
        <v>1187</v>
      </c>
      <c r="L941" s="2" t="s">
        <v>866</v>
      </c>
      <c r="M941" s="2" t="s">
        <v>4943</v>
      </c>
      <c r="N941" s="2" t="s">
        <v>4944</v>
      </c>
      <c r="O941" s="2" t="s">
        <v>869</v>
      </c>
      <c r="P941" s="2" t="s">
        <v>870</v>
      </c>
    </row>
    <row r="942" ht="15.75" customHeight="1">
      <c r="H942" s="2" t="s">
        <v>4945</v>
      </c>
      <c r="I942" s="2" t="s">
        <v>4946</v>
      </c>
      <c r="J942" s="2" t="s">
        <v>4947</v>
      </c>
      <c r="K942" s="2" t="s">
        <v>1049</v>
      </c>
      <c r="L942" s="2" t="s">
        <v>866</v>
      </c>
      <c r="M942" s="2" t="s">
        <v>4948</v>
      </c>
      <c r="N942" s="2" t="s">
        <v>4949</v>
      </c>
      <c r="O942" s="2" t="s">
        <v>869</v>
      </c>
      <c r="P942" s="2" t="s">
        <v>870</v>
      </c>
    </row>
    <row r="943" ht="15.75" customHeight="1">
      <c r="F943" s="2" t="s">
        <v>791</v>
      </c>
      <c r="H943" s="2" t="s">
        <v>4950</v>
      </c>
      <c r="I943" s="2" t="s">
        <v>4951</v>
      </c>
      <c r="J943" s="2" t="s">
        <v>4952</v>
      </c>
      <c r="K943" s="2" t="s">
        <v>859</v>
      </c>
      <c r="L943" s="2" t="s">
        <v>866</v>
      </c>
      <c r="M943" s="2" t="s">
        <v>4953</v>
      </c>
      <c r="N943" s="2" t="s">
        <v>4954</v>
      </c>
      <c r="O943" s="2" t="s">
        <v>869</v>
      </c>
      <c r="P943" s="2" t="s">
        <v>870</v>
      </c>
    </row>
    <row r="944" ht="15.75" customHeight="1">
      <c r="H944" s="2" t="s">
        <v>4955</v>
      </c>
      <c r="I944" s="2" t="s">
        <v>793</v>
      </c>
      <c r="J944" s="2" t="s">
        <v>794</v>
      </c>
      <c r="K944" s="2" t="s">
        <v>1362</v>
      </c>
      <c r="L944" s="2" t="s">
        <v>866</v>
      </c>
      <c r="M944" s="2" t="s">
        <v>4956</v>
      </c>
      <c r="N944" s="2" t="s">
        <v>4957</v>
      </c>
      <c r="O944" s="2" t="s">
        <v>869</v>
      </c>
      <c r="P944" s="2" t="s">
        <v>870</v>
      </c>
    </row>
    <row r="945" ht="15.75" customHeight="1">
      <c r="H945" s="2" t="s">
        <v>4958</v>
      </c>
      <c r="I945" s="2" t="s">
        <v>4959</v>
      </c>
      <c r="J945" s="2" t="s">
        <v>4960</v>
      </c>
      <c r="K945" s="2" t="s">
        <v>280</v>
      </c>
      <c r="L945" s="2" t="s">
        <v>866</v>
      </c>
      <c r="M945" s="2" t="s">
        <v>4961</v>
      </c>
      <c r="N945" s="2" t="s">
        <v>4962</v>
      </c>
      <c r="O945" s="2" t="s">
        <v>869</v>
      </c>
      <c r="P945" s="2" t="s">
        <v>870</v>
      </c>
    </row>
    <row r="946" ht="15.75" customHeight="1">
      <c r="H946" s="2" t="s">
        <v>4963</v>
      </c>
      <c r="I946" s="2" t="s">
        <v>4964</v>
      </c>
      <c r="J946" s="2" t="s">
        <v>4965</v>
      </c>
      <c r="K946" s="2" t="s">
        <v>1467</v>
      </c>
      <c r="L946" s="2" t="s">
        <v>866</v>
      </c>
      <c r="M946" s="2" t="s">
        <v>4966</v>
      </c>
      <c r="N946" s="2" t="s">
        <v>4967</v>
      </c>
      <c r="O946" s="2" t="s">
        <v>869</v>
      </c>
      <c r="P946" s="2" t="s">
        <v>870</v>
      </c>
    </row>
    <row r="947" ht="15.75" customHeight="1">
      <c r="H947" s="2" t="s">
        <v>4968</v>
      </c>
      <c r="I947" s="2" t="s">
        <v>4969</v>
      </c>
      <c r="J947" s="2" t="s">
        <v>4970</v>
      </c>
      <c r="K947" s="2" t="s">
        <v>918</v>
      </c>
      <c r="L947" s="2" t="s">
        <v>866</v>
      </c>
      <c r="M947" s="2" t="s">
        <v>4971</v>
      </c>
      <c r="N947" s="2" t="s">
        <v>4972</v>
      </c>
      <c r="O947" s="2" t="s">
        <v>869</v>
      </c>
      <c r="P947" s="2" t="s">
        <v>870</v>
      </c>
    </row>
    <row r="948" ht="15.75" customHeight="1">
      <c r="F948" s="2" t="s">
        <v>800</v>
      </c>
      <c r="H948" s="2" t="s">
        <v>4973</v>
      </c>
      <c r="I948" s="2" t="s">
        <v>4974</v>
      </c>
      <c r="J948" s="2" t="s">
        <v>4975</v>
      </c>
      <c r="K948" s="2" t="s">
        <v>859</v>
      </c>
      <c r="L948" s="2" t="s">
        <v>866</v>
      </c>
      <c r="M948" s="2" t="s">
        <v>4976</v>
      </c>
      <c r="N948" s="2" t="s">
        <v>4977</v>
      </c>
      <c r="O948" s="2" t="s">
        <v>869</v>
      </c>
      <c r="P948" s="2" t="s">
        <v>870</v>
      </c>
    </row>
    <row r="949" ht="15.75" customHeight="1">
      <c r="H949" s="2" t="s">
        <v>4978</v>
      </c>
      <c r="I949" s="2" t="s">
        <v>4979</v>
      </c>
      <c r="J949" s="2" t="s">
        <v>4980</v>
      </c>
      <c r="K949" s="2" t="s">
        <v>947</v>
      </c>
      <c r="L949" s="2" t="s">
        <v>866</v>
      </c>
      <c r="M949" s="2" t="s">
        <v>4981</v>
      </c>
      <c r="N949" s="2" t="s">
        <v>4982</v>
      </c>
      <c r="O949" s="2" t="s">
        <v>869</v>
      </c>
      <c r="P949" s="2" t="s">
        <v>870</v>
      </c>
    </row>
    <row r="950" ht="15.75" customHeight="1">
      <c r="H950" s="2" t="s">
        <v>4983</v>
      </c>
      <c r="I950" s="2" t="s">
        <v>4984</v>
      </c>
      <c r="J950" s="2" t="s">
        <v>4985</v>
      </c>
      <c r="K950" s="2" t="s">
        <v>277</v>
      </c>
      <c r="L950" s="2" t="s">
        <v>866</v>
      </c>
      <c r="M950" s="2" t="s">
        <v>4986</v>
      </c>
      <c r="N950" s="2" t="s">
        <v>4987</v>
      </c>
      <c r="O950" s="2" t="s">
        <v>869</v>
      </c>
      <c r="P950" s="2" t="s">
        <v>870</v>
      </c>
    </row>
    <row r="951" ht="15.75" customHeight="1">
      <c r="H951" s="2" t="s">
        <v>4988</v>
      </c>
      <c r="I951" s="2" t="s">
        <v>4989</v>
      </c>
      <c r="J951" s="2" t="s">
        <v>4990</v>
      </c>
      <c r="K951" s="2" t="s">
        <v>1061</v>
      </c>
      <c r="L951" s="2" t="s">
        <v>866</v>
      </c>
      <c r="M951" s="2" t="s">
        <v>4991</v>
      </c>
      <c r="N951" s="2" t="s">
        <v>4992</v>
      </c>
      <c r="O951" s="2" t="s">
        <v>869</v>
      </c>
      <c r="P951" s="2" t="s">
        <v>870</v>
      </c>
    </row>
    <row r="952" ht="15.75" customHeight="1">
      <c r="H952" s="2" t="s">
        <v>4993</v>
      </c>
      <c r="I952" s="2" t="s">
        <v>4994</v>
      </c>
      <c r="J952" s="2" t="s">
        <v>4995</v>
      </c>
      <c r="K952" s="2" t="s">
        <v>1878</v>
      </c>
      <c r="L952" s="2" t="s">
        <v>866</v>
      </c>
      <c r="M952" s="2" t="s">
        <v>4996</v>
      </c>
      <c r="N952" s="2" t="s">
        <v>4997</v>
      </c>
      <c r="O952" s="2" t="s">
        <v>869</v>
      </c>
      <c r="P952" s="2" t="s">
        <v>870</v>
      </c>
    </row>
    <row r="953" ht="15.75" customHeight="1">
      <c r="H953" s="2" t="s">
        <v>4998</v>
      </c>
      <c r="I953" s="2" t="s">
        <v>4999</v>
      </c>
      <c r="J953" s="2" t="s">
        <v>5000</v>
      </c>
      <c r="K953" s="2" t="s">
        <v>1117</v>
      </c>
      <c r="L953" s="2" t="s">
        <v>866</v>
      </c>
      <c r="M953" s="2" t="s">
        <v>5001</v>
      </c>
      <c r="N953" s="2" t="s">
        <v>5002</v>
      </c>
      <c r="O953" s="2" t="s">
        <v>869</v>
      </c>
      <c r="P953" s="2" t="s">
        <v>870</v>
      </c>
    </row>
    <row r="954" ht="15.75" customHeight="1">
      <c r="H954" s="2" t="s">
        <v>5003</v>
      </c>
      <c r="I954" s="2" t="s">
        <v>5004</v>
      </c>
      <c r="J954" s="2" t="s">
        <v>5005</v>
      </c>
      <c r="K954" s="2" t="s">
        <v>958</v>
      </c>
      <c r="L954" s="2" t="s">
        <v>866</v>
      </c>
      <c r="M954" s="2" t="s">
        <v>5006</v>
      </c>
      <c r="N954" s="2" t="s">
        <v>5007</v>
      </c>
      <c r="O954" s="2" t="s">
        <v>869</v>
      </c>
      <c r="P954" s="2" t="s">
        <v>870</v>
      </c>
    </row>
    <row r="955" ht="15.75" customHeight="1">
      <c r="H955" s="2" t="s">
        <v>5008</v>
      </c>
      <c r="I955" s="2" t="s">
        <v>5009</v>
      </c>
      <c r="J955" s="2" t="s">
        <v>5010</v>
      </c>
      <c r="K955" s="2" t="s">
        <v>880</v>
      </c>
      <c r="L955" s="2" t="s">
        <v>866</v>
      </c>
      <c r="M955" s="2" t="s">
        <v>5011</v>
      </c>
      <c r="N955" s="2" t="s">
        <v>5012</v>
      </c>
      <c r="O955" s="2" t="s">
        <v>869</v>
      </c>
      <c r="P955" s="2" t="s">
        <v>870</v>
      </c>
    </row>
    <row r="956" ht="15.75" customHeight="1">
      <c r="H956" s="2" t="s">
        <v>5013</v>
      </c>
      <c r="I956" s="2" t="s">
        <v>1000</v>
      </c>
      <c r="J956" s="2" t="s">
        <v>1001</v>
      </c>
      <c r="K956" s="2" t="s">
        <v>970</v>
      </c>
      <c r="L956" s="2" t="s">
        <v>866</v>
      </c>
      <c r="M956" s="2" t="s">
        <v>5014</v>
      </c>
      <c r="N956" s="2" t="s">
        <v>5015</v>
      </c>
      <c r="O956" s="2" t="s">
        <v>869</v>
      </c>
      <c r="P956" s="2" t="s">
        <v>870</v>
      </c>
    </row>
    <row r="957" ht="15.75" customHeight="1">
      <c r="H957" s="2" t="s">
        <v>5016</v>
      </c>
      <c r="I957" s="2" t="s">
        <v>5017</v>
      </c>
      <c r="J957" s="2" t="s">
        <v>5018</v>
      </c>
      <c r="K957" s="2" t="s">
        <v>2737</v>
      </c>
      <c r="L957" s="2" t="s">
        <v>866</v>
      </c>
      <c r="M957" s="2" t="s">
        <v>5019</v>
      </c>
      <c r="N957" s="2" t="s">
        <v>5020</v>
      </c>
      <c r="O957" s="2" t="s">
        <v>869</v>
      </c>
      <c r="P957" s="2" t="s">
        <v>870</v>
      </c>
    </row>
    <row r="958" ht="15.75" customHeight="1">
      <c r="H958" s="2" t="s">
        <v>5021</v>
      </c>
      <c r="I958" s="2" t="s">
        <v>5022</v>
      </c>
      <c r="J958" s="2" t="s">
        <v>5023</v>
      </c>
      <c r="K958" s="2" t="s">
        <v>1569</v>
      </c>
      <c r="L958" s="2" t="s">
        <v>866</v>
      </c>
      <c r="M958" s="2" t="s">
        <v>5024</v>
      </c>
      <c r="N958" s="2" t="s">
        <v>5025</v>
      </c>
      <c r="O958" s="2" t="s">
        <v>869</v>
      </c>
      <c r="P958" s="2" t="s">
        <v>870</v>
      </c>
    </row>
    <row r="959" ht="15.75" customHeight="1">
      <c r="H959" s="2" t="s">
        <v>5026</v>
      </c>
      <c r="I959" s="2" t="s">
        <v>5027</v>
      </c>
      <c r="J959" s="2" t="s">
        <v>5028</v>
      </c>
      <c r="K959" s="2" t="s">
        <v>1319</v>
      </c>
      <c r="L959" s="2" t="s">
        <v>866</v>
      </c>
      <c r="M959" s="2" t="s">
        <v>5029</v>
      </c>
      <c r="N959" s="2" t="s">
        <v>5030</v>
      </c>
      <c r="O959" s="2" t="s">
        <v>869</v>
      </c>
      <c r="P959" s="2" t="s">
        <v>870</v>
      </c>
    </row>
    <row r="960" ht="15.75" customHeight="1">
      <c r="H960" s="2" t="s">
        <v>5031</v>
      </c>
      <c r="I960" s="2" t="s">
        <v>5032</v>
      </c>
      <c r="J960" s="2" t="s">
        <v>5033</v>
      </c>
      <c r="K960" s="2" t="s">
        <v>1952</v>
      </c>
      <c r="L960" s="2" t="s">
        <v>866</v>
      </c>
      <c r="M960" s="2" t="s">
        <v>5034</v>
      </c>
      <c r="N960" s="2" t="s">
        <v>5035</v>
      </c>
      <c r="O960" s="2" t="s">
        <v>869</v>
      </c>
      <c r="P960" s="2" t="s">
        <v>870</v>
      </c>
    </row>
    <row r="961" ht="15.75" customHeight="1">
      <c r="H961" s="2" t="s">
        <v>5036</v>
      </c>
      <c r="I961" s="2" t="s">
        <v>5037</v>
      </c>
      <c r="J961" s="2" t="s">
        <v>5038</v>
      </c>
      <c r="K961" s="2" t="s">
        <v>2203</v>
      </c>
      <c r="L961" s="2" t="s">
        <v>866</v>
      </c>
      <c r="M961" s="2" t="s">
        <v>5039</v>
      </c>
      <c r="N961" s="2" t="s">
        <v>5040</v>
      </c>
      <c r="O961" s="2" t="s">
        <v>869</v>
      </c>
      <c r="P961" s="2" t="s">
        <v>870</v>
      </c>
    </row>
    <row r="962" ht="15.75" customHeight="1">
      <c r="H962" s="2" t="s">
        <v>5041</v>
      </c>
      <c r="I962" s="2" t="s">
        <v>5042</v>
      </c>
      <c r="J962" s="2" t="s">
        <v>5043</v>
      </c>
      <c r="K962" s="2" t="s">
        <v>1325</v>
      </c>
      <c r="L962" s="2" t="s">
        <v>866</v>
      </c>
      <c r="M962" s="2" t="s">
        <v>5044</v>
      </c>
      <c r="N962" s="2" t="s">
        <v>5045</v>
      </c>
      <c r="O962" s="2" t="s">
        <v>869</v>
      </c>
      <c r="P962" s="2" t="s">
        <v>870</v>
      </c>
    </row>
    <row r="963" ht="15.75" customHeight="1">
      <c r="H963" s="2" t="s">
        <v>5046</v>
      </c>
      <c r="I963" s="2" t="s">
        <v>5047</v>
      </c>
      <c r="J963" s="2" t="s">
        <v>5048</v>
      </c>
      <c r="K963" s="2" t="s">
        <v>1151</v>
      </c>
      <c r="L963" s="2" t="s">
        <v>866</v>
      </c>
      <c r="M963" s="2" t="s">
        <v>5049</v>
      </c>
      <c r="N963" s="2" t="s">
        <v>5050</v>
      </c>
      <c r="O963" s="2" t="s">
        <v>869</v>
      </c>
      <c r="P963" s="2" t="s">
        <v>870</v>
      </c>
    </row>
    <row r="964" ht="15.75" customHeight="1">
      <c r="H964" s="2" t="s">
        <v>5051</v>
      </c>
      <c r="I964" s="2" t="s">
        <v>5052</v>
      </c>
      <c r="J964" s="2" t="s">
        <v>5053</v>
      </c>
      <c r="K964" s="2" t="s">
        <v>1331</v>
      </c>
      <c r="L964" s="2" t="s">
        <v>866</v>
      </c>
      <c r="M964" s="2" t="s">
        <v>5054</v>
      </c>
      <c r="N964" s="2" t="s">
        <v>5055</v>
      </c>
      <c r="O964" s="2" t="s">
        <v>869</v>
      </c>
      <c r="P964" s="2" t="s">
        <v>870</v>
      </c>
    </row>
    <row r="965" ht="15.75" customHeight="1">
      <c r="H965" s="2" t="s">
        <v>5056</v>
      </c>
      <c r="I965" s="2" t="s">
        <v>5057</v>
      </c>
      <c r="J965" s="2" t="s">
        <v>5058</v>
      </c>
      <c r="K965" s="2" t="s">
        <v>1157</v>
      </c>
      <c r="L965" s="2" t="s">
        <v>866</v>
      </c>
      <c r="M965" s="2" t="s">
        <v>5059</v>
      </c>
      <c r="N965" s="2" t="s">
        <v>5060</v>
      </c>
      <c r="O965" s="2" t="s">
        <v>869</v>
      </c>
      <c r="P965" s="2" t="s">
        <v>870</v>
      </c>
    </row>
    <row r="966" ht="15.75" customHeight="1">
      <c r="H966" s="2" t="s">
        <v>5061</v>
      </c>
      <c r="I966" s="2" t="s">
        <v>5062</v>
      </c>
      <c r="J966" s="2" t="s">
        <v>5063</v>
      </c>
      <c r="K966" s="2" t="s">
        <v>2171</v>
      </c>
      <c r="L966" s="2" t="s">
        <v>866</v>
      </c>
      <c r="M966" s="2" t="s">
        <v>5064</v>
      </c>
      <c r="N966" s="2" t="s">
        <v>5065</v>
      </c>
      <c r="O966" s="2" t="s">
        <v>869</v>
      </c>
      <c r="P966" s="2" t="s">
        <v>870</v>
      </c>
    </row>
    <row r="967" ht="15.75" customHeight="1">
      <c r="H967" s="2" t="s">
        <v>5066</v>
      </c>
      <c r="I967" s="2" t="s">
        <v>5067</v>
      </c>
      <c r="J967" s="2" t="s">
        <v>5068</v>
      </c>
      <c r="K967" s="2" t="s">
        <v>4429</v>
      </c>
      <c r="L967" s="2" t="s">
        <v>866</v>
      </c>
      <c r="M967" s="2" t="s">
        <v>5069</v>
      </c>
      <c r="N967" s="2" t="s">
        <v>5070</v>
      </c>
      <c r="O967" s="2" t="s">
        <v>869</v>
      </c>
      <c r="P967" s="2" t="s">
        <v>870</v>
      </c>
    </row>
    <row r="968" ht="15.75" customHeight="1">
      <c r="H968" s="2" t="s">
        <v>5071</v>
      </c>
      <c r="I968" s="2" t="s">
        <v>5072</v>
      </c>
      <c r="J968" s="2" t="s">
        <v>5073</v>
      </c>
      <c r="K968" s="2" t="s">
        <v>4436</v>
      </c>
      <c r="L968" s="2" t="s">
        <v>866</v>
      </c>
      <c r="M968" s="2" t="s">
        <v>5074</v>
      </c>
      <c r="N968" s="2" t="s">
        <v>5075</v>
      </c>
      <c r="O968" s="2" t="s">
        <v>869</v>
      </c>
      <c r="P968" s="2" t="s">
        <v>870</v>
      </c>
    </row>
    <row r="969" ht="15.75" customHeight="1">
      <c r="H969" s="2" t="s">
        <v>5076</v>
      </c>
      <c r="I969" s="2" t="s">
        <v>5077</v>
      </c>
      <c r="J969" s="2" t="s">
        <v>5078</v>
      </c>
      <c r="K969" s="2" t="s">
        <v>3298</v>
      </c>
      <c r="L969" s="2" t="s">
        <v>866</v>
      </c>
      <c r="M969" s="2" t="s">
        <v>5079</v>
      </c>
      <c r="N969" s="2" t="s">
        <v>5080</v>
      </c>
      <c r="O969" s="2" t="s">
        <v>869</v>
      </c>
      <c r="P969" s="2" t="s">
        <v>870</v>
      </c>
    </row>
    <row r="970" ht="15.75" customHeight="1">
      <c r="H970" s="2" t="s">
        <v>5081</v>
      </c>
      <c r="I970" s="2" t="s">
        <v>5082</v>
      </c>
      <c r="J970" s="2" t="s">
        <v>5083</v>
      </c>
      <c r="K970" s="2" t="s">
        <v>1624</v>
      </c>
      <c r="L970" s="2" t="s">
        <v>866</v>
      </c>
      <c r="M970" s="2" t="s">
        <v>5084</v>
      </c>
      <c r="N970" s="2" t="s">
        <v>5085</v>
      </c>
      <c r="O970" s="2" t="s">
        <v>869</v>
      </c>
      <c r="P970" s="2" t="s">
        <v>870</v>
      </c>
    </row>
    <row r="971" ht="15.75" customHeight="1">
      <c r="H971" s="2" t="s">
        <v>5086</v>
      </c>
      <c r="I971" s="2" t="s">
        <v>5087</v>
      </c>
      <c r="J971" s="2" t="s">
        <v>5088</v>
      </c>
      <c r="K971" s="2" t="s">
        <v>5089</v>
      </c>
      <c r="L971" s="2" t="s">
        <v>866</v>
      </c>
      <c r="M971" s="2" t="s">
        <v>5090</v>
      </c>
      <c r="N971" s="2" t="s">
        <v>5091</v>
      </c>
      <c r="O971" s="2" t="s">
        <v>869</v>
      </c>
      <c r="P971" s="2" t="s">
        <v>870</v>
      </c>
    </row>
    <row r="972" ht="15.75" customHeight="1">
      <c r="H972" s="2" t="s">
        <v>5092</v>
      </c>
      <c r="I972" s="2" t="s">
        <v>5093</v>
      </c>
      <c r="J972" s="2" t="s">
        <v>5094</v>
      </c>
      <c r="K972" s="2" t="s">
        <v>3309</v>
      </c>
      <c r="L972" s="2" t="s">
        <v>5095</v>
      </c>
      <c r="M972" s="2" t="s">
        <v>5096</v>
      </c>
      <c r="N972" s="2" t="s">
        <v>5097</v>
      </c>
      <c r="O972" s="2" t="s">
        <v>869</v>
      </c>
      <c r="P972" s="2" t="s">
        <v>870</v>
      </c>
    </row>
    <row r="973" ht="15.75" customHeight="1">
      <c r="H973" s="2" t="s">
        <v>5098</v>
      </c>
      <c r="I973" s="2" t="s">
        <v>5099</v>
      </c>
      <c r="J973" s="2" t="s">
        <v>5100</v>
      </c>
      <c r="K973" s="2" t="s">
        <v>5101</v>
      </c>
      <c r="L973" s="2" t="s">
        <v>866</v>
      </c>
      <c r="M973" s="2" t="s">
        <v>5102</v>
      </c>
      <c r="N973" s="2" t="s">
        <v>5070</v>
      </c>
      <c r="O973" s="2" t="s">
        <v>869</v>
      </c>
      <c r="P973" s="2" t="s">
        <v>870</v>
      </c>
    </row>
    <row r="974" ht="15.75" customHeight="1">
      <c r="H974" s="2" t="s">
        <v>5103</v>
      </c>
      <c r="I974" s="2" t="s">
        <v>5104</v>
      </c>
      <c r="J974" s="2" t="s">
        <v>5105</v>
      </c>
      <c r="K974" s="2" t="s">
        <v>5106</v>
      </c>
    </row>
    <row r="975" ht="15.75" customHeight="1">
      <c r="H975" s="2" t="s">
        <v>5107</v>
      </c>
      <c r="I975" s="2" t="s">
        <v>5108</v>
      </c>
      <c r="J975" s="2" t="s">
        <v>5109</v>
      </c>
      <c r="K975" s="2" t="s">
        <v>2236</v>
      </c>
      <c r="L975" s="2" t="s">
        <v>866</v>
      </c>
      <c r="M975" s="2" t="s">
        <v>5110</v>
      </c>
      <c r="N975" s="2" t="s">
        <v>5111</v>
      </c>
      <c r="O975" s="2" t="s">
        <v>869</v>
      </c>
      <c r="P975" s="2" t="s">
        <v>870</v>
      </c>
    </row>
    <row r="976" ht="15.75" customHeight="1">
      <c r="H976" s="2" t="s">
        <v>5112</v>
      </c>
      <c r="I976" s="2" t="s">
        <v>5113</v>
      </c>
      <c r="J976" s="2" t="s">
        <v>5114</v>
      </c>
      <c r="K976" s="2" t="s">
        <v>1251</v>
      </c>
      <c r="L976" s="2" t="s">
        <v>866</v>
      </c>
      <c r="M976" s="2" t="s">
        <v>5115</v>
      </c>
      <c r="N976" s="2" t="s">
        <v>5116</v>
      </c>
      <c r="O976" s="2" t="s">
        <v>869</v>
      </c>
      <c r="P976" s="2" t="s">
        <v>870</v>
      </c>
    </row>
    <row r="977" ht="15.75" customHeight="1">
      <c r="H977" s="2" t="s">
        <v>5117</v>
      </c>
      <c r="I977" s="2" t="s">
        <v>5118</v>
      </c>
      <c r="J977" s="2" t="s">
        <v>5119</v>
      </c>
      <c r="K977" s="2" t="s">
        <v>1257</v>
      </c>
      <c r="L977" s="2" t="s">
        <v>866</v>
      </c>
      <c r="M977" s="2" t="s">
        <v>5120</v>
      </c>
      <c r="N977" s="2" t="s">
        <v>5121</v>
      </c>
      <c r="O977" s="2" t="s">
        <v>869</v>
      </c>
      <c r="P977" s="2" t="s">
        <v>870</v>
      </c>
    </row>
    <row r="978" ht="15.75" customHeight="1">
      <c r="H978" s="2" t="s">
        <v>5122</v>
      </c>
      <c r="I978" s="2" t="s">
        <v>1506</v>
      </c>
      <c r="J978" s="2" t="s">
        <v>1507</v>
      </c>
      <c r="K978" s="2" t="s">
        <v>2043</v>
      </c>
      <c r="L978" s="2" t="s">
        <v>866</v>
      </c>
      <c r="M978" s="2" t="s">
        <v>5123</v>
      </c>
      <c r="N978" s="2" t="s">
        <v>5124</v>
      </c>
      <c r="O978" s="2" t="s">
        <v>869</v>
      </c>
      <c r="P978" s="2" t="s">
        <v>870</v>
      </c>
    </row>
    <row r="979" ht="15.75" customHeight="1">
      <c r="H979" s="2" t="s">
        <v>5125</v>
      </c>
      <c r="I979" s="2" t="s">
        <v>257</v>
      </c>
      <c r="J979" s="2" t="s">
        <v>258</v>
      </c>
      <c r="K979" s="2" t="s">
        <v>5126</v>
      </c>
      <c r="L979" s="2" t="s">
        <v>866</v>
      </c>
      <c r="M979" s="2" t="s">
        <v>5127</v>
      </c>
      <c r="N979" s="2" t="s">
        <v>5128</v>
      </c>
      <c r="O979" s="2" t="s">
        <v>869</v>
      </c>
      <c r="P979" s="2" t="s">
        <v>870</v>
      </c>
    </row>
    <row r="980" ht="15.75" customHeight="1">
      <c r="H980" s="2" t="s">
        <v>5129</v>
      </c>
      <c r="I980" s="2" t="s">
        <v>5130</v>
      </c>
      <c r="J980" s="2" t="s">
        <v>5131</v>
      </c>
      <c r="K980" s="2" t="s">
        <v>2269</v>
      </c>
      <c r="L980" s="2" t="s">
        <v>866</v>
      </c>
      <c r="M980" s="2" t="s">
        <v>5132</v>
      </c>
      <c r="N980" s="2" t="s">
        <v>5133</v>
      </c>
      <c r="O980" s="2" t="s">
        <v>869</v>
      </c>
      <c r="P980" s="2" t="s">
        <v>870</v>
      </c>
    </row>
    <row r="981" ht="15.75" customHeight="1">
      <c r="H981" s="2" t="s">
        <v>5134</v>
      </c>
      <c r="I981" s="2" t="s">
        <v>5135</v>
      </c>
      <c r="J981" s="2" t="s">
        <v>5136</v>
      </c>
      <c r="K981" s="2" t="s">
        <v>2288</v>
      </c>
      <c r="L981" s="2" t="s">
        <v>866</v>
      </c>
      <c r="M981" s="2" t="s">
        <v>5137</v>
      </c>
      <c r="N981" s="2" t="s">
        <v>5138</v>
      </c>
      <c r="O981" s="2" t="s">
        <v>869</v>
      </c>
      <c r="P981" s="2" t="s">
        <v>870</v>
      </c>
    </row>
    <row r="982" ht="15.75" customHeight="1">
      <c r="H982" s="2" t="s">
        <v>5139</v>
      </c>
      <c r="I982" s="2" t="s">
        <v>5140</v>
      </c>
      <c r="J982" s="2" t="s">
        <v>5141</v>
      </c>
      <c r="K982" s="2" t="s">
        <v>5142</v>
      </c>
      <c r="L982" s="2" t="s">
        <v>866</v>
      </c>
      <c r="M982" s="2" t="s">
        <v>5143</v>
      </c>
      <c r="N982" s="2" t="s">
        <v>5144</v>
      </c>
      <c r="O982" s="2" t="s">
        <v>869</v>
      </c>
      <c r="P982" s="2" t="s">
        <v>870</v>
      </c>
    </row>
    <row r="983" ht="15.75" customHeight="1">
      <c r="F983" s="2" t="s">
        <v>843</v>
      </c>
      <c r="H983" s="2" t="s">
        <v>5145</v>
      </c>
      <c r="I983" s="2" t="s">
        <v>5146</v>
      </c>
      <c r="J983" s="2" t="s">
        <v>5147</v>
      </c>
      <c r="K983" s="2" t="s">
        <v>859</v>
      </c>
      <c r="L983" s="2" t="s">
        <v>866</v>
      </c>
      <c r="M983" s="2" t="s">
        <v>5148</v>
      </c>
      <c r="N983" s="2" t="s">
        <v>5149</v>
      </c>
      <c r="O983" s="2" t="s">
        <v>869</v>
      </c>
      <c r="P983" s="2" t="s">
        <v>870</v>
      </c>
    </row>
    <row r="984" ht="15.75" customHeight="1">
      <c r="H984" s="2" t="s">
        <v>5150</v>
      </c>
      <c r="I984" s="2" t="s">
        <v>5151</v>
      </c>
      <c r="J984" s="2" t="s">
        <v>5152</v>
      </c>
      <c r="K984" s="2" t="s">
        <v>874</v>
      </c>
      <c r="L984" s="2" t="s">
        <v>866</v>
      </c>
      <c r="M984" s="2" t="s">
        <v>5153</v>
      </c>
      <c r="N984" s="2" t="s">
        <v>5149</v>
      </c>
      <c r="O984" s="2" t="s">
        <v>869</v>
      </c>
      <c r="P984" s="2" t="s">
        <v>870</v>
      </c>
    </row>
    <row r="985" ht="15.75" customHeight="1">
      <c r="H985" s="2" t="s">
        <v>5154</v>
      </c>
      <c r="I985" s="2" t="s">
        <v>5155</v>
      </c>
      <c r="J985" s="2" t="s">
        <v>5156</v>
      </c>
      <c r="K985" s="2" t="s">
        <v>1368</v>
      </c>
      <c r="L985" s="2" t="s">
        <v>866</v>
      </c>
      <c r="M985" s="2" t="s">
        <v>5157</v>
      </c>
      <c r="N985" s="2" t="s">
        <v>5158</v>
      </c>
      <c r="O985" s="2" t="s">
        <v>869</v>
      </c>
      <c r="P985" s="2" t="s">
        <v>870</v>
      </c>
    </row>
    <row r="986" ht="15.75" customHeight="1">
      <c r="H986" s="2" t="s">
        <v>5159</v>
      </c>
      <c r="I986" s="2" t="s">
        <v>5160</v>
      </c>
      <c r="J986" s="2" t="s">
        <v>5161</v>
      </c>
      <c r="L986" s="2" t="s">
        <v>866</v>
      </c>
      <c r="M986" s="2" t="s">
        <v>5162</v>
      </c>
      <c r="N986" s="2" t="s">
        <v>5163</v>
      </c>
      <c r="O986" s="2" t="s">
        <v>869</v>
      </c>
      <c r="P986" s="2" t="s">
        <v>870</v>
      </c>
    </row>
    <row r="987" ht="15.75" customHeight="1">
      <c r="H987" s="2" t="s">
        <v>5164</v>
      </c>
      <c r="I987" s="2" t="s">
        <v>5165</v>
      </c>
      <c r="J987" s="2" t="s">
        <v>5166</v>
      </c>
      <c r="K987" s="2" t="s">
        <v>970</v>
      </c>
      <c r="L987" s="2" t="s">
        <v>866</v>
      </c>
      <c r="M987" s="2" t="s">
        <v>5167</v>
      </c>
      <c r="N987" s="2" t="s">
        <v>5168</v>
      </c>
      <c r="O987" s="2" t="s">
        <v>869</v>
      </c>
      <c r="P987" s="2" t="s">
        <v>870</v>
      </c>
    </row>
    <row r="988" ht="15.75" customHeight="1">
      <c r="H988" s="2" t="s">
        <v>5169</v>
      </c>
      <c r="I988" s="2" t="s">
        <v>5170</v>
      </c>
      <c r="J988" s="2" t="s">
        <v>5171</v>
      </c>
      <c r="K988" s="2" t="s">
        <v>283</v>
      </c>
      <c r="L988" s="2" t="s">
        <v>866</v>
      </c>
      <c r="M988" s="2" t="s">
        <v>5172</v>
      </c>
      <c r="N988" s="2" t="s">
        <v>5173</v>
      </c>
      <c r="O988" s="2" t="s">
        <v>869</v>
      </c>
      <c r="P988" s="2" t="s">
        <v>870</v>
      </c>
    </row>
    <row r="989" ht="15.75" customHeight="1">
      <c r="H989" s="2" t="s">
        <v>5174</v>
      </c>
      <c r="I989" s="2" t="s">
        <v>4127</v>
      </c>
      <c r="J989" s="2" t="s">
        <v>4128</v>
      </c>
      <c r="K989" s="2" t="s">
        <v>2937</v>
      </c>
      <c r="L989" s="2" t="s">
        <v>866</v>
      </c>
      <c r="M989" s="2" t="s">
        <v>5175</v>
      </c>
      <c r="N989" s="2" t="s">
        <v>5176</v>
      </c>
      <c r="O989" s="2" t="s">
        <v>869</v>
      </c>
      <c r="P989" s="2" t="s">
        <v>870</v>
      </c>
    </row>
    <row r="990" ht="15.75" customHeight="1">
      <c r="H990" s="2" t="s">
        <v>5177</v>
      </c>
      <c r="I990" s="2" t="s">
        <v>5178</v>
      </c>
      <c r="J990" s="2" t="s">
        <v>5179</v>
      </c>
      <c r="K990" s="2" t="s">
        <v>1313</v>
      </c>
      <c r="L990" s="2" t="s">
        <v>866</v>
      </c>
      <c r="M990" s="2" t="s">
        <v>5180</v>
      </c>
      <c r="N990" s="2" t="s">
        <v>5181</v>
      </c>
      <c r="O990" s="2" t="s">
        <v>869</v>
      </c>
      <c r="P990" s="2" t="s">
        <v>870</v>
      </c>
    </row>
    <row r="991" ht="15.75" customHeight="1">
      <c r="H991" s="2" t="s">
        <v>5182</v>
      </c>
      <c r="I991" s="2" t="s">
        <v>5183</v>
      </c>
      <c r="J991" s="2" t="s">
        <v>5184</v>
      </c>
      <c r="K991" s="2" t="s">
        <v>1567</v>
      </c>
      <c r="L991" s="2" t="s">
        <v>866</v>
      </c>
      <c r="M991" s="2" t="s">
        <v>5185</v>
      </c>
      <c r="N991" s="2" t="s">
        <v>5186</v>
      </c>
      <c r="O991" s="2" t="s">
        <v>869</v>
      </c>
      <c r="P991" s="2" t="s">
        <v>870</v>
      </c>
    </row>
    <row r="992" ht="15.75" customHeight="1">
      <c r="H992" s="2" t="s">
        <v>5187</v>
      </c>
      <c r="I992" s="2" t="s">
        <v>5188</v>
      </c>
      <c r="J992" s="2" t="s">
        <v>5189</v>
      </c>
      <c r="K992" s="2" t="s">
        <v>1406</v>
      </c>
      <c r="L992" s="2" t="s">
        <v>866</v>
      </c>
      <c r="M992" s="2" t="s">
        <v>5190</v>
      </c>
      <c r="N992" s="2" t="s">
        <v>5186</v>
      </c>
      <c r="O992" s="2" t="s">
        <v>869</v>
      </c>
      <c r="P992" s="2" t="s">
        <v>870</v>
      </c>
    </row>
    <row r="993" ht="15.75" customHeight="1">
      <c r="H993" s="2" t="s">
        <v>5191</v>
      </c>
      <c r="I993" s="2" t="s">
        <v>5192</v>
      </c>
      <c r="J993" s="2" t="s">
        <v>5193</v>
      </c>
      <c r="K993" s="2" t="s">
        <v>1319</v>
      </c>
      <c r="L993" s="2" t="s">
        <v>866</v>
      </c>
      <c r="M993" s="2" t="s">
        <v>5194</v>
      </c>
      <c r="N993" s="2" t="s">
        <v>5195</v>
      </c>
      <c r="O993" s="2" t="s">
        <v>869</v>
      </c>
      <c r="P993" s="2" t="s">
        <v>870</v>
      </c>
    </row>
    <row r="994" ht="15.75" customHeight="1">
      <c r="H994" s="2" t="s">
        <v>5196</v>
      </c>
      <c r="I994" s="2" t="s">
        <v>5197</v>
      </c>
      <c r="J994" s="2" t="s">
        <v>5198</v>
      </c>
      <c r="K994" s="2" t="s">
        <v>1412</v>
      </c>
      <c r="L994" s="2" t="s">
        <v>866</v>
      </c>
      <c r="M994" s="2" t="s">
        <v>5199</v>
      </c>
      <c r="N994" s="2" t="s">
        <v>5200</v>
      </c>
      <c r="O994" s="2" t="s">
        <v>869</v>
      </c>
      <c r="P994" s="2" t="s">
        <v>870</v>
      </c>
    </row>
    <row r="995" ht="15.75" customHeight="1">
      <c r="H995" s="2" t="s">
        <v>5201</v>
      </c>
      <c r="I995" s="2" t="s">
        <v>5202</v>
      </c>
      <c r="J995" s="2" t="s">
        <v>5203</v>
      </c>
      <c r="K995" s="2" t="s">
        <v>1424</v>
      </c>
      <c r="L995" s="2" t="s">
        <v>866</v>
      </c>
      <c r="M995" s="2" t="s">
        <v>5204</v>
      </c>
      <c r="N995" s="2" t="s">
        <v>5205</v>
      </c>
      <c r="O995" s="2" t="s">
        <v>869</v>
      </c>
      <c r="P995" s="2" t="s">
        <v>870</v>
      </c>
    </row>
    <row r="996" ht="15.75" customHeight="1">
      <c r="H996" s="2" t="s">
        <v>5206</v>
      </c>
      <c r="I996" s="2" t="s">
        <v>1167</v>
      </c>
      <c r="J996" s="2" t="s">
        <v>1168</v>
      </c>
      <c r="K996" s="2" t="s">
        <v>1952</v>
      </c>
      <c r="L996" s="2" t="s">
        <v>866</v>
      </c>
      <c r="M996" s="2" t="s">
        <v>5207</v>
      </c>
      <c r="N996" s="2" t="s">
        <v>5208</v>
      </c>
      <c r="O996" s="2" t="s">
        <v>869</v>
      </c>
      <c r="P996" s="2" t="s">
        <v>870</v>
      </c>
    </row>
    <row r="997" ht="15.75" customHeight="1">
      <c r="H997" s="2" t="s">
        <v>5209</v>
      </c>
      <c r="I997" s="2" t="s">
        <v>5210</v>
      </c>
      <c r="J997" s="2" t="s">
        <v>5211</v>
      </c>
      <c r="K997" s="2" t="s">
        <v>2203</v>
      </c>
      <c r="L997" s="2" t="s">
        <v>866</v>
      </c>
      <c r="M997" s="2" t="s">
        <v>5212</v>
      </c>
      <c r="N997" s="2" t="s">
        <v>5213</v>
      </c>
      <c r="O997" s="2" t="s">
        <v>869</v>
      </c>
      <c r="P997" s="2" t="s">
        <v>870</v>
      </c>
    </row>
    <row r="998" ht="15.75" customHeight="1">
      <c r="H998" s="2" t="s">
        <v>5214</v>
      </c>
      <c r="I998" s="2" t="s">
        <v>5215</v>
      </c>
      <c r="J998" s="2" t="s">
        <v>5216</v>
      </c>
      <c r="K998" s="2" t="s">
        <v>2223</v>
      </c>
      <c r="L998" s="2" t="s">
        <v>866</v>
      </c>
      <c r="M998" s="2" t="s">
        <v>5217</v>
      </c>
      <c r="N998" s="2" t="s">
        <v>5218</v>
      </c>
      <c r="O998" s="2" t="s">
        <v>869</v>
      </c>
      <c r="P998" s="2" t="s">
        <v>870</v>
      </c>
    </row>
    <row r="999" ht="15.75" customHeight="1">
      <c r="H999" s="2" t="s">
        <v>5219</v>
      </c>
      <c r="I999" s="2" t="s">
        <v>5220</v>
      </c>
      <c r="J999" s="2" t="s">
        <v>5221</v>
      </c>
      <c r="K999" s="2" t="s">
        <v>1593</v>
      </c>
      <c r="L999" s="2" t="s">
        <v>866</v>
      </c>
      <c r="M999" s="2" t="s">
        <v>5222</v>
      </c>
      <c r="N999" s="2" t="s">
        <v>5223</v>
      </c>
      <c r="O999" s="2" t="s">
        <v>869</v>
      </c>
      <c r="P999" s="2" t="s">
        <v>870</v>
      </c>
    </row>
    <row r="1000" ht="15.75" customHeight="1">
      <c r="H1000" s="2" t="s">
        <v>5224</v>
      </c>
      <c r="I1000" s="2" t="s">
        <v>5225</v>
      </c>
      <c r="J1000" s="2" t="s">
        <v>5226</v>
      </c>
      <c r="K1000" s="2" t="s">
        <v>1027</v>
      </c>
      <c r="L1000" s="2" t="s">
        <v>866</v>
      </c>
      <c r="M1000" s="2" t="s">
        <v>5227</v>
      </c>
      <c r="N1000" s="2" t="s">
        <v>5228</v>
      </c>
      <c r="O1000" s="2" t="s">
        <v>869</v>
      </c>
      <c r="P1000" s="2" t="s">
        <v>870</v>
      </c>
    </row>
    <row r="1001" ht="15.75" customHeight="1">
      <c r="H1001" s="2" t="s">
        <v>5229</v>
      </c>
      <c r="I1001" s="2" t="s">
        <v>5230</v>
      </c>
      <c r="J1001" s="2" t="s">
        <v>5231</v>
      </c>
      <c r="K1001" s="2" t="s">
        <v>1331</v>
      </c>
      <c r="L1001" s="2" t="s">
        <v>866</v>
      </c>
      <c r="M1001" s="2" t="s">
        <v>5232</v>
      </c>
      <c r="N1001" s="2" t="s">
        <v>5233</v>
      </c>
      <c r="O1001" s="2" t="s">
        <v>869</v>
      </c>
      <c r="P1001" s="2" t="s">
        <v>870</v>
      </c>
    </row>
    <row r="1002" ht="15.75" customHeight="1">
      <c r="H1002" s="2" t="s">
        <v>5234</v>
      </c>
      <c r="I1002" s="2" t="s">
        <v>5235</v>
      </c>
      <c r="J1002" s="2" t="s">
        <v>5236</v>
      </c>
      <c r="K1002" s="2" t="s">
        <v>1193</v>
      </c>
      <c r="L1002" s="2" t="s">
        <v>866</v>
      </c>
      <c r="M1002" s="2" t="s">
        <v>5237</v>
      </c>
      <c r="N1002" s="2" t="s">
        <v>5238</v>
      </c>
      <c r="O1002" s="2" t="s">
        <v>869</v>
      </c>
      <c r="P1002" s="2" t="s">
        <v>870</v>
      </c>
    </row>
    <row r="1003" ht="15.75" customHeight="1">
      <c r="H1003" s="2" t="s">
        <v>5239</v>
      </c>
      <c r="I1003" s="2" t="s">
        <v>5240</v>
      </c>
      <c r="J1003" s="2" t="s">
        <v>5241</v>
      </c>
      <c r="K1003" s="2" t="s">
        <v>3298</v>
      </c>
      <c r="L1003" s="2" t="s">
        <v>866</v>
      </c>
      <c r="M1003" s="2" t="s">
        <v>5242</v>
      </c>
      <c r="N1003" s="2" t="s">
        <v>5243</v>
      </c>
      <c r="O1003" s="2" t="s">
        <v>869</v>
      </c>
      <c r="P1003" s="2" t="s">
        <v>870</v>
      </c>
    </row>
    <row r="1004" ht="15.75" customHeight="1">
      <c r="H1004" s="2" t="s">
        <v>5244</v>
      </c>
      <c r="I1004" s="2" t="s">
        <v>5245</v>
      </c>
      <c r="J1004" s="2" t="s">
        <v>5246</v>
      </c>
      <c r="K1004" s="2" t="s">
        <v>1199</v>
      </c>
      <c r="L1004" s="2" t="s">
        <v>866</v>
      </c>
      <c r="M1004" s="2" t="s">
        <v>5247</v>
      </c>
      <c r="N1004" s="2" t="s">
        <v>5248</v>
      </c>
      <c r="O1004" s="2" t="s">
        <v>869</v>
      </c>
      <c r="P1004" s="2" t="s">
        <v>870</v>
      </c>
    </row>
    <row r="1005" ht="15.75" customHeight="1">
      <c r="H1005" s="2" t="s">
        <v>5249</v>
      </c>
      <c r="I1005" s="2" t="s">
        <v>845</v>
      </c>
      <c r="J1005" s="2" t="s">
        <v>846</v>
      </c>
      <c r="K1005" s="2" t="s">
        <v>1618</v>
      </c>
      <c r="L1005" s="2" t="s">
        <v>866</v>
      </c>
      <c r="M1005" s="2" t="s">
        <v>5250</v>
      </c>
      <c r="N1005" s="2" t="s">
        <v>5251</v>
      </c>
      <c r="O1005" s="2" t="s">
        <v>869</v>
      </c>
      <c r="P1005" s="2" t="s">
        <v>870</v>
      </c>
    </row>
    <row r="1006" ht="15.75" customHeight="1">
      <c r="H1006" s="2" t="s">
        <v>5252</v>
      </c>
      <c r="I1006" s="2" t="s">
        <v>5253</v>
      </c>
      <c r="J1006" s="2" t="s">
        <v>5254</v>
      </c>
      <c r="K1006" s="2" t="s">
        <v>2594</v>
      </c>
      <c r="L1006" s="2" t="s">
        <v>866</v>
      </c>
      <c r="M1006" s="2" t="s">
        <v>5255</v>
      </c>
      <c r="N1006" s="2" t="s">
        <v>5256</v>
      </c>
      <c r="O1006" s="2" t="s">
        <v>869</v>
      </c>
      <c r="P1006" s="2" t="s">
        <v>870</v>
      </c>
    </row>
    <row r="1007" ht="15.75" customHeight="1">
      <c r="F1007" s="2" t="s">
        <v>5257</v>
      </c>
      <c r="H1007" s="2" t="s">
        <v>5258</v>
      </c>
      <c r="I1007" s="2" t="s">
        <v>5259</v>
      </c>
      <c r="J1007" s="2" t="s">
        <v>5260</v>
      </c>
      <c r="K1007" s="2" t="s">
        <v>947</v>
      </c>
      <c r="L1007" s="2" t="s">
        <v>866</v>
      </c>
      <c r="M1007" s="2" t="s">
        <v>5261</v>
      </c>
      <c r="N1007" s="2" t="s">
        <v>5262</v>
      </c>
      <c r="O1007" s="2" t="s">
        <v>869</v>
      </c>
      <c r="P1007" s="2" t="s">
        <v>870</v>
      </c>
    </row>
    <row r="1008" ht="15.75" customHeight="1">
      <c r="H1008" s="2" t="s">
        <v>5263</v>
      </c>
      <c r="I1008" s="2" t="s">
        <v>5264</v>
      </c>
      <c r="J1008" s="2" t="s">
        <v>5265</v>
      </c>
      <c r="K1008" s="2" t="s">
        <v>1368</v>
      </c>
      <c r="L1008" s="2" t="s">
        <v>866</v>
      </c>
      <c r="M1008" s="2" t="s">
        <v>5266</v>
      </c>
      <c r="N1008" s="2" t="s">
        <v>5267</v>
      </c>
      <c r="O1008" s="2" t="s">
        <v>869</v>
      </c>
      <c r="P1008" s="2" t="s">
        <v>870</v>
      </c>
    </row>
    <row r="1009" ht="15.75" customHeight="1">
      <c r="H1009" s="2" t="s">
        <v>5268</v>
      </c>
      <c r="I1009" s="2" t="s">
        <v>1404</v>
      </c>
      <c r="J1009" s="2" t="s">
        <v>1405</v>
      </c>
      <c r="K1009" s="2" t="s">
        <v>886</v>
      </c>
      <c r="L1009" s="2" t="s">
        <v>866</v>
      </c>
      <c r="M1009" s="2" t="s">
        <v>5269</v>
      </c>
      <c r="N1009" s="2" t="s">
        <v>5270</v>
      </c>
      <c r="O1009" s="2" t="s">
        <v>869</v>
      </c>
      <c r="P1009" s="2" t="s">
        <v>870</v>
      </c>
    </row>
    <row r="1010" ht="15.75" customHeight="1">
      <c r="H1010" s="2" t="s">
        <v>5271</v>
      </c>
      <c r="I1010" s="2" t="s">
        <v>5272</v>
      </c>
      <c r="J1010" s="2" t="s">
        <v>5273</v>
      </c>
      <c r="K1010" s="2" t="s">
        <v>900</v>
      </c>
      <c r="L1010" s="2" t="s">
        <v>866</v>
      </c>
      <c r="M1010" s="2" t="s">
        <v>5274</v>
      </c>
      <c r="N1010" s="2" t="s">
        <v>5275</v>
      </c>
      <c r="O1010" s="2" t="s">
        <v>869</v>
      </c>
      <c r="P1010" s="2" t="s">
        <v>870</v>
      </c>
    </row>
    <row r="1011" ht="15.75" customHeight="1">
      <c r="B1011" s="2" t="s">
        <v>5276</v>
      </c>
      <c r="C1011" s="2" t="s">
        <v>5277</v>
      </c>
      <c r="D1011" s="2" t="s">
        <v>5278</v>
      </c>
      <c r="F1011" s="2" t="s">
        <v>855</v>
      </c>
      <c r="H1011" s="2" t="s">
        <v>5279</v>
      </c>
      <c r="I1011" s="2" t="s">
        <v>5280</v>
      </c>
      <c r="J1011" s="2" t="s">
        <v>5281</v>
      </c>
      <c r="K1011" s="2" t="s">
        <v>1508</v>
      </c>
      <c r="L1011" s="2" t="s">
        <v>5282</v>
      </c>
      <c r="M1011" s="2" t="s">
        <v>5283</v>
      </c>
      <c r="N1011" s="2" t="s">
        <v>5284</v>
      </c>
      <c r="O1011" s="2" t="s">
        <v>869</v>
      </c>
      <c r="P1011" s="2" t="s">
        <v>870</v>
      </c>
    </row>
    <row r="1012" ht="15.75" customHeight="1">
      <c r="F1012" s="2" t="s">
        <v>19</v>
      </c>
      <c r="H1012" s="2" t="s">
        <v>5285</v>
      </c>
      <c r="I1012" s="2" t="s">
        <v>21</v>
      </c>
      <c r="J1012" s="2" t="s">
        <v>22</v>
      </c>
      <c r="K1012" s="2" t="s">
        <v>865</v>
      </c>
      <c r="L1012" s="2" t="s">
        <v>5282</v>
      </c>
      <c r="M1012" s="2" t="s">
        <v>5286</v>
      </c>
      <c r="N1012" s="2" t="s">
        <v>5287</v>
      </c>
      <c r="O1012" s="2" t="s">
        <v>869</v>
      </c>
      <c r="P1012" s="2" t="s">
        <v>870</v>
      </c>
    </row>
    <row r="1013" ht="15.75" customHeight="1">
      <c r="F1013" s="2" t="s">
        <v>1052</v>
      </c>
      <c r="H1013" s="2" t="s">
        <v>5288</v>
      </c>
      <c r="I1013" s="2" t="s">
        <v>1054</v>
      </c>
      <c r="J1013" s="2" t="s">
        <v>1055</v>
      </c>
      <c r="K1013" s="2" t="s">
        <v>853</v>
      </c>
      <c r="L1013" s="2" t="s">
        <v>5282</v>
      </c>
      <c r="M1013" s="2" t="s">
        <v>5289</v>
      </c>
      <c r="N1013" s="2" t="s">
        <v>5290</v>
      </c>
      <c r="O1013" s="2" t="s">
        <v>869</v>
      </c>
      <c r="P1013" s="2" t="s">
        <v>870</v>
      </c>
    </row>
    <row r="1014" ht="15.75" customHeight="1">
      <c r="F1014" s="2" t="s">
        <v>29</v>
      </c>
      <c r="H1014" s="2" t="s">
        <v>5291</v>
      </c>
      <c r="I1014" s="2" t="s">
        <v>31</v>
      </c>
      <c r="J1014" s="2" t="s">
        <v>32</v>
      </c>
      <c r="K1014" s="2" t="s">
        <v>874</v>
      </c>
      <c r="L1014" s="2" t="s">
        <v>5292</v>
      </c>
      <c r="M1014" s="2" t="s">
        <v>5293</v>
      </c>
      <c r="N1014" s="2" t="s">
        <v>5294</v>
      </c>
      <c r="O1014" s="2" t="s">
        <v>869</v>
      </c>
      <c r="P1014" s="2" t="s">
        <v>870</v>
      </c>
    </row>
    <row r="1015" ht="15.75" customHeight="1">
      <c r="F1015" s="2" t="s">
        <v>39</v>
      </c>
      <c r="H1015" s="2" t="s">
        <v>5295</v>
      </c>
      <c r="I1015" s="2" t="s">
        <v>5296</v>
      </c>
      <c r="J1015" s="2" t="s">
        <v>5297</v>
      </c>
      <c r="K1015" s="2" t="s">
        <v>5298</v>
      </c>
      <c r="L1015" s="2" t="s">
        <v>5282</v>
      </c>
      <c r="M1015" s="2" t="s">
        <v>5299</v>
      </c>
      <c r="N1015" s="2" t="s">
        <v>5300</v>
      </c>
      <c r="O1015" s="2" t="s">
        <v>869</v>
      </c>
      <c r="P1015" s="2" t="s">
        <v>870</v>
      </c>
    </row>
    <row r="1016" ht="15.75" customHeight="1">
      <c r="H1016" s="2" t="s">
        <v>5301</v>
      </c>
      <c r="I1016" s="2" t="s">
        <v>49</v>
      </c>
      <c r="J1016" s="2" t="s">
        <v>50</v>
      </c>
      <c r="K1016" s="2" t="s">
        <v>1117</v>
      </c>
      <c r="L1016" s="2" t="s">
        <v>5282</v>
      </c>
      <c r="M1016" s="2" t="s">
        <v>5302</v>
      </c>
      <c r="N1016" s="2" t="s">
        <v>5303</v>
      </c>
      <c r="O1016" s="2" t="s">
        <v>869</v>
      </c>
      <c r="P1016" s="2" t="s">
        <v>870</v>
      </c>
    </row>
    <row r="1017" ht="15.75" customHeight="1">
      <c r="H1017" s="2" t="s">
        <v>5304</v>
      </c>
      <c r="I1017" s="2" t="s">
        <v>5305</v>
      </c>
      <c r="J1017" s="2" t="s">
        <v>5306</v>
      </c>
      <c r="L1017" s="2" t="s">
        <v>5282</v>
      </c>
      <c r="M1017" s="2" t="s">
        <v>5307</v>
      </c>
      <c r="N1017" s="2" t="s">
        <v>5308</v>
      </c>
      <c r="O1017" s="2" t="s">
        <v>869</v>
      </c>
      <c r="P1017" s="2" t="s">
        <v>870</v>
      </c>
    </row>
    <row r="1018" ht="15.75" customHeight="1">
      <c r="H1018" s="2" t="s">
        <v>5309</v>
      </c>
      <c r="I1018" s="2" t="s">
        <v>1317</v>
      </c>
      <c r="J1018" s="2" t="s">
        <v>1318</v>
      </c>
      <c r="L1018" s="2" t="s">
        <v>5282</v>
      </c>
      <c r="M1018" s="2" t="s">
        <v>5310</v>
      </c>
      <c r="N1018" s="2" t="s">
        <v>5311</v>
      </c>
      <c r="O1018" s="2" t="s">
        <v>869</v>
      </c>
      <c r="P1018" s="2" t="s">
        <v>870</v>
      </c>
    </row>
    <row r="1019" ht="15.75" customHeight="1">
      <c r="H1019" s="2" t="s">
        <v>5312</v>
      </c>
      <c r="I1019" s="2" t="s">
        <v>5313</v>
      </c>
      <c r="J1019" s="2" t="s">
        <v>5314</v>
      </c>
      <c r="K1019" s="2" t="s">
        <v>2171</v>
      </c>
      <c r="L1019" s="2" t="s">
        <v>5282</v>
      </c>
      <c r="M1019" s="2" t="s">
        <v>5315</v>
      </c>
      <c r="N1019" s="2" t="s">
        <v>5316</v>
      </c>
      <c r="O1019" s="2" t="s">
        <v>869</v>
      </c>
      <c r="P1019" s="2" t="s">
        <v>870</v>
      </c>
    </row>
    <row r="1020" ht="15.75" customHeight="1">
      <c r="F1020" s="2" t="s">
        <v>74</v>
      </c>
      <c r="H1020" s="2" t="s">
        <v>5317</v>
      </c>
      <c r="I1020" s="2" t="s">
        <v>76</v>
      </c>
      <c r="J1020" s="2" t="s">
        <v>77</v>
      </c>
      <c r="K1020" s="2" t="s">
        <v>947</v>
      </c>
      <c r="L1020" s="2" t="s">
        <v>5318</v>
      </c>
      <c r="M1020" s="2" t="s">
        <v>5319</v>
      </c>
      <c r="N1020" s="2" t="s">
        <v>5320</v>
      </c>
      <c r="O1020" s="2" t="s">
        <v>869</v>
      </c>
      <c r="P1020" s="2" t="s">
        <v>870</v>
      </c>
    </row>
    <row r="1021" ht="15.75" customHeight="1">
      <c r="H1021" s="2" t="s">
        <v>5321</v>
      </c>
      <c r="I1021" s="2" t="s">
        <v>1663</v>
      </c>
      <c r="J1021" s="2" t="s">
        <v>1664</v>
      </c>
      <c r="L1021" s="2" t="s">
        <v>5282</v>
      </c>
      <c r="M1021" s="2" t="s">
        <v>5322</v>
      </c>
      <c r="N1021" s="2" t="s">
        <v>5323</v>
      </c>
      <c r="O1021" s="2" t="s">
        <v>869</v>
      </c>
      <c r="P1021" s="2" t="s">
        <v>870</v>
      </c>
    </row>
    <row r="1022" ht="15.75" customHeight="1">
      <c r="H1022" s="2" t="s">
        <v>5324</v>
      </c>
      <c r="I1022" s="2" t="s">
        <v>159</v>
      </c>
      <c r="J1022" s="2" t="s">
        <v>160</v>
      </c>
      <c r="K1022" s="2" t="s">
        <v>1264</v>
      </c>
      <c r="L1022" s="2" t="s">
        <v>5282</v>
      </c>
      <c r="M1022" s="2" t="s">
        <v>5325</v>
      </c>
      <c r="N1022" s="2" t="s">
        <v>5326</v>
      </c>
      <c r="O1022" s="2" t="s">
        <v>869</v>
      </c>
      <c r="P1022" s="2" t="s">
        <v>870</v>
      </c>
    </row>
    <row r="1023" ht="15.75" customHeight="1">
      <c r="H1023" s="2" t="s">
        <v>5327</v>
      </c>
      <c r="I1023" s="2" t="s">
        <v>167</v>
      </c>
      <c r="J1023" s="2" t="s">
        <v>168</v>
      </c>
      <c r="K1023" s="2" t="s">
        <v>1692</v>
      </c>
      <c r="L1023" s="2" t="s">
        <v>5328</v>
      </c>
      <c r="M1023" s="2" t="s">
        <v>5329</v>
      </c>
      <c r="N1023" s="2" t="s">
        <v>5330</v>
      </c>
      <c r="O1023" s="2" t="s">
        <v>869</v>
      </c>
      <c r="P1023" s="2" t="s">
        <v>870</v>
      </c>
    </row>
    <row r="1024" ht="15.75" customHeight="1">
      <c r="H1024" s="2" t="s">
        <v>5331</v>
      </c>
      <c r="I1024" s="2" t="s">
        <v>5332</v>
      </c>
      <c r="J1024" s="2" t="s">
        <v>5333</v>
      </c>
      <c r="L1024" s="2" t="s">
        <v>5282</v>
      </c>
      <c r="M1024" s="2" t="s">
        <v>5334</v>
      </c>
      <c r="N1024" s="2" t="s">
        <v>5335</v>
      </c>
      <c r="O1024" s="2" t="s">
        <v>869</v>
      </c>
      <c r="P1024" s="2" t="s">
        <v>870</v>
      </c>
    </row>
    <row r="1025" ht="15.75" customHeight="1">
      <c r="H1025" s="2" t="s">
        <v>5336</v>
      </c>
      <c r="I1025" s="2" t="s">
        <v>176</v>
      </c>
      <c r="J1025" s="2" t="s">
        <v>177</v>
      </c>
      <c r="K1025" s="2" t="s">
        <v>1708</v>
      </c>
      <c r="L1025" s="2" t="s">
        <v>5337</v>
      </c>
      <c r="M1025" s="2" t="s">
        <v>5338</v>
      </c>
      <c r="N1025" s="2" t="s">
        <v>5339</v>
      </c>
      <c r="O1025" s="2" t="s">
        <v>869</v>
      </c>
      <c r="P1025" s="2" t="s">
        <v>870</v>
      </c>
    </row>
    <row r="1026" ht="15.75" customHeight="1">
      <c r="H1026" s="2" t="s">
        <v>5340</v>
      </c>
      <c r="I1026" s="2" t="s">
        <v>5341</v>
      </c>
      <c r="J1026" s="2" t="s">
        <v>5342</v>
      </c>
      <c r="L1026" s="2" t="s">
        <v>5282</v>
      </c>
      <c r="M1026" s="2" t="s">
        <v>5343</v>
      </c>
      <c r="N1026" s="2" t="s">
        <v>5344</v>
      </c>
      <c r="O1026" s="2" t="s">
        <v>869</v>
      </c>
      <c r="P1026" s="2" t="s">
        <v>870</v>
      </c>
    </row>
    <row r="1027" ht="15.75" customHeight="1">
      <c r="H1027" s="2" t="s">
        <v>5345</v>
      </c>
      <c r="I1027" s="2" t="s">
        <v>5346</v>
      </c>
      <c r="J1027" s="2" t="s">
        <v>5347</v>
      </c>
      <c r="K1027" s="2" t="s">
        <v>5348</v>
      </c>
      <c r="L1027" s="2" t="s">
        <v>5349</v>
      </c>
      <c r="M1027" s="2" t="s">
        <v>5350</v>
      </c>
      <c r="N1027" s="2" t="s">
        <v>5351</v>
      </c>
      <c r="O1027" s="2" t="s">
        <v>869</v>
      </c>
      <c r="P1027" s="2" t="s">
        <v>870</v>
      </c>
    </row>
    <row r="1028" ht="15.75" customHeight="1">
      <c r="H1028" s="2" t="s">
        <v>5352</v>
      </c>
      <c r="I1028" s="2" t="s">
        <v>5353</v>
      </c>
      <c r="J1028" s="2" t="s">
        <v>5354</v>
      </c>
      <c r="L1028" s="2" t="s">
        <v>5282</v>
      </c>
      <c r="M1028" s="2" t="s">
        <v>5355</v>
      </c>
      <c r="N1028" s="2" t="s">
        <v>5356</v>
      </c>
      <c r="O1028" s="2" t="s">
        <v>869</v>
      </c>
      <c r="P1028" s="2" t="s">
        <v>870</v>
      </c>
    </row>
    <row r="1029" ht="15.75" customHeight="1">
      <c r="H1029" s="2" t="s">
        <v>5357</v>
      </c>
      <c r="I1029" s="2" t="s">
        <v>225</v>
      </c>
      <c r="J1029" s="2" t="s">
        <v>226</v>
      </c>
      <c r="K1029" s="2" t="s">
        <v>5358</v>
      </c>
      <c r="L1029" s="2" t="s">
        <v>5282</v>
      </c>
      <c r="M1029" s="2" t="s">
        <v>5359</v>
      </c>
      <c r="N1029" s="2" t="s">
        <v>5360</v>
      </c>
      <c r="O1029" s="2" t="s">
        <v>869</v>
      </c>
      <c r="P1029" s="2" t="s">
        <v>870</v>
      </c>
    </row>
    <row r="1030" ht="15.75" customHeight="1">
      <c r="H1030" s="2" t="s">
        <v>5361</v>
      </c>
      <c r="I1030" s="2" t="s">
        <v>5362</v>
      </c>
      <c r="J1030" s="2" t="s">
        <v>5363</v>
      </c>
      <c r="L1030" s="2" t="s">
        <v>5282</v>
      </c>
      <c r="M1030" s="2" t="s">
        <v>5364</v>
      </c>
      <c r="N1030" s="2" t="s">
        <v>5365</v>
      </c>
      <c r="O1030" s="2" t="s">
        <v>869</v>
      </c>
      <c r="P1030" s="2" t="s">
        <v>870</v>
      </c>
    </row>
    <row r="1031" ht="15.75" customHeight="1">
      <c r="H1031" s="2" t="s">
        <v>5366</v>
      </c>
      <c r="I1031" s="2" t="s">
        <v>257</v>
      </c>
      <c r="J1031" s="2" t="s">
        <v>258</v>
      </c>
      <c r="L1031" s="2" t="s">
        <v>5282</v>
      </c>
      <c r="M1031" s="2" t="s">
        <v>5367</v>
      </c>
      <c r="N1031" s="2" t="s">
        <v>5368</v>
      </c>
      <c r="O1031" s="2" t="s">
        <v>869</v>
      </c>
      <c r="P1031" s="2" t="s">
        <v>870</v>
      </c>
    </row>
    <row r="1032" ht="15.75" customHeight="1">
      <c r="F1032" s="2" t="s">
        <v>265</v>
      </c>
      <c r="H1032" s="2" t="s">
        <v>5369</v>
      </c>
      <c r="I1032" s="2" t="s">
        <v>5370</v>
      </c>
      <c r="J1032" s="2" t="s">
        <v>5371</v>
      </c>
      <c r="L1032" s="2" t="s">
        <v>5282</v>
      </c>
      <c r="M1032" s="2" t="s">
        <v>5372</v>
      </c>
      <c r="N1032" s="2" t="s">
        <v>5373</v>
      </c>
      <c r="O1032" s="2" t="s">
        <v>869</v>
      </c>
      <c r="P1032" s="2" t="s">
        <v>870</v>
      </c>
    </row>
    <row r="1033" ht="15.75" customHeight="1">
      <c r="H1033" s="2" t="s">
        <v>5374</v>
      </c>
      <c r="I1033" s="2" t="s">
        <v>267</v>
      </c>
      <c r="J1033" s="2" t="s">
        <v>268</v>
      </c>
      <c r="K1033" s="2" t="s">
        <v>1313</v>
      </c>
      <c r="L1033" s="2" t="s">
        <v>5282</v>
      </c>
      <c r="M1033" s="2" t="s">
        <v>5375</v>
      </c>
      <c r="N1033" s="2" t="s">
        <v>5376</v>
      </c>
      <c r="O1033" s="2" t="s">
        <v>869</v>
      </c>
      <c r="P1033" s="2" t="s">
        <v>870</v>
      </c>
    </row>
    <row r="1034" ht="15.75" customHeight="1">
      <c r="H1034" s="2" t="s">
        <v>5377</v>
      </c>
      <c r="I1034" s="2" t="s">
        <v>5378</v>
      </c>
      <c r="J1034" s="2" t="s">
        <v>5379</v>
      </c>
      <c r="K1034" s="2" t="s">
        <v>2551</v>
      </c>
      <c r="L1034" s="2" t="s">
        <v>5282</v>
      </c>
      <c r="M1034" s="2" t="s">
        <v>5380</v>
      </c>
      <c r="N1034" s="2" t="s">
        <v>5381</v>
      </c>
      <c r="O1034" s="2" t="s">
        <v>869</v>
      </c>
      <c r="P1034" s="2" t="s">
        <v>870</v>
      </c>
    </row>
    <row r="1035" ht="15.75" customHeight="1">
      <c r="H1035" s="2" t="s">
        <v>5382</v>
      </c>
      <c r="I1035" s="2" t="s">
        <v>5383</v>
      </c>
      <c r="J1035" s="2" t="s">
        <v>5384</v>
      </c>
      <c r="K1035" s="2" t="s">
        <v>1181</v>
      </c>
      <c r="L1035" s="2" t="s">
        <v>5282</v>
      </c>
      <c r="M1035" s="2" t="s">
        <v>5385</v>
      </c>
      <c r="N1035" s="2" t="s">
        <v>5386</v>
      </c>
      <c r="O1035" s="2" t="s">
        <v>869</v>
      </c>
      <c r="P1035" s="2" t="s">
        <v>870</v>
      </c>
    </row>
    <row r="1036" ht="15.75" customHeight="1">
      <c r="H1036" s="2" t="s">
        <v>5387</v>
      </c>
      <c r="I1036" s="2" t="s">
        <v>5388</v>
      </c>
      <c r="J1036" s="2" t="s">
        <v>5389</v>
      </c>
      <c r="L1036" s="2" t="s">
        <v>5282</v>
      </c>
      <c r="M1036" s="2" t="s">
        <v>5390</v>
      </c>
      <c r="N1036" s="2" t="s">
        <v>5391</v>
      </c>
      <c r="O1036" s="2" t="s">
        <v>869</v>
      </c>
      <c r="P1036" s="2" t="s">
        <v>870</v>
      </c>
    </row>
    <row r="1037" ht="15.75" customHeight="1">
      <c r="I1037" s="2" t="s">
        <v>5392</v>
      </c>
      <c r="J1037" s="2" t="s">
        <v>5393</v>
      </c>
      <c r="L1037" s="2" t="s">
        <v>5282</v>
      </c>
      <c r="M1037" s="2" t="s">
        <v>5394</v>
      </c>
      <c r="N1037" s="2" t="s">
        <v>5395</v>
      </c>
      <c r="O1037" s="2" t="s">
        <v>869</v>
      </c>
      <c r="P1037" s="2" t="s">
        <v>870</v>
      </c>
    </row>
    <row r="1038" ht="15.75" customHeight="1">
      <c r="F1038" s="2" t="s">
        <v>274</v>
      </c>
      <c r="H1038" s="2" t="s">
        <v>5396</v>
      </c>
      <c r="I1038" s="2" t="s">
        <v>279</v>
      </c>
      <c r="J1038" s="2" t="s">
        <v>274</v>
      </c>
      <c r="K1038" s="2" t="s">
        <v>280</v>
      </c>
    </row>
    <row r="1039" ht="15.75" customHeight="1">
      <c r="F1039" s="2" t="s">
        <v>284</v>
      </c>
      <c r="H1039" s="2" t="s">
        <v>5397</v>
      </c>
      <c r="I1039" s="2" t="s">
        <v>5398</v>
      </c>
      <c r="J1039" s="2" t="s">
        <v>5399</v>
      </c>
      <c r="K1039" s="2" t="s">
        <v>5298</v>
      </c>
      <c r="L1039" s="2" t="s">
        <v>5282</v>
      </c>
      <c r="M1039" s="2" t="s">
        <v>5400</v>
      </c>
      <c r="N1039" s="2" t="s">
        <v>5401</v>
      </c>
      <c r="O1039" s="2" t="s">
        <v>869</v>
      </c>
      <c r="P1039" s="2" t="s">
        <v>870</v>
      </c>
    </row>
    <row r="1040" ht="15.75" customHeight="1">
      <c r="H1040" s="2" t="s">
        <v>5402</v>
      </c>
      <c r="I1040" s="2" t="s">
        <v>5403</v>
      </c>
      <c r="J1040" s="2" t="s">
        <v>5404</v>
      </c>
      <c r="L1040" s="2" t="s">
        <v>5282</v>
      </c>
      <c r="M1040" s="2" t="s">
        <v>5405</v>
      </c>
      <c r="N1040" s="2" t="s">
        <v>5406</v>
      </c>
      <c r="O1040" s="2" t="s">
        <v>869</v>
      </c>
      <c r="P1040" s="2" t="s">
        <v>870</v>
      </c>
    </row>
    <row r="1041" ht="15.75" customHeight="1">
      <c r="H1041" s="2" t="s">
        <v>5407</v>
      </c>
      <c r="I1041" s="2" t="s">
        <v>286</v>
      </c>
      <c r="J1041" s="2" t="s">
        <v>287</v>
      </c>
      <c r="K1041" s="2" t="s">
        <v>1117</v>
      </c>
      <c r="L1041" s="2" t="s">
        <v>5408</v>
      </c>
      <c r="M1041" s="2" t="s">
        <v>5409</v>
      </c>
      <c r="N1041" s="2" t="s">
        <v>5410</v>
      </c>
      <c r="O1041" s="2" t="s">
        <v>869</v>
      </c>
      <c r="P1041" s="2" t="s">
        <v>870</v>
      </c>
    </row>
    <row r="1042" ht="15.75" customHeight="1">
      <c r="H1042" s="2" t="s">
        <v>5411</v>
      </c>
      <c r="I1042" s="2" t="s">
        <v>5412</v>
      </c>
      <c r="J1042" s="2" t="s">
        <v>5413</v>
      </c>
      <c r="L1042" s="2" t="s">
        <v>5282</v>
      </c>
      <c r="M1042" s="2" t="s">
        <v>5414</v>
      </c>
      <c r="N1042" s="2" t="s">
        <v>5415</v>
      </c>
      <c r="O1042" s="2" t="s">
        <v>869</v>
      </c>
      <c r="P1042" s="2" t="s">
        <v>870</v>
      </c>
    </row>
    <row r="1043" ht="15.75" customHeight="1">
      <c r="H1043" s="2" t="s">
        <v>5416</v>
      </c>
      <c r="I1043" s="2" t="s">
        <v>310</v>
      </c>
      <c r="J1043" s="2" t="s">
        <v>311</v>
      </c>
      <c r="K1043" s="2" t="s">
        <v>1567</v>
      </c>
      <c r="L1043" s="2" t="s">
        <v>5417</v>
      </c>
      <c r="M1043" s="2" t="s">
        <v>5418</v>
      </c>
      <c r="N1043" s="2" t="s">
        <v>5419</v>
      </c>
      <c r="O1043" s="2" t="s">
        <v>869</v>
      </c>
      <c r="P1043" s="2" t="s">
        <v>870</v>
      </c>
    </row>
    <row r="1044" ht="15.75" customHeight="1">
      <c r="H1044" s="2" t="s">
        <v>5420</v>
      </c>
      <c r="I1044" s="2" t="s">
        <v>5421</v>
      </c>
      <c r="J1044" s="2" t="s">
        <v>5422</v>
      </c>
      <c r="K1044" s="2" t="s">
        <v>1169</v>
      </c>
      <c r="L1044" s="2" t="s">
        <v>5423</v>
      </c>
      <c r="M1044" s="2" t="s">
        <v>5424</v>
      </c>
      <c r="N1044" s="2" t="s">
        <v>5425</v>
      </c>
      <c r="O1044" s="2" t="s">
        <v>869</v>
      </c>
      <c r="P1044" s="2" t="s">
        <v>870</v>
      </c>
    </row>
    <row r="1045" ht="15.75" customHeight="1">
      <c r="H1045" s="2" t="s">
        <v>5426</v>
      </c>
      <c r="I1045" s="2" t="s">
        <v>326</v>
      </c>
      <c r="J1045" s="2" t="s">
        <v>327</v>
      </c>
      <c r="K1045" s="2" t="s">
        <v>1331</v>
      </c>
      <c r="L1045" s="2" t="s">
        <v>5427</v>
      </c>
      <c r="M1045" s="2" t="s">
        <v>5428</v>
      </c>
      <c r="N1045" s="2" t="s">
        <v>5429</v>
      </c>
      <c r="O1045" s="2" t="s">
        <v>869</v>
      </c>
      <c r="P1045" s="2" t="s">
        <v>870</v>
      </c>
    </row>
    <row r="1046" ht="15.75" customHeight="1">
      <c r="H1046" s="2" t="s">
        <v>5430</v>
      </c>
      <c r="I1046" s="2" t="s">
        <v>5431</v>
      </c>
      <c r="J1046" s="2" t="s">
        <v>5432</v>
      </c>
      <c r="K1046" s="2" t="s">
        <v>1175</v>
      </c>
      <c r="L1046" s="2" t="s">
        <v>5282</v>
      </c>
      <c r="M1046" s="2" t="s">
        <v>5433</v>
      </c>
      <c r="N1046" s="2" t="s">
        <v>5434</v>
      </c>
      <c r="O1046" s="2" t="s">
        <v>869</v>
      </c>
      <c r="P1046" s="2" t="s">
        <v>870</v>
      </c>
    </row>
    <row r="1047" ht="15.75" customHeight="1">
      <c r="H1047" s="2" t="s">
        <v>5435</v>
      </c>
      <c r="I1047" s="2" t="s">
        <v>5436</v>
      </c>
      <c r="J1047" s="2" t="s">
        <v>5437</v>
      </c>
      <c r="K1047" s="2" t="s">
        <v>1439</v>
      </c>
      <c r="L1047" s="2" t="s">
        <v>5282</v>
      </c>
      <c r="M1047" s="2" t="s">
        <v>5438</v>
      </c>
      <c r="N1047" s="2" t="s">
        <v>5439</v>
      </c>
      <c r="O1047" s="2" t="s">
        <v>869</v>
      </c>
      <c r="P1047" s="2" t="s">
        <v>870</v>
      </c>
    </row>
    <row r="1048" ht="15.75" customHeight="1">
      <c r="H1048" s="2" t="s">
        <v>5440</v>
      </c>
      <c r="I1048" s="2" t="s">
        <v>352</v>
      </c>
      <c r="J1048" s="2" t="s">
        <v>353</v>
      </c>
      <c r="K1048" s="2" t="s">
        <v>2236</v>
      </c>
      <c r="L1048" s="2" t="s">
        <v>5282</v>
      </c>
      <c r="M1048" s="2" t="s">
        <v>5441</v>
      </c>
      <c r="N1048" s="2" t="s">
        <v>5442</v>
      </c>
      <c r="O1048" s="2" t="s">
        <v>869</v>
      </c>
      <c r="P1048" s="2" t="s">
        <v>870</v>
      </c>
    </row>
    <row r="1049" ht="15.75" customHeight="1">
      <c r="H1049" s="2" t="s">
        <v>5443</v>
      </c>
      <c r="I1049" s="2" t="s">
        <v>360</v>
      </c>
      <c r="J1049" s="2" t="s">
        <v>361</v>
      </c>
      <c r="K1049" s="2" t="s">
        <v>1264</v>
      </c>
      <c r="L1049" s="2" t="s">
        <v>5444</v>
      </c>
      <c r="M1049" s="2" t="s">
        <v>5445</v>
      </c>
      <c r="N1049" s="2" t="s">
        <v>5446</v>
      </c>
      <c r="O1049" s="2" t="s">
        <v>869</v>
      </c>
      <c r="P1049" s="2" t="s">
        <v>870</v>
      </c>
    </row>
    <row r="1050" ht="15.75" customHeight="1">
      <c r="H1050" s="2" t="s">
        <v>5447</v>
      </c>
      <c r="I1050" s="2" t="s">
        <v>409</v>
      </c>
      <c r="J1050" s="2" t="s">
        <v>410</v>
      </c>
      <c r="K1050" s="2" t="s">
        <v>2049</v>
      </c>
      <c r="L1050" s="2" t="s">
        <v>5282</v>
      </c>
      <c r="M1050" s="2" t="s">
        <v>5448</v>
      </c>
      <c r="N1050" s="2" t="s">
        <v>5449</v>
      </c>
      <c r="O1050" s="2" t="s">
        <v>869</v>
      </c>
      <c r="P1050" s="2" t="s">
        <v>870</v>
      </c>
    </row>
    <row r="1051" ht="15.75" customHeight="1">
      <c r="H1051" s="2" t="s">
        <v>5450</v>
      </c>
      <c r="I1051" s="2" t="s">
        <v>415</v>
      </c>
      <c r="J1051" s="2" t="s">
        <v>416</v>
      </c>
      <c r="L1051" s="2" t="s">
        <v>5282</v>
      </c>
      <c r="M1051" s="2" t="s">
        <v>5451</v>
      </c>
      <c r="N1051" s="2" t="s">
        <v>5452</v>
      </c>
      <c r="O1051" s="2" t="s">
        <v>869</v>
      </c>
      <c r="P1051" s="2" t="s">
        <v>870</v>
      </c>
    </row>
    <row r="1052" ht="15.75" customHeight="1">
      <c r="H1052" s="2" t="s">
        <v>5453</v>
      </c>
      <c r="I1052" s="2" t="s">
        <v>5454</v>
      </c>
      <c r="J1052" s="2" t="s">
        <v>5455</v>
      </c>
      <c r="L1052" s="2" t="s">
        <v>5282</v>
      </c>
      <c r="M1052" s="2" t="s">
        <v>5456</v>
      </c>
      <c r="N1052" s="2" t="s">
        <v>5457</v>
      </c>
      <c r="O1052" s="2" t="s">
        <v>869</v>
      </c>
      <c r="P1052" s="2" t="s">
        <v>870</v>
      </c>
    </row>
    <row r="1053" ht="15.75" customHeight="1">
      <c r="H1053" s="2" t="s">
        <v>5458</v>
      </c>
      <c r="I1053" s="2" t="s">
        <v>5459</v>
      </c>
      <c r="J1053" s="2" t="s">
        <v>5460</v>
      </c>
      <c r="K1053" s="2" t="s">
        <v>1692</v>
      </c>
      <c r="L1053" s="2" t="s">
        <v>5282</v>
      </c>
      <c r="M1053" s="2" t="s">
        <v>5461</v>
      </c>
      <c r="N1053" s="2" t="s">
        <v>5462</v>
      </c>
      <c r="O1053" s="2" t="s">
        <v>869</v>
      </c>
      <c r="P1053" s="2" t="s">
        <v>870</v>
      </c>
    </row>
    <row r="1054" ht="15.75" customHeight="1">
      <c r="H1054" s="2" t="s">
        <v>5463</v>
      </c>
      <c r="I1054" s="2" t="s">
        <v>5464</v>
      </c>
      <c r="J1054" s="2" t="s">
        <v>5465</v>
      </c>
      <c r="K1054" s="2" t="s">
        <v>5466</v>
      </c>
      <c r="L1054" s="2" t="s">
        <v>5282</v>
      </c>
      <c r="M1054" s="2" t="s">
        <v>5467</v>
      </c>
      <c r="N1054" s="2" t="s">
        <v>5468</v>
      </c>
      <c r="O1054" s="2" t="s">
        <v>869</v>
      </c>
      <c r="P1054" s="2" t="s">
        <v>870</v>
      </c>
    </row>
    <row r="1055" ht="15.75" customHeight="1">
      <c r="H1055" s="2" t="s">
        <v>5469</v>
      </c>
      <c r="I1055" s="2" t="s">
        <v>5470</v>
      </c>
      <c r="J1055" s="2" t="s">
        <v>5471</v>
      </c>
      <c r="L1055" s="2" t="s">
        <v>5282</v>
      </c>
      <c r="M1055" s="2" t="s">
        <v>5472</v>
      </c>
      <c r="N1055" s="2" t="s">
        <v>5473</v>
      </c>
      <c r="O1055" s="2" t="s">
        <v>869</v>
      </c>
      <c r="P1055" s="2" t="s">
        <v>870</v>
      </c>
    </row>
    <row r="1056" ht="15.75" customHeight="1">
      <c r="H1056" s="2" t="s">
        <v>5474</v>
      </c>
      <c r="I1056" s="2" t="s">
        <v>5475</v>
      </c>
      <c r="J1056" s="2" t="s">
        <v>5476</v>
      </c>
      <c r="K1056" s="2" t="s">
        <v>5477</v>
      </c>
      <c r="L1056" s="2" t="s">
        <v>5282</v>
      </c>
      <c r="M1056" s="2" t="s">
        <v>5478</v>
      </c>
      <c r="N1056" s="2" t="s">
        <v>5479</v>
      </c>
      <c r="O1056" s="2" t="s">
        <v>869</v>
      </c>
      <c r="P1056" s="2" t="s">
        <v>870</v>
      </c>
    </row>
    <row r="1057" ht="15.75" customHeight="1">
      <c r="H1057" s="2" t="s">
        <v>5480</v>
      </c>
      <c r="I1057" s="2" t="s">
        <v>5481</v>
      </c>
      <c r="J1057" s="2" t="s">
        <v>5482</v>
      </c>
      <c r="K1057" s="2" t="s">
        <v>5483</v>
      </c>
      <c r="L1057" s="2" t="s">
        <v>5282</v>
      </c>
      <c r="M1057" s="2" t="s">
        <v>5484</v>
      </c>
      <c r="N1057" s="2" t="s">
        <v>5485</v>
      </c>
      <c r="O1057" s="2" t="s">
        <v>869</v>
      </c>
      <c r="P1057" s="2" t="s">
        <v>870</v>
      </c>
    </row>
    <row r="1058" ht="15.75" customHeight="1">
      <c r="H1058" s="2" t="s">
        <v>5486</v>
      </c>
      <c r="I1058" s="2" t="s">
        <v>5487</v>
      </c>
      <c r="J1058" s="2" t="s">
        <v>5488</v>
      </c>
      <c r="K1058" s="2" t="s">
        <v>1251</v>
      </c>
      <c r="L1058" s="2" t="s">
        <v>5282</v>
      </c>
      <c r="M1058" s="2" t="s">
        <v>5489</v>
      </c>
      <c r="N1058" s="2" t="s">
        <v>5490</v>
      </c>
      <c r="O1058" s="2" t="s">
        <v>869</v>
      </c>
      <c r="P1058" s="2" t="s">
        <v>870</v>
      </c>
    </row>
    <row r="1059" ht="15.75" customHeight="1">
      <c r="H1059" s="2" t="s">
        <v>5491</v>
      </c>
      <c r="I1059" s="2" t="s">
        <v>432</v>
      </c>
      <c r="J1059" s="2" t="s">
        <v>433</v>
      </c>
      <c r="K1059" s="2" t="s">
        <v>2236</v>
      </c>
      <c r="L1059" s="2" t="s">
        <v>5282</v>
      </c>
      <c r="M1059" s="2" t="s">
        <v>5492</v>
      </c>
      <c r="N1059" s="2" t="s">
        <v>5493</v>
      </c>
      <c r="O1059" s="2" t="s">
        <v>869</v>
      </c>
      <c r="P1059" s="2" t="s">
        <v>870</v>
      </c>
    </row>
    <row r="1060" ht="15.75" customHeight="1">
      <c r="H1060" s="2" t="s">
        <v>5494</v>
      </c>
      <c r="I1060" s="2" t="s">
        <v>5495</v>
      </c>
      <c r="J1060" s="2" t="s">
        <v>5496</v>
      </c>
      <c r="K1060" s="2" t="s">
        <v>1676</v>
      </c>
      <c r="L1060" s="2" t="s">
        <v>5282</v>
      </c>
      <c r="M1060" s="2" t="s">
        <v>5497</v>
      </c>
      <c r="N1060" s="2" t="s">
        <v>5498</v>
      </c>
      <c r="O1060" s="2" t="s">
        <v>869</v>
      </c>
      <c r="P1060" s="2" t="s">
        <v>870</v>
      </c>
    </row>
    <row r="1061" ht="15.75" customHeight="1">
      <c r="H1061" s="2" t="s">
        <v>5499</v>
      </c>
      <c r="I1061" s="2" t="s">
        <v>449</v>
      </c>
      <c r="J1061" s="2" t="s">
        <v>450</v>
      </c>
      <c r="K1061" s="2" t="s">
        <v>5500</v>
      </c>
      <c r="L1061" s="2" t="s">
        <v>5501</v>
      </c>
      <c r="M1061" s="2" t="s">
        <v>5502</v>
      </c>
      <c r="N1061" s="2" t="s">
        <v>5503</v>
      </c>
      <c r="O1061" s="2" t="s">
        <v>869</v>
      </c>
      <c r="P1061" s="2" t="s">
        <v>870</v>
      </c>
    </row>
    <row r="1062" ht="15.75" customHeight="1">
      <c r="H1062" s="2" t="s">
        <v>5504</v>
      </c>
      <c r="I1062" s="2" t="s">
        <v>5505</v>
      </c>
      <c r="J1062" s="2" t="s">
        <v>5506</v>
      </c>
      <c r="K1062" s="2" t="s">
        <v>1412</v>
      </c>
      <c r="L1062" s="2" t="s">
        <v>5507</v>
      </c>
      <c r="M1062" s="2" t="s">
        <v>5508</v>
      </c>
      <c r="N1062" s="2" t="s">
        <v>5509</v>
      </c>
      <c r="O1062" s="2" t="s">
        <v>869</v>
      </c>
      <c r="P1062" s="2" t="s">
        <v>870</v>
      </c>
    </row>
    <row r="1063" ht="15.75" customHeight="1">
      <c r="H1063" s="2" t="s">
        <v>5510</v>
      </c>
      <c r="I1063" s="2" t="s">
        <v>2303</v>
      </c>
      <c r="J1063" s="2" t="s">
        <v>2304</v>
      </c>
      <c r="K1063" s="2" t="s">
        <v>2305</v>
      </c>
      <c r="L1063" s="2" t="s">
        <v>5282</v>
      </c>
      <c r="M1063" s="2" t="s">
        <v>5511</v>
      </c>
      <c r="N1063" s="2" t="s">
        <v>5512</v>
      </c>
      <c r="O1063" s="2" t="s">
        <v>869</v>
      </c>
      <c r="P1063" s="2" t="s">
        <v>870</v>
      </c>
    </row>
    <row r="1064" ht="15.75" customHeight="1">
      <c r="H1064" s="2" t="s">
        <v>5513</v>
      </c>
      <c r="I1064" s="2" t="s">
        <v>662</v>
      </c>
      <c r="J1064" s="2" t="s">
        <v>663</v>
      </c>
      <c r="K1064" s="2" t="s">
        <v>2309</v>
      </c>
      <c r="L1064" s="2" t="s">
        <v>5514</v>
      </c>
      <c r="M1064" s="2" t="s">
        <v>5515</v>
      </c>
      <c r="N1064" s="2" t="s">
        <v>5516</v>
      </c>
      <c r="O1064" s="2" t="s">
        <v>869</v>
      </c>
      <c r="P1064" s="2" t="s">
        <v>870</v>
      </c>
    </row>
    <row r="1065" ht="15.75" customHeight="1">
      <c r="H1065" s="2" t="s">
        <v>5517</v>
      </c>
      <c r="I1065" s="2" t="s">
        <v>5518</v>
      </c>
      <c r="J1065" s="2" t="s">
        <v>5519</v>
      </c>
      <c r="K1065" s="2" t="s">
        <v>5520</v>
      </c>
      <c r="L1065" s="2" t="s">
        <v>5282</v>
      </c>
      <c r="M1065" s="2" t="s">
        <v>5521</v>
      </c>
      <c r="N1065" s="2" t="s">
        <v>5522</v>
      </c>
      <c r="O1065" s="2" t="s">
        <v>869</v>
      </c>
      <c r="P1065" s="2" t="s">
        <v>870</v>
      </c>
    </row>
    <row r="1066" ht="15.75" customHeight="1">
      <c r="H1066" s="2" t="s">
        <v>5523</v>
      </c>
      <c r="I1066" s="2" t="s">
        <v>4528</v>
      </c>
      <c r="J1066" s="2" t="s">
        <v>4529</v>
      </c>
      <c r="L1066" s="2" t="s">
        <v>5282</v>
      </c>
      <c r="M1066" s="2" t="s">
        <v>5524</v>
      </c>
      <c r="N1066" s="2" t="s">
        <v>5525</v>
      </c>
      <c r="O1066" s="2" t="s">
        <v>869</v>
      </c>
      <c r="P1066" s="2" t="s">
        <v>870</v>
      </c>
    </row>
    <row r="1067" ht="15.75" customHeight="1">
      <c r="H1067" s="2" t="s">
        <v>5526</v>
      </c>
      <c r="I1067" s="2" t="s">
        <v>458</v>
      </c>
      <c r="J1067" s="2" t="s">
        <v>459</v>
      </c>
      <c r="K1067" s="2" t="s">
        <v>2343</v>
      </c>
      <c r="L1067" s="2" t="s">
        <v>5282</v>
      </c>
      <c r="M1067" s="2" t="s">
        <v>5527</v>
      </c>
      <c r="N1067" s="2" t="s">
        <v>5528</v>
      </c>
      <c r="O1067" s="2" t="s">
        <v>869</v>
      </c>
      <c r="P1067" s="2" t="s">
        <v>870</v>
      </c>
    </row>
    <row r="1068" ht="15.75" customHeight="1">
      <c r="H1068" s="2" t="s">
        <v>5529</v>
      </c>
      <c r="I1068" s="2" t="s">
        <v>467</v>
      </c>
      <c r="J1068" s="2" t="s">
        <v>468</v>
      </c>
      <c r="K1068" s="2" t="s">
        <v>2269</v>
      </c>
      <c r="L1068" s="2" t="s">
        <v>5530</v>
      </c>
      <c r="M1068" s="2" t="s">
        <v>5531</v>
      </c>
      <c r="N1068" s="2" t="s">
        <v>5532</v>
      </c>
      <c r="O1068" s="2" t="s">
        <v>869</v>
      </c>
      <c r="P1068" s="2" t="s">
        <v>870</v>
      </c>
    </row>
    <row r="1069" ht="15.75" customHeight="1">
      <c r="H1069" s="2" t="s">
        <v>5533</v>
      </c>
      <c r="I1069" s="2" t="s">
        <v>476</v>
      </c>
      <c r="J1069" s="2" t="s">
        <v>477</v>
      </c>
      <c r="K1069" s="2" t="s">
        <v>2348</v>
      </c>
      <c r="L1069" s="2" t="s">
        <v>5534</v>
      </c>
      <c r="M1069" s="2" t="s">
        <v>5535</v>
      </c>
      <c r="N1069" s="2" t="s">
        <v>5536</v>
      </c>
      <c r="O1069" s="2" t="s">
        <v>869</v>
      </c>
      <c r="P1069" s="2" t="s">
        <v>870</v>
      </c>
    </row>
    <row r="1070" ht="15.75" customHeight="1">
      <c r="H1070" s="2" t="s">
        <v>5537</v>
      </c>
      <c r="I1070" s="2" t="s">
        <v>2357</v>
      </c>
      <c r="J1070" s="2" t="s">
        <v>2358</v>
      </c>
      <c r="L1070" s="2" t="s">
        <v>5282</v>
      </c>
      <c r="M1070" s="2" t="s">
        <v>5538</v>
      </c>
      <c r="N1070" s="2" t="s">
        <v>5539</v>
      </c>
      <c r="O1070" s="2" t="s">
        <v>869</v>
      </c>
      <c r="P1070" s="2" t="s">
        <v>870</v>
      </c>
    </row>
    <row r="1071" ht="15.75" customHeight="1">
      <c r="H1071" s="2" t="s">
        <v>5540</v>
      </c>
      <c r="I1071" s="2" t="s">
        <v>5541</v>
      </c>
      <c r="J1071" s="2" t="s">
        <v>5542</v>
      </c>
      <c r="K1071" s="2" t="s">
        <v>5543</v>
      </c>
      <c r="L1071" s="2" t="s">
        <v>5282</v>
      </c>
      <c r="M1071" s="2" t="s">
        <v>5544</v>
      </c>
      <c r="N1071" s="2" t="s">
        <v>5545</v>
      </c>
      <c r="O1071" s="2" t="s">
        <v>869</v>
      </c>
      <c r="P1071" s="2" t="s">
        <v>870</v>
      </c>
    </row>
    <row r="1072" ht="15.75" customHeight="1">
      <c r="H1072" s="2" t="s">
        <v>5546</v>
      </c>
      <c r="I1072" s="2" t="s">
        <v>2406</v>
      </c>
      <c r="J1072" s="2" t="s">
        <v>2407</v>
      </c>
      <c r="L1072" s="2" t="s">
        <v>5282</v>
      </c>
      <c r="M1072" s="2" t="s">
        <v>5547</v>
      </c>
      <c r="N1072" s="2" t="s">
        <v>5548</v>
      </c>
      <c r="O1072" s="2" t="s">
        <v>869</v>
      </c>
      <c r="P1072" s="2" t="s">
        <v>870</v>
      </c>
    </row>
    <row r="1073" ht="15.75" customHeight="1">
      <c r="H1073" s="2" t="s">
        <v>5549</v>
      </c>
      <c r="I1073" s="2" t="s">
        <v>5550</v>
      </c>
      <c r="J1073" s="2" t="s">
        <v>5551</v>
      </c>
      <c r="L1073" s="2" t="s">
        <v>5282</v>
      </c>
      <c r="M1073" s="2" t="s">
        <v>5552</v>
      </c>
      <c r="N1073" s="2" t="s">
        <v>5553</v>
      </c>
      <c r="O1073" s="2" t="s">
        <v>869</v>
      </c>
      <c r="P1073" s="2" t="s">
        <v>870</v>
      </c>
    </row>
    <row r="1074" ht="15.75" customHeight="1">
      <c r="H1074" s="2" t="s">
        <v>5554</v>
      </c>
      <c r="I1074" s="2" t="s">
        <v>518</v>
      </c>
      <c r="J1074" s="2" t="s">
        <v>519</v>
      </c>
      <c r="L1074" s="2" t="s">
        <v>5282</v>
      </c>
      <c r="M1074" s="2" t="s">
        <v>5555</v>
      </c>
      <c r="N1074" s="2" t="s">
        <v>5556</v>
      </c>
      <c r="O1074" s="2" t="s">
        <v>869</v>
      </c>
      <c r="P1074" s="2" t="s">
        <v>870</v>
      </c>
    </row>
    <row r="1075" ht="15.75" customHeight="1">
      <c r="H1075" s="2" t="s">
        <v>5557</v>
      </c>
      <c r="I1075" s="2" t="s">
        <v>5558</v>
      </c>
      <c r="J1075" s="2" t="s">
        <v>5559</v>
      </c>
      <c r="L1075" s="2" t="s">
        <v>5282</v>
      </c>
      <c r="M1075" s="2" t="s">
        <v>5560</v>
      </c>
      <c r="N1075" s="2" t="s">
        <v>5561</v>
      </c>
      <c r="O1075" s="2" t="s">
        <v>869</v>
      </c>
      <c r="P1075" s="2" t="s">
        <v>870</v>
      </c>
    </row>
    <row r="1076" ht="15.75" customHeight="1">
      <c r="H1076" s="2" t="s">
        <v>5562</v>
      </c>
      <c r="I1076" s="2" t="s">
        <v>5563</v>
      </c>
      <c r="J1076" s="2" t="s">
        <v>5564</v>
      </c>
      <c r="K1076" s="2" t="s">
        <v>5565</v>
      </c>
      <c r="L1076" s="2" t="s">
        <v>5282</v>
      </c>
      <c r="M1076" s="2" t="s">
        <v>5566</v>
      </c>
      <c r="N1076" s="2" t="s">
        <v>5567</v>
      </c>
      <c r="O1076" s="2" t="s">
        <v>869</v>
      </c>
      <c r="P1076" s="2" t="s">
        <v>870</v>
      </c>
    </row>
    <row r="1077" ht="15.75" customHeight="1">
      <c r="H1077" s="2" t="s">
        <v>5568</v>
      </c>
      <c r="I1077" s="2" t="s">
        <v>2489</v>
      </c>
      <c r="J1077" s="2" t="s">
        <v>2490</v>
      </c>
      <c r="K1077" s="2" t="s">
        <v>1731</v>
      </c>
      <c r="L1077" s="2" t="s">
        <v>5569</v>
      </c>
      <c r="M1077" s="2" t="s">
        <v>5570</v>
      </c>
      <c r="N1077" s="2" t="s">
        <v>5571</v>
      </c>
      <c r="O1077" s="2" t="s">
        <v>869</v>
      </c>
      <c r="P1077" s="2" t="s">
        <v>870</v>
      </c>
    </row>
    <row r="1078" ht="15.75" customHeight="1">
      <c r="H1078" s="2" t="s">
        <v>5572</v>
      </c>
      <c r="I1078" s="2" t="s">
        <v>835</v>
      </c>
      <c r="J1078" s="2" t="s">
        <v>836</v>
      </c>
      <c r="K1078" s="2" t="s">
        <v>5573</v>
      </c>
      <c r="L1078" s="2" t="s">
        <v>5574</v>
      </c>
      <c r="M1078" s="2" t="s">
        <v>5575</v>
      </c>
      <c r="N1078" s="2" t="s">
        <v>5576</v>
      </c>
      <c r="O1078" s="2" t="s">
        <v>869</v>
      </c>
      <c r="P1078" s="2" t="s">
        <v>870</v>
      </c>
    </row>
    <row r="1079" ht="15.75" customHeight="1">
      <c r="F1079" s="2" t="s">
        <v>534</v>
      </c>
      <c r="H1079" s="2" t="s">
        <v>5577</v>
      </c>
      <c r="I1079" s="2" t="s">
        <v>2512</v>
      </c>
      <c r="J1079" s="2" t="s">
        <v>2513</v>
      </c>
      <c r="K1079" s="2" t="s">
        <v>2514</v>
      </c>
    </row>
    <row r="1080" ht="15.75" customHeight="1">
      <c r="H1080" s="2" t="s">
        <v>5578</v>
      </c>
      <c r="I1080" s="2" t="s">
        <v>536</v>
      </c>
      <c r="J1080" s="2" t="s">
        <v>537</v>
      </c>
      <c r="K1080" s="2" t="s">
        <v>538</v>
      </c>
    </row>
    <row r="1081" ht="15.75" customHeight="1">
      <c r="F1081" s="2" t="s">
        <v>539</v>
      </c>
      <c r="H1081" s="2" t="s">
        <v>5579</v>
      </c>
      <c r="I1081" s="2" t="s">
        <v>541</v>
      </c>
      <c r="J1081" s="2" t="s">
        <v>542</v>
      </c>
      <c r="K1081" s="2" t="s">
        <v>886</v>
      </c>
      <c r="L1081" s="2" t="s">
        <v>5282</v>
      </c>
      <c r="M1081" s="2" t="s">
        <v>5580</v>
      </c>
      <c r="N1081" s="2" t="s">
        <v>5581</v>
      </c>
      <c r="O1081" s="2" t="s">
        <v>869</v>
      </c>
      <c r="P1081" s="2" t="s">
        <v>870</v>
      </c>
    </row>
    <row r="1082" ht="15.75" customHeight="1">
      <c r="F1082" s="2" t="s">
        <v>548</v>
      </c>
      <c r="H1082" s="2" t="s">
        <v>5582</v>
      </c>
      <c r="I1082" s="2" t="s">
        <v>550</v>
      </c>
      <c r="J1082" s="2" t="s">
        <v>551</v>
      </c>
      <c r="K1082" s="2" t="s">
        <v>963</v>
      </c>
      <c r="L1082" s="2" t="s">
        <v>5282</v>
      </c>
      <c r="M1082" s="2" t="s">
        <v>5583</v>
      </c>
      <c r="N1082" s="2" t="s">
        <v>5584</v>
      </c>
      <c r="O1082" s="2" t="s">
        <v>869</v>
      </c>
      <c r="P1082" s="2" t="s">
        <v>870</v>
      </c>
    </row>
    <row r="1083" ht="15.75" customHeight="1">
      <c r="F1083" s="2" t="s">
        <v>556</v>
      </c>
      <c r="H1083" s="2" t="s">
        <v>5585</v>
      </c>
      <c r="I1083" s="2" t="s">
        <v>5586</v>
      </c>
      <c r="J1083" s="2" t="s">
        <v>5587</v>
      </c>
      <c r="L1083" s="2" t="s">
        <v>5282</v>
      </c>
      <c r="M1083" s="2" t="s">
        <v>5588</v>
      </c>
      <c r="N1083" s="2" t="s">
        <v>5589</v>
      </c>
      <c r="O1083" s="2" t="s">
        <v>869</v>
      </c>
      <c r="P1083" s="2" t="s">
        <v>870</v>
      </c>
    </row>
    <row r="1084" ht="15.75" customHeight="1">
      <c r="H1084" s="2" t="s">
        <v>5590</v>
      </c>
      <c r="I1084" s="2" t="s">
        <v>5591</v>
      </c>
      <c r="J1084" s="2" t="s">
        <v>5592</v>
      </c>
      <c r="L1084" s="2" t="s">
        <v>5282</v>
      </c>
      <c r="M1084" s="2" t="s">
        <v>5593</v>
      </c>
      <c r="N1084" s="2" t="s">
        <v>5594</v>
      </c>
      <c r="O1084" s="2" t="s">
        <v>869</v>
      </c>
      <c r="P1084" s="2" t="s">
        <v>870</v>
      </c>
    </row>
    <row r="1085" ht="15.75" customHeight="1">
      <c r="H1085" s="2" t="s">
        <v>5595</v>
      </c>
      <c r="I1085" s="2" t="s">
        <v>2769</v>
      </c>
      <c r="J1085" s="2" t="s">
        <v>2770</v>
      </c>
      <c r="K1085" s="2" t="s">
        <v>963</v>
      </c>
      <c r="L1085" s="2" t="s">
        <v>5282</v>
      </c>
      <c r="M1085" s="2" t="s">
        <v>5596</v>
      </c>
      <c r="N1085" s="2" t="s">
        <v>5597</v>
      </c>
      <c r="O1085" s="2" t="s">
        <v>869</v>
      </c>
      <c r="P1085" s="2" t="s">
        <v>870</v>
      </c>
    </row>
    <row r="1086" ht="15.75" customHeight="1">
      <c r="H1086" s="2" t="s">
        <v>5598</v>
      </c>
      <c r="I1086" s="2" t="s">
        <v>5599</v>
      </c>
      <c r="J1086" s="2" t="s">
        <v>5600</v>
      </c>
      <c r="K1086" s="2" t="s">
        <v>970</v>
      </c>
      <c r="L1086" s="2" t="s">
        <v>5282</v>
      </c>
      <c r="M1086" s="2" t="s">
        <v>5601</v>
      </c>
      <c r="N1086" s="2" t="s">
        <v>5602</v>
      </c>
      <c r="O1086" s="2" t="s">
        <v>869</v>
      </c>
      <c r="P1086" s="2" t="s">
        <v>870</v>
      </c>
    </row>
    <row r="1087" ht="15.75" customHeight="1">
      <c r="H1087" s="2" t="s">
        <v>5603</v>
      </c>
      <c r="I1087" s="2" t="s">
        <v>2793</v>
      </c>
      <c r="J1087" s="2" t="s">
        <v>2794</v>
      </c>
      <c r="K1087" s="2" t="s">
        <v>1136</v>
      </c>
      <c r="L1087" s="2" t="s">
        <v>5282</v>
      </c>
      <c r="M1087" s="2" t="s">
        <v>5604</v>
      </c>
      <c r="N1087" s="2" t="s">
        <v>5605</v>
      </c>
      <c r="O1087" s="2" t="s">
        <v>869</v>
      </c>
      <c r="P1087" s="2" t="s">
        <v>870</v>
      </c>
    </row>
    <row r="1088" ht="15.75" customHeight="1">
      <c r="F1088" s="2" t="s">
        <v>581</v>
      </c>
      <c r="H1088" s="2" t="s">
        <v>5606</v>
      </c>
      <c r="I1088" s="2" t="s">
        <v>5607</v>
      </c>
      <c r="J1088" s="2" t="s">
        <v>5608</v>
      </c>
      <c r="K1088" s="2" t="s">
        <v>5609</v>
      </c>
      <c r="L1088" s="2" t="s">
        <v>5282</v>
      </c>
      <c r="M1088" s="2" t="s">
        <v>5610</v>
      </c>
      <c r="N1088" s="2" t="s">
        <v>5611</v>
      </c>
      <c r="O1088" s="2" t="s">
        <v>869</v>
      </c>
      <c r="P1088" s="2" t="s">
        <v>870</v>
      </c>
    </row>
    <row r="1089" ht="15.75" customHeight="1">
      <c r="F1089" s="2" t="s">
        <v>598</v>
      </c>
      <c r="H1089" s="2" t="s">
        <v>5612</v>
      </c>
      <c r="I1089" s="2" t="s">
        <v>600</v>
      </c>
      <c r="J1089" s="2" t="s">
        <v>601</v>
      </c>
      <c r="K1089" s="2" t="s">
        <v>865</v>
      </c>
      <c r="L1089" s="2" t="s">
        <v>5282</v>
      </c>
      <c r="M1089" s="2" t="s">
        <v>5613</v>
      </c>
      <c r="N1089" s="2" t="s">
        <v>5614</v>
      </c>
      <c r="O1089" s="2" t="s">
        <v>869</v>
      </c>
      <c r="P1089" s="2" t="s">
        <v>870</v>
      </c>
    </row>
    <row r="1090" ht="15.75" customHeight="1">
      <c r="H1090" s="2" t="s">
        <v>5615</v>
      </c>
      <c r="I1090" s="2" t="s">
        <v>608</v>
      </c>
      <c r="J1090" s="2" t="s">
        <v>609</v>
      </c>
      <c r="K1090" s="2" t="s">
        <v>1508</v>
      </c>
      <c r="L1090" s="2" t="s">
        <v>5282</v>
      </c>
      <c r="M1090" s="2" t="s">
        <v>5616</v>
      </c>
      <c r="N1090" s="2" t="s">
        <v>5617</v>
      </c>
      <c r="O1090" s="2" t="s">
        <v>869</v>
      </c>
      <c r="P1090" s="2" t="s">
        <v>870</v>
      </c>
    </row>
    <row r="1091" ht="15.75" customHeight="1">
      <c r="F1091" s="2" t="s">
        <v>3062</v>
      </c>
      <c r="H1091" s="2" t="s">
        <v>5618</v>
      </c>
      <c r="I1091" s="2" t="s">
        <v>3064</v>
      </c>
      <c r="J1091" s="2" t="s">
        <v>3065</v>
      </c>
      <c r="K1091" s="2" t="s">
        <v>1878</v>
      </c>
      <c r="L1091" s="2" t="s">
        <v>5282</v>
      </c>
      <c r="M1091" s="2" t="s">
        <v>5619</v>
      </c>
      <c r="N1091" s="2" t="s">
        <v>5620</v>
      </c>
      <c r="O1091" s="2" t="s">
        <v>869</v>
      </c>
      <c r="P1091" s="2" t="s">
        <v>870</v>
      </c>
    </row>
    <row r="1092" ht="15.75" customHeight="1">
      <c r="F1092" s="2" t="s">
        <v>624</v>
      </c>
      <c r="H1092" s="2" t="s">
        <v>5621</v>
      </c>
      <c r="I1092" s="2" t="s">
        <v>3207</v>
      </c>
      <c r="J1092" s="2" t="s">
        <v>3208</v>
      </c>
      <c r="K1092" s="2" t="s">
        <v>996</v>
      </c>
      <c r="L1092" s="2" t="s">
        <v>5282</v>
      </c>
      <c r="M1092" s="2" t="s">
        <v>5622</v>
      </c>
      <c r="N1092" s="2" t="s">
        <v>5623</v>
      </c>
      <c r="O1092" s="2" t="s">
        <v>869</v>
      </c>
      <c r="P1092" s="2" t="s">
        <v>870</v>
      </c>
    </row>
    <row r="1093" ht="15.75" customHeight="1">
      <c r="H1093" s="2" t="s">
        <v>5624</v>
      </c>
      <c r="I1093" s="2" t="s">
        <v>5625</v>
      </c>
      <c r="J1093" s="2" t="s">
        <v>5626</v>
      </c>
      <c r="L1093" s="2" t="s">
        <v>5282</v>
      </c>
      <c r="M1093" s="2" t="s">
        <v>5627</v>
      </c>
      <c r="N1093" s="2" t="s">
        <v>5628</v>
      </c>
      <c r="O1093" s="2" t="s">
        <v>869</v>
      </c>
      <c r="P1093" s="2" t="s">
        <v>870</v>
      </c>
    </row>
    <row r="1094" ht="15.75" customHeight="1">
      <c r="H1094" s="2" t="s">
        <v>5629</v>
      </c>
      <c r="I1094" s="2" t="s">
        <v>626</v>
      </c>
      <c r="J1094" s="2" t="s">
        <v>627</v>
      </c>
      <c r="K1094" s="2" t="s">
        <v>2203</v>
      </c>
      <c r="L1094" s="2" t="s">
        <v>5630</v>
      </c>
      <c r="M1094" s="2" t="s">
        <v>5631</v>
      </c>
      <c r="N1094" s="2" t="s">
        <v>5632</v>
      </c>
      <c r="O1094" s="2" t="s">
        <v>869</v>
      </c>
      <c r="P1094" s="2" t="s">
        <v>870</v>
      </c>
    </row>
    <row r="1095" ht="15.75" customHeight="1">
      <c r="F1095" s="2" t="s">
        <v>634</v>
      </c>
      <c r="H1095" s="2" t="s">
        <v>5633</v>
      </c>
      <c r="I1095" s="2" t="s">
        <v>5634</v>
      </c>
      <c r="J1095" s="2" t="s">
        <v>5635</v>
      </c>
      <c r="K1095" s="2" t="s">
        <v>2737</v>
      </c>
      <c r="L1095" s="2" t="s">
        <v>5282</v>
      </c>
      <c r="M1095" s="2" t="s">
        <v>5636</v>
      </c>
      <c r="N1095" s="2" t="s">
        <v>5637</v>
      </c>
      <c r="O1095" s="2" t="s">
        <v>869</v>
      </c>
      <c r="P1095" s="2" t="s">
        <v>870</v>
      </c>
    </row>
    <row r="1096" ht="15.75" customHeight="1">
      <c r="F1096" s="2" t="s">
        <v>660</v>
      </c>
      <c r="H1096" s="2" t="s">
        <v>5638</v>
      </c>
      <c r="I1096" s="2" t="s">
        <v>5639</v>
      </c>
      <c r="J1096" s="2" t="s">
        <v>5640</v>
      </c>
      <c r="K1096" s="2" t="s">
        <v>2551</v>
      </c>
      <c r="L1096" s="2" t="s">
        <v>5282</v>
      </c>
      <c r="M1096" s="2" t="s">
        <v>5641</v>
      </c>
      <c r="N1096" s="2" t="s">
        <v>5642</v>
      </c>
      <c r="O1096" s="2" t="s">
        <v>869</v>
      </c>
      <c r="P1096" s="2" t="s">
        <v>870</v>
      </c>
    </row>
    <row r="1097" ht="15.75" customHeight="1">
      <c r="F1097" s="2" t="s">
        <v>3755</v>
      </c>
      <c r="H1097" s="2" t="s">
        <v>5643</v>
      </c>
      <c r="I1097" s="2" t="s">
        <v>5644</v>
      </c>
      <c r="J1097" s="2" t="s">
        <v>5645</v>
      </c>
      <c r="K1097" s="2" t="s">
        <v>865</v>
      </c>
    </row>
    <row r="1098" ht="15.75" customHeight="1">
      <c r="F1098" s="2" t="s">
        <v>677</v>
      </c>
      <c r="H1098" s="2" t="s">
        <v>5646</v>
      </c>
      <c r="I1098" s="2" t="s">
        <v>679</v>
      </c>
      <c r="J1098" s="2" t="s">
        <v>680</v>
      </c>
      <c r="K1098" s="2" t="s">
        <v>1157</v>
      </c>
      <c r="L1098" s="2" t="s">
        <v>5282</v>
      </c>
      <c r="M1098" s="2" t="s">
        <v>5647</v>
      </c>
      <c r="N1098" s="2" t="s">
        <v>5648</v>
      </c>
      <c r="O1098" s="2" t="s">
        <v>869</v>
      </c>
      <c r="P1098" s="2" t="s">
        <v>870</v>
      </c>
    </row>
    <row r="1099" ht="15.75" customHeight="1">
      <c r="F1099" s="2" t="s">
        <v>694</v>
      </c>
      <c r="H1099" s="2" t="s">
        <v>5649</v>
      </c>
      <c r="I1099" s="2" t="s">
        <v>5650</v>
      </c>
      <c r="J1099" s="2" t="s">
        <v>5651</v>
      </c>
      <c r="K1099" s="2" t="s">
        <v>1145</v>
      </c>
      <c r="L1099" s="2" t="s">
        <v>5282</v>
      </c>
      <c r="M1099" s="2" t="s">
        <v>5652</v>
      </c>
      <c r="N1099" s="2" t="s">
        <v>5653</v>
      </c>
      <c r="O1099" s="2" t="s">
        <v>869</v>
      </c>
      <c r="P1099" s="2" t="s">
        <v>870</v>
      </c>
    </row>
    <row r="1100" ht="15.75" customHeight="1">
      <c r="F1100" s="2" t="s">
        <v>703</v>
      </c>
      <c r="H1100" s="2" t="s">
        <v>5654</v>
      </c>
      <c r="I1100" s="2" t="s">
        <v>5655</v>
      </c>
      <c r="J1100" s="2" t="s">
        <v>5656</v>
      </c>
      <c r="K1100" s="2" t="s">
        <v>5657</v>
      </c>
      <c r="L1100" s="2" t="s">
        <v>5282</v>
      </c>
      <c r="M1100" s="2" t="s">
        <v>5658</v>
      </c>
      <c r="N1100" s="2" t="s">
        <v>5659</v>
      </c>
      <c r="O1100" s="2" t="s">
        <v>869</v>
      </c>
      <c r="P1100" s="2" t="s">
        <v>870</v>
      </c>
    </row>
    <row r="1101" ht="15.75" customHeight="1">
      <c r="H1101" s="2" t="s">
        <v>5660</v>
      </c>
      <c r="I1101" s="2" t="s">
        <v>713</v>
      </c>
      <c r="J1101" s="2" t="s">
        <v>714</v>
      </c>
      <c r="K1101" s="2" t="s">
        <v>1567</v>
      </c>
      <c r="L1101" s="2" t="s">
        <v>5282</v>
      </c>
      <c r="M1101" s="2" t="s">
        <v>5661</v>
      </c>
      <c r="N1101" s="2" t="s">
        <v>5662</v>
      </c>
      <c r="O1101" s="2" t="s">
        <v>869</v>
      </c>
      <c r="P1101" s="2" t="s">
        <v>870</v>
      </c>
    </row>
    <row r="1102" ht="15.75" customHeight="1">
      <c r="H1102" s="2" t="s">
        <v>5663</v>
      </c>
      <c r="I1102" s="2" t="s">
        <v>5664</v>
      </c>
      <c r="J1102" s="2" t="s">
        <v>5665</v>
      </c>
      <c r="L1102" s="2" t="s">
        <v>5282</v>
      </c>
      <c r="M1102" s="2" t="s">
        <v>5666</v>
      </c>
      <c r="N1102" s="2" t="s">
        <v>5667</v>
      </c>
      <c r="O1102" s="2" t="s">
        <v>869</v>
      </c>
      <c r="P1102" s="2" t="s">
        <v>870</v>
      </c>
    </row>
    <row r="1103" ht="15.75" customHeight="1">
      <c r="H1103" s="2" t="s">
        <v>5668</v>
      </c>
      <c r="I1103" s="2" t="s">
        <v>721</v>
      </c>
      <c r="J1103" s="2" t="s">
        <v>722</v>
      </c>
      <c r="K1103" s="2" t="s">
        <v>1569</v>
      </c>
      <c r="L1103" s="2" t="s">
        <v>5282</v>
      </c>
      <c r="M1103" s="2" t="s">
        <v>5669</v>
      </c>
      <c r="N1103" s="2" t="s">
        <v>5670</v>
      </c>
      <c r="O1103" s="2" t="s">
        <v>869</v>
      </c>
      <c r="P1103" s="2" t="s">
        <v>870</v>
      </c>
    </row>
    <row r="1104" ht="15.75" customHeight="1">
      <c r="F1104" s="2" t="s">
        <v>728</v>
      </c>
      <c r="H1104" s="2" t="s">
        <v>5671</v>
      </c>
      <c r="I1104" s="2" t="s">
        <v>5672</v>
      </c>
      <c r="J1104" s="2" t="s">
        <v>5673</v>
      </c>
      <c r="L1104" s="2" t="s">
        <v>5282</v>
      </c>
      <c r="M1104" s="2" t="s">
        <v>5674</v>
      </c>
      <c r="N1104" s="2" t="s">
        <v>5675</v>
      </c>
      <c r="O1104" s="2" t="s">
        <v>869</v>
      </c>
      <c r="P1104" s="2" t="s">
        <v>870</v>
      </c>
    </row>
    <row r="1105" ht="15.75" customHeight="1">
      <c r="H1105" s="2" t="s">
        <v>5676</v>
      </c>
      <c r="I1105" s="2" t="s">
        <v>730</v>
      </c>
      <c r="J1105" s="2" t="s">
        <v>731</v>
      </c>
      <c r="K1105" s="2" t="s">
        <v>886</v>
      </c>
      <c r="L1105" s="2" t="s">
        <v>5282</v>
      </c>
      <c r="M1105" s="2" t="s">
        <v>5677</v>
      </c>
      <c r="N1105" s="2" t="s">
        <v>5678</v>
      </c>
      <c r="O1105" s="2" t="s">
        <v>869</v>
      </c>
      <c r="P1105" s="2" t="s">
        <v>870</v>
      </c>
    </row>
    <row r="1106" ht="15.75" customHeight="1">
      <c r="H1106" s="2" t="s">
        <v>5679</v>
      </c>
      <c r="I1106" s="2" t="s">
        <v>5680</v>
      </c>
      <c r="J1106" s="2" t="s">
        <v>5681</v>
      </c>
      <c r="K1106" s="2" t="s">
        <v>5682</v>
      </c>
      <c r="L1106" s="2" t="s">
        <v>5282</v>
      </c>
      <c r="M1106" s="2" t="s">
        <v>5683</v>
      </c>
      <c r="N1106" s="2" t="s">
        <v>5684</v>
      </c>
      <c r="O1106" s="2" t="s">
        <v>869</v>
      </c>
      <c r="P1106" s="2" t="s">
        <v>870</v>
      </c>
    </row>
    <row r="1107" ht="15.75" customHeight="1">
      <c r="F1107" s="2" t="s">
        <v>737</v>
      </c>
      <c r="H1107" s="2" t="s">
        <v>5685</v>
      </c>
      <c r="I1107" s="2" t="s">
        <v>739</v>
      </c>
      <c r="J1107" s="2" t="s">
        <v>740</v>
      </c>
      <c r="K1107" s="2" t="s">
        <v>1551</v>
      </c>
      <c r="L1107" s="2" t="s">
        <v>5686</v>
      </c>
      <c r="M1107" s="2" t="s">
        <v>5687</v>
      </c>
      <c r="N1107" s="2" t="s">
        <v>5688</v>
      </c>
      <c r="O1107" s="2" t="s">
        <v>869</v>
      </c>
      <c r="P1107" s="2" t="s">
        <v>870</v>
      </c>
    </row>
    <row r="1108" ht="15.75" customHeight="1">
      <c r="F1108" s="2" t="s">
        <v>746</v>
      </c>
      <c r="H1108" s="2" t="s">
        <v>5689</v>
      </c>
      <c r="I1108" s="2" t="s">
        <v>5690</v>
      </c>
      <c r="J1108" s="2" t="s">
        <v>5691</v>
      </c>
      <c r="K1108" s="2" t="s">
        <v>5692</v>
      </c>
      <c r="L1108" s="2" t="s">
        <v>5282</v>
      </c>
      <c r="M1108" s="2" t="s">
        <v>5693</v>
      </c>
      <c r="N1108" s="2" t="s">
        <v>5694</v>
      </c>
      <c r="O1108" s="2" t="s">
        <v>869</v>
      </c>
      <c r="P1108" s="2" t="s">
        <v>870</v>
      </c>
    </row>
    <row r="1109" ht="15.75" customHeight="1">
      <c r="H1109" s="2" t="s">
        <v>5695</v>
      </c>
      <c r="I1109" s="2" t="s">
        <v>4282</v>
      </c>
      <c r="J1109" s="2" t="s">
        <v>4283</v>
      </c>
      <c r="K1109" s="2" t="s">
        <v>886</v>
      </c>
      <c r="L1109" s="2" t="s">
        <v>5282</v>
      </c>
      <c r="M1109" s="2" t="s">
        <v>5696</v>
      </c>
      <c r="N1109" s="2" t="s">
        <v>5697</v>
      </c>
      <c r="O1109" s="2" t="s">
        <v>869</v>
      </c>
      <c r="P1109" s="2" t="s">
        <v>870</v>
      </c>
    </row>
    <row r="1110" ht="15.75" customHeight="1">
      <c r="F1110" s="2" t="s">
        <v>4544</v>
      </c>
      <c r="H1110" s="2" t="s">
        <v>5698</v>
      </c>
      <c r="I1110" s="2" t="s">
        <v>4546</v>
      </c>
      <c r="J1110" s="2" t="s">
        <v>4547</v>
      </c>
      <c r="L1110" s="2" t="s">
        <v>5282</v>
      </c>
      <c r="M1110" s="2" t="s">
        <v>5699</v>
      </c>
      <c r="N1110" s="2" t="s">
        <v>5700</v>
      </c>
      <c r="O1110" s="2" t="s">
        <v>869</v>
      </c>
      <c r="P1110" s="2" t="s">
        <v>870</v>
      </c>
    </row>
    <row r="1111" ht="15.75" customHeight="1">
      <c r="H1111" s="2" t="s">
        <v>5701</v>
      </c>
      <c r="I1111" s="2" t="s">
        <v>5702</v>
      </c>
      <c r="J1111" s="2" t="s">
        <v>5703</v>
      </c>
      <c r="K1111" s="2" t="s">
        <v>963</v>
      </c>
      <c r="L1111" s="2" t="s">
        <v>5282</v>
      </c>
      <c r="M1111" s="2" t="s">
        <v>5704</v>
      </c>
      <c r="N1111" s="2" t="s">
        <v>5705</v>
      </c>
      <c r="O1111" s="2" t="s">
        <v>869</v>
      </c>
      <c r="P1111" s="2" t="s">
        <v>870</v>
      </c>
    </row>
    <row r="1112" ht="15.75" customHeight="1">
      <c r="F1112" s="2" t="s">
        <v>755</v>
      </c>
      <c r="H1112" s="2" t="s">
        <v>5706</v>
      </c>
      <c r="I1112" s="2" t="s">
        <v>757</v>
      </c>
      <c r="J1112" s="2" t="s">
        <v>758</v>
      </c>
      <c r="K1112" s="2" t="s">
        <v>4429</v>
      </c>
      <c r="L1112" s="2" t="s">
        <v>5707</v>
      </c>
      <c r="M1112" s="2" t="s">
        <v>5708</v>
      </c>
      <c r="N1112" s="2" t="s">
        <v>5709</v>
      </c>
      <c r="O1112" s="2" t="s">
        <v>869</v>
      </c>
      <c r="P1112" s="2" t="s">
        <v>870</v>
      </c>
    </row>
    <row r="1113" ht="15.75" customHeight="1">
      <c r="F1113" s="2" t="s">
        <v>764</v>
      </c>
      <c r="H1113" s="2" t="s">
        <v>5710</v>
      </c>
      <c r="I1113" s="2" t="s">
        <v>5711</v>
      </c>
      <c r="J1113" s="2" t="s">
        <v>5712</v>
      </c>
      <c r="K1113" s="2" t="s">
        <v>5657</v>
      </c>
      <c r="L1113" s="2" t="s">
        <v>5282</v>
      </c>
      <c r="M1113" s="2" t="s">
        <v>5713</v>
      </c>
      <c r="N1113" s="2" t="s">
        <v>5714</v>
      </c>
      <c r="O1113" s="2" t="s">
        <v>869</v>
      </c>
      <c r="P1113" s="2" t="s">
        <v>870</v>
      </c>
    </row>
    <row r="1114" ht="15.75" customHeight="1">
      <c r="H1114" s="2" t="s">
        <v>5715</v>
      </c>
      <c r="I1114" s="2" t="s">
        <v>766</v>
      </c>
      <c r="J1114" s="2" t="s">
        <v>767</v>
      </c>
      <c r="L1114" s="2" t="s">
        <v>5282</v>
      </c>
      <c r="M1114" s="2" t="s">
        <v>5716</v>
      </c>
      <c r="N1114" s="2" t="s">
        <v>5717</v>
      </c>
      <c r="O1114" s="2" t="s">
        <v>869</v>
      </c>
      <c r="P1114" s="2" t="s">
        <v>870</v>
      </c>
    </row>
    <row r="1115" ht="15.75" customHeight="1">
      <c r="F1115" s="2" t="s">
        <v>773</v>
      </c>
      <c r="H1115" s="2" t="s">
        <v>5718</v>
      </c>
      <c r="I1115" s="2" t="s">
        <v>775</v>
      </c>
      <c r="J1115" s="2" t="s">
        <v>776</v>
      </c>
      <c r="K1115" s="2" t="s">
        <v>1145</v>
      </c>
      <c r="L1115" s="2" t="s">
        <v>5282</v>
      </c>
      <c r="M1115" s="2" t="s">
        <v>5719</v>
      </c>
      <c r="N1115" s="2" t="s">
        <v>5720</v>
      </c>
      <c r="O1115" s="2" t="s">
        <v>869</v>
      </c>
      <c r="P1115" s="2" t="s">
        <v>870</v>
      </c>
    </row>
    <row r="1116" ht="15.75" customHeight="1">
      <c r="F1116" s="2" t="s">
        <v>800</v>
      </c>
      <c r="H1116" s="2" t="s">
        <v>5721</v>
      </c>
      <c r="I1116" s="2" t="s">
        <v>5722</v>
      </c>
      <c r="J1116" s="2" t="s">
        <v>5723</v>
      </c>
      <c r="K1116" s="2" t="s">
        <v>859</v>
      </c>
      <c r="L1116" s="2" t="s">
        <v>5282</v>
      </c>
      <c r="M1116" s="2" t="s">
        <v>5724</v>
      </c>
      <c r="N1116" s="2" t="s">
        <v>5725</v>
      </c>
      <c r="O1116" s="2" t="s">
        <v>869</v>
      </c>
      <c r="P1116" s="2" t="s">
        <v>870</v>
      </c>
    </row>
    <row r="1117" ht="15.75" customHeight="1">
      <c r="H1117" s="2" t="s">
        <v>5726</v>
      </c>
      <c r="I1117" s="2" t="s">
        <v>4994</v>
      </c>
      <c r="J1117" s="2" t="s">
        <v>4995</v>
      </c>
      <c r="K1117" s="2" t="s">
        <v>1878</v>
      </c>
      <c r="L1117" s="2" t="s">
        <v>5282</v>
      </c>
      <c r="M1117" s="2" t="s">
        <v>5727</v>
      </c>
      <c r="N1117" s="2" t="s">
        <v>5728</v>
      </c>
      <c r="O1117" s="2" t="s">
        <v>869</v>
      </c>
      <c r="P1117" s="2" t="s">
        <v>870</v>
      </c>
    </row>
    <row r="1118" ht="15.75" customHeight="1">
      <c r="H1118" s="2" t="s">
        <v>5729</v>
      </c>
      <c r="I1118" s="2" t="s">
        <v>5093</v>
      </c>
      <c r="J1118" s="2" t="s">
        <v>5094</v>
      </c>
      <c r="K1118" s="2" t="s">
        <v>3309</v>
      </c>
      <c r="L1118" s="2" t="s">
        <v>5730</v>
      </c>
      <c r="M1118" s="2" t="s">
        <v>5731</v>
      </c>
      <c r="N1118" s="2" t="s">
        <v>5732</v>
      </c>
      <c r="O1118" s="2" t="s">
        <v>869</v>
      </c>
      <c r="P1118" s="2" t="s">
        <v>870</v>
      </c>
    </row>
    <row r="1119" ht="15.75" customHeight="1">
      <c r="H1119" s="2" t="s">
        <v>5733</v>
      </c>
      <c r="I1119" s="2" t="s">
        <v>5140</v>
      </c>
      <c r="J1119" s="2" t="s">
        <v>5141</v>
      </c>
      <c r="K1119" s="2" t="s">
        <v>5142</v>
      </c>
      <c r="L1119" s="2" t="s">
        <v>5282</v>
      </c>
      <c r="M1119" s="2" t="s">
        <v>5734</v>
      </c>
      <c r="N1119" s="2" t="s">
        <v>5735</v>
      </c>
      <c r="O1119" s="2" t="s">
        <v>869</v>
      </c>
      <c r="P1119" s="2" t="s">
        <v>870</v>
      </c>
    </row>
    <row r="1120" ht="15.75" customHeight="1">
      <c r="B1120" s="2" t="s">
        <v>5736</v>
      </c>
      <c r="C1120" s="2" t="s">
        <v>280</v>
      </c>
      <c r="D1120" s="2" t="s">
        <v>5737</v>
      </c>
      <c r="F1120" s="2" t="s">
        <v>5738</v>
      </c>
      <c r="H1120" s="2" t="s">
        <v>5739</v>
      </c>
      <c r="I1120" s="2" t="s">
        <v>5740</v>
      </c>
      <c r="J1120" s="2" t="s">
        <v>5741</v>
      </c>
      <c r="K1120" s="2" t="s">
        <v>5742</v>
      </c>
    </row>
    <row r="1121" ht="15.75" customHeight="1">
      <c r="H1121" s="2" t="s">
        <v>5743</v>
      </c>
      <c r="I1121" s="2" t="s">
        <v>5744</v>
      </c>
      <c r="J1121" s="2" t="s">
        <v>5745</v>
      </c>
      <c r="K1121" s="2" t="s">
        <v>538</v>
      </c>
    </row>
    <row r="1122" ht="15.75" customHeight="1">
      <c r="H1122" s="2" t="s">
        <v>5746</v>
      </c>
      <c r="I1122" s="2" t="s">
        <v>5747</v>
      </c>
      <c r="J1122" s="2" t="s">
        <v>5748</v>
      </c>
      <c r="K1122" s="2" t="s">
        <v>5749</v>
      </c>
    </row>
    <row r="1123" ht="15.75" customHeight="1">
      <c r="H1123" s="2" t="s">
        <v>5750</v>
      </c>
      <c r="I1123" s="2" t="s">
        <v>5751</v>
      </c>
      <c r="J1123" s="2" t="s">
        <v>5752</v>
      </c>
      <c r="K1123" s="2" t="s">
        <v>5753</v>
      </c>
    </row>
    <row r="1124" ht="15.75" customHeight="1">
      <c r="F1124" s="2" t="s">
        <v>29</v>
      </c>
      <c r="H1124" s="2" t="s">
        <v>5754</v>
      </c>
      <c r="I1124" s="2" t="s">
        <v>5755</v>
      </c>
      <c r="J1124" s="2" t="s">
        <v>5756</v>
      </c>
      <c r="K1124" s="2" t="s">
        <v>5742</v>
      </c>
    </row>
    <row r="1125" ht="15.75" customHeight="1">
      <c r="H1125" s="2" t="s">
        <v>5757</v>
      </c>
      <c r="I1125" s="2" t="s">
        <v>5758</v>
      </c>
      <c r="J1125" s="2" t="s">
        <v>5759</v>
      </c>
      <c r="K1125" s="2" t="s">
        <v>538</v>
      </c>
    </row>
    <row r="1126" ht="15.75" customHeight="1">
      <c r="H1126" s="2" t="s">
        <v>5760</v>
      </c>
      <c r="I1126" s="2" t="s">
        <v>5761</v>
      </c>
      <c r="J1126" s="2" t="s">
        <v>5762</v>
      </c>
      <c r="K1126" s="2" t="s">
        <v>5749</v>
      </c>
    </row>
    <row r="1127" ht="15.75" customHeight="1">
      <c r="H1127" s="2" t="s">
        <v>5763</v>
      </c>
      <c r="I1127" s="2" t="s">
        <v>5764</v>
      </c>
      <c r="J1127" s="2" t="s">
        <v>5765</v>
      </c>
      <c r="K1127" s="2" t="s">
        <v>5753</v>
      </c>
    </row>
    <row r="1128" ht="15.75" customHeight="1">
      <c r="F1128" s="2" t="s">
        <v>74</v>
      </c>
      <c r="H1128" s="2" t="s">
        <v>5766</v>
      </c>
      <c r="I1128" s="2" t="s">
        <v>5767</v>
      </c>
      <c r="J1128" s="2" t="s">
        <v>5768</v>
      </c>
      <c r="K1128" s="2" t="s">
        <v>5742</v>
      </c>
    </row>
    <row r="1129" ht="15.75" customHeight="1">
      <c r="H1129" s="2" t="s">
        <v>5769</v>
      </c>
      <c r="I1129" s="2" t="s">
        <v>5770</v>
      </c>
      <c r="J1129" s="2" t="s">
        <v>5771</v>
      </c>
      <c r="K1129" s="2" t="s">
        <v>538</v>
      </c>
    </row>
    <row r="1130" ht="15.75" customHeight="1">
      <c r="H1130" s="2" t="s">
        <v>5772</v>
      </c>
      <c r="I1130" s="2" t="s">
        <v>5773</v>
      </c>
      <c r="J1130" s="2" t="s">
        <v>5774</v>
      </c>
      <c r="K1130" s="2" t="s">
        <v>5749</v>
      </c>
    </row>
    <row r="1131" ht="15.75" customHeight="1">
      <c r="H1131" s="2" t="s">
        <v>5775</v>
      </c>
      <c r="I1131" s="2" t="s">
        <v>5776</v>
      </c>
      <c r="J1131" s="2" t="s">
        <v>5777</v>
      </c>
      <c r="K1131" s="2" t="s">
        <v>5753</v>
      </c>
    </row>
    <row r="1132" ht="15.75" customHeight="1">
      <c r="F1132" s="2" t="s">
        <v>534</v>
      </c>
      <c r="H1132" s="2" t="s">
        <v>5778</v>
      </c>
      <c r="I1132" s="2" t="s">
        <v>5779</v>
      </c>
      <c r="J1132" s="2" t="s">
        <v>5780</v>
      </c>
      <c r="K1132" s="2" t="s">
        <v>538</v>
      </c>
    </row>
    <row r="1133" ht="15.75" customHeight="1">
      <c r="H1133" s="2" t="s">
        <v>5781</v>
      </c>
      <c r="I1133" s="2" t="s">
        <v>2512</v>
      </c>
      <c r="J1133" s="2" t="s">
        <v>2513</v>
      </c>
      <c r="K1133" s="2" t="s">
        <v>2514</v>
      </c>
    </row>
    <row r="1134" ht="15.75" customHeight="1">
      <c r="H1134" s="2" t="s">
        <v>5782</v>
      </c>
      <c r="I1134" s="2" t="s">
        <v>5783</v>
      </c>
      <c r="J1134" s="2" t="s">
        <v>5784</v>
      </c>
      <c r="K1134" s="2" t="s">
        <v>5785</v>
      </c>
    </row>
    <row r="1135" ht="15.75" customHeight="1">
      <c r="H1135" s="2" t="s">
        <v>5786</v>
      </c>
      <c r="I1135" s="2" t="s">
        <v>5787</v>
      </c>
      <c r="J1135" s="2" t="s">
        <v>5788</v>
      </c>
      <c r="K1135" s="2" t="s">
        <v>5742</v>
      </c>
    </row>
    <row r="1136" ht="15.75" customHeight="1">
      <c r="H1136" s="2" t="s">
        <v>5789</v>
      </c>
      <c r="I1136" s="2" t="s">
        <v>5790</v>
      </c>
      <c r="J1136" s="2" t="s">
        <v>5791</v>
      </c>
      <c r="K1136" s="2" t="s">
        <v>5749</v>
      </c>
    </row>
    <row r="1137" ht="15.75" customHeight="1">
      <c r="H1137" s="2" t="s">
        <v>5792</v>
      </c>
      <c r="I1137" s="2" t="s">
        <v>5793</v>
      </c>
      <c r="J1137" s="2" t="s">
        <v>5794</v>
      </c>
      <c r="K1137" s="2" t="s">
        <v>5753</v>
      </c>
    </row>
    <row r="1138" ht="15.75" customHeight="1">
      <c r="H1138" s="2" t="s">
        <v>5795</v>
      </c>
      <c r="I1138" s="2" t="s">
        <v>5796</v>
      </c>
      <c r="J1138" s="2" t="s">
        <v>5796</v>
      </c>
      <c r="K1138" s="2" t="s">
        <v>1768</v>
      </c>
    </row>
    <row r="1139" ht="15.75" customHeight="1">
      <c r="H1139" s="2" t="s">
        <v>5778</v>
      </c>
      <c r="I1139" s="2" t="s">
        <v>536</v>
      </c>
      <c r="J1139" s="2" t="s">
        <v>537</v>
      </c>
      <c r="K1139" s="2" t="s">
        <v>538</v>
      </c>
    </row>
    <row r="1140" ht="15.75" customHeight="1">
      <c r="F1140" s="2" t="s">
        <v>624</v>
      </c>
      <c r="H1140" s="2" t="s">
        <v>5797</v>
      </c>
      <c r="I1140" s="2" t="s">
        <v>5798</v>
      </c>
      <c r="J1140" s="2" t="s">
        <v>5799</v>
      </c>
      <c r="K1140" s="2" t="s">
        <v>5742</v>
      </c>
    </row>
    <row r="1141" ht="15.75" customHeight="1">
      <c r="H1141" s="2" t="s">
        <v>5800</v>
      </c>
      <c r="I1141" s="2" t="s">
        <v>5801</v>
      </c>
      <c r="J1141" s="2" t="s">
        <v>5802</v>
      </c>
      <c r="K1141" s="2" t="s">
        <v>538</v>
      </c>
    </row>
    <row r="1142" ht="15.75" customHeight="1">
      <c r="H1142" s="2" t="s">
        <v>5803</v>
      </c>
      <c r="I1142" s="2" t="s">
        <v>5804</v>
      </c>
      <c r="J1142" s="2" t="s">
        <v>5805</v>
      </c>
      <c r="K1142" s="2" t="s">
        <v>5749</v>
      </c>
    </row>
    <row r="1143" ht="15.75" customHeight="1">
      <c r="H1143" s="2" t="s">
        <v>5806</v>
      </c>
      <c r="I1143" s="2" t="s">
        <v>5807</v>
      </c>
      <c r="J1143" s="2" t="s">
        <v>5808</v>
      </c>
      <c r="K1143" s="2" t="s">
        <v>5753</v>
      </c>
    </row>
    <row r="1144" ht="15.75" customHeight="1">
      <c r="F1144" s="2" t="s">
        <v>755</v>
      </c>
      <c r="H1144" s="2" t="s">
        <v>5809</v>
      </c>
      <c r="I1144" s="2" t="s">
        <v>5810</v>
      </c>
      <c r="J1144" s="2" t="s">
        <v>5811</v>
      </c>
      <c r="K1144" s="2" t="s">
        <v>5785</v>
      </c>
    </row>
    <row r="1145" ht="15.75" customHeight="1">
      <c r="H1145" s="2" t="s">
        <v>5812</v>
      </c>
      <c r="I1145" s="2" t="s">
        <v>5813</v>
      </c>
      <c r="J1145" s="2" t="s">
        <v>5814</v>
      </c>
      <c r="K1145" s="2" t="s">
        <v>538</v>
      </c>
    </row>
    <row r="1146" ht="15.75" customHeight="1">
      <c r="H1146" s="2" t="s">
        <v>5815</v>
      </c>
      <c r="I1146" s="2" t="s">
        <v>5816</v>
      </c>
      <c r="J1146" s="2" t="s">
        <v>5817</v>
      </c>
      <c r="K1146" s="2" t="s">
        <v>5749</v>
      </c>
    </row>
    <row r="1147" ht="15.75" customHeight="1">
      <c r="H1147" s="2" t="s">
        <v>5818</v>
      </c>
      <c r="I1147" s="2" t="s">
        <v>5819</v>
      </c>
      <c r="J1147" s="2" t="s">
        <v>5820</v>
      </c>
      <c r="K1147" s="2" t="s">
        <v>5753</v>
      </c>
    </row>
    <row r="1148" ht="15.75" customHeight="1">
      <c r="F1148" s="2" t="s">
        <v>764</v>
      </c>
      <c r="H1148" s="2" t="s">
        <v>5821</v>
      </c>
      <c r="I1148" s="2" t="s">
        <v>5822</v>
      </c>
      <c r="J1148" s="2" t="s">
        <v>5823</v>
      </c>
      <c r="K1148" s="2" t="s">
        <v>5742</v>
      </c>
    </row>
    <row r="1149" ht="15.75" customHeight="1">
      <c r="H1149" s="2" t="s">
        <v>5824</v>
      </c>
      <c r="I1149" s="2" t="s">
        <v>5825</v>
      </c>
      <c r="J1149" s="2" t="s">
        <v>5826</v>
      </c>
      <c r="K1149" s="2" t="s">
        <v>538</v>
      </c>
    </row>
    <row r="1150" ht="15.75" customHeight="1">
      <c r="H1150" s="2" t="s">
        <v>5827</v>
      </c>
      <c r="I1150" s="2" t="s">
        <v>5828</v>
      </c>
      <c r="J1150" s="2" t="s">
        <v>5829</v>
      </c>
      <c r="K1150" s="2" t="s">
        <v>5749</v>
      </c>
    </row>
    <row r="1151" ht="15.75" customHeight="1">
      <c r="H1151" s="2" t="s">
        <v>5830</v>
      </c>
      <c r="I1151" s="2" t="s">
        <v>5831</v>
      </c>
      <c r="J1151" s="2" t="s">
        <v>5832</v>
      </c>
      <c r="K1151" s="2" t="s">
        <v>5753</v>
      </c>
    </row>
    <row r="1152" ht="15.75" customHeight="1">
      <c r="F1152" s="2" t="s">
        <v>800</v>
      </c>
      <c r="H1152" s="2" t="s">
        <v>5833</v>
      </c>
      <c r="I1152" s="2" t="s">
        <v>5834</v>
      </c>
      <c r="J1152" s="2" t="s">
        <v>5835</v>
      </c>
      <c r="K1152" s="2" t="s">
        <v>5742</v>
      </c>
    </row>
    <row r="1153" ht="15.75" customHeight="1">
      <c r="H1153" s="2" t="s">
        <v>5836</v>
      </c>
      <c r="I1153" s="2" t="s">
        <v>5837</v>
      </c>
      <c r="J1153" s="2" t="s">
        <v>5838</v>
      </c>
      <c r="K1153" s="2" t="s">
        <v>538</v>
      </c>
    </row>
    <row r="1154" ht="15.75" customHeight="1">
      <c r="H1154" s="2" t="s">
        <v>5839</v>
      </c>
      <c r="I1154" s="2" t="s">
        <v>5840</v>
      </c>
      <c r="J1154" s="2" t="s">
        <v>5841</v>
      </c>
      <c r="K1154" s="2" t="s">
        <v>5749</v>
      </c>
    </row>
    <row r="1155" ht="15.75" customHeight="1">
      <c r="H1155" s="2" t="s">
        <v>5842</v>
      </c>
      <c r="I1155" s="2" t="s">
        <v>5843</v>
      </c>
      <c r="J1155" s="2" t="s">
        <v>5844</v>
      </c>
      <c r="K1155" s="2" t="s">
        <v>5753</v>
      </c>
    </row>
    <row r="1156" ht="15.75" customHeight="1">
      <c r="B1156" s="2" t="s">
        <v>5845</v>
      </c>
      <c r="C1156" s="2" t="s">
        <v>5846</v>
      </c>
      <c r="D1156" s="2" t="s">
        <v>5847</v>
      </c>
      <c r="F1156" s="2" t="s">
        <v>29</v>
      </c>
      <c r="H1156" s="2" t="s">
        <v>5848</v>
      </c>
      <c r="I1156" s="2" t="s">
        <v>31</v>
      </c>
      <c r="J1156" s="2" t="s">
        <v>32</v>
      </c>
      <c r="K1156" s="2" t="s">
        <v>874</v>
      </c>
      <c r="L1156" s="2" t="s">
        <v>5849</v>
      </c>
      <c r="M1156" s="2" t="s">
        <v>5850</v>
      </c>
      <c r="N1156" s="2" t="s">
        <v>5851</v>
      </c>
      <c r="O1156" s="2" t="s">
        <v>869</v>
      </c>
      <c r="P1156" s="2" t="s">
        <v>870</v>
      </c>
    </row>
    <row r="1157" ht="15.75" customHeight="1">
      <c r="F1157" s="2" t="s">
        <v>74</v>
      </c>
      <c r="H1157" s="2" t="s">
        <v>5852</v>
      </c>
      <c r="I1157" s="2" t="s">
        <v>76</v>
      </c>
      <c r="J1157" s="2" t="s">
        <v>77</v>
      </c>
      <c r="K1157" s="2" t="s">
        <v>947</v>
      </c>
      <c r="L1157" s="2" t="s">
        <v>5853</v>
      </c>
      <c r="M1157" s="2" t="s">
        <v>5854</v>
      </c>
      <c r="N1157" s="2" t="s">
        <v>5855</v>
      </c>
      <c r="O1157" s="2" t="s">
        <v>869</v>
      </c>
      <c r="P1157" s="2" t="s">
        <v>870</v>
      </c>
    </row>
    <row r="1158" ht="15.75" customHeight="1">
      <c r="H1158" s="2" t="s">
        <v>5856</v>
      </c>
      <c r="I1158" s="2" t="s">
        <v>1573</v>
      </c>
      <c r="J1158" s="2" t="s">
        <v>1574</v>
      </c>
      <c r="K1158" s="2" t="s">
        <v>1157</v>
      </c>
      <c r="L1158" s="2" t="s">
        <v>5849</v>
      </c>
      <c r="M1158" s="2" t="s">
        <v>5857</v>
      </c>
      <c r="N1158" s="2" t="s">
        <v>5858</v>
      </c>
      <c r="O1158" s="2" t="s">
        <v>869</v>
      </c>
      <c r="P1158" s="2" t="s">
        <v>870</v>
      </c>
    </row>
    <row r="1159" ht="15.75" customHeight="1">
      <c r="H1159" s="2" t="s">
        <v>5859</v>
      </c>
      <c r="I1159" s="2" t="s">
        <v>142</v>
      </c>
      <c r="J1159" s="2" t="s">
        <v>143</v>
      </c>
      <c r="K1159" s="2" t="s">
        <v>1205</v>
      </c>
      <c r="L1159" s="2" t="s">
        <v>5849</v>
      </c>
      <c r="M1159" s="2" t="s">
        <v>5860</v>
      </c>
      <c r="N1159" s="2" t="s">
        <v>5861</v>
      </c>
      <c r="O1159" s="2" t="s">
        <v>869</v>
      </c>
      <c r="P1159" s="2" t="s">
        <v>870</v>
      </c>
    </row>
    <row r="1160" ht="15.75" customHeight="1">
      <c r="H1160" s="2" t="s">
        <v>5862</v>
      </c>
      <c r="I1160" s="2" t="s">
        <v>167</v>
      </c>
      <c r="J1160" s="2" t="s">
        <v>168</v>
      </c>
      <c r="K1160" s="2" t="s">
        <v>1692</v>
      </c>
      <c r="L1160" s="2" t="s">
        <v>5863</v>
      </c>
      <c r="M1160" s="2" t="s">
        <v>5864</v>
      </c>
      <c r="N1160" s="2" t="s">
        <v>5865</v>
      </c>
      <c r="O1160" s="2" t="s">
        <v>869</v>
      </c>
      <c r="P1160" s="2" t="s">
        <v>870</v>
      </c>
    </row>
    <row r="1161" ht="15.75" customHeight="1">
      <c r="H1161" s="2" t="s">
        <v>5866</v>
      </c>
      <c r="I1161" s="2" t="s">
        <v>176</v>
      </c>
      <c r="J1161" s="2" t="s">
        <v>177</v>
      </c>
      <c r="K1161" s="2" t="s">
        <v>1708</v>
      </c>
      <c r="L1161" s="2" t="s">
        <v>5849</v>
      </c>
      <c r="M1161" s="2" t="s">
        <v>5867</v>
      </c>
      <c r="N1161" s="2" t="s">
        <v>5868</v>
      </c>
      <c r="O1161" s="2" t="s">
        <v>869</v>
      </c>
      <c r="P1161" s="2" t="s">
        <v>870</v>
      </c>
    </row>
    <row r="1162" ht="15.75" customHeight="1">
      <c r="H1162" s="2" t="s">
        <v>5869</v>
      </c>
      <c r="I1162" s="2" t="s">
        <v>5341</v>
      </c>
      <c r="J1162" s="2" t="s">
        <v>5342</v>
      </c>
      <c r="L1162" s="2" t="s">
        <v>5849</v>
      </c>
      <c r="M1162" s="2" t="s">
        <v>5870</v>
      </c>
      <c r="N1162" s="2" t="s">
        <v>5871</v>
      </c>
      <c r="O1162" s="2" t="s">
        <v>869</v>
      </c>
      <c r="P1162" s="2" t="s">
        <v>870</v>
      </c>
    </row>
    <row r="1163" ht="15.75" customHeight="1">
      <c r="F1163" s="2" t="s">
        <v>265</v>
      </c>
      <c r="H1163" s="2" t="s">
        <v>5872</v>
      </c>
      <c r="I1163" s="2" t="s">
        <v>267</v>
      </c>
      <c r="J1163" s="2" t="s">
        <v>268</v>
      </c>
      <c r="K1163" s="2" t="s">
        <v>1319</v>
      </c>
      <c r="L1163" s="2" t="s">
        <v>5849</v>
      </c>
      <c r="M1163" s="2" t="s">
        <v>5873</v>
      </c>
      <c r="N1163" s="2" t="s">
        <v>5874</v>
      </c>
      <c r="O1163" s="2" t="s">
        <v>869</v>
      </c>
      <c r="P1163" s="2" t="s">
        <v>870</v>
      </c>
    </row>
    <row r="1164" ht="15.75" customHeight="1">
      <c r="H1164" s="2" t="s">
        <v>5875</v>
      </c>
      <c r="I1164" s="2" t="s">
        <v>5876</v>
      </c>
      <c r="J1164" s="2" t="s">
        <v>5877</v>
      </c>
      <c r="L1164" s="2" t="s">
        <v>5849</v>
      </c>
      <c r="M1164" s="2" t="s">
        <v>5878</v>
      </c>
      <c r="N1164" s="2" t="s">
        <v>5879</v>
      </c>
      <c r="O1164" s="2" t="s">
        <v>869</v>
      </c>
      <c r="P1164" s="2" t="s">
        <v>870</v>
      </c>
    </row>
    <row r="1165" ht="15.75" customHeight="1">
      <c r="F1165" s="2" t="s">
        <v>284</v>
      </c>
      <c r="H1165" s="2" t="s">
        <v>5880</v>
      </c>
      <c r="I1165" s="2" t="s">
        <v>294</v>
      </c>
      <c r="J1165" s="2" t="s">
        <v>295</v>
      </c>
      <c r="L1165" s="2" t="s">
        <v>5849</v>
      </c>
      <c r="M1165" s="2" t="s">
        <v>5881</v>
      </c>
      <c r="N1165" s="2" t="s">
        <v>5882</v>
      </c>
      <c r="O1165" s="2" t="s">
        <v>869</v>
      </c>
      <c r="P1165" s="2" t="s">
        <v>870</v>
      </c>
    </row>
    <row r="1166" ht="15.75" customHeight="1">
      <c r="H1166" s="2" t="s">
        <v>5883</v>
      </c>
      <c r="I1166" s="2" t="s">
        <v>5884</v>
      </c>
      <c r="J1166" s="2" t="s">
        <v>5885</v>
      </c>
      <c r="K1166" s="2" t="s">
        <v>1007</v>
      </c>
      <c r="L1166" s="2" t="s">
        <v>5849</v>
      </c>
      <c r="M1166" s="2" t="s">
        <v>5886</v>
      </c>
      <c r="N1166" s="2" t="s">
        <v>5887</v>
      </c>
      <c r="O1166" s="2" t="s">
        <v>869</v>
      </c>
      <c r="P1166" s="2" t="s">
        <v>870</v>
      </c>
    </row>
    <row r="1167" ht="15.75" customHeight="1">
      <c r="H1167" s="2" t="s">
        <v>5888</v>
      </c>
      <c r="I1167" s="2" t="s">
        <v>5889</v>
      </c>
      <c r="J1167" s="2" t="s">
        <v>5890</v>
      </c>
      <c r="K1167" s="2" t="s">
        <v>1136</v>
      </c>
      <c r="L1167" s="2" t="s">
        <v>5891</v>
      </c>
      <c r="M1167" s="2" t="s">
        <v>5892</v>
      </c>
      <c r="N1167" s="2" t="s">
        <v>5893</v>
      </c>
      <c r="O1167" s="2" t="s">
        <v>869</v>
      </c>
      <c r="P1167" s="2" t="s">
        <v>870</v>
      </c>
    </row>
    <row r="1168" ht="15.75" customHeight="1">
      <c r="H1168" s="2" t="s">
        <v>5894</v>
      </c>
      <c r="I1168" s="2" t="s">
        <v>5895</v>
      </c>
      <c r="J1168" s="2" t="s">
        <v>5896</v>
      </c>
      <c r="L1168" s="2" t="s">
        <v>5849</v>
      </c>
      <c r="M1168" s="2" t="s">
        <v>5897</v>
      </c>
      <c r="N1168" s="2" t="s">
        <v>5898</v>
      </c>
      <c r="O1168" s="2" t="s">
        <v>869</v>
      </c>
      <c r="P1168" s="2" t="s">
        <v>870</v>
      </c>
    </row>
    <row r="1169" ht="15.75" customHeight="1">
      <c r="H1169" s="2" t="s">
        <v>5899</v>
      </c>
      <c r="I1169" s="2" t="s">
        <v>2162</v>
      </c>
      <c r="J1169" s="2" t="s">
        <v>2163</v>
      </c>
      <c r="K1169" s="2" t="s">
        <v>1313</v>
      </c>
      <c r="L1169" s="2" t="s">
        <v>5849</v>
      </c>
      <c r="M1169" s="2" t="s">
        <v>5900</v>
      </c>
      <c r="N1169" s="2" t="s">
        <v>5901</v>
      </c>
      <c r="O1169" s="2" t="s">
        <v>869</v>
      </c>
      <c r="P1169" s="2" t="s">
        <v>870</v>
      </c>
    </row>
    <row r="1170" ht="15.75" customHeight="1">
      <c r="H1170" s="2" t="s">
        <v>5902</v>
      </c>
      <c r="I1170" s="2" t="s">
        <v>5903</v>
      </c>
      <c r="J1170" s="2" t="s">
        <v>5904</v>
      </c>
      <c r="K1170" s="2" t="s">
        <v>1163</v>
      </c>
      <c r="L1170" s="2" t="s">
        <v>5849</v>
      </c>
      <c r="M1170" s="2" t="s">
        <v>5905</v>
      </c>
      <c r="N1170" s="2" t="s">
        <v>5906</v>
      </c>
      <c r="O1170" s="2" t="s">
        <v>869</v>
      </c>
      <c r="P1170" s="2" t="s">
        <v>870</v>
      </c>
    </row>
    <row r="1171" ht="15.75" customHeight="1">
      <c r="H1171" s="2" t="s">
        <v>5907</v>
      </c>
      <c r="I1171" s="2" t="s">
        <v>5421</v>
      </c>
      <c r="J1171" s="2" t="s">
        <v>5422</v>
      </c>
      <c r="K1171" s="2" t="s">
        <v>1169</v>
      </c>
      <c r="L1171" s="2" t="s">
        <v>5908</v>
      </c>
      <c r="M1171" s="2" t="s">
        <v>5909</v>
      </c>
      <c r="N1171" s="2" t="s">
        <v>5910</v>
      </c>
      <c r="O1171" s="2" t="s">
        <v>869</v>
      </c>
      <c r="P1171" s="2" t="s">
        <v>870</v>
      </c>
    </row>
    <row r="1172" ht="15.75" customHeight="1">
      <c r="H1172" s="2" t="s">
        <v>5911</v>
      </c>
      <c r="I1172" s="2" t="s">
        <v>2195</v>
      </c>
      <c r="J1172" s="2" t="s">
        <v>2196</v>
      </c>
      <c r="L1172" s="2" t="s">
        <v>5849</v>
      </c>
      <c r="M1172" s="2" t="s">
        <v>5912</v>
      </c>
      <c r="N1172" s="2" t="s">
        <v>5913</v>
      </c>
      <c r="O1172" s="2" t="s">
        <v>869</v>
      </c>
      <c r="P1172" s="2" t="s">
        <v>870</v>
      </c>
    </row>
    <row r="1173" ht="15.75" customHeight="1">
      <c r="H1173" s="2" t="s">
        <v>5914</v>
      </c>
      <c r="I1173" s="2" t="s">
        <v>2207</v>
      </c>
      <c r="J1173" s="2" t="s">
        <v>2208</v>
      </c>
      <c r="K1173" s="2" t="s">
        <v>1027</v>
      </c>
      <c r="L1173" s="2" t="s">
        <v>5849</v>
      </c>
      <c r="M1173" s="2" t="s">
        <v>5915</v>
      </c>
      <c r="N1173" s="2" t="s">
        <v>5916</v>
      </c>
      <c r="O1173" s="2" t="s">
        <v>869</v>
      </c>
      <c r="P1173" s="2" t="s">
        <v>870</v>
      </c>
    </row>
    <row r="1174" ht="15.75" customHeight="1">
      <c r="H1174" s="2" t="s">
        <v>5917</v>
      </c>
      <c r="I1174" s="2" t="s">
        <v>326</v>
      </c>
      <c r="J1174" s="2" t="s">
        <v>327</v>
      </c>
      <c r="K1174" s="2" t="s">
        <v>1331</v>
      </c>
      <c r="L1174" s="2" t="s">
        <v>5918</v>
      </c>
      <c r="M1174" s="2" t="s">
        <v>5919</v>
      </c>
      <c r="N1174" s="2" t="s">
        <v>5920</v>
      </c>
      <c r="O1174" s="2" t="s">
        <v>869</v>
      </c>
      <c r="P1174" s="2" t="s">
        <v>870</v>
      </c>
    </row>
    <row r="1175" ht="15.75" customHeight="1">
      <c r="H1175" s="2" t="s">
        <v>5921</v>
      </c>
      <c r="I1175" s="2" t="s">
        <v>5454</v>
      </c>
      <c r="J1175" s="2" t="s">
        <v>5455</v>
      </c>
      <c r="L1175" s="2" t="s">
        <v>5849</v>
      </c>
      <c r="M1175" s="2" t="s">
        <v>5922</v>
      </c>
      <c r="N1175" s="2" t="s">
        <v>5923</v>
      </c>
      <c r="O1175" s="2" t="s">
        <v>869</v>
      </c>
      <c r="P1175" s="2" t="s">
        <v>870</v>
      </c>
    </row>
    <row r="1176" ht="15.75" customHeight="1">
      <c r="H1176" s="2" t="s">
        <v>5924</v>
      </c>
      <c r="I1176" s="2" t="s">
        <v>5925</v>
      </c>
      <c r="J1176" s="2" t="s">
        <v>5926</v>
      </c>
      <c r="K1176" s="2" t="s">
        <v>5927</v>
      </c>
      <c r="L1176" s="2" t="s">
        <v>5849</v>
      </c>
      <c r="M1176" s="2" t="s">
        <v>5928</v>
      </c>
      <c r="N1176" s="2" t="s">
        <v>5929</v>
      </c>
      <c r="O1176" s="2" t="s">
        <v>869</v>
      </c>
      <c r="P1176" s="2" t="s">
        <v>870</v>
      </c>
    </row>
    <row r="1177" ht="15.75" customHeight="1">
      <c r="H1177" s="2" t="s">
        <v>5930</v>
      </c>
      <c r="I1177" s="2" t="s">
        <v>5931</v>
      </c>
      <c r="J1177" s="2" t="s">
        <v>5932</v>
      </c>
      <c r="L1177" s="2" t="s">
        <v>5849</v>
      </c>
      <c r="M1177" s="2" t="s">
        <v>5933</v>
      </c>
      <c r="N1177" s="2" t="s">
        <v>5934</v>
      </c>
      <c r="O1177" s="2" t="s">
        <v>869</v>
      </c>
      <c r="P1177" s="2" t="s">
        <v>870</v>
      </c>
    </row>
    <row r="1178" ht="15.75" customHeight="1">
      <c r="H1178" s="2" t="s">
        <v>5935</v>
      </c>
      <c r="I1178" s="2" t="s">
        <v>432</v>
      </c>
      <c r="J1178" s="2" t="s">
        <v>433</v>
      </c>
      <c r="K1178" s="2" t="s">
        <v>2236</v>
      </c>
      <c r="L1178" s="2" t="s">
        <v>5849</v>
      </c>
      <c r="M1178" s="2" t="s">
        <v>5936</v>
      </c>
      <c r="N1178" s="2" t="s">
        <v>5937</v>
      </c>
      <c r="O1178" s="2" t="s">
        <v>869</v>
      </c>
      <c r="P1178" s="2" t="s">
        <v>870</v>
      </c>
    </row>
    <row r="1179" ht="15.75" customHeight="1">
      <c r="H1179" s="2" t="s">
        <v>5938</v>
      </c>
      <c r="I1179" s="2" t="s">
        <v>2303</v>
      </c>
      <c r="J1179" s="2" t="s">
        <v>2304</v>
      </c>
      <c r="K1179" s="2" t="s">
        <v>1712</v>
      </c>
      <c r="L1179" s="2" t="s">
        <v>5849</v>
      </c>
      <c r="M1179" s="2" t="s">
        <v>5939</v>
      </c>
      <c r="N1179" s="2" t="s">
        <v>5940</v>
      </c>
      <c r="O1179" s="2" t="s">
        <v>869</v>
      </c>
      <c r="P1179" s="2" t="s">
        <v>870</v>
      </c>
    </row>
    <row r="1180" ht="15.75" customHeight="1">
      <c r="H1180" s="2" t="s">
        <v>5941</v>
      </c>
      <c r="I1180" s="2" t="s">
        <v>662</v>
      </c>
      <c r="J1180" s="2" t="s">
        <v>663</v>
      </c>
      <c r="K1180" s="2" t="s">
        <v>2309</v>
      </c>
      <c r="L1180" s="2" t="s">
        <v>5942</v>
      </c>
      <c r="M1180" s="2" t="s">
        <v>5943</v>
      </c>
      <c r="N1180" s="2" t="s">
        <v>5944</v>
      </c>
      <c r="O1180" s="2" t="s">
        <v>869</v>
      </c>
      <c r="P1180" s="2" t="s">
        <v>870</v>
      </c>
    </row>
    <row r="1181" ht="15.75" customHeight="1">
      <c r="H1181" s="2" t="s">
        <v>5945</v>
      </c>
      <c r="I1181" s="2" t="s">
        <v>5541</v>
      </c>
      <c r="J1181" s="2" t="s">
        <v>5542</v>
      </c>
      <c r="L1181" s="2" t="s">
        <v>5849</v>
      </c>
      <c r="M1181" s="2" t="s">
        <v>5946</v>
      </c>
      <c r="N1181" s="2" t="s">
        <v>5947</v>
      </c>
      <c r="O1181" s="2" t="s">
        <v>869</v>
      </c>
      <c r="P1181" s="2" t="s">
        <v>870</v>
      </c>
    </row>
    <row r="1182" ht="15.75" customHeight="1">
      <c r="H1182" s="2" t="s">
        <v>5948</v>
      </c>
      <c r="I1182" s="2" t="s">
        <v>485</v>
      </c>
      <c r="J1182" s="2" t="s">
        <v>486</v>
      </c>
      <c r="K1182" s="2" t="s">
        <v>2375</v>
      </c>
      <c r="L1182" s="2" t="s">
        <v>5949</v>
      </c>
      <c r="M1182" s="2" t="s">
        <v>5950</v>
      </c>
      <c r="N1182" s="2" t="s">
        <v>5951</v>
      </c>
      <c r="O1182" s="2" t="s">
        <v>869</v>
      </c>
      <c r="P1182" s="2" t="s">
        <v>870</v>
      </c>
    </row>
    <row r="1183" ht="15.75" customHeight="1">
      <c r="H1183" s="2" t="s">
        <v>5952</v>
      </c>
      <c r="I1183" s="2" t="s">
        <v>510</v>
      </c>
      <c r="J1183" s="2" t="s">
        <v>511</v>
      </c>
      <c r="L1183" s="2" t="s">
        <v>5849</v>
      </c>
      <c r="M1183" s="2" t="s">
        <v>5953</v>
      </c>
      <c r="N1183" s="2" t="s">
        <v>5954</v>
      </c>
      <c r="O1183" s="2" t="s">
        <v>869</v>
      </c>
      <c r="P1183" s="2" t="s">
        <v>870</v>
      </c>
    </row>
    <row r="1184" ht="15.75" customHeight="1">
      <c r="H1184" s="2" t="s">
        <v>5955</v>
      </c>
      <c r="I1184" s="2" t="s">
        <v>526</v>
      </c>
      <c r="J1184" s="2" t="s">
        <v>527</v>
      </c>
      <c r="L1184" s="2" t="s">
        <v>5849</v>
      </c>
      <c r="M1184" s="2" t="s">
        <v>5956</v>
      </c>
      <c r="N1184" s="2" t="s">
        <v>5957</v>
      </c>
      <c r="O1184" s="2" t="s">
        <v>869</v>
      </c>
      <c r="P1184" s="2" t="s">
        <v>870</v>
      </c>
    </row>
    <row r="1185" ht="15.75" customHeight="1">
      <c r="H1185" s="2" t="s">
        <v>5958</v>
      </c>
      <c r="I1185" s="2" t="s">
        <v>5959</v>
      </c>
      <c r="J1185" s="2" t="s">
        <v>5960</v>
      </c>
      <c r="K1185" s="2" t="s">
        <v>1624</v>
      </c>
      <c r="L1185" s="2" t="s">
        <v>5849</v>
      </c>
      <c r="M1185" s="2" t="s">
        <v>5961</v>
      </c>
      <c r="N1185" s="2" t="s">
        <v>5962</v>
      </c>
      <c r="O1185" s="2" t="s">
        <v>869</v>
      </c>
      <c r="P1185" s="2" t="s">
        <v>870</v>
      </c>
    </row>
    <row r="1186" ht="15.75" customHeight="1">
      <c r="F1186" s="2" t="s">
        <v>534</v>
      </c>
      <c r="H1186" s="2" t="s">
        <v>5963</v>
      </c>
      <c r="I1186" s="2" t="s">
        <v>536</v>
      </c>
      <c r="J1186" s="2" t="s">
        <v>537</v>
      </c>
      <c r="K1186" s="2" t="s">
        <v>538</v>
      </c>
    </row>
    <row r="1187" ht="15.75" customHeight="1">
      <c r="F1187" s="2" t="s">
        <v>624</v>
      </c>
      <c r="H1187" s="2" t="s">
        <v>5964</v>
      </c>
      <c r="I1187" s="2" t="s">
        <v>3221</v>
      </c>
      <c r="J1187" s="2" t="s">
        <v>3222</v>
      </c>
      <c r="K1187" s="2" t="s">
        <v>890</v>
      </c>
      <c r="L1187" s="2" t="s">
        <v>5849</v>
      </c>
      <c r="M1187" s="2" t="s">
        <v>5965</v>
      </c>
      <c r="N1187" s="2" t="s">
        <v>5966</v>
      </c>
      <c r="O1187" s="2" t="s">
        <v>869</v>
      </c>
      <c r="P1187" s="2" t="s">
        <v>870</v>
      </c>
    </row>
    <row r="1188" ht="15.75" customHeight="1">
      <c r="H1188" s="2" t="s">
        <v>5967</v>
      </c>
      <c r="I1188" s="2" t="s">
        <v>626</v>
      </c>
      <c r="J1188" s="2" t="s">
        <v>627</v>
      </c>
      <c r="K1188" s="2" t="s">
        <v>2203</v>
      </c>
      <c r="L1188" s="2" t="s">
        <v>5849</v>
      </c>
      <c r="M1188" s="2" t="s">
        <v>5968</v>
      </c>
      <c r="N1188" s="2" t="s">
        <v>5969</v>
      </c>
      <c r="O1188" s="2" t="s">
        <v>869</v>
      </c>
      <c r="P1188" s="2" t="s">
        <v>870</v>
      </c>
    </row>
    <row r="1189" ht="15.75" customHeight="1">
      <c r="H1189" s="2" t="s">
        <v>5970</v>
      </c>
      <c r="I1189" s="2" t="s">
        <v>5971</v>
      </c>
      <c r="J1189" s="2" t="s">
        <v>5972</v>
      </c>
      <c r="L1189" s="2" t="s">
        <v>5849</v>
      </c>
      <c r="M1189" s="2" t="s">
        <v>5973</v>
      </c>
      <c r="N1189" s="2" t="s">
        <v>5974</v>
      </c>
      <c r="O1189" s="2" t="s">
        <v>869</v>
      </c>
      <c r="P1189" s="2" t="s">
        <v>870</v>
      </c>
    </row>
    <row r="1190" ht="15.75" customHeight="1">
      <c r="F1190" s="2" t="s">
        <v>694</v>
      </c>
      <c r="H1190" s="2" t="s">
        <v>5975</v>
      </c>
      <c r="I1190" s="2" t="s">
        <v>696</v>
      </c>
      <c r="J1190" s="2" t="s">
        <v>697</v>
      </c>
      <c r="K1190" s="2" t="s">
        <v>1567</v>
      </c>
      <c r="L1190" s="2" t="s">
        <v>5849</v>
      </c>
      <c r="M1190" s="2" t="s">
        <v>5976</v>
      </c>
      <c r="N1190" s="2" t="s">
        <v>5977</v>
      </c>
      <c r="O1190" s="2" t="s">
        <v>869</v>
      </c>
      <c r="P1190" s="2" t="s">
        <v>870</v>
      </c>
    </row>
    <row r="1191" ht="15.75" customHeight="1">
      <c r="F1191" s="2" t="s">
        <v>703</v>
      </c>
      <c r="H1191" s="2" t="s">
        <v>5978</v>
      </c>
      <c r="I1191" s="2" t="s">
        <v>4060</v>
      </c>
      <c r="J1191" s="2" t="s">
        <v>4061</v>
      </c>
      <c r="L1191" s="2" t="s">
        <v>5979</v>
      </c>
      <c r="M1191" s="2" t="s">
        <v>5980</v>
      </c>
      <c r="N1191" s="2" t="s">
        <v>5981</v>
      </c>
      <c r="O1191" s="2" t="s">
        <v>869</v>
      </c>
      <c r="P1191" s="2" t="s">
        <v>870</v>
      </c>
    </row>
    <row r="1192" ht="15.75" customHeight="1">
      <c r="H1192" s="2" t="s">
        <v>5982</v>
      </c>
      <c r="I1192" s="2" t="s">
        <v>4065</v>
      </c>
      <c r="J1192" s="2" t="s">
        <v>4066</v>
      </c>
      <c r="K1192" s="2" t="s">
        <v>1157</v>
      </c>
      <c r="L1192" s="2" t="s">
        <v>5849</v>
      </c>
      <c r="M1192" s="2" t="s">
        <v>5983</v>
      </c>
      <c r="N1192" s="2" t="s">
        <v>5984</v>
      </c>
      <c r="O1192" s="2" t="s">
        <v>869</v>
      </c>
      <c r="P1192" s="2" t="s">
        <v>870</v>
      </c>
    </row>
    <row r="1193" ht="15.75" customHeight="1">
      <c r="F1193" s="2" t="s">
        <v>800</v>
      </c>
      <c r="H1193" s="2" t="s">
        <v>5985</v>
      </c>
      <c r="I1193" s="2" t="s">
        <v>5986</v>
      </c>
      <c r="J1193" s="2" t="s">
        <v>5987</v>
      </c>
      <c r="K1193" s="2" t="s">
        <v>5988</v>
      </c>
      <c r="L1193" s="2" t="s">
        <v>5849</v>
      </c>
      <c r="M1193" s="2" t="s">
        <v>5989</v>
      </c>
      <c r="N1193" s="2" t="s">
        <v>5990</v>
      </c>
      <c r="O1193" s="2" t="s">
        <v>869</v>
      </c>
      <c r="P1193" s="2" t="s">
        <v>870</v>
      </c>
    </row>
    <row r="1194" ht="15.75" customHeight="1">
      <c r="B1194" s="2" t="s">
        <v>5991</v>
      </c>
      <c r="C1194" s="2" t="s">
        <v>5992</v>
      </c>
      <c r="D1194" s="2" t="s">
        <v>5993</v>
      </c>
      <c r="F1194" s="2" t="s">
        <v>19</v>
      </c>
      <c r="H1194" s="2" t="s">
        <v>5994</v>
      </c>
      <c r="I1194" s="2" t="s">
        <v>21</v>
      </c>
      <c r="J1194" s="2" t="s">
        <v>22</v>
      </c>
      <c r="K1194" s="2" t="s">
        <v>5995</v>
      </c>
      <c r="L1194" s="2" t="s">
        <v>5996</v>
      </c>
      <c r="M1194" s="2" t="s">
        <v>5997</v>
      </c>
      <c r="N1194" s="2" t="s">
        <v>5998</v>
      </c>
      <c r="O1194" s="2" t="s">
        <v>869</v>
      </c>
      <c r="P1194" s="2" t="s">
        <v>870</v>
      </c>
    </row>
    <row r="1195" ht="15.75" customHeight="1">
      <c r="F1195" s="2" t="s">
        <v>29</v>
      </c>
      <c r="H1195" s="2" t="s">
        <v>5999</v>
      </c>
      <c r="I1195" s="2" t="s">
        <v>31</v>
      </c>
      <c r="J1195" s="2" t="s">
        <v>32</v>
      </c>
      <c r="K1195" s="2" t="s">
        <v>6000</v>
      </c>
      <c r="L1195" s="2" t="s">
        <v>5996</v>
      </c>
      <c r="M1195" s="2" t="s">
        <v>6001</v>
      </c>
      <c r="N1195" s="2" t="s">
        <v>6002</v>
      </c>
      <c r="O1195" s="2" t="s">
        <v>869</v>
      </c>
      <c r="P1195" s="2" t="s">
        <v>870</v>
      </c>
    </row>
    <row r="1196" ht="15.75" customHeight="1">
      <c r="H1196" s="2" t="s">
        <v>6003</v>
      </c>
      <c r="I1196" s="2" t="s">
        <v>6004</v>
      </c>
      <c r="J1196" s="2" t="s">
        <v>6005</v>
      </c>
      <c r="K1196" s="2" t="s">
        <v>6006</v>
      </c>
      <c r="L1196" s="2" t="s">
        <v>5996</v>
      </c>
      <c r="M1196" s="2" t="s">
        <v>6007</v>
      </c>
      <c r="N1196" s="2" t="s">
        <v>6008</v>
      </c>
      <c r="O1196" s="2" t="s">
        <v>869</v>
      </c>
      <c r="P1196" s="2" t="s">
        <v>870</v>
      </c>
    </row>
    <row r="1197" ht="15.75" customHeight="1">
      <c r="F1197" s="2" t="s">
        <v>74</v>
      </c>
      <c r="H1197" s="2" t="s">
        <v>6009</v>
      </c>
      <c r="I1197" s="2" t="s">
        <v>76</v>
      </c>
      <c r="J1197" s="2" t="s">
        <v>77</v>
      </c>
      <c r="K1197" s="2" t="s">
        <v>6010</v>
      </c>
      <c r="L1197" s="2" t="s">
        <v>6011</v>
      </c>
      <c r="M1197" s="2" t="s">
        <v>6012</v>
      </c>
      <c r="N1197" s="2" t="s">
        <v>6013</v>
      </c>
      <c r="O1197" s="2" t="s">
        <v>869</v>
      </c>
      <c r="P1197" s="2" t="s">
        <v>870</v>
      </c>
    </row>
    <row r="1198" ht="15.75" customHeight="1">
      <c r="H1198" s="2" t="s">
        <v>6014</v>
      </c>
      <c r="I1198" s="2" t="s">
        <v>176</v>
      </c>
      <c r="J1198" s="2" t="s">
        <v>177</v>
      </c>
      <c r="K1198" s="2" t="s">
        <v>6015</v>
      </c>
      <c r="L1198" s="2" t="s">
        <v>5996</v>
      </c>
      <c r="M1198" s="2" t="s">
        <v>6016</v>
      </c>
      <c r="N1198" s="2" t="s">
        <v>6017</v>
      </c>
      <c r="O1198" s="2" t="s">
        <v>869</v>
      </c>
      <c r="P1198" s="2" t="s">
        <v>870</v>
      </c>
    </row>
    <row r="1199" ht="15.75" customHeight="1">
      <c r="F1199" s="2" t="s">
        <v>265</v>
      </c>
      <c r="H1199" s="2" t="s">
        <v>6018</v>
      </c>
      <c r="I1199" s="2" t="s">
        <v>267</v>
      </c>
      <c r="J1199" s="2" t="s">
        <v>268</v>
      </c>
      <c r="K1199" s="2" t="s">
        <v>6019</v>
      </c>
      <c r="L1199" s="2" t="s">
        <v>5996</v>
      </c>
      <c r="M1199" s="2" t="s">
        <v>6020</v>
      </c>
      <c r="N1199" s="2" t="s">
        <v>6021</v>
      </c>
      <c r="O1199" s="2" t="s">
        <v>869</v>
      </c>
      <c r="P1199" s="2" t="s">
        <v>870</v>
      </c>
    </row>
    <row r="1200" ht="15.75" customHeight="1">
      <c r="F1200" s="2" t="s">
        <v>284</v>
      </c>
      <c r="H1200" s="2" t="s">
        <v>6022</v>
      </c>
      <c r="I1200" s="2" t="s">
        <v>6023</v>
      </c>
      <c r="J1200" s="2" t="s">
        <v>6024</v>
      </c>
      <c r="K1200" s="2" t="s">
        <v>6025</v>
      </c>
      <c r="L1200" s="2" t="s">
        <v>5996</v>
      </c>
      <c r="M1200" s="2" t="s">
        <v>6026</v>
      </c>
      <c r="N1200" s="2" t="s">
        <v>6027</v>
      </c>
      <c r="O1200" s="2" t="s">
        <v>869</v>
      </c>
      <c r="P1200" s="2" t="s">
        <v>870</v>
      </c>
    </row>
    <row r="1201" ht="15.75" customHeight="1">
      <c r="H1201" s="2" t="s">
        <v>6028</v>
      </c>
      <c r="I1201" s="2" t="s">
        <v>2175</v>
      </c>
      <c r="J1201" s="2" t="s">
        <v>2176</v>
      </c>
      <c r="K1201" s="2" t="s">
        <v>6029</v>
      </c>
      <c r="L1201" s="2" t="s">
        <v>5996</v>
      </c>
      <c r="M1201" s="2" t="s">
        <v>6030</v>
      </c>
      <c r="N1201" s="2" t="s">
        <v>6031</v>
      </c>
      <c r="O1201" s="2" t="s">
        <v>869</v>
      </c>
      <c r="P1201" s="2" t="s">
        <v>870</v>
      </c>
    </row>
    <row r="1202" ht="15.75" customHeight="1">
      <c r="H1202" s="2" t="s">
        <v>6032</v>
      </c>
      <c r="I1202" s="2" t="s">
        <v>415</v>
      </c>
      <c r="J1202" s="2" t="s">
        <v>416</v>
      </c>
      <c r="K1202" s="2" t="s">
        <v>6033</v>
      </c>
      <c r="L1202" s="2" t="s">
        <v>5996</v>
      </c>
      <c r="M1202" s="2" t="s">
        <v>6034</v>
      </c>
      <c r="N1202" s="2" t="s">
        <v>6035</v>
      </c>
      <c r="O1202" s="2" t="s">
        <v>869</v>
      </c>
      <c r="P1202" s="2" t="s">
        <v>870</v>
      </c>
    </row>
    <row r="1203" ht="15.75" customHeight="1">
      <c r="H1203" s="2" t="s">
        <v>6036</v>
      </c>
      <c r="I1203" s="2" t="s">
        <v>449</v>
      </c>
      <c r="J1203" s="2" t="s">
        <v>450</v>
      </c>
      <c r="K1203" s="2" t="s">
        <v>6037</v>
      </c>
      <c r="L1203" s="2" t="s">
        <v>5996</v>
      </c>
      <c r="M1203" s="2" t="s">
        <v>6038</v>
      </c>
      <c r="N1203" s="2" t="s">
        <v>6039</v>
      </c>
      <c r="O1203" s="2" t="s">
        <v>869</v>
      </c>
      <c r="P1203" s="2" t="s">
        <v>870</v>
      </c>
    </row>
    <row r="1204" ht="15.75" customHeight="1">
      <c r="H1204" s="2" t="s">
        <v>6040</v>
      </c>
      <c r="I1204" s="2" t="s">
        <v>485</v>
      </c>
      <c r="J1204" s="2" t="s">
        <v>486</v>
      </c>
      <c r="K1204" s="2" t="s">
        <v>6041</v>
      </c>
      <c r="L1204" s="2" t="s">
        <v>5996</v>
      </c>
      <c r="M1204" s="2" t="s">
        <v>6042</v>
      </c>
      <c r="N1204" s="2" t="s">
        <v>6043</v>
      </c>
      <c r="O1204" s="2" t="s">
        <v>869</v>
      </c>
      <c r="P1204" s="2" t="s">
        <v>870</v>
      </c>
    </row>
    <row r="1205" ht="15.75" customHeight="1">
      <c r="F1205" s="2" t="s">
        <v>534</v>
      </c>
      <c r="H1205" s="2" t="s">
        <v>6044</v>
      </c>
      <c r="I1205" s="2" t="s">
        <v>536</v>
      </c>
      <c r="J1205" s="2" t="s">
        <v>537</v>
      </c>
      <c r="K1205" s="2" t="s">
        <v>538</v>
      </c>
    </row>
    <row r="1206" ht="15.75" customHeight="1">
      <c r="F1206" s="2" t="s">
        <v>539</v>
      </c>
      <c r="H1206" s="2" t="s">
        <v>6045</v>
      </c>
      <c r="I1206" s="2" t="s">
        <v>541</v>
      </c>
      <c r="J1206" s="2" t="s">
        <v>542</v>
      </c>
      <c r="K1206" s="2" t="s">
        <v>6046</v>
      </c>
      <c r="L1206" s="2" t="s">
        <v>5996</v>
      </c>
      <c r="M1206" s="2" t="s">
        <v>6047</v>
      </c>
      <c r="N1206" s="2" t="s">
        <v>6048</v>
      </c>
      <c r="O1206" s="2" t="s">
        <v>869</v>
      </c>
      <c r="P1206" s="2" t="s">
        <v>870</v>
      </c>
    </row>
    <row r="1207" ht="15.75" customHeight="1">
      <c r="F1207" s="2" t="s">
        <v>2597</v>
      </c>
      <c r="H1207" s="2" t="s">
        <v>6049</v>
      </c>
      <c r="I1207" s="2" t="s">
        <v>2624</v>
      </c>
      <c r="J1207" s="2" t="s">
        <v>2625</v>
      </c>
      <c r="K1207" s="2" t="s">
        <v>6050</v>
      </c>
      <c r="L1207" s="2" t="s">
        <v>5996</v>
      </c>
      <c r="M1207" s="2" t="s">
        <v>6051</v>
      </c>
      <c r="N1207" s="2" t="s">
        <v>6052</v>
      </c>
      <c r="O1207" s="2" t="s">
        <v>869</v>
      </c>
      <c r="P1207" s="2" t="s">
        <v>870</v>
      </c>
    </row>
    <row r="1208" ht="15.75" customHeight="1">
      <c r="F1208" s="2" t="s">
        <v>3079</v>
      </c>
      <c r="H1208" s="2" t="s">
        <v>6053</v>
      </c>
      <c r="I1208" s="2" t="s">
        <v>3101</v>
      </c>
      <c r="J1208" s="2" t="s">
        <v>3102</v>
      </c>
      <c r="K1208" s="2" t="s">
        <v>6054</v>
      </c>
      <c r="L1208" s="2" t="s">
        <v>5996</v>
      </c>
      <c r="M1208" s="2" t="s">
        <v>6055</v>
      </c>
      <c r="N1208" s="2" t="s">
        <v>6056</v>
      </c>
      <c r="O1208" s="2" t="s">
        <v>869</v>
      </c>
      <c r="P1208" s="2" t="s">
        <v>870</v>
      </c>
    </row>
    <row r="1209" ht="15.75" customHeight="1">
      <c r="F1209" s="2" t="s">
        <v>624</v>
      </c>
      <c r="H1209" s="2" t="s">
        <v>6057</v>
      </c>
      <c r="I1209" s="2" t="s">
        <v>626</v>
      </c>
      <c r="J1209" s="2" t="s">
        <v>627</v>
      </c>
      <c r="K1209" s="2" t="s">
        <v>6058</v>
      </c>
      <c r="L1209" s="2" t="s">
        <v>5996</v>
      </c>
      <c r="M1209" s="2" t="s">
        <v>6059</v>
      </c>
      <c r="N1209" s="2" t="s">
        <v>6060</v>
      </c>
      <c r="O1209" s="2" t="s">
        <v>869</v>
      </c>
      <c r="P1209" s="2" t="s">
        <v>870</v>
      </c>
    </row>
    <row r="1210" ht="15.75" customHeight="1">
      <c r="F1210" s="2" t="s">
        <v>677</v>
      </c>
      <c r="H1210" s="2" t="s">
        <v>6061</v>
      </c>
      <c r="I1210" s="2" t="s">
        <v>679</v>
      </c>
      <c r="J1210" s="2" t="s">
        <v>680</v>
      </c>
      <c r="K1210" s="2" t="s">
        <v>6062</v>
      </c>
      <c r="L1210" s="2" t="s">
        <v>5996</v>
      </c>
      <c r="M1210" s="2" t="s">
        <v>6063</v>
      </c>
      <c r="N1210" s="2" t="s">
        <v>6064</v>
      </c>
      <c r="O1210" s="2" t="s">
        <v>869</v>
      </c>
      <c r="P1210" s="2" t="s">
        <v>870</v>
      </c>
    </row>
    <row r="1211" ht="15.75" customHeight="1">
      <c r="F1211" s="2" t="s">
        <v>746</v>
      </c>
      <c r="H1211" s="2" t="s">
        <v>6065</v>
      </c>
      <c r="I1211" s="2" t="s">
        <v>6066</v>
      </c>
      <c r="J1211" s="2" t="s">
        <v>6067</v>
      </c>
      <c r="K1211" s="2" t="s">
        <v>6068</v>
      </c>
      <c r="L1211" s="2" t="s">
        <v>5996</v>
      </c>
      <c r="M1211" s="2" t="s">
        <v>6069</v>
      </c>
      <c r="N1211" s="2" t="s">
        <v>6070</v>
      </c>
      <c r="O1211" s="2" t="s">
        <v>869</v>
      </c>
      <c r="P1211" s="2" t="s">
        <v>870</v>
      </c>
    </row>
    <row r="1212" ht="15.75" customHeight="1">
      <c r="F1212" s="2" t="s">
        <v>4353</v>
      </c>
      <c r="H1212" s="2" t="s">
        <v>6071</v>
      </c>
      <c r="I1212" s="2" t="s">
        <v>6072</v>
      </c>
      <c r="J1212" s="2" t="s">
        <v>6073</v>
      </c>
      <c r="K1212" s="2" t="s">
        <v>6074</v>
      </c>
      <c r="L1212" s="2" t="s">
        <v>5996</v>
      </c>
      <c r="M1212" s="2" t="s">
        <v>6075</v>
      </c>
      <c r="N1212" s="2" t="s">
        <v>6076</v>
      </c>
      <c r="O1212" s="2" t="s">
        <v>869</v>
      </c>
      <c r="P1212" s="2" t="s">
        <v>870</v>
      </c>
    </row>
    <row r="1213" ht="15.75" customHeight="1">
      <c r="F1213" s="2" t="s">
        <v>755</v>
      </c>
      <c r="H1213" s="2" t="s">
        <v>6077</v>
      </c>
      <c r="I1213" s="2" t="s">
        <v>757</v>
      </c>
      <c r="J1213" s="2" t="s">
        <v>758</v>
      </c>
      <c r="K1213" s="2" t="s">
        <v>6006</v>
      </c>
      <c r="L1213" s="2" t="s">
        <v>5996</v>
      </c>
      <c r="M1213" s="2" t="s">
        <v>6078</v>
      </c>
      <c r="N1213" s="2" t="s">
        <v>6079</v>
      </c>
      <c r="O1213" s="2" t="s">
        <v>869</v>
      </c>
      <c r="P1213" s="2" t="s">
        <v>870</v>
      </c>
    </row>
    <row r="1214" ht="15.75" customHeight="1">
      <c r="F1214" s="2" t="s">
        <v>764</v>
      </c>
      <c r="H1214" s="2" t="s">
        <v>6080</v>
      </c>
      <c r="I1214" s="2" t="s">
        <v>766</v>
      </c>
      <c r="J1214" s="2" t="s">
        <v>767</v>
      </c>
      <c r="K1214" s="2" t="s">
        <v>6081</v>
      </c>
      <c r="L1214" s="2" t="s">
        <v>5996</v>
      </c>
      <c r="M1214" s="2" t="s">
        <v>6082</v>
      </c>
      <c r="N1214" s="2" t="s">
        <v>6083</v>
      </c>
      <c r="O1214" s="2" t="s">
        <v>869</v>
      </c>
      <c r="P1214" s="2" t="s">
        <v>870</v>
      </c>
    </row>
    <row r="1215" ht="15.75" customHeight="1">
      <c r="F1215" s="2" t="s">
        <v>800</v>
      </c>
      <c r="H1215" s="2" t="s">
        <v>6084</v>
      </c>
      <c r="I1215" s="2" t="s">
        <v>6085</v>
      </c>
      <c r="J1215" s="2" t="s">
        <v>6086</v>
      </c>
      <c r="K1215" s="2" t="s">
        <v>6087</v>
      </c>
      <c r="L1215" s="2" t="s">
        <v>5996</v>
      </c>
      <c r="M1215" s="2" t="s">
        <v>6088</v>
      </c>
      <c r="N1215" s="2" t="s">
        <v>6089</v>
      </c>
      <c r="O1215" s="2" t="s">
        <v>869</v>
      </c>
      <c r="P1215" s="2" t="s">
        <v>870</v>
      </c>
    </row>
    <row r="1216" ht="15.75" customHeight="1">
      <c r="H1216" s="2" t="s">
        <v>6090</v>
      </c>
      <c r="I1216" s="2" t="s">
        <v>5986</v>
      </c>
      <c r="J1216" s="2" t="s">
        <v>5987</v>
      </c>
      <c r="K1216" s="2" t="s">
        <v>6091</v>
      </c>
      <c r="L1216" s="2" t="s">
        <v>5996</v>
      </c>
      <c r="M1216" s="2" t="s">
        <v>6092</v>
      </c>
      <c r="N1216" s="2" t="s">
        <v>6093</v>
      </c>
      <c r="O1216" s="2" t="s">
        <v>869</v>
      </c>
      <c r="P1216" s="2" t="s">
        <v>870</v>
      </c>
    </row>
    <row r="1217" ht="15.75" customHeight="1">
      <c r="B1217" s="2" t="s">
        <v>6094</v>
      </c>
      <c r="C1217" s="2" t="s">
        <v>6095</v>
      </c>
      <c r="D1217" s="2" t="s">
        <v>6096</v>
      </c>
      <c r="F1217" s="2" t="s">
        <v>855</v>
      </c>
      <c r="H1217" s="2" t="s">
        <v>6097</v>
      </c>
      <c r="I1217" s="2" t="s">
        <v>6098</v>
      </c>
      <c r="J1217" s="2" t="s">
        <v>6099</v>
      </c>
      <c r="K1217" s="2" t="s">
        <v>6100</v>
      </c>
      <c r="L1217" s="2" t="s">
        <v>6101</v>
      </c>
      <c r="M1217" s="2" t="s">
        <v>6102</v>
      </c>
      <c r="N1217" s="2" t="s">
        <v>6103</v>
      </c>
      <c r="O1217" s="2" t="s">
        <v>869</v>
      </c>
      <c r="P1217" s="2" t="s">
        <v>870</v>
      </c>
    </row>
    <row r="1218" ht="15.75" customHeight="1">
      <c r="H1218" s="2" t="s">
        <v>6104</v>
      </c>
      <c r="I1218" s="2" t="s">
        <v>6105</v>
      </c>
      <c r="J1218" s="2" t="s">
        <v>6106</v>
      </c>
      <c r="K1218" s="2" t="s">
        <v>6107</v>
      </c>
      <c r="L1218" s="2" t="s">
        <v>6101</v>
      </c>
      <c r="M1218" s="2" t="s">
        <v>6108</v>
      </c>
      <c r="N1218" s="2" t="s">
        <v>6109</v>
      </c>
      <c r="O1218" s="2" t="s">
        <v>869</v>
      </c>
      <c r="P1218" s="2" t="s">
        <v>870</v>
      </c>
    </row>
    <row r="1219" ht="15.75" customHeight="1">
      <c r="H1219" s="2" t="s">
        <v>6110</v>
      </c>
      <c r="I1219" s="2" t="s">
        <v>4078</v>
      </c>
      <c r="J1219" s="2" t="s">
        <v>4079</v>
      </c>
      <c r="K1219" s="2" t="s">
        <v>2836</v>
      </c>
    </row>
    <row r="1220" ht="15.75" customHeight="1">
      <c r="H1220" s="2" t="s">
        <v>6111</v>
      </c>
      <c r="I1220" s="2" t="s">
        <v>6112</v>
      </c>
      <c r="J1220" s="2" t="s">
        <v>6113</v>
      </c>
      <c r="K1220" s="2" t="s">
        <v>6114</v>
      </c>
      <c r="L1220" s="2" t="s">
        <v>6101</v>
      </c>
      <c r="M1220" s="2" t="s">
        <v>6115</v>
      </c>
      <c r="N1220" s="2" t="s">
        <v>6116</v>
      </c>
      <c r="O1220" s="2" t="s">
        <v>869</v>
      </c>
      <c r="P1220" s="2" t="s">
        <v>870</v>
      </c>
    </row>
    <row r="1221" ht="15.75" customHeight="1">
      <c r="H1221" s="2" t="s">
        <v>6117</v>
      </c>
      <c r="I1221" s="2" t="s">
        <v>6118</v>
      </c>
      <c r="J1221" s="2" t="s">
        <v>6119</v>
      </c>
      <c r="K1221" s="2" t="s">
        <v>6120</v>
      </c>
      <c r="L1221" s="2" t="s">
        <v>6101</v>
      </c>
      <c r="M1221" s="2" t="s">
        <v>6121</v>
      </c>
      <c r="N1221" s="2" t="s">
        <v>6122</v>
      </c>
      <c r="O1221" s="2" t="s">
        <v>869</v>
      </c>
      <c r="P1221" s="2" t="s">
        <v>870</v>
      </c>
    </row>
    <row r="1222" ht="15.75" customHeight="1">
      <c r="H1222" s="2" t="s">
        <v>6123</v>
      </c>
      <c r="I1222" s="2" t="s">
        <v>6124</v>
      </c>
      <c r="J1222" s="2" t="s">
        <v>6125</v>
      </c>
      <c r="K1222" s="2" t="s">
        <v>6126</v>
      </c>
      <c r="L1222" s="2" t="s">
        <v>6101</v>
      </c>
      <c r="M1222" s="2" t="s">
        <v>6127</v>
      </c>
      <c r="N1222" s="2" t="s">
        <v>6128</v>
      </c>
      <c r="O1222" s="2" t="s">
        <v>869</v>
      </c>
      <c r="P1222" s="2" t="s">
        <v>870</v>
      </c>
    </row>
    <row r="1223" ht="15.75" customHeight="1">
      <c r="H1223" s="2" t="s">
        <v>6129</v>
      </c>
      <c r="I1223" s="2" t="s">
        <v>6130</v>
      </c>
      <c r="J1223" s="2" t="s">
        <v>6131</v>
      </c>
      <c r="K1223" s="2" t="s">
        <v>6132</v>
      </c>
      <c r="L1223" s="2" t="s">
        <v>6101</v>
      </c>
      <c r="M1223" s="2" t="s">
        <v>6133</v>
      </c>
      <c r="N1223" s="2" t="s">
        <v>6134</v>
      </c>
      <c r="O1223" s="2" t="s">
        <v>869</v>
      </c>
      <c r="P1223" s="2" t="s">
        <v>870</v>
      </c>
    </row>
    <row r="1224" ht="15.75" customHeight="1">
      <c r="H1224" s="2" t="s">
        <v>6135</v>
      </c>
      <c r="I1224" s="2" t="s">
        <v>6136</v>
      </c>
      <c r="J1224" s="2" t="s">
        <v>6137</v>
      </c>
      <c r="K1224" s="2" t="s">
        <v>6138</v>
      </c>
      <c r="L1224" s="2" t="s">
        <v>6101</v>
      </c>
      <c r="M1224" s="2" t="s">
        <v>6139</v>
      </c>
      <c r="N1224" s="2" t="s">
        <v>6140</v>
      </c>
      <c r="O1224" s="2" t="s">
        <v>869</v>
      </c>
      <c r="P1224" s="2" t="s">
        <v>870</v>
      </c>
    </row>
    <row r="1225" ht="15.75" customHeight="1">
      <c r="H1225" s="2" t="s">
        <v>6141</v>
      </c>
      <c r="I1225" s="2" t="s">
        <v>6142</v>
      </c>
      <c r="J1225" s="2" t="s">
        <v>6143</v>
      </c>
      <c r="K1225" s="2" t="s">
        <v>6144</v>
      </c>
      <c r="L1225" s="2" t="s">
        <v>6101</v>
      </c>
      <c r="M1225" s="2" t="s">
        <v>6145</v>
      </c>
      <c r="N1225" s="2" t="s">
        <v>6146</v>
      </c>
      <c r="O1225" s="2" t="s">
        <v>869</v>
      </c>
      <c r="P1225" s="2" t="s">
        <v>870</v>
      </c>
    </row>
    <row r="1226" ht="15.75" customHeight="1">
      <c r="H1226" s="2" t="s">
        <v>6147</v>
      </c>
      <c r="I1226" s="2" t="s">
        <v>6148</v>
      </c>
      <c r="J1226" s="2" t="s">
        <v>6149</v>
      </c>
      <c r="K1226" s="2" t="s">
        <v>6150</v>
      </c>
      <c r="L1226" s="2" t="s">
        <v>6101</v>
      </c>
      <c r="M1226" s="2" t="s">
        <v>6151</v>
      </c>
      <c r="N1226" s="2" t="s">
        <v>6152</v>
      </c>
      <c r="O1226" s="2" t="s">
        <v>869</v>
      </c>
      <c r="P1226" s="2" t="s">
        <v>870</v>
      </c>
    </row>
    <row r="1227" ht="15.75" customHeight="1">
      <c r="H1227" s="2" t="s">
        <v>6153</v>
      </c>
      <c r="I1227" s="2" t="s">
        <v>6154</v>
      </c>
      <c r="J1227" s="2" t="s">
        <v>6155</v>
      </c>
      <c r="K1227" s="2" t="s">
        <v>6156</v>
      </c>
      <c r="L1227" s="2" t="s">
        <v>6101</v>
      </c>
      <c r="M1227" s="2" t="s">
        <v>6157</v>
      </c>
      <c r="N1227" s="2" t="s">
        <v>6158</v>
      </c>
      <c r="O1227" s="2" t="s">
        <v>869</v>
      </c>
      <c r="P1227" s="2" t="s">
        <v>870</v>
      </c>
    </row>
    <row r="1228" ht="15.75" customHeight="1">
      <c r="H1228" s="2" t="s">
        <v>6159</v>
      </c>
      <c r="I1228" s="2" t="s">
        <v>1387</v>
      </c>
      <c r="J1228" s="2" t="s">
        <v>1388</v>
      </c>
      <c r="K1228" s="2" t="s">
        <v>6160</v>
      </c>
      <c r="L1228" s="2" t="s">
        <v>6101</v>
      </c>
      <c r="M1228" s="2" t="s">
        <v>6161</v>
      </c>
      <c r="N1228" s="2" t="s">
        <v>6162</v>
      </c>
      <c r="O1228" s="2" t="s">
        <v>869</v>
      </c>
      <c r="P1228" s="2" t="s">
        <v>870</v>
      </c>
    </row>
    <row r="1229" ht="15.75" customHeight="1">
      <c r="H1229" s="2" t="s">
        <v>6163</v>
      </c>
      <c r="I1229" s="2" t="s">
        <v>6164</v>
      </c>
      <c r="J1229" s="2" t="s">
        <v>6165</v>
      </c>
      <c r="K1229" s="2" t="s">
        <v>6166</v>
      </c>
      <c r="L1229" s="2" t="s">
        <v>6101</v>
      </c>
      <c r="M1229" s="2" t="s">
        <v>6167</v>
      </c>
      <c r="N1229" s="2" t="s">
        <v>6168</v>
      </c>
      <c r="O1229" s="2" t="s">
        <v>869</v>
      </c>
      <c r="P1229" s="2" t="s">
        <v>870</v>
      </c>
    </row>
    <row r="1230" ht="15.75" customHeight="1">
      <c r="H1230" s="2" t="s">
        <v>6169</v>
      </c>
      <c r="I1230" s="2" t="s">
        <v>6170</v>
      </c>
      <c r="J1230" s="2" t="s">
        <v>6171</v>
      </c>
      <c r="K1230" s="2" t="s">
        <v>6172</v>
      </c>
      <c r="L1230" s="2" t="s">
        <v>6101</v>
      </c>
      <c r="M1230" s="2" t="s">
        <v>6173</v>
      </c>
      <c r="N1230" s="2" t="s">
        <v>6174</v>
      </c>
      <c r="O1230" s="2" t="s">
        <v>869</v>
      </c>
      <c r="P1230" s="2" t="s">
        <v>870</v>
      </c>
    </row>
    <row r="1231" ht="15.75" customHeight="1">
      <c r="H1231" s="2" t="s">
        <v>6175</v>
      </c>
      <c r="I1231" s="2" t="s">
        <v>898</v>
      </c>
      <c r="J1231" s="2" t="s">
        <v>899</v>
      </c>
      <c r="K1231" s="2" t="s">
        <v>6176</v>
      </c>
      <c r="L1231" s="2" t="s">
        <v>6101</v>
      </c>
      <c r="M1231" s="2" t="s">
        <v>6177</v>
      </c>
      <c r="N1231" s="2" t="s">
        <v>6178</v>
      </c>
      <c r="O1231" s="2" t="s">
        <v>869</v>
      </c>
      <c r="P1231" s="2" t="s">
        <v>870</v>
      </c>
    </row>
    <row r="1232" ht="15.75" customHeight="1">
      <c r="H1232" s="2" t="s">
        <v>6179</v>
      </c>
      <c r="I1232" s="2" t="s">
        <v>6180</v>
      </c>
      <c r="J1232" s="2" t="s">
        <v>6181</v>
      </c>
      <c r="K1232" s="2" t="s">
        <v>6182</v>
      </c>
      <c r="L1232" s="2" t="s">
        <v>6101</v>
      </c>
      <c r="M1232" s="2" t="s">
        <v>6183</v>
      </c>
      <c r="N1232" s="2" t="s">
        <v>6184</v>
      </c>
      <c r="O1232" s="2" t="s">
        <v>869</v>
      </c>
      <c r="P1232" s="2" t="s">
        <v>870</v>
      </c>
    </row>
    <row r="1233" ht="15.75" customHeight="1">
      <c r="H1233" s="2" t="s">
        <v>6185</v>
      </c>
      <c r="I1233" s="2" t="s">
        <v>6186</v>
      </c>
      <c r="J1233" s="2" t="s">
        <v>6187</v>
      </c>
      <c r="K1233" s="2" t="s">
        <v>6188</v>
      </c>
      <c r="L1233" s="2" t="s">
        <v>6101</v>
      </c>
      <c r="M1233" s="2" t="s">
        <v>6189</v>
      </c>
      <c r="N1233" s="2" t="s">
        <v>6190</v>
      </c>
      <c r="O1233" s="2" t="s">
        <v>869</v>
      </c>
      <c r="P1233" s="2" t="s">
        <v>870</v>
      </c>
    </row>
    <row r="1234" ht="15.75" customHeight="1">
      <c r="H1234" s="2" t="s">
        <v>6191</v>
      </c>
      <c r="I1234" s="2" t="s">
        <v>6192</v>
      </c>
      <c r="J1234" s="2" t="s">
        <v>6193</v>
      </c>
      <c r="K1234" s="2" t="s">
        <v>6194</v>
      </c>
      <c r="L1234" s="2" t="s">
        <v>6101</v>
      </c>
      <c r="M1234" s="2" t="s">
        <v>6195</v>
      </c>
      <c r="N1234" s="2" t="s">
        <v>6196</v>
      </c>
      <c r="O1234" s="2" t="s">
        <v>869</v>
      </c>
      <c r="P1234" s="2" t="s">
        <v>870</v>
      </c>
    </row>
    <row r="1235" ht="15.75" customHeight="1">
      <c r="H1235" s="2" t="s">
        <v>6197</v>
      </c>
      <c r="I1235" s="2" t="s">
        <v>6198</v>
      </c>
      <c r="J1235" s="2" t="s">
        <v>6199</v>
      </c>
      <c r="K1235" s="2" t="s">
        <v>6200</v>
      </c>
      <c r="L1235" s="2" t="s">
        <v>6101</v>
      </c>
      <c r="M1235" s="2" t="s">
        <v>6201</v>
      </c>
      <c r="N1235" s="2" t="s">
        <v>6202</v>
      </c>
      <c r="O1235" s="2" t="s">
        <v>869</v>
      </c>
      <c r="P1235" s="2" t="s">
        <v>870</v>
      </c>
    </row>
    <row r="1236" ht="15.75" customHeight="1">
      <c r="H1236" s="2" t="s">
        <v>6203</v>
      </c>
      <c r="I1236" s="2" t="s">
        <v>6204</v>
      </c>
      <c r="J1236" s="2" t="s">
        <v>6205</v>
      </c>
      <c r="K1236" s="2" t="s">
        <v>6206</v>
      </c>
      <c r="L1236" s="2" t="s">
        <v>6101</v>
      </c>
      <c r="M1236" s="2" t="s">
        <v>6207</v>
      </c>
      <c r="N1236" s="2" t="s">
        <v>6208</v>
      </c>
      <c r="O1236" s="2" t="s">
        <v>869</v>
      </c>
      <c r="P1236" s="2" t="s">
        <v>870</v>
      </c>
    </row>
    <row r="1237" ht="15.75" customHeight="1">
      <c r="H1237" s="2" t="s">
        <v>6209</v>
      </c>
      <c r="I1237" s="2" t="s">
        <v>6210</v>
      </c>
      <c r="J1237" s="2" t="s">
        <v>6211</v>
      </c>
      <c r="K1237" s="2" t="s">
        <v>6212</v>
      </c>
      <c r="L1237" s="2" t="s">
        <v>6101</v>
      </c>
      <c r="M1237" s="2" t="s">
        <v>6213</v>
      </c>
      <c r="N1237" s="2" t="s">
        <v>6214</v>
      </c>
      <c r="O1237" s="2" t="s">
        <v>869</v>
      </c>
      <c r="P1237" s="2" t="s">
        <v>870</v>
      </c>
    </row>
    <row r="1238" ht="15.75" customHeight="1">
      <c r="F1238" s="2" t="s">
        <v>927</v>
      </c>
      <c r="H1238" s="2" t="s">
        <v>6215</v>
      </c>
      <c r="I1238" s="2" t="s">
        <v>6216</v>
      </c>
      <c r="J1238" s="2" t="s">
        <v>6217</v>
      </c>
      <c r="K1238" s="2" t="s">
        <v>6218</v>
      </c>
      <c r="L1238" s="2" t="s">
        <v>6101</v>
      </c>
      <c r="M1238" s="2" t="s">
        <v>6219</v>
      </c>
      <c r="N1238" s="2" t="s">
        <v>6220</v>
      </c>
      <c r="O1238" s="2" t="s">
        <v>869</v>
      </c>
      <c r="P1238" s="2" t="s">
        <v>870</v>
      </c>
    </row>
    <row r="1239" ht="15.75" customHeight="1">
      <c r="H1239" s="2" t="s">
        <v>6221</v>
      </c>
      <c r="I1239" s="2" t="s">
        <v>6222</v>
      </c>
      <c r="J1239" s="2" t="s">
        <v>6223</v>
      </c>
      <c r="K1239" s="2" t="s">
        <v>6224</v>
      </c>
      <c r="L1239" s="2" t="s">
        <v>6101</v>
      </c>
      <c r="M1239" s="2" t="s">
        <v>6225</v>
      </c>
      <c r="N1239" s="2" t="s">
        <v>6226</v>
      </c>
      <c r="O1239" s="2" t="s">
        <v>869</v>
      </c>
      <c r="P1239" s="2" t="s">
        <v>870</v>
      </c>
    </row>
    <row r="1240" ht="15.75" customHeight="1">
      <c r="H1240" s="2" t="s">
        <v>6227</v>
      </c>
      <c r="I1240" s="2" t="s">
        <v>6228</v>
      </c>
      <c r="J1240" s="2" t="s">
        <v>6229</v>
      </c>
      <c r="K1240" s="2" t="s">
        <v>6230</v>
      </c>
      <c r="L1240" s="2" t="s">
        <v>6101</v>
      </c>
      <c r="M1240" s="2" t="s">
        <v>6231</v>
      </c>
      <c r="N1240" s="2" t="s">
        <v>6232</v>
      </c>
      <c r="O1240" s="2" t="s">
        <v>869</v>
      </c>
      <c r="P1240" s="2" t="s">
        <v>870</v>
      </c>
    </row>
    <row r="1241" ht="15.75" customHeight="1">
      <c r="H1241" s="2" t="s">
        <v>6233</v>
      </c>
      <c r="I1241" s="2" t="s">
        <v>6234</v>
      </c>
      <c r="J1241" s="2" t="s">
        <v>6235</v>
      </c>
      <c r="K1241" s="2" t="s">
        <v>6236</v>
      </c>
      <c r="L1241" s="2" t="s">
        <v>6101</v>
      </c>
      <c r="M1241" s="2" t="s">
        <v>6237</v>
      </c>
      <c r="N1241" s="2" t="s">
        <v>6238</v>
      </c>
      <c r="O1241" s="2" t="s">
        <v>869</v>
      </c>
      <c r="P1241" s="2" t="s">
        <v>870</v>
      </c>
    </row>
    <row r="1242" ht="15.75" customHeight="1">
      <c r="H1242" s="2" t="s">
        <v>6239</v>
      </c>
      <c r="I1242" s="2" t="s">
        <v>6240</v>
      </c>
      <c r="J1242" s="2" t="s">
        <v>6241</v>
      </c>
      <c r="K1242" s="2" t="s">
        <v>6242</v>
      </c>
      <c r="L1242" s="2" t="s">
        <v>6101</v>
      </c>
      <c r="M1242" s="2" t="s">
        <v>6243</v>
      </c>
      <c r="N1242" s="2" t="s">
        <v>6244</v>
      </c>
      <c r="O1242" s="2" t="s">
        <v>869</v>
      </c>
      <c r="P1242" s="2" t="s">
        <v>870</v>
      </c>
    </row>
    <row r="1243" ht="15.75" customHeight="1">
      <c r="H1243" s="2" t="s">
        <v>6245</v>
      </c>
      <c r="I1243" s="2" t="s">
        <v>6246</v>
      </c>
      <c r="J1243" s="2" t="s">
        <v>6247</v>
      </c>
      <c r="K1243" s="2" t="s">
        <v>6248</v>
      </c>
      <c r="L1243" s="2" t="s">
        <v>6101</v>
      </c>
      <c r="M1243" s="2" t="s">
        <v>6249</v>
      </c>
      <c r="N1243" s="2" t="s">
        <v>6250</v>
      </c>
      <c r="O1243" s="2" t="s">
        <v>869</v>
      </c>
      <c r="P1243" s="2" t="s">
        <v>870</v>
      </c>
    </row>
    <row r="1244" ht="15.75" customHeight="1">
      <c r="H1244" s="2" t="s">
        <v>6251</v>
      </c>
      <c r="I1244" s="2" t="s">
        <v>6252</v>
      </c>
      <c r="J1244" s="2" t="s">
        <v>6253</v>
      </c>
      <c r="K1244" s="2" t="s">
        <v>6254</v>
      </c>
      <c r="L1244" s="2" t="s">
        <v>6101</v>
      </c>
      <c r="M1244" s="2" t="s">
        <v>6255</v>
      </c>
      <c r="N1244" s="2" t="s">
        <v>6256</v>
      </c>
      <c r="O1244" s="2" t="s">
        <v>869</v>
      </c>
      <c r="P1244" s="2" t="s">
        <v>870</v>
      </c>
    </row>
    <row r="1245" ht="15.75" customHeight="1">
      <c r="H1245" s="2" t="s">
        <v>6257</v>
      </c>
      <c r="I1245" s="2" t="s">
        <v>6258</v>
      </c>
      <c r="J1245" s="2" t="s">
        <v>6259</v>
      </c>
      <c r="K1245" s="2" t="s">
        <v>6260</v>
      </c>
      <c r="L1245" s="2" t="s">
        <v>6101</v>
      </c>
      <c r="M1245" s="2" t="s">
        <v>6261</v>
      </c>
      <c r="N1245" s="2" t="s">
        <v>6262</v>
      </c>
      <c r="O1245" s="2" t="s">
        <v>869</v>
      </c>
      <c r="P1245" s="2" t="s">
        <v>870</v>
      </c>
    </row>
    <row r="1246" ht="15.75" customHeight="1">
      <c r="H1246" s="2" t="s">
        <v>6263</v>
      </c>
      <c r="I1246" s="2" t="s">
        <v>6264</v>
      </c>
      <c r="J1246" s="2" t="s">
        <v>6265</v>
      </c>
      <c r="K1246" s="2" t="s">
        <v>6266</v>
      </c>
      <c r="L1246" s="2" t="s">
        <v>6101</v>
      </c>
      <c r="M1246" s="2" t="s">
        <v>6267</v>
      </c>
      <c r="N1246" s="2" t="s">
        <v>6268</v>
      </c>
      <c r="O1246" s="2" t="s">
        <v>869</v>
      </c>
      <c r="P1246" s="2" t="s">
        <v>870</v>
      </c>
    </row>
    <row r="1247" ht="15.75" customHeight="1">
      <c r="F1247" s="2" t="s">
        <v>938</v>
      </c>
      <c r="H1247" s="2" t="s">
        <v>6269</v>
      </c>
      <c r="I1247" s="2" t="s">
        <v>940</v>
      </c>
      <c r="J1247" s="2" t="s">
        <v>941</v>
      </c>
      <c r="K1247" s="2" t="s">
        <v>6270</v>
      </c>
      <c r="L1247" s="2" t="s">
        <v>6101</v>
      </c>
      <c r="M1247" s="2" t="s">
        <v>6271</v>
      </c>
      <c r="N1247" s="2" t="s">
        <v>6272</v>
      </c>
      <c r="O1247" s="2" t="s">
        <v>869</v>
      </c>
      <c r="P1247" s="2" t="s">
        <v>870</v>
      </c>
    </row>
    <row r="1248" ht="15.75" customHeight="1">
      <c r="H1248" s="2" t="s">
        <v>6273</v>
      </c>
      <c r="I1248" s="2" t="s">
        <v>6274</v>
      </c>
      <c r="J1248" s="2" t="s">
        <v>6275</v>
      </c>
      <c r="K1248" s="2" t="s">
        <v>6276</v>
      </c>
      <c r="L1248" s="2" t="s">
        <v>6101</v>
      </c>
      <c r="M1248" s="2" t="s">
        <v>6277</v>
      </c>
      <c r="N1248" s="2" t="s">
        <v>6278</v>
      </c>
      <c r="O1248" s="2" t="s">
        <v>869</v>
      </c>
      <c r="P1248" s="2" t="s">
        <v>870</v>
      </c>
    </row>
    <row r="1249" ht="15.75" customHeight="1">
      <c r="H1249" s="2" t="s">
        <v>6279</v>
      </c>
      <c r="I1249" s="2" t="s">
        <v>6280</v>
      </c>
      <c r="J1249" s="2" t="s">
        <v>6281</v>
      </c>
      <c r="K1249" s="2" t="s">
        <v>6282</v>
      </c>
      <c r="L1249" s="2" t="s">
        <v>6101</v>
      </c>
      <c r="M1249" s="2" t="s">
        <v>6283</v>
      </c>
      <c r="N1249" s="2" t="s">
        <v>6284</v>
      </c>
      <c r="O1249" s="2" t="s">
        <v>869</v>
      </c>
      <c r="P1249" s="2" t="s">
        <v>870</v>
      </c>
    </row>
    <row r="1250" ht="15.75" customHeight="1">
      <c r="H1250" s="2" t="s">
        <v>6285</v>
      </c>
      <c r="I1250" s="2" t="s">
        <v>945</v>
      </c>
      <c r="J1250" s="2" t="s">
        <v>946</v>
      </c>
      <c r="K1250" s="2" t="s">
        <v>6286</v>
      </c>
      <c r="L1250" s="2" t="s">
        <v>6101</v>
      </c>
      <c r="M1250" s="2" t="s">
        <v>6287</v>
      </c>
      <c r="N1250" s="2" t="s">
        <v>6288</v>
      </c>
      <c r="O1250" s="2" t="s">
        <v>869</v>
      </c>
      <c r="P1250" s="2" t="s">
        <v>870</v>
      </c>
    </row>
    <row r="1251" ht="15.75" customHeight="1">
      <c r="H1251" s="2" t="s">
        <v>6289</v>
      </c>
      <c r="I1251" s="2" t="s">
        <v>6290</v>
      </c>
      <c r="J1251" s="2" t="s">
        <v>6291</v>
      </c>
      <c r="K1251" s="2" t="s">
        <v>6292</v>
      </c>
      <c r="L1251" s="2" t="s">
        <v>6101</v>
      </c>
      <c r="M1251" s="2" t="s">
        <v>6293</v>
      </c>
      <c r="N1251" s="2" t="s">
        <v>6294</v>
      </c>
      <c r="O1251" s="2" t="s">
        <v>869</v>
      </c>
      <c r="P1251" s="2" t="s">
        <v>870</v>
      </c>
    </row>
    <row r="1252" ht="15.75" customHeight="1">
      <c r="H1252" s="2" t="s">
        <v>6295</v>
      </c>
      <c r="I1252" s="2" t="s">
        <v>6296</v>
      </c>
      <c r="J1252" s="2" t="s">
        <v>6297</v>
      </c>
      <c r="K1252" s="2" t="s">
        <v>6298</v>
      </c>
      <c r="L1252" s="2" t="s">
        <v>6101</v>
      </c>
      <c r="M1252" s="2" t="s">
        <v>6299</v>
      </c>
      <c r="N1252" s="2" t="s">
        <v>6300</v>
      </c>
      <c r="O1252" s="2" t="s">
        <v>869</v>
      </c>
      <c r="P1252" s="2" t="s">
        <v>870</v>
      </c>
    </row>
    <row r="1253" ht="15.75" customHeight="1">
      <c r="H1253" s="2" t="s">
        <v>6301</v>
      </c>
      <c r="I1253" s="2" t="s">
        <v>6302</v>
      </c>
      <c r="J1253" s="2" t="s">
        <v>6303</v>
      </c>
      <c r="K1253" s="2" t="s">
        <v>6304</v>
      </c>
      <c r="L1253" s="2" t="s">
        <v>6101</v>
      </c>
      <c r="M1253" s="2" t="s">
        <v>6305</v>
      </c>
      <c r="N1253" s="2" t="s">
        <v>6306</v>
      </c>
      <c r="O1253" s="2" t="s">
        <v>869</v>
      </c>
      <c r="P1253" s="2" t="s">
        <v>870</v>
      </c>
    </row>
    <row r="1254" ht="15.75" customHeight="1">
      <c r="H1254" s="2" t="s">
        <v>6307</v>
      </c>
      <c r="I1254" s="2" t="s">
        <v>6308</v>
      </c>
      <c r="J1254" s="2" t="s">
        <v>6309</v>
      </c>
      <c r="K1254" s="2" t="s">
        <v>6310</v>
      </c>
      <c r="L1254" s="2" t="s">
        <v>6101</v>
      </c>
      <c r="M1254" s="2" t="s">
        <v>6311</v>
      </c>
      <c r="N1254" s="2" t="s">
        <v>6312</v>
      </c>
      <c r="O1254" s="2" t="s">
        <v>869</v>
      </c>
      <c r="P1254" s="2" t="s">
        <v>870</v>
      </c>
    </row>
    <row r="1255" ht="15.75" customHeight="1">
      <c r="H1255" s="2" t="s">
        <v>6313</v>
      </c>
      <c r="I1255" s="2" t="s">
        <v>6314</v>
      </c>
      <c r="J1255" s="2" t="s">
        <v>6315</v>
      </c>
      <c r="K1255" s="2" t="s">
        <v>6316</v>
      </c>
      <c r="L1255" s="2" t="s">
        <v>6101</v>
      </c>
      <c r="M1255" s="2" t="s">
        <v>6317</v>
      </c>
      <c r="N1255" s="2" t="s">
        <v>6318</v>
      </c>
      <c r="O1255" s="2" t="s">
        <v>869</v>
      </c>
      <c r="P1255" s="2" t="s">
        <v>870</v>
      </c>
    </row>
    <row r="1256" ht="15.75" customHeight="1">
      <c r="H1256" s="2" t="s">
        <v>6319</v>
      </c>
      <c r="I1256" s="2" t="s">
        <v>6320</v>
      </c>
      <c r="J1256" s="2" t="s">
        <v>6321</v>
      </c>
      <c r="K1256" s="2" t="s">
        <v>6322</v>
      </c>
      <c r="L1256" s="2" t="s">
        <v>6101</v>
      </c>
      <c r="M1256" s="2" t="s">
        <v>6323</v>
      </c>
      <c r="N1256" s="2" t="s">
        <v>6324</v>
      </c>
      <c r="O1256" s="2" t="s">
        <v>869</v>
      </c>
      <c r="P1256" s="2" t="s">
        <v>870</v>
      </c>
    </row>
    <row r="1257" ht="15.75" customHeight="1">
      <c r="H1257" s="2" t="s">
        <v>6325</v>
      </c>
      <c r="I1257" s="2" t="s">
        <v>6326</v>
      </c>
      <c r="J1257" s="2" t="s">
        <v>6327</v>
      </c>
      <c r="K1257" s="2" t="s">
        <v>6328</v>
      </c>
      <c r="L1257" s="2" t="s">
        <v>6101</v>
      </c>
      <c r="M1257" s="2" t="s">
        <v>6329</v>
      </c>
      <c r="N1257" s="2" t="s">
        <v>6330</v>
      </c>
      <c r="O1257" s="2" t="s">
        <v>869</v>
      </c>
      <c r="P1257" s="2" t="s">
        <v>870</v>
      </c>
    </row>
    <row r="1258" ht="15.75" customHeight="1">
      <c r="H1258" s="2" t="s">
        <v>6331</v>
      </c>
      <c r="I1258" s="2" t="s">
        <v>6332</v>
      </c>
      <c r="J1258" s="2" t="s">
        <v>6333</v>
      </c>
      <c r="K1258" s="2" t="s">
        <v>6334</v>
      </c>
      <c r="L1258" s="2" t="s">
        <v>6101</v>
      </c>
      <c r="M1258" s="2" t="s">
        <v>6335</v>
      </c>
      <c r="N1258" s="2" t="s">
        <v>6336</v>
      </c>
      <c r="O1258" s="2" t="s">
        <v>869</v>
      </c>
      <c r="P1258" s="2" t="s">
        <v>870</v>
      </c>
    </row>
    <row r="1259" ht="15.75" customHeight="1">
      <c r="H1259" s="2" t="s">
        <v>6337</v>
      </c>
      <c r="I1259" s="2" t="s">
        <v>6338</v>
      </c>
      <c r="J1259" s="2" t="s">
        <v>6339</v>
      </c>
      <c r="K1259" s="2" t="s">
        <v>6340</v>
      </c>
      <c r="L1259" s="2" t="s">
        <v>6101</v>
      </c>
      <c r="M1259" s="2" t="s">
        <v>6341</v>
      </c>
      <c r="N1259" s="2" t="s">
        <v>6342</v>
      </c>
      <c r="O1259" s="2" t="s">
        <v>869</v>
      </c>
      <c r="P1259" s="2" t="s">
        <v>870</v>
      </c>
    </row>
    <row r="1260" ht="15.75" customHeight="1">
      <c r="H1260" s="2" t="s">
        <v>6343</v>
      </c>
      <c r="I1260" s="2" t="s">
        <v>6344</v>
      </c>
      <c r="J1260" s="2" t="s">
        <v>6345</v>
      </c>
      <c r="K1260" s="2" t="s">
        <v>6346</v>
      </c>
      <c r="L1260" s="2" t="s">
        <v>6101</v>
      </c>
      <c r="M1260" s="2" t="s">
        <v>6347</v>
      </c>
      <c r="N1260" s="2" t="s">
        <v>6348</v>
      </c>
      <c r="O1260" s="2" t="s">
        <v>869</v>
      </c>
      <c r="P1260" s="2" t="s">
        <v>870</v>
      </c>
    </row>
    <row r="1261" ht="15.75" customHeight="1">
      <c r="H1261" s="2" t="s">
        <v>6349</v>
      </c>
      <c r="I1261" s="2" t="s">
        <v>6350</v>
      </c>
      <c r="J1261" s="2" t="s">
        <v>6351</v>
      </c>
      <c r="K1261" s="2" t="s">
        <v>6352</v>
      </c>
      <c r="L1261" s="2" t="s">
        <v>6101</v>
      </c>
      <c r="M1261" s="2" t="s">
        <v>6353</v>
      </c>
      <c r="N1261" s="2" t="s">
        <v>6354</v>
      </c>
      <c r="O1261" s="2" t="s">
        <v>869</v>
      </c>
      <c r="P1261" s="2" t="s">
        <v>870</v>
      </c>
    </row>
    <row r="1262" ht="15.75" customHeight="1">
      <c r="H1262" s="2" t="s">
        <v>6355</v>
      </c>
      <c r="I1262" s="2" t="s">
        <v>6356</v>
      </c>
      <c r="J1262" s="2" t="s">
        <v>6357</v>
      </c>
      <c r="K1262" s="2" t="s">
        <v>6358</v>
      </c>
      <c r="L1262" s="2" t="s">
        <v>6101</v>
      </c>
      <c r="M1262" s="2" t="s">
        <v>6359</v>
      </c>
      <c r="N1262" s="2" t="s">
        <v>6360</v>
      </c>
      <c r="O1262" s="2" t="s">
        <v>869</v>
      </c>
      <c r="P1262" s="2" t="s">
        <v>870</v>
      </c>
    </row>
    <row r="1263" ht="15.75" customHeight="1">
      <c r="F1263" s="2" t="s">
        <v>19</v>
      </c>
      <c r="H1263" s="2" t="s">
        <v>6361</v>
      </c>
      <c r="I1263" s="2" t="s">
        <v>6362</v>
      </c>
      <c r="J1263" s="2" t="s">
        <v>6363</v>
      </c>
      <c r="K1263" s="2" t="s">
        <v>6364</v>
      </c>
      <c r="L1263" s="2" t="s">
        <v>6101</v>
      </c>
      <c r="M1263" s="2" t="s">
        <v>6365</v>
      </c>
      <c r="N1263" s="2" t="s">
        <v>6366</v>
      </c>
      <c r="O1263" s="2" t="s">
        <v>869</v>
      </c>
      <c r="P1263" s="2" t="s">
        <v>870</v>
      </c>
    </row>
    <row r="1264" ht="15.75" customHeight="1">
      <c r="H1264" s="2" t="s">
        <v>6367</v>
      </c>
      <c r="I1264" s="2" t="s">
        <v>6368</v>
      </c>
      <c r="J1264" s="2" t="s">
        <v>6369</v>
      </c>
      <c r="K1264" s="2" t="s">
        <v>6370</v>
      </c>
      <c r="L1264" s="2" t="s">
        <v>6101</v>
      </c>
      <c r="M1264" s="2" t="s">
        <v>6371</v>
      </c>
      <c r="N1264" s="2" t="s">
        <v>6372</v>
      </c>
      <c r="O1264" s="2" t="s">
        <v>869</v>
      </c>
      <c r="P1264" s="2" t="s">
        <v>870</v>
      </c>
    </row>
    <row r="1265" ht="15.75" customHeight="1">
      <c r="H1265" s="2" t="s">
        <v>6373</v>
      </c>
      <c r="I1265" s="2" t="s">
        <v>6374</v>
      </c>
      <c r="J1265" s="2" t="s">
        <v>6375</v>
      </c>
      <c r="K1265" s="2" t="s">
        <v>6376</v>
      </c>
      <c r="L1265" s="2" t="s">
        <v>6101</v>
      </c>
      <c r="M1265" s="2" t="s">
        <v>6377</v>
      </c>
      <c r="N1265" s="2" t="s">
        <v>6378</v>
      </c>
      <c r="O1265" s="2" t="s">
        <v>869</v>
      </c>
      <c r="P1265" s="2" t="s">
        <v>870</v>
      </c>
    </row>
    <row r="1266" ht="15.75" customHeight="1">
      <c r="H1266" s="2" t="s">
        <v>6379</v>
      </c>
      <c r="I1266" s="2" t="s">
        <v>6380</v>
      </c>
      <c r="J1266" s="2" t="s">
        <v>6381</v>
      </c>
      <c r="K1266" s="2" t="s">
        <v>6382</v>
      </c>
      <c r="L1266" s="2" t="s">
        <v>6101</v>
      </c>
      <c r="M1266" s="2" t="s">
        <v>6383</v>
      </c>
      <c r="N1266" s="2" t="s">
        <v>6384</v>
      </c>
      <c r="O1266" s="2" t="s">
        <v>869</v>
      </c>
      <c r="P1266" s="2" t="s">
        <v>870</v>
      </c>
    </row>
    <row r="1267" ht="15.75" customHeight="1">
      <c r="H1267" s="2" t="s">
        <v>6385</v>
      </c>
      <c r="I1267" s="2" t="s">
        <v>979</v>
      </c>
      <c r="J1267" s="2" t="s">
        <v>980</v>
      </c>
      <c r="K1267" s="2" t="s">
        <v>6386</v>
      </c>
      <c r="L1267" s="2" t="s">
        <v>6101</v>
      </c>
      <c r="M1267" s="2" t="s">
        <v>6387</v>
      </c>
      <c r="N1267" s="2" t="s">
        <v>6388</v>
      </c>
      <c r="O1267" s="2" t="s">
        <v>869</v>
      </c>
      <c r="P1267" s="2" t="s">
        <v>870</v>
      </c>
    </row>
    <row r="1268" ht="15.75" customHeight="1">
      <c r="H1268" s="2" t="s">
        <v>6389</v>
      </c>
      <c r="I1268" s="2" t="s">
        <v>21</v>
      </c>
      <c r="J1268" s="2" t="s">
        <v>22</v>
      </c>
      <c r="K1268" s="2" t="s">
        <v>6390</v>
      </c>
      <c r="L1268" s="2" t="s">
        <v>6101</v>
      </c>
      <c r="M1268" s="2" t="s">
        <v>6391</v>
      </c>
      <c r="N1268" s="2" t="s">
        <v>6392</v>
      </c>
      <c r="O1268" s="2" t="s">
        <v>6393</v>
      </c>
      <c r="P1268" s="2" t="s">
        <v>869</v>
      </c>
    </row>
    <row r="1269" ht="15.75" customHeight="1">
      <c r="H1269" s="2" t="s">
        <v>6394</v>
      </c>
      <c r="I1269" s="2" t="s">
        <v>6395</v>
      </c>
      <c r="J1269" s="2" t="s">
        <v>6396</v>
      </c>
      <c r="K1269" s="2" t="s">
        <v>6397</v>
      </c>
      <c r="L1269" s="2" t="s">
        <v>6101</v>
      </c>
      <c r="M1269" s="2" t="s">
        <v>6398</v>
      </c>
      <c r="N1269" s="2" t="s">
        <v>6399</v>
      </c>
      <c r="O1269" s="2" t="s">
        <v>869</v>
      </c>
      <c r="P1269" s="2" t="s">
        <v>870</v>
      </c>
    </row>
    <row r="1270" ht="15.75" customHeight="1">
      <c r="H1270" s="2" t="s">
        <v>6400</v>
      </c>
      <c r="I1270" s="2" t="s">
        <v>6401</v>
      </c>
      <c r="J1270" s="2" t="s">
        <v>6402</v>
      </c>
      <c r="K1270" s="2" t="s">
        <v>6403</v>
      </c>
      <c r="L1270" s="2" t="s">
        <v>6101</v>
      </c>
      <c r="M1270" s="2" t="s">
        <v>6404</v>
      </c>
      <c r="N1270" s="2" t="s">
        <v>6405</v>
      </c>
      <c r="O1270" s="2" t="s">
        <v>869</v>
      </c>
      <c r="P1270" s="2" t="s">
        <v>870</v>
      </c>
    </row>
    <row r="1271" ht="15.75" customHeight="1">
      <c r="H1271" s="2" t="s">
        <v>6406</v>
      </c>
      <c r="I1271" s="2" t="s">
        <v>1005</v>
      </c>
      <c r="J1271" s="2" t="s">
        <v>1006</v>
      </c>
      <c r="K1271" s="2" t="s">
        <v>6407</v>
      </c>
      <c r="L1271" s="2" t="s">
        <v>6101</v>
      </c>
      <c r="M1271" s="2" t="s">
        <v>6408</v>
      </c>
      <c r="N1271" s="2" t="s">
        <v>6409</v>
      </c>
      <c r="O1271" s="2" t="s">
        <v>869</v>
      </c>
      <c r="P1271" s="2" t="s">
        <v>870</v>
      </c>
    </row>
    <row r="1272" ht="15.75" customHeight="1">
      <c r="H1272" s="2" t="s">
        <v>6410</v>
      </c>
      <c r="I1272" s="2" t="s">
        <v>6411</v>
      </c>
      <c r="J1272" s="2" t="s">
        <v>6412</v>
      </c>
      <c r="K1272" s="2" t="s">
        <v>6413</v>
      </c>
      <c r="L1272" s="2" t="s">
        <v>6101</v>
      </c>
      <c r="M1272" s="2" t="s">
        <v>6414</v>
      </c>
      <c r="N1272" s="2" t="s">
        <v>6415</v>
      </c>
      <c r="O1272" s="2" t="s">
        <v>869</v>
      </c>
      <c r="P1272" s="2" t="s">
        <v>870</v>
      </c>
    </row>
    <row r="1273" ht="15.75" customHeight="1">
      <c r="H1273" s="2" t="s">
        <v>6416</v>
      </c>
      <c r="I1273" s="2" t="s">
        <v>6417</v>
      </c>
      <c r="J1273" s="2" t="s">
        <v>6418</v>
      </c>
      <c r="K1273" s="2" t="s">
        <v>6419</v>
      </c>
      <c r="L1273" s="2" t="s">
        <v>6101</v>
      </c>
      <c r="M1273" s="2" t="s">
        <v>6420</v>
      </c>
      <c r="N1273" s="2" t="s">
        <v>6421</v>
      </c>
      <c r="O1273" s="2" t="s">
        <v>869</v>
      </c>
      <c r="P1273" s="2" t="s">
        <v>870</v>
      </c>
    </row>
    <row r="1274" ht="15.75" customHeight="1">
      <c r="H1274" s="2" t="s">
        <v>6422</v>
      </c>
      <c r="I1274" s="2" t="s">
        <v>6423</v>
      </c>
      <c r="J1274" s="2" t="s">
        <v>6424</v>
      </c>
      <c r="K1274" s="2" t="s">
        <v>6425</v>
      </c>
      <c r="L1274" s="2" t="s">
        <v>6101</v>
      </c>
      <c r="M1274" s="2" t="s">
        <v>6426</v>
      </c>
      <c r="N1274" s="2" t="s">
        <v>6427</v>
      </c>
      <c r="O1274" s="2" t="s">
        <v>869</v>
      </c>
      <c r="P1274" s="2" t="s">
        <v>870</v>
      </c>
    </row>
    <row r="1275" ht="15.75" customHeight="1">
      <c r="H1275" s="2" t="s">
        <v>6428</v>
      </c>
      <c r="I1275" s="2" t="s">
        <v>6429</v>
      </c>
      <c r="J1275" s="2" t="s">
        <v>6430</v>
      </c>
      <c r="K1275" s="2" t="s">
        <v>6431</v>
      </c>
      <c r="L1275" s="2" t="s">
        <v>6101</v>
      </c>
      <c r="M1275" s="2" t="s">
        <v>6432</v>
      </c>
      <c r="N1275" s="2" t="s">
        <v>6433</v>
      </c>
      <c r="O1275" s="2" t="s">
        <v>6434</v>
      </c>
      <c r="P1275" s="2" t="s">
        <v>869</v>
      </c>
    </row>
    <row r="1276" ht="15.75" customHeight="1">
      <c r="H1276" s="2" t="s">
        <v>6435</v>
      </c>
      <c r="I1276" s="2" t="s">
        <v>6436</v>
      </c>
      <c r="J1276" s="2" t="s">
        <v>6437</v>
      </c>
      <c r="K1276" s="2" t="s">
        <v>6438</v>
      </c>
      <c r="L1276" s="2" t="s">
        <v>6101</v>
      </c>
      <c r="M1276" s="2" t="s">
        <v>6439</v>
      </c>
      <c r="N1276" s="2" t="s">
        <v>6440</v>
      </c>
      <c r="O1276" s="2" t="s">
        <v>869</v>
      </c>
      <c r="P1276" s="2" t="s">
        <v>870</v>
      </c>
    </row>
    <row r="1277" ht="15.75" customHeight="1">
      <c r="H1277" s="2" t="s">
        <v>6441</v>
      </c>
      <c r="I1277" s="2" t="s">
        <v>6442</v>
      </c>
      <c r="J1277" s="2" t="s">
        <v>6443</v>
      </c>
      <c r="K1277" s="2" t="s">
        <v>6444</v>
      </c>
      <c r="L1277" s="2" t="s">
        <v>6101</v>
      </c>
      <c r="M1277" s="2" t="s">
        <v>6445</v>
      </c>
      <c r="N1277" s="2" t="s">
        <v>6446</v>
      </c>
      <c r="O1277" s="2" t="s">
        <v>869</v>
      </c>
      <c r="P1277" s="2" t="s">
        <v>870</v>
      </c>
    </row>
    <row r="1278" ht="15.75" customHeight="1">
      <c r="H1278" s="2" t="s">
        <v>6447</v>
      </c>
      <c r="I1278" s="2" t="s">
        <v>6448</v>
      </c>
      <c r="J1278" s="2" t="s">
        <v>6449</v>
      </c>
      <c r="K1278" s="2" t="s">
        <v>6450</v>
      </c>
      <c r="L1278" s="2" t="s">
        <v>6101</v>
      </c>
      <c r="M1278" s="2" t="s">
        <v>6451</v>
      </c>
      <c r="N1278" s="2" t="s">
        <v>6452</v>
      </c>
      <c r="O1278" s="2" t="s">
        <v>869</v>
      </c>
      <c r="P1278" s="2" t="s">
        <v>870</v>
      </c>
    </row>
    <row r="1279" ht="15.75" customHeight="1">
      <c r="H1279" s="2" t="s">
        <v>6453</v>
      </c>
      <c r="I1279" s="2" t="s">
        <v>6454</v>
      </c>
      <c r="J1279" s="2" t="s">
        <v>6455</v>
      </c>
      <c r="K1279" s="2" t="s">
        <v>6456</v>
      </c>
      <c r="L1279" s="2" t="s">
        <v>6101</v>
      </c>
      <c r="M1279" s="2" t="s">
        <v>6457</v>
      </c>
      <c r="N1279" s="2" t="s">
        <v>6458</v>
      </c>
      <c r="O1279" s="2" t="s">
        <v>869</v>
      </c>
      <c r="P1279" s="2" t="s">
        <v>870</v>
      </c>
    </row>
    <row r="1280" ht="15.75" customHeight="1">
      <c r="H1280" s="2" t="s">
        <v>6459</v>
      </c>
      <c r="I1280" s="2" t="s">
        <v>6460</v>
      </c>
      <c r="J1280" s="2" t="s">
        <v>6461</v>
      </c>
      <c r="K1280" s="2" t="s">
        <v>6462</v>
      </c>
      <c r="L1280" s="2" t="s">
        <v>6101</v>
      </c>
      <c r="M1280" s="2" t="s">
        <v>6463</v>
      </c>
      <c r="N1280" s="2" t="s">
        <v>6464</v>
      </c>
      <c r="O1280" s="2" t="s">
        <v>869</v>
      </c>
      <c r="P1280" s="2" t="s">
        <v>870</v>
      </c>
    </row>
    <row r="1281" ht="15.75" customHeight="1">
      <c r="H1281" s="2" t="s">
        <v>6465</v>
      </c>
      <c r="I1281" s="2" t="s">
        <v>6466</v>
      </c>
      <c r="J1281" s="2" t="s">
        <v>6467</v>
      </c>
      <c r="K1281" s="2" t="s">
        <v>6468</v>
      </c>
      <c r="L1281" s="2" t="s">
        <v>6101</v>
      </c>
      <c r="M1281" s="2" t="s">
        <v>6469</v>
      </c>
      <c r="N1281" s="2" t="s">
        <v>6470</v>
      </c>
      <c r="O1281" s="2" t="s">
        <v>869</v>
      </c>
      <c r="P1281" s="2" t="s">
        <v>870</v>
      </c>
    </row>
    <row r="1282" ht="15.75" customHeight="1">
      <c r="H1282" s="2" t="s">
        <v>6471</v>
      </c>
      <c r="I1282" s="2" t="s">
        <v>1016</v>
      </c>
      <c r="J1282" s="2" t="s">
        <v>1017</v>
      </c>
      <c r="K1282" s="2" t="s">
        <v>6472</v>
      </c>
      <c r="L1282" s="2" t="s">
        <v>6101</v>
      </c>
      <c r="M1282" s="2" t="s">
        <v>6473</v>
      </c>
      <c r="N1282" s="2" t="s">
        <v>6474</v>
      </c>
      <c r="O1282" s="2" t="s">
        <v>869</v>
      </c>
      <c r="P1282" s="2" t="s">
        <v>870</v>
      </c>
    </row>
    <row r="1283" ht="15.75" customHeight="1">
      <c r="H1283" s="2" t="s">
        <v>6475</v>
      </c>
      <c r="I1283" s="2" t="s">
        <v>6476</v>
      </c>
      <c r="J1283" s="2" t="s">
        <v>6477</v>
      </c>
      <c r="K1283" s="2" t="s">
        <v>6478</v>
      </c>
      <c r="L1283" s="2" t="s">
        <v>6101</v>
      </c>
      <c r="M1283" s="2" t="s">
        <v>6479</v>
      </c>
      <c r="N1283" s="2" t="s">
        <v>6480</v>
      </c>
      <c r="O1283" s="2" t="s">
        <v>869</v>
      </c>
      <c r="P1283" s="2" t="s">
        <v>870</v>
      </c>
    </row>
    <row r="1284" ht="15.75" customHeight="1">
      <c r="H1284" s="2" t="s">
        <v>6481</v>
      </c>
      <c r="I1284" s="2" t="s">
        <v>6482</v>
      </c>
      <c r="J1284" s="2" t="s">
        <v>6483</v>
      </c>
      <c r="K1284" s="2" t="s">
        <v>6484</v>
      </c>
      <c r="L1284" s="2" t="s">
        <v>6101</v>
      </c>
      <c r="M1284" s="2" t="s">
        <v>6485</v>
      </c>
      <c r="N1284" s="2" t="s">
        <v>6486</v>
      </c>
      <c r="O1284" s="2" t="s">
        <v>869</v>
      </c>
      <c r="P1284" s="2" t="s">
        <v>870</v>
      </c>
    </row>
    <row r="1285" ht="15.75" customHeight="1">
      <c r="H1285" s="2" t="s">
        <v>6487</v>
      </c>
      <c r="I1285" s="2" t="s">
        <v>6488</v>
      </c>
      <c r="J1285" s="2" t="s">
        <v>6489</v>
      </c>
      <c r="K1285" s="2" t="s">
        <v>6490</v>
      </c>
      <c r="L1285" s="2" t="s">
        <v>6101</v>
      </c>
      <c r="M1285" s="2" t="s">
        <v>6491</v>
      </c>
      <c r="N1285" s="2" t="s">
        <v>6492</v>
      </c>
      <c r="O1285" s="2" t="s">
        <v>869</v>
      </c>
      <c r="P1285" s="2" t="s">
        <v>870</v>
      </c>
    </row>
    <row r="1286" ht="15.75" customHeight="1">
      <c r="H1286" s="2" t="s">
        <v>6493</v>
      </c>
      <c r="I1286" s="2" t="s">
        <v>6494</v>
      </c>
      <c r="J1286" s="2" t="s">
        <v>6495</v>
      </c>
      <c r="K1286" s="2" t="s">
        <v>6496</v>
      </c>
      <c r="L1286" s="2" t="s">
        <v>6101</v>
      </c>
      <c r="M1286" s="2" t="s">
        <v>6497</v>
      </c>
      <c r="N1286" s="2" t="s">
        <v>6498</v>
      </c>
      <c r="O1286" s="2" t="s">
        <v>869</v>
      </c>
      <c r="P1286" s="2" t="s">
        <v>870</v>
      </c>
    </row>
    <row r="1287" ht="15.75" customHeight="1">
      <c r="H1287" s="2" t="s">
        <v>6499</v>
      </c>
      <c r="I1287" s="2" t="s">
        <v>6500</v>
      </c>
      <c r="J1287" s="2" t="s">
        <v>6501</v>
      </c>
      <c r="K1287" s="2" t="s">
        <v>6502</v>
      </c>
      <c r="L1287" s="2" t="s">
        <v>6101</v>
      </c>
      <c r="M1287" s="2" t="s">
        <v>6503</v>
      </c>
      <c r="N1287" s="2" t="s">
        <v>6504</v>
      </c>
      <c r="O1287" s="2" t="s">
        <v>869</v>
      </c>
      <c r="P1287" s="2" t="s">
        <v>870</v>
      </c>
    </row>
    <row r="1288" ht="15.75" customHeight="1">
      <c r="H1288" s="2" t="s">
        <v>6505</v>
      </c>
      <c r="I1288" s="2" t="s">
        <v>6506</v>
      </c>
      <c r="J1288" s="2" t="s">
        <v>6507</v>
      </c>
      <c r="K1288" s="2" t="s">
        <v>6508</v>
      </c>
      <c r="L1288" s="2" t="s">
        <v>6101</v>
      </c>
      <c r="M1288" s="2" t="s">
        <v>6509</v>
      </c>
      <c r="N1288" s="2" t="s">
        <v>6510</v>
      </c>
      <c r="O1288" s="2" t="s">
        <v>869</v>
      </c>
      <c r="P1288" s="2" t="s">
        <v>870</v>
      </c>
    </row>
    <row r="1289" ht="15.75" customHeight="1">
      <c r="H1289" s="2" t="s">
        <v>6511</v>
      </c>
      <c r="I1289" s="2" t="s">
        <v>6356</v>
      </c>
      <c r="J1289" s="2" t="s">
        <v>6357</v>
      </c>
      <c r="K1289" s="2" t="s">
        <v>6512</v>
      </c>
      <c r="L1289" s="2" t="s">
        <v>6101</v>
      </c>
      <c r="M1289" s="2" t="s">
        <v>6513</v>
      </c>
      <c r="N1289" s="2" t="s">
        <v>6514</v>
      </c>
      <c r="O1289" s="2" t="s">
        <v>869</v>
      </c>
      <c r="P1289" s="2" t="s">
        <v>870</v>
      </c>
    </row>
    <row r="1290" ht="15.75" customHeight="1">
      <c r="H1290" s="2" t="s">
        <v>6515</v>
      </c>
      <c r="I1290" s="2" t="s">
        <v>6516</v>
      </c>
      <c r="J1290" s="2" t="s">
        <v>6517</v>
      </c>
      <c r="K1290" s="2" t="s">
        <v>6518</v>
      </c>
      <c r="L1290" s="2" t="s">
        <v>6101</v>
      </c>
      <c r="M1290" s="2" t="s">
        <v>6519</v>
      </c>
      <c r="N1290" s="2" t="s">
        <v>6520</v>
      </c>
      <c r="O1290" s="2" t="s">
        <v>869</v>
      </c>
      <c r="P1290" s="2" t="s">
        <v>870</v>
      </c>
    </row>
    <row r="1291" ht="15.75" customHeight="1">
      <c r="H1291" s="2" t="s">
        <v>6521</v>
      </c>
      <c r="I1291" s="2" t="s">
        <v>6522</v>
      </c>
      <c r="J1291" s="2" t="s">
        <v>6523</v>
      </c>
      <c r="K1291" s="2" t="s">
        <v>6524</v>
      </c>
      <c r="L1291" s="2" t="s">
        <v>6101</v>
      </c>
      <c r="M1291" s="2" t="s">
        <v>6525</v>
      </c>
      <c r="N1291" s="2" t="s">
        <v>6526</v>
      </c>
      <c r="O1291" s="2" t="s">
        <v>869</v>
      </c>
      <c r="P1291" s="2" t="s">
        <v>870</v>
      </c>
    </row>
    <row r="1292" ht="15.75" customHeight="1">
      <c r="F1292" s="2" t="s">
        <v>1052</v>
      </c>
      <c r="H1292" s="2" t="s">
        <v>6527</v>
      </c>
      <c r="I1292" s="2" t="s">
        <v>1054</v>
      </c>
      <c r="J1292" s="2" t="s">
        <v>1055</v>
      </c>
      <c r="K1292" s="2" t="s">
        <v>6528</v>
      </c>
      <c r="L1292" s="2" t="s">
        <v>6101</v>
      </c>
      <c r="M1292" s="2" t="s">
        <v>6529</v>
      </c>
      <c r="N1292" s="2" t="s">
        <v>6530</v>
      </c>
      <c r="O1292" s="2" t="s">
        <v>869</v>
      </c>
      <c r="P1292" s="2" t="s">
        <v>870</v>
      </c>
    </row>
    <row r="1293" ht="15.75" customHeight="1">
      <c r="H1293" s="2" t="s">
        <v>6531</v>
      </c>
      <c r="I1293" s="2" t="s">
        <v>6532</v>
      </c>
      <c r="J1293" s="2" t="s">
        <v>6533</v>
      </c>
      <c r="K1293" s="2" t="s">
        <v>6534</v>
      </c>
      <c r="L1293" s="2" t="s">
        <v>6101</v>
      </c>
      <c r="M1293" s="2" t="s">
        <v>6535</v>
      </c>
      <c r="N1293" s="2" t="s">
        <v>6536</v>
      </c>
      <c r="O1293" s="2" t="s">
        <v>869</v>
      </c>
      <c r="P1293" s="2" t="s">
        <v>870</v>
      </c>
    </row>
    <row r="1294" ht="15.75" customHeight="1">
      <c r="H1294" s="2" t="s">
        <v>6537</v>
      </c>
      <c r="I1294" s="2" t="s">
        <v>1059</v>
      </c>
      <c r="J1294" s="2" t="s">
        <v>1060</v>
      </c>
      <c r="K1294" s="2" t="s">
        <v>6538</v>
      </c>
      <c r="L1294" s="2" t="s">
        <v>6101</v>
      </c>
      <c r="M1294" s="2" t="s">
        <v>6539</v>
      </c>
      <c r="N1294" s="2" t="s">
        <v>6540</v>
      </c>
      <c r="O1294" s="2" t="s">
        <v>869</v>
      </c>
      <c r="P1294" s="2" t="s">
        <v>870</v>
      </c>
    </row>
    <row r="1295" ht="15.75" customHeight="1">
      <c r="H1295" s="2" t="s">
        <v>6541</v>
      </c>
      <c r="I1295" s="2" t="s">
        <v>6542</v>
      </c>
      <c r="J1295" s="2" t="s">
        <v>6543</v>
      </c>
      <c r="K1295" s="2" t="s">
        <v>6544</v>
      </c>
      <c r="L1295" s="2" t="s">
        <v>6101</v>
      </c>
      <c r="M1295" s="2" t="s">
        <v>6545</v>
      </c>
      <c r="N1295" s="2" t="s">
        <v>6546</v>
      </c>
      <c r="O1295" s="2" t="s">
        <v>869</v>
      </c>
      <c r="P1295" s="2" t="s">
        <v>870</v>
      </c>
    </row>
    <row r="1296" ht="15.75" customHeight="1">
      <c r="H1296" s="2" t="s">
        <v>6547</v>
      </c>
      <c r="I1296" s="2" t="s">
        <v>6548</v>
      </c>
      <c r="J1296" s="2" t="s">
        <v>6549</v>
      </c>
      <c r="K1296" s="2" t="s">
        <v>6550</v>
      </c>
      <c r="L1296" s="2" t="s">
        <v>6101</v>
      </c>
      <c r="M1296" s="2" t="s">
        <v>6551</v>
      </c>
      <c r="N1296" s="2" t="s">
        <v>6552</v>
      </c>
      <c r="O1296" s="2" t="s">
        <v>6553</v>
      </c>
      <c r="P1296" s="2" t="s">
        <v>869</v>
      </c>
    </row>
    <row r="1297" ht="15.75" customHeight="1">
      <c r="H1297" s="2" t="s">
        <v>6554</v>
      </c>
      <c r="I1297" s="2" t="s">
        <v>1075</v>
      </c>
      <c r="J1297" s="2" t="s">
        <v>1076</v>
      </c>
      <c r="K1297" s="2" t="s">
        <v>6555</v>
      </c>
      <c r="L1297" s="2" t="s">
        <v>6101</v>
      </c>
      <c r="M1297" s="2" t="s">
        <v>6556</v>
      </c>
      <c r="N1297" s="2" t="s">
        <v>6557</v>
      </c>
      <c r="O1297" s="2" t="s">
        <v>869</v>
      </c>
      <c r="P1297" s="2" t="s">
        <v>870</v>
      </c>
    </row>
    <row r="1298" ht="15.75" customHeight="1">
      <c r="H1298" s="2" t="s">
        <v>6558</v>
      </c>
      <c r="I1298" s="2" t="s">
        <v>6559</v>
      </c>
      <c r="J1298" s="2" t="s">
        <v>6560</v>
      </c>
      <c r="K1298" s="2" t="s">
        <v>6561</v>
      </c>
      <c r="L1298" s="2" t="s">
        <v>6101</v>
      </c>
      <c r="M1298" s="2" t="s">
        <v>6562</v>
      </c>
      <c r="N1298" s="2" t="s">
        <v>6563</v>
      </c>
      <c r="O1298" s="2" t="s">
        <v>869</v>
      </c>
      <c r="P1298" s="2" t="s">
        <v>870</v>
      </c>
    </row>
    <row r="1299" ht="15.75" customHeight="1">
      <c r="H1299" s="2" t="s">
        <v>6564</v>
      </c>
      <c r="I1299" s="2" t="s">
        <v>6565</v>
      </c>
      <c r="J1299" s="2" t="s">
        <v>6566</v>
      </c>
      <c r="K1299" s="2" t="s">
        <v>6567</v>
      </c>
      <c r="L1299" s="2" t="s">
        <v>6101</v>
      </c>
      <c r="M1299" s="2" t="s">
        <v>6568</v>
      </c>
      <c r="N1299" s="2" t="s">
        <v>6569</v>
      </c>
      <c r="O1299" s="2" t="s">
        <v>869</v>
      </c>
      <c r="P1299" s="2" t="s">
        <v>870</v>
      </c>
    </row>
    <row r="1300" ht="15.75" customHeight="1">
      <c r="H1300" s="2" t="s">
        <v>6570</v>
      </c>
      <c r="I1300" s="2" t="s">
        <v>6571</v>
      </c>
      <c r="J1300" s="2" t="s">
        <v>6572</v>
      </c>
      <c r="K1300" s="2" t="s">
        <v>6573</v>
      </c>
      <c r="L1300" s="2" t="s">
        <v>6101</v>
      </c>
      <c r="M1300" s="2" t="s">
        <v>6574</v>
      </c>
      <c r="N1300" s="2" t="s">
        <v>6575</v>
      </c>
      <c r="O1300" s="2" t="s">
        <v>869</v>
      </c>
      <c r="P1300" s="2" t="s">
        <v>870</v>
      </c>
    </row>
    <row r="1301" ht="15.75" customHeight="1">
      <c r="H1301" s="2" t="s">
        <v>6576</v>
      </c>
      <c r="I1301" s="2" t="s">
        <v>6577</v>
      </c>
      <c r="J1301" s="2" t="s">
        <v>6578</v>
      </c>
      <c r="K1301" s="2" t="s">
        <v>6579</v>
      </c>
      <c r="L1301" s="2" t="s">
        <v>6101</v>
      </c>
      <c r="M1301" s="2" t="s">
        <v>6580</v>
      </c>
      <c r="N1301" s="2" t="s">
        <v>6581</v>
      </c>
      <c r="O1301" s="2" t="s">
        <v>869</v>
      </c>
      <c r="P1301" s="2" t="s">
        <v>870</v>
      </c>
    </row>
    <row r="1302" ht="15.75" customHeight="1">
      <c r="H1302" s="2" t="s">
        <v>6582</v>
      </c>
      <c r="I1302" s="2" t="s">
        <v>6583</v>
      </c>
      <c r="J1302" s="2" t="s">
        <v>6584</v>
      </c>
      <c r="K1302" s="2" t="s">
        <v>6585</v>
      </c>
      <c r="L1302" s="2" t="s">
        <v>6101</v>
      </c>
      <c r="M1302" s="2" t="s">
        <v>6586</v>
      </c>
      <c r="N1302" s="2" t="s">
        <v>6587</v>
      </c>
      <c r="O1302" s="2" t="s">
        <v>869</v>
      </c>
      <c r="P1302" s="2" t="s">
        <v>870</v>
      </c>
    </row>
    <row r="1303" ht="15.75" customHeight="1">
      <c r="H1303" s="2" t="s">
        <v>6588</v>
      </c>
      <c r="I1303" s="2" t="s">
        <v>1090</v>
      </c>
      <c r="J1303" s="2" t="s">
        <v>1091</v>
      </c>
      <c r="K1303" s="2" t="s">
        <v>6589</v>
      </c>
      <c r="L1303" s="2" t="s">
        <v>6101</v>
      </c>
      <c r="M1303" s="2" t="s">
        <v>6590</v>
      </c>
      <c r="N1303" s="2" t="s">
        <v>6591</v>
      </c>
      <c r="O1303" s="2" t="s">
        <v>869</v>
      </c>
      <c r="P1303" s="2" t="s">
        <v>870</v>
      </c>
    </row>
    <row r="1304" ht="15.75" customHeight="1">
      <c r="H1304" s="2" t="s">
        <v>6592</v>
      </c>
      <c r="I1304" s="2" t="s">
        <v>6593</v>
      </c>
      <c r="J1304" s="2" t="s">
        <v>6594</v>
      </c>
      <c r="K1304" s="2" t="s">
        <v>6595</v>
      </c>
      <c r="L1304" s="2" t="s">
        <v>6101</v>
      </c>
      <c r="M1304" s="2" t="s">
        <v>6596</v>
      </c>
      <c r="N1304" s="2" t="s">
        <v>6597</v>
      </c>
      <c r="O1304" s="2" t="s">
        <v>869</v>
      </c>
      <c r="P1304" s="2" t="s">
        <v>870</v>
      </c>
    </row>
    <row r="1305" ht="15.75" customHeight="1">
      <c r="H1305" s="2" t="s">
        <v>6598</v>
      </c>
      <c r="I1305" s="2" t="s">
        <v>6599</v>
      </c>
      <c r="J1305" s="2" t="s">
        <v>6600</v>
      </c>
      <c r="K1305" s="2" t="s">
        <v>6601</v>
      </c>
      <c r="L1305" s="2" t="s">
        <v>6101</v>
      </c>
      <c r="M1305" s="2" t="s">
        <v>6602</v>
      </c>
      <c r="N1305" s="2" t="s">
        <v>6603</v>
      </c>
      <c r="O1305" s="2" t="s">
        <v>869</v>
      </c>
      <c r="P1305" s="2" t="s">
        <v>870</v>
      </c>
    </row>
    <row r="1306" ht="15.75" customHeight="1">
      <c r="H1306" s="2" t="s">
        <v>6604</v>
      </c>
      <c r="I1306" s="2" t="s">
        <v>6605</v>
      </c>
      <c r="J1306" s="2" t="s">
        <v>6606</v>
      </c>
      <c r="K1306" s="2" t="s">
        <v>6607</v>
      </c>
      <c r="L1306" s="2" t="s">
        <v>6101</v>
      </c>
      <c r="M1306" s="2" t="s">
        <v>6608</v>
      </c>
      <c r="N1306" s="2" t="s">
        <v>6609</v>
      </c>
      <c r="O1306" s="2" t="s">
        <v>6610</v>
      </c>
      <c r="P1306" s="2" t="s">
        <v>869</v>
      </c>
    </row>
    <row r="1307" ht="15.75" customHeight="1">
      <c r="H1307" s="2" t="s">
        <v>6611</v>
      </c>
      <c r="I1307" s="2" t="s">
        <v>6612</v>
      </c>
      <c r="J1307" s="2" t="s">
        <v>6613</v>
      </c>
      <c r="K1307" s="2" t="s">
        <v>6614</v>
      </c>
      <c r="L1307" s="2" t="s">
        <v>6101</v>
      </c>
      <c r="M1307" s="2" t="s">
        <v>6615</v>
      </c>
      <c r="N1307" s="2" t="s">
        <v>6616</v>
      </c>
      <c r="O1307" s="2" t="s">
        <v>869</v>
      </c>
      <c r="P1307" s="2" t="s">
        <v>870</v>
      </c>
    </row>
    <row r="1308" ht="15.75" customHeight="1">
      <c r="H1308" s="2" t="s">
        <v>6617</v>
      </c>
      <c r="I1308" s="2" t="s">
        <v>6618</v>
      </c>
      <c r="J1308" s="2" t="s">
        <v>6619</v>
      </c>
      <c r="K1308" s="2" t="s">
        <v>6620</v>
      </c>
      <c r="L1308" s="2" t="s">
        <v>6101</v>
      </c>
      <c r="M1308" s="2" t="s">
        <v>6621</v>
      </c>
      <c r="N1308" s="2" t="s">
        <v>6622</v>
      </c>
      <c r="O1308" s="2" t="s">
        <v>869</v>
      </c>
      <c r="P1308" s="2" t="s">
        <v>870</v>
      </c>
    </row>
    <row r="1309" ht="15.75" customHeight="1">
      <c r="F1309" s="2" t="s">
        <v>39</v>
      </c>
      <c r="H1309" s="2" t="s">
        <v>6623</v>
      </c>
      <c r="I1309" s="2" t="s">
        <v>1268</v>
      </c>
      <c r="J1309" s="2" t="s">
        <v>1269</v>
      </c>
      <c r="K1309" s="2" t="s">
        <v>6624</v>
      </c>
      <c r="L1309" s="2" t="s">
        <v>6101</v>
      </c>
      <c r="M1309" s="2" t="s">
        <v>6625</v>
      </c>
      <c r="N1309" s="2" t="s">
        <v>6626</v>
      </c>
      <c r="O1309" s="2" t="s">
        <v>869</v>
      </c>
      <c r="P1309" s="2" t="s">
        <v>870</v>
      </c>
    </row>
    <row r="1310" ht="15.75" customHeight="1">
      <c r="H1310" s="2" t="s">
        <v>6627</v>
      </c>
      <c r="I1310" s="2" t="s">
        <v>41</v>
      </c>
      <c r="J1310" s="2" t="s">
        <v>42</v>
      </c>
      <c r="K1310" s="2" t="s">
        <v>6628</v>
      </c>
      <c r="L1310" s="2" t="s">
        <v>6101</v>
      </c>
      <c r="M1310" s="2" t="s">
        <v>6629</v>
      </c>
      <c r="N1310" s="2" t="s">
        <v>6630</v>
      </c>
      <c r="O1310" s="2" t="s">
        <v>869</v>
      </c>
      <c r="P1310" s="2" t="s">
        <v>870</v>
      </c>
    </row>
    <row r="1311" ht="15.75" customHeight="1">
      <c r="H1311" s="2" t="s">
        <v>6631</v>
      </c>
      <c r="I1311" s="2" t="s">
        <v>6632</v>
      </c>
      <c r="J1311" s="2" t="s">
        <v>6633</v>
      </c>
      <c r="K1311" s="2" t="s">
        <v>6634</v>
      </c>
      <c r="L1311" s="2" t="s">
        <v>6101</v>
      </c>
      <c r="M1311" s="2" t="s">
        <v>6635</v>
      </c>
      <c r="N1311" s="2" t="s">
        <v>6636</v>
      </c>
      <c r="O1311" s="2" t="s">
        <v>869</v>
      </c>
      <c r="P1311" s="2" t="s">
        <v>870</v>
      </c>
    </row>
    <row r="1312" ht="15.75" customHeight="1">
      <c r="H1312" s="2" t="s">
        <v>6637</v>
      </c>
      <c r="I1312" s="2" t="s">
        <v>6638</v>
      </c>
      <c r="J1312" s="2" t="s">
        <v>6639</v>
      </c>
      <c r="K1312" s="2" t="s">
        <v>6640</v>
      </c>
      <c r="L1312" s="2" t="s">
        <v>6101</v>
      </c>
      <c r="M1312" s="2" t="s">
        <v>6641</v>
      </c>
      <c r="N1312" s="2" t="s">
        <v>6642</v>
      </c>
      <c r="O1312" s="2" t="s">
        <v>869</v>
      </c>
      <c r="P1312" s="2" t="s">
        <v>870</v>
      </c>
    </row>
    <row r="1313" ht="15.75" customHeight="1">
      <c r="H1313" s="2" t="s">
        <v>6643</v>
      </c>
      <c r="I1313" s="2" t="s">
        <v>6644</v>
      </c>
      <c r="J1313" s="2" t="s">
        <v>6645</v>
      </c>
      <c r="K1313" s="2" t="s">
        <v>6646</v>
      </c>
      <c r="L1313" s="2" t="s">
        <v>6101</v>
      </c>
      <c r="M1313" s="2" t="s">
        <v>6647</v>
      </c>
      <c r="N1313" s="2" t="s">
        <v>6648</v>
      </c>
      <c r="O1313" s="2" t="s">
        <v>869</v>
      </c>
      <c r="P1313" s="2" t="s">
        <v>870</v>
      </c>
    </row>
    <row r="1314" ht="15.75" customHeight="1">
      <c r="H1314" s="2" t="s">
        <v>6649</v>
      </c>
      <c r="I1314" s="2" t="s">
        <v>1276</v>
      </c>
      <c r="J1314" s="2" t="s">
        <v>1277</v>
      </c>
      <c r="K1314" s="2" t="s">
        <v>6650</v>
      </c>
      <c r="L1314" s="2" t="s">
        <v>6101</v>
      </c>
      <c r="M1314" s="2" t="s">
        <v>6651</v>
      </c>
      <c r="N1314" s="2" t="s">
        <v>6652</v>
      </c>
      <c r="O1314" s="2" t="s">
        <v>869</v>
      </c>
      <c r="P1314" s="2" t="s">
        <v>870</v>
      </c>
    </row>
    <row r="1315" ht="15.75" customHeight="1">
      <c r="H1315" s="2" t="s">
        <v>6653</v>
      </c>
      <c r="I1315" s="2" t="s">
        <v>6654</v>
      </c>
      <c r="J1315" s="2" t="s">
        <v>6655</v>
      </c>
      <c r="K1315" s="2" t="s">
        <v>6656</v>
      </c>
      <c r="L1315" s="2" t="s">
        <v>6101</v>
      </c>
      <c r="M1315" s="2" t="s">
        <v>6657</v>
      </c>
      <c r="N1315" s="2" t="s">
        <v>6658</v>
      </c>
      <c r="O1315" s="2" t="s">
        <v>869</v>
      </c>
      <c r="P1315" s="2" t="s">
        <v>870</v>
      </c>
    </row>
    <row r="1316" ht="15.75" customHeight="1">
      <c r="H1316" s="2" t="s">
        <v>6659</v>
      </c>
      <c r="I1316" s="2" t="s">
        <v>49</v>
      </c>
      <c r="J1316" s="2" t="s">
        <v>50</v>
      </c>
      <c r="K1316" s="2" t="s">
        <v>6660</v>
      </c>
      <c r="L1316" s="2" t="s">
        <v>6101</v>
      </c>
      <c r="M1316" s="2" t="s">
        <v>6661</v>
      </c>
      <c r="N1316" s="2" t="s">
        <v>6662</v>
      </c>
      <c r="O1316" s="2" t="s">
        <v>869</v>
      </c>
      <c r="P1316" s="2" t="s">
        <v>870</v>
      </c>
    </row>
    <row r="1317" ht="15.75" customHeight="1">
      <c r="H1317" s="2" t="s">
        <v>6663</v>
      </c>
      <c r="I1317" s="2" t="s">
        <v>6664</v>
      </c>
      <c r="J1317" s="2" t="s">
        <v>6665</v>
      </c>
      <c r="K1317" s="2" t="s">
        <v>6666</v>
      </c>
      <c r="L1317" s="2" t="s">
        <v>6101</v>
      </c>
      <c r="M1317" s="2" t="s">
        <v>1298</v>
      </c>
      <c r="N1317" s="2" t="s">
        <v>6667</v>
      </c>
      <c r="O1317" s="2" t="s">
        <v>869</v>
      </c>
      <c r="P1317" s="2" t="s">
        <v>870</v>
      </c>
    </row>
    <row r="1318" ht="15.75" customHeight="1">
      <c r="H1318" s="2" t="s">
        <v>6668</v>
      </c>
      <c r="I1318" s="2" t="s">
        <v>6669</v>
      </c>
      <c r="J1318" s="2" t="s">
        <v>6670</v>
      </c>
      <c r="K1318" s="2" t="s">
        <v>6671</v>
      </c>
      <c r="L1318" s="2" t="s">
        <v>6101</v>
      </c>
      <c r="M1318" s="2" t="s">
        <v>6672</v>
      </c>
      <c r="N1318" s="2" t="s">
        <v>6673</v>
      </c>
      <c r="O1318" s="2" t="s">
        <v>869</v>
      </c>
      <c r="P1318" s="2" t="s">
        <v>870</v>
      </c>
    </row>
    <row r="1319" ht="15.75" customHeight="1">
      <c r="H1319" s="2" t="s">
        <v>6674</v>
      </c>
      <c r="I1319" s="2" t="s">
        <v>6675</v>
      </c>
      <c r="J1319" s="2" t="s">
        <v>6676</v>
      </c>
      <c r="K1319" s="2" t="s">
        <v>6677</v>
      </c>
      <c r="L1319" s="2" t="s">
        <v>6101</v>
      </c>
      <c r="M1319" s="2" t="s">
        <v>6678</v>
      </c>
      <c r="N1319" s="2" t="s">
        <v>6679</v>
      </c>
      <c r="O1319" s="2" t="s">
        <v>869</v>
      </c>
      <c r="P1319" s="2" t="s">
        <v>870</v>
      </c>
    </row>
    <row r="1320" ht="15.75" customHeight="1">
      <c r="H1320" s="2" t="s">
        <v>6680</v>
      </c>
      <c r="I1320" s="2" t="s">
        <v>6681</v>
      </c>
      <c r="J1320" s="2" t="s">
        <v>6682</v>
      </c>
      <c r="K1320" s="2" t="s">
        <v>6683</v>
      </c>
      <c r="L1320" s="2" t="s">
        <v>6101</v>
      </c>
      <c r="M1320" s="2" t="s">
        <v>6684</v>
      </c>
      <c r="N1320" s="2" t="s">
        <v>6685</v>
      </c>
      <c r="O1320" s="2" t="s">
        <v>869</v>
      </c>
      <c r="P1320" s="2" t="s">
        <v>870</v>
      </c>
    </row>
    <row r="1321" ht="15.75" customHeight="1">
      <c r="H1321" s="2" t="s">
        <v>6686</v>
      </c>
      <c r="I1321" s="2" t="s">
        <v>6687</v>
      </c>
      <c r="J1321" s="2" t="s">
        <v>6688</v>
      </c>
      <c r="K1321" s="2" t="s">
        <v>6689</v>
      </c>
      <c r="L1321" s="2" t="s">
        <v>6101</v>
      </c>
      <c r="M1321" s="2" t="s">
        <v>6690</v>
      </c>
      <c r="N1321" s="2" t="s">
        <v>6691</v>
      </c>
      <c r="O1321" s="2" t="s">
        <v>869</v>
      </c>
      <c r="P1321" s="2" t="s">
        <v>870</v>
      </c>
    </row>
    <row r="1322" ht="15.75" customHeight="1">
      <c r="H1322" s="2" t="s">
        <v>6692</v>
      </c>
      <c r="I1322" s="2" t="s">
        <v>6693</v>
      </c>
      <c r="J1322" s="2" t="s">
        <v>6694</v>
      </c>
      <c r="K1322" s="2" t="s">
        <v>6695</v>
      </c>
      <c r="L1322" s="2" t="s">
        <v>6101</v>
      </c>
      <c r="M1322" s="2" t="s">
        <v>6696</v>
      </c>
      <c r="N1322" s="2" t="s">
        <v>6697</v>
      </c>
      <c r="O1322" s="2" t="s">
        <v>869</v>
      </c>
      <c r="P1322" s="2" t="s">
        <v>870</v>
      </c>
    </row>
    <row r="1323" ht="15.75" customHeight="1">
      <c r="H1323" s="2" t="s">
        <v>6698</v>
      </c>
      <c r="I1323" s="2" t="s">
        <v>6699</v>
      </c>
      <c r="J1323" s="2" t="s">
        <v>6700</v>
      </c>
      <c r="K1323" s="2" t="s">
        <v>6701</v>
      </c>
      <c r="L1323" s="2" t="s">
        <v>6101</v>
      </c>
      <c r="M1323" s="2" t="s">
        <v>6702</v>
      </c>
      <c r="N1323" s="2" t="s">
        <v>6703</v>
      </c>
      <c r="O1323" s="2" t="s">
        <v>869</v>
      </c>
      <c r="P1323" s="2" t="s">
        <v>870</v>
      </c>
    </row>
    <row r="1324" ht="15.75" customHeight="1">
      <c r="H1324" s="2" t="s">
        <v>6704</v>
      </c>
      <c r="I1324" s="2" t="s">
        <v>6705</v>
      </c>
      <c r="J1324" s="2" t="s">
        <v>6706</v>
      </c>
      <c r="K1324" s="2" t="s">
        <v>6707</v>
      </c>
      <c r="L1324" s="2" t="s">
        <v>6101</v>
      </c>
      <c r="M1324" s="2" t="s">
        <v>6708</v>
      </c>
      <c r="N1324" s="2" t="s">
        <v>6709</v>
      </c>
      <c r="O1324" s="2" t="s">
        <v>869</v>
      </c>
      <c r="P1324" s="2" t="s">
        <v>870</v>
      </c>
    </row>
    <row r="1325" ht="15.75" customHeight="1">
      <c r="H1325" s="2" t="s">
        <v>6710</v>
      </c>
      <c r="I1325" s="2" t="s">
        <v>6711</v>
      </c>
      <c r="J1325" s="2" t="s">
        <v>6712</v>
      </c>
      <c r="K1325" s="2" t="s">
        <v>6713</v>
      </c>
      <c r="L1325" s="2" t="s">
        <v>6101</v>
      </c>
      <c r="M1325" s="2" t="s">
        <v>6714</v>
      </c>
      <c r="N1325" s="2" t="s">
        <v>6715</v>
      </c>
      <c r="O1325" s="2" t="s">
        <v>869</v>
      </c>
      <c r="P1325" s="2" t="s">
        <v>870</v>
      </c>
    </row>
    <row r="1326" ht="15.75" customHeight="1">
      <c r="H1326" s="2" t="s">
        <v>6716</v>
      </c>
      <c r="I1326" s="2" t="s">
        <v>1306</v>
      </c>
      <c r="J1326" s="2" t="s">
        <v>1307</v>
      </c>
      <c r="K1326" s="2" t="s">
        <v>6717</v>
      </c>
      <c r="L1326" s="2" t="s">
        <v>6101</v>
      </c>
      <c r="M1326" s="2" t="s">
        <v>6718</v>
      </c>
      <c r="N1326" s="2" t="s">
        <v>6719</v>
      </c>
      <c r="O1326" s="2" t="s">
        <v>869</v>
      </c>
      <c r="P1326" s="2" t="s">
        <v>870</v>
      </c>
    </row>
    <row r="1327" ht="15.75" customHeight="1">
      <c r="H1327" s="2" t="s">
        <v>6720</v>
      </c>
      <c r="I1327" s="2" t="s">
        <v>6721</v>
      </c>
      <c r="J1327" s="2" t="s">
        <v>6722</v>
      </c>
      <c r="K1327" s="2" t="s">
        <v>6723</v>
      </c>
      <c r="L1327" s="2" t="s">
        <v>6101</v>
      </c>
      <c r="M1327" s="2" t="s">
        <v>6724</v>
      </c>
      <c r="N1327" s="2" t="s">
        <v>6725</v>
      </c>
      <c r="O1327" s="2" t="s">
        <v>869</v>
      </c>
      <c r="P1327" s="2" t="s">
        <v>870</v>
      </c>
    </row>
    <row r="1328" ht="15.75" customHeight="1">
      <c r="H1328" s="2" t="s">
        <v>6726</v>
      </c>
      <c r="I1328" s="2" t="s">
        <v>1311</v>
      </c>
      <c r="J1328" s="2" t="s">
        <v>1312</v>
      </c>
      <c r="K1328" s="2" t="s">
        <v>6727</v>
      </c>
      <c r="L1328" s="2" t="s">
        <v>6101</v>
      </c>
      <c r="M1328" s="2" t="s">
        <v>6728</v>
      </c>
      <c r="N1328" s="2" t="s">
        <v>6729</v>
      </c>
      <c r="O1328" s="2" t="s">
        <v>869</v>
      </c>
      <c r="P1328" s="2" t="s">
        <v>870</v>
      </c>
    </row>
    <row r="1329" ht="15.75" customHeight="1">
      <c r="H1329" s="2" t="s">
        <v>6730</v>
      </c>
      <c r="I1329" s="2" t="s">
        <v>6731</v>
      </c>
      <c r="J1329" s="2" t="s">
        <v>6732</v>
      </c>
      <c r="K1329" s="2" t="s">
        <v>6733</v>
      </c>
      <c r="L1329" s="2" t="s">
        <v>6101</v>
      </c>
      <c r="M1329" s="2" t="s">
        <v>6734</v>
      </c>
      <c r="N1329" s="2" t="s">
        <v>6735</v>
      </c>
      <c r="O1329" s="2" t="s">
        <v>869</v>
      </c>
      <c r="P1329" s="2" t="s">
        <v>870</v>
      </c>
    </row>
    <row r="1330" ht="15.75" customHeight="1">
      <c r="H1330" s="2" t="s">
        <v>6736</v>
      </c>
      <c r="I1330" s="2" t="s">
        <v>1317</v>
      </c>
      <c r="J1330" s="2" t="s">
        <v>1318</v>
      </c>
      <c r="K1330" s="2" t="s">
        <v>6737</v>
      </c>
      <c r="L1330" s="2" t="s">
        <v>6101</v>
      </c>
      <c r="M1330" s="2" t="s">
        <v>6738</v>
      </c>
      <c r="N1330" s="2" t="s">
        <v>6739</v>
      </c>
      <c r="O1330" s="2" t="s">
        <v>869</v>
      </c>
      <c r="P1330" s="2" t="s">
        <v>870</v>
      </c>
    </row>
    <row r="1331" ht="15.75" customHeight="1">
      <c r="H1331" s="2" t="s">
        <v>6740</v>
      </c>
      <c r="I1331" s="2" t="s">
        <v>6741</v>
      </c>
      <c r="J1331" s="2" t="s">
        <v>6742</v>
      </c>
      <c r="K1331" s="2" t="s">
        <v>6743</v>
      </c>
      <c r="L1331" s="2" t="s">
        <v>6101</v>
      </c>
      <c r="M1331" s="2" t="s">
        <v>6744</v>
      </c>
      <c r="N1331" s="2" t="s">
        <v>6745</v>
      </c>
      <c r="O1331" s="2" t="s">
        <v>869</v>
      </c>
      <c r="P1331" s="2" t="s">
        <v>870</v>
      </c>
    </row>
    <row r="1332" ht="15.75" customHeight="1">
      <c r="H1332" s="2" t="s">
        <v>6746</v>
      </c>
      <c r="I1332" s="2" t="s">
        <v>6747</v>
      </c>
      <c r="J1332" s="2" t="s">
        <v>6748</v>
      </c>
      <c r="K1332" s="2" t="s">
        <v>6749</v>
      </c>
      <c r="L1332" s="2" t="s">
        <v>6101</v>
      </c>
      <c r="M1332" s="2" t="s">
        <v>6750</v>
      </c>
      <c r="N1332" s="2" t="s">
        <v>6751</v>
      </c>
      <c r="O1332" s="2" t="s">
        <v>869</v>
      </c>
      <c r="P1332" s="2" t="s">
        <v>870</v>
      </c>
    </row>
    <row r="1333" ht="15.75" customHeight="1">
      <c r="H1333" s="2" t="s">
        <v>6752</v>
      </c>
      <c r="I1333" s="2" t="s">
        <v>6753</v>
      </c>
      <c r="J1333" s="2" t="s">
        <v>6754</v>
      </c>
      <c r="K1333" s="2" t="s">
        <v>6755</v>
      </c>
      <c r="L1333" s="2" t="s">
        <v>6101</v>
      </c>
      <c r="M1333" s="2" t="s">
        <v>6756</v>
      </c>
      <c r="N1333" s="2" t="s">
        <v>6757</v>
      </c>
      <c r="O1333" s="2" t="s">
        <v>869</v>
      </c>
      <c r="P1333" s="2" t="s">
        <v>870</v>
      </c>
    </row>
    <row r="1334" ht="15.75" customHeight="1">
      <c r="H1334" s="2" t="s">
        <v>6758</v>
      </c>
      <c r="I1334" s="2" t="s">
        <v>6759</v>
      </c>
      <c r="J1334" s="2" t="s">
        <v>6760</v>
      </c>
      <c r="K1334" s="2" t="s">
        <v>6761</v>
      </c>
      <c r="L1334" s="2" t="s">
        <v>6101</v>
      </c>
      <c r="M1334" s="2" t="s">
        <v>6762</v>
      </c>
      <c r="N1334" s="2" t="s">
        <v>6763</v>
      </c>
      <c r="O1334" s="2" t="s">
        <v>869</v>
      </c>
      <c r="P1334" s="2" t="s">
        <v>870</v>
      </c>
    </row>
    <row r="1335" ht="15.75" customHeight="1">
      <c r="H1335" s="2" t="s">
        <v>6764</v>
      </c>
      <c r="I1335" s="2" t="s">
        <v>6765</v>
      </c>
      <c r="J1335" s="2" t="s">
        <v>6766</v>
      </c>
      <c r="K1335" s="2" t="s">
        <v>6767</v>
      </c>
      <c r="L1335" s="2" t="s">
        <v>6101</v>
      </c>
      <c r="M1335" s="2" t="s">
        <v>6768</v>
      </c>
      <c r="N1335" s="2" t="s">
        <v>6769</v>
      </c>
      <c r="O1335" s="2" t="s">
        <v>869</v>
      </c>
      <c r="P1335" s="2" t="s">
        <v>870</v>
      </c>
    </row>
    <row r="1336" ht="15.75" customHeight="1">
      <c r="H1336" s="2" t="s">
        <v>6770</v>
      </c>
      <c r="I1336" s="2" t="s">
        <v>6771</v>
      </c>
      <c r="J1336" s="2" t="s">
        <v>6772</v>
      </c>
      <c r="K1336" s="2" t="s">
        <v>6773</v>
      </c>
      <c r="L1336" s="2" t="s">
        <v>6101</v>
      </c>
      <c r="M1336" s="2" t="s">
        <v>6774</v>
      </c>
      <c r="N1336" s="2" t="s">
        <v>6775</v>
      </c>
      <c r="O1336" s="2" t="s">
        <v>869</v>
      </c>
      <c r="P1336" s="2" t="s">
        <v>870</v>
      </c>
    </row>
    <row r="1337" ht="15.75" customHeight="1">
      <c r="F1337" s="2" t="s">
        <v>56</v>
      </c>
      <c r="H1337" s="2" t="s">
        <v>6776</v>
      </c>
      <c r="I1337" s="2" t="s">
        <v>6777</v>
      </c>
      <c r="J1337" s="2" t="s">
        <v>6778</v>
      </c>
      <c r="K1337" s="2" t="s">
        <v>6779</v>
      </c>
      <c r="L1337" s="2" t="s">
        <v>6101</v>
      </c>
      <c r="M1337" s="2" t="s">
        <v>6780</v>
      </c>
      <c r="N1337" s="2" t="s">
        <v>6781</v>
      </c>
      <c r="O1337" s="2" t="s">
        <v>869</v>
      </c>
      <c r="P1337" s="2" t="s">
        <v>870</v>
      </c>
    </row>
    <row r="1338" ht="15.75" customHeight="1">
      <c r="H1338" s="2" t="s">
        <v>6782</v>
      </c>
      <c r="I1338" s="2" t="s">
        <v>6783</v>
      </c>
      <c r="J1338" s="2" t="s">
        <v>6784</v>
      </c>
      <c r="K1338" s="2" t="s">
        <v>6785</v>
      </c>
      <c r="L1338" s="2" t="s">
        <v>6101</v>
      </c>
      <c r="M1338" s="2" t="s">
        <v>6786</v>
      </c>
      <c r="N1338" s="2" t="s">
        <v>6787</v>
      </c>
      <c r="O1338" s="2" t="s">
        <v>869</v>
      </c>
      <c r="P1338" s="2" t="s">
        <v>870</v>
      </c>
    </row>
    <row r="1339" ht="15.75" customHeight="1">
      <c r="H1339" s="2" t="s">
        <v>6788</v>
      </c>
      <c r="I1339" s="2" t="s">
        <v>6789</v>
      </c>
      <c r="J1339" s="2" t="s">
        <v>6790</v>
      </c>
      <c r="K1339" s="2" t="s">
        <v>6791</v>
      </c>
      <c r="L1339" s="2" t="s">
        <v>6101</v>
      </c>
      <c r="M1339" s="2" t="s">
        <v>6792</v>
      </c>
      <c r="N1339" s="2" t="s">
        <v>6793</v>
      </c>
      <c r="O1339" s="2" t="s">
        <v>6794</v>
      </c>
      <c r="P1339" s="2" t="s">
        <v>869</v>
      </c>
    </row>
    <row r="1340" ht="15.75" customHeight="1">
      <c r="H1340" s="2" t="s">
        <v>6795</v>
      </c>
      <c r="I1340" s="2" t="s">
        <v>6796</v>
      </c>
      <c r="J1340" s="2" t="s">
        <v>6797</v>
      </c>
      <c r="K1340" s="2" t="s">
        <v>6798</v>
      </c>
      <c r="L1340" s="2" t="s">
        <v>6101</v>
      </c>
      <c r="M1340" s="2" t="s">
        <v>6799</v>
      </c>
      <c r="N1340" s="2" t="s">
        <v>6800</v>
      </c>
      <c r="O1340" s="2" t="s">
        <v>6801</v>
      </c>
      <c r="P1340" s="2" t="s">
        <v>869</v>
      </c>
    </row>
    <row r="1341" ht="15.75" customHeight="1">
      <c r="H1341" s="2" t="s">
        <v>6802</v>
      </c>
      <c r="I1341" s="2" t="s">
        <v>58</v>
      </c>
      <c r="J1341" s="2" t="s">
        <v>59</v>
      </c>
      <c r="K1341" s="2" t="s">
        <v>6803</v>
      </c>
      <c r="L1341" s="2" t="s">
        <v>6101</v>
      </c>
      <c r="M1341" s="2" t="s">
        <v>6804</v>
      </c>
      <c r="N1341" s="2" t="s">
        <v>6805</v>
      </c>
      <c r="O1341" s="2" t="s">
        <v>869</v>
      </c>
      <c r="P1341" s="2" t="s">
        <v>870</v>
      </c>
    </row>
    <row r="1342" ht="15.75" customHeight="1">
      <c r="H1342" s="2" t="s">
        <v>6806</v>
      </c>
      <c r="I1342" s="2" t="s">
        <v>1366</v>
      </c>
      <c r="J1342" s="2" t="s">
        <v>1367</v>
      </c>
      <c r="K1342" s="2" t="s">
        <v>6807</v>
      </c>
      <c r="L1342" s="2" t="s">
        <v>6101</v>
      </c>
      <c r="M1342" s="2" t="s">
        <v>6808</v>
      </c>
      <c r="N1342" s="2" t="s">
        <v>6809</v>
      </c>
      <c r="O1342" s="2" t="s">
        <v>869</v>
      </c>
      <c r="P1342" s="2" t="s">
        <v>870</v>
      </c>
    </row>
    <row r="1343" ht="15.75" customHeight="1">
      <c r="H1343" s="2" t="s">
        <v>6810</v>
      </c>
      <c r="I1343" s="2" t="s">
        <v>6811</v>
      </c>
      <c r="J1343" s="2" t="s">
        <v>6812</v>
      </c>
      <c r="K1343" s="2" t="s">
        <v>6813</v>
      </c>
      <c r="L1343" s="2" t="s">
        <v>6101</v>
      </c>
      <c r="M1343" s="2" t="s">
        <v>6814</v>
      </c>
      <c r="N1343" s="2" t="s">
        <v>6815</v>
      </c>
      <c r="O1343" s="2" t="s">
        <v>6816</v>
      </c>
      <c r="P1343" s="2" t="s">
        <v>869</v>
      </c>
    </row>
    <row r="1344" ht="15.75" customHeight="1">
      <c r="H1344" s="2" t="s">
        <v>6817</v>
      </c>
      <c r="I1344" s="2" t="s">
        <v>6818</v>
      </c>
      <c r="J1344" s="2" t="s">
        <v>6819</v>
      </c>
      <c r="K1344" s="2" t="s">
        <v>6820</v>
      </c>
      <c r="L1344" s="2" t="s">
        <v>6101</v>
      </c>
      <c r="M1344" s="2" t="s">
        <v>6821</v>
      </c>
      <c r="N1344" s="2" t="s">
        <v>6822</v>
      </c>
      <c r="O1344" s="2" t="s">
        <v>869</v>
      </c>
      <c r="P1344" s="2" t="s">
        <v>870</v>
      </c>
    </row>
    <row r="1345" ht="15.75" customHeight="1">
      <c r="H1345" s="2" t="s">
        <v>6823</v>
      </c>
      <c r="I1345" s="2" t="s">
        <v>6824</v>
      </c>
      <c r="J1345" s="2" t="s">
        <v>6825</v>
      </c>
      <c r="K1345" s="2" t="s">
        <v>6826</v>
      </c>
      <c r="L1345" s="2" t="s">
        <v>6101</v>
      </c>
      <c r="M1345" s="2" t="s">
        <v>6827</v>
      </c>
      <c r="N1345" s="2" t="s">
        <v>6828</v>
      </c>
      <c r="O1345" s="2" t="s">
        <v>6829</v>
      </c>
      <c r="P1345" s="2" t="s">
        <v>869</v>
      </c>
    </row>
    <row r="1346" ht="15.75" customHeight="1">
      <c r="H1346" s="2" t="s">
        <v>6830</v>
      </c>
      <c r="I1346" s="2" t="s">
        <v>6831</v>
      </c>
      <c r="J1346" s="2" t="s">
        <v>6832</v>
      </c>
      <c r="K1346" s="2" t="s">
        <v>6833</v>
      </c>
      <c r="L1346" s="2" t="s">
        <v>6101</v>
      </c>
      <c r="M1346" s="2" t="s">
        <v>6834</v>
      </c>
      <c r="N1346" s="2" t="s">
        <v>6835</v>
      </c>
      <c r="O1346" s="2" t="s">
        <v>869</v>
      </c>
      <c r="P1346" s="2" t="s">
        <v>870</v>
      </c>
    </row>
    <row r="1347" ht="15.75" customHeight="1">
      <c r="H1347" s="2" t="s">
        <v>6836</v>
      </c>
      <c r="I1347" s="2" t="s">
        <v>6837</v>
      </c>
      <c r="J1347" s="2" t="s">
        <v>6838</v>
      </c>
      <c r="K1347" s="2" t="s">
        <v>6839</v>
      </c>
      <c r="L1347" s="2" t="s">
        <v>6101</v>
      </c>
      <c r="M1347" s="2" t="s">
        <v>6840</v>
      </c>
      <c r="N1347" s="2" t="s">
        <v>6841</v>
      </c>
      <c r="O1347" s="2" t="s">
        <v>6842</v>
      </c>
      <c r="P1347" s="2" t="s">
        <v>869</v>
      </c>
    </row>
    <row r="1348" ht="15.75" customHeight="1">
      <c r="H1348" s="2" t="s">
        <v>6843</v>
      </c>
      <c r="I1348" s="2" t="s">
        <v>6844</v>
      </c>
      <c r="J1348" s="2" t="s">
        <v>6845</v>
      </c>
      <c r="K1348" s="2" t="s">
        <v>6846</v>
      </c>
      <c r="L1348" s="2" t="s">
        <v>6101</v>
      </c>
      <c r="M1348" s="2" t="s">
        <v>6847</v>
      </c>
      <c r="N1348" s="2" t="s">
        <v>6848</v>
      </c>
      <c r="O1348" s="2" t="s">
        <v>869</v>
      </c>
      <c r="P1348" s="2" t="s">
        <v>870</v>
      </c>
    </row>
    <row r="1349" ht="15.75" customHeight="1">
      <c r="H1349" s="2" t="s">
        <v>6849</v>
      </c>
      <c r="I1349" s="2" t="s">
        <v>6850</v>
      </c>
      <c r="J1349" s="2" t="s">
        <v>6851</v>
      </c>
      <c r="K1349" s="2" t="s">
        <v>6852</v>
      </c>
      <c r="L1349" s="2" t="s">
        <v>6101</v>
      </c>
      <c r="M1349" s="2" t="s">
        <v>6853</v>
      </c>
      <c r="N1349" s="2" t="s">
        <v>6854</v>
      </c>
      <c r="O1349" s="2" t="s">
        <v>869</v>
      </c>
      <c r="P1349" s="2" t="s">
        <v>870</v>
      </c>
    </row>
    <row r="1350" ht="15.75" customHeight="1">
      <c r="H1350" s="2" t="s">
        <v>6855</v>
      </c>
      <c r="I1350" s="2" t="s">
        <v>1382</v>
      </c>
      <c r="J1350" s="2" t="s">
        <v>1383</v>
      </c>
      <c r="K1350" s="2" t="s">
        <v>6856</v>
      </c>
      <c r="L1350" s="2" t="s">
        <v>6101</v>
      </c>
      <c r="M1350" s="2" t="s">
        <v>6857</v>
      </c>
      <c r="N1350" s="2" t="s">
        <v>6858</v>
      </c>
      <c r="O1350" s="2" t="s">
        <v>869</v>
      </c>
      <c r="P1350" s="2" t="s">
        <v>870</v>
      </c>
    </row>
    <row r="1351" ht="15.75" customHeight="1">
      <c r="H1351" s="2" t="s">
        <v>6859</v>
      </c>
      <c r="I1351" s="2" t="s">
        <v>1387</v>
      </c>
      <c r="J1351" s="2" t="s">
        <v>1388</v>
      </c>
      <c r="K1351" s="2" t="s">
        <v>6860</v>
      </c>
      <c r="L1351" s="2" t="s">
        <v>6101</v>
      </c>
      <c r="M1351" s="2" t="s">
        <v>6861</v>
      </c>
      <c r="N1351" s="2" t="s">
        <v>6162</v>
      </c>
      <c r="O1351" s="2" t="s">
        <v>869</v>
      </c>
      <c r="P1351" s="2" t="s">
        <v>870</v>
      </c>
    </row>
    <row r="1352" ht="15.75" customHeight="1">
      <c r="H1352" s="2" t="s">
        <v>6862</v>
      </c>
      <c r="I1352" s="2" t="s">
        <v>6863</v>
      </c>
      <c r="J1352" s="2" t="s">
        <v>6864</v>
      </c>
      <c r="K1352" s="2" t="s">
        <v>6865</v>
      </c>
      <c r="L1352" s="2" t="s">
        <v>6101</v>
      </c>
      <c r="M1352" s="2" t="s">
        <v>6866</v>
      </c>
      <c r="N1352" s="2" t="s">
        <v>6867</v>
      </c>
      <c r="O1352" s="2" t="s">
        <v>869</v>
      </c>
      <c r="P1352" s="2" t="s">
        <v>870</v>
      </c>
    </row>
    <row r="1353" ht="15.75" customHeight="1">
      <c r="H1353" s="2" t="s">
        <v>6868</v>
      </c>
      <c r="I1353" s="2" t="s">
        <v>6869</v>
      </c>
      <c r="J1353" s="2" t="s">
        <v>6870</v>
      </c>
      <c r="K1353" s="2" t="s">
        <v>6871</v>
      </c>
      <c r="L1353" s="2" t="s">
        <v>6101</v>
      </c>
      <c r="M1353" s="2" t="s">
        <v>6872</v>
      </c>
      <c r="N1353" s="2" t="s">
        <v>6873</v>
      </c>
      <c r="O1353" s="2" t="s">
        <v>869</v>
      </c>
      <c r="P1353" s="2" t="s">
        <v>870</v>
      </c>
    </row>
    <row r="1354" ht="15.75" customHeight="1">
      <c r="H1354" s="2" t="s">
        <v>6874</v>
      </c>
      <c r="I1354" s="2" t="s">
        <v>6875</v>
      </c>
      <c r="J1354" s="2" t="s">
        <v>6876</v>
      </c>
      <c r="L1354" s="2" t="s">
        <v>6877</v>
      </c>
      <c r="M1354" s="2" t="s">
        <v>6878</v>
      </c>
      <c r="N1354" s="2" t="s">
        <v>6879</v>
      </c>
      <c r="O1354" s="2" t="s">
        <v>869</v>
      </c>
      <c r="P1354" s="2" t="s">
        <v>870</v>
      </c>
    </row>
    <row r="1355" ht="15.75" customHeight="1">
      <c r="H1355" s="2" t="s">
        <v>6880</v>
      </c>
      <c r="I1355" s="2" t="s">
        <v>6881</v>
      </c>
      <c r="J1355" s="2" t="s">
        <v>6882</v>
      </c>
      <c r="K1355" s="2" t="s">
        <v>6883</v>
      </c>
      <c r="L1355" s="2" t="s">
        <v>6101</v>
      </c>
      <c r="M1355" s="2" t="s">
        <v>6884</v>
      </c>
      <c r="N1355" s="2" t="s">
        <v>6885</v>
      </c>
      <c r="O1355" s="2" t="s">
        <v>6886</v>
      </c>
      <c r="P1355" s="2" t="s">
        <v>869</v>
      </c>
    </row>
    <row r="1356" ht="15.75" customHeight="1">
      <c r="H1356" s="2" t="s">
        <v>6887</v>
      </c>
      <c r="I1356" s="2" t="s">
        <v>1397</v>
      </c>
      <c r="J1356" s="2" t="s">
        <v>1398</v>
      </c>
      <c r="K1356" s="2" t="s">
        <v>6888</v>
      </c>
      <c r="L1356" s="2" t="s">
        <v>6101</v>
      </c>
      <c r="M1356" s="2" t="s">
        <v>6889</v>
      </c>
      <c r="N1356" s="2" t="s">
        <v>6890</v>
      </c>
      <c r="O1356" s="2" t="s">
        <v>869</v>
      </c>
      <c r="P1356" s="2" t="s">
        <v>870</v>
      </c>
    </row>
    <row r="1357" ht="15.75" customHeight="1">
      <c r="H1357" s="2" t="s">
        <v>6891</v>
      </c>
      <c r="I1357" s="2" t="s">
        <v>1404</v>
      </c>
      <c r="J1357" s="2" t="s">
        <v>1405</v>
      </c>
      <c r="K1357" s="2" t="s">
        <v>6892</v>
      </c>
      <c r="L1357" s="2" t="s">
        <v>6101</v>
      </c>
      <c r="M1357" s="2" t="s">
        <v>6893</v>
      </c>
      <c r="N1357" s="2" t="s">
        <v>6894</v>
      </c>
      <c r="O1357" s="2" t="s">
        <v>869</v>
      </c>
      <c r="P1357" s="2" t="s">
        <v>870</v>
      </c>
    </row>
    <row r="1358" ht="15.75" customHeight="1">
      <c r="H1358" s="2" t="s">
        <v>6895</v>
      </c>
      <c r="I1358" s="2" t="s">
        <v>6896</v>
      </c>
      <c r="J1358" s="2" t="s">
        <v>6897</v>
      </c>
      <c r="K1358" s="2" t="s">
        <v>6898</v>
      </c>
      <c r="L1358" s="2" t="s">
        <v>6101</v>
      </c>
      <c r="M1358" s="2" t="s">
        <v>6899</v>
      </c>
      <c r="N1358" s="2" t="s">
        <v>6900</v>
      </c>
      <c r="O1358" s="2" t="s">
        <v>6901</v>
      </c>
      <c r="P1358" s="2" t="s">
        <v>869</v>
      </c>
    </row>
    <row r="1359" ht="15.75" customHeight="1">
      <c r="H1359" s="2" t="s">
        <v>6902</v>
      </c>
      <c r="I1359" s="2" t="s">
        <v>6903</v>
      </c>
      <c r="J1359" s="2" t="s">
        <v>6904</v>
      </c>
      <c r="K1359" s="2" t="s">
        <v>6905</v>
      </c>
      <c r="L1359" s="2" t="s">
        <v>6101</v>
      </c>
      <c r="M1359" s="2" t="s">
        <v>6906</v>
      </c>
      <c r="N1359" s="2" t="s">
        <v>6907</v>
      </c>
      <c r="O1359" s="2" t="s">
        <v>6908</v>
      </c>
      <c r="P1359" s="2" t="s">
        <v>869</v>
      </c>
    </row>
    <row r="1360" ht="15.75" customHeight="1">
      <c r="H1360" s="2" t="s">
        <v>6909</v>
      </c>
      <c r="I1360" s="2" t="s">
        <v>1025</v>
      </c>
      <c r="J1360" s="2" t="s">
        <v>1026</v>
      </c>
      <c r="K1360" s="2" t="s">
        <v>6910</v>
      </c>
      <c r="L1360" s="2" t="s">
        <v>6101</v>
      </c>
      <c r="M1360" s="2" t="s">
        <v>6911</v>
      </c>
      <c r="N1360" s="2" t="s">
        <v>6912</v>
      </c>
      <c r="O1360" s="2" t="s">
        <v>869</v>
      </c>
      <c r="P1360" s="2" t="s">
        <v>870</v>
      </c>
    </row>
    <row r="1361" ht="15.75" customHeight="1">
      <c r="H1361" s="2" t="s">
        <v>6913</v>
      </c>
      <c r="I1361" s="2" t="s">
        <v>6914</v>
      </c>
      <c r="J1361" s="2" t="s">
        <v>6915</v>
      </c>
      <c r="K1361" s="2" t="s">
        <v>6916</v>
      </c>
      <c r="L1361" s="2" t="s">
        <v>6101</v>
      </c>
      <c r="M1361" s="2" t="s">
        <v>6917</v>
      </c>
      <c r="N1361" s="2" t="s">
        <v>6918</v>
      </c>
      <c r="O1361" s="2" t="s">
        <v>869</v>
      </c>
      <c r="P1361" s="2" t="s">
        <v>870</v>
      </c>
    </row>
    <row r="1362" ht="15.75" customHeight="1">
      <c r="H1362" s="2" t="s">
        <v>6919</v>
      </c>
      <c r="I1362" s="2" t="s">
        <v>6920</v>
      </c>
      <c r="J1362" s="2" t="s">
        <v>6921</v>
      </c>
      <c r="K1362" s="2" t="s">
        <v>6922</v>
      </c>
      <c r="L1362" s="2" t="s">
        <v>6101</v>
      </c>
      <c r="M1362" s="2" t="s">
        <v>6923</v>
      </c>
      <c r="N1362" s="2" t="s">
        <v>6924</v>
      </c>
      <c r="O1362" s="2" t="s">
        <v>6925</v>
      </c>
      <c r="P1362" s="2" t="s">
        <v>869</v>
      </c>
    </row>
    <row r="1363" ht="15.75" customHeight="1">
      <c r="H1363" s="2" t="s">
        <v>6926</v>
      </c>
      <c r="I1363" s="2" t="s">
        <v>6927</v>
      </c>
      <c r="J1363" s="2" t="s">
        <v>6928</v>
      </c>
      <c r="K1363" s="2" t="s">
        <v>6929</v>
      </c>
      <c r="L1363" s="2" t="s">
        <v>6101</v>
      </c>
      <c r="M1363" s="2" t="s">
        <v>6930</v>
      </c>
      <c r="N1363" s="2" t="s">
        <v>6931</v>
      </c>
      <c r="O1363" s="2" t="s">
        <v>869</v>
      </c>
      <c r="P1363" s="2" t="s">
        <v>870</v>
      </c>
    </row>
    <row r="1364" ht="15.75" customHeight="1">
      <c r="H1364" s="2" t="s">
        <v>6932</v>
      </c>
      <c r="I1364" s="2" t="s">
        <v>6933</v>
      </c>
      <c r="J1364" s="2" t="s">
        <v>6934</v>
      </c>
      <c r="K1364" s="2" t="s">
        <v>6935</v>
      </c>
      <c r="L1364" s="2" t="s">
        <v>6101</v>
      </c>
      <c r="M1364" s="2" t="s">
        <v>6936</v>
      </c>
      <c r="N1364" s="2" t="s">
        <v>6937</v>
      </c>
      <c r="O1364" s="2" t="s">
        <v>869</v>
      </c>
      <c r="P1364" s="2" t="s">
        <v>870</v>
      </c>
    </row>
    <row r="1365" ht="15.75" customHeight="1">
      <c r="F1365" s="2" t="s">
        <v>74</v>
      </c>
      <c r="H1365" s="2" t="s">
        <v>6938</v>
      </c>
      <c r="I1365" s="2" t="s">
        <v>6939</v>
      </c>
      <c r="J1365" s="2" t="s">
        <v>6940</v>
      </c>
      <c r="K1365" s="2" t="s">
        <v>6941</v>
      </c>
      <c r="L1365" s="2" t="s">
        <v>6101</v>
      </c>
      <c r="M1365" s="2" t="s">
        <v>6942</v>
      </c>
      <c r="N1365" s="2" t="s">
        <v>6943</v>
      </c>
      <c r="O1365" s="2" t="s">
        <v>869</v>
      </c>
      <c r="P1365" s="2" t="s">
        <v>870</v>
      </c>
    </row>
    <row r="1366" ht="15.75" customHeight="1">
      <c r="H1366" s="2" t="s">
        <v>6944</v>
      </c>
      <c r="I1366" s="2" t="s">
        <v>6945</v>
      </c>
      <c r="J1366" s="2" t="s">
        <v>6946</v>
      </c>
      <c r="K1366" s="2" t="s">
        <v>6947</v>
      </c>
      <c r="L1366" s="2" t="s">
        <v>6101</v>
      </c>
      <c r="M1366" s="2" t="s">
        <v>6948</v>
      </c>
      <c r="N1366" s="2" t="s">
        <v>6949</v>
      </c>
      <c r="O1366" s="2" t="s">
        <v>869</v>
      </c>
      <c r="P1366" s="2" t="s">
        <v>870</v>
      </c>
    </row>
    <row r="1367" ht="15.75" customHeight="1">
      <c r="H1367" s="2" t="s">
        <v>6950</v>
      </c>
      <c r="I1367" s="2" t="s">
        <v>6951</v>
      </c>
      <c r="J1367" s="2" t="s">
        <v>6952</v>
      </c>
      <c r="K1367" s="2" t="s">
        <v>6953</v>
      </c>
      <c r="L1367" s="2" t="s">
        <v>6101</v>
      </c>
      <c r="M1367" s="2" t="s">
        <v>6954</v>
      </c>
      <c r="N1367" s="2" t="s">
        <v>6955</v>
      </c>
      <c r="O1367" s="2" t="s">
        <v>6956</v>
      </c>
      <c r="P1367" s="2" t="s">
        <v>869</v>
      </c>
    </row>
    <row r="1368" ht="15.75" customHeight="1">
      <c r="H1368" s="2" t="s">
        <v>6957</v>
      </c>
      <c r="I1368" s="2" t="s">
        <v>6958</v>
      </c>
      <c r="J1368" s="2" t="s">
        <v>6959</v>
      </c>
      <c r="K1368" s="2" t="s">
        <v>6960</v>
      </c>
      <c r="L1368" s="2" t="s">
        <v>6101</v>
      </c>
      <c r="M1368" s="2" t="s">
        <v>6961</v>
      </c>
      <c r="N1368" s="2" t="s">
        <v>6962</v>
      </c>
      <c r="O1368" s="2" t="s">
        <v>869</v>
      </c>
      <c r="P1368" s="2" t="s">
        <v>870</v>
      </c>
    </row>
    <row r="1369" ht="15.75" customHeight="1">
      <c r="H1369" s="2" t="s">
        <v>6963</v>
      </c>
      <c r="I1369" s="2" t="s">
        <v>6964</v>
      </c>
      <c r="J1369" s="2" t="s">
        <v>6965</v>
      </c>
      <c r="K1369" s="2" t="s">
        <v>6966</v>
      </c>
      <c r="L1369" s="2" t="s">
        <v>6101</v>
      </c>
      <c r="M1369" s="2" t="s">
        <v>6967</v>
      </c>
      <c r="N1369" s="2" t="s">
        <v>6968</v>
      </c>
      <c r="O1369" s="2" t="s">
        <v>869</v>
      </c>
      <c r="P1369" s="2" t="s">
        <v>870</v>
      </c>
    </row>
    <row r="1370" ht="15.75" customHeight="1">
      <c r="H1370" s="2" t="s">
        <v>6969</v>
      </c>
      <c r="I1370" s="2" t="s">
        <v>6970</v>
      </c>
      <c r="J1370" s="2" t="s">
        <v>6971</v>
      </c>
      <c r="K1370" s="2" t="s">
        <v>6972</v>
      </c>
      <c r="L1370" s="2" t="s">
        <v>6101</v>
      </c>
      <c r="M1370" s="2" t="s">
        <v>6973</v>
      </c>
      <c r="N1370" s="2" t="s">
        <v>6974</v>
      </c>
      <c r="O1370" s="2" t="s">
        <v>869</v>
      </c>
      <c r="P1370" s="2" t="s">
        <v>870</v>
      </c>
    </row>
    <row r="1371" ht="15.75" customHeight="1">
      <c r="H1371" s="2" t="s">
        <v>6975</v>
      </c>
      <c r="I1371" s="2" t="s">
        <v>6976</v>
      </c>
      <c r="J1371" s="2" t="s">
        <v>6977</v>
      </c>
      <c r="K1371" s="2" t="s">
        <v>6978</v>
      </c>
      <c r="L1371" s="2" t="s">
        <v>6101</v>
      </c>
      <c r="M1371" s="2" t="s">
        <v>6979</v>
      </c>
      <c r="N1371" s="2" t="s">
        <v>6980</v>
      </c>
      <c r="O1371" s="2" t="s">
        <v>869</v>
      </c>
      <c r="P1371" s="2" t="s">
        <v>870</v>
      </c>
    </row>
    <row r="1372" ht="15.75" customHeight="1">
      <c r="H1372" s="2" t="s">
        <v>6981</v>
      </c>
      <c r="I1372" s="2" t="s">
        <v>6982</v>
      </c>
      <c r="J1372" s="2" t="s">
        <v>6983</v>
      </c>
      <c r="K1372" s="2" t="s">
        <v>6984</v>
      </c>
      <c r="L1372" s="2" t="s">
        <v>6101</v>
      </c>
      <c r="M1372" s="2" t="s">
        <v>6985</v>
      </c>
      <c r="N1372" s="2" t="s">
        <v>6986</v>
      </c>
      <c r="O1372" s="2" t="s">
        <v>6987</v>
      </c>
      <c r="P1372" s="2" t="s">
        <v>869</v>
      </c>
    </row>
    <row r="1373" ht="15.75" customHeight="1">
      <c r="H1373" s="2" t="s">
        <v>6988</v>
      </c>
      <c r="I1373" s="2" t="s">
        <v>6989</v>
      </c>
      <c r="J1373" s="2" t="s">
        <v>6990</v>
      </c>
      <c r="K1373" s="2" t="s">
        <v>6991</v>
      </c>
      <c r="L1373" s="2" t="s">
        <v>6101</v>
      </c>
      <c r="M1373" s="2" t="s">
        <v>6992</v>
      </c>
      <c r="N1373" s="2" t="s">
        <v>6993</v>
      </c>
      <c r="O1373" s="2" t="s">
        <v>869</v>
      </c>
      <c r="P1373" s="2" t="s">
        <v>870</v>
      </c>
    </row>
    <row r="1374" ht="15.75" customHeight="1">
      <c r="H1374" s="2" t="s">
        <v>6994</v>
      </c>
      <c r="I1374" s="2" t="s">
        <v>101</v>
      </c>
      <c r="J1374" s="2" t="s">
        <v>102</v>
      </c>
      <c r="K1374" s="2" t="s">
        <v>6995</v>
      </c>
      <c r="L1374" s="2" t="s">
        <v>6101</v>
      </c>
      <c r="M1374" s="2" t="s">
        <v>6996</v>
      </c>
      <c r="N1374" s="2" t="s">
        <v>6997</v>
      </c>
      <c r="O1374" s="2" t="s">
        <v>869</v>
      </c>
      <c r="P1374" s="2" t="s">
        <v>870</v>
      </c>
    </row>
    <row r="1375" ht="15.75" customHeight="1">
      <c r="H1375" s="2" t="s">
        <v>6998</v>
      </c>
      <c r="I1375" s="2" t="s">
        <v>6999</v>
      </c>
      <c r="J1375" s="2" t="s">
        <v>7000</v>
      </c>
      <c r="K1375" s="2" t="s">
        <v>7001</v>
      </c>
      <c r="L1375" s="2" t="s">
        <v>6101</v>
      </c>
      <c r="M1375" s="2" t="s">
        <v>7002</v>
      </c>
      <c r="N1375" s="2" t="s">
        <v>7003</v>
      </c>
      <c r="O1375" s="2" t="s">
        <v>7004</v>
      </c>
      <c r="P1375" s="2" t="s">
        <v>869</v>
      </c>
    </row>
    <row r="1376" ht="15.75" customHeight="1">
      <c r="H1376" s="2" t="s">
        <v>7005</v>
      </c>
      <c r="I1376" s="2" t="s">
        <v>7006</v>
      </c>
      <c r="J1376" s="2" t="s">
        <v>7007</v>
      </c>
      <c r="K1376" s="2" t="s">
        <v>7008</v>
      </c>
      <c r="L1376" s="2" t="s">
        <v>6101</v>
      </c>
      <c r="M1376" s="2" t="s">
        <v>7009</v>
      </c>
      <c r="N1376" s="2" t="s">
        <v>7010</v>
      </c>
      <c r="O1376" s="2" t="s">
        <v>869</v>
      </c>
      <c r="P1376" s="2" t="s">
        <v>870</v>
      </c>
    </row>
    <row r="1377" ht="15.75" customHeight="1">
      <c r="H1377" s="2" t="s">
        <v>7011</v>
      </c>
      <c r="I1377" s="2" t="s">
        <v>109</v>
      </c>
      <c r="J1377" s="2" t="s">
        <v>110</v>
      </c>
      <c r="K1377" s="2" t="s">
        <v>7012</v>
      </c>
      <c r="L1377" s="2" t="s">
        <v>6101</v>
      </c>
      <c r="M1377" s="2" t="s">
        <v>7013</v>
      </c>
      <c r="N1377" s="2" t="s">
        <v>7014</v>
      </c>
      <c r="O1377" s="2" t="s">
        <v>869</v>
      </c>
      <c r="P1377" s="2" t="s">
        <v>870</v>
      </c>
    </row>
    <row r="1378" ht="15.75" customHeight="1">
      <c r="H1378" s="2" t="s">
        <v>7015</v>
      </c>
      <c r="I1378" s="2" t="s">
        <v>7016</v>
      </c>
      <c r="J1378" s="2" t="s">
        <v>7017</v>
      </c>
      <c r="K1378" s="2" t="s">
        <v>7018</v>
      </c>
      <c r="L1378" s="2" t="s">
        <v>6101</v>
      </c>
      <c r="M1378" s="2" t="s">
        <v>7019</v>
      </c>
      <c r="N1378" s="2" t="s">
        <v>7020</v>
      </c>
      <c r="O1378" s="2" t="s">
        <v>7021</v>
      </c>
      <c r="P1378" s="2" t="s">
        <v>869</v>
      </c>
    </row>
    <row r="1379" ht="15.75" customHeight="1">
      <c r="H1379" s="2" t="s">
        <v>7022</v>
      </c>
      <c r="I1379" s="2" t="s">
        <v>7023</v>
      </c>
      <c r="J1379" s="2" t="s">
        <v>7024</v>
      </c>
      <c r="K1379" s="2" t="s">
        <v>7025</v>
      </c>
      <c r="L1379" s="2" t="s">
        <v>6101</v>
      </c>
      <c r="M1379" s="2" t="s">
        <v>7026</v>
      </c>
      <c r="N1379" s="2" t="s">
        <v>7027</v>
      </c>
      <c r="O1379" s="2" t="s">
        <v>7028</v>
      </c>
      <c r="P1379" s="2" t="s">
        <v>869</v>
      </c>
    </row>
    <row r="1380" ht="15.75" customHeight="1">
      <c r="H1380" s="2" t="s">
        <v>7029</v>
      </c>
      <c r="I1380" s="2" t="s">
        <v>7030</v>
      </c>
      <c r="J1380" s="2" t="s">
        <v>7031</v>
      </c>
      <c r="K1380" s="2" t="s">
        <v>7032</v>
      </c>
      <c r="L1380" s="2" t="s">
        <v>6101</v>
      </c>
      <c r="M1380" s="2" t="s">
        <v>7033</v>
      </c>
      <c r="N1380" s="2" t="s">
        <v>7034</v>
      </c>
      <c r="O1380" s="2" t="s">
        <v>869</v>
      </c>
      <c r="P1380" s="2" t="s">
        <v>870</v>
      </c>
    </row>
    <row r="1381" ht="15.75" customHeight="1">
      <c r="H1381" s="2" t="s">
        <v>7035</v>
      </c>
      <c r="I1381" s="2" t="s">
        <v>7036</v>
      </c>
      <c r="J1381" s="2" t="s">
        <v>7037</v>
      </c>
      <c r="K1381" s="2" t="s">
        <v>7038</v>
      </c>
      <c r="L1381" s="2" t="s">
        <v>6101</v>
      </c>
      <c r="M1381" s="2" t="s">
        <v>7039</v>
      </c>
      <c r="N1381" s="2" t="s">
        <v>7040</v>
      </c>
      <c r="O1381" s="2" t="s">
        <v>869</v>
      </c>
      <c r="P1381" s="2" t="s">
        <v>870</v>
      </c>
    </row>
    <row r="1382" ht="15.75" customHeight="1">
      <c r="H1382" s="2" t="s">
        <v>7041</v>
      </c>
      <c r="I1382" s="2" t="s">
        <v>7042</v>
      </c>
      <c r="J1382" s="2" t="s">
        <v>7043</v>
      </c>
      <c r="K1382" s="2" t="s">
        <v>7044</v>
      </c>
      <c r="L1382" s="2" t="s">
        <v>6101</v>
      </c>
      <c r="M1382" s="2" t="s">
        <v>7045</v>
      </c>
      <c r="N1382" s="2" t="s">
        <v>7046</v>
      </c>
      <c r="O1382" s="2" t="s">
        <v>869</v>
      </c>
      <c r="P1382" s="2" t="s">
        <v>870</v>
      </c>
    </row>
    <row r="1383" ht="15.75" customHeight="1">
      <c r="H1383" s="2" t="s">
        <v>7047</v>
      </c>
      <c r="I1383" s="2" t="s">
        <v>7048</v>
      </c>
      <c r="J1383" s="2" t="s">
        <v>7049</v>
      </c>
      <c r="K1383" s="2" t="s">
        <v>7050</v>
      </c>
      <c r="L1383" s="2" t="s">
        <v>6101</v>
      </c>
      <c r="M1383" s="2" t="s">
        <v>7051</v>
      </c>
      <c r="N1383" s="2" t="s">
        <v>7052</v>
      </c>
      <c r="O1383" s="2" t="s">
        <v>869</v>
      </c>
      <c r="P1383" s="2" t="s">
        <v>870</v>
      </c>
    </row>
    <row r="1384" ht="15.75" customHeight="1">
      <c r="H1384" s="2" t="s">
        <v>7053</v>
      </c>
      <c r="I1384" s="2" t="s">
        <v>7054</v>
      </c>
      <c r="J1384" s="2" t="s">
        <v>7055</v>
      </c>
      <c r="K1384" s="2" t="s">
        <v>7056</v>
      </c>
      <c r="L1384" s="2" t="s">
        <v>6101</v>
      </c>
      <c r="M1384" s="2" t="s">
        <v>7057</v>
      </c>
      <c r="N1384" s="2" t="s">
        <v>7058</v>
      </c>
      <c r="O1384" s="2" t="s">
        <v>7059</v>
      </c>
      <c r="P1384" s="2" t="s">
        <v>869</v>
      </c>
    </row>
    <row r="1385" ht="15.75" customHeight="1">
      <c r="H1385" s="2" t="s">
        <v>7060</v>
      </c>
      <c r="I1385" s="2" t="s">
        <v>7061</v>
      </c>
      <c r="J1385" s="2" t="s">
        <v>7062</v>
      </c>
      <c r="K1385" s="2" t="s">
        <v>7063</v>
      </c>
      <c r="L1385" s="2" t="s">
        <v>6101</v>
      </c>
      <c r="M1385" s="2" t="s">
        <v>7064</v>
      </c>
      <c r="N1385" s="2" t="s">
        <v>7065</v>
      </c>
      <c r="O1385" s="2" t="s">
        <v>7066</v>
      </c>
      <c r="P1385" s="2" t="s">
        <v>869</v>
      </c>
    </row>
    <row r="1386" ht="15.75" customHeight="1">
      <c r="H1386" s="2" t="s">
        <v>7067</v>
      </c>
      <c r="I1386" s="2" t="s">
        <v>7068</v>
      </c>
      <c r="J1386" s="2" t="s">
        <v>7069</v>
      </c>
      <c r="K1386" s="2" t="s">
        <v>7070</v>
      </c>
      <c r="L1386" s="2" t="s">
        <v>6101</v>
      </c>
      <c r="M1386" s="2" t="s">
        <v>7071</v>
      </c>
      <c r="N1386" s="2" t="s">
        <v>7072</v>
      </c>
      <c r="O1386" s="2" t="s">
        <v>7073</v>
      </c>
      <c r="P1386" s="2" t="s">
        <v>869</v>
      </c>
    </row>
    <row r="1387" ht="15.75" customHeight="1">
      <c r="H1387" s="2" t="s">
        <v>7074</v>
      </c>
      <c r="I1387" s="2" t="s">
        <v>7075</v>
      </c>
      <c r="J1387" s="2" t="s">
        <v>7076</v>
      </c>
      <c r="K1387" s="2" t="s">
        <v>7077</v>
      </c>
      <c r="L1387" s="2" t="s">
        <v>6101</v>
      </c>
      <c r="M1387" s="2" t="s">
        <v>7078</v>
      </c>
      <c r="N1387" s="2" t="s">
        <v>7079</v>
      </c>
      <c r="O1387" s="2" t="s">
        <v>869</v>
      </c>
      <c r="P1387" s="2" t="s">
        <v>870</v>
      </c>
    </row>
    <row r="1388" ht="15.75" customHeight="1">
      <c r="H1388" s="2" t="s">
        <v>7080</v>
      </c>
      <c r="I1388" s="2" t="s">
        <v>7081</v>
      </c>
      <c r="J1388" s="2" t="s">
        <v>7082</v>
      </c>
      <c r="K1388" s="2" t="s">
        <v>7083</v>
      </c>
      <c r="L1388" s="2" t="s">
        <v>6101</v>
      </c>
      <c r="M1388" s="2" t="s">
        <v>7084</v>
      </c>
      <c r="N1388" s="2" t="s">
        <v>7085</v>
      </c>
      <c r="O1388" s="2" t="s">
        <v>869</v>
      </c>
      <c r="P1388" s="2" t="s">
        <v>870</v>
      </c>
    </row>
    <row r="1389" ht="15.75" customHeight="1">
      <c r="H1389" s="2" t="s">
        <v>7086</v>
      </c>
      <c r="I1389" s="2" t="s">
        <v>7087</v>
      </c>
      <c r="J1389" s="2" t="s">
        <v>7088</v>
      </c>
      <c r="K1389" s="2" t="s">
        <v>7089</v>
      </c>
      <c r="L1389" s="2" t="s">
        <v>6101</v>
      </c>
      <c r="M1389" s="2" t="s">
        <v>7090</v>
      </c>
      <c r="N1389" s="2" t="s">
        <v>7091</v>
      </c>
      <c r="O1389" s="2" t="s">
        <v>7092</v>
      </c>
      <c r="P1389" s="2" t="s">
        <v>869</v>
      </c>
    </row>
    <row r="1390" ht="15.75" customHeight="1">
      <c r="H1390" s="2" t="s">
        <v>7093</v>
      </c>
      <c r="I1390" s="2" t="s">
        <v>7094</v>
      </c>
      <c r="J1390" s="2" t="s">
        <v>7095</v>
      </c>
      <c r="K1390" s="2" t="s">
        <v>7096</v>
      </c>
      <c r="L1390" s="2" t="s">
        <v>6101</v>
      </c>
      <c r="M1390" s="2" t="s">
        <v>7097</v>
      </c>
      <c r="N1390" s="2" t="s">
        <v>7098</v>
      </c>
      <c r="O1390" s="2" t="s">
        <v>869</v>
      </c>
      <c r="P1390" s="2" t="s">
        <v>870</v>
      </c>
    </row>
    <row r="1391" ht="15.75" customHeight="1">
      <c r="H1391" s="2" t="s">
        <v>7099</v>
      </c>
      <c r="I1391" s="2" t="s">
        <v>159</v>
      </c>
      <c r="J1391" s="2" t="s">
        <v>160</v>
      </c>
      <c r="K1391" s="2" t="s">
        <v>7100</v>
      </c>
      <c r="L1391" s="2" t="s">
        <v>6101</v>
      </c>
      <c r="M1391" s="2" t="s">
        <v>7101</v>
      </c>
      <c r="N1391" s="2" t="s">
        <v>7102</v>
      </c>
      <c r="O1391" s="2" t="s">
        <v>869</v>
      </c>
      <c r="P1391" s="2" t="s">
        <v>870</v>
      </c>
    </row>
    <row r="1392" ht="15.75" customHeight="1">
      <c r="H1392" s="2" t="s">
        <v>7103</v>
      </c>
      <c r="I1392" s="2" t="s">
        <v>7104</v>
      </c>
      <c r="J1392" s="2" t="s">
        <v>7105</v>
      </c>
      <c r="K1392" s="2" t="s">
        <v>7106</v>
      </c>
      <c r="L1392" s="2" t="s">
        <v>6101</v>
      </c>
      <c r="M1392" s="2" t="s">
        <v>7107</v>
      </c>
      <c r="N1392" s="2" t="s">
        <v>7108</v>
      </c>
      <c r="O1392" s="2" t="s">
        <v>869</v>
      </c>
      <c r="P1392" s="2" t="s">
        <v>870</v>
      </c>
    </row>
    <row r="1393" ht="15.75" customHeight="1">
      <c r="H1393" s="2" t="s">
        <v>7109</v>
      </c>
      <c r="I1393" s="2" t="s">
        <v>7110</v>
      </c>
      <c r="J1393" s="2" t="s">
        <v>7111</v>
      </c>
      <c r="K1393" s="2" t="s">
        <v>7112</v>
      </c>
      <c r="L1393" s="2" t="s">
        <v>6101</v>
      </c>
      <c r="M1393" s="2" t="s">
        <v>7113</v>
      </c>
      <c r="N1393" s="2" t="s">
        <v>7114</v>
      </c>
      <c r="O1393" s="2" t="s">
        <v>7115</v>
      </c>
      <c r="P1393" s="2" t="s">
        <v>869</v>
      </c>
    </row>
    <row r="1394" ht="15.75" customHeight="1">
      <c r="H1394" s="2" t="s">
        <v>7116</v>
      </c>
      <c r="I1394" s="2" t="s">
        <v>7117</v>
      </c>
      <c r="J1394" s="2" t="s">
        <v>7118</v>
      </c>
      <c r="K1394" s="2" t="s">
        <v>7119</v>
      </c>
      <c r="L1394" s="2" t="s">
        <v>6101</v>
      </c>
      <c r="M1394" s="2" t="s">
        <v>7120</v>
      </c>
      <c r="N1394" s="2" t="s">
        <v>7121</v>
      </c>
      <c r="O1394" s="2" t="s">
        <v>869</v>
      </c>
      <c r="P1394" s="2" t="s">
        <v>870</v>
      </c>
    </row>
    <row r="1395" ht="15.75" customHeight="1">
      <c r="H1395" s="2" t="s">
        <v>7122</v>
      </c>
      <c r="I1395" s="2" t="s">
        <v>7123</v>
      </c>
      <c r="J1395" s="2" t="s">
        <v>7124</v>
      </c>
      <c r="K1395" s="2" t="s">
        <v>7125</v>
      </c>
      <c r="L1395" s="2" t="s">
        <v>6101</v>
      </c>
      <c r="M1395" s="2" t="s">
        <v>7126</v>
      </c>
      <c r="N1395" s="2" t="s">
        <v>7127</v>
      </c>
      <c r="O1395" s="2" t="s">
        <v>869</v>
      </c>
      <c r="P1395" s="2" t="s">
        <v>870</v>
      </c>
    </row>
    <row r="1396" ht="15.75" customHeight="1">
      <c r="H1396" s="2" t="s">
        <v>7128</v>
      </c>
      <c r="I1396" s="2" t="s">
        <v>7129</v>
      </c>
      <c r="J1396" s="2" t="s">
        <v>7130</v>
      </c>
      <c r="K1396" s="2" t="s">
        <v>7131</v>
      </c>
      <c r="L1396" s="2" t="s">
        <v>6101</v>
      </c>
      <c r="M1396" s="2" t="s">
        <v>7132</v>
      </c>
      <c r="N1396" s="2" t="s">
        <v>7133</v>
      </c>
      <c r="O1396" s="2" t="s">
        <v>869</v>
      </c>
      <c r="P1396" s="2" t="s">
        <v>870</v>
      </c>
    </row>
    <row r="1397" ht="15.75" customHeight="1">
      <c r="H1397" s="2" t="s">
        <v>7134</v>
      </c>
      <c r="I1397" s="2" t="s">
        <v>176</v>
      </c>
      <c r="J1397" s="2" t="s">
        <v>177</v>
      </c>
      <c r="K1397" s="2" t="s">
        <v>7135</v>
      </c>
      <c r="L1397" s="2" t="s">
        <v>6101</v>
      </c>
      <c r="M1397" s="2" t="s">
        <v>7136</v>
      </c>
      <c r="N1397" s="2" t="s">
        <v>7137</v>
      </c>
      <c r="O1397" s="2" t="s">
        <v>869</v>
      </c>
      <c r="P1397" s="2" t="s">
        <v>870</v>
      </c>
    </row>
    <row r="1398" ht="15.75" customHeight="1">
      <c r="H1398" s="2" t="s">
        <v>7138</v>
      </c>
      <c r="I1398" s="2" t="s">
        <v>7139</v>
      </c>
      <c r="J1398" s="2" t="s">
        <v>7140</v>
      </c>
      <c r="K1398" s="2" t="s">
        <v>7141</v>
      </c>
      <c r="L1398" s="2" t="s">
        <v>6101</v>
      </c>
      <c r="M1398" s="2" t="s">
        <v>7142</v>
      </c>
      <c r="N1398" s="2" t="s">
        <v>7143</v>
      </c>
      <c r="O1398" s="2" t="s">
        <v>7144</v>
      </c>
      <c r="P1398" s="2" t="s">
        <v>869</v>
      </c>
    </row>
    <row r="1399" ht="15.75" customHeight="1">
      <c r="H1399" s="2" t="s">
        <v>7145</v>
      </c>
      <c r="I1399" s="2" t="s">
        <v>7146</v>
      </c>
      <c r="J1399" s="2" t="s">
        <v>7147</v>
      </c>
      <c r="K1399" s="2" t="s">
        <v>7148</v>
      </c>
      <c r="L1399" s="2" t="s">
        <v>6101</v>
      </c>
      <c r="M1399" s="2" t="s">
        <v>7149</v>
      </c>
      <c r="N1399" s="2" t="s">
        <v>7150</v>
      </c>
      <c r="O1399" s="2" t="s">
        <v>869</v>
      </c>
      <c r="P1399" s="2" t="s">
        <v>870</v>
      </c>
    </row>
    <row r="1400" ht="15.75" customHeight="1">
      <c r="H1400" s="2" t="s">
        <v>7151</v>
      </c>
      <c r="I1400" s="2" t="s">
        <v>193</v>
      </c>
      <c r="J1400" s="2" t="s">
        <v>194</v>
      </c>
      <c r="K1400" s="2" t="s">
        <v>7152</v>
      </c>
      <c r="L1400" s="2" t="s">
        <v>6101</v>
      </c>
      <c r="M1400" s="2" t="s">
        <v>7153</v>
      </c>
      <c r="N1400" s="2" t="s">
        <v>7154</v>
      </c>
      <c r="O1400" s="2" t="s">
        <v>869</v>
      </c>
      <c r="P1400" s="2" t="s">
        <v>870</v>
      </c>
    </row>
    <row r="1401" ht="15.75" customHeight="1">
      <c r="H1401" s="2" t="s">
        <v>7155</v>
      </c>
      <c r="I1401" s="2" t="s">
        <v>7156</v>
      </c>
      <c r="J1401" s="2" t="s">
        <v>7157</v>
      </c>
      <c r="K1401" s="2" t="s">
        <v>7158</v>
      </c>
      <c r="L1401" s="2" t="s">
        <v>6101</v>
      </c>
      <c r="M1401" s="2" t="s">
        <v>7159</v>
      </c>
      <c r="N1401" s="2" t="s">
        <v>7160</v>
      </c>
      <c r="O1401" s="2" t="s">
        <v>869</v>
      </c>
      <c r="P1401" s="2" t="s">
        <v>870</v>
      </c>
    </row>
    <row r="1402" ht="15.75" customHeight="1">
      <c r="H1402" s="2" t="s">
        <v>7161</v>
      </c>
      <c r="I1402" s="2" t="s">
        <v>7162</v>
      </c>
      <c r="J1402" s="2" t="s">
        <v>7163</v>
      </c>
      <c r="K1402" s="2" t="s">
        <v>7164</v>
      </c>
    </row>
    <row r="1403" ht="15.75" customHeight="1">
      <c r="H1403" s="2" t="s">
        <v>7165</v>
      </c>
      <c r="I1403" s="2" t="s">
        <v>7166</v>
      </c>
      <c r="J1403" s="2" t="s">
        <v>7167</v>
      </c>
      <c r="K1403" s="2" t="s">
        <v>7168</v>
      </c>
      <c r="L1403" s="2" t="s">
        <v>6101</v>
      </c>
      <c r="M1403" s="2" t="s">
        <v>7169</v>
      </c>
      <c r="N1403" s="2" t="s">
        <v>7170</v>
      </c>
      <c r="O1403" s="2" t="s">
        <v>869</v>
      </c>
      <c r="P1403" s="2" t="s">
        <v>870</v>
      </c>
    </row>
    <row r="1404" ht="15.75" customHeight="1">
      <c r="H1404" s="2" t="s">
        <v>7171</v>
      </c>
      <c r="I1404" s="2" t="s">
        <v>7172</v>
      </c>
      <c r="J1404" s="2" t="s">
        <v>7173</v>
      </c>
      <c r="K1404" s="2" t="s">
        <v>7174</v>
      </c>
      <c r="L1404" s="2" t="s">
        <v>6101</v>
      </c>
      <c r="M1404" s="2" t="s">
        <v>7175</v>
      </c>
      <c r="N1404" s="2" t="s">
        <v>7176</v>
      </c>
      <c r="O1404" s="2" t="s">
        <v>869</v>
      </c>
      <c r="P1404" s="2" t="s">
        <v>870</v>
      </c>
    </row>
    <row r="1405" ht="15.75" customHeight="1">
      <c r="H1405" s="2" t="s">
        <v>7177</v>
      </c>
      <c r="I1405" s="2" t="s">
        <v>7178</v>
      </c>
      <c r="J1405" s="2" t="s">
        <v>7179</v>
      </c>
      <c r="K1405" s="2" t="s">
        <v>7180</v>
      </c>
      <c r="L1405" s="2" t="s">
        <v>6101</v>
      </c>
      <c r="M1405" s="2" t="s">
        <v>7181</v>
      </c>
      <c r="N1405" s="2" t="s">
        <v>7182</v>
      </c>
      <c r="O1405" s="2" t="s">
        <v>869</v>
      </c>
      <c r="P1405" s="2" t="s">
        <v>870</v>
      </c>
    </row>
    <row r="1406" ht="15.75" customHeight="1">
      <c r="H1406" s="2" t="s">
        <v>7183</v>
      </c>
      <c r="I1406" s="2" t="s">
        <v>1753</v>
      </c>
      <c r="J1406" s="2" t="s">
        <v>1754</v>
      </c>
      <c r="K1406" s="2" t="s">
        <v>7184</v>
      </c>
      <c r="L1406" s="2" t="s">
        <v>6101</v>
      </c>
      <c r="M1406" s="2" t="s">
        <v>7185</v>
      </c>
      <c r="N1406" s="2" t="s">
        <v>7186</v>
      </c>
      <c r="O1406" s="2" t="s">
        <v>869</v>
      </c>
      <c r="P1406" s="2" t="s">
        <v>870</v>
      </c>
    </row>
    <row r="1407" ht="15.75" customHeight="1">
      <c r="H1407" s="2" t="s">
        <v>7187</v>
      </c>
      <c r="I1407" s="2" t="s">
        <v>7188</v>
      </c>
      <c r="J1407" s="2" t="s">
        <v>7189</v>
      </c>
      <c r="K1407" s="2" t="s">
        <v>7190</v>
      </c>
      <c r="L1407" s="2" t="s">
        <v>6101</v>
      </c>
      <c r="M1407" s="2" t="s">
        <v>7191</v>
      </c>
      <c r="N1407" s="2" t="s">
        <v>7192</v>
      </c>
      <c r="O1407" s="2" t="s">
        <v>869</v>
      </c>
      <c r="P1407" s="2" t="s">
        <v>870</v>
      </c>
    </row>
    <row r="1408" ht="15.75" customHeight="1">
      <c r="H1408" s="2" t="s">
        <v>7193</v>
      </c>
      <c r="I1408" s="2" t="s">
        <v>7194</v>
      </c>
      <c r="J1408" s="2" t="s">
        <v>7195</v>
      </c>
      <c r="K1408" s="2" t="s">
        <v>7196</v>
      </c>
      <c r="L1408" s="2" t="s">
        <v>6101</v>
      </c>
      <c r="M1408" s="2" t="s">
        <v>7197</v>
      </c>
      <c r="N1408" s="2" t="s">
        <v>7198</v>
      </c>
      <c r="O1408" s="2" t="s">
        <v>869</v>
      </c>
      <c r="P1408" s="2" t="s">
        <v>870</v>
      </c>
    </row>
    <row r="1409" ht="15.75" customHeight="1">
      <c r="H1409" s="2" t="s">
        <v>7199</v>
      </c>
      <c r="I1409" s="2" t="s">
        <v>7200</v>
      </c>
      <c r="J1409" s="2" t="s">
        <v>7201</v>
      </c>
      <c r="K1409" s="2" t="s">
        <v>7202</v>
      </c>
      <c r="L1409" s="2" t="s">
        <v>6101</v>
      </c>
      <c r="M1409" s="2" t="s">
        <v>7203</v>
      </c>
      <c r="N1409" s="2" t="s">
        <v>7204</v>
      </c>
      <c r="O1409" s="2" t="s">
        <v>7205</v>
      </c>
      <c r="P1409" s="2" t="s">
        <v>869</v>
      </c>
    </row>
    <row r="1410" ht="15.75" customHeight="1">
      <c r="H1410" s="2" t="s">
        <v>7206</v>
      </c>
      <c r="I1410" s="2" t="s">
        <v>225</v>
      </c>
      <c r="J1410" s="2" t="s">
        <v>226</v>
      </c>
      <c r="K1410" s="2" t="s">
        <v>7207</v>
      </c>
      <c r="L1410" s="2" t="s">
        <v>6101</v>
      </c>
      <c r="M1410" s="2" t="s">
        <v>7208</v>
      </c>
      <c r="N1410" s="2" t="s">
        <v>7209</v>
      </c>
      <c r="O1410" s="2" t="s">
        <v>869</v>
      </c>
      <c r="P1410" s="2" t="s">
        <v>870</v>
      </c>
    </row>
    <row r="1411" ht="15.75" customHeight="1">
      <c r="H1411" s="2" t="s">
        <v>7210</v>
      </c>
      <c r="I1411" s="2" t="s">
        <v>1772</v>
      </c>
      <c r="J1411" s="2" t="s">
        <v>1773</v>
      </c>
      <c r="K1411" s="2" t="s">
        <v>7211</v>
      </c>
      <c r="L1411" s="2" t="s">
        <v>6101</v>
      </c>
      <c r="M1411" s="2" t="s">
        <v>7212</v>
      </c>
      <c r="N1411" s="2" t="s">
        <v>7213</v>
      </c>
      <c r="O1411" s="2" t="s">
        <v>869</v>
      </c>
      <c r="P1411" s="2" t="s">
        <v>870</v>
      </c>
    </row>
    <row r="1412" ht="15.75" customHeight="1">
      <c r="H1412" s="2" t="s">
        <v>7214</v>
      </c>
      <c r="I1412" s="2" t="s">
        <v>7215</v>
      </c>
      <c r="J1412" s="2" t="s">
        <v>7216</v>
      </c>
      <c r="K1412" s="2" t="s">
        <v>7217</v>
      </c>
      <c r="L1412" s="2" t="s">
        <v>6101</v>
      </c>
      <c r="M1412" s="2" t="s">
        <v>7218</v>
      </c>
      <c r="N1412" s="2" t="s">
        <v>7219</v>
      </c>
      <c r="O1412" s="2" t="s">
        <v>869</v>
      </c>
      <c r="P1412" s="2" t="s">
        <v>870</v>
      </c>
    </row>
    <row r="1413" ht="15.75" customHeight="1">
      <c r="H1413" s="2" t="s">
        <v>7220</v>
      </c>
      <c r="I1413" s="2" t="s">
        <v>7221</v>
      </c>
      <c r="J1413" s="2" t="s">
        <v>7222</v>
      </c>
      <c r="K1413" s="2" t="s">
        <v>7223</v>
      </c>
      <c r="L1413" s="2" t="s">
        <v>6101</v>
      </c>
      <c r="M1413" s="2" t="s">
        <v>7224</v>
      </c>
      <c r="N1413" s="2" t="s">
        <v>7225</v>
      </c>
      <c r="O1413" s="2" t="s">
        <v>869</v>
      </c>
      <c r="P1413" s="2" t="s">
        <v>870</v>
      </c>
    </row>
    <row r="1414" ht="15.75" customHeight="1">
      <c r="H1414" s="2" t="s">
        <v>7226</v>
      </c>
      <c r="I1414" s="2" t="s">
        <v>7227</v>
      </c>
      <c r="J1414" s="2" t="s">
        <v>7228</v>
      </c>
      <c r="K1414" s="2" t="s">
        <v>7229</v>
      </c>
      <c r="L1414" s="2" t="s">
        <v>6101</v>
      </c>
      <c r="M1414" s="2" t="s">
        <v>7230</v>
      </c>
      <c r="N1414" s="2" t="s">
        <v>7231</v>
      </c>
      <c r="O1414" s="2" t="s">
        <v>869</v>
      </c>
      <c r="P1414" s="2" t="s">
        <v>870</v>
      </c>
    </row>
    <row r="1415" ht="15.75" customHeight="1">
      <c r="H1415" s="2" t="s">
        <v>7232</v>
      </c>
      <c r="I1415" s="2" t="s">
        <v>1789</v>
      </c>
      <c r="J1415" s="2" t="s">
        <v>1790</v>
      </c>
      <c r="K1415" s="2" t="s">
        <v>7233</v>
      </c>
      <c r="L1415" s="2" t="s">
        <v>6101</v>
      </c>
      <c r="M1415" s="2" t="s">
        <v>7234</v>
      </c>
      <c r="N1415" s="2" t="s">
        <v>7235</v>
      </c>
      <c r="O1415" s="2" t="s">
        <v>869</v>
      </c>
      <c r="P1415" s="2" t="s">
        <v>870</v>
      </c>
    </row>
    <row r="1416" ht="15.75" customHeight="1">
      <c r="H1416" s="2" t="s">
        <v>7236</v>
      </c>
      <c r="I1416" s="2" t="s">
        <v>241</v>
      </c>
      <c r="J1416" s="2" t="s">
        <v>242</v>
      </c>
      <c r="K1416" s="2" t="s">
        <v>7237</v>
      </c>
      <c r="L1416" s="2" t="s">
        <v>6101</v>
      </c>
      <c r="M1416" s="2" t="s">
        <v>7238</v>
      </c>
      <c r="N1416" s="2" t="s">
        <v>7239</v>
      </c>
      <c r="O1416" s="2" t="s">
        <v>869</v>
      </c>
      <c r="P1416" s="2" t="s">
        <v>870</v>
      </c>
    </row>
    <row r="1417" ht="15.75" customHeight="1">
      <c r="H1417" s="2" t="s">
        <v>7240</v>
      </c>
      <c r="I1417" s="2" t="s">
        <v>7241</v>
      </c>
      <c r="J1417" s="2" t="s">
        <v>7242</v>
      </c>
      <c r="K1417" s="2" t="s">
        <v>7243</v>
      </c>
      <c r="L1417" s="2" t="s">
        <v>6101</v>
      </c>
      <c r="M1417" s="2" t="s">
        <v>7244</v>
      </c>
      <c r="N1417" s="2" t="s">
        <v>7245</v>
      </c>
      <c r="O1417" s="2" t="s">
        <v>869</v>
      </c>
      <c r="P1417" s="2" t="s">
        <v>870</v>
      </c>
    </row>
    <row r="1418" ht="15.75" customHeight="1">
      <c r="H1418" s="2" t="s">
        <v>7246</v>
      </c>
      <c r="I1418" s="2" t="s">
        <v>5362</v>
      </c>
      <c r="J1418" s="2" t="s">
        <v>5363</v>
      </c>
      <c r="K1418" s="2" t="s">
        <v>7247</v>
      </c>
      <c r="L1418" s="2" t="s">
        <v>6101</v>
      </c>
      <c r="M1418" s="2" t="s">
        <v>7248</v>
      </c>
      <c r="N1418" s="2" t="s">
        <v>7249</v>
      </c>
      <c r="O1418" s="2" t="s">
        <v>869</v>
      </c>
      <c r="P1418" s="2" t="s">
        <v>870</v>
      </c>
    </row>
    <row r="1419" ht="15.75" customHeight="1">
      <c r="H1419" s="2" t="s">
        <v>7250</v>
      </c>
      <c r="I1419" s="2" t="s">
        <v>7251</v>
      </c>
      <c r="J1419" s="2" t="s">
        <v>7252</v>
      </c>
      <c r="K1419" s="2" t="s">
        <v>7253</v>
      </c>
      <c r="L1419" s="2" t="s">
        <v>6101</v>
      </c>
      <c r="M1419" s="2" t="s">
        <v>7254</v>
      </c>
      <c r="N1419" s="2" t="s">
        <v>7255</v>
      </c>
      <c r="O1419" s="2" t="s">
        <v>869</v>
      </c>
      <c r="P1419" s="2" t="s">
        <v>870</v>
      </c>
    </row>
    <row r="1420" ht="15.75" customHeight="1">
      <c r="H1420" s="2" t="s">
        <v>7256</v>
      </c>
      <c r="I1420" s="2" t="s">
        <v>249</v>
      </c>
      <c r="J1420" s="2" t="s">
        <v>250</v>
      </c>
      <c r="K1420" s="2" t="s">
        <v>7257</v>
      </c>
      <c r="L1420" s="2" t="s">
        <v>6101</v>
      </c>
      <c r="M1420" s="2" t="s">
        <v>7258</v>
      </c>
      <c r="N1420" s="2" t="s">
        <v>7259</v>
      </c>
      <c r="O1420" s="2" t="s">
        <v>869</v>
      </c>
      <c r="P1420" s="2" t="s">
        <v>870</v>
      </c>
    </row>
    <row r="1421" ht="15.75" customHeight="1">
      <c r="H1421" s="2" t="s">
        <v>7260</v>
      </c>
      <c r="I1421" s="2" t="s">
        <v>7261</v>
      </c>
      <c r="J1421" s="2" t="s">
        <v>7262</v>
      </c>
      <c r="K1421" s="2" t="s">
        <v>7263</v>
      </c>
      <c r="L1421" s="2" t="s">
        <v>6101</v>
      </c>
      <c r="M1421" s="2" t="s">
        <v>7264</v>
      </c>
      <c r="N1421" s="2" t="s">
        <v>7265</v>
      </c>
      <c r="O1421" s="2" t="s">
        <v>869</v>
      </c>
      <c r="P1421" s="2" t="s">
        <v>870</v>
      </c>
    </row>
    <row r="1422" ht="15.75" customHeight="1">
      <c r="H1422" s="2" t="s">
        <v>7266</v>
      </c>
      <c r="I1422" s="2" t="s">
        <v>7267</v>
      </c>
      <c r="J1422" s="2" t="s">
        <v>7268</v>
      </c>
      <c r="K1422" s="2" t="s">
        <v>7269</v>
      </c>
      <c r="L1422" s="2" t="s">
        <v>6101</v>
      </c>
      <c r="M1422" s="2" t="s">
        <v>7270</v>
      </c>
      <c r="N1422" s="2" t="s">
        <v>7271</v>
      </c>
      <c r="O1422" s="2" t="s">
        <v>7272</v>
      </c>
      <c r="P1422" s="2" t="s">
        <v>869</v>
      </c>
    </row>
    <row r="1423" ht="15.75" customHeight="1">
      <c r="F1423" s="2" t="s">
        <v>1854</v>
      </c>
      <c r="H1423" s="2" t="s">
        <v>7273</v>
      </c>
      <c r="I1423" s="2" t="s">
        <v>1856</v>
      </c>
      <c r="J1423" s="2" t="s">
        <v>1857</v>
      </c>
      <c r="K1423" s="2" t="s">
        <v>7274</v>
      </c>
      <c r="L1423" s="2" t="s">
        <v>6101</v>
      </c>
      <c r="M1423" s="2" t="s">
        <v>7275</v>
      </c>
      <c r="N1423" s="2" t="s">
        <v>7276</v>
      </c>
      <c r="O1423" s="2" t="s">
        <v>869</v>
      </c>
      <c r="P1423" s="2" t="s">
        <v>870</v>
      </c>
    </row>
    <row r="1424" ht="15.75" customHeight="1">
      <c r="H1424" s="2" t="s">
        <v>7277</v>
      </c>
      <c r="I1424" s="2" t="s">
        <v>7278</v>
      </c>
      <c r="J1424" s="2" t="s">
        <v>7279</v>
      </c>
      <c r="K1424" s="2" t="s">
        <v>7280</v>
      </c>
      <c r="L1424" s="2" t="s">
        <v>6101</v>
      </c>
      <c r="M1424" s="2" t="s">
        <v>7281</v>
      </c>
      <c r="N1424" s="2" t="s">
        <v>7282</v>
      </c>
      <c r="O1424" s="2" t="s">
        <v>869</v>
      </c>
      <c r="P1424" s="2" t="s">
        <v>870</v>
      </c>
    </row>
    <row r="1425" ht="15.75" customHeight="1">
      <c r="H1425" s="2" t="s">
        <v>7283</v>
      </c>
      <c r="I1425" s="2" t="s">
        <v>1871</v>
      </c>
      <c r="J1425" s="2" t="s">
        <v>1872</v>
      </c>
      <c r="K1425" s="2" t="s">
        <v>7284</v>
      </c>
      <c r="L1425" s="2" t="s">
        <v>6101</v>
      </c>
      <c r="M1425" s="2" t="s">
        <v>7285</v>
      </c>
      <c r="N1425" s="2" t="s">
        <v>7286</v>
      </c>
      <c r="O1425" s="2" t="s">
        <v>869</v>
      </c>
      <c r="P1425" s="2" t="s">
        <v>870</v>
      </c>
    </row>
    <row r="1426" ht="15.75" customHeight="1">
      <c r="H1426" s="2" t="s">
        <v>7287</v>
      </c>
      <c r="I1426" s="2" t="s">
        <v>7288</v>
      </c>
      <c r="J1426" s="2" t="s">
        <v>7289</v>
      </c>
      <c r="K1426" s="2" t="s">
        <v>7290</v>
      </c>
      <c r="L1426" s="2" t="s">
        <v>6101</v>
      </c>
      <c r="M1426" s="2" t="s">
        <v>7291</v>
      </c>
      <c r="N1426" s="2" t="s">
        <v>7292</v>
      </c>
      <c r="O1426" s="2" t="s">
        <v>869</v>
      </c>
      <c r="P1426" s="2" t="s">
        <v>870</v>
      </c>
    </row>
    <row r="1427" ht="15.75" customHeight="1">
      <c r="H1427" s="2" t="s">
        <v>7293</v>
      </c>
      <c r="I1427" s="2" t="s">
        <v>7294</v>
      </c>
      <c r="J1427" s="2" t="s">
        <v>7295</v>
      </c>
      <c r="K1427" s="2" t="s">
        <v>7296</v>
      </c>
      <c r="L1427" s="2" t="s">
        <v>6101</v>
      </c>
      <c r="M1427" s="2" t="s">
        <v>7297</v>
      </c>
      <c r="N1427" s="2" t="s">
        <v>7298</v>
      </c>
      <c r="O1427" s="2" t="s">
        <v>869</v>
      </c>
      <c r="P1427" s="2" t="s">
        <v>870</v>
      </c>
    </row>
    <row r="1428" ht="15.75" customHeight="1">
      <c r="H1428" s="2" t="s">
        <v>7299</v>
      </c>
      <c r="I1428" s="2" t="s">
        <v>7300</v>
      </c>
      <c r="J1428" s="2" t="s">
        <v>7301</v>
      </c>
      <c r="K1428" s="2" t="s">
        <v>7302</v>
      </c>
      <c r="L1428" s="2" t="s">
        <v>6101</v>
      </c>
      <c r="M1428" s="2" t="s">
        <v>7303</v>
      </c>
      <c r="N1428" s="2" t="s">
        <v>7304</v>
      </c>
      <c r="O1428" s="2" t="s">
        <v>869</v>
      </c>
      <c r="P1428" s="2" t="s">
        <v>870</v>
      </c>
    </row>
    <row r="1429" ht="15.75" customHeight="1">
      <c r="H1429" s="2" t="s">
        <v>7305</v>
      </c>
      <c r="I1429" s="2" t="s">
        <v>7306</v>
      </c>
      <c r="J1429" s="2" t="s">
        <v>7307</v>
      </c>
      <c r="K1429" s="2" t="s">
        <v>7308</v>
      </c>
      <c r="L1429" s="2" t="s">
        <v>6101</v>
      </c>
      <c r="M1429" s="2" t="s">
        <v>7309</v>
      </c>
      <c r="N1429" s="2" t="s">
        <v>7310</v>
      </c>
      <c r="O1429" s="2" t="s">
        <v>869</v>
      </c>
      <c r="P1429" s="2" t="s">
        <v>870</v>
      </c>
    </row>
    <row r="1430" ht="15.75" customHeight="1">
      <c r="H1430" s="2" t="s">
        <v>7311</v>
      </c>
      <c r="I1430" s="2" t="s">
        <v>7312</v>
      </c>
      <c r="J1430" s="2" t="s">
        <v>7313</v>
      </c>
      <c r="K1430" s="2" t="s">
        <v>7314</v>
      </c>
      <c r="L1430" s="2" t="s">
        <v>6101</v>
      </c>
      <c r="M1430" s="2" t="s">
        <v>7315</v>
      </c>
      <c r="N1430" s="2" t="s">
        <v>7316</v>
      </c>
      <c r="O1430" s="2" t="s">
        <v>7317</v>
      </c>
      <c r="P1430" s="2" t="s">
        <v>869</v>
      </c>
    </row>
    <row r="1431" ht="15.75" customHeight="1">
      <c r="H1431" s="2" t="s">
        <v>7318</v>
      </c>
      <c r="I1431" s="2" t="s">
        <v>1887</v>
      </c>
      <c r="J1431" s="2" t="s">
        <v>1888</v>
      </c>
      <c r="K1431" s="2" t="s">
        <v>7319</v>
      </c>
      <c r="L1431" s="2" t="s">
        <v>6101</v>
      </c>
      <c r="M1431" s="2" t="s">
        <v>7320</v>
      </c>
      <c r="N1431" s="2" t="s">
        <v>7321</v>
      </c>
      <c r="O1431" s="2" t="s">
        <v>869</v>
      </c>
      <c r="P1431" s="2" t="s">
        <v>870</v>
      </c>
    </row>
    <row r="1432" ht="15.75" customHeight="1">
      <c r="H1432" s="2" t="s">
        <v>7322</v>
      </c>
      <c r="I1432" s="2" t="s">
        <v>7323</v>
      </c>
      <c r="J1432" s="2" t="s">
        <v>7324</v>
      </c>
      <c r="K1432" s="2" t="s">
        <v>7325</v>
      </c>
      <c r="L1432" s="2" t="s">
        <v>6101</v>
      </c>
      <c r="M1432" s="2" t="s">
        <v>7326</v>
      </c>
      <c r="N1432" s="2" t="s">
        <v>7327</v>
      </c>
      <c r="O1432" s="2" t="s">
        <v>7328</v>
      </c>
      <c r="P1432" s="2" t="s">
        <v>869</v>
      </c>
    </row>
    <row r="1433" ht="15.75" customHeight="1">
      <c r="H1433" s="2" t="s">
        <v>7329</v>
      </c>
      <c r="I1433" s="2" t="s">
        <v>7330</v>
      </c>
      <c r="J1433" s="2" t="s">
        <v>7331</v>
      </c>
      <c r="K1433" s="2" t="s">
        <v>7332</v>
      </c>
      <c r="L1433" s="2" t="s">
        <v>6101</v>
      </c>
      <c r="M1433" s="2" t="s">
        <v>7333</v>
      </c>
      <c r="N1433" s="2" t="s">
        <v>7334</v>
      </c>
      <c r="O1433" s="2" t="s">
        <v>869</v>
      </c>
      <c r="P1433" s="2" t="s">
        <v>870</v>
      </c>
    </row>
    <row r="1434" ht="15.75" customHeight="1">
      <c r="F1434" s="2" t="s">
        <v>265</v>
      </c>
      <c r="H1434" s="2" t="s">
        <v>7335</v>
      </c>
      <c r="I1434" s="2" t="s">
        <v>7336</v>
      </c>
      <c r="J1434" s="2" t="s">
        <v>7337</v>
      </c>
      <c r="K1434" s="2" t="s">
        <v>7338</v>
      </c>
      <c r="L1434" s="2" t="s">
        <v>6101</v>
      </c>
      <c r="M1434" s="2" t="s">
        <v>7339</v>
      </c>
      <c r="N1434" s="2" t="s">
        <v>7340</v>
      </c>
      <c r="O1434" s="2" t="s">
        <v>869</v>
      </c>
      <c r="P1434" s="2" t="s">
        <v>870</v>
      </c>
    </row>
    <row r="1435" ht="15.75" customHeight="1">
      <c r="H1435" s="2" t="s">
        <v>7341</v>
      </c>
      <c r="I1435" s="2" t="s">
        <v>7342</v>
      </c>
      <c r="J1435" s="2" t="s">
        <v>7343</v>
      </c>
      <c r="K1435" s="2" t="s">
        <v>7344</v>
      </c>
      <c r="L1435" s="2" t="s">
        <v>6101</v>
      </c>
      <c r="M1435" s="2" t="s">
        <v>7345</v>
      </c>
      <c r="N1435" s="2" t="s">
        <v>7346</v>
      </c>
      <c r="O1435" s="2" t="s">
        <v>869</v>
      </c>
      <c r="P1435" s="2" t="s">
        <v>870</v>
      </c>
    </row>
    <row r="1436" ht="15.75" customHeight="1">
      <c r="H1436" s="2" t="s">
        <v>7347</v>
      </c>
      <c r="I1436" s="2" t="s">
        <v>7348</v>
      </c>
      <c r="J1436" s="2" t="s">
        <v>7349</v>
      </c>
      <c r="K1436" s="2" t="s">
        <v>7350</v>
      </c>
      <c r="L1436" s="2" t="s">
        <v>6101</v>
      </c>
      <c r="M1436" s="2" t="s">
        <v>7351</v>
      </c>
      <c r="N1436" s="2" t="s">
        <v>7352</v>
      </c>
      <c r="O1436" s="2" t="s">
        <v>869</v>
      </c>
      <c r="P1436" s="2" t="s">
        <v>870</v>
      </c>
    </row>
    <row r="1437" ht="15.75" customHeight="1">
      <c r="H1437" s="2" t="s">
        <v>7353</v>
      </c>
      <c r="I1437" s="2" t="s">
        <v>7354</v>
      </c>
      <c r="J1437" s="2" t="s">
        <v>7355</v>
      </c>
      <c r="K1437" s="2" t="s">
        <v>7356</v>
      </c>
      <c r="L1437" s="2" t="s">
        <v>6101</v>
      </c>
      <c r="M1437" s="2" t="s">
        <v>7357</v>
      </c>
      <c r="N1437" s="2" t="s">
        <v>7358</v>
      </c>
      <c r="O1437" s="2" t="s">
        <v>869</v>
      </c>
      <c r="P1437" s="2" t="s">
        <v>870</v>
      </c>
    </row>
    <row r="1438" ht="15.75" customHeight="1">
      <c r="H1438" s="2" t="s">
        <v>7359</v>
      </c>
      <c r="I1438" s="2" t="s">
        <v>7360</v>
      </c>
      <c r="J1438" s="2" t="s">
        <v>7361</v>
      </c>
      <c r="K1438" s="2" t="s">
        <v>7362</v>
      </c>
      <c r="L1438" s="2" t="s">
        <v>6101</v>
      </c>
      <c r="M1438" s="2" t="s">
        <v>7363</v>
      </c>
      <c r="N1438" s="2" t="s">
        <v>7364</v>
      </c>
      <c r="O1438" s="2" t="s">
        <v>869</v>
      </c>
      <c r="P1438" s="2" t="s">
        <v>870</v>
      </c>
    </row>
    <row r="1439" ht="15.75" customHeight="1">
      <c r="H1439" s="2" t="s">
        <v>7365</v>
      </c>
      <c r="I1439" s="2" t="s">
        <v>2599</v>
      </c>
      <c r="J1439" s="2" t="s">
        <v>2600</v>
      </c>
      <c r="K1439" s="2" t="s">
        <v>7366</v>
      </c>
      <c r="L1439" s="2" t="s">
        <v>6101</v>
      </c>
      <c r="M1439" s="2" t="s">
        <v>7367</v>
      </c>
      <c r="N1439" s="2" t="s">
        <v>7368</v>
      </c>
      <c r="O1439" s="2" t="s">
        <v>869</v>
      </c>
      <c r="P1439" s="2" t="s">
        <v>870</v>
      </c>
    </row>
    <row r="1440" ht="15.75" customHeight="1">
      <c r="H1440" s="2" t="s">
        <v>7369</v>
      </c>
      <c r="I1440" s="2" t="s">
        <v>7370</v>
      </c>
      <c r="J1440" s="2" t="s">
        <v>7371</v>
      </c>
      <c r="K1440" s="2" t="s">
        <v>7372</v>
      </c>
      <c r="L1440" s="2" t="s">
        <v>6101</v>
      </c>
      <c r="M1440" s="2" t="s">
        <v>7373</v>
      </c>
      <c r="N1440" s="2" t="s">
        <v>7374</v>
      </c>
      <c r="O1440" s="2" t="s">
        <v>869</v>
      </c>
      <c r="P1440" s="2" t="s">
        <v>870</v>
      </c>
    </row>
    <row r="1441" ht="15.75" customHeight="1">
      <c r="H1441" s="2" t="s">
        <v>7375</v>
      </c>
      <c r="I1441" s="2" t="s">
        <v>7376</v>
      </c>
      <c r="J1441" s="2" t="s">
        <v>7377</v>
      </c>
      <c r="K1441" s="2" t="s">
        <v>7378</v>
      </c>
      <c r="L1441" s="2" t="s">
        <v>6101</v>
      </c>
      <c r="M1441" s="2" t="s">
        <v>7379</v>
      </c>
      <c r="N1441" s="2" t="s">
        <v>7380</v>
      </c>
      <c r="O1441" s="2" t="s">
        <v>869</v>
      </c>
      <c r="P1441" s="2" t="s">
        <v>870</v>
      </c>
    </row>
    <row r="1442" ht="15.75" customHeight="1">
      <c r="H1442" s="2" t="s">
        <v>7381</v>
      </c>
      <c r="I1442" s="2" t="s">
        <v>7382</v>
      </c>
      <c r="J1442" s="2" t="s">
        <v>7383</v>
      </c>
      <c r="K1442" s="2" t="s">
        <v>7384</v>
      </c>
      <c r="L1442" s="2" t="s">
        <v>6101</v>
      </c>
      <c r="M1442" s="2" t="s">
        <v>7385</v>
      </c>
      <c r="N1442" s="2" t="s">
        <v>7386</v>
      </c>
      <c r="O1442" s="2" t="s">
        <v>869</v>
      </c>
      <c r="P1442" s="2" t="s">
        <v>870</v>
      </c>
    </row>
    <row r="1443" ht="15.75" customHeight="1">
      <c r="H1443" s="2" t="s">
        <v>7387</v>
      </c>
      <c r="I1443" s="2" t="s">
        <v>5370</v>
      </c>
      <c r="J1443" s="2" t="s">
        <v>5371</v>
      </c>
      <c r="K1443" s="2" t="s">
        <v>7388</v>
      </c>
      <c r="L1443" s="2" t="s">
        <v>6101</v>
      </c>
      <c r="M1443" s="2" t="s">
        <v>7389</v>
      </c>
      <c r="N1443" s="2" t="s">
        <v>7390</v>
      </c>
      <c r="O1443" s="2" t="s">
        <v>869</v>
      </c>
      <c r="P1443" s="2" t="s">
        <v>870</v>
      </c>
    </row>
    <row r="1444" ht="15.75" customHeight="1">
      <c r="H1444" s="2" t="s">
        <v>7391</v>
      </c>
      <c r="I1444" s="2" t="s">
        <v>7392</v>
      </c>
      <c r="J1444" s="2" t="s">
        <v>7393</v>
      </c>
      <c r="K1444" s="2" t="s">
        <v>7394</v>
      </c>
      <c r="L1444" s="2" t="s">
        <v>6101</v>
      </c>
      <c r="M1444" s="2" t="s">
        <v>7395</v>
      </c>
      <c r="N1444" s="2" t="s">
        <v>7396</v>
      </c>
      <c r="O1444" s="2" t="s">
        <v>869</v>
      </c>
      <c r="P1444" s="2" t="s">
        <v>870</v>
      </c>
    </row>
    <row r="1445" ht="15.75" customHeight="1">
      <c r="H1445" s="2" t="s">
        <v>7397</v>
      </c>
      <c r="I1445" s="2" t="s">
        <v>7398</v>
      </c>
      <c r="J1445" s="2" t="s">
        <v>7399</v>
      </c>
      <c r="K1445" s="2" t="s">
        <v>7400</v>
      </c>
      <c r="L1445" s="2" t="s">
        <v>6101</v>
      </c>
      <c r="M1445" s="2" t="s">
        <v>7401</v>
      </c>
      <c r="N1445" s="2" t="s">
        <v>7402</v>
      </c>
      <c r="O1445" s="2" t="s">
        <v>7403</v>
      </c>
      <c r="P1445" s="2" t="s">
        <v>869</v>
      </c>
    </row>
    <row r="1446" ht="15.75" customHeight="1">
      <c r="H1446" s="2" t="s">
        <v>7404</v>
      </c>
      <c r="I1446" s="2" t="s">
        <v>7405</v>
      </c>
      <c r="J1446" s="2" t="s">
        <v>7406</v>
      </c>
      <c r="K1446" s="2" t="s">
        <v>7407</v>
      </c>
      <c r="L1446" s="2" t="s">
        <v>6101</v>
      </c>
      <c r="M1446" s="2" t="s">
        <v>7408</v>
      </c>
      <c r="N1446" s="2" t="s">
        <v>7409</v>
      </c>
      <c r="O1446" s="2" t="s">
        <v>869</v>
      </c>
      <c r="P1446" s="2" t="s">
        <v>870</v>
      </c>
    </row>
    <row r="1447" ht="15.75" customHeight="1">
      <c r="H1447" s="2" t="s">
        <v>7410</v>
      </c>
      <c r="I1447" s="2" t="s">
        <v>7411</v>
      </c>
      <c r="J1447" s="2" t="s">
        <v>7412</v>
      </c>
      <c r="K1447" s="2" t="s">
        <v>7413</v>
      </c>
      <c r="L1447" s="2" t="s">
        <v>6101</v>
      </c>
      <c r="M1447" s="2" t="s">
        <v>7414</v>
      </c>
      <c r="N1447" s="2" t="s">
        <v>7415</v>
      </c>
      <c r="O1447" s="2" t="s">
        <v>869</v>
      </c>
      <c r="P1447" s="2" t="s">
        <v>870</v>
      </c>
    </row>
    <row r="1448" ht="15.75" customHeight="1">
      <c r="H1448" s="2" t="s">
        <v>7416</v>
      </c>
      <c r="I1448" s="2" t="s">
        <v>7417</v>
      </c>
      <c r="J1448" s="2" t="s">
        <v>7418</v>
      </c>
      <c r="K1448" s="2" t="s">
        <v>7419</v>
      </c>
      <c r="L1448" s="2" t="s">
        <v>6101</v>
      </c>
      <c r="M1448" s="2" t="s">
        <v>7420</v>
      </c>
      <c r="N1448" s="2" t="s">
        <v>7421</v>
      </c>
      <c r="O1448" s="2" t="s">
        <v>869</v>
      </c>
      <c r="P1448" s="2" t="s">
        <v>870</v>
      </c>
    </row>
    <row r="1449" ht="15.75" customHeight="1">
      <c r="H1449" s="2" t="s">
        <v>7422</v>
      </c>
      <c r="I1449" s="2" t="s">
        <v>7423</v>
      </c>
      <c r="J1449" s="2" t="s">
        <v>7424</v>
      </c>
      <c r="K1449" s="2" t="s">
        <v>7425</v>
      </c>
      <c r="L1449" s="2" t="s">
        <v>6101</v>
      </c>
      <c r="M1449" s="2" t="s">
        <v>7426</v>
      </c>
      <c r="N1449" s="2" t="s">
        <v>7427</v>
      </c>
      <c r="O1449" s="2" t="s">
        <v>7428</v>
      </c>
      <c r="P1449" s="2" t="s">
        <v>869</v>
      </c>
    </row>
    <row r="1450" ht="15.75" customHeight="1">
      <c r="H1450" s="2" t="s">
        <v>7429</v>
      </c>
      <c r="I1450" s="2" t="s">
        <v>1940</v>
      </c>
      <c r="J1450" s="2" t="s">
        <v>1941</v>
      </c>
      <c r="K1450" s="2" t="s">
        <v>7430</v>
      </c>
      <c r="L1450" s="2" t="s">
        <v>6101</v>
      </c>
      <c r="M1450" s="2" t="s">
        <v>7431</v>
      </c>
      <c r="N1450" s="2" t="s">
        <v>7432</v>
      </c>
      <c r="O1450" s="2" t="s">
        <v>869</v>
      </c>
      <c r="P1450" s="2" t="s">
        <v>870</v>
      </c>
    </row>
    <row r="1451" ht="15.75" customHeight="1">
      <c r="H1451" s="2" t="s">
        <v>7433</v>
      </c>
      <c r="I1451" s="2" t="s">
        <v>7434</v>
      </c>
      <c r="J1451" s="2" t="s">
        <v>7435</v>
      </c>
      <c r="K1451" s="2" t="s">
        <v>7436</v>
      </c>
      <c r="L1451" s="2" t="s">
        <v>6101</v>
      </c>
      <c r="M1451" s="2" t="s">
        <v>7437</v>
      </c>
      <c r="N1451" s="2" t="s">
        <v>7438</v>
      </c>
      <c r="O1451" s="2" t="s">
        <v>869</v>
      </c>
      <c r="P1451" s="2" t="s">
        <v>870</v>
      </c>
    </row>
    <row r="1452" ht="15.75" customHeight="1">
      <c r="H1452" s="2" t="s">
        <v>7439</v>
      </c>
      <c r="I1452" s="2" t="s">
        <v>7440</v>
      </c>
      <c r="J1452" s="2" t="s">
        <v>7441</v>
      </c>
      <c r="K1452" s="2" t="s">
        <v>7442</v>
      </c>
      <c r="L1452" s="2" t="s">
        <v>6101</v>
      </c>
      <c r="M1452" s="2" t="s">
        <v>7443</v>
      </c>
      <c r="N1452" s="2" t="s">
        <v>7444</v>
      </c>
      <c r="O1452" s="2" t="s">
        <v>869</v>
      </c>
      <c r="P1452" s="2" t="s">
        <v>870</v>
      </c>
    </row>
    <row r="1453" ht="15.75" customHeight="1">
      <c r="H1453" s="2" t="s">
        <v>7445</v>
      </c>
      <c r="I1453" s="2" t="s">
        <v>2147</v>
      </c>
      <c r="J1453" s="2" t="s">
        <v>2148</v>
      </c>
      <c r="K1453" s="2" t="s">
        <v>7446</v>
      </c>
      <c r="L1453" s="2" t="s">
        <v>6101</v>
      </c>
      <c r="M1453" s="2" t="s">
        <v>7447</v>
      </c>
      <c r="N1453" s="2" t="s">
        <v>7448</v>
      </c>
      <c r="O1453" s="2" t="s">
        <v>869</v>
      </c>
      <c r="P1453" s="2" t="s">
        <v>870</v>
      </c>
    </row>
    <row r="1454" ht="15.75" customHeight="1">
      <c r="H1454" s="2" t="s">
        <v>7449</v>
      </c>
      <c r="I1454" s="2" t="s">
        <v>267</v>
      </c>
      <c r="J1454" s="2" t="s">
        <v>268</v>
      </c>
      <c r="K1454" s="2" t="s">
        <v>7450</v>
      </c>
      <c r="L1454" s="2" t="s">
        <v>6101</v>
      </c>
      <c r="M1454" s="2" t="s">
        <v>7451</v>
      </c>
      <c r="N1454" s="2" t="s">
        <v>7452</v>
      </c>
      <c r="O1454" s="2" t="s">
        <v>869</v>
      </c>
      <c r="P1454" s="2" t="s">
        <v>870</v>
      </c>
    </row>
    <row r="1455" ht="15.75" customHeight="1">
      <c r="H1455" s="2" t="s">
        <v>7453</v>
      </c>
      <c r="I1455" s="2" t="s">
        <v>7454</v>
      </c>
      <c r="J1455" s="2" t="s">
        <v>7455</v>
      </c>
      <c r="K1455" s="2" t="s">
        <v>7456</v>
      </c>
      <c r="L1455" s="2" t="s">
        <v>6101</v>
      </c>
      <c r="M1455" s="2" t="s">
        <v>7457</v>
      </c>
      <c r="N1455" s="2" t="s">
        <v>7458</v>
      </c>
      <c r="O1455" s="2" t="s">
        <v>7459</v>
      </c>
      <c r="P1455" s="2" t="s">
        <v>869</v>
      </c>
    </row>
    <row r="1456" ht="15.75" customHeight="1">
      <c r="H1456" s="2" t="s">
        <v>7460</v>
      </c>
      <c r="I1456" s="2" t="s">
        <v>1950</v>
      </c>
      <c r="J1456" s="2" t="s">
        <v>1951</v>
      </c>
      <c r="K1456" s="2" t="s">
        <v>7461</v>
      </c>
      <c r="L1456" s="2" t="s">
        <v>6101</v>
      </c>
      <c r="M1456" s="2" t="s">
        <v>7462</v>
      </c>
      <c r="N1456" s="2" t="s">
        <v>7463</v>
      </c>
      <c r="O1456" s="2" t="s">
        <v>869</v>
      </c>
      <c r="P1456" s="2" t="s">
        <v>870</v>
      </c>
    </row>
    <row r="1457" ht="15.75" customHeight="1">
      <c r="H1457" s="2" t="s">
        <v>7464</v>
      </c>
      <c r="I1457" s="2" t="s">
        <v>7465</v>
      </c>
      <c r="J1457" s="2" t="s">
        <v>7466</v>
      </c>
      <c r="K1457" s="2" t="s">
        <v>7467</v>
      </c>
      <c r="L1457" s="2" t="s">
        <v>6101</v>
      </c>
      <c r="M1457" s="2" t="s">
        <v>7468</v>
      </c>
      <c r="N1457" s="2" t="s">
        <v>7469</v>
      </c>
      <c r="O1457" s="2" t="s">
        <v>869</v>
      </c>
      <c r="P1457" s="2" t="s">
        <v>870</v>
      </c>
    </row>
    <row r="1458" ht="15.75" customHeight="1">
      <c r="H1458" s="2" t="s">
        <v>7470</v>
      </c>
      <c r="I1458" s="2" t="s">
        <v>7471</v>
      </c>
      <c r="J1458" s="2" t="s">
        <v>7472</v>
      </c>
      <c r="K1458" s="2" t="s">
        <v>7473</v>
      </c>
      <c r="L1458" s="2" t="s">
        <v>6101</v>
      </c>
      <c r="M1458" s="2" t="s">
        <v>7474</v>
      </c>
      <c r="N1458" s="2" t="s">
        <v>7475</v>
      </c>
      <c r="O1458" s="2" t="s">
        <v>7476</v>
      </c>
      <c r="P1458" s="2" t="s">
        <v>869</v>
      </c>
    </row>
    <row r="1459" ht="15.75" customHeight="1">
      <c r="H1459" s="2" t="s">
        <v>7477</v>
      </c>
      <c r="I1459" s="2" t="s">
        <v>7478</v>
      </c>
      <c r="J1459" s="2" t="s">
        <v>7479</v>
      </c>
      <c r="K1459" s="2" t="s">
        <v>7480</v>
      </c>
      <c r="L1459" s="2" t="s">
        <v>6101</v>
      </c>
      <c r="M1459" s="2" t="s">
        <v>7481</v>
      </c>
      <c r="N1459" s="2" t="s">
        <v>7482</v>
      </c>
      <c r="O1459" s="2" t="s">
        <v>869</v>
      </c>
      <c r="P1459" s="2" t="s">
        <v>870</v>
      </c>
    </row>
    <row r="1460" ht="15.75" customHeight="1">
      <c r="H1460" s="2" t="s">
        <v>7483</v>
      </c>
      <c r="I1460" s="2" t="s">
        <v>7484</v>
      </c>
      <c r="J1460" s="2" t="s">
        <v>7485</v>
      </c>
      <c r="K1460" s="2" t="s">
        <v>7486</v>
      </c>
      <c r="L1460" s="2" t="s">
        <v>6101</v>
      </c>
      <c r="M1460" s="2" t="s">
        <v>7487</v>
      </c>
      <c r="N1460" s="2" t="s">
        <v>7488</v>
      </c>
      <c r="O1460" s="2" t="s">
        <v>869</v>
      </c>
      <c r="P1460" s="2" t="s">
        <v>870</v>
      </c>
    </row>
    <row r="1461" ht="15.75" customHeight="1">
      <c r="H1461" s="2" t="s">
        <v>7489</v>
      </c>
      <c r="I1461" s="2" t="s">
        <v>7490</v>
      </c>
      <c r="J1461" s="2" t="s">
        <v>7491</v>
      </c>
      <c r="K1461" s="2" t="s">
        <v>7492</v>
      </c>
      <c r="L1461" s="2" t="s">
        <v>6101</v>
      </c>
      <c r="M1461" s="2" t="s">
        <v>7493</v>
      </c>
      <c r="N1461" s="2" t="s">
        <v>7494</v>
      </c>
      <c r="O1461" s="2" t="s">
        <v>869</v>
      </c>
      <c r="P1461" s="2" t="s">
        <v>870</v>
      </c>
    </row>
    <row r="1462" ht="15.75" customHeight="1">
      <c r="H1462" s="2" t="s">
        <v>7495</v>
      </c>
      <c r="I1462" s="2" t="s">
        <v>7496</v>
      </c>
      <c r="J1462" s="2" t="s">
        <v>7497</v>
      </c>
      <c r="K1462" s="2" t="s">
        <v>7498</v>
      </c>
      <c r="L1462" s="2" t="s">
        <v>6101</v>
      </c>
      <c r="M1462" s="2" t="s">
        <v>7499</v>
      </c>
      <c r="N1462" s="2" t="s">
        <v>7500</v>
      </c>
      <c r="O1462" s="2" t="s">
        <v>7501</v>
      </c>
      <c r="P1462" s="2" t="s">
        <v>869</v>
      </c>
    </row>
    <row r="1463" ht="15.75" customHeight="1">
      <c r="H1463" s="2" t="s">
        <v>7502</v>
      </c>
      <c r="I1463" s="2" t="s">
        <v>6326</v>
      </c>
      <c r="J1463" s="2" t="s">
        <v>6327</v>
      </c>
      <c r="K1463" s="2" t="s">
        <v>7503</v>
      </c>
      <c r="L1463" s="2" t="s">
        <v>6101</v>
      </c>
      <c r="M1463" s="2" t="s">
        <v>7504</v>
      </c>
      <c r="N1463" s="2" t="s">
        <v>7505</v>
      </c>
      <c r="O1463" s="2" t="s">
        <v>869</v>
      </c>
      <c r="P1463" s="2" t="s">
        <v>870</v>
      </c>
    </row>
    <row r="1464" ht="15.75" customHeight="1">
      <c r="H1464" s="2" t="s">
        <v>7506</v>
      </c>
      <c r="I1464" s="2" t="s">
        <v>1963</v>
      </c>
      <c r="J1464" s="2" t="s">
        <v>1964</v>
      </c>
      <c r="K1464" s="2" t="s">
        <v>7507</v>
      </c>
      <c r="L1464" s="2" t="s">
        <v>6101</v>
      </c>
      <c r="M1464" s="2" t="s">
        <v>7508</v>
      </c>
      <c r="N1464" s="2" t="s">
        <v>7509</v>
      </c>
      <c r="O1464" s="2" t="s">
        <v>869</v>
      </c>
      <c r="P1464" s="2" t="s">
        <v>870</v>
      </c>
    </row>
    <row r="1465" ht="15.75" customHeight="1">
      <c r="H1465" s="2" t="s">
        <v>7510</v>
      </c>
      <c r="I1465" s="2" t="s">
        <v>7511</v>
      </c>
      <c r="J1465" s="2" t="s">
        <v>7512</v>
      </c>
      <c r="K1465" s="2" t="s">
        <v>7513</v>
      </c>
      <c r="L1465" s="2" t="s">
        <v>6101</v>
      </c>
      <c r="M1465" s="2" t="s">
        <v>7514</v>
      </c>
      <c r="N1465" s="2" t="s">
        <v>7515</v>
      </c>
      <c r="O1465" s="2" t="s">
        <v>869</v>
      </c>
      <c r="P1465" s="2" t="s">
        <v>870</v>
      </c>
    </row>
    <row r="1466" ht="15.75" customHeight="1">
      <c r="H1466" s="2" t="s">
        <v>7516</v>
      </c>
      <c r="I1466" s="2" t="s">
        <v>7517</v>
      </c>
      <c r="J1466" s="2" t="s">
        <v>7518</v>
      </c>
      <c r="K1466" s="2" t="s">
        <v>7519</v>
      </c>
      <c r="L1466" s="2" t="s">
        <v>6101</v>
      </c>
      <c r="M1466" s="2" t="s">
        <v>7520</v>
      </c>
      <c r="N1466" s="2" t="s">
        <v>7521</v>
      </c>
      <c r="O1466" s="2" t="s">
        <v>869</v>
      </c>
      <c r="P1466" s="2" t="s">
        <v>870</v>
      </c>
    </row>
    <row r="1467" ht="15.75" customHeight="1">
      <c r="H1467" s="2" t="s">
        <v>7522</v>
      </c>
      <c r="I1467" s="2" t="s">
        <v>7323</v>
      </c>
      <c r="J1467" s="2" t="s">
        <v>7324</v>
      </c>
      <c r="K1467" s="2" t="s">
        <v>7523</v>
      </c>
      <c r="L1467" s="2" t="s">
        <v>6101</v>
      </c>
      <c r="M1467" s="2" t="s">
        <v>7524</v>
      </c>
      <c r="N1467" s="2" t="s">
        <v>7525</v>
      </c>
      <c r="O1467" s="2" t="s">
        <v>869</v>
      </c>
      <c r="P1467" s="2" t="s">
        <v>870</v>
      </c>
    </row>
    <row r="1468" ht="15.75" customHeight="1">
      <c r="H1468" s="2" t="s">
        <v>7526</v>
      </c>
      <c r="I1468" s="2" t="s">
        <v>7527</v>
      </c>
      <c r="J1468" s="2" t="s">
        <v>7528</v>
      </c>
      <c r="K1468" s="2" t="s">
        <v>7529</v>
      </c>
      <c r="L1468" s="2" t="s">
        <v>6101</v>
      </c>
      <c r="M1468" s="2" t="s">
        <v>7530</v>
      </c>
      <c r="N1468" s="2" t="s">
        <v>7531</v>
      </c>
      <c r="O1468" s="2" t="s">
        <v>869</v>
      </c>
      <c r="P1468" s="2" t="s">
        <v>870</v>
      </c>
    </row>
    <row r="1469" ht="15.75" customHeight="1">
      <c r="H1469" s="2" t="s">
        <v>7532</v>
      </c>
      <c r="I1469" s="2" t="s">
        <v>7533</v>
      </c>
      <c r="J1469" s="2" t="s">
        <v>7534</v>
      </c>
      <c r="K1469" s="2" t="s">
        <v>7535</v>
      </c>
      <c r="L1469" s="2" t="s">
        <v>6101</v>
      </c>
      <c r="M1469" s="2" t="s">
        <v>7536</v>
      </c>
      <c r="N1469" s="2" t="s">
        <v>7537</v>
      </c>
      <c r="O1469" s="2" t="s">
        <v>7538</v>
      </c>
      <c r="P1469" s="2" t="s">
        <v>869</v>
      </c>
    </row>
    <row r="1470" ht="15.75" customHeight="1">
      <c r="H1470" s="2" t="s">
        <v>7539</v>
      </c>
      <c r="I1470" s="2" t="s">
        <v>7540</v>
      </c>
      <c r="J1470" s="2" t="s">
        <v>7541</v>
      </c>
      <c r="K1470" s="2" t="s">
        <v>7542</v>
      </c>
      <c r="L1470" s="2" t="s">
        <v>6101</v>
      </c>
      <c r="M1470" s="2" t="s">
        <v>7543</v>
      </c>
      <c r="N1470" s="2" t="s">
        <v>7544</v>
      </c>
      <c r="O1470" s="2" t="s">
        <v>869</v>
      </c>
      <c r="P1470" s="2" t="s">
        <v>870</v>
      </c>
    </row>
    <row r="1471" ht="15.75" customHeight="1">
      <c r="H1471" s="2" t="s">
        <v>7545</v>
      </c>
      <c r="I1471" s="2" t="s">
        <v>7546</v>
      </c>
      <c r="J1471" s="2" t="s">
        <v>7547</v>
      </c>
      <c r="K1471" s="2" t="s">
        <v>7548</v>
      </c>
      <c r="L1471" s="2" t="s">
        <v>6101</v>
      </c>
      <c r="M1471" s="2" t="s">
        <v>7549</v>
      </c>
      <c r="N1471" s="2" t="s">
        <v>7550</v>
      </c>
      <c r="O1471" s="2" t="s">
        <v>7551</v>
      </c>
      <c r="P1471" s="2" t="s">
        <v>869</v>
      </c>
    </row>
    <row r="1472" ht="15.75" customHeight="1">
      <c r="H1472" s="2" t="s">
        <v>7552</v>
      </c>
      <c r="I1472" s="2" t="s">
        <v>7553</v>
      </c>
      <c r="J1472" s="2" t="s">
        <v>7554</v>
      </c>
      <c r="K1472" s="2" t="s">
        <v>7555</v>
      </c>
      <c r="L1472" s="2" t="s">
        <v>6101</v>
      </c>
      <c r="M1472" s="2" t="s">
        <v>7556</v>
      </c>
      <c r="N1472" s="2" t="s">
        <v>7557</v>
      </c>
      <c r="O1472" s="2" t="s">
        <v>7558</v>
      </c>
      <c r="P1472" s="2" t="s">
        <v>869</v>
      </c>
    </row>
    <row r="1473" ht="15.75" customHeight="1">
      <c r="H1473" s="2" t="s">
        <v>7559</v>
      </c>
      <c r="I1473" s="2" t="s">
        <v>2001</v>
      </c>
      <c r="J1473" s="2" t="s">
        <v>2002</v>
      </c>
      <c r="K1473" s="2" t="s">
        <v>7560</v>
      </c>
      <c r="L1473" s="2" t="s">
        <v>6101</v>
      </c>
      <c r="M1473" s="2" t="s">
        <v>7561</v>
      </c>
      <c r="N1473" s="2" t="s">
        <v>7562</v>
      </c>
      <c r="O1473" s="2" t="s">
        <v>869</v>
      </c>
      <c r="P1473" s="2" t="s">
        <v>870</v>
      </c>
    </row>
    <row r="1474" ht="15.75" customHeight="1">
      <c r="H1474" s="2" t="s">
        <v>7563</v>
      </c>
      <c r="I1474" s="2" t="s">
        <v>7564</v>
      </c>
      <c r="J1474" s="2" t="s">
        <v>7565</v>
      </c>
      <c r="K1474" s="2" t="s">
        <v>7566</v>
      </c>
      <c r="L1474" s="2" t="s">
        <v>6101</v>
      </c>
      <c r="M1474" s="2" t="s">
        <v>7567</v>
      </c>
      <c r="N1474" s="2" t="s">
        <v>7568</v>
      </c>
      <c r="O1474" s="2" t="s">
        <v>869</v>
      </c>
      <c r="P1474" s="2" t="s">
        <v>870</v>
      </c>
    </row>
    <row r="1475" ht="15.75" customHeight="1">
      <c r="H1475" s="2" t="s">
        <v>7569</v>
      </c>
      <c r="I1475" s="2" t="s">
        <v>7570</v>
      </c>
      <c r="J1475" s="2" t="s">
        <v>7571</v>
      </c>
      <c r="K1475" s="2" t="s">
        <v>7572</v>
      </c>
      <c r="L1475" s="2" t="s">
        <v>6101</v>
      </c>
      <c r="M1475" s="2" t="s">
        <v>7573</v>
      </c>
      <c r="N1475" s="2" t="s">
        <v>7574</v>
      </c>
      <c r="O1475" s="2" t="s">
        <v>869</v>
      </c>
      <c r="P1475" s="2" t="s">
        <v>870</v>
      </c>
    </row>
    <row r="1476" ht="15.75" customHeight="1">
      <c r="H1476" s="2" t="s">
        <v>7575</v>
      </c>
      <c r="I1476" s="2" t="s">
        <v>7576</v>
      </c>
      <c r="J1476" s="2" t="s">
        <v>7577</v>
      </c>
      <c r="K1476" s="2" t="s">
        <v>7578</v>
      </c>
      <c r="L1476" s="2" t="s">
        <v>6101</v>
      </c>
      <c r="M1476" s="2" t="s">
        <v>7579</v>
      </c>
      <c r="N1476" s="2" t="s">
        <v>7580</v>
      </c>
      <c r="O1476" s="2" t="s">
        <v>869</v>
      </c>
      <c r="P1476" s="2" t="s">
        <v>870</v>
      </c>
    </row>
    <row r="1477" ht="15.75" customHeight="1">
      <c r="H1477" s="2" t="s">
        <v>7581</v>
      </c>
      <c r="I1477" s="2" t="s">
        <v>7582</v>
      </c>
      <c r="J1477" s="2" t="s">
        <v>7582</v>
      </c>
      <c r="K1477" s="2" t="s">
        <v>1229</v>
      </c>
    </row>
    <row r="1478" ht="15.75" customHeight="1">
      <c r="H1478" s="2" t="s">
        <v>7583</v>
      </c>
      <c r="I1478" s="2" t="s">
        <v>7584</v>
      </c>
      <c r="J1478" s="2" t="s">
        <v>7585</v>
      </c>
      <c r="K1478" s="2" t="s">
        <v>7586</v>
      </c>
      <c r="L1478" s="2" t="s">
        <v>6101</v>
      </c>
      <c r="M1478" s="2" t="s">
        <v>7587</v>
      </c>
      <c r="N1478" s="2" t="s">
        <v>7588</v>
      </c>
      <c r="O1478" s="2" t="s">
        <v>869</v>
      </c>
      <c r="P1478" s="2" t="s">
        <v>870</v>
      </c>
    </row>
    <row r="1479" ht="15.75" customHeight="1">
      <c r="H1479" s="2" t="s">
        <v>7589</v>
      </c>
      <c r="I1479" s="2" t="s">
        <v>7590</v>
      </c>
      <c r="J1479" s="2" t="s">
        <v>7591</v>
      </c>
      <c r="K1479" s="2" t="s">
        <v>7592</v>
      </c>
      <c r="L1479" s="2" t="s">
        <v>6101</v>
      </c>
      <c r="M1479" s="2" t="s">
        <v>7593</v>
      </c>
      <c r="N1479" s="2" t="s">
        <v>7594</v>
      </c>
      <c r="O1479" s="2" t="s">
        <v>7595</v>
      </c>
      <c r="P1479" s="2" t="s">
        <v>869</v>
      </c>
    </row>
    <row r="1480" ht="15.75" customHeight="1">
      <c r="H1480" s="2" t="s">
        <v>7596</v>
      </c>
      <c r="I1480" s="2" t="s">
        <v>7597</v>
      </c>
      <c r="J1480" s="2" t="s">
        <v>7598</v>
      </c>
      <c r="K1480" s="2" t="s">
        <v>7599</v>
      </c>
      <c r="L1480" s="2" t="s">
        <v>6101</v>
      </c>
      <c r="M1480" s="2" t="s">
        <v>7600</v>
      </c>
      <c r="N1480" s="2" t="s">
        <v>7601</v>
      </c>
      <c r="O1480" s="2" t="s">
        <v>869</v>
      </c>
      <c r="P1480" s="2" t="s">
        <v>870</v>
      </c>
    </row>
    <row r="1481" ht="15.75" customHeight="1">
      <c r="H1481" s="2" t="s">
        <v>7602</v>
      </c>
      <c r="I1481" s="2" t="s">
        <v>7603</v>
      </c>
      <c r="J1481" s="2" t="s">
        <v>7604</v>
      </c>
      <c r="K1481" s="2" t="s">
        <v>7605</v>
      </c>
      <c r="L1481" s="2" t="s">
        <v>6101</v>
      </c>
      <c r="M1481" s="2" t="s">
        <v>7606</v>
      </c>
      <c r="N1481" s="2" t="s">
        <v>7607</v>
      </c>
      <c r="O1481" s="2" t="s">
        <v>7608</v>
      </c>
      <c r="P1481" s="2" t="s">
        <v>869</v>
      </c>
    </row>
    <row r="1482" ht="15.75" customHeight="1">
      <c r="H1482" s="2" t="s">
        <v>7609</v>
      </c>
      <c r="I1482" s="2" t="s">
        <v>5392</v>
      </c>
      <c r="J1482" s="2" t="s">
        <v>5393</v>
      </c>
      <c r="K1482" s="2" t="s">
        <v>7610</v>
      </c>
      <c r="L1482" s="2" t="s">
        <v>6101</v>
      </c>
      <c r="M1482" s="2" t="s">
        <v>7611</v>
      </c>
      <c r="N1482" s="2" t="s">
        <v>7612</v>
      </c>
      <c r="O1482" s="2" t="s">
        <v>869</v>
      </c>
      <c r="P1482" s="2" t="s">
        <v>870</v>
      </c>
    </row>
    <row r="1483" ht="15.75" customHeight="1">
      <c r="H1483" s="2" t="s">
        <v>7613</v>
      </c>
      <c r="I1483" s="2" t="s">
        <v>7614</v>
      </c>
      <c r="J1483" s="2" t="s">
        <v>7615</v>
      </c>
      <c r="K1483" s="2" t="s">
        <v>7616</v>
      </c>
      <c r="L1483" s="2" t="s">
        <v>6101</v>
      </c>
      <c r="M1483" s="2" t="s">
        <v>7617</v>
      </c>
      <c r="N1483" s="2" t="s">
        <v>7618</v>
      </c>
      <c r="O1483" s="2" t="s">
        <v>869</v>
      </c>
      <c r="P1483" s="2" t="s">
        <v>870</v>
      </c>
    </row>
    <row r="1484" ht="15.75" customHeight="1">
      <c r="H1484" s="2" t="s">
        <v>7619</v>
      </c>
      <c r="I1484" s="2" t="s">
        <v>7620</v>
      </c>
      <c r="J1484" s="2" t="s">
        <v>7621</v>
      </c>
      <c r="K1484" s="2" t="s">
        <v>7622</v>
      </c>
      <c r="L1484" s="2" t="s">
        <v>6101</v>
      </c>
      <c r="M1484" s="2" t="s">
        <v>7623</v>
      </c>
      <c r="N1484" s="2" t="s">
        <v>7624</v>
      </c>
      <c r="O1484" s="2" t="s">
        <v>869</v>
      </c>
      <c r="P1484" s="2" t="s">
        <v>870</v>
      </c>
    </row>
    <row r="1485" ht="15.75" customHeight="1">
      <c r="H1485" s="2" t="s">
        <v>7625</v>
      </c>
      <c r="I1485" s="2" t="s">
        <v>7626</v>
      </c>
      <c r="J1485" s="2" t="s">
        <v>7627</v>
      </c>
      <c r="K1485" s="2" t="s">
        <v>7628</v>
      </c>
      <c r="L1485" s="2" t="s">
        <v>6101</v>
      </c>
      <c r="M1485" s="2" t="s">
        <v>7629</v>
      </c>
      <c r="N1485" s="2" t="s">
        <v>7630</v>
      </c>
      <c r="O1485" s="2" t="s">
        <v>7631</v>
      </c>
      <c r="P1485" s="2" t="s">
        <v>869</v>
      </c>
    </row>
    <row r="1486" ht="15.75" customHeight="1">
      <c r="H1486" s="2" t="s">
        <v>7632</v>
      </c>
      <c r="I1486" s="2" t="s">
        <v>7633</v>
      </c>
      <c r="J1486" s="2" t="s">
        <v>7634</v>
      </c>
      <c r="K1486" s="2" t="s">
        <v>7635</v>
      </c>
      <c r="L1486" s="2" t="s">
        <v>6101</v>
      </c>
      <c r="M1486" s="2" t="s">
        <v>7636</v>
      </c>
      <c r="N1486" s="2" t="s">
        <v>7637</v>
      </c>
      <c r="O1486" s="2" t="s">
        <v>7638</v>
      </c>
      <c r="P1486" s="2" t="s">
        <v>869</v>
      </c>
    </row>
    <row r="1487" ht="15.75" customHeight="1">
      <c r="H1487" s="2" t="s">
        <v>7639</v>
      </c>
      <c r="I1487" s="2" t="s">
        <v>7640</v>
      </c>
      <c r="J1487" s="2" t="s">
        <v>7641</v>
      </c>
      <c r="K1487" s="2" t="s">
        <v>7642</v>
      </c>
      <c r="L1487" s="2" t="s">
        <v>6101</v>
      </c>
      <c r="M1487" s="2" t="s">
        <v>7643</v>
      </c>
      <c r="N1487" s="2" t="s">
        <v>7644</v>
      </c>
      <c r="O1487" s="2" t="s">
        <v>7645</v>
      </c>
      <c r="P1487" s="2" t="s">
        <v>869</v>
      </c>
    </row>
    <row r="1488" ht="15.75" customHeight="1">
      <c r="F1488" s="2" t="s">
        <v>274</v>
      </c>
      <c r="H1488" s="2" t="s">
        <v>7646</v>
      </c>
      <c r="I1488" s="2" t="s">
        <v>7647</v>
      </c>
      <c r="J1488" s="2" t="s">
        <v>7648</v>
      </c>
      <c r="K1488" s="2" t="s">
        <v>861</v>
      </c>
    </row>
    <row r="1489" ht="15.75" customHeight="1">
      <c r="H1489" s="2" t="s">
        <v>7649</v>
      </c>
      <c r="I1489" s="2" t="s">
        <v>7650</v>
      </c>
      <c r="J1489" s="2" t="s">
        <v>7651</v>
      </c>
      <c r="K1489" s="2" t="s">
        <v>853</v>
      </c>
    </row>
    <row r="1490" ht="15.75" customHeight="1">
      <c r="H1490" s="2" t="s">
        <v>7652</v>
      </c>
      <c r="I1490" s="2" t="s">
        <v>7653</v>
      </c>
      <c r="J1490" s="2" t="s">
        <v>7653</v>
      </c>
      <c r="K1490" s="2" t="s">
        <v>1061</v>
      </c>
    </row>
    <row r="1491" ht="15.75" customHeight="1">
      <c r="H1491" s="2" t="s">
        <v>7654</v>
      </c>
      <c r="I1491" s="2" t="s">
        <v>279</v>
      </c>
      <c r="J1491" s="2" t="s">
        <v>274</v>
      </c>
      <c r="K1491" s="2" t="s">
        <v>280</v>
      </c>
    </row>
    <row r="1492" ht="15.75" customHeight="1">
      <c r="H1492" s="2" t="s">
        <v>7655</v>
      </c>
      <c r="I1492" s="2" t="s">
        <v>7656</v>
      </c>
      <c r="J1492" s="2" t="s">
        <v>7657</v>
      </c>
      <c r="K1492" s="2" t="s">
        <v>1467</v>
      </c>
    </row>
    <row r="1493" ht="15.75" customHeight="1">
      <c r="H1493" s="2" t="s">
        <v>7658</v>
      </c>
      <c r="I1493" s="2" t="s">
        <v>7659</v>
      </c>
      <c r="J1493" s="2" t="s">
        <v>7659</v>
      </c>
      <c r="K1493" s="2" t="s">
        <v>874</v>
      </c>
    </row>
    <row r="1494" ht="15.75" customHeight="1">
      <c r="H1494" s="2" t="s">
        <v>7660</v>
      </c>
      <c r="I1494" s="2" t="s">
        <v>7661</v>
      </c>
      <c r="J1494" s="2" t="s">
        <v>7661</v>
      </c>
      <c r="K1494" s="2" t="s">
        <v>1288</v>
      </c>
    </row>
    <row r="1495" ht="15.75" customHeight="1">
      <c r="H1495" s="2" t="s">
        <v>7662</v>
      </c>
      <c r="I1495" s="2" t="s">
        <v>7663</v>
      </c>
      <c r="J1495" s="2" t="s">
        <v>7663</v>
      </c>
      <c r="K1495" s="2" t="s">
        <v>1117</v>
      </c>
    </row>
    <row r="1496" ht="15.75" customHeight="1">
      <c r="H1496" s="2" t="s">
        <v>7664</v>
      </c>
      <c r="I1496" s="2" t="s">
        <v>7665</v>
      </c>
      <c r="J1496" s="2" t="s">
        <v>7666</v>
      </c>
      <c r="K1496" s="2" t="s">
        <v>1368</v>
      </c>
    </row>
    <row r="1497" ht="15.75" customHeight="1">
      <c r="H1497" s="2" t="s">
        <v>7667</v>
      </c>
      <c r="I1497" s="2" t="s">
        <v>7668</v>
      </c>
      <c r="J1497" s="2" t="s">
        <v>7668</v>
      </c>
      <c r="K1497" s="2" t="s">
        <v>958</v>
      </c>
    </row>
    <row r="1498" ht="15.75" customHeight="1">
      <c r="H1498" s="2" t="s">
        <v>7669</v>
      </c>
      <c r="I1498" s="2" t="s">
        <v>7670</v>
      </c>
      <c r="J1498" s="2" t="s">
        <v>7670</v>
      </c>
      <c r="K1498" s="2" t="s">
        <v>963</v>
      </c>
    </row>
    <row r="1499" ht="15.75" customHeight="1">
      <c r="H1499" s="2" t="s">
        <v>7671</v>
      </c>
      <c r="I1499" s="2" t="s">
        <v>7672</v>
      </c>
      <c r="J1499" s="2" t="s">
        <v>7672</v>
      </c>
      <c r="K1499" s="2" t="s">
        <v>996</v>
      </c>
    </row>
    <row r="1500" ht="15.75" customHeight="1">
      <c r="H1500" s="2" t="s">
        <v>7673</v>
      </c>
      <c r="I1500" s="2" t="s">
        <v>7674</v>
      </c>
      <c r="J1500" s="2" t="s">
        <v>7674</v>
      </c>
      <c r="K1500" s="2" t="s">
        <v>880</v>
      </c>
    </row>
    <row r="1501" ht="15.75" customHeight="1">
      <c r="H1501" s="2" t="s">
        <v>7675</v>
      </c>
      <c r="I1501" s="2" t="s">
        <v>7676</v>
      </c>
      <c r="J1501" s="2" t="s">
        <v>7676</v>
      </c>
      <c r="K1501" s="2" t="s">
        <v>886</v>
      </c>
    </row>
    <row r="1502" ht="15.75" customHeight="1">
      <c r="H1502" s="2" t="s">
        <v>7677</v>
      </c>
      <c r="I1502" s="2" t="s">
        <v>7678</v>
      </c>
      <c r="J1502" s="2" t="s">
        <v>7679</v>
      </c>
      <c r="K1502" s="2" t="s">
        <v>970</v>
      </c>
    </row>
    <row r="1503" ht="15.75" customHeight="1">
      <c r="H1503" s="2" t="s">
        <v>7680</v>
      </c>
      <c r="I1503" s="2" t="s">
        <v>7681</v>
      </c>
      <c r="J1503" s="2" t="s">
        <v>7681</v>
      </c>
      <c r="K1503" s="2" t="s">
        <v>1007</v>
      </c>
    </row>
    <row r="1504" ht="15.75" customHeight="1">
      <c r="H1504" s="2" t="s">
        <v>7682</v>
      </c>
      <c r="I1504" s="2" t="s">
        <v>7683</v>
      </c>
      <c r="J1504" s="2" t="s">
        <v>7683</v>
      </c>
      <c r="K1504" s="2" t="s">
        <v>896</v>
      </c>
    </row>
    <row r="1505" ht="15.75" customHeight="1">
      <c r="H1505" s="2" t="s">
        <v>7684</v>
      </c>
      <c r="I1505" s="2" t="s">
        <v>282</v>
      </c>
      <c r="J1505" s="2" t="s">
        <v>282</v>
      </c>
      <c r="K1505" s="2" t="s">
        <v>283</v>
      </c>
    </row>
    <row r="1506" ht="15.75" customHeight="1">
      <c r="H1506" s="2" t="s">
        <v>7685</v>
      </c>
      <c r="I1506" s="2" t="s">
        <v>7686</v>
      </c>
      <c r="J1506" s="2" t="s">
        <v>7686</v>
      </c>
      <c r="K1506" s="2" t="s">
        <v>1508</v>
      </c>
    </row>
    <row r="1507" ht="15.75" customHeight="1">
      <c r="F1507" s="2" t="s">
        <v>284</v>
      </c>
      <c r="H1507" s="2" t="s">
        <v>7687</v>
      </c>
      <c r="I1507" s="2" t="s">
        <v>7688</v>
      </c>
      <c r="J1507" s="2" t="s">
        <v>7689</v>
      </c>
      <c r="K1507" s="2" t="s">
        <v>7690</v>
      </c>
      <c r="L1507" s="2" t="s">
        <v>6101</v>
      </c>
      <c r="M1507" s="2" t="s">
        <v>7691</v>
      </c>
      <c r="N1507" s="2" t="s">
        <v>7692</v>
      </c>
      <c r="O1507" s="2" t="s">
        <v>869</v>
      </c>
      <c r="P1507" s="2" t="s">
        <v>870</v>
      </c>
    </row>
    <row r="1508" ht="15.75" customHeight="1">
      <c r="H1508" s="2" t="s">
        <v>7693</v>
      </c>
      <c r="I1508" s="2" t="s">
        <v>7694</v>
      </c>
      <c r="J1508" s="2" t="s">
        <v>7695</v>
      </c>
      <c r="K1508" s="2" t="s">
        <v>7696</v>
      </c>
      <c r="L1508" s="2" t="s">
        <v>6101</v>
      </c>
      <c r="M1508" s="2" t="s">
        <v>7697</v>
      </c>
      <c r="N1508" s="2" t="s">
        <v>7698</v>
      </c>
      <c r="O1508" s="2" t="s">
        <v>869</v>
      </c>
      <c r="P1508" s="2" t="s">
        <v>870</v>
      </c>
    </row>
    <row r="1509" ht="15.75" customHeight="1">
      <c r="H1509" s="2" t="s">
        <v>7699</v>
      </c>
      <c r="I1509" s="2" t="s">
        <v>7700</v>
      </c>
      <c r="J1509" s="2" t="s">
        <v>7701</v>
      </c>
      <c r="K1509" s="2" t="s">
        <v>7702</v>
      </c>
      <c r="L1509" s="2" t="s">
        <v>6101</v>
      </c>
      <c r="M1509" s="2" t="s">
        <v>7703</v>
      </c>
      <c r="N1509" s="2" t="s">
        <v>7704</v>
      </c>
      <c r="O1509" s="2" t="s">
        <v>869</v>
      </c>
      <c r="P1509" s="2" t="s">
        <v>870</v>
      </c>
    </row>
    <row r="1510" ht="15.75" customHeight="1">
      <c r="H1510" s="2" t="s">
        <v>7705</v>
      </c>
      <c r="I1510" s="2" t="s">
        <v>7706</v>
      </c>
      <c r="J1510" s="2" t="s">
        <v>7707</v>
      </c>
      <c r="K1510" s="2" t="s">
        <v>7708</v>
      </c>
      <c r="L1510" s="2" t="s">
        <v>6101</v>
      </c>
      <c r="M1510" s="2" t="s">
        <v>7709</v>
      </c>
      <c r="N1510" s="2" t="s">
        <v>7710</v>
      </c>
      <c r="O1510" s="2" t="s">
        <v>7711</v>
      </c>
      <c r="P1510" s="2" t="s">
        <v>869</v>
      </c>
    </row>
    <row r="1511" ht="15.75" customHeight="1">
      <c r="H1511" s="2" t="s">
        <v>7712</v>
      </c>
      <c r="I1511" s="2" t="s">
        <v>7713</v>
      </c>
      <c r="J1511" s="2" t="s">
        <v>7714</v>
      </c>
      <c r="K1511" s="2" t="s">
        <v>7715</v>
      </c>
      <c r="L1511" s="2" t="s">
        <v>6101</v>
      </c>
      <c r="M1511" s="2" t="s">
        <v>7716</v>
      </c>
      <c r="N1511" s="2" t="s">
        <v>7717</v>
      </c>
      <c r="O1511" s="2" t="s">
        <v>7718</v>
      </c>
      <c r="P1511" s="2" t="s">
        <v>869</v>
      </c>
    </row>
    <row r="1512" ht="15.75" customHeight="1">
      <c r="H1512" s="2" t="s">
        <v>7719</v>
      </c>
      <c r="I1512" s="2" t="s">
        <v>7720</v>
      </c>
      <c r="J1512" s="2" t="s">
        <v>7721</v>
      </c>
      <c r="K1512" s="2" t="s">
        <v>7722</v>
      </c>
      <c r="L1512" s="2" t="s">
        <v>6101</v>
      </c>
      <c r="M1512" s="2" t="s">
        <v>7723</v>
      </c>
      <c r="N1512" s="2" t="s">
        <v>7724</v>
      </c>
      <c r="O1512" s="2" t="s">
        <v>869</v>
      </c>
      <c r="P1512" s="2" t="s">
        <v>870</v>
      </c>
    </row>
    <row r="1513" ht="15.75" customHeight="1">
      <c r="H1513" s="2" t="s">
        <v>7725</v>
      </c>
      <c r="I1513" s="2" t="s">
        <v>1000</v>
      </c>
      <c r="J1513" s="2" t="s">
        <v>1001</v>
      </c>
      <c r="K1513" s="2" t="s">
        <v>7726</v>
      </c>
      <c r="L1513" s="2" t="s">
        <v>6101</v>
      </c>
      <c r="M1513" s="2" t="s">
        <v>7727</v>
      </c>
      <c r="N1513" s="2" t="s">
        <v>7728</v>
      </c>
      <c r="O1513" s="2" t="s">
        <v>869</v>
      </c>
      <c r="P1513" s="2" t="s">
        <v>870</v>
      </c>
    </row>
    <row r="1514" ht="15.75" customHeight="1">
      <c r="H1514" s="2" t="s">
        <v>7729</v>
      </c>
      <c r="I1514" s="2" t="s">
        <v>7730</v>
      </c>
      <c r="J1514" s="2" t="s">
        <v>7731</v>
      </c>
      <c r="K1514" s="2" t="s">
        <v>7732</v>
      </c>
      <c r="L1514" s="2" t="s">
        <v>6101</v>
      </c>
      <c r="M1514" s="2" t="s">
        <v>7733</v>
      </c>
      <c r="N1514" s="2" t="s">
        <v>7734</v>
      </c>
      <c r="O1514" s="2" t="s">
        <v>869</v>
      </c>
      <c r="P1514" s="2" t="s">
        <v>870</v>
      </c>
    </row>
    <row r="1515" ht="15.75" customHeight="1">
      <c r="H1515" s="2" t="s">
        <v>7735</v>
      </c>
      <c r="I1515" s="2" t="s">
        <v>2162</v>
      </c>
      <c r="J1515" s="2" t="s">
        <v>2163</v>
      </c>
      <c r="K1515" s="2" t="s">
        <v>7736</v>
      </c>
      <c r="L1515" s="2" t="s">
        <v>6101</v>
      </c>
      <c r="M1515" s="2" t="s">
        <v>7737</v>
      </c>
      <c r="N1515" s="2" t="s">
        <v>7738</v>
      </c>
      <c r="O1515" s="2" t="s">
        <v>869</v>
      </c>
      <c r="P1515" s="2" t="s">
        <v>870</v>
      </c>
    </row>
    <row r="1516" ht="15.75" customHeight="1">
      <c r="H1516" s="2" t="s">
        <v>7739</v>
      </c>
      <c r="I1516" s="2" t="s">
        <v>7740</v>
      </c>
      <c r="J1516" s="2" t="s">
        <v>7741</v>
      </c>
      <c r="K1516" s="2" t="s">
        <v>7742</v>
      </c>
      <c r="L1516" s="2" t="s">
        <v>6101</v>
      </c>
      <c r="M1516" s="2" t="s">
        <v>7743</v>
      </c>
      <c r="N1516" s="2" t="s">
        <v>7744</v>
      </c>
      <c r="O1516" s="2" t="s">
        <v>869</v>
      </c>
      <c r="P1516" s="2" t="s">
        <v>870</v>
      </c>
    </row>
    <row r="1517" ht="15.75" customHeight="1">
      <c r="H1517" s="2" t="s">
        <v>7745</v>
      </c>
      <c r="I1517" s="2" t="s">
        <v>2180</v>
      </c>
      <c r="J1517" s="2" t="s">
        <v>2181</v>
      </c>
      <c r="K1517" s="2" t="s">
        <v>7746</v>
      </c>
      <c r="L1517" s="2" t="s">
        <v>6101</v>
      </c>
      <c r="M1517" s="2" t="s">
        <v>7747</v>
      </c>
      <c r="N1517" s="2" t="s">
        <v>7748</v>
      </c>
      <c r="O1517" s="2" t="s">
        <v>869</v>
      </c>
      <c r="P1517" s="2" t="s">
        <v>870</v>
      </c>
    </row>
    <row r="1518" ht="15.75" customHeight="1">
      <c r="H1518" s="2" t="s">
        <v>7749</v>
      </c>
      <c r="I1518" s="2" t="s">
        <v>7750</v>
      </c>
      <c r="J1518" s="2" t="s">
        <v>7751</v>
      </c>
      <c r="K1518" s="2" t="s">
        <v>7752</v>
      </c>
      <c r="L1518" s="2" t="s">
        <v>6101</v>
      </c>
      <c r="M1518" s="2" t="s">
        <v>7753</v>
      </c>
      <c r="N1518" s="2" t="s">
        <v>7754</v>
      </c>
      <c r="O1518" s="2" t="s">
        <v>869</v>
      </c>
      <c r="P1518" s="2" t="s">
        <v>870</v>
      </c>
    </row>
    <row r="1519" ht="15.75" customHeight="1">
      <c r="H1519" s="2" t="s">
        <v>7755</v>
      </c>
      <c r="I1519" s="2" t="s">
        <v>7756</v>
      </c>
      <c r="J1519" s="2" t="s">
        <v>7757</v>
      </c>
      <c r="K1519" s="2" t="s">
        <v>7758</v>
      </c>
      <c r="L1519" s="2" t="s">
        <v>6101</v>
      </c>
      <c r="M1519" s="2" t="s">
        <v>7759</v>
      </c>
      <c r="N1519" s="2" t="s">
        <v>7760</v>
      </c>
      <c r="O1519" s="2" t="s">
        <v>869</v>
      </c>
      <c r="P1519" s="2" t="s">
        <v>870</v>
      </c>
    </row>
    <row r="1520" ht="15.75" customHeight="1">
      <c r="H1520" s="2" t="s">
        <v>7761</v>
      </c>
      <c r="I1520" s="2" t="s">
        <v>409</v>
      </c>
      <c r="J1520" s="2" t="s">
        <v>410</v>
      </c>
      <c r="K1520" s="2" t="s">
        <v>7762</v>
      </c>
      <c r="L1520" s="2" t="s">
        <v>6101</v>
      </c>
      <c r="M1520" s="2" t="s">
        <v>7763</v>
      </c>
      <c r="N1520" s="2" t="s">
        <v>7764</v>
      </c>
      <c r="O1520" s="2" t="s">
        <v>869</v>
      </c>
      <c r="P1520" s="2" t="s">
        <v>870</v>
      </c>
    </row>
    <row r="1521" ht="15.75" customHeight="1">
      <c r="H1521" s="2" t="s">
        <v>7765</v>
      </c>
      <c r="I1521" s="2" t="s">
        <v>7766</v>
      </c>
      <c r="J1521" s="2" t="s">
        <v>7767</v>
      </c>
      <c r="K1521" s="2" t="s">
        <v>7768</v>
      </c>
      <c r="L1521" s="2" t="s">
        <v>6101</v>
      </c>
      <c r="M1521" s="2" t="s">
        <v>7769</v>
      </c>
      <c r="N1521" s="2" t="s">
        <v>7770</v>
      </c>
      <c r="O1521" s="2" t="s">
        <v>7771</v>
      </c>
      <c r="P1521" s="2" t="s">
        <v>869</v>
      </c>
    </row>
    <row r="1522" ht="15.75" customHeight="1">
      <c r="H1522" s="2" t="s">
        <v>7772</v>
      </c>
      <c r="I1522" s="2" t="s">
        <v>5459</v>
      </c>
      <c r="J1522" s="2" t="s">
        <v>5460</v>
      </c>
      <c r="K1522" s="2" t="s">
        <v>7773</v>
      </c>
      <c r="L1522" s="2" t="s">
        <v>6101</v>
      </c>
      <c r="M1522" s="2" t="s">
        <v>7774</v>
      </c>
      <c r="N1522" s="2" t="s">
        <v>7775</v>
      </c>
      <c r="O1522" s="2" t="s">
        <v>869</v>
      </c>
      <c r="P1522" s="2" t="s">
        <v>870</v>
      </c>
    </row>
    <row r="1523" ht="15.75" customHeight="1">
      <c r="H1523" s="2" t="s">
        <v>7776</v>
      </c>
      <c r="I1523" s="2" t="s">
        <v>7777</v>
      </c>
      <c r="J1523" s="2" t="s">
        <v>7778</v>
      </c>
      <c r="K1523" s="2" t="s">
        <v>7779</v>
      </c>
      <c r="L1523" s="2" t="s">
        <v>6101</v>
      </c>
      <c r="M1523" s="2" t="s">
        <v>7780</v>
      </c>
      <c r="N1523" s="2" t="s">
        <v>7781</v>
      </c>
      <c r="O1523" s="2" t="s">
        <v>869</v>
      </c>
      <c r="P1523" s="2" t="s">
        <v>870</v>
      </c>
    </row>
    <row r="1524" ht="15.75" customHeight="1">
      <c r="H1524" s="2" t="s">
        <v>7782</v>
      </c>
      <c r="I1524" s="2" t="s">
        <v>7783</v>
      </c>
      <c r="J1524" s="2" t="s">
        <v>7784</v>
      </c>
      <c r="K1524" s="2" t="s">
        <v>7785</v>
      </c>
      <c r="L1524" s="2" t="s">
        <v>6101</v>
      </c>
      <c r="M1524" s="2" t="s">
        <v>7786</v>
      </c>
      <c r="N1524" s="2" t="s">
        <v>7787</v>
      </c>
      <c r="O1524" s="2" t="s">
        <v>869</v>
      </c>
      <c r="P1524" s="2" t="s">
        <v>870</v>
      </c>
    </row>
    <row r="1525" ht="15.75" customHeight="1">
      <c r="H1525" s="2" t="s">
        <v>7788</v>
      </c>
      <c r="I1525" s="2" t="s">
        <v>432</v>
      </c>
      <c r="J1525" s="2" t="s">
        <v>433</v>
      </c>
      <c r="K1525" s="2" t="s">
        <v>7789</v>
      </c>
      <c r="L1525" s="2" t="s">
        <v>6101</v>
      </c>
      <c r="M1525" s="2" t="s">
        <v>7790</v>
      </c>
      <c r="N1525" s="2" t="s">
        <v>7791</v>
      </c>
      <c r="O1525" s="2" t="s">
        <v>869</v>
      </c>
      <c r="P1525" s="2" t="s">
        <v>870</v>
      </c>
    </row>
    <row r="1526" ht="15.75" customHeight="1">
      <c r="H1526" s="2" t="s">
        <v>7792</v>
      </c>
      <c r="I1526" s="2" t="s">
        <v>7793</v>
      </c>
      <c r="J1526" s="2" t="s">
        <v>7794</v>
      </c>
      <c r="K1526" s="2" t="s">
        <v>7795</v>
      </c>
      <c r="L1526" s="2" t="s">
        <v>6101</v>
      </c>
      <c r="M1526" s="2" t="s">
        <v>7796</v>
      </c>
      <c r="N1526" s="2" t="s">
        <v>7797</v>
      </c>
      <c r="O1526" s="2" t="s">
        <v>869</v>
      </c>
      <c r="P1526" s="2" t="s">
        <v>870</v>
      </c>
    </row>
    <row r="1527" ht="15.75" customHeight="1">
      <c r="H1527" s="2" t="s">
        <v>7798</v>
      </c>
      <c r="I1527" s="2" t="s">
        <v>2331</v>
      </c>
      <c r="J1527" s="2" t="s">
        <v>2332</v>
      </c>
      <c r="K1527" s="2" t="s">
        <v>7799</v>
      </c>
      <c r="L1527" s="2" t="s">
        <v>6101</v>
      </c>
      <c r="M1527" s="2" t="s">
        <v>7800</v>
      </c>
      <c r="N1527" s="2" t="s">
        <v>7801</v>
      </c>
      <c r="O1527" s="2" t="s">
        <v>869</v>
      </c>
      <c r="P1527" s="2" t="s">
        <v>870</v>
      </c>
    </row>
    <row r="1528" ht="15.75" customHeight="1">
      <c r="H1528" s="2" t="s">
        <v>7802</v>
      </c>
      <c r="I1528" s="2" t="s">
        <v>485</v>
      </c>
      <c r="J1528" s="2" t="s">
        <v>486</v>
      </c>
      <c r="K1528" s="2" t="s">
        <v>7803</v>
      </c>
      <c r="L1528" s="2" t="s">
        <v>7804</v>
      </c>
      <c r="M1528" s="2" t="s">
        <v>7805</v>
      </c>
      <c r="N1528" s="2" t="s">
        <v>7806</v>
      </c>
      <c r="O1528" s="2" t="s">
        <v>7807</v>
      </c>
      <c r="P1528" s="2" t="s">
        <v>869</v>
      </c>
    </row>
    <row r="1529" ht="15.75" customHeight="1">
      <c r="H1529" s="2" t="s">
        <v>7808</v>
      </c>
      <c r="I1529" s="2" t="s">
        <v>510</v>
      </c>
      <c r="J1529" s="2" t="s">
        <v>511</v>
      </c>
      <c r="K1529" s="2" t="s">
        <v>7809</v>
      </c>
      <c r="L1529" s="2" t="s">
        <v>6101</v>
      </c>
      <c r="M1529" s="2" t="s">
        <v>7810</v>
      </c>
      <c r="N1529" s="2" t="s">
        <v>7811</v>
      </c>
      <c r="O1529" s="2" t="s">
        <v>869</v>
      </c>
      <c r="P1529" s="2" t="s">
        <v>870</v>
      </c>
    </row>
    <row r="1530" ht="15.75" customHeight="1">
      <c r="H1530" s="2" t="s">
        <v>7812</v>
      </c>
      <c r="I1530" s="2" t="s">
        <v>7813</v>
      </c>
      <c r="J1530" s="2" t="s">
        <v>7814</v>
      </c>
      <c r="K1530" s="2" t="s">
        <v>7815</v>
      </c>
      <c r="L1530" s="2" t="s">
        <v>6101</v>
      </c>
      <c r="M1530" s="2" t="s">
        <v>7816</v>
      </c>
      <c r="N1530" s="2" t="s">
        <v>7817</v>
      </c>
      <c r="O1530" s="2" t="s">
        <v>869</v>
      </c>
      <c r="P1530" s="2" t="s">
        <v>870</v>
      </c>
    </row>
    <row r="1531" ht="15.75" customHeight="1">
      <c r="H1531" s="2" t="s">
        <v>7818</v>
      </c>
      <c r="I1531" s="2" t="s">
        <v>7819</v>
      </c>
      <c r="J1531" s="2" t="s">
        <v>7820</v>
      </c>
      <c r="K1531" s="2" t="s">
        <v>7821</v>
      </c>
      <c r="L1531" s="2" t="s">
        <v>6101</v>
      </c>
      <c r="M1531" s="2" t="s">
        <v>7822</v>
      </c>
      <c r="N1531" s="2" t="s">
        <v>7823</v>
      </c>
      <c r="O1531" s="2" t="s">
        <v>869</v>
      </c>
      <c r="P1531" s="2" t="s">
        <v>870</v>
      </c>
    </row>
    <row r="1532" ht="15.75" customHeight="1">
      <c r="H1532" s="2" t="s">
        <v>7824</v>
      </c>
      <c r="I1532" s="2" t="s">
        <v>7825</v>
      </c>
      <c r="J1532" s="2" t="s">
        <v>7826</v>
      </c>
      <c r="K1532" s="2" t="s">
        <v>7827</v>
      </c>
      <c r="L1532" s="2" t="s">
        <v>6101</v>
      </c>
      <c r="M1532" s="2" t="s">
        <v>7828</v>
      </c>
      <c r="N1532" s="2" t="s">
        <v>7829</v>
      </c>
      <c r="O1532" s="2" t="s">
        <v>869</v>
      </c>
      <c r="P1532" s="2" t="s">
        <v>870</v>
      </c>
    </row>
    <row r="1533" ht="15.75" customHeight="1">
      <c r="H1533" s="2" t="s">
        <v>7830</v>
      </c>
      <c r="I1533" s="2" t="s">
        <v>7831</v>
      </c>
      <c r="J1533" s="2" t="s">
        <v>7832</v>
      </c>
      <c r="K1533" s="2" t="s">
        <v>7833</v>
      </c>
      <c r="L1533" s="2" t="s">
        <v>6101</v>
      </c>
      <c r="M1533" s="2" t="s">
        <v>7834</v>
      </c>
      <c r="N1533" s="2" t="s">
        <v>7835</v>
      </c>
      <c r="O1533" s="2" t="s">
        <v>869</v>
      </c>
      <c r="P1533" s="2" t="s">
        <v>870</v>
      </c>
    </row>
    <row r="1534" ht="15.75" customHeight="1">
      <c r="H1534" s="2" t="s">
        <v>7836</v>
      </c>
      <c r="I1534" s="2" t="s">
        <v>7837</v>
      </c>
      <c r="J1534" s="2" t="s">
        <v>7838</v>
      </c>
      <c r="K1534" s="2" t="s">
        <v>7839</v>
      </c>
      <c r="L1534" s="2" t="s">
        <v>6101</v>
      </c>
      <c r="M1534" s="2" t="s">
        <v>7840</v>
      </c>
      <c r="N1534" s="2" t="s">
        <v>7841</v>
      </c>
      <c r="O1534" s="2" t="s">
        <v>869</v>
      </c>
      <c r="P1534" s="2" t="s">
        <v>870</v>
      </c>
    </row>
    <row r="1535" ht="15.75" customHeight="1">
      <c r="H1535" s="2" t="s">
        <v>7842</v>
      </c>
      <c r="I1535" s="2" t="s">
        <v>526</v>
      </c>
      <c r="J1535" s="2" t="s">
        <v>527</v>
      </c>
      <c r="K1535" s="2" t="s">
        <v>7843</v>
      </c>
      <c r="L1535" s="2" t="s">
        <v>6101</v>
      </c>
      <c r="M1535" s="2" t="s">
        <v>7844</v>
      </c>
      <c r="N1535" s="2" t="s">
        <v>7845</v>
      </c>
      <c r="O1535" s="2" t="s">
        <v>869</v>
      </c>
      <c r="P1535" s="2" t="s">
        <v>870</v>
      </c>
    </row>
    <row r="1536" ht="15.75" customHeight="1">
      <c r="F1536" s="2" t="s">
        <v>534</v>
      </c>
      <c r="H1536" s="2" t="s">
        <v>7846</v>
      </c>
      <c r="I1536" s="2" t="s">
        <v>536</v>
      </c>
      <c r="J1536" s="2" t="s">
        <v>537</v>
      </c>
      <c r="K1536" s="2" t="s">
        <v>538</v>
      </c>
    </row>
    <row r="1537" ht="15.75" customHeight="1">
      <c r="F1537" s="2" t="s">
        <v>2597</v>
      </c>
      <c r="H1537" s="2" t="s">
        <v>7847</v>
      </c>
      <c r="I1537" s="2" t="s">
        <v>7848</v>
      </c>
      <c r="J1537" s="2" t="s">
        <v>7849</v>
      </c>
      <c r="K1537" s="2" t="s">
        <v>7850</v>
      </c>
      <c r="L1537" s="2" t="s">
        <v>6101</v>
      </c>
      <c r="M1537" s="2" t="s">
        <v>7851</v>
      </c>
      <c r="N1537" s="2" t="s">
        <v>7852</v>
      </c>
      <c r="O1537" s="2" t="s">
        <v>869</v>
      </c>
      <c r="P1537" s="2" t="s">
        <v>870</v>
      </c>
    </row>
    <row r="1538" ht="15.75" customHeight="1">
      <c r="H1538" s="2" t="s">
        <v>7853</v>
      </c>
      <c r="I1538" s="2" t="s">
        <v>7854</v>
      </c>
      <c r="J1538" s="2" t="s">
        <v>7855</v>
      </c>
      <c r="K1538" s="2" t="s">
        <v>7856</v>
      </c>
      <c r="L1538" s="2" t="s">
        <v>6101</v>
      </c>
      <c r="M1538" s="2" t="s">
        <v>7857</v>
      </c>
      <c r="N1538" s="2" t="s">
        <v>7858</v>
      </c>
      <c r="O1538" s="2" t="s">
        <v>869</v>
      </c>
      <c r="P1538" s="2" t="s">
        <v>870</v>
      </c>
    </row>
    <row r="1539" ht="15.75" customHeight="1">
      <c r="H1539" s="2" t="s">
        <v>7859</v>
      </c>
      <c r="I1539" s="2" t="s">
        <v>7860</v>
      </c>
      <c r="J1539" s="2" t="s">
        <v>7861</v>
      </c>
      <c r="K1539" s="2" t="s">
        <v>7862</v>
      </c>
      <c r="L1539" s="2" t="s">
        <v>6101</v>
      </c>
      <c r="M1539" s="2" t="s">
        <v>7863</v>
      </c>
      <c r="N1539" s="2" t="s">
        <v>7864</v>
      </c>
      <c r="O1539" s="2" t="s">
        <v>869</v>
      </c>
      <c r="P1539" s="2" t="s">
        <v>870</v>
      </c>
    </row>
    <row r="1540" ht="15.75" customHeight="1">
      <c r="H1540" s="2" t="s">
        <v>7865</v>
      </c>
      <c r="I1540" s="2" t="s">
        <v>7866</v>
      </c>
      <c r="J1540" s="2" t="s">
        <v>7867</v>
      </c>
      <c r="K1540" s="2" t="s">
        <v>7868</v>
      </c>
      <c r="L1540" s="2" t="s">
        <v>6101</v>
      </c>
      <c r="M1540" s="2" t="s">
        <v>7869</v>
      </c>
      <c r="N1540" s="2" t="s">
        <v>7870</v>
      </c>
      <c r="O1540" s="2" t="s">
        <v>7871</v>
      </c>
      <c r="P1540" s="2" t="s">
        <v>869</v>
      </c>
    </row>
    <row r="1541" ht="15.75" customHeight="1">
      <c r="H1541" s="2" t="s">
        <v>7872</v>
      </c>
      <c r="I1541" s="2" t="s">
        <v>7873</v>
      </c>
      <c r="J1541" s="2" t="s">
        <v>7874</v>
      </c>
      <c r="K1541" s="2" t="s">
        <v>7875</v>
      </c>
      <c r="L1541" s="2" t="s">
        <v>6101</v>
      </c>
      <c r="M1541" s="2" t="s">
        <v>7876</v>
      </c>
      <c r="N1541" s="2" t="s">
        <v>7877</v>
      </c>
      <c r="O1541" s="2" t="s">
        <v>869</v>
      </c>
      <c r="P1541" s="2" t="s">
        <v>870</v>
      </c>
    </row>
    <row r="1542" ht="15.75" customHeight="1">
      <c r="H1542" s="2" t="s">
        <v>7878</v>
      </c>
      <c r="I1542" s="2" t="s">
        <v>2604</v>
      </c>
      <c r="J1542" s="2" t="s">
        <v>2605</v>
      </c>
      <c r="K1542" s="2" t="s">
        <v>7879</v>
      </c>
      <c r="L1542" s="2" t="s">
        <v>6101</v>
      </c>
      <c r="M1542" s="2" t="s">
        <v>7880</v>
      </c>
      <c r="N1542" s="2" t="s">
        <v>7881</v>
      </c>
      <c r="O1542" s="2" t="s">
        <v>869</v>
      </c>
      <c r="P1542" s="2" t="s">
        <v>870</v>
      </c>
    </row>
    <row r="1543" ht="15.75" customHeight="1">
      <c r="H1543" s="2" t="s">
        <v>7882</v>
      </c>
      <c r="I1543" s="2" t="s">
        <v>7883</v>
      </c>
      <c r="J1543" s="2" t="s">
        <v>7884</v>
      </c>
      <c r="K1543" s="2" t="s">
        <v>7885</v>
      </c>
      <c r="L1543" s="2" t="s">
        <v>6101</v>
      </c>
      <c r="M1543" s="2" t="s">
        <v>7886</v>
      </c>
      <c r="N1543" s="2" t="s">
        <v>7887</v>
      </c>
      <c r="O1543" s="2" t="s">
        <v>869</v>
      </c>
      <c r="P1543" s="2" t="s">
        <v>870</v>
      </c>
    </row>
    <row r="1544" ht="15.75" customHeight="1">
      <c r="H1544" s="2" t="s">
        <v>7888</v>
      </c>
      <c r="I1544" s="2" t="s">
        <v>2609</v>
      </c>
      <c r="J1544" s="2" t="s">
        <v>2610</v>
      </c>
      <c r="K1544" s="2" t="s">
        <v>7889</v>
      </c>
      <c r="L1544" s="2" t="s">
        <v>6101</v>
      </c>
      <c r="M1544" s="2" t="s">
        <v>7890</v>
      </c>
      <c r="N1544" s="2" t="s">
        <v>7891</v>
      </c>
      <c r="O1544" s="2" t="s">
        <v>869</v>
      </c>
      <c r="P1544" s="2" t="s">
        <v>870</v>
      </c>
    </row>
    <row r="1545" ht="15.75" customHeight="1">
      <c r="H1545" s="2" t="s">
        <v>7892</v>
      </c>
      <c r="I1545" s="2" t="s">
        <v>7893</v>
      </c>
      <c r="J1545" s="2" t="s">
        <v>7894</v>
      </c>
      <c r="K1545" s="2" t="s">
        <v>7895</v>
      </c>
      <c r="L1545" s="2" t="s">
        <v>6101</v>
      </c>
      <c r="M1545" s="2" t="s">
        <v>7896</v>
      </c>
      <c r="N1545" s="2" t="s">
        <v>7897</v>
      </c>
      <c r="O1545" s="2" t="s">
        <v>7898</v>
      </c>
      <c r="P1545" s="2" t="s">
        <v>869</v>
      </c>
    </row>
    <row r="1546" ht="15.75" customHeight="1">
      <c r="H1546" s="2" t="s">
        <v>7899</v>
      </c>
      <c r="I1546" s="2" t="s">
        <v>7900</v>
      </c>
      <c r="J1546" s="2" t="s">
        <v>7901</v>
      </c>
      <c r="K1546" s="2" t="s">
        <v>7902</v>
      </c>
      <c r="L1546" s="2" t="s">
        <v>6101</v>
      </c>
      <c r="M1546" s="2" t="s">
        <v>7903</v>
      </c>
      <c r="N1546" s="2" t="s">
        <v>7904</v>
      </c>
      <c r="O1546" s="2" t="s">
        <v>869</v>
      </c>
      <c r="P1546" s="2" t="s">
        <v>870</v>
      </c>
    </row>
    <row r="1547" ht="15.75" customHeight="1">
      <c r="H1547" s="2" t="s">
        <v>7905</v>
      </c>
      <c r="I1547" s="2" t="s">
        <v>2624</v>
      </c>
      <c r="J1547" s="2" t="s">
        <v>2625</v>
      </c>
      <c r="K1547" s="2" t="s">
        <v>7906</v>
      </c>
      <c r="L1547" s="2" t="s">
        <v>6101</v>
      </c>
      <c r="M1547" s="2" t="s">
        <v>7907</v>
      </c>
      <c r="N1547" s="2" t="s">
        <v>7908</v>
      </c>
      <c r="O1547" s="2" t="s">
        <v>869</v>
      </c>
      <c r="P1547" s="2" t="s">
        <v>870</v>
      </c>
    </row>
    <row r="1548" ht="15.75" customHeight="1">
      <c r="H1548" s="2" t="s">
        <v>7909</v>
      </c>
      <c r="I1548" s="2" t="s">
        <v>7910</v>
      </c>
      <c r="J1548" s="2" t="s">
        <v>7911</v>
      </c>
      <c r="K1548" s="2" t="s">
        <v>7912</v>
      </c>
      <c r="L1548" s="2" t="s">
        <v>6101</v>
      </c>
      <c r="M1548" s="2" t="s">
        <v>7913</v>
      </c>
      <c r="N1548" s="2" t="s">
        <v>7914</v>
      </c>
      <c r="O1548" s="2" t="s">
        <v>7915</v>
      </c>
      <c r="P1548" s="2" t="s">
        <v>869</v>
      </c>
    </row>
    <row r="1549" ht="15.75" customHeight="1">
      <c r="H1549" s="2" t="s">
        <v>7916</v>
      </c>
      <c r="I1549" s="2" t="s">
        <v>7917</v>
      </c>
      <c r="J1549" s="2" t="s">
        <v>7918</v>
      </c>
      <c r="K1549" s="2" t="s">
        <v>7919</v>
      </c>
      <c r="L1549" s="2" t="s">
        <v>6101</v>
      </c>
      <c r="M1549" s="2" t="s">
        <v>7920</v>
      </c>
      <c r="N1549" s="2" t="s">
        <v>7921</v>
      </c>
      <c r="O1549" s="2" t="s">
        <v>7922</v>
      </c>
      <c r="P1549" s="2" t="s">
        <v>869</v>
      </c>
    </row>
    <row r="1550" ht="15.75" customHeight="1">
      <c r="H1550" s="2" t="s">
        <v>7923</v>
      </c>
      <c r="I1550" s="2" t="s">
        <v>7924</v>
      </c>
      <c r="J1550" s="2" t="s">
        <v>7925</v>
      </c>
      <c r="K1550" s="2" t="s">
        <v>7926</v>
      </c>
      <c r="L1550" s="2" t="s">
        <v>6101</v>
      </c>
      <c r="M1550" s="2" t="s">
        <v>7927</v>
      </c>
      <c r="N1550" s="2" t="s">
        <v>7928</v>
      </c>
      <c r="O1550" s="2" t="s">
        <v>7929</v>
      </c>
      <c r="P1550" s="2" t="s">
        <v>869</v>
      </c>
    </row>
    <row r="1551" ht="15.75" customHeight="1">
      <c r="H1551" s="2" t="s">
        <v>7930</v>
      </c>
      <c r="I1551" s="2" t="s">
        <v>7931</v>
      </c>
      <c r="J1551" s="2" t="s">
        <v>7932</v>
      </c>
      <c r="K1551" s="2" t="s">
        <v>7933</v>
      </c>
      <c r="L1551" s="2" t="s">
        <v>6101</v>
      </c>
      <c r="M1551" s="2" t="s">
        <v>7934</v>
      </c>
      <c r="N1551" s="2" t="s">
        <v>7935</v>
      </c>
      <c r="O1551" s="2" t="s">
        <v>7936</v>
      </c>
      <c r="P1551" s="2" t="s">
        <v>869</v>
      </c>
    </row>
    <row r="1552" ht="15.75" customHeight="1">
      <c r="H1552" s="2" t="s">
        <v>7937</v>
      </c>
      <c r="I1552" s="2" t="s">
        <v>7938</v>
      </c>
      <c r="J1552" s="2" t="s">
        <v>7939</v>
      </c>
      <c r="K1552" s="2" t="s">
        <v>7940</v>
      </c>
      <c r="L1552" s="2" t="s">
        <v>6101</v>
      </c>
      <c r="M1552" s="2" t="s">
        <v>7941</v>
      </c>
      <c r="N1552" s="2" t="s">
        <v>7942</v>
      </c>
      <c r="O1552" s="2" t="s">
        <v>869</v>
      </c>
      <c r="P1552" s="2" t="s">
        <v>870</v>
      </c>
    </row>
    <row r="1553" ht="15.75" customHeight="1">
      <c r="H1553" s="2" t="s">
        <v>7943</v>
      </c>
      <c r="I1553" s="2" t="s">
        <v>7944</v>
      </c>
      <c r="J1553" s="2" t="s">
        <v>7945</v>
      </c>
      <c r="K1553" s="2" t="s">
        <v>7946</v>
      </c>
      <c r="L1553" s="2" t="s">
        <v>6101</v>
      </c>
      <c r="M1553" s="2" t="s">
        <v>7947</v>
      </c>
      <c r="N1553" s="2" t="s">
        <v>7948</v>
      </c>
      <c r="O1553" s="2" t="s">
        <v>869</v>
      </c>
      <c r="P1553" s="2" t="s">
        <v>870</v>
      </c>
    </row>
    <row r="1554" ht="15.75" customHeight="1">
      <c r="H1554" s="2" t="s">
        <v>7949</v>
      </c>
      <c r="I1554" s="2" t="s">
        <v>7950</v>
      </c>
      <c r="J1554" s="2" t="s">
        <v>7951</v>
      </c>
      <c r="K1554" s="2" t="s">
        <v>7952</v>
      </c>
      <c r="L1554" s="2" t="s">
        <v>6101</v>
      </c>
      <c r="M1554" s="2" t="s">
        <v>7953</v>
      </c>
      <c r="N1554" s="2" t="s">
        <v>7954</v>
      </c>
      <c r="O1554" s="2" t="s">
        <v>7955</v>
      </c>
      <c r="P1554" s="2" t="s">
        <v>869</v>
      </c>
    </row>
    <row r="1555" ht="15.75" customHeight="1">
      <c r="H1555" s="2" t="s">
        <v>7956</v>
      </c>
      <c r="I1555" s="2" t="s">
        <v>7957</v>
      </c>
      <c r="J1555" s="2" t="s">
        <v>7958</v>
      </c>
      <c r="K1555" s="2" t="s">
        <v>7959</v>
      </c>
      <c r="L1555" s="2" t="s">
        <v>6101</v>
      </c>
      <c r="M1555" s="2" t="s">
        <v>7960</v>
      </c>
      <c r="N1555" s="2" t="s">
        <v>7961</v>
      </c>
      <c r="O1555" s="2" t="s">
        <v>7962</v>
      </c>
      <c r="P1555" s="2" t="s">
        <v>869</v>
      </c>
    </row>
    <row r="1556" ht="15.75" customHeight="1">
      <c r="H1556" s="2" t="s">
        <v>7963</v>
      </c>
      <c r="I1556" s="2" t="s">
        <v>7964</v>
      </c>
      <c r="J1556" s="2" t="s">
        <v>7965</v>
      </c>
      <c r="K1556" s="2" t="s">
        <v>7966</v>
      </c>
      <c r="L1556" s="2" t="s">
        <v>6101</v>
      </c>
      <c r="M1556" s="2" t="s">
        <v>7967</v>
      </c>
      <c r="N1556" s="2" t="s">
        <v>7968</v>
      </c>
      <c r="O1556" s="2" t="s">
        <v>869</v>
      </c>
      <c r="P1556" s="2" t="s">
        <v>870</v>
      </c>
    </row>
    <row r="1557" ht="15.75" customHeight="1">
      <c r="H1557" s="2" t="s">
        <v>7969</v>
      </c>
      <c r="I1557" s="2" t="s">
        <v>2640</v>
      </c>
      <c r="J1557" s="2" t="s">
        <v>2641</v>
      </c>
      <c r="K1557" s="2" t="s">
        <v>7970</v>
      </c>
      <c r="L1557" s="2" t="s">
        <v>6101</v>
      </c>
      <c r="M1557" s="2" t="s">
        <v>7971</v>
      </c>
      <c r="N1557" s="2" t="s">
        <v>7972</v>
      </c>
      <c r="O1557" s="2" t="s">
        <v>869</v>
      </c>
      <c r="P1557" s="2" t="s">
        <v>870</v>
      </c>
    </row>
    <row r="1558" ht="15.75" customHeight="1">
      <c r="H1558" s="2" t="s">
        <v>7973</v>
      </c>
      <c r="I1558" s="2" t="s">
        <v>7974</v>
      </c>
      <c r="J1558" s="2" t="s">
        <v>7975</v>
      </c>
      <c r="K1558" s="2" t="s">
        <v>7976</v>
      </c>
      <c r="L1558" s="2" t="s">
        <v>6101</v>
      </c>
      <c r="M1558" s="2" t="s">
        <v>7977</v>
      </c>
      <c r="N1558" s="2" t="s">
        <v>7978</v>
      </c>
      <c r="O1558" s="2" t="s">
        <v>7979</v>
      </c>
      <c r="P1558" s="2" t="s">
        <v>869</v>
      </c>
    </row>
    <row r="1559" ht="15.75" customHeight="1">
      <c r="H1559" s="2" t="s">
        <v>7980</v>
      </c>
      <c r="I1559" s="2" t="s">
        <v>7981</v>
      </c>
      <c r="J1559" s="2" t="s">
        <v>7982</v>
      </c>
      <c r="K1559" s="2" t="s">
        <v>7983</v>
      </c>
      <c r="L1559" s="2" t="s">
        <v>6101</v>
      </c>
      <c r="M1559" s="2" t="s">
        <v>7984</v>
      </c>
      <c r="N1559" s="2" t="s">
        <v>7985</v>
      </c>
      <c r="O1559" s="2" t="s">
        <v>7986</v>
      </c>
      <c r="P1559" s="2" t="s">
        <v>869</v>
      </c>
    </row>
    <row r="1560" ht="15.75" customHeight="1">
      <c r="H1560" s="2" t="s">
        <v>7987</v>
      </c>
      <c r="I1560" s="2" t="s">
        <v>2645</v>
      </c>
      <c r="J1560" s="2" t="s">
        <v>2646</v>
      </c>
      <c r="K1560" s="2" t="s">
        <v>7988</v>
      </c>
      <c r="L1560" s="2" t="s">
        <v>6101</v>
      </c>
      <c r="M1560" s="2" t="s">
        <v>7989</v>
      </c>
      <c r="N1560" s="2" t="s">
        <v>7990</v>
      </c>
      <c r="O1560" s="2" t="s">
        <v>869</v>
      </c>
      <c r="P1560" s="2" t="s">
        <v>870</v>
      </c>
    </row>
    <row r="1561" ht="15.75" customHeight="1">
      <c r="H1561" s="2" t="s">
        <v>7991</v>
      </c>
      <c r="I1561" s="2" t="s">
        <v>7992</v>
      </c>
      <c r="J1561" s="2" t="s">
        <v>7993</v>
      </c>
      <c r="K1561" s="2" t="s">
        <v>7994</v>
      </c>
      <c r="L1561" s="2" t="s">
        <v>6101</v>
      </c>
      <c r="M1561" s="2" t="s">
        <v>7995</v>
      </c>
      <c r="N1561" s="2" t="s">
        <v>7996</v>
      </c>
      <c r="O1561" s="2" t="s">
        <v>869</v>
      </c>
      <c r="P1561" s="2" t="s">
        <v>870</v>
      </c>
    </row>
    <row r="1562" ht="15.75" customHeight="1">
      <c r="H1562" s="2" t="s">
        <v>7997</v>
      </c>
      <c r="I1562" s="2" t="s">
        <v>7998</v>
      </c>
      <c r="J1562" s="2" t="s">
        <v>7999</v>
      </c>
      <c r="K1562" s="2" t="s">
        <v>8000</v>
      </c>
      <c r="L1562" s="2" t="s">
        <v>6101</v>
      </c>
      <c r="M1562" s="2" t="s">
        <v>8001</v>
      </c>
      <c r="N1562" s="2" t="s">
        <v>8002</v>
      </c>
      <c r="O1562" s="2" t="s">
        <v>869</v>
      </c>
      <c r="P1562" s="2" t="s">
        <v>870</v>
      </c>
    </row>
    <row r="1563" ht="15.75" customHeight="1">
      <c r="H1563" s="2" t="s">
        <v>8003</v>
      </c>
      <c r="I1563" s="2" t="s">
        <v>8004</v>
      </c>
      <c r="J1563" s="2" t="s">
        <v>8005</v>
      </c>
      <c r="K1563" s="2" t="s">
        <v>8006</v>
      </c>
      <c r="L1563" s="2" t="s">
        <v>6101</v>
      </c>
      <c r="M1563" s="2" t="s">
        <v>8007</v>
      </c>
      <c r="N1563" s="2" t="s">
        <v>8008</v>
      </c>
      <c r="O1563" s="2" t="s">
        <v>8009</v>
      </c>
      <c r="P1563" s="2" t="s">
        <v>869</v>
      </c>
    </row>
    <row r="1564" ht="15.75" customHeight="1">
      <c r="F1564" s="2" t="s">
        <v>548</v>
      </c>
      <c r="H1564" s="2" t="s">
        <v>8010</v>
      </c>
      <c r="I1564" s="2" t="s">
        <v>8011</v>
      </c>
      <c r="J1564" s="2" t="s">
        <v>8012</v>
      </c>
      <c r="K1564" s="2" t="s">
        <v>8013</v>
      </c>
      <c r="L1564" s="2" t="s">
        <v>6101</v>
      </c>
      <c r="M1564" s="2" t="s">
        <v>8014</v>
      </c>
      <c r="N1564" s="2" t="s">
        <v>8015</v>
      </c>
      <c r="O1564" s="2" t="s">
        <v>8016</v>
      </c>
      <c r="P1564" s="2" t="s">
        <v>869</v>
      </c>
    </row>
    <row r="1565" ht="15.75" customHeight="1">
      <c r="H1565" s="2" t="s">
        <v>8017</v>
      </c>
      <c r="I1565" s="2" t="s">
        <v>8018</v>
      </c>
      <c r="J1565" s="2" t="s">
        <v>8019</v>
      </c>
      <c r="K1565" s="2" t="s">
        <v>8020</v>
      </c>
      <c r="L1565" s="2" t="s">
        <v>6101</v>
      </c>
      <c r="M1565" s="2" t="s">
        <v>8021</v>
      </c>
      <c r="N1565" s="2" t="s">
        <v>8022</v>
      </c>
      <c r="O1565" s="2" t="s">
        <v>8023</v>
      </c>
      <c r="P1565" s="2" t="s">
        <v>869</v>
      </c>
    </row>
    <row r="1566" ht="15.75" customHeight="1">
      <c r="H1566" s="2" t="s">
        <v>8024</v>
      </c>
      <c r="I1566" s="2" t="s">
        <v>8025</v>
      </c>
      <c r="J1566" s="2" t="s">
        <v>8026</v>
      </c>
      <c r="K1566" s="2" t="s">
        <v>8027</v>
      </c>
      <c r="L1566" s="2" t="s">
        <v>6101</v>
      </c>
      <c r="M1566" s="2" t="s">
        <v>8028</v>
      </c>
      <c r="N1566" s="2" t="s">
        <v>8029</v>
      </c>
      <c r="O1566" s="2" t="s">
        <v>8030</v>
      </c>
      <c r="P1566" s="2" t="s">
        <v>869</v>
      </c>
    </row>
    <row r="1567" ht="15.75" customHeight="1">
      <c r="H1567" s="2" t="s">
        <v>8031</v>
      </c>
      <c r="I1567" s="2" t="s">
        <v>2663</v>
      </c>
      <c r="J1567" s="2" t="s">
        <v>2664</v>
      </c>
      <c r="K1567" s="2" t="s">
        <v>8032</v>
      </c>
      <c r="L1567" s="2" t="s">
        <v>6101</v>
      </c>
      <c r="M1567" s="2" t="s">
        <v>8033</v>
      </c>
      <c r="N1567" s="2" t="s">
        <v>8034</v>
      </c>
      <c r="O1567" s="2" t="s">
        <v>869</v>
      </c>
      <c r="P1567" s="2" t="s">
        <v>870</v>
      </c>
    </row>
    <row r="1568" ht="15.75" customHeight="1">
      <c r="H1568" s="2" t="s">
        <v>8035</v>
      </c>
      <c r="I1568" s="2" t="s">
        <v>8036</v>
      </c>
      <c r="J1568" s="2" t="s">
        <v>8037</v>
      </c>
      <c r="K1568" s="2" t="s">
        <v>8038</v>
      </c>
      <c r="L1568" s="2" t="s">
        <v>6101</v>
      </c>
      <c r="M1568" s="2" t="s">
        <v>8039</v>
      </c>
      <c r="N1568" s="2" t="s">
        <v>8040</v>
      </c>
      <c r="O1568" s="2" t="s">
        <v>869</v>
      </c>
      <c r="P1568" s="2" t="s">
        <v>870</v>
      </c>
    </row>
    <row r="1569" ht="15.75" customHeight="1">
      <c r="H1569" s="2" t="s">
        <v>8041</v>
      </c>
      <c r="I1569" s="2" t="s">
        <v>8042</v>
      </c>
      <c r="J1569" s="2" t="s">
        <v>8043</v>
      </c>
      <c r="K1569" s="2" t="s">
        <v>1368</v>
      </c>
    </row>
    <row r="1570" ht="15.75" customHeight="1">
      <c r="H1570" s="2" t="s">
        <v>8044</v>
      </c>
      <c r="I1570" s="2" t="s">
        <v>8045</v>
      </c>
      <c r="J1570" s="2" t="s">
        <v>8046</v>
      </c>
      <c r="K1570" s="2" t="s">
        <v>8047</v>
      </c>
      <c r="L1570" s="2" t="s">
        <v>6101</v>
      </c>
      <c r="M1570" s="2" t="s">
        <v>8048</v>
      </c>
      <c r="N1570" s="2" t="s">
        <v>8049</v>
      </c>
      <c r="O1570" s="2" t="s">
        <v>869</v>
      </c>
      <c r="P1570" s="2" t="s">
        <v>870</v>
      </c>
    </row>
    <row r="1571" ht="15.75" customHeight="1">
      <c r="H1571" s="2" t="s">
        <v>8050</v>
      </c>
      <c r="I1571" s="2" t="s">
        <v>550</v>
      </c>
      <c r="J1571" s="2" t="s">
        <v>551</v>
      </c>
      <c r="K1571" s="2" t="s">
        <v>8051</v>
      </c>
      <c r="L1571" s="2" t="s">
        <v>6101</v>
      </c>
      <c r="M1571" s="2" t="s">
        <v>8052</v>
      </c>
      <c r="N1571" s="2" t="s">
        <v>8053</v>
      </c>
      <c r="O1571" s="2" t="s">
        <v>869</v>
      </c>
      <c r="P1571" s="2" t="s">
        <v>870</v>
      </c>
    </row>
    <row r="1572" ht="15.75" customHeight="1">
      <c r="H1572" s="2" t="s">
        <v>8054</v>
      </c>
      <c r="I1572" s="2" t="s">
        <v>8055</v>
      </c>
      <c r="J1572" s="2" t="s">
        <v>8056</v>
      </c>
      <c r="K1572" s="2" t="s">
        <v>8057</v>
      </c>
      <c r="L1572" s="2" t="s">
        <v>6101</v>
      </c>
      <c r="M1572" s="2" t="s">
        <v>8058</v>
      </c>
      <c r="N1572" s="2" t="s">
        <v>8059</v>
      </c>
      <c r="O1572" s="2" t="s">
        <v>869</v>
      </c>
      <c r="P1572" s="2" t="s">
        <v>870</v>
      </c>
    </row>
    <row r="1573" ht="15.75" customHeight="1">
      <c r="H1573" s="2" t="s">
        <v>8060</v>
      </c>
      <c r="I1573" s="2" t="s">
        <v>8061</v>
      </c>
      <c r="J1573" s="2" t="s">
        <v>8062</v>
      </c>
      <c r="K1573" s="2" t="s">
        <v>8063</v>
      </c>
      <c r="L1573" s="2" t="s">
        <v>6101</v>
      </c>
      <c r="M1573" s="2" t="s">
        <v>8064</v>
      </c>
      <c r="N1573" s="2" t="s">
        <v>8065</v>
      </c>
      <c r="O1573" s="2" t="s">
        <v>8066</v>
      </c>
      <c r="P1573" s="2" t="s">
        <v>869</v>
      </c>
    </row>
    <row r="1574" ht="15.75" customHeight="1">
      <c r="H1574" s="2" t="s">
        <v>8067</v>
      </c>
      <c r="I1574" s="2" t="s">
        <v>8068</v>
      </c>
      <c r="J1574" s="2" t="s">
        <v>8069</v>
      </c>
      <c r="K1574" s="2" t="s">
        <v>8070</v>
      </c>
      <c r="L1574" s="2" t="s">
        <v>6101</v>
      </c>
      <c r="M1574" s="2" t="s">
        <v>8071</v>
      </c>
      <c r="N1574" s="2" t="s">
        <v>8072</v>
      </c>
      <c r="O1574" s="2" t="s">
        <v>869</v>
      </c>
      <c r="P1574" s="2" t="s">
        <v>870</v>
      </c>
    </row>
    <row r="1575" ht="15.75" customHeight="1">
      <c r="H1575" s="2" t="s">
        <v>8073</v>
      </c>
      <c r="I1575" s="2" t="s">
        <v>8074</v>
      </c>
      <c r="J1575" s="2" t="s">
        <v>8075</v>
      </c>
      <c r="K1575" s="2" t="s">
        <v>8076</v>
      </c>
      <c r="L1575" s="2" t="s">
        <v>6101</v>
      </c>
      <c r="M1575" s="2" t="s">
        <v>8077</v>
      </c>
      <c r="N1575" s="2" t="s">
        <v>8078</v>
      </c>
      <c r="O1575" s="2" t="s">
        <v>8079</v>
      </c>
      <c r="P1575" s="2" t="s">
        <v>869</v>
      </c>
    </row>
    <row r="1576" ht="15.75" customHeight="1">
      <c r="H1576" s="2" t="s">
        <v>8080</v>
      </c>
      <c r="I1576" s="2" t="s">
        <v>8081</v>
      </c>
      <c r="J1576" s="2" t="s">
        <v>8082</v>
      </c>
      <c r="K1576" s="2" t="s">
        <v>8083</v>
      </c>
      <c r="L1576" s="2" t="s">
        <v>6101</v>
      </c>
      <c r="M1576" s="2" t="s">
        <v>8084</v>
      </c>
      <c r="N1576" s="2" t="s">
        <v>8085</v>
      </c>
      <c r="O1576" s="2" t="s">
        <v>8086</v>
      </c>
      <c r="P1576" s="2" t="s">
        <v>869</v>
      </c>
    </row>
    <row r="1577" ht="15.75" customHeight="1">
      <c r="H1577" s="2" t="s">
        <v>8087</v>
      </c>
      <c r="I1577" s="2" t="s">
        <v>8088</v>
      </c>
      <c r="J1577" s="2" t="s">
        <v>8089</v>
      </c>
      <c r="K1577" s="2" t="s">
        <v>8090</v>
      </c>
      <c r="L1577" s="2" t="s">
        <v>6101</v>
      </c>
      <c r="M1577" s="2" t="s">
        <v>8091</v>
      </c>
      <c r="N1577" s="2" t="s">
        <v>8092</v>
      </c>
      <c r="O1577" s="2" t="s">
        <v>8093</v>
      </c>
      <c r="P1577" s="2" t="s">
        <v>869</v>
      </c>
    </row>
    <row r="1578" ht="15.75" customHeight="1">
      <c r="H1578" s="2" t="s">
        <v>8094</v>
      </c>
      <c r="I1578" s="2" t="s">
        <v>8095</v>
      </c>
      <c r="J1578" s="2" t="s">
        <v>8096</v>
      </c>
      <c r="K1578" s="2" t="s">
        <v>8097</v>
      </c>
      <c r="L1578" s="2" t="s">
        <v>6101</v>
      </c>
      <c r="M1578" s="2" t="s">
        <v>8098</v>
      </c>
      <c r="N1578" s="2" t="s">
        <v>8099</v>
      </c>
      <c r="O1578" s="2" t="s">
        <v>869</v>
      </c>
      <c r="P1578" s="2" t="s">
        <v>870</v>
      </c>
    </row>
    <row r="1579" ht="15.75" customHeight="1">
      <c r="H1579" s="2" t="s">
        <v>8100</v>
      </c>
      <c r="I1579" s="2" t="s">
        <v>8101</v>
      </c>
      <c r="J1579" s="2" t="s">
        <v>8102</v>
      </c>
      <c r="K1579" s="2" t="s">
        <v>8103</v>
      </c>
      <c r="L1579" s="2" t="s">
        <v>6101</v>
      </c>
      <c r="M1579" s="2" t="s">
        <v>8104</v>
      </c>
      <c r="N1579" s="2" t="s">
        <v>8105</v>
      </c>
      <c r="O1579" s="2" t="s">
        <v>869</v>
      </c>
      <c r="P1579" s="2" t="s">
        <v>870</v>
      </c>
    </row>
    <row r="1580" ht="15.75" customHeight="1">
      <c r="H1580" s="2" t="s">
        <v>8106</v>
      </c>
      <c r="I1580" s="2" t="s">
        <v>8107</v>
      </c>
      <c r="J1580" s="2" t="s">
        <v>8108</v>
      </c>
      <c r="K1580" s="2" t="s">
        <v>8109</v>
      </c>
      <c r="L1580" s="2" t="s">
        <v>6101</v>
      </c>
      <c r="M1580" s="2" t="s">
        <v>8110</v>
      </c>
      <c r="N1580" s="2" t="s">
        <v>8111</v>
      </c>
      <c r="O1580" s="2" t="s">
        <v>869</v>
      </c>
      <c r="P1580" s="2" t="s">
        <v>870</v>
      </c>
    </row>
    <row r="1581" ht="15.75" customHeight="1">
      <c r="H1581" s="2" t="s">
        <v>8112</v>
      </c>
      <c r="I1581" s="2" t="s">
        <v>2681</v>
      </c>
      <c r="J1581" s="2" t="s">
        <v>2682</v>
      </c>
      <c r="K1581" s="2" t="s">
        <v>8113</v>
      </c>
      <c r="L1581" s="2" t="s">
        <v>6101</v>
      </c>
      <c r="M1581" s="2" t="s">
        <v>8114</v>
      </c>
      <c r="N1581" s="2" t="s">
        <v>8115</v>
      </c>
      <c r="O1581" s="2" t="s">
        <v>869</v>
      </c>
      <c r="P1581" s="2" t="s">
        <v>870</v>
      </c>
    </row>
    <row r="1582" ht="15.75" customHeight="1">
      <c r="F1582" s="2" t="s">
        <v>556</v>
      </c>
      <c r="H1582" s="2" t="s">
        <v>8116</v>
      </c>
      <c r="I1582" s="2" t="s">
        <v>8117</v>
      </c>
      <c r="J1582" s="2" t="s">
        <v>8118</v>
      </c>
      <c r="K1582" s="2" t="s">
        <v>8119</v>
      </c>
      <c r="L1582" s="2" t="s">
        <v>6101</v>
      </c>
      <c r="M1582" s="2" t="s">
        <v>8120</v>
      </c>
      <c r="N1582" s="2" t="s">
        <v>8121</v>
      </c>
      <c r="O1582" s="2" t="s">
        <v>8122</v>
      </c>
      <c r="P1582" s="2" t="s">
        <v>869</v>
      </c>
    </row>
    <row r="1583" ht="15.75" customHeight="1">
      <c r="H1583" s="2" t="s">
        <v>8123</v>
      </c>
      <c r="I1583" s="2" t="s">
        <v>8124</v>
      </c>
      <c r="J1583" s="2" t="s">
        <v>8125</v>
      </c>
      <c r="K1583" s="2" t="s">
        <v>8126</v>
      </c>
      <c r="L1583" s="2" t="s">
        <v>6101</v>
      </c>
      <c r="M1583" s="2" t="s">
        <v>8127</v>
      </c>
      <c r="N1583" s="2" t="s">
        <v>8128</v>
      </c>
      <c r="O1583" s="2" t="s">
        <v>869</v>
      </c>
      <c r="P1583" s="2" t="s">
        <v>870</v>
      </c>
    </row>
    <row r="1584" ht="15.75" customHeight="1">
      <c r="H1584" s="2" t="s">
        <v>8129</v>
      </c>
      <c r="I1584" s="2" t="s">
        <v>8130</v>
      </c>
      <c r="J1584" s="2" t="s">
        <v>8131</v>
      </c>
      <c r="K1584" s="2" t="s">
        <v>8132</v>
      </c>
      <c r="L1584" s="2" t="s">
        <v>6101</v>
      </c>
      <c r="M1584" s="2" t="s">
        <v>8133</v>
      </c>
      <c r="N1584" s="2" t="s">
        <v>8134</v>
      </c>
      <c r="O1584" s="2" t="s">
        <v>869</v>
      </c>
      <c r="P1584" s="2" t="s">
        <v>870</v>
      </c>
    </row>
    <row r="1585" ht="15.75" customHeight="1">
      <c r="H1585" s="2" t="s">
        <v>8135</v>
      </c>
      <c r="I1585" s="2" t="s">
        <v>8136</v>
      </c>
      <c r="J1585" s="2" t="s">
        <v>8137</v>
      </c>
      <c r="K1585" s="2" t="s">
        <v>8138</v>
      </c>
      <c r="L1585" s="2" t="s">
        <v>6101</v>
      </c>
      <c r="M1585" s="2" t="s">
        <v>8139</v>
      </c>
      <c r="N1585" s="2" t="s">
        <v>8140</v>
      </c>
      <c r="O1585" s="2" t="s">
        <v>8141</v>
      </c>
      <c r="P1585" s="2" t="s">
        <v>869</v>
      </c>
    </row>
    <row r="1586" ht="15.75" customHeight="1">
      <c r="H1586" s="2" t="s">
        <v>8142</v>
      </c>
      <c r="I1586" s="2" t="s">
        <v>8143</v>
      </c>
      <c r="J1586" s="2" t="s">
        <v>8143</v>
      </c>
      <c r="K1586" s="2" t="s">
        <v>970</v>
      </c>
    </row>
    <row r="1587" ht="15.75" customHeight="1">
      <c r="H1587" s="2" t="s">
        <v>8144</v>
      </c>
      <c r="I1587" s="2" t="s">
        <v>8145</v>
      </c>
      <c r="J1587" s="2" t="s">
        <v>8146</v>
      </c>
      <c r="K1587" s="2" t="s">
        <v>8147</v>
      </c>
      <c r="L1587" s="2" t="s">
        <v>6101</v>
      </c>
      <c r="M1587" s="2" t="s">
        <v>8148</v>
      </c>
      <c r="N1587" s="2" t="s">
        <v>8149</v>
      </c>
      <c r="O1587" s="2" t="s">
        <v>8150</v>
      </c>
      <c r="P1587" s="2" t="s">
        <v>869</v>
      </c>
    </row>
    <row r="1588" ht="15.75" customHeight="1">
      <c r="H1588" s="2" t="s">
        <v>8151</v>
      </c>
      <c r="I1588" s="2" t="s">
        <v>3110</v>
      </c>
      <c r="J1588" s="2" t="s">
        <v>3111</v>
      </c>
      <c r="K1588" s="2" t="s">
        <v>8152</v>
      </c>
      <c r="L1588" s="2" t="s">
        <v>6101</v>
      </c>
      <c r="M1588" s="2" t="s">
        <v>8153</v>
      </c>
      <c r="N1588" s="2" t="s">
        <v>8154</v>
      </c>
      <c r="O1588" s="2" t="s">
        <v>869</v>
      </c>
      <c r="P1588" s="2" t="s">
        <v>870</v>
      </c>
    </row>
    <row r="1589" ht="15.75" customHeight="1">
      <c r="H1589" s="2" t="s">
        <v>8155</v>
      </c>
      <c r="I1589" s="2" t="s">
        <v>2793</v>
      </c>
      <c r="J1589" s="2" t="s">
        <v>2794</v>
      </c>
      <c r="K1589" s="2" t="s">
        <v>8156</v>
      </c>
      <c r="L1589" s="2" t="s">
        <v>6101</v>
      </c>
      <c r="M1589" s="2" t="s">
        <v>2795</v>
      </c>
      <c r="N1589" s="2" t="s">
        <v>8157</v>
      </c>
      <c r="O1589" s="2" t="s">
        <v>869</v>
      </c>
      <c r="P1589" s="2" t="s">
        <v>870</v>
      </c>
    </row>
    <row r="1590" ht="15.75" customHeight="1">
      <c r="H1590" s="2" t="s">
        <v>8158</v>
      </c>
      <c r="I1590" s="2" t="s">
        <v>8159</v>
      </c>
      <c r="J1590" s="2" t="s">
        <v>8160</v>
      </c>
      <c r="K1590" s="2" t="s">
        <v>8161</v>
      </c>
      <c r="L1590" s="2" t="s">
        <v>6101</v>
      </c>
      <c r="M1590" s="2" t="s">
        <v>8162</v>
      </c>
      <c r="N1590" s="2" t="s">
        <v>8163</v>
      </c>
      <c r="O1590" s="2" t="s">
        <v>8164</v>
      </c>
      <c r="P1590" s="2" t="s">
        <v>869</v>
      </c>
    </row>
    <row r="1591" ht="15.75" customHeight="1">
      <c r="H1591" s="2" t="s">
        <v>8165</v>
      </c>
      <c r="I1591" s="2" t="s">
        <v>8166</v>
      </c>
      <c r="J1591" s="2" t="s">
        <v>8167</v>
      </c>
      <c r="K1591" s="2" t="s">
        <v>8168</v>
      </c>
      <c r="L1591" s="2" t="s">
        <v>6101</v>
      </c>
      <c r="M1591" s="2" t="s">
        <v>8169</v>
      </c>
      <c r="N1591" s="2" t="s">
        <v>8170</v>
      </c>
      <c r="O1591" s="2" t="s">
        <v>869</v>
      </c>
      <c r="P1591" s="2" t="s">
        <v>870</v>
      </c>
    </row>
    <row r="1592" ht="15.75" customHeight="1">
      <c r="H1592" s="2" t="s">
        <v>8171</v>
      </c>
      <c r="I1592" s="2" t="s">
        <v>1167</v>
      </c>
      <c r="J1592" s="2" t="s">
        <v>1168</v>
      </c>
      <c r="K1592" s="2" t="s">
        <v>8172</v>
      </c>
      <c r="L1592" s="2" t="s">
        <v>6101</v>
      </c>
      <c r="M1592" s="2" t="s">
        <v>8173</v>
      </c>
      <c r="N1592" s="2" t="s">
        <v>8174</v>
      </c>
      <c r="O1592" s="2" t="s">
        <v>869</v>
      </c>
      <c r="P1592" s="2" t="s">
        <v>870</v>
      </c>
    </row>
    <row r="1593" ht="15.75" customHeight="1">
      <c r="H1593" s="2" t="s">
        <v>8175</v>
      </c>
      <c r="I1593" s="2" t="s">
        <v>8176</v>
      </c>
      <c r="J1593" s="2" t="s">
        <v>8177</v>
      </c>
      <c r="K1593" s="2" t="s">
        <v>8178</v>
      </c>
      <c r="L1593" s="2" t="s">
        <v>6101</v>
      </c>
      <c r="M1593" s="2" t="s">
        <v>8179</v>
      </c>
      <c r="N1593" s="2" t="s">
        <v>8180</v>
      </c>
      <c r="O1593" s="2" t="s">
        <v>869</v>
      </c>
      <c r="P1593" s="2" t="s">
        <v>870</v>
      </c>
    </row>
    <row r="1594" ht="15.75" customHeight="1">
      <c r="H1594" s="2" t="s">
        <v>8181</v>
      </c>
      <c r="I1594" s="2" t="s">
        <v>8182</v>
      </c>
      <c r="J1594" s="2" t="s">
        <v>8183</v>
      </c>
      <c r="K1594" s="2" t="s">
        <v>8184</v>
      </c>
      <c r="L1594" s="2" t="s">
        <v>6101</v>
      </c>
      <c r="M1594" s="2" t="s">
        <v>8185</v>
      </c>
      <c r="N1594" s="2" t="s">
        <v>8186</v>
      </c>
      <c r="O1594" s="2" t="s">
        <v>8187</v>
      </c>
      <c r="P1594" s="2" t="s">
        <v>869</v>
      </c>
    </row>
    <row r="1595" ht="15.75" customHeight="1">
      <c r="H1595" s="2" t="s">
        <v>8188</v>
      </c>
      <c r="I1595" s="2" t="s">
        <v>8189</v>
      </c>
      <c r="J1595" s="2" t="s">
        <v>8190</v>
      </c>
      <c r="K1595" s="2" t="s">
        <v>8191</v>
      </c>
      <c r="L1595" s="2" t="s">
        <v>6101</v>
      </c>
      <c r="M1595" s="2" t="s">
        <v>8192</v>
      </c>
      <c r="N1595" s="2" t="s">
        <v>8193</v>
      </c>
      <c r="O1595" s="2" t="s">
        <v>869</v>
      </c>
      <c r="P1595" s="2" t="s">
        <v>870</v>
      </c>
    </row>
    <row r="1596" ht="15.75" customHeight="1">
      <c r="H1596" s="2" t="s">
        <v>8194</v>
      </c>
      <c r="I1596" s="2" t="s">
        <v>2815</v>
      </c>
      <c r="J1596" s="2" t="s">
        <v>2816</v>
      </c>
      <c r="K1596" s="2" t="s">
        <v>8195</v>
      </c>
      <c r="L1596" s="2" t="s">
        <v>6101</v>
      </c>
      <c r="M1596" s="2" t="s">
        <v>8196</v>
      </c>
      <c r="N1596" s="2" t="s">
        <v>8197</v>
      </c>
      <c r="O1596" s="2" t="s">
        <v>869</v>
      </c>
      <c r="P1596" s="2" t="s">
        <v>870</v>
      </c>
    </row>
    <row r="1597" ht="15.75" customHeight="1">
      <c r="H1597" s="2" t="s">
        <v>8198</v>
      </c>
      <c r="I1597" s="2" t="s">
        <v>8199</v>
      </c>
      <c r="J1597" s="2" t="s">
        <v>8200</v>
      </c>
      <c r="K1597" s="2" t="s">
        <v>8201</v>
      </c>
      <c r="L1597" s="2" t="s">
        <v>6101</v>
      </c>
      <c r="M1597" s="2" t="s">
        <v>8202</v>
      </c>
      <c r="N1597" s="2" t="s">
        <v>8203</v>
      </c>
      <c r="O1597" s="2" t="s">
        <v>8204</v>
      </c>
      <c r="P1597" s="2" t="s">
        <v>869</v>
      </c>
    </row>
    <row r="1598" ht="15.75" customHeight="1">
      <c r="H1598" s="2" t="s">
        <v>8205</v>
      </c>
      <c r="I1598" s="2" t="s">
        <v>574</v>
      </c>
      <c r="J1598" s="2" t="s">
        <v>575</v>
      </c>
      <c r="K1598" s="2" t="s">
        <v>8206</v>
      </c>
      <c r="L1598" s="2" t="s">
        <v>6101</v>
      </c>
      <c r="M1598" s="2" t="s">
        <v>8207</v>
      </c>
      <c r="N1598" s="2" t="s">
        <v>8208</v>
      </c>
      <c r="O1598" s="2" t="s">
        <v>869</v>
      </c>
      <c r="P1598" s="2" t="s">
        <v>870</v>
      </c>
    </row>
    <row r="1599" ht="15.75" customHeight="1">
      <c r="F1599" s="2" t="s">
        <v>2827</v>
      </c>
      <c r="H1599" s="2" t="s">
        <v>8209</v>
      </c>
      <c r="I1599" s="2" t="s">
        <v>2829</v>
      </c>
      <c r="J1599" s="2" t="s">
        <v>2830</v>
      </c>
      <c r="K1599" s="2" t="s">
        <v>8210</v>
      </c>
      <c r="L1599" s="2" t="s">
        <v>6101</v>
      </c>
      <c r="M1599" s="2" t="s">
        <v>2831</v>
      </c>
      <c r="N1599" s="2" t="s">
        <v>8211</v>
      </c>
      <c r="O1599" s="2" t="s">
        <v>869</v>
      </c>
      <c r="P1599" s="2" t="s">
        <v>870</v>
      </c>
    </row>
    <row r="1600" ht="15.75" customHeight="1">
      <c r="H1600" s="2" t="s">
        <v>8212</v>
      </c>
      <c r="I1600" s="2" t="s">
        <v>8213</v>
      </c>
      <c r="J1600" s="2" t="s">
        <v>8214</v>
      </c>
      <c r="K1600" s="2" t="s">
        <v>8215</v>
      </c>
      <c r="L1600" s="2" t="s">
        <v>6101</v>
      </c>
      <c r="M1600" s="2" t="s">
        <v>8216</v>
      </c>
      <c r="N1600" s="2" t="s">
        <v>8217</v>
      </c>
      <c r="O1600" s="2" t="s">
        <v>869</v>
      </c>
      <c r="P1600" s="2" t="s">
        <v>870</v>
      </c>
    </row>
    <row r="1601" ht="15.75" customHeight="1">
      <c r="H1601" s="2" t="s">
        <v>8218</v>
      </c>
      <c r="I1601" s="2" t="s">
        <v>8219</v>
      </c>
      <c r="J1601" s="2" t="s">
        <v>8220</v>
      </c>
      <c r="K1601" s="2" t="s">
        <v>8221</v>
      </c>
      <c r="L1601" s="2" t="s">
        <v>6101</v>
      </c>
      <c r="M1601" s="2" t="s">
        <v>8222</v>
      </c>
      <c r="N1601" s="2" t="s">
        <v>8223</v>
      </c>
      <c r="O1601" s="2" t="s">
        <v>869</v>
      </c>
      <c r="P1601" s="2" t="s">
        <v>870</v>
      </c>
    </row>
    <row r="1602" ht="15.75" customHeight="1">
      <c r="H1602" s="2" t="s">
        <v>8224</v>
      </c>
      <c r="I1602" s="2" t="s">
        <v>2838</v>
      </c>
      <c r="J1602" s="2" t="s">
        <v>2839</v>
      </c>
      <c r="K1602" s="2" t="s">
        <v>8225</v>
      </c>
      <c r="L1602" s="2" t="s">
        <v>6101</v>
      </c>
      <c r="M1602" s="2" t="s">
        <v>8226</v>
      </c>
      <c r="N1602" s="2" t="s">
        <v>8227</v>
      </c>
      <c r="O1602" s="2" t="s">
        <v>869</v>
      </c>
      <c r="P1602" s="2" t="s">
        <v>870</v>
      </c>
    </row>
    <row r="1603" ht="15.75" customHeight="1">
      <c r="H1603" s="2" t="s">
        <v>8228</v>
      </c>
      <c r="I1603" s="2" t="s">
        <v>8229</v>
      </c>
      <c r="J1603" s="2" t="s">
        <v>8230</v>
      </c>
      <c r="K1603" s="2" t="s">
        <v>8231</v>
      </c>
      <c r="L1603" s="2" t="s">
        <v>6101</v>
      </c>
      <c r="M1603" s="2" t="s">
        <v>8232</v>
      </c>
      <c r="N1603" s="2" t="s">
        <v>8233</v>
      </c>
      <c r="O1603" s="2" t="s">
        <v>869</v>
      </c>
      <c r="P1603" s="2" t="s">
        <v>870</v>
      </c>
    </row>
    <row r="1604" ht="15.75" customHeight="1">
      <c r="H1604" s="2" t="s">
        <v>8234</v>
      </c>
      <c r="I1604" s="2" t="s">
        <v>8235</v>
      </c>
      <c r="J1604" s="2" t="s">
        <v>8236</v>
      </c>
      <c r="K1604" s="2" t="s">
        <v>8237</v>
      </c>
      <c r="L1604" s="2" t="s">
        <v>6101</v>
      </c>
      <c r="M1604" s="2" t="s">
        <v>8238</v>
      </c>
      <c r="N1604" s="2" t="s">
        <v>8239</v>
      </c>
      <c r="O1604" s="2" t="s">
        <v>869</v>
      </c>
      <c r="P1604" s="2" t="s">
        <v>870</v>
      </c>
    </row>
    <row r="1605" ht="15.75" customHeight="1">
      <c r="H1605" s="2" t="s">
        <v>8240</v>
      </c>
      <c r="I1605" s="2" t="s">
        <v>8241</v>
      </c>
      <c r="J1605" s="2" t="s">
        <v>8242</v>
      </c>
      <c r="K1605" s="2" t="s">
        <v>8243</v>
      </c>
      <c r="L1605" s="2" t="s">
        <v>6101</v>
      </c>
      <c r="M1605" s="2" t="s">
        <v>8244</v>
      </c>
      <c r="N1605" s="2" t="s">
        <v>8245</v>
      </c>
      <c r="O1605" s="2" t="s">
        <v>869</v>
      </c>
      <c r="P1605" s="2" t="s">
        <v>870</v>
      </c>
    </row>
    <row r="1606" ht="15.75" customHeight="1">
      <c r="H1606" s="2" t="s">
        <v>8246</v>
      </c>
      <c r="I1606" s="2" t="s">
        <v>8247</v>
      </c>
      <c r="J1606" s="2" t="s">
        <v>8248</v>
      </c>
      <c r="K1606" s="2" t="s">
        <v>8249</v>
      </c>
      <c r="L1606" s="2" t="s">
        <v>6101</v>
      </c>
      <c r="M1606" s="2" t="s">
        <v>8250</v>
      </c>
      <c r="N1606" s="2" t="s">
        <v>8251</v>
      </c>
      <c r="O1606" s="2" t="s">
        <v>869</v>
      </c>
      <c r="P1606" s="2" t="s">
        <v>870</v>
      </c>
    </row>
    <row r="1607" ht="15.75" customHeight="1">
      <c r="H1607" s="2" t="s">
        <v>8252</v>
      </c>
      <c r="I1607" s="2" t="s">
        <v>8253</v>
      </c>
      <c r="J1607" s="2" t="s">
        <v>8254</v>
      </c>
      <c r="K1607" s="2" t="s">
        <v>8255</v>
      </c>
      <c r="L1607" s="2" t="s">
        <v>6101</v>
      </c>
      <c r="M1607" s="2" t="s">
        <v>8256</v>
      </c>
      <c r="N1607" s="2" t="s">
        <v>8257</v>
      </c>
      <c r="O1607" s="2" t="s">
        <v>869</v>
      </c>
      <c r="P1607" s="2" t="s">
        <v>870</v>
      </c>
    </row>
    <row r="1608" ht="15.75" customHeight="1">
      <c r="H1608" s="2" t="s">
        <v>8258</v>
      </c>
      <c r="I1608" s="2" t="s">
        <v>2842</v>
      </c>
      <c r="J1608" s="2" t="s">
        <v>2843</v>
      </c>
      <c r="K1608" s="2" t="s">
        <v>8259</v>
      </c>
      <c r="L1608" s="2" t="s">
        <v>6101</v>
      </c>
      <c r="M1608" s="2" t="s">
        <v>8260</v>
      </c>
      <c r="N1608" s="2" t="s">
        <v>8261</v>
      </c>
      <c r="O1608" s="2" t="s">
        <v>869</v>
      </c>
      <c r="P1608" s="2" t="s">
        <v>870</v>
      </c>
    </row>
    <row r="1609" ht="15.75" customHeight="1">
      <c r="H1609" s="2" t="s">
        <v>8262</v>
      </c>
      <c r="I1609" s="2" t="s">
        <v>8263</v>
      </c>
      <c r="J1609" s="2" t="s">
        <v>8264</v>
      </c>
      <c r="K1609" s="2" t="s">
        <v>8265</v>
      </c>
      <c r="L1609" s="2" t="s">
        <v>6101</v>
      </c>
      <c r="M1609" s="2" t="s">
        <v>8266</v>
      </c>
      <c r="N1609" s="2" t="s">
        <v>8267</v>
      </c>
      <c r="O1609" s="2" t="s">
        <v>869</v>
      </c>
      <c r="P1609" s="2" t="s">
        <v>870</v>
      </c>
    </row>
    <row r="1610" ht="15.75" customHeight="1">
      <c r="H1610" s="2" t="s">
        <v>8268</v>
      </c>
      <c r="I1610" s="2" t="s">
        <v>8269</v>
      </c>
      <c r="J1610" s="2" t="s">
        <v>8270</v>
      </c>
      <c r="K1610" s="2" t="s">
        <v>8271</v>
      </c>
      <c r="L1610" s="2" t="s">
        <v>6101</v>
      </c>
      <c r="M1610" s="2" t="s">
        <v>8272</v>
      </c>
      <c r="N1610" s="2" t="s">
        <v>8273</v>
      </c>
      <c r="O1610" s="2" t="s">
        <v>869</v>
      </c>
      <c r="P1610" s="2" t="s">
        <v>870</v>
      </c>
    </row>
    <row r="1611" ht="15.75" customHeight="1">
      <c r="H1611" s="2" t="s">
        <v>8274</v>
      </c>
      <c r="I1611" s="2" t="s">
        <v>2857</v>
      </c>
      <c r="J1611" s="2" t="s">
        <v>2858</v>
      </c>
      <c r="K1611" s="2" t="s">
        <v>8275</v>
      </c>
      <c r="L1611" s="2" t="s">
        <v>6101</v>
      </c>
      <c r="M1611" s="2" t="s">
        <v>8276</v>
      </c>
      <c r="N1611" s="2" t="s">
        <v>8277</v>
      </c>
      <c r="O1611" s="2" t="s">
        <v>869</v>
      </c>
      <c r="P1611" s="2" t="s">
        <v>870</v>
      </c>
    </row>
    <row r="1612" ht="15.75" customHeight="1">
      <c r="H1612" s="2" t="s">
        <v>8278</v>
      </c>
      <c r="I1612" s="2" t="s">
        <v>8279</v>
      </c>
      <c r="J1612" s="2" t="s">
        <v>8280</v>
      </c>
      <c r="K1612" s="2" t="s">
        <v>8281</v>
      </c>
      <c r="L1612" s="2" t="s">
        <v>6101</v>
      </c>
      <c r="M1612" s="2" t="s">
        <v>8282</v>
      </c>
      <c r="N1612" s="2" t="s">
        <v>8283</v>
      </c>
      <c r="O1612" s="2" t="s">
        <v>869</v>
      </c>
      <c r="P1612" s="2" t="s">
        <v>870</v>
      </c>
    </row>
    <row r="1613" ht="15.75" customHeight="1">
      <c r="H1613" s="2" t="s">
        <v>8284</v>
      </c>
      <c r="I1613" s="2" t="s">
        <v>2862</v>
      </c>
      <c r="J1613" s="2" t="s">
        <v>2863</v>
      </c>
      <c r="K1613" s="2" t="s">
        <v>8285</v>
      </c>
      <c r="L1613" s="2" t="s">
        <v>6101</v>
      </c>
      <c r="M1613" s="2" t="s">
        <v>8286</v>
      </c>
      <c r="N1613" s="2" t="s">
        <v>8287</v>
      </c>
      <c r="O1613" s="2" t="s">
        <v>869</v>
      </c>
      <c r="P1613" s="2" t="s">
        <v>870</v>
      </c>
    </row>
    <row r="1614" ht="15.75" customHeight="1">
      <c r="H1614" s="2" t="s">
        <v>8288</v>
      </c>
      <c r="I1614" s="2" t="s">
        <v>2867</v>
      </c>
      <c r="J1614" s="2" t="s">
        <v>2868</v>
      </c>
      <c r="K1614" s="2" t="s">
        <v>8289</v>
      </c>
      <c r="L1614" s="2" t="s">
        <v>6101</v>
      </c>
      <c r="M1614" s="2" t="s">
        <v>8290</v>
      </c>
      <c r="N1614" s="2" t="s">
        <v>8291</v>
      </c>
      <c r="O1614" s="2" t="s">
        <v>869</v>
      </c>
      <c r="P1614" s="2" t="s">
        <v>870</v>
      </c>
    </row>
    <row r="1615" ht="15.75" customHeight="1">
      <c r="H1615" s="2" t="s">
        <v>8292</v>
      </c>
      <c r="I1615" s="2" t="s">
        <v>8293</v>
      </c>
      <c r="J1615" s="2" t="s">
        <v>8294</v>
      </c>
      <c r="K1615" s="2" t="s">
        <v>8295</v>
      </c>
      <c r="L1615" s="2" t="s">
        <v>6101</v>
      </c>
      <c r="M1615" s="2" t="s">
        <v>8296</v>
      </c>
      <c r="N1615" s="2" t="s">
        <v>8297</v>
      </c>
      <c r="O1615" s="2" t="s">
        <v>869</v>
      </c>
      <c r="P1615" s="2" t="s">
        <v>870</v>
      </c>
    </row>
    <row r="1616" ht="15.75" customHeight="1">
      <c r="H1616" s="2" t="s">
        <v>8298</v>
      </c>
      <c r="I1616" s="2" t="s">
        <v>8299</v>
      </c>
      <c r="J1616" s="2" t="s">
        <v>8300</v>
      </c>
      <c r="K1616" s="2" t="s">
        <v>8301</v>
      </c>
      <c r="L1616" s="2" t="s">
        <v>6101</v>
      </c>
      <c r="M1616" s="2" t="s">
        <v>8302</v>
      </c>
      <c r="N1616" s="2" t="s">
        <v>8303</v>
      </c>
      <c r="O1616" s="2" t="s">
        <v>869</v>
      </c>
      <c r="P1616" s="2" t="s">
        <v>870</v>
      </c>
    </row>
    <row r="1617" ht="15.75" customHeight="1">
      <c r="H1617" s="2" t="s">
        <v>8304</v>
      </c>
      <c r="I1617" s="2" t="s">
        <v>8305</v>
      </c>
      <c r="J1617" s="2" t="s">
        <v>8306</v>
      </c>
      <c r="K1617" s="2" t="s">
        <v>8307</v>
      </c>
      <c r="L1617" s="2" t="s">
        <v>6101</v>
      </c>
      <c r="M1617" s="2" t="s">
        <v>8308</v>
      </c>
      <c r="N1617" s="2" t="s">
        <v>8309</v>
      </c>
      <c r="O1617" s="2" t="s">
        <v>869</v>
      </c>
      <c r="P1617" s="2" t="s">
        <v>870</v>
      </c>
    </row>
    <row r="1618" ht="15.75" customHeight="1">
      <c r="H1618" s="2" t="s">
        <v>8310</v>
      </c>
      <c r="I1618" s="2" t="s">
        <v>1902</v>
      </c>
      <c r="J1618" s="2" t="s">
        <v>1903</v>
      </c>
      <c r="K1618" s="2" t="s">
        <v>8311</v>
      </c>
      <c r="L1618" s="2" t="s">
        <v>6101</v>
      </c>
      <c r="M1618" s="2" t="s">
        <v>8312</v>
      </c>
      <c r="N1618" s="2" t="s">
        <v>8313</v>
      </c>
      <c r="O1618" s="2" t="s">
        <v>869</v>
      </c>
      <c r="P1618" s="2" t="s">
        <v>870</v>
      </c>
    </row>
    <row r="1619" ht="15.75" customHeight="1">
      <c r="H1619" s="2" t="s">
        <v>8314</v>
      </c>
      <c r="I1619" s="2" t="s">
        <v>8315</v>
      </c>
      <c r="J1619" s="2" t="s">
        <v>8316</v>
      </c>
      <c r="K1619" s="2" t="s">
        <v>8317</v>
      </c>
      <c r="L1619" s="2" t="s">
        <v>6101</v>
      </c>
      <c r="M1619" s="2" t="s">
        <v>8318</v>
      </c>
      <c r="N1619" s="2" t="s">
        <v>8319</v>
      </c>
      <c r="O1619" s="2" t="s">
        <v>869</v>
      </c>
      <c r="P1619" s="2" t="s">
        <v>870</v>
      </c>
    </row>
    <row r="1620" ht="15.75" customHeight="1">
      <c r="H1620" s="2" t="s">
        <v>8320</v>
      </c>
      <c r="I1620" s="2" t="s">
        <v>2880</v>
      </c>
      <c r="J1620" s="2" t="s">
        <v>2881</v>
      </c>
      <c r="K1620" s="2" t="s">
        <v>8321</v>
      </c>
      <c r="L1620" s="2" t="s">
        <v>6101</v>
      </c>
      <c r="M1620" s="2" t="s">
        <v>8322</v>
      </c>
      <c r="N1620" s="2" t="s">
        <v>8323</v>
      </c>
      <c r="O1620" s="2" t="s">
        <v>869</v>
      </c>
      <c r="P1620" s="2" t="s">
        <v>870</v>
      </c>
    </row>
    <row r="1621" ht="15.75" customHeight="1">
      <c r="H1621" s="2" t="s">
        <v>8324</v>
      </c>
      <c r="I1621" s="2" t="s">
        <v>8325</v>
      </c>
      <c r="J1621" s="2" t="s">
        <v>8326</v>
      </c>
      <c r="K1621" s="2" t="s">
        <v>8327</v>
      </c>
      <c r="L1621" s="2" t="s">
        <v>6101</v>
      </c>
      <c r="M1621" s="2" t="s">
        <v>8328</v>
      </c>
      <c r="N1621" s="2" t="s">
        <v>8329</v>
      </c>
      <c r="O1621" s="2" t="s">
        <v>869</v>
      </c>
      <c r="P1621" s="2" t="s">
        <v>870</v>
      </c>
    </row>
    <row r="1622" ht="15.75" customHeight="1">
      <c r="F1622" s="2" t="s">
        <v>581</v>
      </c>
      <c r="H1622" s="2" t="s">
        <v>8330</v>
      </c>
      <c r="I1622" s="2" t="s">
        <v>8331</v>
      </c>
      <c r="J1622" s="2" t="s">
        <v>8332</v>
      </c>
      <c r="K1622" s="2" t="s">
        <v>8333</v>
      </c>
      <c r="L1622" s="2" t="s">
        <v>6101</v>
      </c>
      <c r="M1622" s="2" t="s">
        <v>8334</v>
      </c>
      <c r="N1622" s="2" t="s">
        <v>8335</v>
      </c>
      <c r="O1622" s="2" t="s">
        <v>869</v>
      </c>
      <c r="P1622" s="2" t="s">
        <v>870</v>
      </c>
    </row>
    <row r="1623" ht="15.75" customHeight="1">
      <c r="H1623" s="2" t="s">
        <v>8336</v>
      </c>
      <c r="I1623" s="2" t="s">
        <v>8337</v>
      </c>
      <c r="J1623" s="2" t="s">
        <v>8338</v>
      </c>
      <c r="K1623" s="2" t="s">
        <v>8339</v>
      </c>
      <c r="L1623" s="2" t="s">
        <v>6101</v>
      </c>
      <c r="M1623" s="2" t="s">
        <v>8340</v>
      </c>
      <c r="N1623" s="2" t="s">
        <v>8341</v>
      </c>
      <c r="O1623" s="2" t="s">
        <v>869</v>
      </c>
      <c r="P1623" s="2" t="s">
        <v>870</v>
      </c>
    </row>
    <row r="1624" ht="15.75" customHeight="1">
      <c r="H1624" s="2" t="s">
        <v>8342</v>
      </c>
      <c r="I1624" s="2" t="s">
        <v>8343</v>
      </c>
      <c r="J1624" s="2" t="s">
        <v>8344</v>
      </c>
      <c r="K1624" s="2" t="s">
        <v>8345</v>
      </c>
      <c r="L1624" s="2" t="s">
        <v>6101</v>
      </c>
      <c r="M1624" s="2" t="s">
        <v>8346</v>
      </c>
      <c r="N1624" s="2" t="s">
        <v>8347</v>
      </c>
      <c r="O1624" s="2" t="s">
        <v>869</v>
      </c>
      <c r="P1624" s="2" t="s">
        <v>870</v>
      </c>
    </row>
    <row r="1625" ht="15.75" customHeight="1">
      <c r="H1625" s="2" t="s">
        <v>8348</v>
      </c>
      <c r="I1625" s="2" t="s">
        <v>8349</v>
      </c>
      <c r="J1625" s="2" t="s">
        <v>8350</v>
      </c>
      <c r="K1625" s="2" t="s">
        <v>8351</v>
      </c>
      <c r="L1625" s="2" t="s">
        <v>6101</v>
      </c>
      <c r="M1625" s="2" t="s">
        <v>8352</v>
      </c>
      <c r="N1625" s="2" t="s">
        <v>8353</v>
      </c>
      <c r="O1625" s="2" t="s">
        <v>869</v>
      </c>
      <c r="P1625" s="2" t="s">
        <v>870</v>
      </c>
    </row>
    <row r="1626" ht="15.75" customHeight="1">
      <c r="H1626" s="2" t="s">
        <v>8354</v>
      </c>
      <c r="I1626" s="2" t="s">
        <v>8355</v>
      </c>
      <c r="J1626" s="2" t="s">
        <v>8356</v>
      </c>
      <c r="K1626" s="2" t="s">
        <v>8357</v>
      </c>
      <c r="L1626" s="2" t="s">
        <v>6101</v>
      </c>
      <c r="M1626" s="2" t="s">
        <v>8358</v>
      </c>
      <c r="N1626" s="2" t="s">
        <v>8359</v>
      </c>
      <c r="O1626" s="2" t="s">
        <v>869</v>
      </c>
      <c r="P1626" s="2" t="s">
        <v>870</v>
      </c>
    </row>
    <row r="1627" ht="15.75" customHeight="1">
      <c r="H1627" s="2" t="s">
        <v>8360</v>
      </c>
      <c r="I1627" s="2" t="s">
        <v>8361</v>
      </c>
      <c r="J1627" s="2" t="s">
        <v>8362</v>
      </c>
      <c r="K1627" s="2" t="s">
        <v>8363</v>
      </c>
      <c r="L1627" s="2" t="s">
        <v>6101</v>
      </c>
      <c r="M1627" s="2" t="s">
        <v>8364</v>
      </c>
      <c r="N1627" s="2" t="s">
        <v>8365</v>
      </c>
      <c r="O1627" s="2" t="s">
        <v>869</v>
      </c>
      <c r="P1627" s="2" t="s">
        <v>870</v>
      </c>
    </row>
    <row r="1628" ht="15.75" customHeight="1">
      <c r="H1628" s="2" t="s">
        <v>8366</v>
      </c>
      <c r="I1628" s="2" t="s">
        <v>8367</v>
      </c>
      <c r="J1628" s="2" t="s">
        <v>8368</v>
      </c>
      <c r="K1628" s="2" t="s">
        <v>8369</v>
      </c>
      <c r="L1628" s="2" t="s">
        <v>6101</v>
      </c>
      <c r="M1628" s="2" t="s">
        <v>8370</v>
      </c>
      <c r="N1628" s="2" t="s">
        <v>8371</v>
      </c>
      <c r="O1628" s="2" t="s">
        <v>869</v>
      </c>
      <c r="P1628" s="2" t="s">
        <v>870</v>
      </c>
    </row>
    <row r="1629" ht="15.75" customHeight="1">
      <c r="H1629" s="2" t="s">
        <v>8372</v>
      </c>
      <c r="I1629" s="2" t="s">
        <v>8373</v>
      </c>
      <c r="J1629" s="2" t="s">
        <v>8374</v>
      </c>
      <c r="K1629" s="2" t="s">
        <v>8375</v>
      </c>
      <c r="L1629" s="2" t="s">
        <v>6101</v>
      </c>
      <c r="M1629" s="2" t="s">
        <v>8376</v>
      </c>
      <c r="N1629" s="2" t="s">
        <v>8377</v>
      </c>
      <c r="O1629" s="2" t="s">
        <v>869</v>
      </c>
      <c r="P1629" s="2" t="s">
        <v>870</v>
      </c>
    </row>
    <row r="1630" ht="15.75" customHeight="1">
      <c r="H1630" s="2" t="s">
        <v>8378</v>
      </c>
      <c r="I1630" s="2" t="s">
        <v>583</v>
      </c>
      <c r="J1630" s="2" t="s">
        <v>584</v>
      </c>
      <c r="K1630" s="2" t="s">
        <v>8379</v>
      </c>
      <c r="L1630" s="2" t="s">
        <v>6101</v>
      </c>
      <c r="M1630" s="2" t="s">
        <v>8380</v>
      </c>
      <c r="N1630" s="2" t="s">
        <v>8381</v>
      </c>
      <c r="O1630" s="2" t="s">
        <v>869</v>
      </c>
      <c r="P1630" s="2" t="s">
        <v>870</v>
      </c>
    </row>
    <row r="1631" ht="15.75" customHeight="1">
      <c r="H1631" s="2" t="s">
        <v>8382</v>
      </c>
      <c r="I1631" s="2" t="s">
        <v>8383</v>
      </c>
      <c r="J1631" s="2" t="s">
        <v>8384</v>
      </c>
      <c r="K1631" s="2" t="s">
        <v>8385</v>
      </c>
      <c r="L1631" s="2" t="s">
        <v>6101</v>
      </c>
      <c r="M1631" s="2" t="s">
        <v>8386</v>
      </c>
      <c r="N1631" s="2" t="s">
        <v>8387</v>
      </c>
      <c r="O1631" s="2" t="s">
        <v>869</v>
      </c>
      <c r="P1631" s="2" t="s">
        <v>870</v>
      </c>
    </row>
    <row r="1632" ht="15.75" customHeight="1">
      <c r="H1632" s="2" t="s">
        <v>8388</v>
      </c>
      <c r="I1632" s="2" t="s">
        <v>8389</v>
      </c>
      <c r="J1632" s="2" t="s">
        <v>8390</v>
      </c>
      <c r="K1632" s="2" t="s">
        <v>8391</v>
      </c>
      <c r="L1632" s="2" t="s">
        <v>6101</v>
      </c>
      <c r="M1632" s="2" t="s">
        <v>8392</v>
      </c>
      <c r="N1632" s="2" t="s">
        <v>8393</v>
      </c>
      <c r="O1632" s="2" t="s">
        <v>869</v>
      </c>
      <c r="P1632" s="2" t="s">
        <v>870</v>
      </c>
    </row>
    <row r="1633" ht="15.75" customHeight="1">
      <c r="H1633" s="2" t="s">
        <v>8394</v>
      </c>
      <c r="I1633" s="2" t="s">
        <v>8395</v>
      </c>
      <c r="J1633" s="2" t="s">
        <v>8396</v>
      </c>
      <c r="K1633" s="2" t="s">
        <v>8397</v>
      </c>
      <c r="L1633" s="2" t="s">
        <v>6101</v>
      </c>
      <c r="M1633" s="2" t="s">
        <v>8398</v>
      </c>
      <c r="N1633" s="2" t="s">
        <v>8399</v>
      </c>
      <c r="O1633" s="2" t="s">
        <v>869</v>
      </c>
      <c r="P1633" s="2" t="s">
        <v>870</v>
      </c>
    </row>
    <row r="1634" ht="15.75" customHeight="1">
      <c r="H1634" s="2" t="s">
        <v>8400</v>
      </c>
      <c r="I1634" s="2" t="s">
        <v>8401</v>
      </c>
      <c r="J1634" s="2" t="s">
        <v>8402</v>
      </c>
      <c r="K1634" s="2" t="s">
        <v>8403</v>
      </c>
      <c r="L1634" s="2" t="s">
        <v>6101</v>
      </c>
      <c r="M1634" s="2" t="s">
        <v>8404</v>
      </c>
      <c r="N1634" s="2" t="s">
        <v>8405</v>
      </c>
      <c r="O1634" s="2" t="s">
        <v>869</v>
      </c>
      <c r="P1634" s="2" t="s">
        <v>870</v>
      </c>
    </row>
    <row r="1635" ht="15.75" customHeight="1">
      <c r="H1635" s="2" t="s">
        <v>8406</v>
      </c>
      <c r="I1635" s="2" t="s">
        <v>8407</v>
      </c>
      <c r="J1635" s="2" t="s">
        <v>8408</v>
      </c>
      <c r="K1635" s="2" t="s">
        <v>8409</v>
      </c>
      <c r="L1635" s="2" t="s">
        <v>6101</v>
      </c>
      <c r="M1635" s="2" t="s">
        <v>8410</v>
      </c>
      <c r="N1635" s="2" t="s">
        <v>8411</v>
      </c>
      <c r="O1635" s="2" t="s">
        <v>869</v>
      </c>
      <c r="P1635" s="2" t="s">
        <v>870</v>
      </c>
    </row>
    <row r="1636" ht="15.75" customHeight="1">
      <c r="H1636" s="2" t="s">
        <v>8412</v>
      </c>
      <c r="I1636" s="2" t="s">
        <v>8413</v>
      </c>
      <c r="J1636" s="2" t="s">
        <v>8414</v>
      </c>
      <c r="K1636" s="2" t="s">
        <v>8415</v>
      </c>
      <c r="L1636" s="2" t="s">
        <v>6101</v>
      </c>
      <c r="M1636" s="2" t="s">
        <v>8416</v>
      </c>
      <c r="N1636" s="2" t="s">
        <v>8417</v>
      </c>
      <c r="O1636" s="2" t="s">
        <v>869</v>
      </c>
      <c r="P1636" s="2" t="s">
        <v>870</v>
      </c>
    </row>
    <row r="1637" ht="15.75" customHeight="1">
      <c r="H1637" s="2" t="s">
        <v>8418</v>
      </c>
      <c r="I1637" s="2" t="s">
        <v>591</v>
      </c>
      <c r="J1637" s="2" t="s">
        <v>592</v>
      </c>
      <c r="K1637" s="2" t="s">
        <v>8419</v>
      </c>
      <c r="L1637" s="2" t="s">
        <v>6101</v>
      </c>
      <c r="M1637" s="2" t="s">
        <v>8420</v>
      </c>
      <c r="N1637" s="2" t="s">
        <v>8421</v>
      </c>
      <c r="O1637" s="2" t="s">
        <v>869</v>
      </c>
      <c r="P1637" s="2" t="s">
        <v>870</v>
      </c>
    </row>
    <row r="1638" ht="15.75" customHeight="1">
      <c r="H1638" s="2" t="s">
        <v>8422</v>
      </c>
      <c r="I1638" s="2" t="s">
        <v>8423</v>
      </c>
      <c r="J1638" s="2" t="s">
        <v>8424</v>
      </c>
      <c r="K1638" s="2" t="s">
        <v>8425</v>
      </c>
      <c r="L1638" s="2" t="s">
        <v>6101</v>
      </c>
      <c r="M1638" s="2" t="s">
        <v>8426</v>
      </c>
      <c r="N1638" s="2" t="s">
        <v>8427</v>
      </c>
      <c r="O1638" s="2" t="s">
        <v>869</v>
      </c>
      <c r="P1638" s="2" t="s">
        <v>870</v>
      </c>
    </row>
    <row r="1639" ht="15.75" customHeight="1">
      <c r="H1639" s="2" t="s">
        <v>8428</v>
      </c>
      <c r="I1639" s="2" t="s">
        <v>432</v>
      </c>
      <c r="J1639" s="2" t="s">
        <v>433</v>
      </c>
      <c r="K1639" s="2" t="s">
        <v>8429</v>
      </c>
      <c r="L1639" s="2" t="s">
        <v>6101</v>
      </c>
      <c r="M1639" s="2" t="s">
        <v>8430</v>
      </c>
      <c r="N1639" s="2" t="s">
        <v>8431</v>
      </c>
      <c r="O1639" s="2" t="s">
        <v>869</v>
      </c>
      <c r="P1639" s="2" t="s">
        <v>870</v>
      </c>
    </row>
    <row r="1640" ht="15.75" customHeight="1">
      <c r="H1640" s="2" t="s">
        <v>8432</v>
      </c>
      <c r="I1640" s="2" t="s">
        <v>8433</v>
      </c>
      <c r="J1640" s="2" t="s">
        <v>8434</v>
      </c>
      <c r="K1640" s="2" t="s">
        <v>8435</v>
      </c>
      <c r="L1640" s="2" t="s">
        <v>6101</v>
      </c>
      <c r="M1640" s="2" t="s">
        <v>8436</v>
      </c>
      <c r="N1640" s="2" t="s">
        <v>8437</v>
      </c>
      <c r="O1640" s="2" t="s">
        <v>869</v>
      </c>
      <c r="P1640" s="2" t="s">
        <v>870</v>
      </c>
    </row>
    <row r="1641" ht="15.75" customHeight="1">
      <c r="H1641" s="2" t="s">
        <v>8438</v>
      </c>
      <c r="I1641" s="2" t="s">
        <v>2895</v>
      </c>
      <c r="J1641" s="2" t="s">
        <v>2896</v>
      </c>
      <c r="K1641" s="2" t="s">
        <v>8439</v>
      </c>
      <c r="L1641" s="2" t="s">
        <v>6101</v>
      </c>
      <c r="M1641" s="2" t="s">
        <v>8440</v>
      </c>
      <c r="N1641" s="2" t="s">
        <v>8441</v>
      </c>
      <c r="O1641" s="2" t="s">
        <v>869</v>
      </c>
      <c r="P1641" s="2" t="s">
        <v>870</v>
      </c>
    </row>
    <row r="1642" ht="15.75" customHeight="1">
      <c r="H1642" s="2" t="s">
        <v>8442</v>
      </c>
      <c r="I1642" s="2" t="s">
        <v>8443</v>
      </c>
      <c r="J1642" s="2" t="s">
        <v>8444</v>
      </c>
      <c r="K1642" s="2" t="s">
        <v>8445</v>
      </c>
      <c r="L1642" s="2" t="s">
        <v>6101</v>
      </c>
      <c r="M1642" s="2" t="s">
        <v>8446</v>
      </c>
      <c r="N1642" s="2" t="s">
        <v>8447</v>
      </c>
      <c r="O1642" s="2" t="s">
        <v>869</v>
      </c>
      <c r="P1642" s="2" t="s">
        <v>870</v>
      </c>
    </row>
    <row r="1643" ht="15.75" customHeight="1">
      <c r="H1643" s="2" t="s">
        <v>8448</v>
      </c>
      <c r="I1643" s="2" t="s">
        <v>8449</v>
      </c>
      <c r="J1643" s="2" t="s">
        <v>8450</v>
      </c>
      <c r="K1643" s="2" t="s">
        <v>8451</v>
      </c>
      <c r="L1643" s="2" t="s">
        <v>6101</v>
      </c>
      <c r="M1643" s="2" t="s">
        <v>8452</v>
      </c>
      <c r="N1643" s="2" t="s">
        <v>8453</v>
      </c>
      <c r="O1643" s="2" t="s">
        <v>869</v>
      </c>
      <c r="P1643" s="2" t="s">
        <v>870</v>
      </c>
    </row>
    <row r="1644" ht="15.75" customHeight="1">
      <c r="H1644" s="2" t="s">
        <v>8454</v>
      </c>
      <c r="I1644" s="2" t="s">
        <v>8455</v>
      </c>
      <c r="J1644" s="2" t="s">
        <v>8456</v>
      </c>
      <c r="K1644" s="2" t="s">
        <v>8457</v>
      </c>
      <c r="L1644" s="2" t="s">
        <v>6101</v>
      </c>
      <c r="M1644" s="2" t="s">
        <v>8458</v>
      </c>
      <c r="N1644" s="2" t="s">
        <v>8459</v>
      </c>
      <c r="O1644" s="2" t="s">
        <v>869</v>
      </c>
      <c r="P1644" s="2" t="s">
        <v>870</v>
      </c>
    </row>
    <row r="1645" ht="15.75" customHeight="1">
      <c r="H1645" s="2" t="s">
        <v>8460</v>
      </c>
      <c r="I1645" s="2" t="s">
        <v>8461</v>
      </c>
      <c r="J1645" s="2" t="s">
        <v>8462</v>
      </c>
      <c r="K1645" s="2" t="s">
        <v>8463</v>
      </c>
      <c r="L1645" s="2" t="s">
        <v>6101</v>
      </c>
      <c r="M1645" s="2" t="s">
        <v>8464</v>
      </c>
      <c r="N1645" s="2" t="s">
        <v>8465</v>
      </c>
      <c r="O1645" s="2" t="s">
        <v>869</v>
      </c>
      <c r="P1645" s="2" t="s">
        <v>870</v>
      </c>
    </row>
    <row r="1646" ht="15.75" customHeight="1">
      <c r="H1646" s="2" t="s">
        <v>8466</v>
      </c>
      <c r="I1646" s="2" t="s">
        <v>8467</v>
      </c>
      <c r="J1646" s="2" t="s">
        <v>8468</v>
      </c>
      <c r="K1646" s="2" t="s">
        <v>8469</v>
      </c>
      <c r="L1646" s="2" t="s">
        <v>6101</v>
      </c>
      <c r="M1646" s="2" t="s">
        <v>8470</v>
      </c>
      <c r="N1646" s="2" t="s">
        <v>8471</v>
      </c>
      <c r="O1646" s="2" t="s">
        <v>869</v>
      </c>
      <c r="P1646" s="2" t="s">
        <v>870</v>
      </c>
    </row>
    <row r="1647" ht="15.75" customHeight="1">
      <c r="H1647" s="2" t="s">
        <v>8472</v>
      </c>
      <c r="I1647" s="2" t="s">
        <v>8473</v>
      </c>
      <c r="J1647" s="2" t="s">
        <v>8473</v>
      </c>
      <c r="K1647" s="2" t="s">
        <v>1569</v>
      </c>
    </row>
    <row r="1648" ht="15.75" customHeight="1">
      <c r="H1648" s="2" t="s">
        <v>8474</v>
      </c>
      <c r="I1648" s="2" t="s">
        <v>8475</v>
      </c>
      <c r="J1648" s="2" t="s">
        <v>8476</v>
      </c>
      <c r="K1648" s="2" t="s">
        <v>8477</v>
      </c>
      <c r="L1648" s="2" t="s">
        <v>6101</v>
      </c>
      <c r="M1648" s="2" t="s">
        <v>8478</v>
      </c>
      <c r="N1648" s="2" t="s">
        <v>8479</v>
      </c>
      <c r="O1648" s="2" t="s">
        <v>869</v>
      </c>
      <c r="P1648" s="2" t="s">
        <v>870</v>
      </c>
    </row>
    <row r="1649" ht="15.75" customHeight="1">
      <c r="H1649" s="2" t="s">
        <v>8480</v>
      </c>
      <c r="I1649" s="2" t="s">
        <v>8481</v>
      </c>
      <c r="J1649" s="2" t="s">
        <v>8482</v>
      </c>
      <c r="K1649" s="2" t="s">
        <v>8483</v>
      </c>
      <c r="L1649" s="2" t="s">
        <v>6101</v>
      </c>
      <c r="M1649" s="2" t="s">
        <v>8484</v>
      </c>
      <c r="N1649" s="2" t="s">
        <v>8485</v>
      </c>
      <c r="O1649" s="2" t="s">
        <v>869</v>
      </c>
      <c r="P1649" s="2" t="s">
        <v>870</v>
      </c>
    </row>
    <row r="1650" ht="15.75" customHeight="1">
      <c r="H1650" s="2" t="s">
        <v>8486</v>
      </c>
      <c r="I1650" s="2" t="s">
        <v>8487</v>
      </c>
      <c r="J1650" s="2" t="s">
        <v>8488</v>
      </c>
      <c r="K1650" s="2" t="s">
        <v>8489</v>
      </c>
      <c r="L1650" s="2" t="s">
        <v>6101</v>
      </c>
      <c r="M1650" s="2" t="s">
        <v>8490</v>
      </c>
      <c r="N1650" s="2" t="s">
        <v>8491</v>
      </c>
      <c r="O1650" s="2" t="s">
        <v>869</v>
      </c>
      <c r="P1650" s="2" t="s">
        <v>870</v>
      </c>
    </row>
    <row r="1651" ht="15.75" customHeight="1">
      <c r="H1651" s="2" t="s">
        <v>8492</v>
      </c>
      <c r="I1651" s="2" t="s">
        <v>8493</v>
      </c>
      <c r="J1651" s="2" t="s">
        <v>8494</v>
      </c>
      <c r="K1651" s="2" t="s">
        <v>8495</v>
      </c>
      <c r="L1651" s="2" t="s">
        <v>6101</v>
      </c>
      <c r="M1651" s="2" t="s">
        <v>8496</v>
      </c>
      <c r="N1651" s="2" t="s">
        <v>8497</v>
      </c>
      <c r="O1651" s="2" t="s">
        <v>869</v>
      </c>
      <c r="P1651" s="2" t="s">
        <v>870</v>
      </c>
    </row>
    <row r="1652" ht="15.75" customHeight="1">
      <c r="F1652" s="2" t="s">
        <v>2902</v>
      </c>
      <c r="H1652" s="2" t="s">
        <v>8498</v>
      </c>
      <c r="I1652" s="2" t="s">
        <v>8499</v>
      </c>
      <c r="J1652" s="2" t="s">
        <v>8500</v>
      </c>
      <c r="K1652" s="2" t="s">
        <v>8501</v>
      </c>
      <c r="L1652" s="2" t="s">
        <v>6101</v>
      </c>
      <c r="M1652" s="2" t="s">
        <v>8502</v>
      </c>
      <c r="N1652" s="2" t="s">
        <v>8503</v>
      </c>
      <c r="O1652" s="2" t="s">
        <v>869</v>
      </c>
      <c r="P1652" s="2" t="s">
        <v>870</v>
      </c>
    </row>
    <row r="1653" ht="15.75" customHeight="1">
      <c r="H1653" s="2" t="s">
        <v>8504</v>
      </c>
      <c r="I1653" s="2" t="s">
        <v>8505</v>
      </c>
      <c r="J1653" s="2" t="s">
        <v>8506</v>
      </c>
      <c r="K1653" s="2" t="s">
        <v>8507</v>
      </c>
      <c r="L1653" s="2" t="s">
        <v>6101</v>
      </c>
      <c r="M1653" s="2" t="s">
        <v>8508</v>
      </c>
      <c r="N1653" s="2" t="s">
        <v>8509</v>
      </c>
      <c r="O1653" s="2" t="s">
        <v>8510</v>
      </c>
      <c r="P1653" s="2" t="s">
        <v>869</v>
      </c>
    </row>
    <row r="1654" ht="15.75" customHeight="1">
      <c r="H1654" s="2" t="s">
        <v>8511</v>
      </c>
      <c r="I1654" s="2" t="s">
        <v>8512</v>
      </c>
      <c r="J1654" s="2" t="s">
        <v>8513</v>
      </c>
      <c r="K1654" s="2" t="s">
        <v>8514</v>
      </c>
      <c r="L1654" s="2" t="s">
        <v>6101</v>
      </c>
      <c r="M1654" s="2" t="s">
        <v>8515</v>
      </c>
      <c r="N1654" s="2" t="s">
        <v>8516</v>
      </c>
      <c r="O1654" s="2" t="s">
        <v>869</v>
      </c>
      <c r="P1654" s="2" t="s">
        <v>870</v>
      </c>
    </row>
    <row r="1655" ht="15.75" customHeight="1">
      <c r="H1655" s="2" t="s">
        <v>8517</v>
      </c>
      <c r="I1655" s="2" t="s">
        <v>8518</v>
      </c>
      <c r="J1655" s="2" t="s">
        <v>8519</v>
      </c>
      <c r="K1655" s="2" t="s">
        <v>8520</v>
      </c>
      <c r="L1655" s="2" t="s">
        <v>6101</v>
      </c>
      <c r="M1655" s="2" t="s">
        <v>8521</v>
      </c>
      <c r="N1655" s="2" t="s">
        <v>8522</v>
      </c>
      <c r="O1655" s="2" t="s">
        <v>869</v>
      </c>
      <c r="P1655" s="2" t="s">
        <v>870</v>
      </c>
    </row>
    <row r="1656" ht="15.75" customHeight="1">
      <c r="H1656" s="2" t="s">
        <v>8523</v>
      </c>
      <c r="I1656" s="2" t="s">
        <v>8524</v>
      </c>
      <c r="J1656" s="2" t="s">
        <v>8525</v>
      </c>
      <c r="K1656" s="2" t="s">
        <v>8526</v>
      </c>
      <c r="L1656" s="2" t="s">
        <v>6101</v>
      </c>
      <c r="M1656" s="2" t="s">
        <v>8527</v>
      </c>
      <c r="N1656" s="2" t="s">
        <v>8528</v>
      </c>
      <c r="O1656" s="2" t="s">
        <v>869</v>
      </c>
      <c r="P1656" s="2" t="s">
        <v>870</v>
      </c>
    </row>
    <row r="1657" ht="15.75" customHeight="1">
      <c r="H1657" s="2" t="s">
        <v>8529</v>
      </c>
      <c r="I1657" s="2" t="s">
        <v>8530</v>
      </c>
      <c r="J1657" s="2" t="s">
        <v>8531</v>
      </c>
      <c r="K1657" s="2" t="s">
        <v>8532</v>
      </c>
      <c r="L1657" s="2" t="s">
        <v>6101</v>
      </c>
      <c r="M1657" s="2" t="s">
        <v>8533</v>
      </c>
      <c r="N1657" s="2" t="s">
        <v>8534</v>
      </c>
      <c r="O1657" s="2" t="s">
        <v>8535</v>
      </c>
      <c r="P1657" s="2" t="s">
        <v>869</v>
      </c>
    </row>
    <row r="1658" ht="15.75" customHeight="1">
      <c r="H1658" s="2" t="s">
        <v>8536</v>
      </c>
      <c r="I1658" s="2" t="s">
        <v>8537</v>
      </c>
      <c r="J1658" s="2" t="s">
        <v>8538</v>
      </c>
      <c r="K1658" s="2" t="s">
        <v>8539</v>
      </c>
      <c r="L1658" s="2" t="s">
        <v>6101</v>
      </c>
      <c r="M1658" s="2" t="s">
        <v>8540</v>
      </c>
      <c r="N1658" s="2" t="s">
        <v>8541</v>
      </c>
      <c r="O1658" s="2" t="s">
        <v>869</v>
      </c>
      <c r="P1658" s="2" t="s">
        <v>870</v>
      </c>
    </row>
    <row r="1659" ht="15.75" customHeight="1">
      <c r="H1659" s="2" t="s">
        <v>8542</v>
      </c>
      <c r="I1659" s="2" t="s">
        <v>8543</v>
      </c>
      <c r="J1659" s="2" t="s">
        <v>8544</v>
      </c>
      <c r="K1659" s="2" t="s">
        <v>8545</v>
      </c>
      <c r="L1659" s="2" t="s">
        <v>6101</v>
      </c>
      <c r="M1659" s="2" t="s">
        <v>8546</v>
      </c>
      <c r="N1659" s="2" t="s">
        <v>8547</v>
      </c>
      <c r="O1659" s="2" t="s">
        <v>869</v>
      </c>
      <c r="P1659" s="2" t="s">
        <v>870</v>
      </c>
    </row>
    <row r="1660" ht="15.75" customHeight="1">
      <c r="H1660" s="2" t="s">
        <v>8548</v>
      </c>
      <c r="I1660" s="2" t="s">
        <v>8549</v>
      </c>
      <c r="J1660" s="2" t="s">
        <v>8550</v>
      </c>
      <c r="K1660" s="2" t="s">
        <v>8551</v>
      </c>
      <c r="L1660" s="2" t="s">
        <v>6101</v>
      </c>
      <c r="M1660" s="2" t="s">
        <v>8552</v>
      </c>
      <c r="N1660" s="2" t="s">
        <v>8553</v>
      </c>
      <c r="O1660" s="2" t="s">
        <v>869</v>
      </c>
      <c r="P1660" s="2" t="s">
        <v>870</v>
      </c>
    </row>
    <row r="1661" ht="15.75" customHeight="1">
      <c r="H1661" s="2" t="s">
        <v>8554</v>
      </c>
      <c r="I1661" s="2" t="s">
        <v>2912</v>
      </c>
      <c r="J1661" s="2" t="s">
        <v>2913</v>
      </c>
      <c r="K1661" s="2" t="s">
        <v>8555</v>
      </c>
      <c r="L1661" s="2" t="s">
        <v>6101</v>
      </c>
      <c r="M1661" s="2" t="s">
        <v>8556</v>
      </c>
      <c r="N1661" s="2" t="s">
        <v>8557</v>
      </c>
      <c r="O1661" s="2" t="s">
        <v>869</v>
      </c>
      <c r="P1661" s="2" t="s">
        <v>870</v>
      </c>
    </row>
    <row r="1662" ht="15.75" customHeight="1">
      <c r="H1662" s="2" t="s">
        <v>8558</v>
      </c>
      <c r="I1662" s="2" t="s">
        <v>352</v>
      </c>
      <c r="J1662" s="2" t="s">
        <v>353</v>
      </c>
      <c r="K1662" s="2" t="s">
        <v>8559</v>
      </c>
      <c r="L1662" s="2" t="s">
        <v>6101</v>
      </c>
      <c r="M1662" s="2" t="s">
        <v>8560</v>
      </c>
      <c r="N1662" s="2" t="s">
        <v>8561</v>
      </c>
      <c r="O1662" s="2" t="s">
        <v>869</v>
      </c>
      <c r="P1662" s="2" t="s">
        <v>870</v>
      </c>
    </row>
    <row r="1663" ht="15.75" customHeight="1">
      <c r="H1663" s="2" t="s">
        <v>8562</v>
      </c>
      <c r="I1663" s="2" t="s">
        <v>8563</v>
      </c>
      <c r="J1663" s="2" t="s">
        <v>8564</v>
      </c>
      <c r="K1663" s="2" t="s">
        <v>8565</v>
      </c>
      <c r="L1663" s="2" t="s">
        <v>6101</v>
      </c>
      <c r="M1663" s="2" t="s">
        <v>8566</v>
      </c>
      <c r="N1663" s="2" t="s">
        <v>8567</v>
      </c>
      <c r="O1663" s="2" t="s">
        <v>869</v>
      </c>
      <c r="P1663" s="2" t="s">
        <v>870</v>
      </c>
    </row>
    <row r="1664" ht="15.75" customHeight="1">
      <c r="H1664" s="2" t="s">
        <v>8568</v>
      </c>
      <c r="I1664" s="2" t="s">
        <v>8569</v>
      </c>
      <c r="J1664" s="2" t="s">
        <v>8570</v>
      </c>
      <c r="K1664" s="2" t="s">
        <v>8571</v>
      </c>
      <c r="L1664" s="2" t="s">
        <v>6101</v>
      </c>
      <c r="M1664" s="2" t="s">
        <v>8572</v>
      </c>
      <c r="N1664" s="2" t="s">
        <v>8573</v>
      </c>
      <c r="O1664" s="2" t="s">
        <v>869</v>
      </c>
      <c r="P1664" s="2" t="s">
        <v>870</v>
      </c>
    </row>
    <row r="1665" ht="15.75" customHeight="1">
      <c r="H1665" s="2" t="s">
        <v>8574</v>
      </c>
      <c r="I1665" s="2" t="s">
        <v>2925</v>
      </c>
      <c r="J1665" s="2" t="s">
        <v>2926</v>
      </c>
      <c r="K1665" s="2" t="s">
        <v>8575</v>
      </c>
      <c r="L1665" s="2" t="s">
        <v>6101</v>
      </c>
      <c r="M1665" s="2" t="s">
        <v>8576</v>
      </c>
      <c r="N1665" s="2" t="s">
        <v>8577</v>
      </c>
      <c r="O1665" s="2" t="s">
        <v>869</v>
      </c>
      <c r="P1665" s="2" t="s">
        <v>870</v>
      </c>
    </row>
    <row r="1666" ht="15.75" customHeight="1">
      <c r="H1666" s="2" t="s">
        <v>8578</v>
      </c>
      <c r="I1666" s="2" t="s">
        <v>8579</v>
      </c>
      <c r="J1666" s="2" t="s">
        <v>8580</v>
      </c>
      <c r="K1666" s="2" t="s">
        <v>8581</v>
      </c>
      <c r="L1666" s="2" t="s">
        <v>6101</v>
      </c>
      <c r="M1666" s="2" t="s">
        <v>8582</v>
      </c>
      <c r="N1666" s="2" t="s">
        <v>8583</v>
      </c>
      <c r="O1666" s="2" t="s">
        <v>869</v>
      </c>
      <c r="P1666" s="2" t="s">
        <v>870</v>
      </c>
    </row>
    <row r="1667" ht="15.75" customHeight="1">
      <c r="H1667" s="2" t="s">
        <v>8584</v>
      </c>
      <c r="I1667" s="2" t="s">
        <v>8585</v>
      </c>
      <c r="J1667" s="2" t="s">
        <v>8586</v>
      </c>
      <c r="K1667" s="2" t="s">
        <v>8587</v>
      </c>
      <c r="L1667" s="2" t="s">
        <v>6101</v>
      </c>
      <c r="M1667" s="2" t="s">
        <v>8588</v>
      </c>
      <c r="N1667" s="2" t="s">
        <v>8589</v>
      </c>
      <c r="O1667" s="2" t="s">
        <v>869</v>
      </c>
      <c r="P1667" s="2" t="s">
        <v>870</v>
      </c>
    </row>
    <row r="1668" ht="15.75" customHeight="1">
      <c r="H1668" s="2" t="s">
        <v>8590</v>
      </c>
      <c r="I1668" s="2" t="s">
        <v>8591</v>
      </c>
      <c r="J1668" s="2" t="s">
        <v>8592</v>
      </c>
      <c r="K1668" s="2" t="s">
        <v>8593</v>
      </c>
      <c r="L1668" s="2" t="s">
        <v>6101</v>
      </c>
      <c r="M1668" s="2" t="s">
        <v>8594</v>
      </c>
      <c r="N1668" s="2" t="s">
        <v>8595</v>
      </c>
      <c r="O1668" s="2" t="s">
        <v>869</v>
      </c>
      <c r="P1668" s="2" t="s">
        <v>870</v>
      </c>
    </row>
    <row r="1669" ht="15.75" customHeight="1">
      <c r="H1669" s="2" t="s">
        <v>8596</v>
      </c>
      <c r="I1669" s="2" t="s">
        <v>8597</v>
      </c>
      <c r="J1669" s="2" t="s">
        <v>8598</v>
      </c>
      <c r="K1669" s="2" t="s">
        <v>8599</v>
      </c>
      <c r="L1669" s="2" t="s">
        <v>6101</v>
      </c>
      <c r="M1669" s="2" t="s">
        <v>8600</v>
      </c>
      <c r="N1669" s="2" t="s">
        <v>8601</v>
      </c>
      <c r="O1669" s="2" t="s">
        <v>869</v>
      </c>
      <c r="P1669" s="2" t="s">
        <v>870</v>
      </c>
    </row>
    <row r="1670" ht="15.75" customHeight="1">
      <c r="H1670" s="2" t="s">
        <v>8602</v>
      </c>
      <c r="I1670" s="2" t="s">
        <v>8603</v>
      </c>
      <c r="J1670" s="2" t="s">
        <v>8604</v>
      </c>
      <c r="K1670" s="2" t="s">
        <v>8605</v>
      </c>
      <c r="L1670" s="2" t="s">
        <v>6101</v>
      </c>
      <c r="M1670" s="2" t="s">
        <v>8552</v>
      </c>
      <c r="N1670" s="2" t="s">
        <v>8606</v>
      </c>
      <c r="O1670" s="2" t="s">
        <v>869</v>
      </c>
      <c r="P1670" s="2" t="s">
        <v>870</v>
      </c>
    </row>
    <row r="1671" ht="15.75" customHeight="1">
      <c r="H1671" s="2" t="s">
        <v>8607</v>
      </c>
      <c r="I1671" s="2" t="s">
        <v>8608</v>
      </c>
      <c r="J1671" s="2" t="s">
        <v>8609</v>
      </c>
      <c r="K1671" s="2" t="s">
        <v>8610</v>
      </c>
      <c r="L1671" s="2" t="s">
        <v>6101</v>
      </c>
      <c r="M1671" s="2" t="s">
        <v>8611</v>
      </c>
      <c r="N1671" s="2" t="s">
        <v>8612</v>
      </c>
      <c r="O1671" s="2" t="s">
        <v>869</v>
      </c>
      <c r="P1671" s="2" t="s">
        <v>870</v>
      </c>
    </row>
    <row r="1672" ht="15.75" customHeight="1">
      <c r="H1672" s="2" t="s">
        <v>8613</v>
      </c>
      <c r="I1672" s="2" t="s">
        <v>8614</v>
      </c>
      <c r="J1672" s="2" t="s">
        <v>8615</v>
      </c>
      <c r="K1672" s="2" t="s">
        <v>8616</v>
      </c>
      <c r="L1672" s="2" t="s">
        <v>6101</v>
      </c>
      <c r="M1672" s="2" t="s">
        <v>8617</v>
      </c>
      <c r="N1672" s="2" t="s">
        <v>8618</v>
      </c>
      <c r="O1672" s="2" t="s">
        <v>869</v>
      </c>
      <c r="P1672" s="2" t="s">
        <v>870</v>
      </c>
    </row>
    <row r="1673" ht="15.75" customHeight="1">
      <c r="H1673" s="2" t="s">
        <v>8619</v>
      </c>
      <c r="I1673" s="2" t="s">
        <v>4528</v>
      </c>
      <c r="J1673" s="2" t="s">
        <v>4529</v>
      </c>
      <c r="K1673" s="2" t="s">
        <v>8620</v>
      </c>
      <c r="L1673" s="2" t="s">
        <v>6101</v>
      </c>
      <c r="M1673" s="2" t="s">
        <v>8621</v>
      </c>
      <c r="N1673" s="2" t="s">
        <v>8622</v>
      </c>
      <c r="O1673" s="2" t="s">
        <v>8623</v>
      </c>
      <c r="P1673" s="2" t="s">
        <v>869</v>
      </c>
    </row>
    <row r="1674" ht="15.75" customHeight="1">
      <c r="H1674" s="2" t="s">
        <v>8624</v>
      </c>
      <c r="I1674" s="2" t="s">
        <v>8625</v>
      </c>
      <c r="J1674" s="2" t="s">
        <v>8626</v>
      </c>
      <c r="K1674" s="2" t="s">
        <v>8627</v>
      </c>
      <c r="L1674" s="2" t="s">
        <v>6101</v>
      </c>
      <c r="M1674" s="2" t="s">
        <v>8628</v>
      </c>
      <c r="N1674" s="2" t="s">
        <v>8629</v>
      </c>
      <c r="O1674" s="2" t="s">
        <v>869</v>
      </c>
      <c r="P1674" s="2" t="s">
        <v>870</v>
      </c>
    </row>
    <row r="1675" ht="15.75" customHeight="1">
      <c r="H1675" s="2" t="s">
        <v>8630</v>
      </c>
      <c r="I1675" s="2" t="s">
        <v>8631</v>
      </c>
      <c r="J1675" s="2" t="s">
        <v>8632</v>
      </c>
      <c r="K1675" s="2" t="s">
        <v>8633</v>
      </c>
      <c r="L1675" s="2" t="s">
        <v>6101</v>
      </c>
      <c r="M1675" s="2" t="s">
        <v>8634</v>
      </c>
      <c r="N1675" s="2" t="s">
        <v>8635</v>
      </c>
      <c r="O1675" s="2" t="s">
        <v>869</v>
      </c>
      <c r="P1675" s="2" t="s">
        <v>870</v>
      </c>
    </row>
    <row r="1676" ht="15.75" customHeight="1">
      <c r="H1676" s="2" t="s">
        <v>8636</v>
      </c>
      <c r="I1676" s="2" t="s">
        <v>8637</v>
      </c>
      <c r="J1676" s="2" t="s">
        <v>8638</v>
      </c>
      <c r="K1676" s="2" t="s">
        <v>8639</v>
      </c>
      <c r="L1676" s="2" t="s">
        <v>6101</v>
      </c>
      <c r="M1676" s="2" t="s">
        <v>8640</v>
      </c>
      <c r="N1676" s="2" t="s">
        <v>8641</v>
      </c>
      <c r="O1676" s="2" t="s">
        <v>869</v>
      </c>
      <c r="P1676" s="2" t="s">
        <v>870</v>
      </c>
    </row>
    <row r="1677" ht="15.75" customHeight="1">
      <c r="H1677" s="2" t="s">
        <v>8642</v>
      </c>
      <c r="I1677" s="2" t="s">
        <v>8643</v>
      </c>
      <c r="J1677" s="2" t="s">
        <v>8644</v>
      </c>
      <c r="K1677" s="2" t="s">
        <v>8645</v>
      </c>
      <c r="L1677" s="2" t="s">
        <v>6101</v>
      </c>
      <c r="M1677" s="2" t="s">
        <v>8646</v>
      </c>
      <c r="N1677" s="2" t="s">
        <v>8647</v>
      </c>
      <c r="O1677" s="2" t="s">
        <v>869</v>
      </c>
      <c r="P1677" s="2" t="s">
        <v>870</v>
      </c>
    </row>
    <row r="1678" ht="15.75" customHeight="1">
      <c r="H1678" s="2" t="s">
        <v>8648</v>
      </c>
      <c r="I1678" s="2" t="s">
        <v>8649</v>
      </c>
      <c r="J1678" s="2" t="s">
        <v>8650</v>
      </c>
      <c r="K1678" s="2" t="s">
        <v>8651</v>
      </c>
      <c r="L1678" s="2" t="s">
        <v>6101</v>
      </c>
      <c r="M1678" s="2" t="s">
        <v>8652</v>
      </c>
      <c r="N1678" s="2" t="s">
        <v>8653</v>
      </c>
      <c r="O1678" s="2" t="s">
        <v>8654</v>
      </c>
      <c r="P1678" s="2" t="s">
        <v>869</v>
      </c>
    </row>
    <row r="1679" ht="15.75" customHeight="1">
      <c r="H1679" s="2" t="s">
        <v>8655</v>
      </c>
      <c r="I1679" s="2" t="s">
        <v>8656</v>
      </c>
      <c r="J1679" s="2" t="s">
        <v>8657</v>
      </c>
      <c r="K1679" s="2" t="s">
        <v>8658</v>
      </c>
      <c r="L1679" s="2" t="s">
        <v>6101</v>
      </c>
      <c r="M1679" s="2" t="s">
        <v>8659</v>
      </c>
      <c r="N1679" s="2" t="s">
        <v>8653</v>
      </c>
      <c r="O1679" s="2" t="s">
        <v>8660</v>
      </c>
      <c r="P1679" s="2" t="s">
        <v>869</v>
      </c>
    </row>
    <row r="1680" ht="15.75" customHeight="1">
      <c r="H1680" s="2" t="s">
        <v>8661</v>
      </c>
      <c r="I1680" s="2" t="s">
        <v>8662</v>
      </c>
      <c r="J1680" s="2" t="s">
        <v>8663</v>
      </c>
      <c r="K1680" s="2" t="s">
        <v>8664</v>
      </c>
      <c r="L1680" s="2" t="s">
        <v>6101</v>
      </c>
      <c r="M1680" s="2" t="s">
        <v>8665</v>
      </c>
      <c r="N1680" s="2" t="s">
        <v>8653</v>
      </c>
      <c r="O1680" s="2" t="s">
        <v>8666</v>
      </c>
      <c r="P1680" s="2" t="s">
        <v>869</v>
      </c>
    </row>
    <row r="1681" ht="15.75" customHeight="1">
      <c r="F1681" s="2" t="s">
        <v>598</v>
      </c>
      <c r="H1681" s="2" t="s">
        <v>8667</v>
      </c>
      <c r="I1681" s="2" t="s">
        <v>8668</v>
      </c>
      <c r="J1681" s="2" t="s">
        <v>8669</v>
      </c>
      <c r="K1681" s="2" t="s">
        <v>8670</v>
      </c>
      <c r="L1681" s="2" t="s">
        <v>6101</v>
      </c>
      <c r="M1681" s="2" t="s">
        <v>8671</v>
      </c>
      <c r="N1681" s="2" t="s">
        <v>8672</v>
      </c>
      <c r="O1681" s="2" t="s">
        <v>869</v>
      </c>
      <c r="P1681" s="2" t="s">
        <v>870</v>
      </c>
    </row>
    <row r="1682" ht="15.75" customHeight="1">
      <c r="H1682" s="2" t="s">
        <v>8673</v>
      </c>
      <c r="I1682" s="2" t="s">
        <v>8674</v>
      </c>
      <c r="J1682" s="2" t="s">
        <v>8675</v>
      </c>
      <c r="K1682" s="2" t="s">
        <v>8676</v>
      </c>
      <c r="L1682" s="2" t="s">
        <v>6101</v>
      </c>
      <c r="M1682" s="2" t="s">
        <v>8677</v>
      </c>
      <c r="N1682" s="2" t="s">
        <v>8678</v>
      </c>
      <c r="O1682" s="2" t="s">
        <v>869</v>
      </c>
      <c r="P1682" s="2" t="s">
        <v>870</v>
      </c>
    </row>
    <row r="1683" ht="15.75" customHeight="1">
      <c r="H1683" s="2" t="s">
        <v>8679</v>
      </c>
      <c r="I1683" s="2" t="s">
        <v>7910</v>
      </c>
      <c r="J1683" s="2" t="s">
        <v>7911</v>
      </c>
      <c r="K1683" s="2" t="s">
        <v>8680</v>
      </c>
      <c r="L1683" s="2" t="s">
        <v>6101</v>
      </c>
      <c r="M1683" s="2" t="s">
        <v>8681</v>
      </c>
      <c r="N1683" s="2" t="s">
        <v>7914</v>
      </c>
      <c r="O1683" s="2" t="s">
        <v>8682</v>
      </c>
      <c r="P1683" s="2" t="s">
        <v>869</v>
      </c>
    </row>
    <row r="1684" ht="15.75" customHeight="1">
      <c r="H1684" s="2" t="s">
        <v>8683</v>
      </c>
      <c r="I1684" s="2" t="s">
        <v>1958</v>
      </c>
      <c r="J1684" s="2" t="s">
        <v>1959</v>
      </c>
      <c r="K1684" s="2" t="s">
        <v>8684</v>
      </c>
      <c r="L1684" s="2" t="s">
        <v>6101</v>
      </c>
      <c r="M1684" s="2" t="s">
        <v>8685</v>
      </c>
      <c r="N1684" s="2" t="s">
        <v>8686</v>
      </c>
      <c r="O1684" s="2" t="s">
        <v>8687</v>
      </c>
      <c r="P1684" s="2" t="s">
        <v>869</v>
      </c>
    </row>
    <row r="1685" ht="15.75" customHeight="1">
      <c r="H1685" s="2" t="s">
        <v>8688</v>
      </c>
      <c r="I1685" s="2" t="s">
        <v>8689</v>
      </c>
      <c r="J1685" s="2" t="s">
        <v>8690</v>
      </c>
      <c r="K1685" s="2" t="s">
        <v>8691</v>
      </c>
      <c r="L1685" s="2" t="s">
        <v>6101</v>
      </c>
      <c r="M1685" s="2" t="s">
        <v>8692</v>
      </c>
      <c r="N1685" s="2" t="s">
        <v>8693</v>
      </c>
      <c r="O1685" s="2" t="s">
        <v>869</v>
      </c>
      <c r="P1685" s="2" t="s">
        <v>870</v>
      </c>
    </row>
    <row r="1686" ht="15.75" customHeight="1">
      <c r="H1686" s="2" t="s">
        <v>8694</v>
      </c>
      <c r="I1686" s="2" t="s">
        <v>608</v>
      </c>
      <c r="J1686" s="2" t="s">
        <v>609</v>
      </c>
      <c r="K1686" s="2" t="s">
        <v>8695</v>
      </c>
      <c r="L1686" s="2" t="s">
        <v>6101</v>
      </c>
      <c r="M1686" s="2" t="s">
        <v>8696</v>
      </c>
      <c r="N1686" s="2" t="s">
        <v>8697</v>
      </c>
      <c r="O1686" s="2" t="s">
        <v>869</v>
      </c>
      <c r="P1686" s="2" t="s">
        <v>870</v>
      </c>
    </row>
    <row r="1687" ht="15.75" customHeight="1">
      <c r="H1687" s="2" t="s">
        <v>8698</v>
      </c>
      <c r="I1687" s="2" t="s">
        <v>617</v>
      </c>
      <c r="J1687" s="2" t="s">
        <v>618</v>
      </c>
      <c r="K1687" s="2" t="s">
        <v>8699</v>
      </c>
      <c r="L1687" s="2" t="s">
        <v>6101</v>
      </c>
      <c r="M1687" s="2" t="s">
        <v>8700</v>
      </c>
      <c r="N1687" s="2" t="s">
        <v>8701</v>
      </c>
      <c r="O1687" s="2" t="s">
        <v>869</v>
      </c>
      <c r="P1687" s="2" t="s">
        <v>870</v>
      </c>
    </row>
    <row r="1688" ht="15.75" customHeight="1">
      <c r="H1688" s="2" t="s">
        <v>8702</v>
      </c>
      <c r="I1688" s="2" t="s">
        <v>8703</v>
      </c>
      <c r="J1688" s="2" t="s">
        <v>8704</v>
      </c>
      <c r="K1688" s="2" t="s">
        <v>8705</v>
      </c>
      <c r="L1688" s="2" t="s">
        <v>6101</v>
      </c>
      <c r="M1688" s="2" t="s">
        <v>8706</v>
      </c>
      <c r="N1688" s="2" t="s">
        <v>8707</v>
      </c>
      <c r="O1688" s="2" t="s">
        <v>869</v>
      </c>
      <c r="P1688" s="2" t="s">
        <v>870</v>
      </c>
    </row>
    <row r="1689" ht="15.75" customHeight="1">
      <c r="H1689" s="2" t="s">
        <v>8708</v>
      </c>
      <c r="I1689" s="2" t="s">
        <v>3033</v>
      </c>
      <c r="J1689" s="2" t="s">
        <v>3034</v>
      </c>
      <c r="K1689" s="2" t="s">
        <v>8709</v>
      </c>
      <c r="L1689" s="2" t="s">
        <v>6101</v>
      </c>
      <c r="M1689" s="2" t="s">
        <v>8710</v>
      </c>
      <c r="N1689" s="2" t="s">
        <v>8711</v>
      </c>
      <c r="O1689" s="2" t="s">
        <v>869</v>
      </c>
      <c r="P1689" s="2" t="s">
        <v>870</v>
      </c>
    </row>
    <row r="1690" ht="15.75" customHeight="1">
      <c r="H1690" s="2" t="s">
        <v>8712</v>
      </c>
      <c r="I1690" s="2" t="s">
        <v>8713</v>
      </c>
      <c r="J1690" s="2" t="s">
        <v>8714</v>
      </c>
      <c r="K1690" s="2" t="s">
        <v>8715</v>
      </c>
      <c r="L1690" s="2" t="s">
        <v>6101</v>
      </c>
      <c r="M1690" s="2" t="s">
        <v>8716</v>
      </c>
      <c r="N1690" s="2" t="s">
        <v>8717</v>
      </c>
      <c r="O1690" s="2" t="s">
        <v>869</v>
      </c>
      <c r="P1690" s="2" t="s">
        <v>870</v>
      </c>
    </row>
    <row r="1691" ht="15.75" customHeight="1">
      <c r="H1691" s="2" t="s">
        <v>8718</v>
      </c>
      <c r="I1691" s="2" t="s">
        <v>8719</v>
      </c>
      <c r="J1691" s="2" t="s">
        <v>8720</v>
      </c>
      <c r="K1691" s="2" t="s">
        <v>8721</v>
      </c>
      <c r="L1691" s="2" t="s">
        <v>6101</v>
      </c>
      <c r="M1691" s="2" t="s">
        <v>8722</v>
      </c>
      <c r="N1691" s="2" t="s">
        <v>8653</v>
      </c>
      <c r="O1691" s="2" t="s">
        <v>8723</v>
      </c>
      <c r="P1691" s="2" t="s">
        <v>869</v>
      </c>
    </row>
    <row r="1692" ht="15.75" customHeight="1">
      <c r="H1692" s="2" t="s">
        <v>8724</v>
      </c>
      <c r="I1692" s="2" t="s">
        <v>8725</v>
      </c>
      <c r="J1692" s="2" t="s">
        <v>8726</v>
      </c>
      <c r="K1692" s="2" t="s">
        <v>8727</v>
      </c>
      <c r="L1692" s="2" t="s">
        <v>6101</v>
      </c>
      <c r="M1692" s="2" t="s">
        <v>8728</v>
      </c>
      <c r="N1692" s="2" t="s">
        <v>8729</v>
      </c>
      <c r="O1692" s="2" t="s">
        <v>8730</v>
      </c>
      <c r="P1692" s="2" t="s">
        <v>869</v>
      </c>
    </row>
    <row r="1693" ht="15.75" customHeight="1">
      <c r="H1693" s="2" t="s">
        <v>8731</v>
      </c>
      <c r="I1693" s="2" t="s">
        <v>7553</v>
      </c>
      <c r="J1693" s="2" t="s">
        <v>7554</v>
      </c>
      <c r="K1693" s="2" t="s">
        <v>8732</v>
      </c>
      <c r="L1693" s="2" t="s">
        <v>6101</v>
      </c>
      <c r="M1693" s="2" t="s">
        <v>8733</v>
      </c>
      <c r="N1693" s="2" t="s">
        <v>7557</v>
      </c>
      <c r="O1693" s="2" t="s">
        <v>7558</v>
      </c>
      <c r="P1693" s="2" t="s">
        <v>869</v>
      </c>
    </row>
    <row r="1694" ht="15.75" customHeight="1">
      <c r="H1694" s="2" t="s">
        <v>8734</v>
      </c>
      <c r="I1694" s="2" t="s">
        <v>8735</v>
      </c>
      <c r="J1694" s="2" t="s">
        <v>8736</v>
      </c>
      <c r="K1694" s="2" t="s">
        <v>8737</v>
      </c>
      <c r="L1694" s="2" t="s">
        <v>6101</v>
      </c>
      <c r="M1694" s="2" t="s">
        <v>8738</v>
      </c>
      <c r="N1694" s="2" t="s">
        <v>8739</v>
      </c>
      <c r="O1694" s="2" t="s">
        <v>869</v>
      </c>
      <c r="P1694" s="2" t="s">
        <v>870</v>
      </c>
    </row>
    <row r="1695" ht="15.75" customHeight="1">
      <c r="H1695" s="2" t="s">
        <v>8740</v>
      </c>
      <c r="I1695" s="2" t="s">
        <v>8741</v>
      </c>
      <c r="J1695" s="2" t="s">
        <v>8742</v>
      </c>
      <c r="K1695" s="2" t="s">
        <v>8743</v>
      </c>
      <c r="L1695" s="2" t="s">
        <v>6101</v>
      </c>
      <c r="M1695" s="2" t="s">
        <v>8744</v>
      </c>
      <c r="N1695" s="2" t="s">
        <v>8745</v>
      </c>
      <c r="O1695" s="2" t="s">
        <v>8746</v>
      </c>
      <c r="P1695" s="2" t="s">
        <v>869</v>
      </c>
    </row>
    <row r="1696" ht="15.75" customHeight="1">
      <c r="H1696" s="2" t="s">
        <v>8747</v>
      </c>
      <c r="I1696" s="2" t="s">
        <v>8748</v>
      </c>
      <c r="J1696" s="2" t="s">
        <v>8749</v>
      </c>
      <c r="K1696" s="2" t="s">
        <v>8750</v>
      </c>
      <c r="L1696" s="2" t="s">
        <v>6101</v>
      </c>
      <c r="M1696" s="2" t="s">
        <v>8751</v>
      </c>
      <c r="N1696" s="2" t="s">
        <v>8752</v>
      </c>
      <c r="O1696" s="2" t="s">
        <v>8753</v>
      </c>
      <c r="P1696" s="2" t="s">
        <v>869</v>
      </c>
    </row>
    <row r="1697" ht="15.75" customHeight="1">
      <c r="H1697" s="2" t="s">
        <v>8754</v>
      </c>
      <c r="I1697" s="2" t="s">
        <v>8755</v>
      </c>
      <c r="J1697" s="2" t="s">
        <v>8756</v>
      </c>
      <c r="K1697" s="2" t="s">
        <v>8757</v>
      </c>
      <c r="L1697" s="2" t="s">
        <v>6101</v>
      </c>
      <c r="M1697" s="2" t="s">
        <v>8758</v>
      </c>
      <c r="N1697" s="2" t="s">
        <v>8759</v>
      </c>
      <c r="O1697" s="2" t="s">
        <v>869</v>
      </c>
      <c r="P1697" s="2" t="s">
        <v>870</v>
      </c>
    </row>
    <row r="1698" ht="15.75" customHeight="1">
      <c r="H1698" s="2" t="s">
        <v>8760</v>
      </c>
      <c r="I1698" s="2" t="s">
        <v>8761</v>
      </c>
      <c r="J1698" s="2" t="s">
        <v>8762</v>
      </c>
      <c r="K1698" s="2" t="s">
        <v>8763</v>
      </c>
      <c r="L1698" s="2" t="s">
        <v>6101</v>
      </c>
      <c r="M1698" s="2" t="s">
        <v>8764</v>
      </c>
      <c r="N1698" s="2" t="s">
        <v>8765</v>
      </c>
      <c r="O1698" s="2" t="s">
        <v>869</v>
      </c>
      <c r="P1698" s="2" t="s">
        <v>870</v>
      </c>
    </row>
    <row r="1699" ht="15.75" customHeight="1">
      <c r="H1699" s="2" t="s">
        <v>8766</v>
      </c>
      <c r="I1699" s="2" t="s">
        <v>8767</v>
      </c>
      <c r="J1699" s="2" t="s">
        <v>8768</v>
      </c>
      <c r="K1699" s="2" t="s">
        <v>8769</v>
      </c>
      <c r="L1699" s="2" t="s">
        <v>6101</v>
      </c>
      <c r="M1699" s="2" t="s">
        <v>8770</v>
      </c>
      <c r="N1699" s="2" t="s">
        <v>8771</v>
      </c>
      <c r="O1699" s="2" t="s">
        <v>869</v>
      </c>
      <c r="P1699" s="2" t="s">
        <v>870</v>
      </c>
    </row>
    <row r="1700" ht="15.75" customHeight="1">
      <c r="H1700" s="2" t="s">
        <v>8772</v>
      </c>
      <c r="I1700" s="2" t="s">
        <v>8773</v>
      </c>
      <c r="J1700" s="2" t="s">
        <v>8774</v>
      </c>
      <c r="K1700" s="2" t="s">
        <v>8775</v>
      </c>
      <c r="L1700" s="2" t="s">
        <v>6101</v>
      </c>
      <c r="M1700" s="2" t="s">
        <v>8776</v>
      </c>
      <c r="N1700" s="2" t="s">
        <v>8777</v>
      </c>
      <c r="O1700" s="2" t="s">
        <v>869</v>
      </c>
      <c r="P1700" s="2" t="s">
        <v>870</v>
      </c>
    </row>
    <row r="1701" ht="15.75" customHeight="1">
      <c r="H1701" s="2" t="s">
        <v>8778</v>
      </c>
      <c r="I1701" s="2" t="s">
        <v>8779</v>
      </c>
      <c r="J1701" s="2" t="s">
        <v>8780</v>
      </c>
      <c r="K1701" s="2" t="s">
        <v>8781</v>
      </c>
      <c r="L1701" s="2" t="s">
        <v>6101</v>
      </c>
      <c r="M1701" s="2" t="s">
        <v>8782</v>
      </c>
      <c r="N1701" s="2" t="s">
        <v>8783</v>
      </c>
      <c r="O1701" s="2" t="s">
        <v>869</v>
      </c>
      <c r="P1701" s="2" t="s">
        <v>870</v>
      </c>
    </row>
    <row r="1702" ht="15.75" customHeight="1">
      <c r="H1702" s="2" t="s">
        <v>8784</v>
      </c>
      <c r="I1702" s="2" t="s">
        <v>8785</v>
      </c>
      <c r="J1702" s="2" t="s">
        <v>8786</v>
      </c>
      <c r="K1702" s="2" t="s">
        <v>8787</v>
      </c>
      <c r="L1702" s="2" t="s">
        <v>6101</v>
      </c>
      <c r="M1702" s="2" t="s">
        <v>8788</v>
      </c>
      <c r="N1702" s="2" t="s">
        <v>8789</v>
      </c>
      <c r="O1702" s="2" t="s">
        <v>8790</v>
      </c>
      <c r="P1702" s="2" t="s">
        <v>869</v>
      </c>
    </row>
    <row r="1703" ht="15.75" customHeight="1">
      <c r="F1703" s="2" t="s">
        <v>8791</v>
      </c>
      <c r="H1703" s="2" t="s">
        <v>8792</v>
      </c>
      <c r="I1703" s="2" t="s">
        <v>8793</v>
      </c>
      <c r="J1703" s="2" t="s">
        <v>8794</v>
      </c>
      <c r="K1703" s="2" t="s">
        <v>8795</v>
      </c>
      <c r="L1703" s="2" t="s">
        <v>6101</v>
      </c>
      <c r="M1703" s="2" t="s">
        <v>8796</v>
      </c>
      <c r="N1703" s="2" t="s">
        <v>8797</v>
      </c>
      <c r="O1703" s="2" t="s">
        <v>869</v>
      </c>
      <c r="P1703" s="2" t="s">
        <v>870</v>
      </c>
    </row>
    <row r="1704" ht="15.75" customHeight="1">
      <c r="H1704" s="2" t="s">
        <v>8798</v>
      </c>
      <c r="I1704" s="2" t="s">
        <v>8799</v>
      </c>
      <c r="J1704" s="2" t="s">
        <v>8800</v>
      </c>
      <c r="K1704" s="2" t="s">
        <v>8801</v>
      </c>
      <c r="L1704" s="2" t="s">
        <v>6101</v>
      </c>
      <c r="M1704" s="2" t="s">
        <v>8802</v>
      </c>
      <c r="N1704" s="2" t="s">
        <v>8803</v>
      </c>
      <c r="O1704" s="2" t="s">
        <v>869</v>
      </c>
      <c r="P1704" s="2" t="s">
        <v>870</v>
      </c>
    </row>
    <row r="1705" ht="15.75" customHeight="1">
      <c r="H1705" s="2" t="s">
        <v>8804</v>
      </c>
      <c r="I1705" s="2" t="s">
        <v>8805</v>
      </c>
      <c r="J1705" s="2" t="s">
        <v>8806</v>
      </c>
      <c r="K1705" s="2" t="s">
        <v>8807</v>
      </c>
      <c r="L1705" s="2" t="s">
        <v>6101</v>
      </c>
      <c r="M1705" s="2" t="s">
        <v>8808</v>
      </c>
      <c r="N1705" s="2" t="s">
        <v>8809</v>
      </c>
      <c r="O1705" s="2" t="s">
        <v>869</v>
      </c>
      <c r="P1705" s="2" t="s">
        <v>870</v>
      </c>
    </row>
    <row r="1706" ht="15.75" customHeight="1">
      <c r="H1706" s="2" t="s">
        <v>8810</v>
      </c>
      <c r="I1706" s="2" t="s">
        <v>8811</v>
      </c>
      <c r="J1706" s="2" t="s">
        <v>8812</v>
      </c>
      <c r="K1706" s="2" t="s">
        <v>8813</v>
      </c>
      <c r="L1706" s="2" t="s">
        <v>6101</v>
      </c>
      <c r="M1706" s="2" t="s">
        <v>8814</v>
      </c>
      <c r="N1706" s="2" t="s">
        <v>8815</v>
      </c>
      <c r="O1706" s="2" t="s">
        <v>869</v>
      </c>
      <c r="P1706" s="2" t="s">
        <v>870</v>
      </c>
    </row>
    <row r="1707" ht="15.75" customHeight="1">
      <c r="H1707" s="2" t="s">
        <v>8816</v>
      </c>
      <c r="I1707" s="2" t="s">
        <v>8817</v>
      </c>
      <c r="J1707" s="2" t="s">
        <v>8818</v>
      </c>
      <c r="K1707" s="2" t="s">
        <v>8819</v>
      </c>
      <c r="L1707" s="2" t="s">
        <v>6101</v>
      </c>
      <c r="M1707" s="2" t="s">
        <v>8820</v>
      </c>
      <c r="N1707" s="2" t="s">
        <v>8821</v>
      </c>
      <c r="O1707" s="2" t="s">
        <v>869</v>
      </c>
      <c r="P1707" s="2" t="s">
        <v>870</v>
      </c>
    </row>
    <row r="1708" ht="15.75" customHeight="1">
      <c r="H1708" s="2" t="s">
        <v>8822</v>
      </c>
      <c r="I1708" s="2" t="s">
        <v>8823</v>
      </c>
      <c r="J1708" s="2" t="s">
        <v>8824</v>
      </c>
      <c r="K1708" s="2" t="s">
        <v>8825</v>
      </c>
      <c r="L1708" s="2" t="s">
        <v>6101</v>
      </c>
      <c r="M1708" s="2" t="s">
        <v>8826</v>
      </c>
      <c r="N1708" s="2" t="s">
        <v>8827</v>
      </c>
      <c r="O1708" s="2" t="s">
        <v>869</v>
      </c>
      <c r="P1708" s="2" t="s">
        <v>870</v>
      </c>
    </row>
    <row r="1709" ht="15.75" customHeight="1">
      <c r="H1709" s="2" t="s">
        <v>8828</v>
      </c>
      <c r="I1709" s="2" t="s">
        <v>8829</v>
      </c>
      <c r="J1709" s="2" t="s">
        <v>8830</v>
      </c>
      <c r="K1709" s="2" t="s">
        <v>8831</v>
      </c>
      <c r="L1709" s="2" t="s">
        <v>6101</v>
      </c>
      <c r="M1709" s="2" t="s">
        <v>8832</v>
      </c>
      <c r="N1709" s="2" t="s">
        <v>8833</v>
      </c>
      <c r="O1709" s="2" t="s">
        <v>869</v>
      </c>
      <c r="P1709" s="2" t="s">
        <v>870</v>
      </c>
    </row>
    <row r="1710" ht="15.75" customHeight="1">
      <c r="H1710" s="2" t="s">
        <v>8834</v>
      </c>
      <c r="I1710" s="2" t="s">
        <v>8835</v>
      </c>
      <c r="J1710" s="2" t="s">
        <v>8836</v>
      </c>
      <c r="K1710" s="2" t="s">
        <v>8837</v>
      </c>
      <c r="L1710" s="2" t="s">
        <v>6101</v>
      </c>
      <c r="M1710" s="2" t="s">
        <v>8838</v>
      </c>
      <c r="N1710" s="2" t="s">
        <v>8839</v>
      </c>
      <c r="O1710" s="2" t="s">
        <v>869</v>
      </c>
      <c r="P1710" s="2" t="s">
        <v>870</v>
      </c>
    </row>
    <row r="1711" ht="15.75" customHeight="1">
      <c r="H1711" s="2" t="s">
        <v>8840</v>
      </c>
      <c r="I1711" s="2" t="s">
        <v>8841</v>
      </c>
      <c r="J1711" s="2" t="s">
        <v>8842</v>
      </c>
      <c r="K1711" s="2" t="s">
        <v>8843</v>
      </c>
      <c r="L1711" s="2" t="s">
        <v>6101</v>
      </c>
      <c r="M1711" s="2" t="s">
        <v>8844</v>
      </c>
      <c r="N1711" s="2" t="s">
        <v>8845</v>
      </c>
      <c r="O1711" s="2" t="s">
        <v>869</v>
      </c>
      <c r="P1711" s="2" t="s">
        <v>870</v>
      </c>
    </row>
    <row r="1712" ht="15.75" customHeight="1">
      <c r="H1712" s="2" t="s">
        <v>8846</v>
      </c>
      <c r="I1712" s="2" t="s">
        <v>8847</v>
      </c>
      <c r="J1712" s="2" t="s">
        <v>8848</v>
      </c>
      <c r="K1712" s="2" t="s">
        <v>8849</v>
      </c>
      <c r="L1712" s="2" t="s">
        <v>6101</v>
      </c>
      <c r="M1712" s="2" t="s">
        <v>8850</v>
      </c>
      <c r="N1712" s="2" t="s">
        <v>8851</v>
      </c>
      <c r="O1712" s="2" t="s">
        <v>869</v>
      </c>
      <c r="P1712" s="2" t="s">
        <v>870</v>
      </c>
    </row>
    <row r="1713" ht="15.75" customHeight="1">
      <c r="H1713" s="2" t="s">
        <v>8852</v>
      </c>
      <c r="I1713" s="2" t="s">
        <v>8853</v>
      </c>
      <c r="J1713" s="2" t="s">
        <v>8854</v>
      </c>
      <c r="K1713" s="2" t="s">
        <v>8855</v>
      </c>
      <c r="L1713" s="2" t="s">
        <v>6101</v>
      </c>
      <c r="M1713" s="2" t="s">
        <v>8856</v>
      </c>
      <c r="N1713" s="2" t="s">
        <v>8857</v>
      </c>
      <c r="O1713" s="2" t="s">
        <v>869</v>
      </c>
      <c r="P1713" s="2" t="s">
        <v>870</v>
      </c>
    </row>
    <row r="1714" ht="15.75" customHeight="1">
      <c r="H1714" s="2" t="s">
        <v>8858</v>
      </c>
      <c r="I1714" s="2" t="s">
        <v>8859</v>
      </c>
      <c r="J1714" s="2" t="s">
        <v>8860</v>
      </c>
      <c r="K1714" s="2" t="s">
        <v>8861</v>
      </c>
      <c r="L1714" s="2" t="s">
        <v>6101</v>
      </c>
      <c r="M1714" s="2" t="s">
        <v>8862</v>
      </c>
      <c r="N1714" s="2" t="s">
        <v>8863</v>
      </c>
      <c r="O1714" s="2" t="s">
        <v>869</v>
      </c>
      <c r="P1714" s="2" t="s">
        <v>870</v>
      </c>
    </row>
    <row r="1715" ht="15.75" customHeight="1">
      <c r="H1715" s="2" t="s">
        <v>8864</v>
      </c>
      <c r="I1715" s="2" t="s">
        <v>8865</v>
      </c>
      <c r="J1715" s="2" t="s">
        <v>8866</v>
      </c>
      <c r="K1715" s="2" t="s">
        <v>8867</v>
      </c>
      <c r="L1715" s="2" t="s">
        <v>6101</v>
      </c>
      <c r="M1715" s="2" t="s">
        <v>8868</v>
      </c>
      <c r="N1715" s="2" t="s">
        <v>8869</v>
      </c>
      <c r="O1715" s="2" t="s">
        <v>869</v>
      </c>
      <c r="P1715" s="2" t="s">
        <v>870</v>
      </c>
    </row>
    <row r="1716" ht="15.75" customHeight="1">
      <c r="H1716" s="2" t="s">
        <v>8870</v>
      </c>
      <c r="I1716" s="2" t="s">
        <v>8871</v>
      </c>
      <c r="J1716" s="2" t="s">
        <v>8872</v>
      </c>
      <c r="K1716" s="2" t="s">
        <v>8873</v>
      </c>
      <c r="L1716" s="2" t="s">
        <v>6101</v>
      </c>
      <c r="M1716" s="2" t="s">
        <v>8874</v>
      </c>
      <c r="N1716" s="2" t="s">
        <v>8875</v>
      </c>
      <c r="O1716" s="2" t="s">
        <v>869</v>
      </c>
      <c r="P1716" s="2" t="s">
        <v>870</v>
      </c>
    </row>
    <row r="1717" ht="15.75" customHeight="1">
      <c r="F1717" s="2" t="s">
        <v>3068</v>
      </c>
      <c r="H1717" s="2" t="s">
        <v>8876</v>
      </c>
      <c r="I1717" s="2" t="s">
        <v>8877</v>
      </c>
      <c r="J1717" s="2" t="s">
        <v>8878</v>
      </c>
      <c r="K1717" s="2" t="s">
        <v>853</v>
      </c>
    </row>
    <row r="1718" ht="15.75" customHeight="1">
      <c r="F1718" s="2" t="s">
        <v>3079</v>
      </c>
      <c r="H1718" s="2" t="s">
        <v>8879</v>
      </c>
      <c r="I1718" s="2" t="s">
        <v>8880</v>
      </c>
      <c r="J1718" s="2" t="s">
        <v>8881</v>
      </c>
      <c r="K1718" s="2" t="s">
        <v>8882</v>
      </c>
      <c r="L1718" s="2" t="s">
        <v>6101</v>
      </c>
      <c r="M1718" s="2" t="s">
        <v>8883</v>
      </c>
      <c r="N1718" s="2" t="s">
        <v>8884</v>
      </c>
      <c r="O1718" s="2" t="s">
        <v>8885</v>
      </c>
      <c r="P1718" s="2" t="s">
        <v>869</v>
      </c>
    </row>
    <row r="1719" ht="15.75" customHeight="1">
      <c r="H1719" s="2" t="s">
        <v>8886</v>
      </c>
      <c r="I1719" s="2" t="s">
        <v>8887</v>
      </c>
      <c r="J1719" s="2" t="s">
        <v>8888</v>
      </c>
      <c r="K1719" s="2" t="s">
        <v>8889</v>
      </c>
      <c r="L1719" s="2" t="s">
        <v>6101</v>
      </c>
      <c r="M1719" s="2" t="s">
        <v>8890</v>
      </c>
      <c r="N1719" s="2" t="s">
        <v>8891</v>
      </c>
      <c r="O1719" s="2" t="s">
        <v>8892</v>
      </c>
      <c r="P1719" s="2" t="s">
        <v>869</v>
      </c>
    </row>
    <row r="1720" ht="15.75" customHeight="1">
      <c r="H1720" s="2" t="s">
        <v>8893</v>
      </c>
      <c r="I1720" s="2" t="s">
        <v>8894</v>
      </c>
      <c r="J1720" s="2" t="s">
        <v>8895</v>
      </c>
      <c r="K1720" s="2" t="s">
        <v>8896</v>
      </c>
      <c r="L1720" s="2" t="s">
        <v>6101</v>
      </c>
      <c r="M1720" s="2" t="s">
        <v>8897</v>
      </c>
      <c r="N1720" s="2" t="s">
        <v>8898</v>
      </c>
      <c r="O1720" s="2" t="s">
        <v>8899</v>
      </c>
      <c r="P1720" s="2" t="s">
        <v>869</v>
      </c>
    </row>
    <row r="1721" ht="15.75" customHeight="1">
      <c r="H1721" s="2" t="s">
        <v>8900</v>
      </c>
      <c r="I1721" s="2" t="s">
        <v>8901</v>
      </c>
      <c r="J1721" s="2" t="s">
        <v>8902</v>
      </c>
      <c r="K1721" s="2" t="s">
        <v>8903</v>
      </c>
      <c r="L1721" s="2" t="s">
        <v>6101</v>
      </c>
      <c r="M1721" s="2" t="s">
        <v>8904</v>
      </c>
      <c r="N1721" s="2" t="s">
        <v>8905</v>
      </c>
      <c r="O1721" s="2" t="s">
        <v>8906</v>
      </c>
      <c r="P1721" s="2" t="s">
        <v>869</v>
      </c>
    </row>
    <row r="1722" ht="15.75" customHeight="1">
      <c r="H1722" s="2" t="s">
        <v>8907</v>
      </c>
      <c r="I1722" s="2" t="s">
        <v>8908</v>
      </c>
      <c r="J1722" s="2" t="s">
        <v>8909</v>
      </c>
      <c r="K1722" s="2" t="s">
        <v>8910</v>
      </c>
      <c r="L1722" s="2" t="s">
        <v>6101</v>
      </c>
      <c r="M1722" s="2" t="s">
        <v>8911</v>
      </c>
      <c r="N1722" s="2" t="s">
        <v>8912</v>
      </c>
      <c r="O1722" s="2" t="s">
        <v>869</v>
      </c>
      <c r="P1722" s="2" t="s">
        <v>870</v>
      </c>
    </row>
    <row r="1723" ht="15.75" customHeight="1">
      <c r="H1723" s="2" t="s">
        <v>8913</v>
      </c>
      <c r="I1723" s="2" t="s">
        <v>8914</v>
      </c>
      <c r="J1723" s="2" t="s">
        <v>8915</v>
      </c>
      <c r="K1723" s="2" t="s">
        <v>8916</v>
      </c>
      <c r="L1723" s="2" t="s">
        <v>6101</v>
      </c>
      <c r="M1723" s="2" t="s">
        <v>8917</v>
      </c>
      <c r="N1723" s="2" t="s">
        <v>8918</v>
      </c>
      <c r="O1723" s="2" t="s">
        <v>869</v>
      </c>
      <c r="P1723" s="2" t="s">
        <v>870</v>
      </c>
    </row>
    <row r="1724" ht="15.75" customHeight="1">
      <c r="H1724" s="2" t="s">
        <v>8919</v>
      </c>
      <c r="I1724" s="2" t="s">
        <v>3101</v>
      </c>
      <c r="J1724" s="2" t="s">
        <v>3102</v>
      </c>
      <c r="K1724" s="2" t="s">
        <v>8920</v>
      </c>
      <c r="L1724" s="2" t="s">
        <v>6101</v>
      </c>
      <c r="M1724" s="2" t="s">
        <v>8921</v>
      </c>
      <c r="N1724" s="2" t="s">
        <v>8922</v>
      </c>
      <c r="O1724" s="2" t="s">
        <v>869</v>
      </c>
      <c r="P1724" s="2" t="s">
        <v>870</v>
      </c>
    </row>
    <row r="1725" ht="15.75" customHeight="1">
      <c r="H1725" s="2" t="s">
        <v>8923</v>
      </c>
      <c r="I1725" s="2" t="s">
        <v>8924</v>
      </c>
      <c r="J1725" s="2" t="s">
        <v>8925</v>
      </c>
      <c r="K1725" s="2" t="s">
        <v>8926</v>
      </c>
      <c r="L1725" s="2" t="s">
        <v>6101</v>
      </c>
      <c r="M1725" s="2" t="s">
        <v>8927</v>
      </c>
      <c r="N1725" s="2" t="s">
        <v>8928</v>
      </c>
      <c r="O1725" s="2" t="s">
        <v>8929</v>
      </c>
      <c r="P1725" s="2" t="s">
        <v>869</v>
      </c>
    </row>
    <row r="1726" ht="15.75" customHeight="1">
      <c r="H1726" s="2" t="s">
        <v>8930</v>
      </c>
      <c r="I1726" s="2" t="s">
        <v>3110</v>
      </c>
      <c r="J1726" s="2" t="s">
        <v>3111</v>
      </c>
      <c r="K1726" s="2" t="s">
        <v>8931</v>
      </c>
      <c r="L1726" s="2" t="s">
        <v>6101</v>
      </c>
      <c r="M1726" s="2" t="s">
        <v>8932</v>
      </c>
      <c r="N1726" s="2" t="s">
        <v>8933</v>
      </c>
      <c r="O1726" s="2" t="s">
        <v>869</v>
      </c>
      <c r="P1726" s="2" t="s">
        <v>870</v>
      </c>
    </row>
    <row r="1727" ht="15.75" customHeight="1">
      <c r="H1727" s="2" t="s">
        <v>8934</v>
      </c>
      <c r="I1727" s="2" t="s">
        <v>8935</v>
      </c>
      <c r="J1727" s="2" t="s">
        <v>8936</v>
      </c>
      <c r="K1727" s="2" t="s">
        <v>8937</v>
      </c>
      <c r="L1727" s="2" t="s">
        <v>6101</v>
      </c>
      <c r="M1727" s="2" t="s">
        <v>8938</v>
      </c>
      <c r="N1727" s="2" t="s">
        <v>8939</v>
      </c>
      <c r="O1727" s="2" t="s">
        <v>8940</v>
      </c>
      <c r="P1727" s="2" t="s">
        <v>869</v>
      </c>
    </row>
    <row r="1728" ht="15.75" customHeight="1">
      <c r="H1728" s="2" t="s">
        <v>8941</v>
      </c>
      <c r="I1728" s="2" t="s">
        <v>8942</v>
      </c>
      <c r="J1728" s="2" t="s">
        <v>8943</v>
      </c>
      <c r="K1728" s="2" t="s">
        <v>8944</v>
      </c>
      <c r="L1728" s="2" t="s">
        <v>6101</v>
      </c>
      <c r="M1728" s="2" t="s">
        <v>8945</v>
      </c>
      <c r="N1728" s="2" t="s">
        <v>8946</v>
      </c>
      <c r="O1728" s="2" t="s">
        <v>869</v>
      </c>
      <c r="P1728" s="2" t="s">
        <v>870</v>
      </c>
    </row>
    <row r="1729" ht="15.75" customHeight="1">
      <c r="H1729" s="2" t="s">
        <v>8947</v>
      </c>
      <c r="I1729" s="2" t="s">
        <v>3120</v>
      </c>
      <c r="J1729" s="2" t="s">
        <v>3121</v>
      </c>
      <c r="K1729" s="2" t="s">
        <v>8948</v>
      </c>
      <c r="L1729" s="2" t="s">
        <v>6101</v>
      </c>
      <c r="M1729" s="2" t="s">
        <v>3122</v>
      </c>
      <c r="N1729" s="2" t="s">
        <v>8949</v>
      </c>
      <c r="O1729" s="2" t="s">
        <v>869</v>
      </c>
      <c r="P1729" s="2" t="s">
        <v>870</v>
      </c>
    </row>
    <row r="1730" ht="15.75" customHeight="1">
      <c r="H1730" s="2" t="s">
        <v>8950</v>
      </c>
      <c r="I1730" s="2" t="s">
        <v>8951</v>
      </c>
      <c r="J1730" s="2" t="s">
        <v>8952</v>
      </c>
      <c r="K1730" s="2" t="s">
        <v>8953</v>
      </c>
      <c r="L1730" s="2" t="s">
        <v>6101</v>
      </c>
      <c r="M1730" s="2" t="s">
        <v>8954</v>
      </c>
      <c r="N1730" s="2" t="s">
        <v>8955</v>
      </c>
      <c r="O1730" s="2" t="s">
        <v>869</v>
      </c>
      <c r="P1730" s="2" t="s">
        <v>870</v>
      </c>
    </row>
    <row r="1731" ht="15.75" customHeight="1">
      <c r="H1731" s="2" t="s">
        <v>8956</v>
      </c>
      <c r="I1731" s="2" t="s">
        <v>8957</v>
      </c>
      <c r="J1731" s="2" t="s">
        <v>8958</v>
      </c>
      <c r="K1731" s="2" t="s">
        <v>8959</v>
      </c>
      <c r="L1731" s="2" t="s">
        <v>6101</v>
      </c>
      <c r="M1731" s="2" t="s">
        <v>8960</v>
      </c>
      <c r="N1731" s="2" t="s">
        <v>8961</v>
      </c>
      <c r="O1731" s="2" t="s">
        <v>869</v>
      </c>
      <c r="P1731" s="2" t="s">
        <v>870</v>
      </c>
    </row>
    <row r="1732" ht="15.75" customHeight="1">
      <c r="H1732" s="2" t="s">
        <v>8962</v>
      </c>
      <c r="I1732" s="2" t="s">
        <v>8963</v>
      </c>
      <c r="J1732" s="2" t="s">
        <v>8964</v>
      </c>
      <c r="K1732" s="2" t="s">
        <v>8965</v>
      </c>
      <c r="L1732" s="2" t="s">
        <v>6101</v>
      </c>
      <c r="M1732" s="2" t="s">
        <v>8966</v>
      </c>
      <c r="N1732" s="2" t="s">
        <v>8967</v>
      </c>
      <c r="O1732" s="2" t="s">
        <v>869</v>
      </c>
      <c r="P1732" s="2" t="s">
        <v>870</v>
      </c>
    </row>
    <row r="1733" ht="15.75" customHeight="1">
      <c r="F1733" s="2" t="s">
        <v>3170</v>
      </c>
      <c r="H1733" s="2" t="s">
        <v>8968</v>
      </c>
      <c r="I1733" s="2" t="s">
        <v>8969</v>
      </c>
      <c r="J1733" s="2" t="s">
        <v>8970</v>
      </c>
      <c r="K1733" s="2" t="s">
        <v>8971</v>
      </c>
      <c r="L1733" s="2" t="s">
        <v>6101</v>
      </c>
      <c r="M1733" s="2" t="s">
        <v>8972</v>
      </c>
      <c r="N1733" s="2" t="s">
        <v>8973</v>
      </c>
      <c r="O1733" s="2" t="s">
        <v>869</v>
      </c>
      <c r="P1733" s="2" t="s">
        <v>870</v>
      </c>
    </row>
    <row r="1734" ht="15.75" customHeight="1">
      <c r="H1734" s="2" t="s">
        <v>8974</v>
      </c>
      <c r="I1734" s="2" t="s">
        <v>3172</v>
      </c>
      <c r="J1734" s="2" t="s">
        <v>3173</v>
      </c>
      <c r="K1734" s="2" t="s">
        <v>8975</v>
      </c>
      <c r="L1734" s="2" t="s">
        <v>6101</v>
      </c>
      <c r="M1734" s="2" t="s">
        <v>3174</v>
      </c>
      <c r="N1734" s="2" t="s">
        <v>8976</v>
      </c>
      <c r="O1734" s="2" t="s">
        <v>8977</v>
      </c>
      <c r="P1734" s="2" t="s">
        <v>869</v>
      </c>
    </row>
    <row r="1735" ht="15.75" customHeight="1">
      <c r="H1735" s="2" t="s">
        <v>8978</v>
      </c>
      <c r="I1735" s="2" t="s">
        <v>8979</v>
      </c>
      <c r="J1735" s="2" t="s">
        <v>8980</v>
      </c>
      <c r="K1735" s="2" t="s">
        <v>8981</v>
      </c>
      <c r="L1735" s="2" t="s">
        <v>6101</v>
      </c>
      <c r="M1735" s="2" t="s">
        <v>8982</v>
      </c>
      <c r="N1735" s="2" t="s">
        <v>8983</v>
      </c>
      <c r="O1735" s="2" t="s">
        <v>869</v>
      </c>
      <c r="P1735" s="2" t="s">
        <v>870</v>
      </c>
    </row>
    <row r="1736" ht="15.75" customHeight="1">
      <c r="H1736" s="2" t="s">
        <v>8984</v>
      </c>
      <c r="I1736" s="2" t="s">
        <v>8985</v>
      </c>
      <c r="J1736" s="2" t="s">
        <v>8986</v>
      </c>
      <c r="K1736" s="2" t="s">
        <v>8987</v>
      </c>
      <c r="L1736" s="2" t="s">
        <v>6101</v>
      </c>
      <c r="M1736" s="2" t="s">
        <v>8988</v>
      </c>
      <c r="N1736" s="2" t="s">
        <v>8989</v>
      </c>
      <c r="O1736" s="2" t="s">
        <v>8990</v>
      </c>
      <c r="P1736" s="2" t="s">
        <v>869</v>
      </c>
    </row>
    <row r="1737" ht="15.75" customHeight="1">
      <c r="H1737" s="2" t="s">
        <v>8991</v>
      </c>
      <c r="I1737" s="2" t="s">
        <v>8992</v>
      </c>
      <c r="J1737" s="2" t="s">
        <v>8993</v>
      </c>
      <c r="K1737" s="2" t="s">
        <v>8994</v>
      </c>
      <c r="L1737" s="2" t="s">
        <v>6101</v>
      </c>
      <c r="M1737" s="2" t="s">
        <v>8995</v>
      </c>
      <c r="N1737" s="2" t="s">
        <v>8996</v>
      </c>
      <c r="O1737" s="2" t="s">
        <v>869</v>
      </c>
      <c r="P1737" s="2" t="s">
        <v>870</v>
      </c>
    </row>
    <row r="1738" ht="15.75" customHeight="1">
      <c r="H1738" s="2" t="s">
        <v>8997</v>
      </c>
      <c r="I1738" s="2" t="s">
        <v>8998</v>
      </c>
      <c r="J1738" s="2" t="s">
        <v>8999</v>
      </c>
      <c r="K1738" s="2" t="s">
        <v>9000</v>
      </c>
      <c r="L1738" s="2" t="s">
        <v>6101</v>
      </c>
      <c r="M1738" s="2" t="s">
        <v>9001</v>
      </c>
      <c r="N1738" s="2" t="s">
        <v>9002</v>
      </c>
      <c r="O1738" s="2" t="s">
        <v>9003</v>
      </c>
      <c r="P1738" s="2" t="s">
        <v>869</v>
      </c>
    </row>
    <row r="1739" ht="15.75" customHeight="1">
      <c r="H1739" s="2" t="s">
        <v>9004</v>
      </c>
      <c r="I1739" s="2" t="s">
        <v>9005</v>
      </c>
      <c r="J1739" s="2" t="s">
        <v>9006</v>
      </c>
      <c r="K1739" s="2" t="s">
        <v>9007</v>
      </c>
      <c r="L1739" s="2" t="s">
        <v>6101</v>
      </c>
      <c r="M1739" s="2" t="s">
        <v>9008</v>
      </c>
      <c r="N1739" s="2" t="s">
        <v>9009</v>
      </c>
      <c r="O1739" s="2" t="s">
        <v>869</v>
      </c>
      <c r="P1739" s="2" t="s">
        <v>870</v>
      </c>
    </row>
    <row r="1740" ht="15.75" customHeight="1">
      <c r="H1740" s="2" t="s">
        <v>9010</v>
      </c>
      <c r="I1740" s="2" t="s">
        <v>3177</v>
      </c>
      <c r="J1740" s="2" t="s">
        <v>3178</v>
      </c>
      <c r="K1740" s="2" t="s">
        <v>9011</v>
      </c>
      <c r="L1740" s="2" t="s">
        <v>6101</v>
      </c>
      <c r="M1740" s="2" t="s">
        <v>3179</v>
      </c>
      <c r="N1740" s="2" t="s">
        <v>9012</v>
      </c>
      <c r="O1740" s="2" t="s">
        <v>869</v>
      </c>
      <c r="P1740" s="2" t="s">
        <v>870</v>
      </c>
    </row>
    <row r="1741" ht="15.75" customHeight="1">
      <c r="F1741" s="2" t="s">
        <v>624</v>
      </c>
      <c r="H1741" s="2" t="s">
        <v>9013</v>
      </c>
      <c r="I1741" s="2" t="s">
        <v>9014</v>
      </c>
      <c r="J1741" s="2" t="s">
        <v>9015</v>
      </c>
      <c r="K1741" s="2" t="s">
        <v>9016</v>
      </c>
      <c r="L1741" s="2" t="s">
        <v>6101</v>
      </c>
      <c r="M1741" s="2" t="s">
        <v>9017</v>
      </c>
      <c r="N1741" s="2" t="s">
        <v>9018</v>
      </c>
      <c r="O1741" s="2" t="s">
        <v>869</v>
      </c>
      <c r="P1741" s="2" t="s">
        <v>870</v>
      </c>
    </row>
    <row r="1742" ht="15.75" customHeight="1">
      <c r="H1742" s="2" t="s">
        <v>9019</v>
      </c>
      <c r="I1742" s="2" t="s">
        <v>9020</v>
      </c>
      <c r="J1742" s="2" t="s">
        <v>9021</v>
      </c>
      <c r="K1742" s="2" t="s">
        <v>9022</v>
      </c>
      <c r="L1742" s="2" t="s">
        <v>6101</v>
      </c>
      <c r="M1742" s="2" t="s">
        <v>9023</v>
      </c>
      <c r="N1742" s="2" t="s">
        <v>9024</v>
      </c>
      <c r="O1742" s="2" t="s">
        <v>869</v>
      </c>
      <c r="P1742" s="2" t="s">
        <v>870</v>
      </c>
    </row>
    <row r="1743" ht="15.75" customHeight="1">
      <c r="H1743" s="2" t="s">
        <v>9025</v>
      </c>
      <c r="I1743" s="2" t="s">
        <v>9026</v>
      </c>
      <c r="J1743" s="2" t="s">
        <v>9027</v>
      </c>
      <c r="K1743" s="2" t="s">
        <v>9028</v>
      </c>
      <c r="L1743" s="2" t="s">
        <v>6101</v>
      </c>
      <c r="M1743" s="2" t="s">
        <v>9029</v>
      </c>
      <c r="N1743" s="2" t="s">
        <v>9030</v>
      </c>
      <c r="O1743" s="2" t="s">
        <v>9031</v>
      </c>
      <c r="P1743" s="2" t="s">
        <v>869</v>
      </c>
    </row>
    <row r="1744" ht="15.75" customHeight="1">
      <c r="H1744" s="2" t="s">
        <v>9032</v>
      </c>
      <c r="I1744" s="2" t="s">
        <v>9033</v>
      </c>
      <c r="J1744" s="2" t="s">
        <v>9034</v>
      </c>
      <c r="K1744" s="2" t="s">
        <v>9035</v>
      </c>
      <c r="L1744" s="2" t="s">
        <v>6101</v>
      </c>
      <c r="M1744" s="2" t="s">
        <v>9036</v>
      </c>
      <c r="N1744" s="2" t="s">
        <v>9037</v>
      </c>
      <c r="O1744" s="2" t="s">
        <v>869</v>
      </c>
      <c r="P1744" s="2" t="s">
        <v>870</v>
      </c>
    </row>
    <row r="1745" ht="15.75" customHeight="1">
      <c r="H1745" s="2" t="s">
        <v>9038</v>
      </c>
      <c r="I1745" s="2" t="s">
        <v>9039</v>
      </c>
      <c r="J1745" s="2" t="s">
        <v>9040</v>
      </c>
      <c r="K1745" s="2" t="s">
        <v>9041</v>
      </c>
      <c r="L1745" s="2" t="s">
        <v>6101</v>
      </c>
      <c r="M1745" s="2" t="s">
        <v>9042</v>
      </c>
      <c r="N1745" s="2" t="s">
        <v>9043</v>
      </c>
      <c r="O1745" s="2" t="s">
        <v>869</v>
      </c>
      <c r="P1745" s="2" t="s">
        <v>870</v>
      </c>
    </row>
    <row r="1746" ht="15.75" customHeight="1">
      <c r="H1746" s="2" t="s">
        <v>9044</v>
      </c>
      <c r="I1746" s="2" t="s">
        <v>3221</v>
      </c>
      <c r="J1746" s="2" t="s">
        <v>3222</v>
      </c>
      <c r="K1746" s="2" t="s">
        <v>9045</v>
      </c>
      <c r="L1746" s="2" t="s">
        <v>6101</v>
      </c>
      <c r="M1746" s="2" t="s">
        <v>9046</v>
      </c>
      <c r="N1746" s="2" t="s">
        <v>9047</v>
      </c>
      <c r="O1746" s="2" t="s">
        <v>869</v>
      </c>
      <c r="P1746" s="2" t="s">
        <v>870</v>
      </c>
    </row>
    <row r="1747" ht="15.75" customHeight="1">
      <c r="H1747" s="2" t="s">
        <v>9048</v>
      </c>
      <c r="I1747" s="2" t="s">
        <v>9049</v>
      </c>
      <c r="J1747" s="2" t="s">
        <v>9050</v>
      </c>
      <c r="K1747" s="2" t="s">
        <v>9051</v>
      </c>
      <c r="L1747" s="2" t="s">
        <v>6101</v>
      </c>
      <c r="M1747" s="2" t="s">
        <v>9052</v>
      </c>
      <c r="N1747" s="2" t="s">
        <v>9053</v>
      </c>
      <c r="O1747" s="2" t="s">
        <v>869</v>
      </c>
      <c r="P1747" s="2" t="s">
        <v>870</v>
      </c>
    </row>
    <row r="1748" ht="15.75" customHeight="1">
      <c r="H1748" s="2" t="s">
        <v>9054</v>
      </c>
      <c r="I1748" s="2" t="s">
        <v>9055</v>
      </c>
      <c r="J1748" s="2" t="s">
        <v>9056</v>
      </c>
      <c r="K1748" s="2" t="s">
        <v>9057</v>
      </c>
      <c r="L1748" s="2" t="s">
        <v>6101</v>
      </c>
      <c r="M1748" s="2" t="s">
        <v>9058</v>
      </c>
      <c r="N1748" s="2" t="s">
        <v>9059</v>
      </c>
      <c r="O1748" s="2" t="s">
        <v>869</v>
      </c>
      <c r="P1748" s="2" t="s">
        <v>870</v>
      </c>
    </row>
    <row r="1749" ht="15.75" customHeight="1">
      <c r="H1749" s="2" t="s">
        <v>9060</v>
      </c>
      <c r="I1749" s="2" t="s">
        <v>9061</v>
      </c>
      <c r="J1749" s="2" t="s">
        <v>9062</v>
      </c>
      <c r="K1749" s="2" t="s">
        <v>9063</v>
      </c>
      <c r="L1749" s="2" t="s">
        <v>6101</v>
      </c>
      <c r="M1749" s="2" t="s">
        <v>9064</v>
      </c>
      <c r="N1749" s="2" t="s">
        <v>9065</v>
      </c>
      <c r="O1749" s="2" t="s">
        <v>869</v>
      </c>
      <c r="P1749" s="2" t="s">
        <v>870</v>
      </c>
    </row>
    <row r="1750" ht="15.75" customHeight="1">
      <c r="H1750" s="2" t="s">
        <v>9066</v>
      </c>
      <c r="I1750" s="2" t="s">
        <v>3251</v>
      </c>
      <c r="J1750" s="2" t="s">
        <v>3252</v>
      </c>
      <c r="K1750" s="2" t="s">
        <v>9067</v>
      </c>
      <c r="L1750" s="2" t="s">
        <v>6101</v>
      </c>
      <c r="M1750" s="2" t="s">
        <v>9068</v>
      </c>
      <c r="N1750" s="2" t="s">
        <v>9069</v>
      </c>
      <c r="O1750" s="2" t="s">
        <v>869</v>
      </c>
      <c r="P1750" s="2" t="s">
        <v>870</v>
      </c>
    </row>
    <row r="1751" ht="15.75" customHeight="1">
      <c r="H1751" s="2" t="s">
        <v>9070</v>
      </c>
      <c r="I1751" s="2" t="s">
        <v>9071</v>
      </c>
      <c r="J1751" s="2" t="s">
        <v>9072</v>
      </c>
      <c r="K1751" s="2" t="s">
        <v>9073</v>
      </c>
      <c r="L1751" s="2" t="s">
        <v>6101</v>
      </c>
      <c r="M1751" s="2" t="s">
        <v>9074</v>
      </c>
      <c r="N1751" s="2" t="s">
        <v>9075</v>
      </c>
      <c r="O1751" s="2" t="s">
        <v>869</v>
      </c>
      <c r="P1751" s="2" t="s">
        <v>870</v>
      </c>
    </row>
    <row r="1752" ht="15.75" customHeight="1">
      <c r="H1752" s="2" t="s">
        <v>9076</v>
      </c>
      <c r="I1752" s="2" t="s">
        <v>9077</v>
      </c>
      <c r="J1752" s="2" t="s">
        <v>9078</v>
      </c>
      <c r="K1752" s="2" t="s">
        <v>9079</v>
      </c>
      <c r="L1752" s="2" t="s">
        <v>6101</v>
      </c>
      <c r="M1752" s="2" t="s">
        <v>9080</v>
      </c>
      <c r="N1752" s="2" t="s">
        <v>9081</v>
      </c>
      <c r="O1752" s="2" t="s">
        <v>869</v>
      </c>
      <c r="P1752" s="2" t="s">
        <v>870</v>
      </c>
    </row>
    <row r="1753" ht="15.75" customHeight="1">
      <c r="H1753" s="2" t="s">
        <v>9082</v>
      </c>
      <c r="I1753" s="2" t="s">
        <v>9083</v>
      </c>
      <c r="J1753" s="2" t="s">
        <v>9084</v>
      </c>
      <c r="K1753" s="2" t="s">
        <v>9085</v>
      </c>
      <c r="L1753" s="2" t="s">
        <v>6101</v>
      </c>
      <c r="M1753" s="2" t="s">
        <v>9086</v>
      </c>
      <c r="N1753" s="2" t="s">
        <v>9087</v>
      </c>
      <c r="O1753" s="2" t="s">
        <v>869</v>
      </c>
      <c r="P1753" s="2" t="s">
        <v>870</v>
      </c>
    </row>
    <row r="1754" ht="15.75" customHeight="1">
      <c r="H1754" s="2" t="s">
        <v>9088</v>
      </c>
      <c r="I1754" s="2" t="s">
        <v>9089</v>
      </c>
      <c r="J1754" s="2" t="s">
        <v>9090</v>
      </c>
      <c r="K1754" s="2" t="s">
        <v>9091</v>
      </c>
      <c r="L1754" s="2" t="s">
        <v>6101</v>
      </c>
      <c r="M1754" s="2" t="s">
        <v>9092</v>
      </c>
      <c r="N1754" s="2" t="s">
        <v>9093</v>
      </c>
      <c r="O1754" s="2" t="s">
        <v>9094</v>
      </c>
      <c r="P1754" s="2" t="s">
        <v>869</v>
      </c>
    </row>
    <row r="1755" ht="15.75" customHeight="1">
      <c r="H1755" s="2" t="s">
        <v>9095</v>
      </c>
      <c r="I1755" s="2" t="s">
        <v>9096</v>
      </c>
      <c r="J1755" s="2" t="s">
        <v>9097</v>
      </c>
      <c r="K1755" s="2" t="s">
        <v>9098</v>
      </c>
      <c r="L1755" s="2" t="s">
        <v>6101</v>
      </c>
      <c r="M1755" s="2" t="s">
        <v>9099</v>
      </c>
      <c r="N1755" s="2" t="s">
        <v>9100</v>
      </c>
      <c r="O1755" s="2" t="s">
        <v>9101</v>
      </c>
      <c r="P1755" s="2" t="s">
        <v>869</v>
      </c>
    </row>
    <row r="1756" ht="15.75" customHeight="1">
      <c r="H1756" s="2" t="s">
        <v>9102</v>
      </c>
      <c r="I1756" s="2" t="s">
        <v>1759</v>
      </c>
      <c r="J1756" s="2" t="s">
        <v>1760</v>
      </c>
      <c r="K1756" s="2" t="s">
        <v>9103</v>
      </c>
      <c r="L1756" s="2" t="s">
        <v>6101</v>
      </c>
      <c r="M1756" s="2" t="s">
        <v>9104</v>
      </c>
      <c r="N1756" s="2" t="s">
        <v>9105</v>
      </c>
      <c r="O1756" s="2" t="s">
        <v>869</v>
      </c>
      <c r="P1756" s="2" t="s">
        <v>870</v>
      </c>
    </row>
    <row r="1757" ht="15.75" customHeight="1">
      <c r="H1757" s="2" t="s">
        <v>9106</v>
      </c>
      <c r="I1757" s="2" t="s">
        <v>9107</v>
      </c>
      <c r="J1757" s="2" t="s">
        <v>9108</v>
      </c>
      <c r="K1757" s="2" t="s">
        <v>9109</v>
      </c>
      <c r="L1757" s="2" t="s">
        <v>6101</v>
      </c>
      <c r="M1757" s="2" t="s">
        <v>9110</v>
      </c>
      <c r="N1757" s="2" t="s">
        <v>9111</v>
      </c>
      <c r="O1757" s="2" t="s">
        <v>869</v>
      </c>
      <c r="P1757" s="2" t="s">
        <v>870</v>
      </c>
    </row>
    <row r="1758" ht="15.75" customHeight="1">
      <c r="H1758" s="2" t="s">
        <v>9112</v>
      </c>
      <c r="I1758" s="2" t="s">
        <v>3296</v>
      </c>
      <c r="J1758" s="2" t="s">
        <v>3297</v>
      </c>
      <c r="K1758" s="2" t="s">
        <v>9113</v>
      </c>
      <c r="L1758" s="2" t="s">
        <v>6101</v>
      </c>
      <c r="M1758" s="2" t="s">
        <v>9114</v>
      </c>
      <c r="N1758" s="2" t="s">
        <v>9115</v>
      </c>
      <c r="O1758" s="2" t="s">
        <v>869</v>
      </c>
      <c r="P1758" s="2" t="s">
        <v>870</v>
      </c>
    </row>
    <row r="1759" ht="15.75" customHeight="1">
      <c r="H1759" s="2" t="s">
        <v>9116</v>
      </c>
      <c r="I1759" s="2" t="s">
        <v>9117</v>
      </c>
      <c r="J1759" s="2" t="s">
        <v>9118</v>
      </c>
      <c r="K1759" s="2" t="s">
        <v>9119</v>
      </c>
      <c r="L1759" s="2" t="s">
        <v>6101</v>
      </c>
      <c r="M1759" s="2" t="s">
        <v>9120</v>
      </c>
      <c r="N1759" s="2" t="s">
        <v>9121</v>
      </c>
      <c r="O1759" s="2" t="s">
        <v>869</v>
      </c>
      <c r="P1759" s="2" t="s">
        <v>870</v>
      </c>
    </row>
    <row r="1760" ht="15.75" customHeight="1">
      <c r="H1760" s="2" t="s">
        <v>9122</v>
      </c>
      <c r="I1760" s="2" t="s">
        <v>1329</v>
      </c>
      <c r="J1760" s="2" t="s">
        <v>1330</v>
      </c>
      <c r="K1760" s="2" t="s">
        <v>9123</v>
      </c>
      <c r="L1760" s="2" t="s">
        <v>6101</v>
      </c>
      <c r="M1760" s="2" t="s">
        <v>9124</v>
      </c>
      <c r="N1760" s="2" t="s">
        <v>9125</v>
      </c>
      <c r="O1760" s="2" t="s">
        <v>869</v>
      </c>
      <c r="P1760" s="2" t="s">
        <v>870</v>
      </c>
    </row>
    <row r="1761" ht="15.75" customHeight="1">
      <c r="H1761" s="2" t="s">
        <v>9126</v>
      </c>
      <c r="I1761" s="2" t="s">
        <v>3324</v>
      </c>
      <c r="J1761" s="2" t="s">
        <v>3325</v>
      </c>
      <c r="K1761" s="2" t="s">
        <v>9127</v>
      </c>
      <c r="L1761" s="2" t="s">
        <v>6101</v>
      </c>
      <c r="M1761" s="2" t="s">
        <v>9128</v>
      </c>
      <c r="N1761" s="2" t="s">
        <v>9129</v>
      </c>
      <c r="O1761" s="2" t="s">
        <v>869</v>
      </c>
      <c r="P1761" s="2" t="s">
        <v>870</v>
      </c>
    </row>
    <row r="1762" ht="15.75" customHeight="1">
      <c r="F1762" s="2" t="s">
        <v>634</v>
      </c>
      <c r="H1762" s="2" t="s">
        <v>9130</v>
      </c>
      <c r="I1762" s="2" t="s">
        <v>9131</v>
      </c>
      <c r="J1762" s="2" t="s">
        <v>9132</v>
      </c>
      <c r="K1762" s="2" t="s">
        <v>9133</v>
      </c>
      <c r="L1762" s="2" t="s">
        <v>6101</v>
      </c>
      <c r="M1762" s="2" t="s">
        <v>9134</v>
      </c>
      <c r="N1762" s="2" t="s">
        <v>9135</v>
      </c>
      <c r="O1762" s="2" t="s">
        <v>869</v>
      </c>
      <c r="P1762" s="2" t="s">
        <v>870</v>
      </c>
    </row>
    <row r="1763" ht="15.75" customHeight="1">
      <c r="H1763" s="2" t="s">
        <v>9136</v>
      </c>
      <c r="I1763" s="2" t="s">
        <v>636</v>
      </c>
      <c r="J1763" s="2" t="s">
        <v>637</v>
      </c>
      <c r="K1763" s="2" t="s">
        <v>9137</v>
      </c>
      <c r="L1763" s="2" t="s">
        <v>6101</v>
      </c>
      <c r="M1763" s="2" t="s">
        <v>9138</v>
      </c>
      <c r="N1763" s="2" t="s">
        <v>9139</v>
      </c>
      <c r="O1763" s="2" t="s">
        <v>869</v>
      </c>
      <c r="P1763" s="2" t="s">
        <v>870</v>
      </c>
    </row>
    <row r="1764" ht="15.75" customHeight="1">
      <c r="H1764" s="2" t="s">
        <v>9140</v>
      </c>
      <c r="I1764" s="2" t="s">
        <v>9141</v>
      </c>
      <c r="J1764" s="2" t="s">
        <v>9142</v>
      </c>
      <c r="K1764" s="2" t="s">
        <v>9143</v>
      </c>
      <c r="L1764" s="2" t="s">
        <v>6101</v>
      </c>
      <c r="M1764" s="2" t="s">
        <v>9144</v>
      </c>
      <c r="N1764" s="2" t="s">
        <v>9145</v>
      </c>
      <c r="O1764" s="2" t="s">
        <v>869</v>
      </c>
      <c r="P1764" s="2" t="s">
        <v>870</v>
      </c>
    </row>
    <row r="1765" ht="15.75" customHeight="1">
      <c r="H1765" s="2" t="s">
        <v>9146</v>
      </c>
      <c r="I1765" s="2" t="s">
        <v>644</v>
      </c>
      <c r="J1765" s="2" t="s">
        <v>645</v>
      </c>
      <c r="K1765" s="2" t="s">
        <v>9147</v>
      </c>
      <c r="L1765" s="2" t="s">
        <v>6101</v>
      </c>
      <c r="M1765" s="2" t="s">
        <v>9148</v>
      </c>
      <c r="N1765" s="2" t="s">
        <v>9149</v>
      </c>
      <c r="O1765" s="2" t="s">
        <v>869</v>
      </c>
      <c r="P1765" s="2" t="s">
        <v>870</v>
      </c>
    </row>
    <row r="1766" ht="15.75" customHeight="1">
      <c r="H1766" s="2" t="s">
        <v>9150</v>
      </c>
      <c r="I1766" s="2" t="s">
        <v>9151</v>
      </c>
      <c r="J1766" s="2" t="s">
        <v>9152</v>
      </c>
      <c r="K1766" s="2" t="s">
        <v>9153</v>
      </c>
      <c r="L1766" s="2" t="s">
        <v>6101</v>
      </c>
      <c r="M1766" s="2" t="s">
        <v>9154</v>
      </c>
      <c r="N1766" s="2" t="s">
        <v>9155</v>
      </c>
      <c r="O1766" s="2" t="s">
        <v>869</v>
      </c>
      <c r="P1766" s="2" t="s">
        <v>870</v>
      </c>
    </row>
    <row r="1767" ht="15.75" customHeight="1">
      <c r="H1767" s="2" t="s">
        <v>9156</v>
      </c>
      <c r="I1767" s="2" t="s">
        <v>9157</v>
      </c>
      <c r="J1767" s="2" t="s">
        <v>9158</v>
      </c>
      <c r="K1767" s="2" t="s">
        <v>9159</v>
      </c>
      <c r="L1767" s="2" t="s">
        <v>6101</v>
      </c>
      <c r="M1767" s="2" t="s">
        <v>9160</v>
      </c>
      <c r="N1767" s="2" t="s">
        <v>9161</v>
      </c>
      <c r="O1767" s="2" t="s">
        <v>869</v>
      </c>
      <c r="P1767" s="2" t="s">
        <v>870</v>
      </c>
    </row>
    <row r="1768" ht="15.75" customHeight="1">
      <c r="H1768" s="2" t="s">
        <v>9162</v>
      </c>
      <c r="I1768" s="2" t="s">
        <v>9163</v>
      </c>
      <c r="J1768" s="2" t="s">
        <v>9164</v>
      </c>
      <c r="K1768" s="2" t="s">
        <v>9165</v>
      </c>
      <c r="L1768" s="2" t="s">
        <v>6101</v>
      </c>
      <c r="M1768" s="2" t="s">
        <v>9166</v>
      </c>
      <c r="N1768" s="2" t="s">
        <v>9167</v>
      </c>
      <c r="O1768" s="2" t="s">
        <v>869</v>
      </c>
      <c r="P1768" s="2" t="s">
        <v>870</v>
      </c>
    </row>
    <row r="1769" ht="15.75" customHeight="1">
      <c r="H1769" s="2" t="s">
        <v>9168</v>
      </c>
      <c r="I1769" s="2" t="s">
        <v>9169</v>
      </c>
      <c r="J1769" s="2" t="s">
        <v>9170</v>
      </c>
      <c r="K1769" s="2" t="s">
        <v>9171</v>
      </c>
      <c r="L1769" s="2" t="s">
        <v>6101</v>
      </c>
      <c r="M1769" s="2" t="s">
        <v>9172</v>
      </c>
      <c r="N1769" s="2" t="s">
        <v>9173</v>
      </c>
      <c r="O1769" s="2" t="s">
        <v>869</v>
      </c>
      <c r="P1769" s="2" t="s">
        <v>870</v>
      </c>
    </row>
    <row r="1770" ht="15.75" customHeight="1">
      <c r="H1770" s="2" t="s">
        <v>9174</v>
      </c>
      <c r="I1770" s="2" t="s">
        <v>9175</v>
      </c>
      <c r="J1770" s="2" t="s">
        <v>9176</v>
      </c>
      <c r="K1770" s="2" t="s">
        <v>9177</v>
      </c>
      <c r="L1770" s="2" t="s">
        <v>6101</v>
      </c>
      <c r="M1770" s="2" t="s">
        <v>9178</v>
      </c>
      <c r="N1770" s="2" t="s">
        <v>9179</v>
      </c>
      <c r="O1770" s="2" t="s">
        <v>869</v>
      </c>
      <c r="P1770" s="2" t="s">
        <v>870</v>
      </c>
    </row>
    <row r="1771" ht="15.75" customHeight="1">
      <c r="H1771" s="2" t="s">
        <v>9180</v>
      </c>
      <c r="I1771" s="2" t="s">
        <v>3342</v>
      </c>
      <c r="J1771" s="2" t="s">
        <v>3343</v>
      </c>
      <c r="K1771" s="2" t="s">
        <v>9181</v>
      </c>
      <c r="L1771" s="2" t="s">
        <v>6101</v>
      </c>
      <c r="M1771" s="2" t="s">
        <v>9182</v>
      </c>
      <c r="N1771" s="2" t="s">
        <v>9183</v>
      </c>
      <c r="O1771" s="2" t="s">
        <v>869</v>
      </c>
      <c r="P1771" s="2" t="s">
        <v>870</v>
      </c>
    </row>
    <row r="1772" ht="15.75" customHeight="1">
      <c r="H1772" s="2" t="s">
        <v>9184</v>
      </c>
      <c r="I1772" s="2" t="s">
        <v>9185</v>
      </c>
      <c r="J1772" s="2" t="s">
        <v>9186</v>
      </c>
      <c r="K1772" s="2" t="s">
        <v>9187</v>
      </c>
      <c r="L1772" s="2" t="s">
        <v>6101</v>
      </c>
      <c r="M1772" s="2" t="s">
        <v>9188</v>
      </c>
      <c r="N1772" s="2" t="s">
        <v>9189</v>
      </c>
      <c r="O1772" s="2" t="s">
        <v>869</v>
      </c>
      <c r="P1772" s="2" t="s">
        <v>870</v>
      </c>
    </row>
    <row r="1773" ht="15.75" customHeight="1">
      <c r="H1773" s="2" t="s">
        <v>9190</v>
      </c>
      <c r="I1773" s="2" t="s">
        <v>9191</v>
      </c>
      <c r="J1773" s="2" t="s">
        <v>9192</v>
      </c>
      <c r="K1773" s="2" t="s">
        <v>9193</v>
      </c>
      <c r="L1773" s="2" t="s">
        <v>6101</v>
      </c>
      <c r="M1773" s="2" t="s">
        <v>9194</v>
      </c>
      <c r="N1773" s="2" t="s">
        <v>9195</v>
      </c>
      <c r="O1773" s="2" t="s">
        <v>869</v>
      </c>
      <c r="P1773" s="2" t="s">
        <v>870</v>
      </c>
    </row>
    <row r="1774" ht="15.75" customHeight="1">
      <c r="H1774" s="2" t="s">
        <v>9196</v>
      </c>
      <c r="I1774" s="2" t="s">
        <v>3347</v>
      </c>
      <c r="J1774" s="2" t="s">
        <v>3348</v>
      </c>
      <c r="K1774" s="2" t="s">
        <v>9197</v>
      </c>
      <c r="L1774" s="2" t="s">
        <v>6101</v>
      </c>
      <c r="M1774" s="2" t="s">
        <v>9198</v>
      </c>
      <c r="N1774" s="2" t="s">
        <v>9199</v>
      </c>
      <c r="O1774" s="2" t="s">
        <v>869</v>
      </c>
      <c r="P1774" s="2" t="s">
        <v>870</v>
      </c>
    </row>
    <row r="1775" ht="15.75" customHeight="1">
      <c r="H1775" s="2" t="s">
        <v>9200</v>
      </c>
      <c r="I1775" s="2" t="s">
        <v>9201</v>
      </c>
      <c r="J1775" s="2" t="s">
        <v>9202</v>
      </c>
      <c r="K1775" s="2" t="s">
        <v>9203</v>
      </c>
      <c r="L1775" s="2" t="s">
        <v>6101</v>
      </c>
      <c r="M1775" s="2" t="s">
        <v>9204</v>
      </c>
      <c r="N1775" s="2" t="s">
        <v>9205</v>
      </c>
      <c r="O1775" s="2" t="s">
        <v>869</v>
      </c>
      <c r="P1775" s="2" t="s">
        <v>870</v>
      </c>
    </row>
    <row r="1776" ht="15.75" customHeight="1">
      <c r="H1776" s="2" t="s">
        <v>9206</v>
      </c>
      <c r="I1776" s="2" t="s">
        <v>3357</v>
      </c>
      <c r="J1776" s="2" t="s">
        <v>3358</v>
      </c>
      <c r="K1776" s="2" t="s">
        <v>9207</v>
      </c>
      <c r="L1776" s="2" t="s">
        <v>6101</v>
      </c>
      <c r="M1776" s="2" t="s">
        <v>9208</v>
      </c>
      <c r="N1776" s="2" t="s">
        <v>9209</v>
      </c>
      <c r="O1776" s="2" t="s">
        <v>869</v>
      </c>
      <c r="P1776" s="2" t="s">
        <v>870</v>
      </c>
    </row>
    <row r="1777" ht="15.75" customHeight="1">
      <c r="H1777" s="2" t="s">
        <v>9210</v>
      </c>
      <c r="I1777" s="2" t="s">
        <v>3362</v>
      </c>
      <c r="J1777" s="2" t="s">
        <v>3363</v>
      </c>
      <c r="K1777" s="2" t="s">
        <v>9211</v>
      </c>
      <c r="L1777" s="2" t="s">
        <v>6101</v>
      </c>
      <c r="M1777" s="2" t="s">
        <v>9212</v>
      </c>
      <c r="N1777" s="2" t="s">
        <v>9213</v>
      </c>
      <c r="O1777" s="2" t="s">
        <v>869</v>
      </c>
      <c r="P1777" s="2" t="s">
        <v>870</v>
      </c>
    </row>
    <row r="1778" ht="15.75" customHeight="1">
      <c r="H1778" s="2" t="s">
        <v>9214</v>
      </c>
      <c r="I1778" s="2" t="s">
        <v>9215</v>
      </c>
      <c r="J1778" s="2" t="s">
        <v>9216</v>
      </c>
      <c r="K1778" s="2" t="s">
        <v>9217</v>
      </c>
      <c r="L1778" s="2" t="s">
        <v>6101</v>
      </c>
      <c r="M1778" s="2" t="s">
        <v>9218</v>
      </c>
      <c r="N1778" s="2" t="s">
        <v>9219</v>
      </c>
      <c r="O1778" s="2" t="s">
        <v>869</v>
      </c>
      <c r="P1778" s="2" t="s">
        <v>870</v>
      </c>
    </row>
    <row r="1779" ht="15.75" customHeight="1">
      <c r="H1779" s="2" t="s">
        <v>9220</v>
      </c>
      <c r="I1779" s="2" t="s">
        <v>9221</v>
      </c>
      <c r="J1779" s="2" t="s">
        <v>9222</v>
      </c>
      <c r="K1779" s="2" t="s">
        <v>9223</v>
      </c>
      <c r="L1779" s="2" t="s">
        <v>6101</v>
      </c>
      <c r="M1779" s="2" t="s">
        <v>9224</v>
      </c>
      <c r="N1779" s="2" t="s">
        <v>9225</v>
      </c>
      <c r="O1779" s="2" t="s">
        <v>869</v>
      </c>
      <c r="P1779" s="2" t="s">
        <v>870</v>
      </c>
    </row>
    <row r="1780" ht="15.75" customHeight="1">
      <c r="H1780" s="2" t="s">
        <v>9226</v>
      </c>
      <c r="I1780" s="2" t="s">
        <v>9227</v>
      </c>
      <c r="J1780" s="2" t="s">
        <v>9228</v>
      </c>
      <c r="K1780" s="2" t="s">
        <v>9229</v>
      </c>
      <c r="L1780" s="2" t="s">
        <v>6101</v>
      </c>
      <c r="M1780" s="2" t="s">
        <v>9230</v>
      </c>
      <c r="N1780" s="2" t="s">
        <v>9231</v>
      </c>
      <c r="O1780" s="2" t="s">
        <v>869</v>
      </c>
      <c r="P1780" s="2" t="s">
        <v>870</v>
      </c>
    </row>
    <row r="1781" ht="15.75" customHeight="1">
      <c r="H1781" s="2" t="s">
        <v>9232</v>
      </c>
      <c r="I1781" s="2" t="s">
        <v>9233</v>
      </c>
      <c r="J1781" s="2" t="s">
        <v>9234</v>
      </c>
      <c r="K1781" s="2" t="s">
        <v>9235</v>
      </c>
      <c r="L1781" s="2" t="s">
        <v>6101</v>
      </c>
      <c r="M1781" s="2" t="s">
        <v>9236</v>
      </c>
      <c r="N1781" s="2" t="s">
        <v>9237</v>
      </c>
      <c r="O1781" s="2" t="s">
        <v>869</v>
      </c>
      <c r="P1781" s="2" t="s">
        <v>870</v>
      </c>
    </row>
    <row r="1782" ht="15.75" customHeight="1">
      <c r="H1782" s="2" t="s">
        <v>9238</v>
      </c>
      <c r="I1782" s="2" t="s">
        <v>9239</v>
      </c>
      <c r="J1782" s="2" t="s">
        <v>9240</v>
      </c>
      <c r="K1782" s="2" t="s">
        <v>9241</v>
      </c>
      <c r="L1782" s="2" t="s">
        <v>6101</v>
      </c>
      <c r="M1782" s="2" t="s">
        <v>9242</v>
      </c>
      <c r="N1782" s="2" t="s">
        <v>9243</v>
      </c>
      <c r="O1782" s="2" t="s">
        <v>869</v>
      </c>
      <c r="P1782" s="2" t="s">
        <v>870</v>
      </c>
    </row>
    <row r="1783" ht="15.75" customHeight="1">
      <c r="H1783" s="2" t="s">
        <v>9244</v>
      </c>
      <c r="I1783" s="2" t="s">
        <v>3375</v>
      </c>
      <c r="J1783" s="2" t="s">
        <v>3376</v>
      </c>
      <c r="K1783" s="2" t="s">
        <v>9245</v>
      </c>
      <c r="L1783" s="2" t="s">
        <v>6101</v>
      </c>
      <c r="M1783" s="2" t="s">
        <v>9246</v>
      </c>
      <c r="N1783" s="2" t="s">
        <v>9247</v>
      </c>
      <c r="O1783" s="2" t="s">
        <v>869</v>
      </c>
      <c r="P1783" s="2" t="s">
        <v>870</v>
      </c>
    </row>
    <row r="1784" ht="15.75" customHeight="1">
      <c r="H1784" s="2" t="s">
        <v>9248</v>
      </c>
      <c r="I1784" s="2" t="s">
        <v>3380</v>
      </c>
      <c r="J1784" s="2" t="s">
        <v>3381</v>
      </c>
      <c r="K1784" s="2" t="s">
        <v>9249</v>
      </c>
      <c r="L1784" s="2" t="s">
        <v>6101</v>
      </c>
      <c r="M1784" s="2" t="s">
        <v>9250</v>
      </c>
      <c r="N1784" s="2" t="s">
        <v>9251</v>
      </c>
      <c r="O1784" s="2" t="s">
        <v>869</v>
      </c>
      <c r="P1784" s="2" t="s">
        <v>870</v>
      </c>
    </row>
    <row r="1785" ht="15.75" customHeight="1">
      <c r="H1785" s="2" t="s">
        <v>9252</v>
      </c>
      <c r="I1785" s="2" t="s">
        <v>9253</v>
      </c>
      <c r="J1785" s="2" t="s">
        <v>9254</v>
      </c>
      <c r="K1785" s="2" t="s">
        <v>9255</v>
      </c>
      <c r="L1785" s="2" t="s">
        <v>6101</v>
      </c>
      <c r="M1785" s="2" t="s">
        <v>9256</v>
      </c>
      <c r="N1785" s="2" t="s">
        <v>9257</v>
      </c>
      <c r="O1785" s="2" t="s">
        <v>869</v>
      </c>
      <c r="P1785" s="2" t="s">
        <v>870</v>
      </c>
    </row>
    <row r="1786" ht="15.75" customHeight="1">
      <c r="H1786" s="2" t="s">
        <v>9258</v>
      </c>
      <c r="I1786" s="2" t="s">
        <v>9259</v>
      </c>
      <c r="J1786" s="2" t="s">
        <v>9260</v>
      </c>
      <c r="K1786" s="2" t="s">
        <v>9261</v>
      </c>
      <c r="L1786" s="2" t="s">
        <v>6101</v>
      </c>
      <c r="M1786" s="2" t="s">
        <v>9262</v>
      </c>
      <c r="N1786" s="2" t="s">
        <v>9263</v>
      </c>
      <c r="O1786" s="2" t="s">
        <v>869</v>
      </c>
      <c r="P1786" s="2" t="s">
        <v>870</v>
      </c>
    </row>
    <row r="1787" ht="15.75" customHeight="1">
      <c r="H1787" s="2" t="s">
        <v>9264</v>
      </c>
      <c r="I1787" s="2" t="s">
        <v>9265</v>
      </c>
      <c r="J1787" s="2" t="s">
        <v>9266</v>
      </c>
      <c r="K1787" s="2" t="s">
        <v>9267</v>
      </c>
      <c r="L1787" s="2" t="s">
        <v>6101</v>
      </c>
      <c r="M1787" s="2" t="s">
        <v>9268</v>
      </c>
      <c r="N1787" s="2" t="s">
        <v>9269</v>
      </c>
      <c r="O1787" s="2" t="s">
        <v>869</v>
      </c>
      <c r="P1787" s="2" t="s">
        <v>870</v>
      </c>
    </row>
    <row r="1788" ht="15.75" customHeight="1">
      <c r="F1788" s="2" t="s">
        <v>651</v>
      </c>
      <c r="H1788" s="2" t="s">
        <v>9270</v>
      </c>
      <c r="I1788" s="2" t="s">
        <v>9271</v>
      </c>
      <c r="J1788" s="2" t="s">
        <v>9272</v>
      </c>
      <c r="K1788" s="2" t="s">
        <v>9273</v>
      </c>
      <c r="L1788" s="2" t="s">
        <v>6101</v>
      </c>
      <c r="M1788" s="2" t="s">
        <v>9274</v>
      </c>
      <c r="N1788" s="2" t="s">
        <v>9275</v>
      </c>
      <c r="O1788" s="2" t="s">
        <v>9276</v>
      </c>
      <c r="P1788" s="2" t="s">
        <v>869</v>
      </c>
    </row>
    <row r="1789" ht="15.75" customHeight="1">
      <c r="H1789" s="2" t="s">
        <v>9277</v>
      </c>
      <c r="I1789" s="2" t="s">
        <v>9278</v>
      </c>
      <c r="J1789" s="2" t="s">
        <v>9279</v>
      </c>
      <c r="K1789" s="2" t="s">
        <v>9280</v>
      </c>
      <c r="L1789" s="2" t="s">
        <v>6101</v>
      </c>
      <c r="M1789" s="2" t="s">
        <v>9281</v>
      </c>
      <c r="N1789" s="2" t="s">
        <v>9282</v>
      </c>
      <c r="O1789" s="2" t="s">
        <v>869</v>
      </c>
      <c r="P1789" s="2" t="s">
        <v>870</v>
      </c>
    </row>
    <row r="1790" ht="15.75" customHeight="1">
      <c r="H1790" s="2" t="s">
        <v>9283</v>
      </c>
      <c r="I1790" s="2" t="s">
        <v>9284</v>
      </c>
      <c r="J1790" s="2" t="s">
        <v>9285</v>
      </c>
      <c r="K1790" s="2" t="s">
        <v>9286</v>
      </c>
      <c r="L1790" s="2" t="s">
        <v>6101</v>
      </c>
      <c r="M1790" s="2" t="s">
        <v>9287</v>
      </c>
      <c r="N1790" s="2" t="s">
        <v>9288</v>
      </c>
      <c r="O1790" s="2" t="s">
        <v>869</v>
      </c>
      <c r="P1790" s="2" t="s">
        <v>870</v>
      </c>
    </row>
    <row r="1791" ht="15.75" customHeight="1">
      <c r="H1791" s="2" t="s">
        <v>9289</v>
      </c>
      <c r="I1791" s="2" t="s">
        <v>3429</v>
      </c>
      <c r="J1791" s="2" t="s">
        <v>3430</v>
      </c>
      <c r="K1791" s="2" t="s">
        <v>9290</v>
      </c>
      <c r="L1791" s="2" t="s">
        <v>6101</v>
      </c>
      <c r="M1791" s="2" t="s">
        <v>9291</v>
      </c>
      <c r="N1791" s="2" t="s">
        <v>9292</v>
      </c>
      <c r="O1791" s="2" t="s">
        <v>869</v>
      </c>
      <c r="P1791" s="2" t="s">
        <v>870</v>
      </c>
    </row>
    <row r="1792" ht="15.75" customHeight="1">
      <c r="H1792" s="2" t="s">
        <v>9293</v>
      </c>
      <c r="I1792" s="2" t="s">
        <v>9294</v>
      </c>
      <c r="J1792" s="2" t="s">
        <v>9295</v>
      </c>
      <c r="K1792" s="2" t="s">
        <v>9296</v>
      </c>
      <c r="L1792" s="2" t="s">
        <v>6101</v>
      </c>
      <c r="M1792" s="2" t="s">
        <v>9297</v>
      </c>
      <c r="N1792" s="2" t="s">
        <v>9298</v>
      </c>
      <c r="O1792" s="2" t="s">
        <v>869</v>
      </c>
      <c r="P1792" s="2" t="s">
        <v>870</v>
      </c>
    </row>
    <row r="1793" ht="15.75" customHeight="1">
      <c r="H1793" s="2" t="s">
        <v>9299</v>
      </c>
      <c r="I1793" s="2" t="s">
        <v>3439</v>
      </c>
      <c r="J1793" s="2" t="s">
        <v>3440</v>
      </c>
      <c r="K1793" s="2" t="s">
        <v>9300</v>
      </c>
      <c r="L1793" s="2" t="s">
        <v>6101</v>
      </c>
      <c r="M1793" s="2" t="s">
        <v>3441</v>
      </c>
      <c r="N1793" s="2" t="s">
        <v>9301</v>
      </c>
      <c r="O1793" s="2" t="s">
        <v>869</v>
      </c>
      <c r="P1793" s="2" t="s">
        <v>870</v>
      </c>
    </row>
    <row r="1794" ht="15.75" customHeight="1">
      <c r="H1794" s="2" t="s">
        <v>9302</v>
      </c>
      <c r="I1794" s="2" t="s">
        <v>9303</v>
      </c>
      <c r="J1794" s="2" t="s">
        <v>9304</v>
      </c>
      <c r="K1794" s="2" t="s">
        <v>9305</v>
      </c>
      <c r="L1794" s="2" t="s">
        <v>6101</v>
      </c>
      <c r="M1794" s="2" t="s">
        <v>9306</v>
      </c>
      <c r="N1794" s="2" t="s">
        <v>9307</v>
      </c>
      <c r="O1794" s="2" t="s">
        <v>869</v>
      </c>
      <c r="P1794" s="2" t="s">
        <v>870</v>
      </c>
    </row>
    <row r="1795" ht="15.75" customHeight="1">
      <c r="H1795" s="2" t="s">
        <v>9308</v>
      </c>
      <c r="I1795" s="2" t="s">
        <v>3221</v>
      </c>
      <c r="J1795" s="2" t="s">
        <v>3222</v>
      </c>
      <c r="K1795" s="2" t="s">
        <v>9309</v>
      </c>
      <c r="L1795" s="2" t="s">
        <v>6101</v>
      </c>
      <c r="M1795" s="2" t="s">
        <v>9310</v>
      </c>
      <c r="N1795" s="2" t="s">
        <v>9311</v>
      </c>
      <c r="O1795" s="2" t="s">
        <v>869</v>
      </c>
      <c r="P1795" s="2" t="s">
        <v>870</v>
      </c>
    </row>
    <row r="1796" ht="15.75" customHeight="1">
      <c r="H1796" s="2" t="s">
        <v>9312</v>
      </c>
      <c r="I1796" s="2" t="s">
        <v>9313</v>
      </c>
      <c r="J1796" s="2" t="s">
        <v>9314</v>
      </c>
      <c r="K1796" s="2" t="s">
        <v>9315</v>
      </c>
      <c r="L1796" s="2" t="s">
        <v>6101</v>
      </c>
      <c r="M1796" s="2" t="s">
        <v>9316</v>
      </c>
      <c r="N1796" s="2" t="s">
        <v>9317</v>
      </c>
      <c r="O1796" s="2" t="s">
        <v>869</v>
      </c>
      <c r="P1796" s="2" t="s">
        <v>870</v>
      </c>
    </row>
    <row r="1797" ht="15.75" customHeight="1">
      <c r="H1797" s="2" t="s">
        <v>9318</v>
      </c>
      <c r="I1797" s="2" t="s">
        <v>9319</v>
      </c>
      <c r="J1797" s="2" t="s">
        <v>9320</v>
      </c>
      <c r="K1797" s="2" t="s">
        <v>9321</v>
      </c>
      <c r="L1797" s="2" t="s">
        <v>6101</v>
      </c>
      <c r="M1797" s="2" t="s">
        <v>9322</v>
      </c>
      <c r="N1797" s="2" t="s">
        <v>9323</v>
      </c>
      <c r="O1797" s="2" t="s">
        <v>869</v>
      </c>
      <c r="P1797" s="2" t="s">
        <v>870</v>
      </c>
    </row>
    <row r="1798" ht="15.75" customHeight="1">
      <c r="H1798" s="2" t="s">
        <v>9324</v>
      </c>
      <c r="I1798" s="2" t="s">
        <v>9325</v>
      </c>
      <c r="J1798" s="2" t="s">
        <v>9326</v>
      </c>
      <c r="K1798" s="2" t="s">
        <v>9327</v>
      </c>
      <c r="L1798" s="2" t="s">
        <v>6101</v>
      </c>
      <c r="M1798" s="2" t="s">
        <v>9328</v>
      </c>
      <c r="N1798" s="2" t="s">
        <v>9329</v>
      </c>
      <c r="O1798" s="2" t="s">
        <v>869</v>
      </c>
      <c r="P1798" s="2" t="s">
        <v>870</v>
      </c>
    </row>
    <row r="1799" ht="15.75" customHeight="1">
      <c r="H1799" s="2" t="s">
        <v>9330</v>
      </c>
      <c r="I1799" s="2" t="s">
        <v>9331</v>
      </c>
      <c r="J1799" s="2" t="s">
        <v>9332</v>
      </c>
      <c r="K1799" s="2" t="s">
        <v>9333</v>
      </c>
      <c r="L1799" s="2" t="s">
        <v>6101</v>
      </c>
      <c r="M1799" s="2" t="s">
        <v>9334</v>
      </c>
      <c r="N1799" s="2" t="s">
        <v>9335</v>
      </c>
      <c r="O1799" s="2" t="s">
        <v>869</v>
      </c>
      <c r="P1799" s="2" t="s">
        <v>870</v>
      </c>
    </row>
    <row r="1800" ht="15.75" customHeight="1">
      <c r="H1800" s="2" t="s">
        <v>9336</v>
      </c>
      <c r="I1800" s="2" t="s">
        <v>3462</v>
      </c>
      <c r="J1800" s="2" t="s">
        <v>3463</v>
      </c>
      <c r="K1800" s="2" t="s">
        <v>9337</v>
      </c>
      <c r="L1800" s="2" t="s">
        <v>6101</v>
      </c>
      <c r="M1800" s="2" t="s">
        <v>9338</v>
      </c>
      <c r="N1800" s="2" t="s">
        <v>9339</v>
      </c>
      <c r="O1800" s="2" t="s">
        <v>869</v>
      </c>
      <c r="P1800" s="2" t="s">
        <v>870</v>
      </c>
    </row>
    <row r="1801" ht="15.75" customHeight="1">
      <c r="H1801" s="2" t="s">
        <v>9340</v>
      </c>
      <c r="I1801" s="2" t="s">
        <v>653</v>
      </c>
      <c r="J1801" s="2" t="s">
        <v>654</v>
      </c>
      <c r="K1801" s="2" t="s">
        <v>9341</v>
      </c>
      <c r="L1801" s="2" t="s">
        <v>6101</v>
      </c>
      <c r="M1801" s="2" t="s">
        <v>9342</v>
      </c>
      <c r="N1801" s="2" t="s">
        <v>9343</v>
      </c>
      <c r="O1801" s="2" t="s">
        <v>869</v>
      </c>
      <c r="P1801" s="2" t="s">
        <v>870</v>
      </c>
    </row>
    <row r="1802" ht="15.75" customHeight="1">
      <c r="H1802" s="2" t="s">
        <v>9344</v>
      </c>
      <c r="I1802" s="2" t="s">
        <v>9345</v>
      </c>
      <c r="J1802" s="2" t="s">
        <v>9346</v>
      </c>
      <c r="K1802" s="2" t="s">
        <v>9347</v>
      </c>
      <c r="L1802" s="2" t="s">
        <v>6101</v>
      </c>
      <c r="M1802" s="2" t="s">
        <v>9348</v>
      </c>
      <c r="N1802" s="2" t="s">
        <v>9349</v>
      </c>
      <c r="O1802" s="2" t="s">
        <v>869</v>
      </c>
      <c r="P1802" s="2" t="s">
        <v>870</v>
      </c>
    </row>
    <row r="1803" ht="15.75" customHeight="1">
      <c r="H1803" s="2" t="s">
        <v>9350</v>
      </c>
      <c r="I1803" s="2" t="s">
        <v>432</v>
      </c>
      <c r="J1803" s="2" t="s">
        <v>433</v>
      </c>
      <c r="K1803" s="2" t="s">
        <v>9351</v>
      </c>
      <c r="L1803" s="2" t="s">
        <v>6101</v>
      </c>
      <c r="M1803" s="2" t="s">
        <v>9352</v>
      </c>
      <c r="N1803" s="2" t="s">
        <v>9353</v>
      </c>
      <c r="O1803" s="2" t="s">
        <v>869</v>
      </c>
      <c r="P1803" s="2" t="s">
        <v>870</v>
      </c>
    </row>
    <row r="1804" ht="15.75" customHeight="1">
      <c r="F1804" s="2" t="s">
        <v>3521</v>
      </c>
      <c r="H1804" s="2" t="s">
        <v>9354</v>
      </c>
      <c r="I1804" s="2" t="s">
        <v>9355</v>
      </c>
      <c r="J1804" s="2" t="s">
        <v>9356</v>
      </c>
      <c r="K1804" s="2" t="s">
        <v>9357</v>
      </c>
      <c r="L1804" s="2" t="s">
        <v>6101</v>
      </c>
      <c r="M1804" s="2" t="s">
        <v>9358</v>
      </c>
      <c r="N1804" s="2" t="s">
        <v>9359</v>
      </c>
      <c r="O1804" s="2" t="s">
        <v>9360</v>
      </c>
      <c r="P1804" s="2" t="s">
        <v>869</v>
      </c>
    </row>
    <row r="1805" ht="15.75" customHeight="1">
      <c r="H1805" s="2" t="s">
        <v>9361</v>
      </c>
      <c r="I1805" s="2" t="s">
        <v>9362</v>
      </c>
      <c r="J1805" s="2" t="s">
        <v>9363</v>
      </c>
      <c r="K1805" s="2" t="s">
        <v>9364</v>
      </c>
      <c r="L1805" s="2" t="s">
        <v>6101</v>
      </c>
      <c r="M1805" s="2" t="s">
        <v>9365</v>
      </c>
      <c r="N1805" s="2" t="s">
        <v>9366</v>
      </c>
      <c r="O1805" s="2" t="s">
        <v>869</v>
      </c>
      <c r="P1805" s="2" t="s">
        <v>870</v>
      </c>
    </row>
    <row r="1806" ht="15.75" customHeight="1">
      <c r="H1806" s="2" t="s">
        <v>9367</v>
      </c>
      <c r="I1806" s="2" t="s">
        <v>9368</v>
      </c>
      <c r="J1806" s="2" t="s">
        <v>9369</v>
      </c>
      <c r="K1806" s="2" t="s">
        <v>9370</v>
      </c>
      <c r="L1806" s="2" t="s">
        <v>6101</v>
      </c>
      <c r="M1806" s="2" t="s">
        <v>9371</v>
      </c>
      <c r="N1806" s="2" t="s">
        <v>9372</v>
      </c>
      <c r="O1806" s="2" t="s">
        <v>9373</v>
      </c>
      <c r="P1806" s="2" t="s">
        <v>869</v>
      </c>
    </row>
    <row r="1807" ht="15.75" customHeight="1">
      <c r="H1807" s="2" t="s">
        <v>9374</v>
      </c>
      <c r="I1807" s="2" t="s">
        <v>2147</v>
      </c>
      <c r="J1807" s="2" t="s">
        <v>2148</v>
      </c>
      <c r="K1807" s="2" t="s">
        <v>9375</v>
      </c>
      <c r="L1807" s="2" t="s">
        <v>6101</v>
      </c>
      <c r="M1807" s="2" t="s">
        <v>9376</v>
      </c>
      <c r="N1807" s="2" t="s">
        <v>7448</v>
      </c>
      <c r="O1807" s="2" t="s">
        <v>869</v>
      </c>
      <c r="P1807" s="2" t="s">
        <v>870</v>
      </c>
    </row>
    <row r="1808" ht="15.75" customHeight="1">
      <c r="H1808" s="2" t="s">
        <v>9377</v>
      </c>
      <c r="I1808" s="2" t="s">
        <v>9378</v>
      </c>
      <c r="J1808" s="2" t="s">
        <v>9379</v>
      </c>
      <c r="K1808" s="2" t="s">
        <v>9380</v>
      </c>
      <c r="L1808" s="2" t="s">
        <v>6101</v>
      </c>
      <c r="M1808" s="2" t="s">
        <v>9381</v>
      </c>
      <c r="N1808" s="2" t="s">
        <v>9382</v>
      </c>
      <c r="O1808" s="2" t="s">
        <v>869</v>
      </c>
      <c r="P1808" s="2" t="s">
        <v>870</v>
      </c>
    </row>
    <row r="1809" ht="15.75" customHeight="1">
      <c r="H1809" s="2" t="s">
        <v>9383</v>
      </c>
      <c r="I1809" s="2" t="s">
        <v>9384</v>
      </c>
      <c r="J1809" s="2" t="s">
        <v>9385</v>
      </c>
      <c r="K1809" s="2" t="s">
        <v>9386</v>
      </c>
      <c r="L1809" s="2" t="s">
        <v>6101</v>
      </c>
      <c r="M1809" s="2" t="s">
        <v>9387</v>
      </c>
      <c r="N1809" s="2" t="s">
        <v>9388</v>
      </c>
      <c r="O1809" s="2" t="s">
        <v>9389</v>
      </c>
      <c r="P1809" s="2" t="s">
        <v>869</v>
      </c>
    </row>
    <row r="1810" ht="15.75" customHeight="1">
      <c r="H1810" s="2" t="s">
        <v>9390</v>
      </c>
      <c r="I1810" s="2" t="s">
        <v>9391</v>
      </c>
      <c r="J1810" s="2" t="s">
        <v>9392</v>
      </c>
      <c r="K1810" s="2" t="s">
        <v>9393</v>
      </c>
      <c r="L1810" s="2" t="s">
        <v>6101</v>
      </c>
      <c r="M1810" s="2" t="s">
        <v>9394</v>
      </c>
      <c r="N1810" s="2" t="s">
        <v>9395</v>
      </c>
      <c r="O1810" s="2" t="s">
        <v>9396</v>
      </c>
      <c r="P1810" s="2" t="s">
        <v>869</v>
      </c>
    </row>
    <row r="1811" ht="15.75" customHeight="1">
      <c r="H1811" s="2" t="s">
        <v>9397</v>
      </c>
      <c r="I1811" s="2" t="s">
        <v>9398</v>
      </c>
      <c r="J1811" s="2" t="s">
        <v>9399</v>
      </c>
      <c r="K1811" s="2" t="s">
        <v>9400</v>
      </c>
      <c r="L1811" s="2" t="s">
        <v>6101</v>
      </c>
      <c r="M1811" s="2" t="s">
        <v>9401</v>
      </c>
      <c r="N1811" s="2" t="s">
        <v>9402</v>
      </c>
      <c r="O1811" s="2" t="s">
        <v>9403</v>
      </c>
      <c r="P1811" s="2" t="s">
        <v>869</v>
      </c>
    </row>
    <row r="1812" ht="15.75" customHeight="1">
      <c r="H1812" s="2" t="s">
        <v>9404</v>
      </c>
      <c r="I1812" s="2" t="s">
        <v>9405</v>
      </c>
      <c r="J1812" s="2" t="s">
        <v>9406</v>
      </c>
      <c r="K1812" s="2" t="s">
        <v>9407</v>
      </c>
      <c r="L1812" s="2" t="s">
        <v>6101</v>
      </c>
      <c r="M1812" s="2" t="s">
        <v>9408</v>
      </c>
      <c r="N1812" s="2" t="s">
        <v>9409</v>
      </c>
      <c r="O1812" s="2" t="s">
        <v>9410</v>
      </c>
      <c r="P1812" s="2" t="s">
        <v>869</v>
      </c>
    </row>
    <row r="1813" ht="15.75" customHeight="1">
      <c r="H1813" s="2" t="s">
        <v>9411</v>
      </c>
      <c r="I1813" s="2" t="s">
        <v>3538</v>
      </c>
      <c r="J1813" s="2" t="s">
        <v>3539</v>
      </c>
      <c r="K1813" s="2" t="s">
        <v>9412</v>
      </c>
      <c r="L1813" s="2" t="s">
        <v>6101</v>
      </c>
      <c r="M1813" s="2" t="s">
        <v>9413</v>
      </c>
      <c r="N1813" s="2" t="s">
        <v>9414</v>
      </c>
      <c r="O1813" s="2" t="s">
        <v>869</v>
      </c>
      <c r="P1813" s="2" t="s">
        <v>870</v>
      </c>
    </row>
    <row r="1814" ht="15.75" customHeight="1">
      <c r="H1814" s="2" t="s">
        <v>9415</v>
      </c>
      <c r="I1814" s="2" t="s">
        <v>9416</v>
      </c>
      <c r="J1814" s="2" t="s">
        <v>9417</v>
      </c>
      <c r="K1814" s="2" t="s">
        <v>9418</v>
      </c>
      <c r="L1814" s="2" t="s">
        <v>6101</v>
      </c>
      <c r="M1814" s="2" t="s">
        <v>9419</v>
      </c>
      <c r="N1814" s="2" t="s">
        <v>9420</v>
      </c>
      <c r="O1814" s="2" t="s">
        <v>9421</v>
      </c>
      <c r="P1814" s="2" t="s">
        <v>869</v>
      </c>
    </row>
    <row r="1815" ht="15.75" customHeight="1">
      <c r="H1815" s="2" t="s">
        <v>9422</v>
      </c>
      <c r="I1815" s="2" t="s">
        <v>9423</v>
      </c>
      <c r="J1815" s="2" t="s">
        <v>9424</v>
      </c>
      <c r="K1815" s="2" t="s">
        <v>9425</v>
      </c>
      <c r="L1815" s="2" t="s">
        <v>6101</v>
      </c>
      <c r="M1815" s="2" t="s">
        <v>9426</v>
      </c>
      <c r="N1815" s="2" t="s">
        <v>9427</v>
      </c>
      <c r="O1815" s="2" t="s">
        <v>9428</v>
      </c>
      <c r="P1815" s="2" t="s">
        <v>869</v>
      </c>
    </row>
    <row r="1816" ht="15.75" customHeight="1">
      <c r="H1816" s="2" t="s">
        <v>9429</v>
      </c>
      <c r="I1816" s="2" t="s">
        <v>3548</v>
      </c>
      <c r="J1816" s="2" t="s">
        <v>3549</v>
      </c>
      <c r="K1816" s="2" t="s">
        <v>9430</v>
      </c>
      <c r="L1816" s="2" t="s">
        <v>6101</v>
      </c>
      <c r="M1816" s="2" t="s">
        <v>3550</v>
      </c>
      <c r="N1816" s="2" t="s">
        <v>9431</v>
      </c>
      <c r="O1816" s="2" t="s">
        <v>9432</v>
      </c>
      <c r="P1816" s="2" t="s">
        <v>869</v>
      </c>
    </row>
    <row r="1817" ht="15.75" customHeight="1">
      <c r="H1817" s="2" t="s">
        <v>9433</v>
      </c>
      <c r="I1817" s="2" t="s">
        <v>9434</v>
      </c>
      <c r="J1817" s="2" t="s">
        <v>9435</v>
      </c>
      <c r="K1817" s="2" t="s">
        <v>9436</v>
      </c>
      <c r="L1817" s="2" t="s">
        <v>6101</v>
      </c>
      <c r="M1817" s="2" t="s">
        <v>9437</v>
      </c>
      <c r="N1817" s="2" t="s">
        <v>9438</v>
      </c>
      <c r="O1817" s="2" t="s">
        <v>9439</v>
      </c>
      <c r="P1817" s="2" t="s">
        <v>869</v>
      </c>
    </row>
    <row r="1818" ht="15.75" customHeight="1">
      <c r="H1818" s="2" t="s">
        <v>9440</v>
      </c>
      <c r="I1818" s="2" t="s">
        <v>3553</v>
      </c>
      <c r="J1818" s="2" t="s">
        <v>3554</v>
      </c>
      <c r="K1818" s="2" t="s">
        <v>9441</v>
      </c>
      <c r="L1818" s="2" t="s">
        <v>6101</v>
      </c>
      <c r="M1818" s="2" t="s">
        <v>9442</v>
      </c>
      <c r="N1818" s="2" t="s">
        <v>9443</v>
      </c>
      <c r="O1818" s="2" t="s">
        <v>869</v>
      </c>
      <c r="P1818" s="2" t="s">
        <v>870</v>
      </c>
    </row>
    <row r="1819" ht="15.75" customHeight="1">
      <c r="H1819" s="2" t="s">
        <v>9444</v>
      </c>
      <c r="I1819" s="2" t="s">
        <v>9445</v>
      </c>
      <c r="J1819" s="2" t="s">
        <v>9446</v>
      </c>
      <c r="K1819" s="2" t="s">
        <v>9447</v>
      </c>
      <c r="L1819" s="2" t="s">
        <v>6101</v>
      </c>
      <c r="M1819" s="2" t="s">
        <v>9448</v>
      </c>
      <c r="N1819" s="2" t="s">
        <v>9449</v>
      </c>
      <c r="O1819" s="2" t="s">
        <v>869</v>
      </c>
      <c r="P1819" s="2" t="s">
        <v>870</v>
      </c>
    </row>
    <row r="1820" ht="15.75" customHeight="1">
      <c r="H1820" s="2" t="s">
        <v>9450</v>
      </c>
      <c r="I1820" s="2" t="s">
        <v>3558</v>
      </c>
      <c r="J1820" s="2" t="s">
        <v>3559</v>
      </c>
      <c r="K1820" s="2" t="s">
        <v>9451</v>
      </c>
      <c r="L1820" s="2" t="s">
        <v>6101</v>
      </c>
      <c r="M1820" s="2" t="s">
        <v>9452</v>
      </c>
      <c r="N1820" s="2" t="s">
        <v>9453</v>
      </c>
      <c r="O1820" s="2" t="s">
        <v>869</v>
      </c>
      <c r="P1820" s="2" t="s">
        <v>870</v>
      </c>
    </row>
    <row r="1821" ht="15.75" customHeight="1">
      <c r="H1821" s="2" t="s">
        <v>9454</v>
      </c>
      <c r="I1821" s="2" t="s">
        <v>9455</v>
      </c>
      <c r="J1821" s="2" t="s">
        <v>9456</v>
      </c>
      <c r="K1821" s="2" t="s">
        <v>9457</v>
      </c>
      <c r="L1821" s="2" t="s">
        <v>6101</v>
      </c>
      <c r="M1821" s="2" t="s">
        <v>9458</v>
      </c>
      <c r="N1821" s="2" t="s">
        <v>9459</v>
      </c>
      <c r="O1821" s="2" t="s">
        <v>869</v>
      </c>
      <c r="P1821" s="2" t="s">
        <v>870</v>
      </c>
    </row>
    <row r="1822" ht="15.75" customHeight="1">
      <c r="F1822" s="2" t="s">
        <v>3577</v>
      </c>
      <c r="H1822" s="2" t="s">
        <v>9460</v>
      </c>
      <c r="I1822" s="2" t="s">
        <v>9141</v>
      </c>
      <c r="J1822" s="2" t="s">
        <v>9142</v>
      </c>
      <c r="K1822" s="2" t="s">
        <v>9461</v>
      </c>
      <c r="L1822" s="2" t="s">
        <v>6101</v>
      </c>
      <c r="M1822" s="2" t="s">
        <v>9462</v>
      </c>
      <c r="N1822" s="2" t="s">
        <v>9463</v>
      </c>
      <c r="O1822" s="2" t="s">
        <v>869</v>
      </c>
      <c r="P1822" s="2" t="s">
        <v>870</v>
      </c>
    </row>
    <row r="1823" ht="15.75" customHeight="1">
      <c r="H1823" s="2" t="s">
        <v>9464</v>
      </c>
      <c r="I1823" s="2" t="s">
        <v>9465</v>
      </c>
      <c r="J1823" s="2" t="s">
        <v>9466</v>
      </c>
      <c r="K1823" s="2" t="s">
        <v>9467</v>
      </c>
      <c r="L1823" s="2" t="s">
        <v>6101</v>
      </c>
      <c r="M1823" s="2" t="s">
        <v>9468</v>
      </c>
      <c r="N1823" s="2" t="s">
        <v>9469</v>
      </c>
      <c r="O1823" s="2" t="s">
        <v>869</v>
      </c>
      <c r="P1823" s="2" t="s">
        <v>870</v>
      </c>
    </row>
    <row r="1824" ht="15.75" customHeight="1">
      <c r="H1824" s="2" t="s">
        <v>9470</v>
      </c>
      <c r="I1824" s="2" t="s">
        <v>9471</v>
      </c>
      <c r="J1824" s="2" t="s">
        <v>9472</v>
      </c>
      <c r="K1824" s="2" t="s">
        <v>9473</v>
      </c>
      <c r="L1824" s="2" t="s">
        <v>6101</v>
      </c>
      <c r="M1824" s="2" t="s">
        <v>9474</v>
      </c>
      <c r="N1824" s="2" t="s">
        <v>9475</v>
      </c>
      <c r="O1824" s="2" t="s">
        <v>869</v>
      </c>
      <c r="P1824" s="2" t="s">
        <v>870</v>
      </c>
    </row>
    <row r="1825" ht="15.75" customHeight="1">
      <c r="H1825" s="2" t="s">
        <v>9476</v>
      </c>
      <c r="I1825" s="2" t="s">
        <v>9477</v>
      </c>
      <c r="J1825" s="2" t="s">
        <v>9478</v>
      </c>
      <c r="K1825" s="2" t="s">
        <v>9479</v>
      </c>
      <c r="L1825" s="2" t="s">
        <v>6101</v>
      </c>
      <c r="M1825" s="2" t="s">
        <v>9480</v>
      </c>
      <c r="N1825" s="2" t="s">
        <v>8682</v>
      </c>
      <c r="O1825" s="2" t="s">
        <v>869</v>
      </c>
      <c r="P1825" s="2" t="s">
        <v>870</v>
      </c>
    </row>
    <row r="1826" ht="15.75" customHeight="1">
      <c r="H1826" s="2" t="s">
        <v>9481</v>
      </c>
      <c r="I1826" s="2" t="s">
        <v>4035</v>
      </c>
      <c r="J1826" s="2" t="s">
        <v>4036</v>
      </c>
      <c r="K1826" s="2" t="s">
        <v>9482</v>
      </c>
      <c r="L1826" s="2" t="s">
        <v>6101</v>
      </c>
      <c r="M1826" s="2" t="s">
        <v>9483</v>
      </c>
      <c r="N1826" s="2" t="s">
        <v>9484</v>
      </c>
      <c r="O1826" s="2" t="s">
        <v>6873</v>
      </c>
      <c r="P1826" s="2" t="s">
        <v>869</v>
      </c>
    </row>
    <row r="1827" ht="15.75" customHeight="1">
      <c r="H1827" s="2" t="s">
        <v>9485</v>
      </c>
      <c r="I1827" s="2" t="s">
        <v>3588</v>
      </c>
      <c r="J1827" s="2" t="s">
        <v>3589</v>
      </c>
      <c r="K1827" s="2" t="s">
        <v>9486</v>
      </c>
      <c r="L1827" s="2" t="s">
        <v>6101</v>
      </c>
      <c r="M1827" s="2" t="s">
        <v>9487</v>
      </c>
      <c r="N1827" s="2" t="s">
        <v>9488</v>
      </c>
      <c r="O1827" s="2" t="s">
        <v>869</v>
      </c>
      <c r="P1827" s="2" t="s">
        <v>870</v>
      </c>
    </row>
    <row r="1828" ht="15.75" customHeight="1">
      <c r="H1828" s="2" t="s">
        <v>9489</v>
      </c>
      <c r="I1828" s="2" t="s">
        <v>6442</v>
      </c>
      <c r="J1828" s="2" t="s">
        <v>6443</v>
      </c>
      <c r="K1828" s="2" t="s">
        <v>9490</v>
      </c>
      <c r="L1828" s="2" t="s">
        <v>6101</v>
      </c>
      <c r="M1828" s="2" t="s">
        <v>9491</v>
      </c>
      <c r="N1828" s="2" t="s">
        <v>9492</v>
      </c>
      <c r="O1828" s="2" t="s">
        <v>869</v>
      </c>
      <c r="P1828" s="2" t="s">
        <v>870</v>
      </c>
    </row>
    <row r="1829" ht="15.75" customHeight="1">
      <c r="H1829" s="2" t="s">
        <v>9493</v>
      </c>
      <c r="I1829" s="2" t="s">
        <v>3593</v>
      </c>
      <c r="J1829" s="2" t="s">
        <v>3594</v>
      </c>
      <c r="K1829" s="2" t="s">
        <v>9494</v>
      </c>
      <c r="L1829" s="2" t="s">
        <v>6101</v>
      </c>
      <c r="M1829" s="2" t="s">
        <v>9495</v>
      </c>
      <c r="N1829" s="2" t="s">
        <v>9496</v>
      </c>
      <c r="O1829" s="2" t="s">
        <v>869</v>
      </c>
      <c r="P1829" s="2" t="s">
        <v>870</v>
      </c>
    </row>
    <row r="1830" ht="15.75" customHeight="1">
      <c r="H1830" s="2" t="s">
        <v>9497</v>
      </c>
      <c r="I1830" s="2" t="s">
        <v>9498</v>
      </c>
      <c r="J1830" s="2" t="s">
        <v>9499</v>
      </c>
      <c r="K1830" s="2" t="s">
        <v>9500</v>
      </c>
      <c r="L1830" s="2" t="s">
        <v>6101</v>
      </c>
      <c r="M1830" s="2" t="s">
        <v>9501</v>
      </c>
      <c r="N1830" s="2" t="s">
        <v>9502</v>
      </c>
      <c r="O1830" s="2" t="s">
        <v>869</v>
      </c>
      <c r="P1830" s="2" t="s">
        <v>870</v>
      </c>
    </row>
    <row r="1831" ht="15.75" customHeight="1">
      <c r="H1831" s="2" t="s">
        <v>9503</v>
      </c>
      <c r="I1831" s="2" t="s">
        <v>9504</v>
      </c>
      <c r="J1831" s="2" t="s">
        <v>9505</v>
      </c>
      <c r="K1831" s="2" t="s">
        <v>9506</v>
      </c>
      <c r="L1831" s="2" t="s">
        <v>6101</v>
      </c>
      <c r="M1831" s="2" t="s">
        <v>9507</v>
      </c>
      <c r="N1831" s="2" t="s">
        <v>9508</v>
      </c>
      <c r="O1831" s="2" t="s">
        <v>869</v>
      </c>
      <c r="P1831" s="2" t="s">
        <v>870</v>
      </c>
    </row>
    <row r="1832" ht="15.75" customHeight="1">
      <c r="H1832" s="2" t="s">
        <v>9509</v>
      </c>
      <c r="I1832" s="2" t="s">
        <v>9510</v>
      </c>
      <c r="J1832" s="2" t="s">
        <v>9511</v>
      </c>
      <c r="K1832" s="2" t="s">
        <v>9512</v>
      </c>
      <c r="L1832" s="2" t="s">
        <v>6101</v>
      </c>
      <c r="M1832" s="2" t="s">
        <v>9513</v>
      </c>
      <c r="N1832" s="2" t="s">
        <v>9514</v>
      </c>
      <c r="O1832" s="2" t="s">
        <v>869</v>
      </c>
      <c r="P1832" s="2" t="s">
        <v>870</v>
      </c>
    </row>
    <row r="1833" ht="15.75" customHeight="1">
      <c r="H1833" s="2" t="s">
        <v>9515</v>
      </c>
      <c r="I1833" s="2" t="s">
        <v>9516</v>
      </c>
      <c r="J1833" s="2" t="s">
        <v>9517</v>
      </c>
      <c r="K1833" s="2" t="s">
        <v>9518</v>
      </c>
      <c r="L1833" s="2" t="s">
        <v>6101</v>
      </c>
      <c r="M1833" s="2" t="s">
        <v>9519</v>
      </c>
      <c r="N1833" s="2" t="s">
        <v>9520</v>
      </c>
      <c r="O1833" s="2" t="s">
        <v>9521</v>
      </c>
      <c r="P1833" s="2" t="s">
        <v>869</v>
      </c>
    </row>
    <row r="1834" ht="15.75" customHeight="1">
      <c r="H1834" s="2" t="s">
        <v>9522</v>
      </c>
      <c r="I1834" s="2" t="s">
        <v>9523</v>
      </c>
      <c r="J1834" s="2" t="s">
        <v>9524</v>
      </c>
      <c r="K1834" s="2" t="s">
        <v>9525</v>
      </c>
      <c r="L1834" s="2" t="s">
        <v>6101</v>
      </c>
      <c r="M1834" s="2" t="s">
        <v>9526</v>
      </c>
      <c r="N1834" s="2" t="s">
        <v>9527</v>
      </c>
      <c r="O1834" s="2" t="s">
        <v>869</v>
      </c>
      <c r="P1834" s="2" t="s">
        <v>870</v>
      </c>
    </row>
    <row r="1835" ht="15.75" customHeight="1">
      <c r="H1835" s="2" t="s">
        <v>9528</v>
      </c>
      <c r="I1835" s="2" t="s">
        <v>9529</v>
      </c>
      <c r="J1835" s="2" t="s">
        <v>9530</v>
      </c>
      <c r="K1835" s="2" t="s">
        <v>9531</v>
      </c>
      <c r="L1835" s="2" t="s">
        <v>6101</v>
      </c>
      <c r="M1835" s="2" t="s">
        <v>9532</v>
      </c>
      <c r="N1835" s="2" t="s">
        <v>9533</v>
      </c>
      <c r="O1835" s="2" t="s">
        <v>9534</v>
      </c>
      <c r="P1835" s="2" t="s">
        <v>869</v>
      </c>
    </row>
    <row r="1836" ht="15.75" customHeight="1">
      <c r="H1836" s="2" t="s">
        <v>9535</v>
      </c>
      <c r="I1836" s="2" t="s">
        <v>9536</v>
      </c>
      <c r="J1836" s="2" t="s">
        <v>9537</v>
      </c>
      <c r="K1836" s="2" t="s">
        <v>9538</v>
      </c>
      <c r="L1836" s="2" t="s">
        <v>6101</v>
      </c>
      <c r="M1836" s="2" t="s">
        <v>9539</v>
      </c>
      <c r="N1836" s="2" t="s">
        <v>9540</v>
      </c>
      <c r="O1836" s="2" t="s">
        <v>9541</v>
      </c>
      <c r="P1836" s="2" t="s">
        <v>869</v>
      </c>
    </row>
    <row r="1837" ht="15.75" customHeight="1">
      <c r="F1837" s="2" t="s">
        <v>3605</v>
      </c>
      <c r="H1837" s="2" t="s">
        <v>9542</v>
      </c>
      <c r="I1837" s="2" t="s">
        <v>9543</v>
      </c>
      <c r="J1837" s="2" t="s">
        <v>9544</v>
      </c>
      <c r="K1837" s="2" t="s">
        <v>9545</v>
      </c>
      <c r="L1837" s="2" t="s">
        <v>6101</v>
      </c>
      <c r="M1837" s="2" t="s">
        <v>9546</v>
      </c>
      <c r="N1837" s="2" t="s">
        <v>9547</v>
      </c>
      <c r="O1837" s="2" t="s">
        <v>9548</v>
      </c>
      <c r="P1837" s="2" t="s">
        <v>869</v>
      </c>
    </row>
    <row r="1838" ht="15.75" customHeight="1">
      <c r="H1838" s="2" t="s">
        <v>9549</v>
      </c>
      <c r="I1838" s="2" t="s">
        <v>9550</v>
      </c>
      <c r="J1838" s="2" t="s">
        <v>9551</v>
      </c>
      <c r="K1838" s="2" t="s">
        <v>9552</v>
      </c>
      <c r="L1838" s="2" t="s">
        <v>6101</v>
      </c>
      <c r="M1838" s="2" t="s">
        <v>9553</v>
      </c>
      <c r="N1838" s="2" t="s">
        <v>9554</v>
      </c>
      <c r="O1838" s="2" t="s">
        <v>9555</v>
      </c>
      <c r="P1838" s="2" t="s">
        <v>869</v>
      </c>
    </row>
    <row r="1839" ht="15.75" customHeight="1">
      <c r="H1839" s="2" t="s">
        <v>9556</v>
      </c>
      <c r="I1839" s="2" t="s">
        <v>9557</v>
      </c>
      <c r="J1839" s="2" t="s">
        <v>9558</v>
      </c>
      <c r="K1839" s="2" t="s">
        <v>9559</v>
      </c>
      <c r="L1839" s="2" t="s">
        <v>6101</v>
      </c>
      <c r="M1839" s="2" t="s">
        <v>9560</v>
      </c>
      <c r="N1839" s="2" t="s">
        <v>9561</v>
      </c>
      <c r="O1839" s="2" t="s">
        <v>9562</v>
      </c>
      <c r="P1839" s="2" t="s">
        <v>869</v>
      </c>
    </row>
    <row r="1840" ht="15.75" customHeight="1">
      <c r="H1840" s="2" t="s">
        <v>9563</v>
      </c>
      <c r="I1840" s="2" t="s">
        <v>9564</v>
      </c>
      <c r="J1840" s="2" t="s">
        <v>9565</v>
      </c>
      <c r="K1840" s="2" t="s">
        <v>9566</v>
      </c>
      <c r="L1840" s="2" t="s">
        <v>6101</v>
      </c>
      <c r="M1840" s="2" t="s">
        <v>9567</v>
      </c>
      <c r="N1840" s="2" t="s">
        <v>9568</v>
      </c>
      <c r="O1840" s="2" t="s">
        <v>9569</v>
      </c>
      <c r="P1840" s="2" t="s">
        <v>869</v>
      </c>
    </row>
    <row r="1841" ht="15.75" customHeight="1">
      <c r="H1841" s="2" t="s">
        <v>9570</v>
      </c>
      <c r="I1841" s="2" t="s">
        <v>9571</v>
      </c>
      <c r="J1841" s="2" t="s">
        <v>9572</v>
      </c>
      <c r="K1841" s="2" t="s">
        <v>9573</v>
      </c>
      <c r="L1841" s="2" t="s">
        <v>6101</v>
      </c>
      <c r="M1841" s="2" t="s">
        <v>9574</v>
      </c>
      <c r="N1841" s="2" t="s">
        <v>9575</v>
      </c>
      <c r="O1841" s="2" t="s">
        <v>9576</v>
      </c>
      <c r="P1841" s="2" t="s">
        <v>869</v>
      </c>
    </row>
    <row r="1842" ht="15.75" customHeight="1">
      <c r="H1842" s="2" t="s">
        <v>9577</v>
      </c>
      <c r="I1842" s="2" t="s">
        <v>1457</v>
      </c>
      <c r="J1842" s="2" t="s">
        <v>1458</v>
      </c>
      <c r="K1842" s="2" t="s">
        <v>9578</v>
      </c>
      <c r="L1842" s="2" t="s">
        <v>6101</v>
      </c>
      <c r="M1842" s="2" t="s">
        <v>9579</v>
      </c>
      <c r="N1842" s="2" t="s">
        <v>9580</v>
      </c>
      <c r="O1842" s="2" t="s">
        <v>9581</v>
      </c>
      <c r="P1842" s="2" t="s">
        <v>869</v>
      </c>
    </row>
    <row r="1843" ht="15.75" customHeight="1">
      <c r="H1843" s="2" t="s">
        <v>9582</v>
      </c>
      <c r="I1843" s="2" t="s">
        <v>9583</v>
      </c>
      <c r="J1843" s="2" t="s">
        <v>9584</v>
      </c>
      <c r="K1843" s="2" t="s">
        <v>9585</v>
      </c>
      <c r="L1843" s="2" t="s">
        <v>6101</v>
      </c>
      <c r="M1843" s="2" t="s">
        <v>9586</v>
      </c>
      <c r="N1843" s="2" t="s">
        <v>9587</v>
      </c>
      <c r="O1843" s="2" t="s">
        <v>9588</v>
      </c>
      <c r="P1843" s="2" t="s">
        <v>869</v>
      </c>
    </row>
    <row r="1844" ht="15.75" customHeight="1">
      <c r="H1844" s="2" t="s">
        <v>9589</v>
      </c>
      <c r="I1844" s="2" t="s">
        <v>9590</v>
      </c>
      <c r="J1844" s="2" t="s">
        <v>9591</v>
      </c>
      <c r="K1844" s="2" t="s">
        <v>9592</v>
      </c>
      <c r="L1844" s="2" t="s">
        <v>6101</v>
      </c>
      <c r="M1844" s="2" t="s">
        <v>9593</v>
      </c>
      <c r="N1844" s="2" t="s">
        <v>9594</v>
      </c>
      <c r="O1844" s="2" t="s">
        <v>869</v>
      </c>
      <c r="P1844" s="2" t="s">
        <v>870</v>
      </c>
    </row>
    <row r="1845" ht="15.75" customHeight="1">
      <c r="H1845" s="2" t="s">
        <v>9595</v>
      </c>
      <c r="I1845" s="2" t="s">
        <v>9596</v>
      </c>
      <c r="J1845" s="2" t="s">
        <v>9597</v>
      </c>
      <c r="K1845" s="2" t="s">
        <v>9598</v>
      </c>
      <c r="L1845" s="2" t="s">
        <v>6101</v>
      </c>
      <c r="M1845" s="2" t="s">
        <v>9599</v>
      </c>
      <c r="N1845" s="2" t="s">
        <v>9600</v>
      </c>
      <c r="O1845" s="2" t="s">
        <v>869</v>
      </c>
      <c r="P1845" s="2" t="s">
        <v>870</v>
      </c>
    </row>
    <row r="1846" ht="15.75" customHeight="1">
      <c r="H1846" s="2" t="s">
        <v>9601</v>
      </c>
      <c r="I1846" s="2" t="s">
        <v>3622</v>
      </c>
      <c r="J1846" s="2" t="s">
        <v>3623</v>
      </c>
      <c r="K1846" s="2" t="s">
        <v>9602</v>
      </c>
      <c r="L1846" s="2" t="s">
        <v>6101</v>
      </c>
      <c r="M1846" s="2" t="s">
        <v>3624</v>
      </c>
      <c r="N1846" s="2" t="s">
        <v>9093</v>
      </c>
      <c r="O1846" s="2" t="s">
        <v>9603</v>
      </c>
      <c r="P1846" s="2" t="s">
        <v>869</v>
      </c>
    </row>
    <row r="1847" ht="15.75" customHeight="1">
      <c r="H1847" s="2" t="s">
        <v>9604</v>
      </c>
      <c r="I1847" s="2" t="s">
        <v>2298</v>
      </c>
      <c r="J1847" s="2" t="s">
        <v>2299</v>
      </c>
      <c r="K1847" s="2" t="s">
        <v>9605</v>
      </c>
      <c r="L1847" s="2" t="s">
        <v>6101</v>
      </c>
      <c r="M1847" s="2" t="s">
        <v>9606</v>
      </c>
      <c r="N1847" s="2" t="s">
        <v>9607</v>
      </c>
      <c r="O1847" s="2" t="s">
        <v>869</v>
      </c>
      <c r="P1847" s="2" t="s">
        <v>870</v>
      </c>
    </row>
    <row r="1848" ht="15.75" customHeight="1">
      <c r="H1848" s="2" t="s">
        <v>9608</v>
      </c>
      <c r="I1848" s="2" t="s">
        <v>9609</v>
      </c>
      <c r="J1848" s="2" t="s">
        <v>9610</v>
      </c>
      <c r="K1848" s="2" t="s">
        <v>9611</v>
      </c>
      <c r="L1848" s="2" t="s">
        <v>6101</v>
      </c>
      <c r="M1848" s="2" t="s">
        <v>9612</v>
      </c>
      <c r="N1848" s="2" t="s">
        <v>9613</v>
      </c>
      <c r="O1848" s="2" t="s">
        <v>869</v>
      </c>
      <c r="P1848" s="2" t="s">
        <v>870</v>
      </c>
    </row>
    <row r="1849" ht="15.75" customHeight="1">
      <c r="H1849" s="2" t="s">
        <v>9614</v>
      </c>
      <c r="I1849" s="2" t="s">
        <v>9615</v>
      </c>
      <c r="J1849" s="2" t="s">
        <v>9616</v>
      </c>
      <c r="K1849" s="2" t="s">
        <v>9617</v>
      </c>
      <c r="L1849" s="2" t="s">
        <v>6101</v>
      </c>
      <c r="M1849" s="2" t="s">
        <v>9618</v>
      </c>
      <c r="N1849" s="2" t="s">
        <v>9619</v>
      </c>
      <c r="O1849" s="2" t="s">
        <v>869</v>
      </c>
      <c r="P1849" s="2" t="s">
        <v>870</v>
      </c>
    </row>
    <row r="1850" ht="15.75" customHeight="1">
      <c r="H1850" s="2" t="s">
        <v>9620</v>
      </c>
      <c r="I1850" s="2" t="s">
        <v>9621</v>
      </c>
      <c r="J1850" s="2" t="s">
        <v>9622</v>
      </c>
      <c r="K1850" s="2" t="s">
        <v>9623</v>
      </c>
      <c r="L1850" s="2" t="s">
        <v>6101</v>
      </c>
      <c r="M1850" s="2" t="s">
        <v>9624</v>
      </c>
      <c r="N1850" s="2" t="s">
        <v>9625</v>
      </c>
      <c r="O1850" s="2" t="s">
        <v>9626</v>
      </c>
      <c r="P1850" s="2" t="s">
        <v>869</v>
      </c>
    </row>
    <row r="1851" ht="15.75" customHeight="1">
      <c r="H1851" s="2" t="s">
        <v>9627</v>
      </c>
      <c r="I1851" s="2" t="s">
        <v>9628</v>
      </c>
      <c r="J1851" s="2" t="s">
        <v>9629</v>
      </c>
      <c r="K1851" s="2" t="s">
        <v>9630</v>
      </c>
      <c r="L1851" s="2" t="s">
        <v>6101</v>
      </c>
      <c r="M1851" s="2" t="s">
        <v>9631</v>
      </c>
      <c r="N1851" s="2" t="s">
        <v>9632</v>
      </c>
      <c r="O1851" s="2" t="s">
        <v>9633</v>
      </c>
      <c r="P1851" s="2" t="s">
        <v>869</v>
      </c>
    </row>
    <row r="1852" ht="15.75" customHeight="1">
      <c r="H1852" s="2" t="s">
        <v>9634</v>
      </c>
      <c r="I1852" s="2" t="s">
        <v>2815</v>
      </c>
      <c r="J1852" s="2" t="s">
        <v>2816</v>
      </c>
      <c r="K1852" s="2" t="s">
        <v>9635</v>
      </c>
      <c r="L1852" s="2" t="s">
        <v>6101</v>
      </c>
      <c r="M1852" s="2" t="s">
        <v>9636</v>
      </c>
      <c r="N1852" s="2" t="s">
        <v>9637</v>
      </c>
      <c r="O1852" s="2" t="s">
        <v>869</v>
      </c>
      <c r="P1852" s="2" t="s">
        <v>870</v>
      </c>
    </row>
    <row r="1853" ht="15.75" customHeight="1">
      <c r="F1853" s="2" t="s">
        <v>3629</v>
      </c>
      <c r="H1853" s="2" t="s">
        <v>9638</v>
      </c>
      <c r="I1853" s="2" t="s">
        <v>9639</v>
      </c>
      <c r="J1853" s="2" t="s">
        <v>9640</v>
      </c>
      <c r="K1853" s="2" t="s">
        <v>9641</v>
      </c>
      <c r="L1853" s="2" t="s">
        <v>6101</v>
      </c>
      <c r="M1853" s="2" t="s">
        <v>9642</v>
      </c>
      <c r="N1853" s="2" t="s">
        <v>9643</v>
      </c>
      <c r="O1853" s="2" t="s">
        <v>869</v>
      </c>
      <c r="P1853" s="2" t="s">
        <v>870</v>
      </c>
    </row>
    <row r="1854" ht="15.75" customHeight="1">
      <c r="H1854" s="2" t="s">
        <v>9644</v>
      </c>
      <c r="I1854" s="2" t="s">
        <v>3641</v>
      </c>
      <c r="J1854" s="2" t="s">
        <v>3642</v>
      </c>
      <c r="K1854" s="2" t="s">
        <v>9645</v>
      </c>
      <c r="L1854" s="2" t="s">
        <v>6101</v>
      </c>
      <c r="M1854" s="2" t="s">
        <v>9646</v>
      </c>
      <c r="N1854" s="2" t="s">
        <v>9647</v>
      </c>
      <c r="O1854" s="2" t="s">
        <v>869</v>
      </c>
      <c r="P1854" s="2" t="s">
        <v>870</v>
      </c>
    </row>
    <row r="1855" ht="15.75" customHeight="1">
      <c r="H1855" s="2" t="s">
        <v>9648</v>
      </c>
      <c r="I1855" s="2" t="s">
        <v>3221</v>
      </c>
      <c r="J1855" s="2" t="s">
        <v>3222</v>
      </c>
      <c r="K1855" s="2" t="s">
        <v>9649</v>
      </c>
      <c r="L1855" s="2" t="s">
        <v>6101</v>
      </c>
      <c r="M1855" s="2" t="s">
        <v>9650</v>
      </c>
      <c r="N1855" s="2" t="s">
        <v>9651</v>
      </c>
      <c r="O1855" s="2" t="s">
        <v>869</v>
      </c>
      <c r="P1855" s="2" t="s">
        <v>870</v>
      </c>
    </row>
    <row r="1856" ht="15.75" customHeight="1">
      <c r="H1856" s="2" t="s">
        <v>9652</v>
      </c>
      <c r="I1856" s="2" t="s">
        <v>9653</v>
      </c>
      <c r="J1856" s="2" t="s">
        <v>9654</v>
      </c>
      <c r="K1856" s="2" t="s">
        <v>9655</v>
      </c>
      <c r="L1856" s="2" t="s">
        <v>6101</v>
      </c>
      <c r="M1856" s="2" t="s">
        <v>9656</v>
      </c>
      <c r="N1856" s="2" t="s">
        <v>9657</v>
      </c>
      <c r="O1856" s="2" t="s">
        <v>869</v>
      </c>
      <c r="P1856" s="2" t="s">
        <v>870</v>
      </c>
    </row>
    <row r="1857" ht="15.75" customHeight="1">
      <c r="H1857" s="2" t="s">
        <v>9658</v>
      </c>
      <c r="I1857" s="2" t="s">
        <v>9659</v>
      </c>
      <c r="J1857" s="2" t="s">
        <v>9660</v>
      </c>
      <c r="K1857" s="2" t="s">
        <v>9661</v>
      </c>
      <c r="L1857" s="2" t="s">
        <v>6101</v>
      </c>
      <c r="M1857" s="2" t="s">
        <v>9662</v>
      </c>
      <c r="N1857" s="2" t="s">
        <v>9663</v>
      </c>
      <c r="O1857" s="2" t="s">
        <v>869</v>
      </c>
      <c r="P1857" s="2" t="s">
        <v>870</v>
      </c>
    </row>
    <row r="1858" ht="15.75" customHeight="1">
      <c r="H1858" s="2" t="s">
        <v>9664</v>
      </c>
      <c r="I1858" s="2" t="s">
        <v>9665</v>
      </c>
      <c r="J1858" s="2" t="s">
        <v>9666</v>
      </c>
      <c r="K1858" s="2" t="s">
        <v>9667</v>
      </c>
      <c r="L1858" s="2" t="s">
        <v>6101</v>
      </c>
      <c r="M1858" s="2" t="s">
        <v>9668</v>
      </c>
      <c r="N1858" s="2" t="s">
        <v>9669</v>
      </c>
      <c r="O1858" s="2" t="s">
        <v>869</v>
      </c>
      <c r="P1858" s="2" t="s">
        <v>870</v>
      </c>
    </row>
    <row r="1859" ht="15.75" customHeight="1">
      <c r="H1859" s="2" t="s">
        <v>9670</v>
      </c>
      <c r="I1859" s="2" t="s">
        <v>9671</v>
      </c>
      <c r="J1859" s="2" t="s">
        <v>9672</v>
      </c>
      <c r="K1859" s="2" t="s">
        <v>9673</v>
      </c>
      <c r="L1859" s="2" t="s">
        <v>6101</v>
      </c>
      <c r="M1859" s="2" t="s">
        <v>9674</v>
      </c>
      <c r="N1859" s="2" t="s">
        <v>9675</v>
      </c>
      <c r="O1859" s="2" t="s">
        <v>869</v>
      </c>
      <c r="P1859" s="2" t="s">
        <v>870</v>
      </c>
    </row>
    <row r="1860" ht="15.75" customHeight="1">
      <c r="H1860" s="2" t="s">
        <v>9676</v>
      </c>
      <c r="I1860" s="2" t="s">
        <v>9677</v>
      </c>
      <c r="J1860" s="2" t="s">
        <v>9678</v>
      </c>
      <c r="K1860" s="2" t="s">
        <v>9679</v>
      </c>
      <c r="L1860" s="2" t="s">
        <v>6101</v>
      </c>
      <c r="M1860" s="2" t="s">
        <v>9680</v>
      </c>
      <c r="N1860" s="2" t="s">
        <v>9681</v>
      </c>
      <c r="O1860" s="2" t="s">
        <v>869</v>
      </c>
      <c r="P1860" s="2" t="s">
        <v>870</v>
      </c>
    </row>
    <row r="1861" ht="15.75" customHeight="1">
      <c r="H1861" s="2" t="s">
        <v>9682</v>
      </c>
      <c r="I1861" s="2" t="s">
        <v>9683</v>
      </c>
      <c r="J1861" s="2" t="s">
        <v>9684</v>
      </c>
      <c r="K1861" s="2" t="s">
        <v>9685</v>
      </c>
      <c r="L1861" s="2" t="s">
        <v>6101</v>
      </c>
      <c r="M1861" s="2" t="s">
        <v>9686</v>
      </c>
      <c r="N1861" s="2" t="s">
        <v>9687</v>
      </c>
      <c r="O1861" s="2" t="s">
        <v>869</v>
      </c>
      <c r="P1861" s="2" t="s">
        <v>870</v>
      </c>
    </row>
    <row r="1862" ht="15.75" customHeight="1">
      <c r="H1862" s="2" t="s">
        <v>9688</v>
      </c>
      <c r="I1862" s="2" t="s">
        <v>3661</v>
      </c>
      <c r="J1862" s="2" t="s">
        <v>3662</v>
      </c>
      <c r="K1862" s="2" t="s">
        <v>9689</v>
      </c>
      <c r="L1862" s="2" t="s">
        <v>6101</v>
      </c>
      <c r="M1862" s="2" t="s">
        <v>9690</v>
      </c>
      <c r="N1862" s="2" t="s">
        <v>9691</v>
      </c>
      <c r="O1862" s="2" t="s">
        <v>869</v>
      </c>
      <c r="P1862" s="2" t="s">
        <v>870</v>
      </c>
    </row>
    <row r="1863" ht="15.75" customHeight="1">
      <c r="H1863" s="2" t="s">
        <v>9692</v>
      </c>
      <c r="I1863" s="2" t="s">
        <v>5650</v>
      </c>
      <c r="J1863" s="2" t="s">
        <v>5651</v>
      </c>
      <c r="K1863" s="2" t="s">
        <v>9693</v>
      </c>
      <c r="L1863" s="2" t="s">
        <v>6101</v>
      </c>
      <c r="M1863" s="2" t="s">
        <v>9694</v>
      </c>
      <c r="N1863" s="2" t="s">
        <v>9695</v>
      </c>
      <c r="O1863" s="2" t="s">
        <v>869</v>
      </c>
      <c r="P1863" s="2" t="s">
        <v>870</v>
      </c>
    </row>
    <row r="1864" ht="15.75" customHeight="1">
      <c r="H1864" s="2" t="s">
        <v>9696</v>
      </c>
      <c r="I1864" s="2" t="s">
        <v>3671</v>
      </c>
      <c r="J1864" s="2" t="s">
        <v>3672</v>
      </c>
      <c r="K1864" s="2" t="s">
        <v>9697</v>
      </c>
      <c r="L1864" s="2" t="s">
        <v>6101</v>
      </c>
      <c r="M1864" s="2" t="s">
        <v>9698</v>
      </c>
      <c r="N1864" s="2" t="s">
        <v>9699</v>
      </c>
      <c r="O1864" s="2" t="s">
        <v>869</v>
      </c>
      <c r="P1864" s="2" t="s">
        <v>870</v>
      </c>
    </row>
    <row r="1865" ht="15.75" customHeight="1">
      <c r="H1865" s="2" t="s">
        <v>9700</v>
      </c>
      <c r="I1865" s="2" t="s">
        <v>9701</v>
      </c>
      <c r="J1865" s="2" t="s">
        <v>9701</v>
      </c>
      <c r="K1865" s="2" t="s">
        <v>1551</v>
      </c>
    </row>
    <row r="1866" ht="15.75" customHeight="1">
      <c r="H1866" s="2" t="s">
        <v>9702</v>
      </c>
      <c r="I1866" s="2" t="s">
        <v>3676</v>
      </c>
      <c r="J1866" s="2" t="s">
        <v>3677</v>
      </c>
      <c r="K1866" s="2" t="s">
        <v>9703</v>
      </c>
      <c r="L1866" s="2" t="s">
        <v>6101</v>
      </c>
      <c r="M1866" s="2" t="s">
        <v>9704</v>
      </c>
      <c r="N1866" s="2" t="s">
        <v>9705</v>
      </c>
      <c r="O1866" s="2" t="s">
        <v>869</v>
      </c>
      <c r="P1866" s="2" t="s">
        <v>870</v>
      </c>
    </row>
    <row r="1867" ht="15.75" customHeight="1">
      <c r="F1867" s="2" t="s">
        <v>3685</v>
      </c>
      <c r="H1867" s="2" t="s">
        <v>9706</v>
      </c>
      <c r="I1867" s="2" t="s">
        <v>9707</v>
      </c>
      <c r="J1867" s="2" t="s">
        <v>9708</v>
      </c>
      <c r="K1867" s="2" t="s">
        <v>9709</v>
      </c>
      <c r="L1867" s="2" t="s">
        <v>6101</v>
      </c>
      <c r="M1867" s="2" t="s">
        <v>9710</v>
      </c>
      <c r="N1867" s="2" t="s">
        <v>9711</v>
      </c>
      <c r="O1867" s="2" t="s">
        <v>9712</v>
      </c>
      <c r="P1867" s="2" t="s">
        <v>869</v>
      </c>
    </row>
    <row r="1868" ht="15.75" customHeight="1">
      <c r="H1868" s="2" t="s">
        <v>9713</v>
      </c>
      <c r="I1868" s="2" t="s">
        <v>9714</v>
      </c>
      <c r="J1868" s="2" t="s">
        <v>9715</v>
      </c>
      <c r="K1868" s="2" t="s">
        <v>9716</v>
      </c>
      <c r="L1868" s="2" t="s">
        <v>6101</v>
      </c>
      <c r="M1868" s="2" t="s">
        <v>9717</v>
      </c>
      <c r="N1868" s="2" t="s">
        <v>9718</v>
      </c>
      <c r="O1868" s="2" t="s">
        <v>9719</v>
      </c>
      <c r="P1868" s="2" t="s">
        <v>869</v>
      </c>
    </row>
    <row r="1869" ht="15.75" customHeight="1">
      <c r="H1869" s="2" t="s">
        <v>9720</v>
      </c>
      <c r="I1869" s="2" t="s">
        <v>3692</v>
      </c>
      <c r="J1869" s="2" t="s">
        <v>3693</v>
      </c>
      <c r="K1869" s="2" t="s">
        <v>9721</v>
      </c>
      <c r="L1869" s="2" t="s">
        <v>6101</v>
      </c>
      <c r="M1869" s="2" t="s">
        <v>9722</v>
      </c>
      <c r="N1869" s="2" t="s">
        <v>9723</v>
      </c>
      <c r="O1869" s="2" t="s">
        <v>869</v>
      </c>
      <c r="P1869" s="2" t="s">
        <v>870</v>
      </c>
    </row>
    <row r="1870" ht="15.75" customHeight="1">
      <c r="H1870" s="2" t="s">
        <v>9724</v>
      </c>
      <c r="I1870" s="2" t="s">
        <v>9725</v>
      </c>
      <c r="J1870" s="2" t="s">
        <v>9726</v>
      </c>
      <c r="K1870" s="2" t="s">
        <v>9727</v>
      </c>
      <c r="L1870" s="2" t="s">
        <v>6101</v>
      </c>
      <c r="M1870" s="2" t="s">
        <v>9728</v>
      </c>
      <c r="N1870" s="2" t="s">
        <v>9729</v>
      </c>
      <c r="O1870" s="2" t="s">
        <v>9730</v>
      </c>
      <c r="P1870" s="2" t="s">
        <v>869</v>
      </c>
    </row>
    <row r="1871" ht="15.75" customHeight="1">
      <c r="H1871" s="2" t="s">
        <v>9731</v>
      </c>
      <c r="I1871" s="2" t="s">
        <v>3697</v>
      </c>
      <c r="J1871" s="2" t="s">
        <v>3698</v>
      </c>
      <c r="K1871" s="2" t="s">
        <v>9732</v>
      </c>
      <c r="L1871" s="2" t="s">
        <v>6101</v>
      </c>
      <c r="M1871" s="2" t="s">
        <v>3699</v>
      </c>
      <c r="N1871" s="2" t="s">
        <v>9733</v>
      </c>
      <c r="O1871" s="2" t="s">
        <v>869</v>
      </c>
      <c r="P1871" s="2" t="s">
        <v>870</v>
      </c>
    </row>
    <row r="1872" ht="15.75" customHeight="1">
      <c r="H1872" s="2" t="s">
        <v>9734</v>
      </c>
      <c r="I1872" s="2" t="s">
        <v>3702</v>
      </c>
      <c r="J1872" s="2" t="s">
        <v>3703</v>
      </c>
      <c r="K1872" s="2" t="s">
        <v>9735</v>
      </c>
      <c r="L1872" s="2" t="s">
        <v>6101</v>
      </c>
      <c r="M1872" s="2" t="s">
        <v>9736</v>
      </c>
      <c r="N1872" s="2" t="s">
        <v>9737</v>
      </c>
      <c r="O1872" s="2" t="s">
        <v>869</v>
      </c>
      <c r="P1872" s="2" t="s">
        <v>870</v>
      </c>
    </row>
    <row r="1873" ht="15.75" customHeight="1">
      <c r="H1873" s="2" t="s">
        <v>9738</v>
      </c>
      <c r="I1873" s="2" t="s">
        <v>9739</v>
      </c>
      <c r="J1873" s="2" t="s">
        <v>9740</v>
      </c>
      <c r="K1873" s="2" t="s">
        <v>9741</v>
      </c>
      <c r="L1873" s="2" t="s">
        <v>6101</v>
      </c>
      <c r="M1873" s="2" t="s">
        <v>9742</v>
      </c>
      <c r="N1873" s="2" t="s">
        <v>9743</v>
      </c>
      <c r="O1873" s="2" t="s">
        <v>869</v>
      </c>
      <c r="P1873" s="2" t="s">
        <v>870</v>
      </c>
    </row>
    <row r="1874" ht="15.75" customHeight="1">
      <c r="F1874" s="2" t="s">
        <v>660</v>
      </c>
      <c r="H1874" s="2" t="s">
        <v>9744</v>
      </c>
      <c r="I1874" s="2" t="s">
        <v>9745</v>
      </c>
      <c r="J1874" s="2" t="s">
        <v>9746</v>
      </c>
      <c r="K1874" s="2" t="s">
        <v>9747</v>
      </c>
      <c r="L1874" s="2" t="s">
        <v>6101</v>
      </c>
      <c r="M1874" s="2" t="s">
        <v>9748</v>
      </c>
      <c r="N1874" s="2" t="s">
        <v>9749</v>
      </c>
      <c r="O1874" s="2" t="s">
        <v>869</v>
      </c>
      <c r="P1874" s="2" t="s">
        <v>870</v>
      </c>
    </row>
    <row r="1875" ht="15.75" customHeight="1">
      <c r="H1875" s="2" t="s">
        <v>9750</v>
      </c>
      <c r="I1875" s="2" t="s">
        <v>9751</v>
      </c>
      <c r="J1875" s="2" t="s">
        <v>9752</v>
      </c>
      <c r="K1875" s="2" t="s">
        <v>9753</v>
      </c>
      <c r="L1875" s="2" t="s">
        <v>6101</v>
      </c>
      <c r="M1875" s="2" t="s">
        <v>9754</v>
      </c>
      <c r="N1875" s="2" t="s">
        <v>9755</v>
      </c>
      <c r="O1875" s="2" t="s">
        <v>869</v>
      </c>
      <c r="P1875" s="2" t="s">
        <v>870</v>
      </c>
    </row>
    <row r="1876" ht="15.75" customHeight="1">
      <c r="H1876" s="2" t="s">
        <v>9756</v>
      </c>
      <c r="I1876" s="2" t="s">
        <v>9757</v>
      </c>
      <c r="J1876" s="2" t="s">
        <v>9758</v>
      </c>
      <c r="K1876" s="2" t="s">
        <v>9759</v>
      </c>
      <c r="L1876" s="2" t="s">
        <v>6101</v>
      </c>
      <c r="M1876" s="2" t="s">
        <v>9760</v>
      </c>
      <c r="N1876" s="2" t="s">
        <v>9761</v>
      </c>
      <c r="O1876" s="2" t="s">
        <v>869</v>
      </c>
      <c r="P1876" s="2" t="s">
        <v>870</v>
      </c>
    </row>
    <row r="1877" ht="15.75" customHeight="1">
      <c r="H1877" s="2" t="s">
        <v>9762</v>
      </c>
      <c r="I1877" s="2" t="s">
        <v>9763</v>
      </c>
      <c r="J1877" s="2" t="s">
        <v>9764</v>
      </c>
      <c r="K1877" s="2" t="s">
        <v>9765</v>
      </c>
      <c r="L1877" s="2" t="s">
        <v>6101</v>
      </c>
      <c r="M1877" s="2" t="s">
        <v>9766</v>
      </c>
      <c r="N1877" s="2" t="s">
        <v>9767</v>
      </c>
      <c r="O1877" s="2" t="s">
        <v>869</v>
      </c>
      <c r="P1877" s="2" t="s">
        <v>870</v>
      </c>
    </row>
    <row r="1878" ht="15.75" customHeight="1">
      <c r="H1878" s="2" t="s">
        <v>9768</v>
      </c>
      <c r="I1878" s="2" t="s">
        <v>9769</v>
      </c>
      <c r="J1878" s="2" t="s">
        <v>9770</v>
      </c>
      <c r="K1878" s="2" t="s">
        <v>9771</v>
      </c>
      <c r="L1878" s="2" t="s">
        <v>6101</v>
      </c>
      <c r="M1878" s="2" t="s">
        <v>9772</v>
      </c>
      <c r="N1878" s="2" t="s">
        <v>9773</v>
      </c>
      <c r="O1878" s="2" t="s">
        <v>869</v>
      </c>
      <c r="P1878" s="2" t="s">
        <v>870</v>
      </c>
    </row>
    <row r="1879" ht="15.75" customHeight="1">
      <c r="H1879" s="2" t="s">
        <v>9774</v>
      </c>
      <c r="I1879" s="2" t="s">
        <v>9775</v>
      </c>
      <c r="J1879" s="2" t="s">
        <v>9776</v>
      </c>
      <c r="K1879" s="2" t="s">
        <v>9777</v>
      </c>
      <c r="L1879" s="2" t="s">
        <v>6101</v>
      </c>
      <c r="M1879" s="2" t="s">
        <v>9778</v>
      </c>
      <c r="N1879" s="2" t="s">
        <v>9779</v>
      </c>
      <c r="O1879" s="2" t="s">
        <v>9780</v>
      </c>
      <c r="P1879" s="2" t="s">
        <v>869</v>
      </c>
    </row>
    <row r="1880" ht="15.75" customHeight="1">
      <c r="H1880" s="2" t="s">
        <v>9781</v>
      </c>
      <c r="I1880" s="2" t="s">
        <v>9782</v>
      </c>
      <c r="J1880" s="2" t="s">
        <v>9783</v>
      </c>
      <c r="K1880" s="2" t="s">
        <v>9784</v>
      </c>
      <c r="L1880" s="2" t="s">
        <v>6101</v>
      </c>
      <c r="M1880" s="2" t="s">
        <v>9785</v>
      </c>
      <c r="N1880" s="2" t="s">
        <v>9786</v>
      </c>
      <c r="O1880" s="2" t="s">
        <v>869</v>
      </c>
      <c r="P1880" s="2" t="s">
        <v>870</v>
      </c>
    </row>
    <row r="1881" ht="15.75" customHeight="1">
      <c r="H1881" s="2" t="s">
        <v>9787</v>
      </c>
      <c r="I1881" s="2" t="s">
        <v>3727</v>
      </c>
      <c r="J1881" s="2" t="s">
        <v>3728</v>
      </c>
      <c r="K1881" s="2" t="s">
        <v>9788</v>
      </c>
      <c r="L1881" s="2" t="s">
        <v>6101</v>
      </c>
      <c r="M1881" s="2" t="s">
        <v>9789</v>
      </c>
      <c r="N1881" s="2" t="s">
        <v>9790</v>
      </c>
      <c r="O1881" s="2" t="s">
        <v>869</v>
      </c>
      <c r="P1881" s="2" t="s">
        <v>870</v>
      </c>
    </row>
    <row r="1882" ht="15.75" customHeight="1">
      <c r="H1882" s="2" t="s">
        <v>9791</v>
      </c>
      <c r="I1882" s="2" t="s">
        <v>9792</v>
      </c>
      <c r="J1882" s="2" t="s">
        <v>9793</v>
      </c>
      <c r="K1882" s="2" t="s">
        <v>9794</v>
      </c>
      <c r="L1882" s="2" t="s">
        <v>6101</v>
      </c>
      <c r="M1882" s="2" t="s">
        <v>9795</v>
      </c>
      <c r="N1882" s="2" t="s">
        <v>9796</v>
      </c>
      <c r="O1882" s="2" t="s">
        <v>869</v>
      </c>
      <c r="P1882" s="2" t="s">
        <v>870</v>
      </c>
    </row>
    <row r="1883" ht="15.75" customHeight="1">
      <c r="H1883" s="2" t="s">
        <v>9797</v>
      </c>
      <c r="I1883" s="2" t="s">
        <v>662</v>
      </c>
      <c r="J1883" s="2" t="s">
        <v>663</v>
      </c>
      <c r="K1883" s="2" t="s">
        <v>9798</v>
      </c>
      <c r="L1883" s="2" t="s">
        <v>6101</v>
      </c>
      <c r="M1883" s="2" t="s">
        <v>9799</v>
      </c>
      <c r="N1883" s="2" t="s">
        <v>9800</v>
      </c>
      <c r="O1883" s="2" t="s">
        <v>869</v>
      </c>
      <c r="P1883" s="2" t="s">
        <v>870</v>
      </c>
    </row>
    <row r="1884" ht="15.75" customHeight="1">
      <c r="H1884" s="2" t="s">
        <v>9801</v>
      </c>
      <c r="I1884" s="2" t="s">
        <v>9802</v>
      </c>
      <c r="J1884" s="2" t="s">
        <v>9803</v>
      </c>
      <c r="K1884" s="2" t="s">
        <v>9804</v>
      </c>
      <c r="L1884" s="2" t="s">
        <v>6101</v>
      </c>
      <c r="M1884" s="2" t="s">
        <v>9805</v>
      </c>
      <c r="N1884" s="2" t="s">
        <v>9806</v>
      </c>
      <c r="O1884" s="2" t="s">
        <v>869</v>
      </c>
      <c r="P1884" s="2" t="s">
        <v>870</v>
      </c>
    </row>
    <row r="1885" ht="15.75" customHeight="1">
      <c r="H1885" s="2" t="s">
        <v>9807</v>
      </c>
      <c r="I1885" s="2" t="s">
        <v>9808</v>
      </c>
      <c r="J1885" s="2" t="s">
        <v>9809</v>
      </c>
      <c r="K1885" s="2" t="s">
        <v>9810</v>
      </c>
      <c r="L1885" s="2" t="s">
        <v>6101</v>
      </c>
      <c r="M1885" s="2" t="s">
        <v>9811</v>
      </c>
      <c r="N1885" s="2" t="s">
        <v>9812</v>
      </c>
      <c r="O1885" s="2" t="s">
        <v>869</v>
      </c>
      <c r="P1885" s="2" t="s">
        <v>870</v>
      </c>
    </row>
    <row r="1886" ht="15.75" customHeight="1">
      <c r="H1886" s="2" t="s">
        <v>9813</v>
      </c>
      <c r="I1886" s="2" t="s">
        <v>9814</v>
      </c>
      <c r="J1886" s="2" t="s">
        <v>9815</v>
      </c>
      <c r="K1886" s="2" t="s">
        <v>9816</v>
      </c>
      <c r="L1886" s="2" t="s">
        <v>6101</v>
      </c>
      <c r="M1886" s="2" t="s">
        <v>9817</v>
      </c>
      <c r="N1886" s="2" t="s">
        <v>9818</v>
      </c>
      <c r="O1886" s="2" t="s">
        <v>869</v>
      </c>
      <c r="P1886" s="2" t="s">
        <v>870</v>
      </c>
    </row>
    <row r="1887" ht="15.75" customHeight="1">
      <c r="H1887" s="2" t="s">
        <v>9819</v>
      </c>
      <c r="I1887" s="2" t="s">
        <v>9820</v>
      </c>
      <c r="J1887" s="2" t="s">
        <v>9821</v>
      </c>
      <c r="K1887" s="2" t="s">
        <v>9822</v>
      </c>
      <c r="L1887" s="2" t="s">
        <v>6101</v>
      </c>
      <c r="M1887" s="2" t="s">
        <v>9823</v>
      </c>
      <c r="N1887" s="2" t="s">
        <v>9824</v>
      </c>
      <c r="O1887" s="2" t="s">
        <v>9825</v>
      </c>
      <c r="P1887" s="2" t="s">
        <v>869</v>
      </c>
    </row>
    <row r="1888" ht="15.75" customHeight="1">
      <c r="H1888" s="2" t="s">
        <v>9826</v>
      </c>
      <c r="I1888" s="2" t="s">
        <v>670</v>
      </c>
      <c r="J1888" s="2" t="s">
        <v>671</v>
      </c>
      <c r="K1888" s="2" t="s">
        <v>9827</v>
      </c>
      <c r="L1888" s="2" t="s">
        <v>6101</v>
      </c>
      <c r="M1888" s="2" t="s">
        <v>9828</v>
      </c>
      <c r="N1888" s="2" t="s">
        <v>9829</v>
      </c>
      <c r="O1888" s="2" t="s">
        <v>869</v>
      </c>
      <c r="P1888" s="2" t="s">
        <v>870</v>
      </c>
    </row>
    <row r="1889" ht="15.75" customHeight="1">
      <c r="F1889" s="2" t="s">
        <v>3762</v>
      </c>
      <c r="H1889" s="2" t="s">
        <v>9830</v>
      </c>
      <c r="I1889" s="2" t="s">
        <v>9831</v>
      </c>
      <c r="J1889" s="2" t="s">
        <v>9832</v>
      </c>
      <c r="K1889" s="2" t="s">
        <v>9833</v>
      </c>
      <c r="L1889" s="2" t="s">
        <v>6101</v>
      </c>
      <c r="M1889" s="2" t="s">
        <v>9834</v>
      </c>
      <c r="N1889" s="2" t="s">
        <v>9835</v>
      </c>
      <c r="O1889" s="2" t="s">
        <v>9836</v>
      </c>
      <c r="P1889" s="2" t="s">
        <v>869</v>
      </c>
    </row>
    <row r="1890" ht="15.75" customHeight="1">
      <c r="H1890" s="2" t="s">
        <v>9837</v>
      </c>
      <c r="I1890" s="2" t="s">
        <v>9838</v>
      </c>
      <c r="J1890" s="2" t="s">
        <v>9839</v>
      </c>
      <c r="K1890" s="2" t="s">
        <v>9840</v>
      </c>
      <c r="L1890" s="2" t="s">
        <v>6101</v>
      </c>
      <c r="M1890" s="2" t="s">
        <v>9841</v>
      </c>
      <c r="N1890" s="2" t="s">
        <v>9842</v>
      </c>
      <c r="O1890" s="2" t="s">
        <v>869</v>
      </c>
      <c r="P1890" s="2" t="s">
        <v>870</v>
      </c>
    </row>
    <row r="1891" ht="15.75" customHeight="1">
      <c r="H1891" s="2" t="s">
        <v>9843</v>
      </c>
      <c r="I1891" s="2" t="s">
        <v>9844</v>
      </c>
      <c r="J1891" s="2" t="s">
        <v>9845</v>
      </c>
      <c r="K1891" s="2" t="s">
        <v>9846</v>
      </c>
      <c r="L1891" s="2" t="s">
        <v>6101</v>
      </c>
      <c r="M1891" s="2" t="s">
        <v>9847</v>
      </c>
      <c r="N1891" s="2" t="s">
        <v>9848</v>
      </c>
      <c r="O1891" s="2" t="s">
        <v>869</v>
      </c>
      <c r="P1891" s="2" t="s">
        <v>870</v>
      </c>
    </row>
    <row r="1892" ht="15.75" customHeight="1">
      <c r="H1892" s="2" t="s">
        <v>9849</v>
      </c>
      <c r="I1892" s="2" t="s">
        <v>9850</v>
      </c>
      <c r="J1892" s="2" t="s">
        <v>9851</v>
      </c>
      <c r="K1892" s="2" t="s">
        <v>9852</v>
      </c>
      <c r="L1892" s="2" t="s">
        <v>6101</v>
      </c>
      <c r="M1892" s="2" t="s">
        <v>9853</v>
      </c>
      <c r="N1892" s="2" t="s">
        <v>9854</v>
      </c>
      <c r="O1892" s="2" t="s">
        <v>869</v>
      </c>
      <c r="P1892" s="2" t="s">
        <v>870</v>
      </c>
    </row>
    <row r="1893" ht="15.75" customHeight="1">
      <c r="H1893" s="2" t="s">
        <v>9855</v>
      </c>
      <c r="I1893" s="2" t="s">
        <v>9856</v>
      </c>
      <c r="J1893" s="2" t="s">
        <v>9857</v>
      </c>
      <c r="K1893" s="2" t="s">
        <v>9858</v>
      </c>
      <c r="L1893" s="2" t="s">
        <v>6101</v>
      </c>
      <c r="M1893" s="2" t="s">
        <v>9859</v>
      </c>
      <c r="N1893" s="2" t="s">
        <v>9860</v>
      </c>
      <c r="O1893" s="2" t="s">
        <v>869</v>
      </c>
      <c r="P1893" s="2" t="s">
        <v>870</v>
      </c>
    </row>
    <row r="1894" ht="15.75" customHeight="1">
      <c r="H1894" s="2" t="s">
        <v>9861</v>
      </c>
      <c r="I1894" s="2" t="s">
        <v>9862</v>
      </c>
      <c r="J1894" s="2" t="s">
        <v>9863</v>
      </c>
      <c r="K1894" s="2" t="s">
        <v>9864</v>
      </c>
      <c r="L1894" s="2" t="s">
        <v>6101</v>
      </c>
      <c r="M1894" s="2" t="s">
        <v>9865</v>
      </c>
      <c r="N1894" s="2" t="s">
        <v>9866</v>
      </c>
      <c r="O1894" s="2" t="s">
        <v>869</v>
      </c>
      <c r="P1894" s="2" t="s">
        <v>870</v>
      </c>
    </row>
    <row r="1895" ht="15.75" customHeight="1">
      <c r="H1895" s="2" t="s">
        <v>9867</v>
      </c>
      <c r="I1895" s="2" t="s">
        <v>9868</v>
      </c>
      <c r="J1895" s="2" t="s">
        <v>9869</v>
      </c>
      <c r="K1895" s="2" t="s">
        <v>9870</v>
      </c>
      <c r="L1895" s="2" t="s">
        <v>6101</v>
      </c>
      <c r="M1895" s="2" t="s">
        <v>9871</v>
      </c>
      <c r="N1895" s="2" t="s">
        <v>9872</v>
      </c>
      <c r="O1895" s="2" t="s">
        <v>869</v>
      </c>
      <c r="P1895" s="2" t="s">
        <v>870</v>
      </c>
    </row>
    <row r="1896" ht="15.75" customHeight="1">
      <c r="H1896" s="2" t="s">
        <v>9873</v>
      </c>
      <c r="I1896" s="2" t="s">
        <v>9874</v>
      </c>
      <c r="J1896" s="2" t="s">
        <v>9875</v>
      </c>
      <c r="K1896" s="2" t="s">
        <v>9876</v>
      </c>
      <c r="L1896" s="2" t="s">
        <v>6101</v>
      </c>
      <c r="M1896" s="2" t="s">
        <v>9877</v>
      </c>
      <c r="N1896" s="2" t="s">
        <v>9878</v>
      </c>
      <c r="O1896" s="2" t="s">
        <v>869</v>
      </c>
      <c r="P1896" s="2" t="s">
        <v>870</v>
      </c>
    </row>
    <row r="1897" ht="15.75" customHeight="1">
      <c r="H1897" s="2" t="s">
        <v>9879</v>
      </c>
      <c r="I1897" s="2" t="s">
        <v>9880</v>
      </c>
      <c r="J1897" s="2" t="s">
        <v>9881</v>
      </c>
      <c r="K1897" s="2" t="s">
        <v>9882</v>
      </c>
      <c r="L1897" s="2" t="s">
        <v>6101</v>
      </c>
      <c r="M1897" s="2" t="s">
        <v>9883</v>
      </c>
      <c r="N1897" s="2" t="s">
        <v>9884</v>
      </c>
      <c r="O1897" s="2" t="s">
        <v>869</v>
      </c>
      <c r="P1897" s="2" t="s">
        <v>870</v>
      </c>
    </row>
    <row r="1898" ht="15.75" customHeight="1">
      <c r="H1898" s="2" t="s">
        <v>9885</v>
      </c>
      <c r="I1898" s="2" t="s">
        <v>9886</v>
      </c>
      <c r="J1898" s="2" t="s">
        <v>9887</v>
      </c>
      <c r="K1898" s="2" t="s">
        <v>9888</v>
      </c>
      <c r="L1898" s="2" t="s">
        <v>6101</v>
      </c>
      <c r="M1898" s="2" t="s">
        <v>9889</v>
      </c>
      <c r="N1898" s="2" t="s">
        <v>9890</v>
      </c>
      <c r="O1898" s="2" t="s">
        <v>869</v>
      </c>
      <c r="P1898" s="2" t="s">
        <v>870</v>
      </c>
    </row>
    <row r="1899" ht="15.75" customHeight="1">
      <c r="H1899" s="2" t="s">
        <v>9891</v>
      </c>
      <c r="I1899" s="2" t="s">
        <v>9892</v>
      </c>
      <c r="J1899" s="2" t="s">
        <v>9893</v>
      </c>
      <c r="K1899" s="2" t="s">
        <v>9894</v>
      </c>
      <c r="L1899" s="2" t="s">
        <v>6101</v>
      </c>
      <c r="M1899" s="2" t="s">
        <v>9895</v>
      </c>
      <c r="N1899" s="2" t="s">
        <v>9896</v>
      </c>
      <c r="O1899" s="2" t="s">
        <v>869</v>
      </c>
      <c r="P1899" s="2" t="s">
        <v>870</v>
      </c>
    </row>
    <row r="1900" ht="15.75" customHeight="1">
      <c r="H1900" s="2" t="s">
        <v>9897</v>
      </c>
      <c r="I1900" s="2" t="s">
        <v>3809</v>
      </c>
      <c r="J1900" s="2" t="s">
        <v>3810</v>
      </c>
      <c r="K1900" s="2" t="s">
        <v>9898</v>
      </c>
      <c r="L1900" s="2" t="s">
        <v>6101</v>
      </c>
      <c r="M1900" s="2" t="s">
        <v>9899</v>
      </c>
      <c r="N1900" s="2" t="s">
        <v>9900</v>
      </c>
      <c r="O1900" s="2" t="s">
        <v>869</v>
      </c>
      <c r="P1900" s="2" t="s">
        <v>870</v>
      </c>
    </row>
    <row r="1901" ht="15.75" customHeight="1">
      <c r="H1901" s="2" t="s">
        <v>9901</v>
      </c>
      <c r="I1901" s="2" t="s">
        <v>9902</v>
      </c>
      <c r="J1901" s="2" t="s">
        <v>9903</v>
      </c>
      <c r="K1901" s="2" t="s">
        <v>9904</v>
      </c>
      <c r="L1901" s="2" t="s">
        <v>6101</v>
      </c>
      <c r="M1901" s="2" t="s">
        <v>9905</v>
      </c>
      <c r="N1901" s="2" t="s">
        <v>9906</v>
      </c>
      <c r="O1901" s="2" t="s">
        <v>869</v>
      </c>
      <c r="P1901" s="2" t="s">
        <v>870</v>
      </c>
    </row>
    <row r="1902" ht="15.75" customHeight="1">
      <c r="H1902" s="2" t="s">
        <v>9907</v>
      </c>
      <c r="I1902" s="2" t="s">
        <v>9908</v>
      </c>
      <c r="J1902" s="2" t="s">
        <v>9909</v>
      </c>
      <c r="K1902" s="2" t="s">
        <v>9910</v>
      </c>
      <c r="L1902" s="2" t="s">
        <v>6101</v>
      </c>
      <c r="M1902" s="2" t="s">
        <v>9911</v>
      </c>
      <c r="N1902" s="2" t="s">
        <v>9912</v>
      </c>
      <c r="O1902" s="2" t="s">
        <v>869</v>
      </c>
      <c r="P1902" s="2" t="s">
        <v>870</v>
      </c>
    </row>
    <row r="1903" ht="15.75" customHeight="1">
      <c r="H1903" s="2" t="s">
        <v>9913</v>
      </c>
      <c r="I1903" s="2" t="s">
        <v>9914</v>
      </c>
      <c r="J1903" s="2" t="s">
        <v>9915</v>
      </c>
      <c r="K1903" s="2" t="s">
        <v>9916</v>
      </c>
      <c r="L1903" s="2" t="s">
        <v>6101</v>
      </c>
      <c r="M1903" s="2" t="s">
        <v>9917</v>
      </c>
      <c r="N1903" s="2" t="s">
        <v>9918</v>
      </c>
      <c r="O1903" s="2" t="s">
        <v>869</v>
      </c>
      <c r="P1903" s="2" t="s">
        <v>870</v>
      </c>
    </row>
    <row r="1904" ht="15.75" customHeight="1">
      <c r="H1904" s="2" t="s">
        <v>9919</v>
      </c>
      <c r="I1904" s="2" t="s">
        <v>3826</v>
      </c>
      <c r="J1904" s="2" t="s">
        <v>3827</v>
      </c>
      <c r="K1904" s="2" t="s">
        <v>9920</v>
      </c>
      <c r="L1904" s="2" t="s">
        <v>6101</v>
      </c>
      <c r="M1904" s="2" t="s">
        <v>9921</v>
      </c>
      <c r="N1904" s="2" t="s">
        <v>9922</v>
      </c>
      <c r="O1904" s="2" t="s">
        <v>869</v>
      </c>
      <c r="P1904" s="2" t="s">
        <v>870</v>
      </c>
    </row>
    <row r="1905" ht="15.75" customHeight="1">
      <c r="H1905" s="2" t="s">
        <v>9923</v>
      </c>
      <c r="I1905" s="2" t="s">
        <v>9924</v>
      </c>
      <c r="J1905" s="2" t="s">
        <v>9925</v>
      </c>
      <c r="K1905" s="2" t="s">
        <v>9926</v>
      </c>
      <c r="L1905" s="2" t="s">
        <v>6101</v>
      </c>
      <c r="M1905" s="2" t="s">
        <v>9927</v>
      </c>
      <c r="N1905" s="2" t="s">
        <v>9928</v>
      </c>
      <c r="O1905" s="2" t="s">
        <v>869</v>
      </c>
      <c r="P1905" s="2" t="s">
        <v>870</v>
      </c>
    </row>
    <row r="1906" ht="15.75" customHeight="1">
      <c r="F1906" s="2" t="s">
        <v>677</v>
      </c>
      <c r="H1906" s="2" t="s">
        <v>9929</v>
      </c>
      <c r="I1906" s="2" t="s">
        <v>9930</v>
      </c>
      <c r="J1906" s="2" t="s">
        <v>9931</v>
      </c>
      <c r="K1906" s="2" t="s">
        <v>9932</v>
      </c>
      <c r="L1906" s="2" t="s">
        <v>6101</v>
      </c>
      <c r="M1906" s="2" t="s">
        <v>9933</v>
      </c>
      <c r="N1906" s="2" t="s">
        <v>9934</v>
      </c>
      <c r="O1906" s="2" t="s">
        <v>869</v>
      </c>
      <c r="P1906" s="2" t="s">
        <v>870</v>
      </c>
    </row>
    <row r="1907" ht="15.75" customHeight="1">
      <c r="H1907" s="2" t="s">
        <v>9935</v>
      </c>
      <c r="I1907" s="2" t="s">
        <v>9936</v>
      </c>
      <c r="J1907" s="2" t="s">
        <v>9937</v>
      </c>
      <c r="K1907" s="2" t="s">
        <v>9938</v>
      </c>
      <c r="L1907" s="2" t="s">
        <v>6101</v>
      </c>
      <c r="M1907" s="2" t="s">
        <v>9939</v>
      </c>
      <c r="N1907" s="2" t="s">
        <v>9940</v>
      </c>
      <c r="O1907" s="2" t="s">
        <v>869</v>
      </c>
      <c r="P1907" s="2" t="s">
        <v>870</v>
      </c>
    </row>
    <row r="1908" ht="15.75" customHeight="1">
      <c r="H1908" s="2" t="s">
        <v>9941</v>
      </c>
      <c r="I1908" s="2" t="s">
        <v>9942</v>
      </c>
      <c r="J1908" s="2" t="s">
        <v>9943</v>
      </c>
      <c r="K1908" s="2" t="s">
        <v>9944</v>
      </c>
      <c r="L1908" s="2" t="s">
        <v>6101</v>
      </c>
      <c r="M1908" s="2" t="s">
        <v>9945</v>
      </c>
      <c r="N1908" s="2" t="s">
        <v>9946</v>
      </c>
      <c r="O1908" s="2" t="s">
        <v>869</v>
      </c>
      <c r="P1908" s="2" t="s">
        <v>870</v>
      </c>
    </row>
    <row r="1909" ht="15.75" customHeight="1">
      <c r="H1909" s="2" t="s">
        <v>9947</v>
      </c>
      <c r="I1909" s="2" t="s">
        <v>9948</v>
      </c>
      <c r="J1909" s="2" t="s">
        <v>9949</v>
      </c>
      <c r="K1909" s="2" t="s">
        <v>9950</v>
      </c>
      <c r="L1909" s="2" t="s">
        <v>6101</v>
      </c>
      <c r="M1909" s="2" t="s">
        <v>9951</v>
      </c>
      <c r="N1909" s="2" t="s">
        <v>9952</v>
      </c>
      <c r="O1909" s="2" t="s">
        <v>869</v>
      </c>
      <c r="P1909" s="2" t="s">
        <v>870</v>
      </c>
    </row>
    <row r="1910" ht="15.75" customHeight="1">
      <c r="H1910" s="2" t="s">
        <v>9953</v>
      </c>
      <c r="I1910" s="2" t="s">
        <v>984</v>
      </c>
      <c r="J1910" s="2" t="s">
        <v>985</v>
      </c>
      <c r="K1910" s="2" t="s">
        <v>9954</v>
      </c>
      <c r="L1910" s="2" t="s">
        <v>6101</v>
      </c>
      <c r="M1910" s="2" t="s">
        <v>9955</v>
      </c>
      <c r="N1910" s="2" t="s">
        <v>9956</v>
      </c>
      <c r="O1910" s="2" t="s">
        <v>869</v>
      </c>
      <c r="P1910" s="2" t="s">
        <v>870</v>
      </c>
    </row>
    <row r="1911" ht="15.75" customHeight="1">
      <c r="H1911" s="2" t="s">
        <v>9957</v>
      </c>
      <c r="I1911" s="2" t="s">
        <v>3841</v>
      </c>
      <c r="J1911" s="2" t="s">
        <v>3842</v>
      </c>
      <c r="K1911" s="2" t="s">
        <v>9958</v>
      </c>
      <c r="L1911" s="2" t="s">
        <v>6101</v>
      </c>
      <c r="M1911" s="2" t="s">
        <v>9959</v>
      </c>
      <c r="N1911" s="2" t="s">
        <v>9960</v>
      </c>
      <c r="O1911" s="2" t="s">
        <v>869</v>
      </c>
      <c r="P1911" s="2" t="s">
        <v>870</v>
      </c>
    </row>
    <row r="1912" ht="15.75" customHeight="1">
      <c r="H1912" s="2" t="s">
        <v>9961</v>
      </c>
      <c r="I1912" s="2" t="s">
        <v>9962</v>
      </c>
      <c r="J1912" s="2" t="s">
        <v>9963</v>
      </c>
      <c r="K1912" s="2" t="s">
        <v>9964</v>
      </c>
      <c r="L1912" s="2" t="s">
        <v>6101</v>
      </c>
      <c r="M1912" s="2" t="s">
        <v>9965</v>
      </c>
      <c r="N1912" s="2" t="s">
        <v>9966</v>
      </c>
      <c r="O1912" s="2" t="s">
        <v>869</v>
      </c>
      <c r="P1912" s="2" t="s">
        <v>870</v>
      </c>
    </row>
    <row r="1913" ht="15.75" customHeight="1">
      <c r="H1913" s="2" t="s">
        <v>9967</v>
      </c>
      <c r="I1913" s="2" t="s">
        <v>9968</v>
      </c>
      <c r="J1913" s="2" t="s">
        <v>9969</v>
      </c>
      <c r="K1913" s="2" t="s">
        <v>9970</v>
      </c>
      <c r="L1913" s="2" t="s">
        <v>6101</v>
      </c>
      <c r="M1913" s="2" t="s">
        <v>9971</v>
      </c>
      <c r="N1913" s="2" t="s">
        <v>9972</v>
      </c>
      <c r="O1913" s="2" t="s">
        <v>869</v>
      </c>
      <c r="P1913" s="2" t="s">
        <v>870</v>
      </c>
    </row>
    <row r="1914" ht="15.75" customHeight="1">
      <c r="H1914" s="2" t="s">
        <v>9973</v>
      </c>
      <c r="I1914" s="2" t="s">
        <v>9974</v>
      </c>
      <c r="J1914" s="2" t="s">
        <v>9975</v>
      </c>
      <c r="K1914" s="2" t="s">
        <v>9976</v>
      </c>
      <c r="L1914" s="2" t="s">
        <v>6101</v>
      </c>
      <c r="M1914" s="2" t="s">
        <v>9977</v>
      </c>
      <c r="N1914" s="2" t="s">
        <v>9978</v>
      </c>
      <c r="O1914" s="2" t="s">
        <v>869</v>
      </c>
      <c r="P1914" s="2" t="s">
        <v>870</v>
      </c>
    </row>
    <row r="1915" ht="15.75" customHeight="1">
      <c r="H1915" s="2" t="s">
        <v>9979</v>
      </c>
      <c r="I1915" s="2" t="s">
        <v>9980</v>
      </c>
      <c r="J1915" s="2" t="s">
        <v>9981</v>
      </c>
      <c r="K1915" s="2" t="s">
        <v>9982</v>
      </c>
      <c r="L1915" s="2" t="s">
        <v>6101</v>
      </c>
      <c r="M1915" s="2" t="s">
        <v>9983</v>
      </c>
      <c r="N1915" s="2" t="s">
        <v>9984</v>
      </c>
      <c r="O1915" s="2" t="s">
        <v>869</v>
      </c>
      <c r="P1915" s="2" t="s">
        <v>870</v>
      </c>
    </row>
    <row r="1916" ht="15.75" customHeight="1">
      <c r="H1916" s="2" t="s">
        <v>9985</v>
      </c>
      <c r="I1916" s="2" t="s">
        <v>9986</v>
      </c>
      <c r="J1916" s="2" t="s">
        <v>9987</v>
      </c>
      <c r="K1916" s="2" t="s">
        <v>9988</v>
      </c>
      <c r="L1916" s="2" t="s">
        <v>6101</v>
      </c>
      <c r="M1916" s="2" t="s">
        <v>9989</v>
      </c>
      <c r="N1916" s="2" t="s">
        <v>9990</v>
      </c>
      <c r="O1916" s="2" t="s">
        <v>869</v>
      </c>
      <c r="P1916" s="2" t="s">
        <v>870</v>
      </c>
    </row>
    <row r="1917" ht="15.75" customHeight="1">
      <c r="H1917" s="2" t="s">
        <v>9991</v>
      </c>
      <c r="I1917" s="2" t="s">
        <v>9992</v>
      </c>
      <c r="J1917" s="2" t="s">
        <v>9993</v>
      </c>
      <c r="K1917" s="2" t="s">
        <v>9994</v>
      </c>
      <c r="L1917" s="2" t="s">
        <v>6101</v>
      </c>
      <c r="M1917" s="2" t="s">
        <v>9995</v>
      </c>
      <c r="N1917" s="2" t="s">
        <v>9996</v>
      </c>
      <c r="O1917" s="2" t="s">
        <v>869</v>
      </c>
      <c r="P1917" s="2" t="s">
        <v>870</v>
      </c>
    </row>
    <row r="1918" ht="15.75" customHeight="1">
      <c r="H1918" s="2" t="s">
        <v>9997</v>
      </c>
      <c r="I1918" s="2" t="s">
        <v>9998</v>
      </c>
      <c r="J1918" s="2" t="s">
        <v>9999</v>
      </c>
      <c r="K1918" s="2" t="s">
        <v>10000</v>
      </c>
      <c r="L1918" s="2" t="s">
        <v>6101</v>
      </c>
      <c r="M1918" s="2" t="s">
        <v>10001</v>
      </c>
      <c r="N1918" s="2" t="s">
        <v>10002</v>
      </c>
      <c r="O1918" s="2" t="s">
        <v>869</v>
      </c>
      <c r="P1918" s="2" t="s">
        <v>870</v>
      </c>
    </row>
    <row r="1919" ht="15.75" customHeight="1">
      <c r="H1919" s="2" t="s">
        <v>10003</v>
      </c>
      <c r="I1919" s="2" t="s">
        <v>10004</v>
      </c>
      <c r="J1919" s="2" t="s">
        <v>10005</v>
      </c>
      <c r="K1919" s="2" t="s">
        <v>10006</v>
      </c>
      <c r="L1919" s="2" t="s">
        <v>6101</v>
      </c>
      <c r="M1919" s="2" t="s">
        <v>10007</v>
      </c>
      <c r="N1919" s="2" t="s">
        <v>10008</v>
      </c>
      <c r="O1919" s="2" t="s">
        <v>869</v>
      </c>
      <c r="P1919" s="2" t="s">
        <v>870</v>
      </c>
    </row>
    <row r="1920" ht="15.75" customHeight="1">
      <c r="H1920" s="2" t="s">
        <v>10009</v>
      </c>
      <c r="I1920" s="2" t="s">
        <v>10010</v>
      </c>
      <c r="J1920" s="2" t="s">
        <v>10011</v>
      </c>
      <c r="K1920" s="2" t="s">
        <v>10012</v>
      </c>
      <c r="L1920" s="2" t="s">
        <v>6101</v>
      </c>
      <c r="M1920" s="2" t="s">
        <v>10013</v>
      </c>
      <c r="N1920" s="2" t="s">
        <v>10014</v>
      </c>
      <c r="O1920" s="2" t="s">
        <v>869</v>
      </c>
      <c r="P1920" s="2" t="s">
        <v>870</v>
      </c>
    </row>
    <row r="1921" ht="15.75" customHeight="1">
      <c r="H1921" s="2" t="s">
        <v>10015</v>
      </c>
      <c r="I1921" s="2" t="s">
        <v>10016</v>
      </c>
      <c r="J1921" s="2" t="s">
        <v>10017</v>
      </c>
      <c r="K1921" s="2" t="s">
        <v>10018</v>
      </c>
      <c r="L1921" s="2" t="s">
        <v>6101</v>
      </c>
      <c r="M1921" s="2" t="s">
        <v>10019</v>
      </c>
      <c r="N1921" s="2" t="s">
        <v>10020</v>
      </c>
      <c r="O1921" s="2" t="s">
        <v>869</v>
      </c>
      <c r="P1921" s="2" t="s">
        <v>870</v>
      </c>
    </row>
    <row r="1922" ht="15.75" customHeight="1">
      <c r="H1922" s="2" t="s">
        <v>10021</v>
      </c>
      <c r="I1922" s="2" t="s">
        <v>10022</v>
      </c>
      <c r="J1922" s="2" t="s">
        <v>10023</v>
      </c>
      <c r="K1922" s="2" t="s">
        <v>10024</v>
      </c>
      <c r="L1922" s="2" t="s">
        <v>6101</v>
      </c>
      <c r="M1922" s="2" t="s">
        <v>10025</v>
      </c>
      <c r="N1922" s="2" t="s">
        <v>8134</v>
      </c>
      <c r="O1922" s="2" t="s">
        <v>869</v>
      </c>
      <c r="P1922" s="2" t="s">
        <v>870</v>
      </c>
    </row>
    <row r="1923" ht="15.75" customHeight="1">
      <c r="H1923" s="2" t="s">
        <v>10026</v>
      </c>
      <c r="I1923" s="2" t="s">
        <v>3866</v>
      </c>
      <c r="J1923" s="2" t="s">
        <v>3867</v>
      </c>
      <c r="K1923" s="2" t="s">
        <v>10027</v>
      </c>
      <c r="L1923" s="2" t="s">
        <v>6101</v>
      </c>
      <c r="M1923" s="2" t="s">
        <v>10028</v>
      </c>
      <c r="N1923" s="2" t="s">
        <v>10029</v>
      </c>
      <c r="O1923" s="2" t="s">
        <v>869</v>
      </c>
      <c r="P1923" s="2" t="s">
        <v>870</v>
      </c>
    </row>
    <row r="1924" ht="15.75" customHeight="1">
      <c r="H1924" s="2" t="s">
        <v>10030</v>
      </c>
      <c r="I1924" s="2" t="s">
        <v>10031</v>
      </c>
      <c r="J1924" s="2" t="s">
        <v>10032</v>
      </c>
      <c r="K1924" s="2" t="s">
        <v>10033</v>
      </c>
      <c r="L1924" s="2" t="s">
        <v>6101</v>
      </c>
      <c r="M1924" s="2" t="s">
        <v>10034</v>
      </c>
      <c r="N1924" s="2" t="s">
        <v>10035</v>
      </c>
      <c r="O1924" s="2" t="s">
        <v>869</v>
      </c>
      <c r="P1924" s="2" t="s">
        <v>870</v>
      </c>
    </row>
    <row r="1925" ht="15.75" customHeight="1">
      <c r="H1925" s="2" t="s">
        <v>10036</v>
      </c>
      <c r="I1925" s="2" t="s">
        <v>5388</v>
      </c>
      <c r="J1925" s="2" t="s">
        <v>5389</v>
      </c>
      <c r="K1925" s="2" t="s">
        <v>10037</v>
      </c>
      <c r="L1925" s="2" t="s">
        <v>6101</v>
      </c>
      <c r="M1925" s="2" t="s">
        <v>10038</v>
      </c>
      <c r="N1925" s="2" t="s">
        <v>10039</v>
      </c>
      <c r="O1925" s="2" t="s">
        <v>869</v>
      </c>
      <c r="P1925" s="2" t="s">
        <v>870</v>
      </c>
    </row>
    <row r="1926" ht="15.75" customHeight="1">
      <c r="H1926" s="2" t="s">
        <v>10040</v>
      </c>
      <c r="I1926" s="2" t="s">
        <v>10041</v>
      </c>
      <c r="J1926" s="2" t="s">
        <v>10042</v>
      </c>
      <c r="K1926" s="2" t="s">
        <v>10043</v>
      </c>
      <c r="L1926" s="2" t="s">
        <v>6101</v>
      </c>
      <c r="M1926" s="2" t="s">
        <v>10044</v>
      </c>
      <c r="N1926" s="2" t="s">
        <v>10045</v>
      </c>
      <c r="O1926" s="2" t="s">
        <v>869</v>
      </c>
      <c r="P1926" s="2" t="s">
        <v>870</v>
      </c>
    </row>
    <row r="1927" ht="15.75" customHeight="1">
      <c r="H1927" s="2" t="s">
        <v>10046</v>
      </c>
      <c r="I1927" s="2" t="s">
        <v>10047</v>
      </c>
      <c r="J1927" s="2" t="s">
        <v>10048</v>
      </c>
      <c r="K1927" s="2" t="s">
        <v>10049</v>
      </c>
      <c r="L1927" s="2" t="s">
        <v>6101</v>
      </c>
      <c r="M1927" s="2" t="s">
        <v>10050</v>
      </c>
      <c r="N1927" s="2" t="s">
        <v>10051</v>
      </c>
      <c r="O1927" s="2" t="s">
        <v>869</v>
      </c>
      <c r="P1927" s="2" t="s">
        <v>870</v>
      </c>
    </row>
    <row r="1928" ht="15.75" customHeight="1">
      <c r="H1928" s="2" t="s">
        <v>10052</v>
      </c>
      <c r="I1928" s="2" t="s">
        <v>10053</v>
      </c>
      <c r="J1928" s="2" t="s">
        <v>10054</v>
      </c>
      <c r="K1928" s="2" t="s">
        <v>10055</v>
      </c>
      <c r="L1928" s="2" t="s">
        <v>6101</v>
      </c>
      <c r="M1928" s="2" t="s">
        <v>10056</v>
      </c>
      <c r="N1928" s="2" t="s">
        <v>10057</v>
      </c>
      <c r="O1928" s="2" t="s">
        <v>869</v>
      </c>
      <c r="P1928" s="2" t="s">
        <v>870</v>
      </c>
    </row>
    <row r="1929" ht="15.75" customHeight="1">
      <c r="H1929" s="2" t="s">
        <v>10058</v>
      </c>
      <c r="I1929" s="2" t="s">
        <v>10059</v>
      </c>
      <c r="J1929" s="2" t="s">
        <v>10060</v>
      </c>
      <c r="K1929" s="2" t="s">
        <v>10061</v>
      </c>
      <c r="L1929" s="2" t="s">
        <v>6101</v>
      </c>
      <c r="M1929" s="2" t="s">
        <v>10062</v>
      </c>
      <c r="N1929" s="2" t="s">
        <v>10063</v>
      </c>
      <c r="O1929" s="2" t="s">
        <v>869</v>
      </c>
      <c r="P1929" s="2" t="s">
        <v>870</v>
      </c>
    </row>
    <row r="1930" ht="15.75" customHeight="1">
      <c r="H1930" s="2" t="s">
        <v>10064</v>
      </c>
      <c r="I1930" s="2" t="s">
        <v>10065</v>
      </c>
      <c r="J1930" s="2" t="s">
        <v>10066</v>
      </c>
      <c r="K1930" s="2" t="s">
        <v>10067</v>
      </c>
      <c r="L1930" s="2" t="s">
        <v>6101</v>
      </c>
      <c r="M1930" s="2" t="s">
        <v>10068</v>
      </c>
      <c r="N1930" s="2" t="s">
        <v>10069</v>
      </c>
      <c r="O1930" s="2" t="s">
        <v>869</v>
      </c>
      <c r="P1930" s="2" t="s">
        <v>870</v>
      </c>
    </row>
    <row r="1931" ht="15.75" customHeight="1">
      <c r="H1931" s="2" t="s">
        <v>10070</v>
      </c>
      <c r="I1931" s="2" t="s">
        <v>3875</v>
      </c>
      <c r="J1931" s="2" t="s">
        <v>3876</v>
      </c>
      <c r="K1931" s="2" t="s">
        <v>10071</v>
      </c>
      <c r="L1931" s="2" t="s">
        <v>6101</v>
      </c>
      <c r="M1931" s="2" t="s">
        <v>10072</v>
      </c>
      <c r="N1931" s="2" t="s">
        <v>10073</v>
      </c>
      <c r="O1931" s="2" t="s">
        <v>869</v>
      </c>
      <c r="P1931" s="2" t="s">
        <v>870</v>
      </c>
    </row>
    <row r="1932" ht="15.75" customHeight="1">
      <c r="H1932" s="2" t="s">
        <v>10074</v>
      </c>
      <c r="I1932" s="2" t="s">
        <v>10075</v>
      </c>
      <c r="J1932" s="2" t="s">
        <v>10076</v>
      </c>
      <c r="K1932" s="2" t="s">
        <v>10077</v>
      </c>
      <c r="L1932" s="2" t="s">
        <v>6101</v>
      </c>
      <c r="M1932" s="2" t="s">
        <v>10078</v>
      </c>
      <c r="N1932" s="2" t="s">
        <v>10079</v>
      </c>
      <c r="O1932" s="2" t="s">
        <v>869</v>
      </c>
      <c r="P1932" s="2" t="s">
        <v>870</v>
      </c>
    </row>
    <row r="1933" ht="15.75" customHeight="1">
      <c r="H1933" s="2" t="s">
        <v>10080</v>
      </c>
      <c r="I1933" s="2" t="s">
        <v>10081</v>
      </c>
      <c r="J1933" s="2" t="s">
        <v>10082</v>
      </c>
      <c r="K1933" s="2" t="s">
        <v>10083</v>
      </c>
      <c r="L1933" s="2" t="s">
        <v>6101</v>
      </c>
      <c r="M1933" s="2" t="s">
        <v>10084</v>
      </c>
      <c r="N1933" s="2" t="s">
        <v>10085</v>
      </c>
      <c r="O1933" s="2" t="s">
        <v>869</v>
      </c>
      <c r="P1933" s="2" t="s">
        <v>870</v>
      </c>
    </row>
    <row r="1934" ht="15.75" customHeight="1">
      <c r="H1934" s="2" t="s">
        <v>10086</v>
      </c>
      <c r="I1934" s="2" t="s">
        <v>10087</v>
      </c>
      <c r="J1934" s="2" t="s">
        <v>10088</v>
      </c>
      <c r="K1934" s="2" t="s">
        <v>10089</v>
      </c>
      <c r="L1934" s="2" t="s">
        <v>6101</v>
      </c>
      <c r="M1934" s="2" t="s">
        <v>10090</v>
      </c>
      <c r="N1934" s="2" t="s">
        <v>10091</v>
      </c>
      <c r="O1934" s="2" t="s">
        <v>869</v>
      </c>
      <c r="P1934" s="2" t="s">
        <v>870</v>
      </c>
    </row>
    <row r="1935" ht="15.75" customHeight="1">
      <c r="H1935" s="2" t="s">
        <v>10092</v>
      </c>
      <c r="I1935" s="2" t="s">
        <v>10093</v>
      </c>
      <c r="J1935" s="2" t="s">
        <v>10094</v>
      </c>
      <c r="K1935" s="2" t="s">
        <v>10095</v>
      </c>
      <c r="L1935" s="2" t="s">
        <v>6101</v>
      </c>
      <c r="M1935" s="2" t="s">
        <v>10096</v>
      </c>
      <c r="N1935" s="2" t="s">
        <v>10097</v>
      </c>
      <c r="O1935" s="2" t="s">
        <v>869</v>
      </c>
      <c r="P1935" s="2" t="s">
        <v>870</v>
      </c>
    </row>
    <row r="1936" ht="15.75" customHeight="1">
      <c r="H1936" s="2" t="s">
        <v>10098</v>
      </c>
      <c r="I1936" s="2" t="s">
        <v>3885</v>
      </c>
      <c r="J1936" s="2" t="s">
        <v>3886</v>
      </c>
      <c r="K1936" s="2" t="s">
        <v>10099</v>
      </c>
      <c r="L1936" s="2" t="s">
        <v>6101</v>
      </c>
      <c r="M1936" s="2" t="s">
        <v>10100</v>
      </c>
      <c r="N1936" s="2" t="s">
        <v>10101</v>
      </c>
      <c r="O1936" s="2" t="s">
        <v>869</v>
      </c>
      <c r="P1936" s="2" t="s">
        <v>870</v>
      </c>
    </row>
    <row r="1937" ht="15.75" customHeight="1">
      <c r="H1937" s="2" t="s">
        <v>10102</v>
      </c>
      <c r="I1937" s="2" t="s">
        <v>679</v>
      </c>
      <c r="J1937" s="2" t="s">
        <v>680</v>
      </c>
      <c r="K1937" s="2" t="s">
        <v>10103</v>
      </c>
      <c r="L1937" s="2" t="s">
        <v>6101</v>
      </c>
      <c r="M1937" s="2" t="s">
        <v>10104</v>
      </c>
      <c r="N1937" s="2" t="s">
        <v>10105</v>
      </c>
      <c r="O1937" s="2" t="s">
        <v>869</v>
      </c>
      <c r="P1937" s="2" t="s">
        <v>870</v>
      </c>
    </row>
    <row r="1938" ht="15.75" customHeight="1">
      <c r="H1938" s="2" t="s">
        <v>10106</v>
      </c>
      <c r="I1938" s="2" t="s">
        <v>10107</v>
      </c>
      <c r="J1938" s="2" t="s">
        <v>10108</v>
      </c>
      <c r="K1938" s="2" t="s">
        <v>10109</v>
      </c>
      <c r="L1938" s="2" t="s">
        <v>6101</v>
      </c>
      <c r="M1938" s="2" t="s">
        <v>10110</v>
      </c>
      <c r="N1938" s="2" t="s">
        <v>10111</v>
      </c>
      <c r="O1938" s="2" t="s">
        <v>869</v>
      </c>
      <c r="P1938" s="2" t="s">
        <v>870</v>
      </c>
    </row>
    <row r="1939" ht="15.75" customHeight="1">
      <c r="H1939" s="2" t="s">
        <v>10112</v>
      </c>
      <c r="I1939" s="2" t="s">
        <v>10113</v>
      </c>
      <c r="J1939" s="2" t="s">
        <v>10114</v>
      </c>
      <c r="K1939" s="2" t="s">
        <v>10115</v>
      </c>
      <c r="L1939" s="2" t="s">
        <v>6101</v>
      </c>
      <c r="M1939" s="2" t="s">
        <v>10116</v>
      </c>
      <c r="N1939" s="2" t="s">
        <v>10117</v>
      </c>
      <c r="O1939" s="2" t="s">
        <v>869</v>
      </c>
      <c r="P1939" s="2" t="s">
        <v>870</v>
      </c>
    </row>
    <row r="1940" ht="15.75" customHeight="1">
      <c r="H1940" s="2" t="s">
        <v>10118</v>
      </c>
      <c r="I1940" s="2" t="s">
        <v>3907</v>
      </c>
      <c r="J1940" s="2" t="s">
        <v>3908</v>
      </c>
      <c r="K1940" s="2" t="s">
        <v>10119</v>
      </c>
      <c r="L1940" s="2" t="s">
        <v>6101</v>
      </c>
      <c r="M1940" s="2" t="s">
        <v>10120</v>
      </c>
      <c r="N1940" s="2" t="s">
        <v>10121</v>
      </c>
      <c r="O1940" s="2" t="s">
        <v>869</v>
      </c>
      <c r="P1940" s="2" t="s">
        <v>870</v>
      </c>
    </row>
    <row r="1941" ht="15.75" customHeight="1">
      <c r="H1941" s="2" t="s">
        <v>10122</v>
      </c>
      <c r="I1941" s="2" t="s">
        <v>10123</v>
      </c>
      <c r="J1941" s="2" t="s">
        <v>10124</v>
      </c>
      <c r="K1941" s="2" t="s">
        <v>10125</v>
      </c>
      <c r="L1941" s="2" t="s">
        <v>6101</v>
      </c>
      <c r="M1941" s="2" t="s">
        <v>10126</v>
      </c>
      <c r="N1941" s="2" t="s">
        <v>10127</v>
      </c>
      <c r="O1941" s="2" t="s">
        <v>869</v>
      </c>
      <c r="P1941" s="2" t="s">
        <v>870</v>
      </c>
    </row>
    <row r="1942" ht="15.75" customHeight="1">
      <c r="H1942" s="2" t="s">
        <v>10128</v>
      </c>
      <c r="I1942" s="2" t="s">
        <v>10129</v>
      </c>
      <c r="J1942" s="2" t="s">
        <v>10130</v>
      </c>
      <c r="K1942" s="2" t="s">
        <v>10131</v>
      </c>
      <c r="L1942" s="2" t="s">
        <v>6101</v>
      </c>
      <c r="M1942" s="2" t="s">
        <v>10132</v>
      </c>
      <c r="N1942" s="2" t="s">
        <v>10133</v>
      </c>
      <c r="O1942" s="2" t="s">
        <v>869</v>
      </c>
      <c r="P1942" s="2" t="s">
        <v>870</v>
      </c>
    </row>
    <row r="1943" ht="15.75" customHeight="1">
      <c r="H1943" s="2" t="s">
        <v>10134</v>
      </c>
      <c r="I1943" s="2" t="s">
        <v>10135</v>
      </c>
      <c r="J1943" s="2" t="s">
        <v>10136</v>
      </c>
      <c r="K1943" s="2" t="s">
        <v>10137</v>
      </c>
      <c r="L1943" s="2" t="s">
        <v>6101</v>
      </c>
      <c r="M1943" s="2" t="s">
        <v>10138</v>
      </c>
      <c r="N1943" s="2" t="s">
        <v>10139</v>
      </c>
      <c r="O1943" s="2" t="s">
        <v>869</v>
      </c>
      <c r="P1943" s="2" t="s">
        <v>870</v>
      </c>
    </row>
    <row r="1944" ht="15.75" customHeight="1">
      <c r="H1944" s="2" t="s">
        <v>10140</v>
      </c>
      <c r="I1944" s="2" t="s">
        <v>10141</v>
      </c>
      <c r="J1944" s="2" t="s">
        <v>10142</v>
      </c>
      <c r="K1944" s="2" t="s">
        <v>10143</v>
      </c>
      <c r="L1944" s="2" t="s">
        <v>6101</v>
      </c>
      <c r="M1944" s="2" t="s">
        <v>10144</v>
      </c>
      <c r="N1944" s="2" t="s">
        <v>10145</v>
      </c>
      <c r="O1944" s="2" t="s">
        <v>869</v>
      </c>
      <c r="P1944" s="2" t="s">
        <v>870</v>
      </c>
    </row>
    <row r="1945" ht="15.75" customHeight="1">
      <c r="H1945" s="2" t="s">
        <v>10146</v>
      </c>
      <c r="I1945" s="2" t="s">
        <v>3912</v>
      </c>
      <c r="J1945" s="2" t="s">
        <v>3913</v>
      </c>
      <c r="K1945" s="2" t="s">
        <v>10147</v>
      </c>
      <c r="L1945" s="2" t="s">
        <v>6101</v>
      </c>
      <c r="M1945" s="2" t="s">
        <v>10148</v>
      </c>
      <c r="N1945" s="2" t="s">
        <v>10149</v>
      </c>
      <c r="O1945" s="2" t="s">
        <v>869</v>
      </c>
      <c r="P1945" s="2" t="s">
        <v>870</v>
      </c>
    </row>
    <row r="1946" ht="15.75" customHeight="1">
      <c r="F1946" s="2" t="s">
        <v>3972</v>
      </c>
      <c r="H1946" s="2" t="s">
        <v>10150</v>
      </c>
      <c r="I1946" s="2" t="s">
        <v>10151</v>
      </c>
      <c r="J1946" s="2" t="s">
        <v>10152</v>
      </c>
      <c r="K1946" s="2" t="s">
        <v>10153</v>
      </c>
      <c r="L1946" s="2" t="s">
        <v>6101</v>
      </c>
      <c r="M1946" s="2" t="s">
        <v>10154</v>
      </c>
      <c r="N1946" s="2" t="s">
        <v>10155</v>
      </c>
      <c r="O1946" s="2" t="s">
        <v>10156</v>
      </c>
      <c r="P1946" s="2" t="s">
        <v>869</v>
      </c>
    </row>
    <row r="1947" ht="15.75" customHeight="1">
      <c r="H1947" s="2" t="s">
        <v>10157</v>
      </c>
      <c r="I1947" s="2" t="s">
        <v>3993</v>
      </c>
      <c r="J1947" s="2" t="s">
        <v>3994</v>
      </c>
      <c r="K1947" s="2" t="s">
        <v>10158</v>
      </c>
      <c r="L1947" s="2" t="s">
        <v>6101</v>
      </c>
      <c r="M1947" s="2" t="s">
        <v>10159</v>
      </c>
      <c r="N1947" s="2" t="s">
        <v>10160</v>
      </c>
      <c r="O1947" s="2" t="s">
        <v>869</v>
      </c>
      <c r="P1947" s="2" t="s">
        <v>870</v>
      </c>
    </row>
    <row r="1948" ht="15.75" customHeight="1">
      <c r="H1948" s="2" t="s">
        <v>10161</v>
      </c>
      <c r="I1948" s="2" t="s">
        <v>10162</v>
      </c>
      <c r="J1948" s="2" t="s">
        <v>10163</v>
      </c>
      <c r="K1948" s="2" t="s">
        <v>10164</v>
      </c>
      <c r="L1948" s="2" t="s">
        <v>6101</v>
      </c>
      <c r="M1948" s="2" t="s">
        <v>10165</v>
      </c>
      <c r="N1948" s="2" t="s">
        <v>10166</v>
      </c>
      <c r="O1948" s="2" t="s">
        <v>10167</v>
      </c>
      <c r="P1948" s="2" t="s">
        <v>869</v>
      </c>
    </row>
    <row r="1949" ht="15.75" customHeight="1">
      <c r="H1949" s="2" t="s">
        <v>10168</v>
      </c>
      <c r="I1949" s="2" t="s">
        <v>193</v>
      </c>
      <c r="J1949" s="2" t="s">
        <v>194</v>
      </c>
      <c r="K1949" s="2" t="s">
        <v>10169</v>
      </c>
      <c r="L1949" s="2" t="s">
        <v>6101</v>
      </c>
      <c r="M1949" s="2" t="s">
        <v>10170</v>
      </c>
      <c r="N1949" s="2" t="s">
        <v>10171</v>
      </c>
      <c r="O1949" s="2" t="s">
        <v>869</v>
      </c>
      <c r="P1949" s="2" t="s">
        <v>870</v>
      </c>
    </row>
    <row r="1950" ht="15.75" customHeight="1">
      <c r="H1950" s="2" t="s">
        <v>10172</v>
      </c>
      <c r="I1950" s="2" t="s">
        <v>10173</v>
      </c>
      <c r="J1950" s="2" t="s">
        <v>10174</v>
      </c>
      <c r="K1950" s="2" t="s">
        <v>10175</v>
      </c>
      <c r="L1950" s="2" t="s">
        <v>6101</v>
      </c>
      <c r="M1950" s="2" t="s">
        <v>10176</v>
      </c>
      <c r="N1950" s="2" t="s">
        <v>10177</v>
      </c>
      <c r="O1950" s="2" t="s">
        <v>869</v>
      </c>
      <c r="P1950" s="2" t="s">
        <v>870</v>
      </c>
    </row>
    <row r="1951" ht="15.75" customHeight="1">
      <c r="H1951" s="2" t="s">
        <v>10178</v>
      </c>
      <c r="I1951" s="2" t="s">
        <v>4001</v>
      </c>
      <c r="J1951" s="2" t="s">
        <v>4002</v>
      </c>
      <c r="K1951" s="2" t="s">
        <v>10179</v>
      </c>
      <c r="L1951" s="2" t="s">
        <v>6101</v>
      </c>
      <c r="M1951" s="2" t="s">
        <v>10180</v>
      </c>
      <c r="N1951" s="2" t="s">
        <v>10181</v>
      </c>
      <c r="O1951" s="2" t="s">
        <v>869</v>
      </c>
      <c r="P1951" s="2" t="s">
        <v>870</v>
      </c>
    </row>
    <row r="1952" ht="15.75" customHeight="1">
      <c r="H1952" s="2" t="s">
        <v>10182</v>
      </c>
      <c r="I1952" s="2" t="s">
        <v>10183</v>
      </c>
      <c r="J1952" s="2" t="s">
        <v>10184</v>
      </c>
      <c r="K1952" s="2" t="s">
        <v>10185</v>
      </c>
      <c r="L1952" s="2" t="s">
        <v>6101</v>
      </c>
      <c r="M1952" s="2" t="s">
        <v>10186</v>
      </c>
      <c r="N1952" s="2" t="s">
        <v>10187</v>
      </c>
      <c r="O1952" s="2" t="s">
        <v>869</v>
      </c>
      <c r="P1952" s="2" t="s">
        <v>870</v>
      </c>
    </row>
    <row r="1953" ht="15.75" customHeight="1">
      <c r="F1953" s="2" t="s">
        <v>703</v>
      </c>
      <c r="H1953" s="2" t="s">
        <v>10188</v>
      </c>
      <c r="I1953" s="2" t="s">
        <v>4011</v>
      </c>
      <c r="J1953" s="2" t="s">
        <v>4012</v>
      </c>
      <c r="K1953" s="2" t="s">
        <v>10189</v>
      </c>
      <c r="L1953" s="2" t="s">
        <v>6101</v>
      </c>
      <c r="M1953" s="2" t="s">
        <v>10190</v>
      </c>
      <c r="N1953" s="2" t="s">
        <v>10191</v>
      </c>
      <c r="O1953" s="2" t="s">
        <v>869</v>
      </c>
      <c r="P1953" s="2" t="s">
        <v>870</v>
      </c>
    </row>
    <row r="1954" ht="15.75" customHeight="1">
      <c r="H1954" s="2" t="s">
        <v>10192</v>
      </c>
      <c r="I1954" s="2" t="s">
        <v>10193</v>
      </c>
      <c r="J1954" s="2" t="s">
        <v>10194</v>
      </c>
      <c r="K1954" s="2" t="s">
        <v>10195</v>
      </c>
      <c r="L1954" s="2" t="s">
        <v>6101</v>
      </c>
      <c r="M1954" s="2" t="s">
        <v>10196</v>
      </c>
      <c r="N1954" s="2" t="s">
        <v>10197</v>
      </c>
      <c r="O1954" s="2" t="s">
        <v>869</v>
      </c>
      <c r="P1954" s="2" t="s">
        <v>870</v>
      </c>
    </row>
    <row r="1955" ht="15.75" customHeight="1">
      <c r="H1955" s="2" t="s">
        <v>10198</v>
      </c>
      <c r="I1955" s="2" t="s">
        <v>10199</v>
      </c>
      <c r="J1955" s="2" t="s">
        <v>10200</v>
      </c>
      <c r="K1955" s="2" t="s">
        <v>10201</v>
      </c>
      <c r="L1955" s="2" t="s">
        <v>6101</v>
      </c>
      <c r="M1955" s="2" t="s">
        <v>10202</v>
      </c>
      <c r="N1955" s="2" t="s">
        <v>10203</v>
      </c>
      <c r="O1955" s="2" t="s">
        <v>869</v>
      </c>
      <c r="P1955" s="2" t="s">
        <v>870</v>
      </c>
    </row>
    <row r="1956" ht="15.75" customHeight="1">
      <c r="H1956" s="2" t="s">
        <v>10204</v>
      </c>
      <c r="I1956" s="2" t="s">
        <v>10205</v>
      </c>
      <c r="J1956" s="2" t="s">
        <v>10206</v>
      </c>
      <c r="K1956" s="2" t="s">
        <v>10207</v>
      </c>
      <c r="L1956" s="2" t="s">
        <v>6101</v>
      </c>
      <c r="M1956" s="2" t="s">
        <v>10208</v>
      </c>
      <c r="N1956" s="2" t="s">
        <v>10209</v>
      </c>
      <c r="O1956" s="2" t="s">
        <v>869</v>
      </c>
      <c r="P1956" s="2" t="s">
        <v>870</v>
      </c>
    </row>
    <row r="1957" ht="15.75" customHeight="1">
      <c r="H1957" s="2" t="s">
        <v>10210</v>
      </c>
      <c r="I1957" s="2" t="s">
        <v>3342</v>
      </c>
      <c r="J1957" s="2" t="s">
        <v>3343</v>
      </c>
      <c r="K1957" s="2" t="s">
        <v>10211</v>
      </c>
      <c r="L1957" s="2" t="s">
        <v>6101</v>
      </c>
      <c r="M1957" s="2" t="s">
        <v>10212</v>
      </c>
      <c r="N1957" s="2" t="s">
        <v>9183</v>
      </c>
      <c r="O1957" s="2" t="s">
        <v>869</v>
      </c>
      <c r="P1957" s="2" t="s">
        <v>870</v>
      </c>
    </row>
    <row r="1958" ht="15.75" customHeight="1">
      <c r="H1958" s="2" t="s">
        <v>10213</v>
      </c>
      <c r="I1958" s="2" t="s">
        <v>10214</v>
      </c>
      <c r="J1958" s="2" t="s">
        <v>10215</v>
      </c>
      <c r="K1958" s="2" t="s">
        <v>10216</v>
      </c>
      <c r="L1958" s="2" t="s">
        <v>6101</v>
      </c>
      <c r="M1958" s="2" t="s">
        <v>10217</v>
      </c>
      <c r="N1958" s="2" t="s">
        <v>10218</v>
      </c>
      <c r="O1958" s="2" t="s">
        <v>869</v>
      </c>
      <c r="P1958" s="2" t="s">
        <v>870</v>
      </c>
    </row>
    <row r="1959" ht="15.75" customHeight="1">
      <c r="H1959" s="2" t="s">
        <v>10219</v>
      </c>
      <c r="I1959" s="2" t="s">
        <v>10220</v>
      </c>
      <c r="J1959" s="2" t="s">
        <v>10221</v>
      </c>
      <c r="K1959" s="2" t="s">
        <v>10222</v>
      </c>
      <c r="L1959" s="2" t="s">
        <v>6101</v>
      </c>
      <c r="M1959" s="2" t="s">
        <v>10223</v>
      </c>
      <c r="N1959" s="2" t="s">
        <v>10224</v>
      </c>
      <c r="O1959" s="2" t="s">
        <v>869</v>
      </c>
      <c r="P1959" s="2" t="s">
        <v>870</v>
      </c>
    </row>
    <row r="1960" ht="15.75" customHeight="1">
      <c r="H1960" s="2" t="s">
        <v>10225</v>
      </c>
      <c r="I1960" s="2" t="s">
        <v>10226</v>
      </c>
      <c r="J1960" s="2" t="s">
        <v>10227</v>
      </c>
      <c r="K1960" s="2" t="s">
        <v>10228</v>
      </c>
      <c r="L1960" s="2" t="s">
        <v>6101</v>
      </c>
      <c r="M1960" s="2" t="s">
        <v>10229</v>
      </c>
      <c r="N1960" s="2" t="s">
        <v>10230</v>
      </c>
      <c r="O1960" s="2" t="s">
        <v>869</v>
      </c>
      <c r="P1960" s="2" t="s">
        <v>870</v>
      </c>
    </row>
    <row r="1961" ht="15.75" customHeight="1">
      <c r="H1961" s="2" t="s">
        <v>10231</v>
      </c>
      <c r="I1961" s="2" t="s">
        <v>10232</v>
      </c>
      <c r="J1961" s="2" t="s">
        <v>10233</v>
      </c>
      <c r="K1961" s="2" t="s">
        <v>10234</v>
      </c>
      <c r="L1961" s="2" t="s">
        <v>6101</v>
      </c>
      <c r="M1961" s="2" t="s">
        <v>10235</v>
      </c>
      <c r="N1961" s="2" t="s">
        <v>10236</v>
      </c>
      <c r="O1961" s="2" t="s">
        <v>869</v>
      </c>
      <c r="P1961" s="2" t="s">
        <v>870</v>
      </c>
    </row>
    <row r="1962" ht="15.75" customHeight="1">
      <c r="H1962" s="2" t="s">
        <v>10237</v>
      </c>
      <c r="I1962" s="2" t="s">
        <v>10238</v>
      </c>
      <c r="J1962" s="2" t="s">
        <v>10239</v>
      </c>
      <c r="K1962" s="2" t="s">
        <v>10240</v>
      </c>
      <c r="L1962" s="2" t="s">
        <v>6101</v>
      </c>
      <c r="M1962" s="2" t="s">
        <v>10241</v>
      </c>
      <c r="N1962" s="2" t="s">
        <v>10242</v>
      </c>
      <c r="O1962" s="2" t="s">
        <v>10243</v>
      </c>
      <c r="P1962" s="2" t="s">
        <v>869</v>
      </c>
    </row>
    <row r="1963" ht="15.75" customHeight="1">
      <c r="H1963" s="2" t="s">
        <v>10244</v>
      </c>
      <c r="I1963" s="2" t="s">
        <v>10245</v>
      </c>
      <c r="J1963" s="2" t="s">
        <v>10246</v>
      </c>
      <c r="K1963" s="2" t="s">
        <v>10247</v>
      </c>
      <c r="L1963" s="2" t="s">
        <v>6101</v>
      </c>
      <c r="M1963" s="2" t="s">
        <v>10248</v>
      </c>
      <c r="N1963" s="2" t="s">
        <v>10249</v>
      </c>
      <c r="O1963" s="2" t="s">
        <v>869</v>
      </c>
      <c r="P1963" s="2" t="s">
        <v>870</v>
      </c>
    </row>
    <row r="1964" ht="15.75" customHeight="1">
      <c r="H1964" s="2" t="s">
        <v>10250</v>
      </c>
      <c r="I1964" s="2" t="s">
        <v>10251</v>
      </c>
      <c r="J1964" s="2" t="s">
        <v>10252</v>
      </c>
      <c r="K1964" s="2" t="s">
        <v>10253</v>
      </c>
      <c r="L1964" s="2" t="s">
        <v>6101</v>
      </c>
      <c r="M1964" s="2" t="s">
        <v>10254</v>
      </c>
      <c r="N1964" s="2" t="s">
        <v>10255</v>
      </c>
      <c r="O1964" s="2" t="s">
        <v>869</v>
      </c>
      <c r="P1964" s="2" t="s">
        <v>870</v>
      </c>
    </row>
    <row r="1965" ht="15.75" customHeight="1">
      <c r="H1965" s="2" t="s">
        <v>10256</v>
      </c>
      <c r="I1965" s="2" t="s">
        <v>10257</v>
      </c>
      <c r="J1965" s="2" t="s">
        <v>10258</v>
      </c>
      <c r="K1965" s="2" t="s">
        <v>10259</v>
      </c>
      <c r="L1965" s="2" t="s">
        <v>6101</v>
      </c>
      <c r="M1965" s="2" t="s">
        <v>10260</v>
      </c>
      <c r="N1965" s="2" t="s">
        <v>10261</v>
      </c>
      <c r="O1965" s="2" t="s">
        <v>869</v>
      </c>
      <c r="P1965" s="2" t="s">
        <v>870</v>
      </c>
    </row>
    <row r="1966" ht="15.75" customHeight="1">
      <c r="H1966" s="2" t="s">
        <v>10262</v>
      </c>
      <c r="I1966" s="2" t="s">
        <v>10263</v>
      </c>
      <c r="J1966" s="2" t="s">
        <v>10264</v>
      </c>
      <c r="K1966" s="2" t="s">
        <v>10265</v>
      </c>
      <c r="L1966" s="2" t="s">
        <v>6101</v>
      </c>
      <c r="M1966" s="2" t="s">
        <v>10266</v>
      </c>
      <c r="N1966" s="2" t="s">
        <v>10267</v>
      </c>
      <c r="O1966" s="2" t="s">
        <v>869</v>
      </c>
      <c r="P1966" s="2" t="s">
        <v>870</v>
      </c>
    </row>
    <row r="1967" ht="15.75" customHeight="1">
      <c r="H1967" s="2" t="s">
        <v>10268</v>
      </c>
      <c r="I1967" s="2" t="s">
        <v>4060</v>
      </c>
      <c r="J1967" s="2" t="s">
        <v>4061</v>
      </c>
      <c r="K1967" s="2" t="s">
        <v>10269</v>
      </c>
      <c r="L1967" s="2" t="s">
        <v>6101</v>
      </c>
      <c r="M1967" s="2" t="s">
        <v>10270</v>
      </c>
      <c r="N1967" s="2" t="s">
        <v>10271</v>
      </c>
      <c r="O1967" s="2" t="s">
        <v>869</v>
      </c>
      <c r="P1967" s="2" t="s">
        <v>870</v>
      </c>
    </row>
    <row r="1968" ht="15.75" customHeight="1">
      <c r="F1968" s="2" t="s">
        <v>728</v>
      </c>
      <c r="H1968" s="2" t="s">
        <v>10272</v>
      </c>
      <c r="I1968" s="2" t="s">
        <v>1345</v>
      </c>
      <c r="J1968" s="2" t="s">
        <v>1346</v>
      </c>
      <c r="K1968" s="2" t="s">
        <v>10273</v>
      </c>
      <c r="L1968" s="2" t="s">
        <v>6101</v>
      </c>
      <c r="M1968" s="2" t="s">
        <v>10274</v>
      </c>
      <c r="N1968" s="2" t="s">
        <v>10275</v>
      </c>
      <c r="O1968" s="2" t="s">
        <v>10276</v>
      </c>
      <c r="P1968" s="2" t="s">
        <v>869</v>
      </c>
    </row>
    <row r="1969" ht="15.75" customHeight="1">
      <c r="H1969" s="2" t="s">
        <v>10277</v>
      </c>
      <c r="I1969" s="2" t="s">
        <v>1350</v>
      </c>
      <c r="J1969" s="2" t="s">
        <v>1351</v>
      </c>
      <c r="K1969" s="2" t="s">
        <v>10278</v>
      </c>
      <c r="L1969" s="2" t="s">
        <v>6101</v>
      </c>
      <c r="M1969" s="2" t="s">
        <v>10279</v>
      </c>
      <c r="N1969" s="2" t="s">
        <v>10280</v>
      </c>
      <c r="O1969" s="2" t="s">
        <v>10281</v>
      </c>
      <c r="P1969" s="2" t="s">
        <v>869</v>
      </c>
    </row>
    <row r="1970" ht="15.75" customHeight="1">
      <c r="H1970" s="2" t="s">
        <v>10282</v>
      </c>
      <c r="I1970" s="2" t="s">
        <v>10283</v>
      </c>
      <c r="J1970" s="2" t="s">
        <v>10284</v>
      </c>
      <c r="K1970" s="2" t="s">
        <v>10285</v>
      </c>
      <c r="L1970" s="2" t="s">
        <v>6101</v>
      </c>
      <c r="M1970" s="2" t="s">
        <v>10286</v>
      </c>
      <c r="N1970" s="2" t="s">
        <v>10287</v>
      </c>
      <c r="O1970" s="2" t="s">
        <v>10288</v>
      </c>
      <c r="P1970" s="2" t="s">
        <v>869</v>
      </c>
    </row>
    <row r="1971" ht="15.75" customHeight="1">
      <c r="H1971" s="2" t="s">
        <v>10289</v>
      </c>
      <c r="I1971" s="2" t="s">
        <v>10290</v>
      </c>
      <c r="J1971" s="2" t="s">
        <v>10291</v>
      </c>
      <c r="K1971" s="2" t="s">
        <v>10292</v>
      </c>
      <c r="L1971" s="2" t="s">
        <v>6101</v>
      </c>
      <c r="M1971" s="2" t="s">
        <v>10293</v>
      </c>
      <c r="N1971" s="2" t="s">
        <v>10294</v>
      </c>
      <c r="O1971" s="2" t="s">
        <v>869</v>
      </c>
      <c r="P1971" s="2" t="s">
        <v>870</v>
      </c>
    </row>
    <row r="1972" ht="15.75" customHeight="1">
      <c r="H1972" s="2" t="s">
        <v>10295</v>
      </c>
      <c r="I1972" s="2" t="s">
        <v>10296</v>
      </c>
      <c r="J1972" s="2" t="s">
        <v>10297</v>
      </c>
      <c r="K1972" s="2" t="s">
        <v>10298</v>
      </c>
      <c r="L1972" s="2" t="s">
        <v>6101</v>
      </c>
      <c r="M1972" s="2" t="s">
        <v>10299</v>
      </c>
      <c r="N1972" s="2" t="s">
        <v>10300</v>
      </c>
      <c r="O1972" s="2" t="s">
        <v>10301</v>
      </c>
      <c r="P1972" s="2" t="s">
        <v>869</v>
      </c>
    </row>
    <row r="1973" ht="15.75" customHeight="1">
      <c r="H1973" s="2" t="s">
        <v>10302</v>
      </c>
      <c r="I1973" s="2" t="s">
        <v>10303</v>
      </c>
      <c r="J1973" s="2" t="s">
        <v>10304</v>
      </c>
      <c r="K1973" s="2" t="s">
        <v>10305</v>
      </c>
      <c r="L1973" s="2" t="s">
        <v>6101</v>
      </c>
      <c r="M1973" s="2" t="s">
        <v>10306</v>
      </c>
      <c r="N1973" s="2" t="s">
        <v>10307</v>
      </c>
      <c r="O1973" s="2" t="s">
        <v>869</v>
      </c>
      <c r="P1973" s="2" t="s">
        <v>870</v>
      </c>
    </row>
    <row r="1974" ht="15.75" customHeight="1">
      <c r="H1974" s="2" t="s">
        <v>10308</v>
      </c>
      <c r="I1974" s="2" t="s">
        <v>10309</v>
      </c>
      <c r="J1974" s="2" t="s">
        <v>10310</v>
      </c>
      <c r="K1974" s="2" t="s">
        <v>10311</v>
      </c>
      <c r="L1974" s="2" t="s">
        <v>6101</v>
      </c>
      <c r="M1974" s="2" t="s">
        <v>10312</v>
      </c>
      <c r="N1974" s="2" t="s">
        <v>10313</v>
      </c>
      <c r="O1974" s="2" t="s">
        <v>10314</v>
      </c>
      <c r="P1974" s="2" t="s">
        <v>869</v>
      </c>
    </row>
    <row r="1975" ht="15.75" customHeight="1">
      <c r="H1975" s="2" t="s">
        <v>10315</v>
      </c>
      <c r="I1975" s="2" t="s">
        <v>10316</v>
      </c>
      <c r="J1975" s="2" t="s">
        <v>10317</v>
      </c>
      <c r="K1975" s="2" t="s">
        <v>10318</v>
      </c>
      <c r="L1975" s="2" t="s">
        <v>6101</v>
      </c>
      <c r="M1975" s="2" t="s">
        <v>10319</v>
      </c>
      <c r="N1975" s="2" t="s">
        <v>10320</v>
      </c>
      <c r="O1975" s="2" t="s">
        <v>869</v>
      </c>
      <c r="P1975" s="2" t="s">
        <v>870</v>
      </c>
    </row>
    <row r="1976" ht="15.75" customHeight="1">
      <c r="H1976" s="2" t="s">
        <v>10321</v>
      </c>
      <c r="I1976" s="2" t="s">
        <v>10322</v>
      </c>
      <c r="J1976" s="2" t="s">
        <v>10323</v>
      </c>
      <c r="K1976" s="2" t="s">
        <v>10324</v>
      </c>
      <c r="L1976" s="2" t="s">
        <v>6101</v>
      </c>
      <c r="M1976" s="2" t="s">
        <v>10325</v>
      </c>
      <c r="N1976" s="2" t="s">
        <v>10326</v>
      </c>
      <c r="O1976" s="2" t="s">
        <v>869</v>
      </c>
      <c r="P1976" s="2" t="s">
        <v>870</v>
      </c>
    </row>
    <row r="1977" ht="15.75" customHeight="1">
      <c r="H1977" s="2" t="s">
        <v>10327</v>
      </c>
      <c r="I1977" s="2" t="s">
        <v>10328</v>
      </c>
      <c r="J1977" s="2" t="s">
        <v>10329</v>
      </c>
      <c r="K1977" s="2" t="s">
        <v>10330</v>
      </c>
      <c r="L1977" s="2" t="s">
        <v>6101</v>
      </c>
      <c r="M1977" s="2" t="s">
        <v>10331</v>
      </c>
      <c r="N1977" s="2" t="s">
        <v>10332</v>
      </c>
      <c r="O1977" s="2" t="s">
        <v>10333</v>
      </c>
      <c r="P1977" s="2" t="s">
        <v>869</v>
      </c>
    </row>
    <row r="1978" ht="15.75" customHeight="1">
      <c r="H1978" s="2" t="s">
        <v>10334</v>
      </c>
      <c r="I1978" s="2" t="s">
        <v>4086</v>
      </c>
      <c r="J1978" s="2" t="s">
        <v>4087</v>
      </c>
      <c r="K1978" s="2" t="s">
        <v>10335</v>
      </c>
      <c r="L1978" s="2" t="s">
        <v>6101</v>
      </c>
      <c r="M1978" s="2" t="s">
        <v>10336</v>
      </c>
      <c r="N1978" s="2" t="s">
        <v>10337</v>
      </c>
      <c r="O1978" s="2" t="s">
        <v>869</v>
      </c>
      <c r="P1978" s="2" t="s">
        <v>870</v>
      </c>
    </row>
    <row r="1979" ht="15.75" customHeight="1">
      <c r="H1979" s="2" t="s">
        <v>10338</v>
      </c>
      <c r="I1979" s="2" t="s">
        <v>10339</v>
      </c>
      <c r="J1979" s="2" t="s">
        <v>10340</v>
      </c>
      <c r="K1979" s="2" t="s">
        <v>10341</v>
      </c>
      <c r="L1979" s="2" t="s">
        <v>6101</v>
      </c>
      <c r="M1979" s="2" t="s">
        <v>10342</v>
      </c>
      <c r="N1979" s="2" t="s">
        <v>10343</v>
      </c>
      <c r="O1979" s="2" t="s">
        <v>10344</v>
      </c>
      <c r="P1979" s="2" t="s">
        <v>869</v>
      </c>
    </row>
    <row r="1980" ht="15.75" customHeight="1">
      <c r="H1980" s="2" t="s">
        <v>10345</v>
      </c>
      <c r="I1980" s="2" t="s">
        <v>10346</v>
      </c>
      <c r="J1980" s="2" t="s">
        <v>10347</v>
      </c>
      <c r="K1980" s="2" t="s">
        <v>10348</v>
      </c>
      <c r="L1980" s="2" t="s">
        <v>6101</v>
      </c>
      <c r="M1980" s="2" t="s">
        <v>10349</v>
      </c>
      <c r="N1980" s="2" t="s">
        <v>10350</v>
      </c>
      <c r="O1980" s="2" t="s">
        <v>10351</v>
      </c>
      <c r="P1980" s="2" t="s">
        <v>869</v>
      </c>
    </row>
    <row r="1981" ht="15.75" customHeight="1">
      <c r="H1981" s="2" t="s">
        <v>10352</v>
      </c>
      <c r="I1981" s="2" t="s">
        <v>4096</v>
      </c>
      <c r="J1981" s="2" t="s">
        <v>4097</v>
      </c>
      <c r="K1981" s="2" t="s">
        <v>10353</v>
      </c>
      <c r="L1981" s="2" t="s">
        <v>6101</v>
      </c>
      <c r="M1981" s="2" t="s">
        <v>10354</v>
      </c>
      <c r="N1981" s="2" t="s">
        <v>10355</v>
      </c>
      <c r="O1981" s="2" t="s">
        <v>869</v>
      </c>
      <c r="P1981" s="2" t="s">
        <v>870</v>
      </c>
    </row>
    <row r="1982" ht="15.75" customHeight="1">
      <c r="H1982" s="2" t="s">
        <v>10356</v>
      </c>
      <c r="I1982" s="2" t="s">
        <v>10357</v>
      </c>
      <c r="J1982" s="2" t="s">
        <v>10358</v>
      </c>
      <c r="K1982" s="2" t="s">
        <v>10359</v>
      </c>
      <c r="L1982" s="2" t="s">
        <v>6101</v>
      </c>
      <c r="M1982" s="2" t="s">
        <v>10360</v>
      </c>
      <c r="N1982" s="2" t="s">
        <v>8653</v>
      </c>
      <c r="O1982" s="2" t="s">
        <v>10361</v>
      </c>
      <c r="P1982" s="2" t="s">
        <v>869</v>
      </c>
    </row>
    <row r="1983" ht="15.75" customHeight="1">
      <c r="H1983" s="2" t="s">
        <v>10362</v>
      </c>
      <c r="I1983" s="2" t="s">
        <v>10363</v>
      </c>
      <c r="J1983" s="2" t="s">
        <v>10364</v>
      </c>
      <c r="K1983" s="2" t="s">
        <v>10365</v>
      </c>
      <c r="L1983" s="2" t="s">
        <v>6101</v>
      </c>
      <c r="M1983" s="2" t="s">
        <v>10366</v>
      </c>
      <c r="N1983" s="2" t="s">
        <v>10367</v>
      </c>
      <c r="O1983" s="2" t="s">
        <v>869</v>
      </c>
      <c r="P1983" s="2" t="s">
        <v>870</v>
      </c>
    </row>
    <row r="1984" ht="15.75" customHeight="1">
      <c r="H1984" s="2" t="s">
        <v>10368</v>
      </c>
      <c r="I1984" s="2" t="s">
        <v>10369</v>
      </c>
      <c r="J1984" s="2" t="s">
        <v>10370</v>
      </c>
      <c r="K1984" s="2" t="s">
        <v>10371</v>
      </c>
      <c r="L1984" s="2" t="s">
        <v>6101</v>
      </c>
      <c r="M1984" s="2" t="s">
        <v>10372</v>
      </c>
      <c r="N1984" s="2" t="s">
        <v>10373</v>
      </c>
      <c r="O1984" s="2" t="s">
        <v>10374</v>
      </c>
      <c r="P1984" s="2" t="s">
        <v>869</v>
      </c>
    </row>
    <row r="1985" ht="15.75" customHeight="1">
      <c r="H1985" s="2" t="s">
        <v>10375</v>
      </c>
      <c r="I1985" s="2" t="s">
        <v>10376</v>
      </c>
      <c r="J1985" s="2" t="s">
        <v>10377</v>
      </c>
      <c r="K1985" s="2" t="s">
        <v>10378</v>
      </c>
      <c r="L1985" s="2" t="s">
        <v>6101</v>
      </c>
      <c r="M1985" s="2" t="s">
        <v>10379</v>
      </c>
      <c r="N1985" s="2" t="s">
        <v>10380</v>
      </c>
      <c r="O1985" s="2" t="s">
        <v>10381</v>
      </c>
      <c r="P1985" s="2" t="s">
        <v>869</v>
      </c>
    </row>
    <row r="1986" ht="15.75" customHeight="1">
      <c r="H1986" s="2" t="s">
        <v>10382</v>
      </c>
      <c r="I1986" s="2" t="s">
        <v>10383</v>
      </c>
      <c r="J1986" s="2" t="s">
        <v>10384</v>
      </c>
      <c r="K1986" s="2" t="s">
        <v>10385</v>
      </c>
      <c r="L1986" s="2" t="s">
        <v>6101</v>
      </c>
      <c r="M1986" s="2" t="s">
        <v>10386</v>
      </c>
      <c r="N1986" s="2" t="s">
        <v>10387</v>
      </c>
      <c r="O1986" s="2" t="s">
        <v>869</v>
      </c>
      <c r="P1986" s="2" t="s">
        <v>870</v>
      </c>
    </row>
    <row r="1987" ht="15.75" customHeight="1">
      <c r="H1987" s="2" t="s">
        <v>10388</v>
      </c>
      <c r="I1987" s="2" t="s">
        <v>10389</v>
      </c>
      <c r="J1987" s="2" t="s">
        <v>10390</v>
      </c>
      <c r="K1987" s="2" t="s">
        <v>10391</v>
      </c>
      <c r="L1987" s="2" t="s">
        <v>6101</v>
      </c>
      <c r="M1987" s="2" t="s">
        <v>10392</v>
      </c>
      <c r="N1987" s="2" t="s">
        <v>10393</v>
      </c>
      <c r="O1987" s="2" t="s">
        <v>869</v>
      </c>
      <c r="P1987" s="2" t="s">
        <v>870</v>
      </c>
    </row>
    <row r="1988" ht="15.75" customHeight="1">
      <c r="H1988" s="2" t="s">
        <v>10394</v>
      </c>
      <c r="I1988" s="2" t="s">
        <v>1335</v>
      </c>
      <c r="J1988" s="2" t="s">
        <v>1336</v>
      </c>
      <c r="K1988" s="2" t="s">
        <v>10395</v>
      </c>
      <c r="L1988" s="2" t="s">
        <v>6101</v>
      </c>
      <c r="M1988" s="2" t="s">
        <v>10396</v>
      </c>
      <c r="N1988" s="2" t="s">
        <v>9093</v>
      </c>
      <c r="O1988" s="2" t="s">
        <v>10397</v>
      </c>
      <c r="P1988" s="2" t="s">
        <v>869</v>
      </c>
    </row>
    <row r="1989" ht="15.75" customHeight="1">
      <c r="F1989" s="2" t="s">
        <v>4180</v>
      </c>
      <c r="H1989" s="2" t="s">
        <v>10398</v>
      </c>
      <c r="I1989" s="2" t="s">
        <v>10399</v>
      </c>
      <c r="J1989" s="2" t="s">
        <v>10400</v>
      </c>
      <c r="K1989" s="2" t="s">
        <v>10401</v>
      </c>
      <c r="L1989" s="2" t="s">
        <v>6101</v>
      </c>
      <c r="M1989" s="2" t="s">
        <v>10402</v>
      </c>
      <c r="N1989" s="2" t="s">
        <v>10403</v>
      </c>
      <c r="O1989" s="2" t="s">
        <v>869</v>
      </c>
      <c r="P1989" s="2" t="s">
        <v>870</v>
      </c>
    </row>
    <row r="1990" ht="15.75" customHeight="1">
      <c r="H1990" s="2" t="s">
        <v>10404</v>
      </c>
      <c r="I1990" s="2" t="s">
        <v>4182</v>
      </c>
      <c r="J1990" s="2" t="s">
        <v>4183</v>
      </c>
      <c r="K1990" s="2" t="s">
        <v>10405</v>
      </c>
      <c r="L1990" s="2" t="s">
        <v>6101</v>
      </c>
      <c r="M1990" s="2" t="s">
        <v>10406</v>
      </c>
      <c r="N1990" s="2" t="s">
        <v>10407</v>
      </c>
      <c r="O1990" s="2" t="s">
        <v>869</v>
      </c>
      <c r="P1990" s="2" t="s">
        <v>870</v>
      </c>
    </row>
    <row r="1991" ht="15.75" customHeight="1">
      <c r="H1991" s="2" t="s">
        <v>10408</v>
      </c>
      <c r="I1991" s="2" t="s">
        <v>10409</v>
      </c>
      <c r="J1991" s="2" t="s">
        <v>10410</v>
      </c>
      <c r="K1991" s="2" t="s">
        <v>10411</v>
      </c>
      <c r="L1991" s="2" t="s">
        <v>6101</v>
      </c>
      <c r="M1991" s="2" t="s">
        <v>10412</v>
      </c>
      <c r="N1991" s="2" t="s">
        <v>10413</v>
      </c>
      <c r="O1991" s="2" t="s">
        <v>10414</v>
      </c>
      <c r="P1991" s="2" t="s">
        <v>869</v>
      </c>
    </row>
    <row r="1992" ht="15.75" customHeight="1">
      <c r="H1992" s="2" t="s">
        <v>10415</v>
      </c>
      <c r="I1992" s="2" t="s">
        <v>10416</v>
      </c>
      <c r="J1992" s="2" t="s">
        <v>10417</v>
      </c>
      <c r="K1992" s="2" t="s">
        <v>10418</v>
      </c>
      <c r="L1992" s="2" t="s">
        <v>6101</v>
      </c>
      <c r="M1992" s="2" t="s">
        <v>10419</v>
      </c>
      <c r="N1992" s="2" t="s">
        <v>10420</v>
      </c>
      <c r="O1992" s="2" t="s">
        <v>10421</v>
      </c>
      <c r="P1992" s="2" t="s">
        <v>869</v>
      </c>
    </row>
    <row r="1993" ht="15.75" customHeight="1">
      <c r="H1993" s="2" t="s">
        <v>10422</v>
      </c>
      <c r="I1993" s="2" t="s">
        <v>1629</v>
      </c>
      <c r="J1993" s="2" t="s">
        <v>1630</v>
      </c>
      <c r="K1993" s="2" t="s">
        <v>10423</v>
      </c>
      <c r="L1993" s="2" t="s">
        <v>6101</v>
      </c>
      <c r="M1993" s="2" t="s">
        <v>10424</v>
      </c>
      <c r="N1993" s="2" t="s">
        <v>10425</v>
      </c>
      <c r="O1993" s="2" t="s">
        <v>869</v>
      </c>
      <c r="P1993" s="2" t="s">
        <v>870</v>
      </c>
    </row>
    <row r="1994" ht="15.75" customHeight="1">
      <c r="H1994" s="2" t="s">
        <v>10426</v>
      </c>
      <c r="I1994" s="2" t="s">
        <v>10427</v>
      </c>
      <c r="J1994" s="2" t="s">
        <v>10428</v>
      </c>
      <c r="K1994" s="2" t="s">
        <v>10429</v>
      </c>
      <c r="L1994" s="2" t="s">
        <v>6101</v>
      </c>
      <c r="M1994" s="2" t="s">
        <v>10430</v>
      </c>
      <c r="N1994" s="2" t="s">
        <v>10431</v>
      </c>
      <c r="O1994" s="2" t="s">
        <v>10432</v>
      </c>
      <c r="P1994" s="2" t="s">
        <v>869</v>
      </c>
    </row>
    <row r="1995" ht="15.75" customHeight="1">
      <c r="H1995" s="2" t="s">
        <v>10433</v>
      </c>
      <c r="I1995" s="2" t="s">
        <v>360</v>
      </c>
      <c r="J1995" s="2" t="s">
        <v>361</v>
      </c>
      <c r="K1995" s="2" t="s">
        <v>10434</v>
      </c>
      <c r="L1995" s="2" t="s">
        <v>6101</v>
      </c>
      <c r="M1995" s="2" t="s">
        <v>10435</v>
      </c>
      <c r="N1995" s="2" t="s">
        <v>10436</v>
      </c>
      <c r="O1995" s="2" t="s">
        <v>10437</v>
      </c>
      <c r="P1995" s="2" t="s">
        <v>869</v>
      </c>
    </row>
    <row r="1996" ht="15.75" customHeight="1">
      <c r="H1996" s="2" t="s">
        <v>10438</v>
      </c>
      <c r="I1996" s="2" t="s">
        <v>10439</v>
      </c>
      <c r="J1996" s="2" t="s">
        <v>10440</v>
      </c>
      <c r="K1996" s="2" t="s">
        <v>10441</v>
      </c>
      <c r="L1996" s="2" t="s">
        <v>6101</v>
      </c>
      <c r="M1996" s="2" t="s">
        <v>10442</v>
      </c>
      <c r="N1996" s="2" t="s">
        <v>10443</v>
      </c>
      <c r="O1996" s="2" t="s">
        <v>10444</v>
      </c>
      <c r="P1996" s="2" t="s">
        <v>869</v>
      </c>
    </row>
    <row r="1997" ht="15.75" customHeight="1">
      <c r="H1997" s="2" t="s">
        <v>10445</v>
      </c>
      <c r="I1997" s="2" t="s">
        <v>10446</v>
      </c>
      <c r="J1997" s="2" t="s">
        <v>10447</v>
      </c>
      <c r="K1997" s="2" t="s">
        <v>10448</v>
      </c>
      <c r="L1997" s="2" t="s">
        <v>6101</v>
      </c>
      <c r="M1997" s="2" t="s">
        <v>10449</v>
      </c>
      <c r="N1997" s="2" t="s">
        <v>10450</v>
      </c>
      <c r="O1997" s="2" t="s">
        <v>869</v>
      </c>
      <c r="P1997" s="2" t="s">
        <v>870</v>
      </c>
    </row>
    <row r="1998" ht="15.75" customHeight="1">
      <c r="H1998" s="2" t="s">
        <v>10451</v>
      </c>
      <c r="I1998" s="2" t="s">
        <v>4205</v>
      </c>
      <c r="J1998" s="2" t="s">
        <v>4206</v>
      </c>
      <c r="K1998" s="2" t="s">
        <v>10452</v>
      </c>
      <c r="L1998" s="2" t="s">
        <v>6101</v>
      </c>
      <c r="M1998" s="2" t="s">
        <v>10453</v>
      </c>
      <c r="N1998" s="2" t="s">
        <v>10454</v>
      </c>
      <c r="O1998" s="2" t="s">
        <v>869</v>
      </c>
      <c r="P1998" s="2" t="s">
        <v>870</v>
      </c>
    </row>
    <row r="1999" ht="15.75" customHeight="1">
      <c r="H1999" s="2" t="s">
        <v>10455</v>
      </c>
      <c r="I1999" s="2" t="s">
        <v>10456</v>
      </c>
      <c r="J1999" s="2" t="s">
        <v>10457</v>
      </c>
      <c r="K1999" s="2" t="s">
        <v>10458</v>
      </c>
      <c r="L1999" s="2" t="s">
        <v>6101</v>
      </c>
      <c r="M1999" s="2" t="s">
        <v>10459</v>
      </c>
      <c r="N1999" s="2" t="s">
        <v>10460</v>
      </c>
      <c r="O1999" s="2" t="s">
        <v>869</v>
      </c>
      <c r="P1999" s="2" t="s">
        <v>870</v>
      </c>
    </row>
    <row r="2000" ht="15.75" customHeight="1">
      <c r="H2000" s="2" t="s">
        <v>10461</v>
      </c>
      <c r="I2000" s="2" t="s">
        <v>10462</v>
      </c>
      <c r="J2000" s="2" t="s">
        <v>10463</v>
      </c>
      <c r="K2000" s="2" t="s">
        <v>10464</v>
      </c>
      <c r="L2000" s="2" t="s">
        <v>6101</v>
      </c>
      <c r="M2000" s="2" t="s">
        <v>10465</v>
      </c>
      <c r="N2000" s="2" t="s">
        <v>10466</v>
      </c>
      <c r="O2000" s="2" t="s">
        <v>10467</v>
      </c>
      <c r="P2000" s="2" t="s">
        <v>869</v>
      </c>
    </row>
    <row r="2001" ht="15.75" customHeight="1">
      <c r="H2001" s="2" t="s">
        <v>10468</v>
      </c>
      <c r="I2001" s="2" t="s">
        <v>10469</v>
      </c>
      <c r="J2001" s="2" t="s">
        <v>10470</v>
      </c>
      <c r="K2001" s="2" t="s">
        <v>10471</v>
      </c>
      <c r="L2001" s="2" t="s">
        <v>6101</v>
      </c>
      <c r="M2001" s="2" t="s">
        <v>10472</v>
      </c>
      <c r="N2001" s="2" t="s">
        <v>10473</v>
      </c>
      <c r="O2001" s="2" t="s">
        <v>10474</v>
      </c>
      <c r="P2001" s="2" t="s">
        <v>869</v>
      </c>
    </row>
    <row r="2002" ht="15.75" customHeight="1">
      <c r="H2002" s="2" t="s">
        <v>10475</v>
      </c>
      <c r="I2002" s="2" t="s">
        <v>10476</v>
      </c>
      <c r="J2002" s="2" t="s">
        <v>10477</v>
      </c>
      <c r="K2002" s="2" t="s">
        <v>10478</v>
      </c>
      <c r="L2002" s="2" t="s">
        <v>6101</v>
      </c>
      <c r="M2002" s="2" t="s">
        <v>10479</v>
      </c>
      <c r="N2002" s="2" t="s">
        <v>10480</v>
      </c>
      <c r="O2002" s="2" t="s">
        <v>869</v>
      </c>
      <c r="P2002" s="2" t="s">
        <v>870</v>
      </c>
    </row>
    <row r="2003" ht="15.75" customHeight="1">
      <c r="H2003" s="2" t="s">
        <v>10481</v>
      </c>
      <c r="I2003" s="2" t="s">
        <v>4210</v>
      </c>
      <c r="J2003" s="2" t="s">
        <v>4211</v>
      </c>
      <c r="K2003" s="2" t="s">
        <v>10482</v>
      </c>
      <c r="L2003" s="2" t="s">
        <v>6101</v>
      </c>
      <c r="M2003" s="2" t="s">
        <v>10483</v>
      </c>
      <c r="N2003" s="2" t="s">
        <v>10484</v>
      </c>
      <c r="O2003" s="2" t="s">
        <v>869</v>
      </c>
      <c r="P2003" s="2" t="s">
        <v>870</v>
      </c>
    </row>
    <row r="2004" ht="15.75" customHeight="1">
      <c r="H2004" s="2" t="s">
        <v>10485</v>
      </c>
      <c r="I2004" s="2" t="s">
        <v>4157</v>
      </c>
      <c r="J2004" s="2" t="s">
        <v>4158</v>
      </c>
      <c r="K2004" s="2" t="s">
        <v>10486</v>
      </c>
      <c r="L2004" s="2" t="s">
        <v>6101</v>
      </c>
      <c r="M2004" s="2" t="s">
        <v>10487</v>
      </c>
      <c r="N2004" s="2" t="s">
        <v>10488</v>
      </c>
      <c r="O2004" s="2" t="s">
        <v>10489</v>
      </c>
      <c r="P2004" s="2" t="s">
        <v>869</v>
      </c>
    </row>
    <row r="2005" ht="15.75" customHeight="1">
      <c r="H2005" s="2" t="s">
        <v>10490</v>
      </c>
      <c r="I2005" s="2" t="s">
        <v>4215</v>
      </c>
      <c r="J2005" s="2" t="s">
        <v>4216</v>
      </c>
      <c r="K2005" s="2" t="s">
        <v>10491</v>
      </c>
      <c r="L2005" s="2" t="s">
        <v>6101</v>
      </c>
      <c r="M2005" s="2" t="s">
        <v>10492</v>
      </c>
      <c r="N2005" s="2" t="s">
        <v>10493</v>
      </c>
      <c r="O2005" s="2" t="s">
        <v>869</v>
      </c>
      <c r="P2005" s="2" t="s">
        <v>870</v>
      </c>
    </row>
    <row r="2006" ht="15.75" customHeight="1">
      <c r="H2006" s="2" t="s">
        <v>10494</v>
      </c>
      <c r="I2006" s="2" t="s">
        <v>4220</v>
      </c>
      <c r="J2006" s="2" t="s">
        <v>4221</v>
      </c>
      <c r="K2006" s="2" t="s">
        <v>10495</v>
      </c>
      <c r="L2006" s="2" t="s">
        <v>6101</v>
      </c>
      <c r="M2006" s="2" t="s">
        <v>10496</v>
      </c>
      <c r="N2006" s="2" t="s">
        <v>10497</v>
      </c>
      <c r="O2006" s="2" t="s">
        <v>869</v>
      </c>
      <c r="P2006" s="2" t="s">
        <v>870</v>
      </c>
    </row>
    <row r="2007" ht="15.75" customHeight="1">
      <c r="H2007" s="2" t="s">
        <v>10498</v>
      </c>
      <c r="I2007" s="2" t="s">
        <v>10499</v>
      </c>
      <c r="J2007" s="2" t="s">
        <v>10500</v>
      </c>
      <c r="K2007" s="2" t="s">
        <v>10501</v>
      </c>
      <c r="L2007" s="2" t="s">
        <v>6101</v>
      </c>
      <c r="M2007" s="2" t="s">
        <v>10502</v>
      </c>
      <c r="N2007" s="2" t="s">
        <v>10503</v>
      </c>
      <c r="O2007" s="2" t="s">
        <v>10504</v>
      </c>
      <c r="P2007" s="2" t="s">
        <v>869</v>
      </c>
    </row>
    <row r="2008" ht="15.75" customHeight="1">
      <c r="H2008" s="2" t="s">
        <v>10505</v>
      </c>
      <c r="I2008" s="2" t="s">
        <v>10506</v>
      </c>
      <c r="J2008" s="2" t="s">
        <v>10507</v>
      </c>
      <c r="K2008" s="2" t="s">
        <v>10508</v>
      </c>
      <c r="L2008" s="2" t="s">
        <v>6101</v>
      </c>
      <c r="M2008" s="2" t="s">
        <v>10509</v>
      </c>
      <c r="N2008" s="2" t="s">
        <v>10510</v>
      </c>
      <c r="O2008" s="2" t="s">
        <v>869</v>
      </c>
      <c r="P2008" s="2" t="s">
        <v>870</v>
      </c>
    </row>
    <row r="2009" ht="15.75" customHeight="1">
      <c r="H2009" s="2" t="s">
        <v>10511</v>
      </c>
      <c r="I2009" s="2" t="s">
        <v>10512</v>
      </c>
      <c r="J2009" s="2" t="s">
        <v>10513</v>
      </c>
      <c r="K2009" s="2" t="s">
        <v>10514</v>
      </c>
      <c r="L2009" s="2" t="s">
        <v>6101</v>
      </c>
      <c r="M2009" s="2" t="s">
        <v>10515</v>
      </c>
      <c r="N2009" s="2" t="s">
        <v>10516</v>
      </c>
      <c r="O2009" s="2" t="s">
        <v>10517</v>
      </c>
      <c r="P2009" s="2" t="s">
        <v>869</v>
      </c>
    </row>
    <row r="2010" ht="15.75" customHeight="1">
      <c r="F2010" s="2" t="s">
        <v>746</v>
      </c>
      <c r="H2010" s="2" t="s">
        <v>10518</v>
      </c>
      <c r="I2010" s="2" t="s">
        <v>10519</v>
      </c>
      <c r="J2010" s="2" t="s">
        <v>10520</v>
      </c>
      <c r="K2010" s="2" t="s">
        <v>10521</v>
      </c>
      <c r="L2010" s="2" t="s">
        <v>6101</v>
      </c>
      <c r="M2010" s="2" t="s">
        <v>10522</v>
      </c>
      <c r="N2010" s="2" t="s">
        <v>8653</v>
      </c>
      <c r="O2010" s="2" t="s">
        <v>10523</v>
      </c>
      <c r="P2010" s="2" t="s">
        <v>869</v>
      </c>
    </row>
    <row r="2011" ht="15.75" customHeight="1">
      <c r="H2011" s="2" t="s">
        <v>10524</v>
      </c>
      <c r="I2011" s="2" t="s">
        <v>4260</v>
      </c>
      <c r="J2011" s="2" t="s">
        <v>4261</v>
      </c>
      <c r="K2011" s="2" t="s">
        <v>10525</v>
      </c>
      <c r="L2011" s="2" t="s">
        <v>6101</v>
      </c>
      <c r="M2011" s="2" t="s">
        <v>10526</v>
      </c>
      <c r="N2011" s="2" t="s">
        <v>10527</v>
      </c>
      <c r="O2011" s="2" t="s">
        <v>869</v>
      </c>
      <c r="P2011" s="2" t="s">
        <v>870</v>
      </c>
    </row>
    <row r="2012" ht="15.75" customHeight="1">
      <c r="H2012" s="2" t="s">
        <v>10528</v>
      </c>
      <c r="I2012" s="2" t="s">
        <v>10529</v>
      </c>
      <c r="J2012" s="2" t="s">
        <v>10530</v>
      </c>
      <c r="K2012" s="2" t="s">
        <v>10531</v>
      </c>
      <c r="L2012" s="2" t="s">
        <v>6101</v>
      </c>
      <c r="M2012" s="2" t="s">
        <v>10532</v>
      </c>
      <c r="N2012" s="2" t="s">
        <v>10533</v>
      </c>
      <c r="O2012" s="2" t="s">
        <v>869</v>
      </c>
      <c r="P2012" s="2" t="s">
        <v>870</v>
      </c>
    </row>
    <row r="2013" ht="15.75" customHeight="1">
      <c r="H2013" s="2" t="s">
        <v>10534</v>
      </c>
      <c r="I2013" s="2" t="s">
        <v>10535</v>
      </c>
      <c r="J2013" s="2" t="s">
        <v>10536</v>
      </c>
      <c r="K2013" s="2" t="s">
        <v>10537</v>
      </c>
      <c r="L2013" s="2" t="s">
        <v>6101</v>
      </c>
      <c r="M2013" s="2" t="s">
        <v>10538</v>
      </c>
      <c r="N2013" s="2" t="s">
        <v>10539</v>
      </c>
      <c r="O2013" s="2" t="s">
        <v>10540</v>
      </c>
      <c r="P2013" s="2" t="s">
        <v>869</v>
      </c>
    </row>
    <row r="2014" ht="15.75" customHeight="1">
      <c r="H2014" s="2" t="s">
        <v>10541</v>
      </c>
      <c r="I2014" s="2" t="s">
        <v>10542</v>
      </c>
      <c r="J2014" s="2" t="s">
        <v>10543</v>
      </c>
      <c r="K2014" s="2" t="s">
        <v>10544</v>
      </c>
      <c r="L2014" s="2" t="s">
        <v>6101</v>
      </c>
      <c r="M2014" s="2" t="s">
        <v>10545</v>
      </c>
      <c r="N2014" s="2" t="s">
        <v>10546</v>
      </c>
      <c r="O2014" s="2" t="s">
        <v>10547</v>
      </c>
      <c r="P2014" s="2" t="s">
        <v>869</v>
      </c>
    </row>
    <row r="2015" ht="15.75" customHeight="1">
      <c r="H2015" s="2" t="s">
        <v>10548</v>
      </c>
      <c r="I2015" s="2" t="s">
        <v>4277</v>
      </c>
      <c r="J2015" s="2" t="s">
        <v>4278</v>
      </c>
      <c r="K2015" s="2" t="s">
        <v>10549</v>
      </c>
      <c r="L2015" s="2" t="s">
        <v>6101</v>
      </c>
      <c r="M2015" s="2" t="s">
        <v>10550</v>
      </c>
      <c r="N2015" s="2" t="s">
        <v>10551</v>
      </c>
      <c r="O2015" s="2" t="s">
        <v>869</v>
      </c>
      <c r="P2015" s="2" t="s">
        <v>870</v>
      </c>
    </row>
    <row r="2016" ht="15.75" customHeight="1">
      <c r="H2016" s="2" t="s">
        <v>10552</v>
      </c>
      <c r="I2016" s="2" t="s">
        <v>4282</v>
      </c>
      <c r="J2016" s="2" t="s">
        <v>4283</v>
      </c>
      <c r="K2016" s="2" t="s">
        <v>10553</v>
      </c>
      <c r="L2016" s="2" t="s">
        <v>6101</v>
      </c>
      <c r="M2016" s="2" t="s">
        <v>10554</v>
      </c>
      <c r="N2016" s="2" t="s">
        <v>10555</v>
      </c>
      <c r="O2016" s="2" t="s">
        <v>869</v>
      </c>
      <c r="P2016" s="2" t="s">
        <v>870</v>
      </c>
    </row>
    <row r="2017" ht="15.75" customHeight="1">
      <c r="H2017" s="2" t="s">
        <v>10556</v>
      </c>
      <c r="I2017" s="2" t="s">
        <v>10557</v>
      </c>
      <c r="J2017" s="2" t="s">
        <v>10558</v>
      </c>
      <c r="K2017" s="2" t="s">
        <v>10559</v>
      </c>
      <c r="L2017" s="2" t="s">
        <v>6101</v>
      </c>
      <c r="M2017" s="2" t="s">
        <v>10560</v>
      </c>
      <c r="N2017" s="2" t="s">
        <v>10561</v>
      </c>
      <c r="O2017" s="2" t="s">
        <v>869</v>
      </c>
      <c r="P2017" s="2" t="s">
        <v>870</v>
      </c>
    </row>
    <row r="2018" ht="15.75" customHeight="1">
      <c r="H2018" s="2" t="s">
        <v>10562</v>
      </c>
      <c r="I2018" s="2" t="s">
        <v>10563</v>
      </c>
      <c r="J2018" s="2" t="s">
        <v>10564</v>
      </c>
      <c r="K2018" s="2" t="s">
        <v>10565</v>
      </c>
      <c r="L2018" s="2" t="s">
        <v>6101</v>
      </c>
      <c r="M2018" s="2" t="s">
        <v>10566</v>
      </c>
      <c r="N2018" s="2" t="s">
        <v>10567</v>
      </c>
      <c r="O2018" s="2" t="s">
        <v>869</v>
      </c>
      <c r="P2018" s="2" t="s">
        <v>870</v>
      </c>
    </row>
    <row r="2019" ht="15.75" customHeight="1">
      <c r="H2019" s="2" t="s">
        <v>10568</v>
      </c>
      <c r="I2019" s="2" t="s">
        <v>10569</v>
      </c>
      <c r="J2019" s="2" t="s">
        <v>10570</v>
      </c>
      <c r="K2019" s="2" t="s">
        <v>10571</v>
      </c>
      <c r="L2019" s="2" t="s">
        <v>6101</v>
      </c>
      <c r="M2019" s="2" t="s">
        <v>10572</v>
      </c>
      <c r="N2019" s="2" t="s">
        <v>10573</v>
      </c>
      <c r="O2019" s="2" t="s">
        <v>869</v>
      </c>
      <c r="P2019" s="2" t="s">
        <v>870</v>
      </c>
    </row>
    <row r="2020" ht="15.75" customHeight="1">
      <c r="H2020" s="2" t="s">
        <v>10574</v>
      </c>
      <c r="I2020" s="2" t="s">
        <v>10575</v>
      </c>
      <c r="J2020" s="2" t="s">
        <v>10576</v>
      </c>
      <c r="K2020" s="2" t="s">
        <v>10577</v>
      </c>
      <c r="L2020" s="2" t="s">
        <v>6101</v>
      </c>
      <c r="M2020" s="2" t="s">
        <v>10578</v>
      </c>
      <c r="N2020" s="2" t="s">
        <v>10579</v>
      </c>
      <c r="O2020" s="2" t="s">
        <v>869</v>
      </c>
      <c r="P2020" s="2" t="s">
        <v>870</v>
      </c>
    </row>
    <row r="2021" ht="15.75" customHeight="1">
      <c r="H2021" s="2" t="s">
        <v>10580</v>
      </c>
      <c r="I2021" s="2" t="s">
        <v>10581</v>
      </c>
      <c r="J2021" s="2" t="s">
        <v>10582</v>
      </c>
      <c r="K2021" s="2" t="s">
        <v>10583</v>
      </c>
      <c r="L2021" s="2" t="s">
        <v>6101</v>
      </c>
      <c r="M2021" s="2" t="s">
        <v>10584</v>
      </c>
      <c r="N2021" s="2" t="s">
        <v>10585</v>
      </c>
      <c r="O2021" s="2" t="s">
        <v>10586</v>
      </c>
      <c r="P2021" s="2" t="s">
        <v>869</v>
      </c>
    </row>
    <row r="2022" ht="15.75" customHeight="1">
      <c r="H2022" s="2" t="s">
        <v>10587</v>
      </c>
      <c r="I2022" s="2" t="s">
        <v>10588</v>
      </c>
      <c r="J2022" s="2" t="s">
        <v>10589</v>
      </c>
      <c r="K2022" s="2" t="s">
        <v>10590</v>
      </c>
      <c r="L2022" s="2" t="s">
        <v>6101</v>
      </c>
      <c r="M2022" s="2" t="s">
        <v>10591</v>
      </c>
      <c r="N2022" s="2" t="s">
        <v>10592</v>
      </c>
      <c r="O2022" s="2" t="s">
        <v>869</v>
      </c>
      <c r="P2022" s="2" t="s">
        <v>870</v>
      </c>
    </row>
    <row r="2023" ht="15.75" customHeight="1">
      <c r="H2023" s="2" t="s">
        <v>10593</v>
      </c>
      <c r="I2023" s="2" t="s">
        <v>6442</v>
      </c>
      <c r="J2023" s="2" t="s">
        <v>6443</v>
      </c>
      <c r="K2023" s="2" t="s">
        <v>10594</v>
      </c>
      <c r="L2023" s="2" t="s">
        <v>6101</v>
      </c>
      <c r="M2023" s="2" t="s">
        <v>10595</v>
      </c>
      <c r="N2023" s="2" t="s">
        <v>10596</v>
      </c>
      <c r="O2023" s="2" t="s">
        <v>6446</v>
      </c>
      <c r="P2023" s="2" t="s">
        <v>869</v>
      </c>
    </row>
    <row r="2024" ht="15.75" customHeight="1">
      <c r="H2024" s="2" t="s">
        <v>10597</v>
      </c>
      <c r="I2024" s="2" t="s">
        <v>10598</v>
      </c>
      <c r="J2024" s="2" t="s">
        <v>10599</v>
      </c>
      <c r="K2024" s="2" t="s">
        <v>10600</v>
      </c>
      <c r="L2024" s="2" t="s">
        <v>6101</v>
      </c>
      <c r="M2024" s="2" t="s">
        <v>10601</v>
      </c>
      <c r="N2024" s="2" t="s">
        <v>10602</v>
      </c>
      <c r="O2024" s="2" t="s">
        <v>10603</v>
      </c>
      <c r="P2024" s="2" t="s">
        <v>869</v>
      </c>
    </row>
    <row r="2025" ht="15.75" customHeight="1">
      <c r="H2025" s="2" t="s">
        <v>10604</v>
      </c>
      <c r="I2025" s="2" t="s">
        <v>4323</v>
      </c>
      <c r="J2025" s="2" t="s">
        <v>4324</v>
      </c>
      <c r="K2025" s="2" t="s">
        <v>10605</v>
      </c>
      <c r="L2025" s="2" t="s">
        <v>6101</v>
      </c>
      <c r="M2025" s="2" t="s">
        <v>10606</v>
      </c>
      <c r="N2025" s="2" t="s">
        <v>10607</v>
      </c>
      <c r="O2025" s="2" t="s">
        <v>869</v>
      </c>
      <c r="P2025" s="2" t="s">
        <v>870</v>
      </c>
    </row>
    <row r="2026" ht="15.75" customHeight="1">
      <c r="H2026" s="2" t="s">
        <v>10608</v>
      </c>
      <c r="I2026" s="2" t="s">
        <v>10609</v>
      </c>
      <c r="J2026" s="2" t="s">
        <v>10610</v>
      </c>
      <c r="K2026" s="2" t="s">
        <v>10611</v>
      </c>
      <c r="L2026" s="2" t="s">
        <v>6101</v>
      </c>
      <c r="M2026" s="2" t="s">
        <v>10612</v>
      </c>
      <c r="N2026" s="2" t="s">
        <v>10613</v>
      </c>
      <c r="O2026" s="2" t="s">
        <v>10614</v>
      </c>
      <c r="P2026" s="2" t="s">
        <v>869</v>
      </c>
    </row>
    <row r="2027" ht="15.75" customHeight="1">
      <c r="H2027" s="2" t="s">
        <v>10615</v>
      </c>
      <c r="I2027" s="2" t="s">
        <v>10616</v>
      </c>
      <c r="J2027" s="2" t="s">
        <v>10617</v>
      </c>
      <c r="K2027" s="2" t="s">
        <v>10618</v>
      </c>
      <c r="L2027" s="2" t="s">
        <v>6101</v>
      </c>
      <c r="M2027" s="2" t="s">
        <v>10619</v>
      </c>
      <c r="N2027" s="2" t="s">
        <v>10620</v>
      </c>
      <c r="O2027" s="2" t="s">
        <v>10621</v>
      </c>
      <c r="P2027" s="2" t="s">
        <v>869</v>
      </c>
    </row>
    <row r="2028" ht="15.75" customHeight="1">
      <c r="H2028" s="2" t="s">
        <v>10622</v>
      </c>
      <c r="I2028" s="2" t="s">
        <v>10623</v>
      </c>
      <c r="J2028" s="2" t="s">
        <v>10624</v>
      </c>
      <c r="K2028" s="2" t="s">
        <v>10625</v>
      </c>
      <c r="L2028" s="2" t="s">
        <v>6101</v>
      </c>
      <c r="M2028" s="2" t="s">
        <v>10626</v>
      </c>
      <c r="N2028" s="2" t="s">
        <v>10627</v>
      </c>
      <c r="O2028" s="2" t="s">
        <v>10628</v>
      </c>
      <c r="P2028" s="2" t="s">
        <v>869</v>
      </c>
    </row>
    <row r="2029" ht="15.75" customHeight="1">
      <c r="H2029" s="2" t="s">
        <v>10629</v>
      </c>
      <c r="I2029" s="2" t="s">
        <v>10630</v>
      </c>
      <c r="J2029" s="2" t="s">
        <v>10631</v>
      </c>
      <c r="K2029" s="2" t="s">
        <v>10632</v>
      </c>
      <c r="L2029" s="2" t="s">
        <v>6101</v>
      </c>
      <c r="M2029" s="2" t="s">
        <v>10633</v>
      </c>
      <c r="N2029" s="2" t="s">
        <v>10634</v>
      </c>
      <c r="O2029" s="2" t="s">
        <v>10635</v>
      </c>
      <c r="P2029" s="2" t="s">
        <v>869</v>
      </c>
    </row>
    <row r="2030" ht="15.75" customHeight="1">
      <c r="H2030" s="2" t="s">
        <v>10636</v>
      </c>
      <c r="I2030" s="2" t="s">
        <v>10637</v>
      </c>
      <c r="J2030" s="2" t="s">
        <v>10638</v>
      </c>
      <c r="K2030" s="2" t="s">
        <v>10639</v>
      </c>
      <c r="L2030" s="2" t="s">
        <v>6101</v>
      </c>
      <c r="M2030" s="2" t="s">
        <v>10640</v>
      </c>
      <c r="N2030" s="2" t="s">
        <v>10641</v>
      </c>
      <c r="O2030" s="2" t="s">
        <v>869</v>
      </c>
      <c r="P2030" s="2" t="s">
        <v>870</v>
      </c>
    </row>
    <row r="2031" ht="15.75" customHeight="1">
      <c r="H2031" s="2" t="s">
        <v>10642</v>
      </c>
      <c r="I2031" s="2" t="s">
        <v>10643</v>
      </c>
      <c r="J2031" s="2" t="s">
        <v>10644</v>
      </c>
      <c r="K2031" s="2" t="s">
        <v>10645</v>
      </c>
      <c r="L2031" s="2" t="s">
        <v>6101</v>
      </c>
      <c r="M2031" s="2" t="s">
        <v>10646</v>
      </c>
      <c r="N2031" s="2" t="s">
        <v>10647</v>
      </c>
      <c r="O2031" s="2" t="s">
        <v>869</v>
      </c>
      <c r="P2031" s="2" t="s">
        <v>870</v>
      </c>
    </row>
    <row r="2032" ht="15.75" customHeight="1">
      <c r="H2032" s="2" t="s">
        <v>10648</v>
      </c>
      <c r="I2032" s="2" t="s">
        <v>10649</v>
      </c>
      <c r="J2032" s="2" t="s">
        <v>10650</v>
      </c>
      <c r="K2032" s="2" t="s">
        <v>10651</v>
      </c>
      <c r="L2032" s="2" t="s">
        <v>6101</v>
      </c>
      <c r="M2032" s="2" t="s">
        <v>10652</v>
      </c>
      <c r="N2032" s="2" t="s">
        <v>8653</v>
      </c>
      <c r="O2032" s="2" t="s">
        <v>10653</v>
      </c>
      <c r="P2032" s="2" t="s">
        <v>869</v>
      </c>
    </row>
    <row r="2033" ht="15.75" customHeight="1">
      <c r="F2033" s="2" t="s">
        <v>4491</v>
      </c>
      <c r="H2033" s="2" t="s">
        <v>10654</v>
      </c>
      <c r="I2033" s="2" t="s">
        <v>10655</v>
      </c>
      <c r="J2033" s="2" t="s">
        <v>10656</v>
      </c>
      <c r="K2033" s="2" t="s">
        <v>10657</v>
      </c>
      <c r="L2033" s="2" t="s">
        <v>6101</v>
      </c>
      <c r="M2033" s="2" t="s">
        <v>10658</v>
      </c>
      <c r="N2033" s="2" t="s">
        <v>10659</v>
      </c>
      <c r="O2033" s="2" t="s">
        <v>869</v>
      </c>
      <c r="P2033" s="2" t="s">
        <v>870</v>
      </c>
    </row>
    <row r="2034" ht="15.75" customHeight="1">
      <c r="H2034" s="2" t="s">
        <v>10660</v>
      </c>
      <c r="I2034" s="2" t="s">
        <v>10661</v>
      </c>
      <c r="J2034" s="2" t="s">
        <v>10662</v>
      </c>
      <c r="K2034" s="2" t="s">
        <v>10663</v>
      </c>
      <c r="L2034" s="2" t="s">
        <v>6101</v>
      </c>
      <c r="M2034" s="2" t="s">
        <v>10664</v>
      </c>
      <c r="N2034" s="2" t="s">
        <v>10665</v>
      </c>
      <c r="O2034" s="2" t="s">
        <v>10666</v>
      </c>
      <c r="P2034" s="2" t="s">
        <v>869</v>
      </c>
    </row>
    <row r="2035" ht="15.75" customHeight="1">
      <c r="H2035" s="2" t="s">
        <v>10667</v>
      </c>
      <c r="I2035" s="2" t="s">
        <v>10668</v>
      </c>
      <c r="J2035" s="2" t="s">
        <v>10669</v>
      </c>
      <c r="K2035" s="2" t="s">
        <v>10670</v>
      </c>
      <c r="L2035" s="2" t="s">
        <v>6101</v>
      </c>
      <c r="M2035" s="2" t="s">
        <v>10671</v>
      </c>
      <c r="N2035" s="2" t="s">
        <v>10672</v>
      </c>
      <c r="O2035" s="2" t="s">
        <v>10673</v>
      </c>
      <c r="P2035" s="2" t="s">
        <v>869</v>
      </c>
    </row>
    <row r="2036" ht="15.75" customHeight="1">
      <c r="H2036" s="2" t="s">
        <v>10674</v>
      </c>
      <c r="I2036" s="2" t="s">
        <v>4493</v>
      </c>
      <c r="J2036" s="2" t="s">
        <v>4494</v>
      </c>
      <c r="K2036" s="2" t="s">
        <v>10675</v>
      </c>
      <c r="L2036" s="2" t="s">
        <v>6101</v>
      </c>
      <c r="M2036" s="2" t="s">
        <v>10676</v>
      </c>
      <c r="N2036" s="2" t="s">
        <v>10677</v>
      </c>
      <c r="O2036" s="2" t="s">
        <v>869</v>
      </c>
      <c r="P2036" s="2" t="s">
        <v>870</v>
      </c>
    </row>
    <row r="2037" ht="15.75" customHeight="1">
      <c r="H2037" s="2" t="s">
        <v>10678</v>
      </c>
      <c r="I2037" s="2" t="s">
        <v>10679</v>
      </c>
      <c r="J2037" s="2" t="s">
        <v>10680</v>
      </c>
      <c r="K2037" s="2" t="s">
        <v>10681</v>
      </c>
      <c r="L2037" s="2" t="s">
        <v>6101</v>
      </c>
      <c r="M2037" s="2" t="s">
        <v>10682</v>
      </c>
      <c r="N2037" s="2" t="s">
        <v>10683</v>
      </c>
      <c r="O2037" s="2" t="s">
        <v>10684</v>
      </c>
      <c r="P2037" s="2" t="s">
        <v>869</v>
      </c>
    </row>
    <row r="2038" ht="15.75" customHeight="1">
      <c r="H2038" s="2" t="s">
        <v>10685</v>
      </c>
      <c r="I2038" s="2" t="s">
        <v>10686</v>
      </c>
      <c r="J2038" s="2" t="s">
        <v>10687</v>
      </c>
      <c r="K2038" s="2" t="s">
        <v>10688</v>
      </c>
      <c r="L2038" s="2" t="s">
        <v>6101</v>
      </c>
      <c r="M2038" s="2" t="s">
        <v>10689</v>
      </c>
      <c r="N2038" s="2" t="s">
        <v>10690</v>
      </c>
      <c r="O2038" s="2" t="s">
        <v>10691</v>
      </c>
      <c r="P2038" s="2" t="s">
        <v>869</v>
      </c>
    </row>
    <row r="2039" ht="15.75" customHeight="1">
      <c r="H2039" s="2" t="s">
        <v>10692</v>
      </c>
      <c r="I2039" s="2" t="s">
        <v>10693</v>
      </c>
      <c r="J2039" s="2" t="s">
        <v>10694</v>
      </c>
      <c r="K2039" s="2" t="s">
        <v>10695</v>
      </c>
      <c r="L2039" s="2" t="s">
        <v>6101</v>
      </c>
      <c r="M2039" s="2" t="s">
        <v>10696</v>
      </c>
      <c r="N2039" s="2" t="s">
        <v>10697</v>
      </c>
      <c r="O2039" s="2" t="s">
        <v>10698</v>
      </c>
      <c r="P2039" s="2" t="s">
        <v>869</v>
      </c>
    </row>
    <row r="2040" ht="15.75" customHeight="1">
      <c r="H2040" s="2" t="s">
        <v>10699</v>
      </c>
      <c r="I2040" s="2" t="s">
        <v>10700</v>
      </c>
      <c r="J2040" s="2" t="s">
        <v>10701</v>
      </c>
      <c r="K2040" s="2" t="s">
        <v>10702</v>
      </c>
      <c r="L2040" s="2" t="s">
        <v>6101</v>
      </c>
      <c r="M2040" s="2" t="s">
        <v>10703</v>
      </c>
      <c r="N2040" s="2" t="s">
        <v>10704</v>
      </c>
      <c r="O2040" s="2" t="s">
        <v>869</v>
      </c>
      <c r="P2040" s="2" t="s">
        <v>870</v>
      </c>
    </row>
    <row r="2041" ht="15.75" customHeight="1">
      <c r="H2041" s="2" t="s">
        <v>10705</v>
      </c>
      <c r="I2041" s="2" t="s">
        <v>10706</v>
      </c>
      <c r="J2041" s="2" t="s">
        <v>10707</v>
      </c>
      <c r="K2041" s="2" t="s">
        <v>10708</v>
      </c>
      <c r="L2041" s="2" t="s">
        <v>6101</v>
      </c>
      <c r="M2041" s="2" t="s">
        <v>10709</v>
      </c>
      <c r="N2041" s="2" t="s">
        <v>10710</v>
      </c>
      <c r="O2041" s="2" t="s">
        <v>869</v>
      </c>
      <c r="P2041" s="2" t="s">
        <v>870</v>
      </c>
    </row>
    <row r="2042" ht="15.75" customHeight="1">
      <c r="H2042" s="2" t="s">
        <v>10711</v>
      </c>
      <c r="I2042" s="2" t="s">
        <v>10712</v>
      </c>
      <c r="J2042" s="2" t="s">
        <v>10713</v>
      </c>
      <c r="K2042" s="2" t="s">
        <v>10714</v>
      </c>
      <c r="L2042" s="2" t="s">
        <v>6101</v>
      </c>
      <c r="M2042" s="2" t="s">
        <v>10715</v>
      </c>
      <c r="N2042" s="2" t="s">
        <v>10716</v>
      </c>
      <c r="O2042" s="2" t="s">
        <v>869</v>
      </c>
      <c r="P2042" s="2" t="s">
        <v>870</v>
      </c>
    </row>
    <row r="2043" ht="15.75" customHeight="1">
      <c r="H2043" s="2" t="s">
        <v>10717</v>
      </c>
      <c r="I2043" s="2" t="s">
        <v>10718</v>
      </c>
      <c r="J2043" s="2" t="s">
        <v>10719</v>
      </c>
      <c r="K2043" s="2" t="s">
        <v>10720</v>
      </c>
      <c r="L2043" s="2" t="s">
        <v>6101</v>
      </c>
      <c r="M2043" s="2" t="s">
        <v>10721</v>
      </c>
      <c r="N2043" s="2" t="s">
        <v>10722</v>
      </c>
      <c r="O2043" s="2" t="s">
        <v>10723</v>
      </c>
      <c r="P2043" s="2" t="s">
        <v>869</v>
      </c>
    </row>
    <row r="2044" ht="15.75" customHeight="1">
      <c r="H2044" s="2" t="s">
        <v>10724</v>
      </c>
      <c r="I2044" s="2" t="s">
        <v>4503</v>
      </c>
      <c r="J2044" s="2" t="s">
        <v>4504</v>
      </c>
      <c r="K2044" s="2" t="s">
        <v>10725</v>
      </c>
      <c r="L2044" s="2" t="s">
        <v>6101</v>
      </c>
      <c r="M2044" s="2" t="s">
        <v>10726</v>
      </c>
      <c r="N2044" s="2" t="s">
        <v>10727</v>
      </c>
      <c r="O2044" s="2" t="s">
        <v>869</v>
      </c>
      <c r="P2044" s="2" t="s">
        <v>870</v>
      </c>
    </row>
    <row r="2045" ht="15.75" customHeight="1">
      <c r="H2045" s="2" t="s">
        <v>10728</v>
      </c>
      <c r="I2045" s="2" t="s">
        <v>10729</v>
      </c>
      <c r="J2045" s="2" t="s">
        <v>10730</v>
      </c>
      <c r="K2045" s="2" t="s">
        <v>10731</v>
      </c>
      <c r="L2045" s="2" t="s">
        <v>6101</v>
      </c>
      <c r="M2045" s="2" t="s">
        <v>10732</v>
      </c>
      <c r="N2045" s="2" t="s">
        <v>10733</v>
      </c>
      <c r="O2045" s="2" t="s">
        <v>869</v>
      </c>
      <c r="P2045" s="2" t="s">
        <v>870</v>
      </c>
    </row>
    <row r="2046" ht="15.75" customHeight="1">
      <c r="H2046" s="2" t="s">
        <v>10734</v>
      </c>
      <c r="I2046" s="2" t="s">
        <v>10735</v>
      </c>
      <c r="J2046" s="2" t="s">
        <v>10736</v>
      </c>
      <c r="K2046" s="2" t="s">
        <v>10737</v>
      </c>
      <c r="L2046" s="2" t="s">
        <v>6101</v>
      </c>
      <c r="M2046" s="2" t="s">
        <v>10738</v>
      </c>
      <c r="N2046" s="2" t="s">
        <v>10739</v>
      </c>
      <c r="O2046" s="2" t="s">
        <v>869</v>
      </c>
      <c r="P2046" s="2" t="s">
        <v>870</v>
      </c>
    </row>
    <row r="2047" ht="15.75" customHeight="1">
      <c r="H2047" s="2" t="s">
        <v>10740</v>
      </c>
      <c r="I2047" s="2" t="s">
        <v>10741</v>
      </c>
      <c r="J2047" s="2" t="s">
        <v>10742</v>
      </c>
      <c r="K2047" s="2" t="s">
        <v>10743</v>
      </c>
      <c r="L2047" s="2" t="s">
        <v>6101</v>
      </c>
      <c r="M2047" s="2" t="s">
        <v>10744</v>
      </c>
      <c r="N2047" s="2" t="s">
        <v>10745</v>
      </c>
      <c r="O2047" s="2" t="s">
        <v>869</v>
      </c>
      <c r="P2047" s="2" t="s">
        <v>870</v>
      </c>
    </row>
    <row r="2048" ht="15.75" customHeight="1">
      <c r="H2048" s="2" t="s">
        <v>10746</v>
      </c>
      <c r="I2048" s="2" t="s">
        <v>3033</v>
      </c>
      <c r="J2048" s="2" t="s">
        <v>3034</v>
      </c>
      <c r="K2048" s="2" t="s">
        <v>10747</v>
      </c>
      <c r="L2048" s="2" t="s">
        <v>6101</v>
      </c>
      <c r="M2048" s="2" t="s">
        <v>10748</v>
      </c>
      <c r="N2048" s="2" t="s">
        <v>8711</v>
      </c>
      <c r="O2048" s="2" t="s">
        <v>869</v>
      </c>
      <c r="P2048" s="2" t="s">
        <v>870</v>
      </c>
    </row>
    <row r="2049" ht="15.75" customHeight="1">
      <c r="H2049" s="2" t="s">
        <v>10749</v>
      </c>
      <c r="I2049" s="2" t="s">
        <v>4518</v>
      </c>
      <c r="J2049" s="2" t="s">
        <v>4519</v>
      </c>
      <c r="K2049" s="2" t="s">
        <v>10750</v>
      </c>
      <c r="L2049" s="2" t="s">
        <v>6101</v>
      </c>
      <c r="M2049" s="2" t="s">
        <v>10751</v>
      </c>
      <c r="N2049" s="2" t="s">
        <v>10752</v>
      </c>
      <c r="O2049" s="2" t="s">
        <v>869</v>
      </c>
      <c r="P2049" s="2" t="s">
        <v>870</v>
      </c>
    </row>
    <row r="2050" ht="15.75" customHeight="1">
      <c r="H2050" s="2" t="s">
        <v>10753</v>
      </c>
      <c r="I2050" s="2" t="s">
        <v>10754</v>
      </c>
      <c r="J2050" s="2" t="s">
        <v>10755</v>
      </c>
      <c r="K2050" s="2" t="s">
        <v>10756</v>
      </c>
      <c r="L2050" s="2" t="s">
        <v>6101</v>
      </c>
      <c r="M2050" s="2" t="s">
        <v>10726</v>
      </c>
      <c r="N2050" s="2" t="s">
        <v>10757</v>
      </c>
      <c r="O2050" s="2" t="s">
        <v>869</v>
      </c>
      <c r="P2050" s="2" t="s">
        <v>870</v>
      </c>
    </row>
    <row r="2051" ht="15.75" customHeight="1">
      <c r="H2051" s="2" t="s">
        <v>10758</v>
      </c>
      <c r="I2051" s="2" t="s">
        <v>10759</v>
      </c>
      <c r="J2051" s="2" t="s">
        <v>10760</v>
      </c>
      <c r="K2051" s="2" t="s">
        <v>10761</v>
      </c>
      <c r="L2051" s="2" t="s">
        <v>6101</v>
      </c>
      <c r="M2051" s="2" t="s">
        <v>10762</v>
      </c>
      <c r="N2051" s="2" t="s">
        <v>10763</v>
      </c>
      <c r="O2051" s="2" t="s">
        <v>10764</v>
      </c>
      <c r="P2051" s="2" t="s">
        <v>869</v>
      </c>
    </row>
    <row r="2052" ht="15.75" customHeight="1">
      <c r="H2052" s="2" t="s">
        <v>10765</v>
      </c>
      <c r="I2052" s="2" t="s">
        <v>10766</v>
      </c>
      <c r="J2052" s="2" t="s">
        <v>10767</v>
      </c>
      <c r="K2052" s="2" t="s">
        <v>10768</v>
      </c>
      <c r="L2052" s="2" t="s">
        <v>6101</v>
      </c>
      <c r="M2052" s="2" t="s">
        <v>10769</v>
      </c>
      <c r="N2052" s="2" t="s">
        <v>10770</v>
      </c>
      <c r="O2052" s="2" t="s">
        <v>10771</v>
      </c>
      <c r="P2052" s="2" t="s">
        <v>869</v>
      </c>
    </row>
    <row r="2053" ht="15.75" customHeight="1">
      <c r="H2053" s="2" t="s">
        <v>10772</v>
      </c>
      <c r="I2053" s="2" t="s">
        <v>10773</v>
      </c>
      <c r="J2053" s="2" t="s">
        <v>10774</v>
      </c>
      <c r="K2053" s="2" t="s">
        <v>10775</v>
      </c>
      <c r="L2053" s="2" t="s">
        <v>6101</v>
      </c>
      <c r="M2053" s="2" t="s">
        <v>10776</v>
      </c>
      <c r="N2053" s="2" t="s">
        <v>10777</v>
      </c>
      <c r="O2053" s="2" t="s">
        <v>10778</v>
      </c>
      <c r="P2053" s="2" t="s">
        <v>869</v>
      </c>
    </row>
    <row r="2054" ht="15.75" customHeight="1">
      <c r="H2054" s="2" t="s">
        <v>10779</v>
      </c>
      <c r="I2054" s="2" t="s">
        <v>10780</v>
      </c>
      <c r="J2054" s="2" t="s">
        <v>10781</v>
      </c>
      <c r="K2054" s="2" t="s">
        <v>10782</v>
      </c>
      <c r="L2054" s="2" t="s">
        <v>6101</v>
      </c>
      <c r="M2054" s="2" t="s">
        <v>10783</v>
      </c>
      <c r="N2054" s="2" t="s">
        <v>10784</v>
      </c>
      <c r="O2054" s="2" t="s">
        <v>869</v>
      </c>
      <c r="P2054" s="2" t="s">
        <v>870</v>
      </c>
    </row>
    <row r="2055" ht="15.75" customHeight="1">
      <c r="H2055" s="2" t="s">
        <v>10785</v>
      </c>
      <c r="I2055" s="2" t="s">
        <v>10786</v>
      </c>
      <c r="J2055" s="2" t="s">
        <v>10787</v>
      </c>
      <c r="K2055" s="2" t="s">
        <v>10788</v>
      </c>
      <c r="L2055" s="2" t="s">
        <v>6101</v>
      </c>
      <c r="M2055" s="2" t="s">
        <v>10789</v>
      </c>
      <c r="N2055" s="2" t="s">
        <v>10790</v>
      </c>
      <c r="O2055" s="2" t="s">
        <v>869</v>
      </c>
      <c r="P2055" s="2" t="s">
        <v>870</v>
      </c>
    </row>
    <row r="2056" ht="15.75" customHeight="1">
      <c r="H2056" s="2" t="s">
        <v>10791</v>
      </c>
      <c r="I2056" s="2" t="s">
        <v>10792</v>
      </c>
      <c r="J2056" s="2" t="s">
        <v>10793</v>
      </c>
      <c r="K2056" s="2" t="s">
        <v>10794</v>
      </c>
      <c r="L2056" s="2" t="s">
        <v>6101</v>
      </c>
      <c r="M2056" s="2" t="s">
        <v>10795</v>
      </c>
      <c r="N2056" s="2" t="s">
        <v>10796</v>
      </c>
      <c r="O2056" s="2" t="s">
        <v>10797</v>
      </c>
      <c r="P2056" s="2" t="s">
        <v>869</v>
      </c>
    </row>
    <row r="2057" ht="15.75" customHeight="1">
      <c r="H2057" s="2" t="s">
        <v>10798</v>
      </c>
      <c r="I2057" s="2" t="s">
        <v>10799</v>
      </c>
      <c r="J2057" s="2" t="s">
        <v>10800</v>
      </c>
      <c r="K2057" s="2" t="s">
        <v>10801</v>
      </c>
      <c r="L2057" s="2" t="s">
        <v>6101</v>
      </c>
      <c r="M2057" s="2" t="s">
        <v>10802</v>
      </c>
      <c r="N2057" s="2" t="s">
        <v>10803</v>
      </c>
      <c r="O2057" s="2" t="s">
        <v>869</v>
      </c>
      <c r="P2057" s="2" t="s">
        <v>870</v>
      </c>
    </row>
    <row r="2058" ht="15.75" customHeight="1">
      <c r="F2058" s="2" t="s">
        <v>4544</v>
      </c>
      <c r="H2058" s="2" t="s">
        <v>10804</v>
      </c>
      <c r="I2058" s="2" t="s">
        <v>10805</v>
      </c>
      <c r="J2058" s="2" t="s">
        <v>10806</v>
      </c>
      <c r="K2058" s="2" t="s">
        <v>10807</v>
      </c>
      <c r="L2058" s="2" t="s">
        <v>6101</v>
      </c>
      <c r="M2058" s="2" t="s">
        <v>10808</v>
      </c>
      <c r="N2058" s="2" t="s">
        <v>10809</v>
      </c>
      <c r="O2058" s="2" t="s">
        <v>10810</v>
      </c>
      <c r="P2058" s="2" t="s">
        <v>869</v>
      </c>
    </row>
    <row r="2059" ht="15.75" customHeight="1">
      <c r="H2059" s="2" t="s">
        <v>10811</v>
      </c>
      <c r="I2059" s="2" t="s">
        <v>10812</v>
      </c>
      <c r="J2059" s="2" t="s">
        <v>10813</v>
      </c>
      <c r="K2059" s="2" t="s">
        <v>10814</v>
      </c>
      <c r="L2059" s="2" t="s">
        <v>6101</v>
      </c>
      <c r="M2059" s="2" t="s">
        <v>10815</v>
      </c>
      <c r="N2059" s="2" t="s">
        <v>10816</v>
      </c>
      <c r="O2059" s="2" t="s">
        <v>869</v>
      </c>
      <c r="P2059" s="2" t="s">
        <v>870</v>
      </c>
    </row>
    <row r="2060" ht="15.75" customHeight="1">
      <c r="H2060" s="2" t="s">
        <v>10817</v>
      </c>
      <c r="I2060" s="2" t="s">
        <v>10818</v>
      </c>
      <c r="J2060" s="2" t="s">
        <v>10819</v>
      </c>
      <c r="K2060" s="2" t="s">
        <v>10820</v>
      </c>
      <c r="L2060" s="2" t="s">
        <v>6101</v>
      </c>
      <c r="M2060" s="2" t="s">
        <v>10821</v>
      </c>
      <c r="N2060" s="2" t="s">
        <v>10822</v>
      </c>
      <c r="O2060" s="2" t="s">
        <v>869</v>
      </c>
      <c r="P2060" s="2" t="s">
        <v>870</v>
      </c>
    </row>
    <row r="2061" ht="15.75" customHeight="1">
      <c r="H2061" s="2" t="s">
        <v>10823</v>
      </c>
      <c r="I2061" s="2" t="s">
        <v>4546</v>
      </c>
      <c r="J2061" s="2" t="s">
        <v>4547</v>
      </c>
      <c r="K2061" s="2" t="s">
        <v>10824</v>
      </c>
      <c r="L2061" s="2" t="s">
        <v>6101</v>
      </c>
      <c r="M2061" s="2" t="s">
        <v>10825</v>
      </c>
      <c r="N2061" s="2" t="s">
        <v>10826</v>
      </c>
      <c r="O2061" s="2" t="s">
        <v>869</v>
      </c>
      <c r="P2061" s="2" t="s">
        <v>870</v>
      </c>
    </row>
    <row r="2062" ht="15.75" customHeight="1">
      <c r="H2062" s="2" t="s">
        <v>10827</v>
      </c>
      <c r="I2062" s="2" t="s">
        <v>10828</v>
      </c>
      <c r="J2062" s="2" t="s">
        <v>10829</v>
      </c>
      <c r="K2062" s="2" t="s">
        <v>10830</v>
      </c>
      <c r="L2062" s="2" t="s">
        <v>6101</v>
      </c>
      <c r="M2062" s="2" t="s">
        <v>10831</v>
      </c>
      <c r="N2062" s="2" t="s">
        <v>10832</v>
      </c>
      <c r="O2062" s="2" t="s">
        <v>10833</v>
      </c>
      <c r="P2062" s="2" t="s">
        <v>869</v>
      </c>
    </row>
    <row r="2063" ht="15.75" customHeight="1">
      <c r="H2063" s="2" t="s">
        <v>10834</v>
      </c>
      <c r="I2063" s="2" t="s">
        <v>10835</v>
      </c>
      <c r="J2063" s="2" t="s">
        <v>10836</v>
      </c>
      <c r="K2063" s="2" t="s">
        <v>10837</v>
      </c>
      <c r="L2063" s="2" t="s">
        <v>6101</v>
      </c>
      <c r="M2063" s="2" t="s">
        <v>10838</v>
      </c>
      <c r="N2063" s="2" t="s">
        <v>10839</v>
      </c>
      <c r="O2063" s="2" t="s">
        <v>10840</v>
      </c>
      <c r="P2063" s="2" t="s">
        <v>869</v>
      </c>
    </row>
    <row r="2064" ht="15.75" customHeight="1">
      <c r="H2064" s="2" t="s">
        <v>10841</v>
      </c>
      <c r="I2064" s="2" t="s">
        <v>10842</v>
      </c>
      <c r="J2064" s="2" t="s">
        <v>10843</v>
      </c>
      <c r="K2064" s="2" t="s">
        <v>10844</v>
      </c>
      <c r="L2064" s="2" t="s">
        <v>6101</v>
      </c>
      <c r="M2064" s="2" t="s">
        <v>10845</v>
      </c>
      <c r="N2064" s="2" t="s">
        <v>10846</v>
      </c>
      <c r="O2064" s="2" t="s">
        <v>10847</v>
      </c>
      <c r="P2064" s="2" t="s">
        <v>869</v>
      </c>
    </row>
    <row r="2065" ht="15.75" customHeight="1">
      <c r="H2065" s="2" t="s">
        <v>10848</v>
      </c>
      <c r="I2065" s="2" t="s">
        <v>1629</v>
      </c>
      <c r="J2065" s="2" t="s">
        <v>1630</v>
      </c>
      <c r="K2065" s="2" t="s">
        <v>10849</v>
      </c>
      <c r="L2065" s="2" t="s">
        <v>6101</v>
      </c>
      <c r="M2065" s="2" t="s">
        <v>10850</v>
      </c>
      <c r="N2065" s="2" t="s">
        <v>10425</v>
      </c>
      <c r="O2065" s="2" t="s">
        <v>869</v>
      </c>
      <c r="P2065" s="2" t="s">
        <v>870</v>
      </c>
    </row>
    <row r="2066" ht="15.75" customHeight="1">
      <c r="H2066" s="2" t="s">
        <v>10851</v>
      </c>
      <c r="I2066" s="2" t="s">
        <v>10852</v>
      </c>
      <c r="J2066" s="2" t="s">
        <v>10853</v>
      </c>
      <c r="K2066" s="2" t="s">
        <v>10854</v>
      </c>
      <c r="L2066" s="2" t="s">
        <v>6101</v>
      </c>
      <c r="M2066" s="2" t="s">
        <v>10855</v>
      </c>
      <c r="N2066" s="2" t="s">
        <v>10856</v>
      </c>
      <c r="O2066" s="2" t="s">
        <v>869</v>
      </c>
      <c r="P2066" s="2" t="s">
        <v>870</v>
      </c>
    </row>
    <row r="2067" ht="15.75" customHeight="1">
      <c r="H2067" s="2" t="s">
        <v>10857</v>
      </c>
      <c r="I2067" s="2" t="s">
        <v>10858</v>
      </c>
      <c r="J2067" s="2" t="s">
        <v>10859</v>
      </c>
      <c r="K2067" s="2" t="s">
        <v>10860</v>
      </c>
      <c r="L2067" s="2" t="s">
        <v>6101</v>
      </c>
      <c r="M2067" s="2" t="s">
        <v>10861</v>
      </c>
      <c r="N2067" s="2" t="s">
        <v>10862</v>
      </c>
      <c r="O2067" s="2" t="s">
        <v>869</v>
      </c>
      <c r="P2067" s="2" t="s">
        <v>870</v>
      </c>
    </row>
    <row r="2068" ht="15.75" customHeight="1">
      <c r="H2068" s="2" t="s">
        <v>10863</v>
      </c>
      <c r="I2068" s="2" t="s">
        <v>10864</v>
      </c>
      <c r="J2068" s="2" t="s">
        <v>10865</v>
      </c>
      <c r="K2068" s="2" t="s">
        <v>10866</v>
      </c>
      <c r="L2068" s="2" t="s">
        <v>6101</v>
      </c>
      <c r="M2068" s="2" t="s">
        <v>10867</v>
      </c>
      <c r="N2068" s="2" t="s">
        <v>10868</v>
      </c>
      <c r="O2068" s="2" t="s">
        <v>10869</v>
      </c>
      <c r="P2068" s="2" t="s">
        <v>869</v>
      </c>
    </row>
    <row r="2069" ht="15.75" customHeight="1">
      <c r="H2069" s="2" t="s">
        <v>10870</v>
      </c>
      <c r="I2069" s="2" t="s">
        <v>4551</v>
      </c>
      <c r="J2069" s="2" t="s">
        <v>4552</v>
      </c>
      <c r="K2069" s="2" t="s">
        <v>10871</v>
      </c>
      <c r="L2069" s="2" t="s">
        <v>6101</v>
      </c>
      <c r="M2069" s="2" t="s">
        <v>10872</v>
      </c>
      <c r="N2069" s="2" t="s">
        <v>10873</v>
      </c>
      <c r="O2069" s="2" t="s">
        <v>869</v>
      </c>
      <c r="P2069" s="2" t="s">
        <v>870</v>
      </c>
    </row>
    <row r="2070" ht="15.75" customHeight="1">
      <c r="H2070" s="2" t="s">
        <v>10874</v>
      </c>
      <c r="I2070" s="2" t="s">
        <v>10875</v>
      </c>
      <c r="J2070" s="2" t="s">
        <v>10876</v>
      </c>
      <c r="K2070" s="2" t="s">
        <v>10877</v>
      </c>
      <c r="L2070" s="2" t="s">
        <v>6101</v>
      </c>
      <c r="M2070" s="2" t="s">
        <v>10878</v>
      </c>
      <c r="N2070" s="2" t="s">
        <v>10879</v>
      </c>
      <c r="O2070" s="2" t="s">
        <v>869</v>
      </c>
      <c r="P2070" s="2" t="s">
        <v>870</v>
      </c>
    </row>
    <row r="2071" ht="15.75" customHeight="1">
      <c r="H2071" s="2" t="s">
        <v>10880</v>
      </c>
      <c r="I2071" s="2" t="s">
        <v>10881</v>
      </c>
      <c r="J2071" s="2" t="s">
        <v>10882</v>
      </c>
      <c r="K2071" s="2" t="s">
        <v>10883</v>
      </c>
      <c r="L2071" s="2" t="s">
        <v>6101</v>
      </c>
      <c r="M2071" s="2" t="s">
        <v>10884</v>
      </c>
      <c r="N2071" s="2" t="s">
        <v>10885</v>
      </c>
      <c r="O2071" s="2" t="s">
        <v>869</v>
      </c>
      <c r="P2071" s="2" t="s">
        <v>870</v>
      </c>
    </row>
    <row r="2072" ht="15.75" customHeight="1">
      <c r="H2072" s="2" t="s">
        <v>10886</v>
      </c>
      <c r="I2072" s="2" t="s">
        <v>4556</v>
      </c>
      <c r="J2072" s="2" t="s">
        <v>4557</v>
      </c>
      <c r="K2072" s="2" t="s">
        <v>10887</v>
      </c>
      <c r="L2072" s="2" t="s">
        <v>6101</v>
      </c>
      <c r="M2072" s="2" t="s">
        <v>10888</v>
      </c>
      <c r="N2072" s="2" t="s">
        <v>10889</v>
      </c>
      <c r="O2072" s="2" t="s">
        <v>869</v>
      </c>
      <c r="P2072" s="2" t="s">
        <v>870</v>
      </c>
    </row>
    <row r="2073" ht="15.75" customHeight="1">
      <c r="H2073" s="2" t="s">
        <v>10890</v>
      </c>
      <c r="I2073" s="2" t="s">
        <v>10891</v>
      </c>
      <c r="J2073" s="2" t="s">
        <v>10892</v>
      </c>
      <c r="K2073" s="2" t="s">
        <v>10893</v>
      </c>
      <c r="L2073" s="2" t="s">
        <v>6101</v>
      </c>
      <c r="M2073" s="2" t="s">
        <v>10894</v>
      </c>
      <c r="N2073" s="2" t="s">
        <v>10895</v>
      </c>
      <c r="O2073" s="2" t="s">
        <v>10896</v>
      </c>
      <c r="P2073" s="2" t="s">
        <v>869</v>
      </c>
    </row>
    <row r="2074" ht="15.75" customHeight="1">
      <c r="H2074" s="2" t="s">
        <v>10897</v>
      </c>
      <c r="I2074" s="2" t="s">
        <v>10898</v>
      </c>
      <c r="J2074" s="2" t="s">
        <v>10899</v>
      </c>
      <c r="K2074" s="2" t="s">
        <v>10900</v>
      </c>
      <c r="L2074" s="2" t="s">
        <v>6101</v>
      </c>
      <c r="M2074" s="2" t="s">
        <v>10901</v>
      </c>
      <c r="N2074" s="2" t="s">
        <v>10902</v>
      </c>
      <c r="O2074" s="2" t="s">
        <v>869</v>
      </c>
      <c r="P2074" s="2" t="s">
        <v>870</v>
      </c>
    </row>
    <row r="2075" ht="15.75" customHeight="1">
      <c r="H2075" s="2" t="s">
        <v>10903</v>
      </c>
      <c r="I2075" s="2" t="s">
        <v>4157</v>
      </c>
      <c r="J2075" s="2" t="s">
        <v>4158</v>
      </c>
      <c r="K2075" s="2" t="s">
        <v>10904</v>
      </c>
      <c r="L2075" s="2" t="s">
        <v>6101</v>
      </c>
      <c r="M2075" s="2" t="s">
        <v>10905</v>
      </c>
      <c r="N2075" s="2" t="s">
        <v>10906</v>
      </c>
      <c r="O2075" s="2" t="s">
        <v>869</v>
      </c>
      <c r="P2075" s="2" t="s">
        <v>870</v>
      </c>
    </row>
    <row r="2076" ht="15.75" customHeight="1">
      <c r="H2076" s="2" t="s">
        <v>10907</v>
      </c>
      <c r="I2076" s="2" t="s">
        <v>10908</v>
      </c>
      <c r="J2076" s="2" t="s">
        <v>10909</v>
      </c>
      <c r="K2076" s="2" t="s">
        <v>10910</v>
      </c>
      <c r="L2076" s="2" t="s">
        <v>6101</v>
      </c>
      <c r="M2076" s="2" t="s">
        <v>10911</v>
      </c>
      <c r="N2076" s="2" t="s">
        <v>10912</v>
      </c>
      <c r="O2076" s="2" t="s">
        <v>869</v>
      </c>
      <c r="P2076" s="2" t="s">
        <v>870</v>
      </c>
    </row>
    <row r="2077" ht="15.75" customHeight="1">
      <c r="H2077" s="2" t="s">
        <v>10913</v>
      </c>
      <c r="I2077" s="2" t="s">
        <v>10914</v>
      </c>
      <c r="J2077" s="2" t="s">
        <v>10915</v>
      </c>
      <c r="K2077" s="2" t="s">
        <v>10916</v>
      </c>
      <c r="L2077" s="2" t="s">
        <v>6101</v>
      </c>
      <c r="M2077" s="2" t="s">
        <v>10917</v>
      </c>
      <c r="N2077" s="2" t="s">
        <v>10918</v>
      </c>
      <c r="O2077" s="2" t="s">
        <v>869</v>
      </c>
      <c r="P2077" s="2" t="s">
        <v>870</v>
      </c>
    </row>
    <row r="2078" ht="15.75" customHeight="1">
      <c r="H2078" s="2" t="s">
        <v>10919</v>
      </c>
      <c r="I2078" s="2" t="s">
        <v>10920</v>
      </c>
      <c r="J2078" s="2" t="s">
        <v>10921</v>
      </c>
      <c r="K2078" s="2" t="s">
        <v>10922</v>
      </c>
      <c r="L2078" s="2" t="s">
        <v>6101</v>
      </c>
      <c r="M2078" s="2" t="s">
        <v>10923</v>
      </c>
      <c r="N2078" s="2" t="s">
        <v>10924</v>
      </c>
      <c r="O2078" s="2" t="s">
        <v>869</v>
      </c>
      <c r="P2078" s="2" t="s">
        <v>870</v>
      </c>
    </row>
    <row r="2079" ht="15.75" customHeight="1">
      <c r="H2079" s="2" t="s">
        <v>10925</v>
      </c>
      <c r="I2079" s="2" t="s">
        <v>10926</v>
      </c>
      <c r="J2079" s="2" t="s">
        <v>10927</v>
      </c>
      <c r="K2079" s="2" t="s">
        <v>10928</v>
      </c>
      <c r="L2079" s="2" t="s">
        <v>6101</v>
      </c>
      <c r="M2079" s="2" t="s">
        <v>10929</v>
      </c>
      <c r="N2079" s="2" t="s">
        <v>10930</v>
      </c>
      <c r="O2079" s="2" t="s">
        <v>869</v>
      </c>
      <c r="P2079" s="2" t="s">
        <v>870</v>
      </c>
    </row>
    <row r="2080" ht="15.75" customHeight="1">
      <c r="H2080" s="2" t="s">
        <v>10931</v>
      </c>
      <c r="I2080" s="2" t="s">
        <v>10932</v>
      </c>
      <c r="J2080" s="2" t="s">
        <v>10933</v>
      </c>
      <c r="K2080" s="2" t="s">
        <v>10934</v>
      </c>
      <c r="L2080" s="2" t="s">
        <v>6101</v>
      </c>
      <c r="M2080" s="2" t="s">
        <v>10935</v>
      </c>
      <c r="N2080" s="2" t="s">
        <v>10936</v>
      </c>
      <c r="O2080" s="2" t="s">
        <v>10937</v>
      </c>
      <c r="P2080" s="2" t="s">
        <v>869</v>
      </c>
    </row>
    <row r="2081" ht="15.75" customHeight="1">
      <c r="H2081" s="2" t="s">
        <v>10938</v>
      </c>
      <c r="I2081" s="2" t="s">
        <v>1262</v>
      </c>
      <c r="J2081" s="2" t="s">
        <v>1263</v>
      </c>
      <c r="K2081" s="2" t="s">
        <v>10939</v>
      </c>
      <c r="L2081" s="2" t="s">
        <v>6101</v>
      </c>
      <c r="M2081" s="2" t="s">
        <v>10940</v>
      </c>
      <c r="N2081" s="2" t="s">
        <v>10941</v>
      </c>
      <c r="O2081" s="2" t="s">
        <v>869</v>
      </c>
      <c r="P2081" s="2" t="s">
        <v>870</v>
      </c>
    </row>
    <row r="2082" ht="15.75" customHeight="1">
      <c r="F2082" s="2" t="s">
        <v>4576</v>
      </c>
      <c r="H2082" s="2" t="s">
        <v>10942</v>
      </c>
      <c r="I2082" s="2" t="s">
        <v>10943</v>
      </c>
      <c r="J2082" s="2" t="s">
        <v>10944</v>
      </c>
      <c r="K2082" s="2" t="s">
        <v>10945</v>
      </c>
      <c r="L2082" s="2" t="s">
        <v>6101</v>
      </c>
      <c r="M2082" s="2" t="s">
        <v>10946</v>
      </c>
      <c r="N2082" s="2" t="s">
        <v>10947</v>
      </c>
      <c r="O2082" s="2" t="s">
        <v>869</v>
      </c>
      <c r="P2082" s="2" t="s">
        <v>870</v>
      </c>
    </row>
    <row r="2083" ht="15.75" customHeight="1">
      <c r="H2083" s="2" t="s">
        <v>10948</v>
      </c>
      <c r="I2083" s="2" t="s">
        <v>10949</v>
      </c>
      <c r="J2083" s="2" t="s">
        <v>10950</v>
      </c>
      <c r="K2083" s="2" t="s">
        <v>10951</v>
      </c>
      <c r="L2083" s="2" t="s">
        <v>6101</v>
      </c>
      <c r="M2083" s="2" t="s">
        <v>10952</v>
      </c>
      <c r="N2083" s="2" t="s">
        <v>10953</v>
      </c>
      <c r="O2083" s="2" t="s">
        <v>10954</v>
      </c>
      <c r="P2083" s="2" t="s">
        <v>869</v>
      </c>
    </row>
    <row r="2084" ht="15.75" customHeight="1">
      <c r="H2084" s="2" t="s">
        <v>10955</v>
      </c>
      <c r="I2084" s="2" t="s">
        <v>10956</v>
      </c>
      <c r="J2084" s="2" t="s">
        <v>10957</v>
      </c>
      <c r="K2084" s="2" t="s">
        <v>10958</v>
      </c>
      <c r="L2084" s="2" t="s">
        <v>6101</v>
      </c>
      <c r="M2084" s="2" t="s">
        <v>10959</v>
      </c>
      <c r="N2084" s="2" t="s">
        <v>10960</v>
      </c>
      <c r="O2084" s="2" t="s">
        <v>869</v>
      </c>
      <c r="P2084" s="2" t="s">
        <v>870</v>
      </c>
    </row>
    <row r="2085" ht="15.75" customHeight="1">
      <c r="H2085" s="2" t="s">
        <v>10961</v>
      </c>
      <c r="I2085" s="2" t="s">
        <v>10962</v>
      </c>
      <c r="J2085" s="2" t="s">
        <v>10963</v>
      </c>
      <c r="K2085" s="2" t="s">
        <v>10964</v>
      </c>
      <c r="L2085" s="2" t="s">
        <v>6101</v>
      </c>
      <c r="M2085" s="2" t="s">
        <v>10965</v>
      </c>
      <c r="N2085" s="2" t="s">
        <v>10966</v>
      </c>
      <c r="O2085" s="2" t="s">
        <v>869</v>
      </c>
      <c r="P2085" s="2" t="s">
        <v>870</v>
      </c>
    </row>
    <row r="2086" ht="15.75" customHeight="1">
      <c r="H2086" s="2" t="s">
        <v>10967</v>
      </c>
      <c r="I2086" s="2" t="s">
        <v>10968</v>
      </c>
      <c r="J2086" s="2" t="s">
        <v>10969</v>
      </c>
      <c r="K2086" s="2" t="s">
        <v>10970</v>
      </c>
      <c r="L2086" s="2" t="s">
        <v>6101</v>
      </c>
      <c r="M2086" s="2" t="s">
        <v>10971</v>
      </c>
      <c r="N2086" s="2" t="s">
        <v>10972</v>
      </c>
      <c r="O2086" s="2" t="s">
        <v>10973</v>
      </c>
      <c r="P2086" s="2" t="s">
        <v>869</v>
      </c>
    </row>
    <row r="2087" ht="15.75" customHeight="1">
      <c r="H2087" s="2" t="s">
        <v>10974</v>
      </c>
      <c r="I2087" s="2" t="s">
        <v>10975</v>
      </c>
      <c r="J2087" s="2" t="s">
        <v>10976</v>
      </c>
      <c r="K2087" s="2" t="s">
        <v>10977</v>
      </c>
      <c r="L2087" s="2" t="s">
        <v>6101</v>
      </c>
      <c r="M2087" s="2" t="s">
        <v>10978</v>
      </c>
      <c r="N2087" s="2" t="s">
        <v>10979</v>
      </c>
      <c r="O2087" s="2" t="s">
        <v>10980</v>
      </c>
      <c r="P2087" s="2" t="s">
        <v>869</v>
      </c>
    </row>
    <row r="2088" ht="15.75" customHeight="1">
      <c r="H2088" s="2" t="s">
        <v>10981</v>
      </c>
      <c r="I2088" s="2" t="s">
        <v>10982</v>
      </c>
      <c r="J2088" s="2" t="s">
        <v>10983</v>
      </c>
      <c r="K2088" s="2" t="s">
        <v>10984</v>
      </c>
      <c r="L2088" s="2" t="s">
        <v>6101</v>
      </c>
      <c r="M2088" s="2" t="s">
        <v>10985</v>
      </c>
      <c r="N2088" s="2" t="s">
        <v>10986</v>
      </c>
      <c r="O2088" s="2" t="s">
        <v>869</v>
      </c>
      <c r="P2088" s="2" t="s">
        <v>870</v>
      </c>
    </row>
    <row r="2089" ht="15.75" customHeight="1">
      <c r="H2089" s="2" t="s">
        <v>10987</v>
      </c>
      <c r="I2089" s="2" t="s">
        <v>10988</v>
      </c>
      <c r="J2089" s="2" t="s">
        <v>10989</v>
      </c>
      <c r="K2089" s="2" t="s">
        <v>10990</v>
      </c>
      <c r="L2089" s="2" t="s">
        <v>6101</v>
      </c>
      <c r="M2089" s="2" t="s">
        <v>10991</v>
      </c>
      <c r="N2089" s="2" t="s">
        <v>10992</v>
      </c>
      <c r="O2089" s="2" t="s">
        <v>10993</v>
      </c>
      <c r="P2089" s="2" t="s">
        <v>869</v>
      </c>
    </row>
    <row r="2090" ht="15.75" customHeight="1">
      <c r="H2090" s="2" t="s">
        <v>10994</v>
      </c>
      <c r="I2090" s="2" t="s">
        <v>4584</v>
      </c>
      <c r="J2090" s="2" t="s">
        <v>4585</v>
      </c>
      <c r="K2090" s="2" t="s">
        <v>10995</v>
      </c>
      <c r="L2090" s="2" t="s">
        <v>6101</v>
      </c>
      <c r="M2090" s="2" t="s">
        <v>10996</v>
      </c>
      <c r="N2090" s="2" t="s">
        <v>10997</v>
      </c>
      <c r="O2090" s="2" t="s">
        <v>869</v>
      </c>
      <c r="P2090" s="2" t="s">
        <v>870</v>
      </c>
    </row>
    <row r="2091" ht="15.75" customHeight="1">
      <c r="H2091" s="2" t="s">
        <v>10998</v>
      </c>
      <c r="I2091" s="2" t="s">
        <v>4589</v>
      </c>
      <c r="J2091" s="2" t="s">
        <v>4590</v>
      </c>
      <c r="K2091" s="2" t="s">
        <v>10999</v>
      </c>
      <c r="L2091" s="2" t="s">
        <v>6101</v>
      </c>
      <c r="M2091" s="2" t="s">
        <v>11000</v>
      </c>
      <c r="N2091" s="2" t="s">
        <v>11001</v>
      </c>
      <c r="O2091" s="2" t="s">
        <v>869</v>
      </c>
      <c r="P2091" s="2" t="s">
        <v>870</v>
      </c>
    </row>
    <row r="2092" ht="15.75" customHeight="1">
      <c r="H2092" s="2" t="s">
        <v>11002</v>
      </c>
      <c r="I2092" s="2" t="s">
        <v>11003</v>
      </c>
      <c r="J2092" s="2" t="s">
        <v>11004</v>
      </c>
      <c r="K2092" s="2" t="s">
        <v>11005</v>
      </c>
      <c r="L2092" s="2" t="s">
        <v>6101</v>
      </c>
      <c r="M2092" s="2" t="s">
        <v>11006</v>
      </c>
      <c r="N2092" s="2" t="s">
        <v>11007</v>
      </c>
      <c r="O2092" s="2" t="s">
        <v>869</v>
      </c>
      <c r="P2092" s="2" t="s">
        <v>870</v>
      </c>
    </row>
    <row r="2093" ht="15.75" customHeight="1">
      <c r="H2093" s="2" t="s">
        <v>11008</v>
      </c>
      <c r="I2093" s="2" t="s">
        <v>11009</v>
      </c>
      <c r="J2093" s="2" t="s">
        <v>11010</v>
      </c>
      <c r="K2093" s="2" t="s">
        <v>11011</v>
      </c>
      <c r="L2093" s="2" t="s">
        <v>6101</v>
      </c>
      <c r="M2093" s="2" t="s">
        <v>11012</v>
      </c>
      <c r="N2093" s="2" t="s">
        <v>11013</v>
      </c>
      <c r="O2093" s="2" t="s">
        <v>11014</v>
      </c>
      <c r="P2093" s="2" t="s">
        <v>869</v>
      </c>
    </row>
    <row r="2094" ht="15.75" customHeight="1">
      <c r="H2094" s="2" t="s">
        <v>11015</v>
      </c>
      <c r="I2094" s="2" t="s">
        <v>2815</v>
      </c>
      <c r="J2094" s="2" t="s">
        <v>2816</v>
      </c>
      <c r="K2094" s="2" t="s">
        <v>11016</v>
      </c>
      <c r="L2094" s="2" t="s">
        <v>6101</v>
      </c>
      <c r="M2094" s="2" t="s">
        <v>11017</v>
      </c>
      <c r="N2094" s="2" t="s">
        <v>11018</v>
      </c>
      <c r="O2094" s="2" t="s">
        <v>11019</v>
      </c>
      <c r="P2094" s="2" t="s">
        <v>869</v>
      </c>
    </row>
    <row r="2095" ht="15.75" customHeight="1">
      <c r="F2095" s="2" t="s">
        <v>4677</v>
      </c>
      <c r="H2095" s="2" t="s">
        <v>11020</v>
      </c>
      <c r="I2095" s="2" t="s">
        <v>11021</v>
      </c>
      <c r="J2095" s="2" t="s">
        <v>11022</v>
      </c>
      <c r="K2095" s="2" t="s">
        <v>11023</v>
      </c>
      <c r="L2095" s="2" t="s">
        <v>6101</v>
      </c>
      <c r="M2095" s="2" t="s">
        <v>11024</v>
      </c>
      <c r="N2095" s="2" t="s">
        <v>11025</v>
      </c>
      <c r="O2095" s="2" t="s">
        <v>869</v>
      </c>
      <c r="P2095" s="2" t="s">
        <v>870</v>
      </c>
    </row>
    <row r="2096" ht="15.75" customHeight="1">
      <c r="H2096" s="2" t="s">
        <v>11026</v>
      </c>
      <c r="I2096" s="2" t="s">
        <v>11027</v>
      </c>
      <c r="J2096" s="2" t="s">
        <v>11028</v>
      </c>
      <c r="K2096" s="2" t="s">
        <v>11029</v>
      </c>
      <c r="L2096" s="2" t="s">
        <v>6101</v>
      </c>
      <c r="M2096" s="2" t="s">
        <v>11030</v>
      </c>
      <c r="N2096" s="2" t="s">
        <v>11031</v>
      </c>
      <c r="O2096" s="2" t="s">
        <v>869</v>
      </c>
      <c r="P2096" s="2" t="s">
        <v>870</v>
      </c>
    </row>
    <row r="2097" ht="15.75" customHeight="1">
      <c r="H2097" s="2" t="s">
        <v>11032</v>
      </c>
      <c r="I2097" s="2" t="s">
        <v>11033</v>
      </c>
      <c r="J2097" s="2" t="s">
        <v>11034</v>
      </c>
      <c r="K2097" s="2" t="s">
        <v>11035</v>
      </c>
      <c r="L2097" s="2" t="s">
        <v>6101</v>
      </c>
      <c r="M2097" s="2" t="s">
        <v>11036</v>
      </c>
      <c r="N2097" s="2" t="s">
        <v>11037</v>
      </c>
      <c r="O2097" s="2" t="s">
        <v>869</v>
      </c>
      <c r="P2097" s="2" t="s">
        <v>870</v>
      </c>
    </row>
    <row r="2098" ht="15.75" customHeight="1">
      <c r="H2098" s="2" t="s">
        <v>11038</v>
      </c>
      <c r="I2098" s="2" t="s">
        <v>11039</v>
      </c>
      <c r="J2098" s="2" t="s">
        <v>11040</v>
      </c>
      <c r="K2098" s="2" t="s">
        <v>11041</v>
      </c>
      <c r="L2098" s="2" t="s">
        <v>6101</v>
      </c>
      <c r="M2098" s="2" t="s">
        <v>11042</v>
      </c>
      <c r="N2098" s="2" t="s">
        <v>11043</v>
      </c>
      <c r="O2098" s="2" t="s">
        <v>869</v>
      </c>
      <c r="P2098" s="2" t="s">
        <v>870</v>
      </c>
    </row>
    <row r="2099" ht="15.75" customHeight="1">
      <c r="H2099" s="2" t="s">
        <v>11044</v>
      </c>
      <c r="I2099" s="2" t="s">
        <v>4689</v>
      </c>
      <c r="J2099" s="2" t="s">
        <v>4690</v>
      </c>
      <c r="K2099" s="2" t="s">
        <v>11045</v>
      </c>
      <c r="L2099" s="2" t="s">
        <v>6101</v>
      </c>
      <c r="M2099" s="2" t="s">
        <v>11046</v>
      </c>
      <c r="N2099" s="2" t="s">
        <v>11047</v>
      </c>
      <c r="O2099" s="2" t="s">
        <v>869</v>
      </c>
      <c r="P2099" s="2" t="s">
        <v>870</v>
      </c>
    </row>
    <row r="2100" ht="15.75" customHeight="1">
      <c r="H2100" s="2" t="s">
        <v>11048</v>
      </c>
      <c r="I2100" s="2" t="s">
        <v>11049</v>
      </c>
      <c r="J2100" s="2" t="s">
        <v>11050</v>
      </c>
      <c r="K2100" s="2" t="s">
        <v>11051</v>
      </c>
      <c r="L2100" s="2" t="s">
        <v>6101</v>
      </c>
      <c r="M2100" s="2" t="s">
        <v>11052</v>
      </c>
      <c r="N2100" s="2" t="s">
        <v>11053</v>
      </c>
      <c r="O2100" s="2" t="s">
        <v>869</v>
      </c>
      <c r="P2100" s="2" t="s">
        <v>870</v>
      </c>
    </row>
    <row r="2101" ht="15.75" customHeight="1">
      <c r="H2101" s="2" t="s">
        <v>11054</v>
      </c>
      <c r="I2101" s="2" t="s">
        <v>11055</v>
      </c>
      <c r="J2101" s="2" t="s">
        <v>11056</v>
      </c>
      <c r="K2101" s="2" t="s">
        <v>11057</v>
      </c>
      <c r="L2101" s="2" t="s">
        <v>6101</v>
      </c>
      <c r="M2101" s="2" t="s">
        <v>11058</v>
      </c>
      <c r="N2101" s="2" t="s">
        <v>11059</v>
      </c>
      <c r="O2101" s="2" t="s">
        <v>11060</v>
      </c>
      <c r="P2101" s="2" t="s">
        <v>869</v>
      </c>
    </row>
    <row r="2102" ht="15.75" customHeight="1">
      <c r="H2102" s="2" t="s">
        <v>11061</v>
      </c>
      <c r="I2102" s="2" t="s">
        <v>11062</v>
      </c>
      <c r="J2102" s="2" t="s">
        <v>11063</v>
      </c>
      <c r="K2102" s="2" t="s">
        <v>11064</v>
      </c>
      <c r="L2102" s="2" t="s">
        <v>6101</v>
      </c>
      <c r="M2102" s="2" t="s">
        <v>11065</v>
      </c>
      <c r="N2102" s="2" t="s">
        <v>11066</v>
      </c>
      <c r="O2102" s="2" t="s">
        <v>869</v>
      </c>
      <c r="P2102" s="2" t="s">
        <v>870</v>
      </c>
    </row>
    <row r="2103" ht="15.75" customHeight="1">
      <c r="H2103" s="2" t="s">
        <v>11067</v>
      </c>
      <c r="I2103" s="2" t="s">
        <v>11068</v>
      </c>
      <c r="J2103" s="2" t="s">
        <v>11069</v>
      </c>
      <c r="K2103" s="2" t="s">
        <v>11070</v>
      </c>
      <c r="L2103" s="2" t="s">
        <v>6101</v>
      </c>
      <c r="M2103" s="2" t="s">
        <v>11071</v>
      </c>
      <c r="N2103" s="2" t="s">
        <v>11072</v>
      </c>
      <c r="O2103" s="2" t="s">
        <v>11073</v>
      </c>
      <c r="P2103" s="2" t="s">
        <v>869</v>
      </c>
    </row>
    <row r="2104" ht="15.75" customHeight="1">
      <c r="H2104" s="2" t="s">
        <v>11074</v>
      </c>
      <c r="I2104" s="2" t="s">
        <v>11075</v>
      </c>
      <c r="J2104" s="2" t="s">
        <v>11076</v>
      </c>
      <c r="K2104" s="2" t="s">
        <v>11077</v>
      </c>
      <c r="L2104" s="2" t="s">
        <v>6101</v>
      </c>
      <c r="M2104" s="2" t="s">
        <v>11078</v>
      </c>
      <c r="N2104" s="2" t="s">
        <v>11079</v>
      </c>
      <c r="O2104" s="2" t="s">
        <v>11080</v>
      </c>
      <c r="P2104" s="2" t="s">
        <v>869</v>
      </c>
    </row>
    <row r="2105" ht="15.75" customHeight="1">
      <c r="H2105" s="2" t="s">
        <v>11081</v>
      </c>
      <c r="I2105" s="2" t="s">
        <v>4694</v>
      </c>
      <c r="J2105" s="2" t="s">
        <v>4695</v>
      </c>
      <c r="K2105" s="2" t="s">
        <v>11082</v>
      </c>
      <c r="L2105" s="2" t="s">
        <v>6101</v>
      </c>
      <c r="M2105" s="2" t="s">
        <v>4696</v>
      </c>
      <c r="N2105" s="2" t="s">
        <v>11047</v>
      </c>
      <c r="O2105" s="2" t="s">
        <v>869</v>
      </c>
      <c r="P2105" s="2" t="s">
        <v>870</v>
      </c>
    </row>
    <row r="2106" ht="15.75" customHeight="1">
      <c r="F2106" s="2" t="s">
        <v>773</v>
      </c>
      <c r="H2106" s="2" t="s">
        <v>11083</v>
      </c>
      <c r="I2106" s="2" t="s">
        <v>11084</v>
      </c>
      <c r="J2106" s="2" t="s">
        <v>11085</v>
      </c>
      <c r="K2106" s="2" t="s">
        <v>11086</v>
      </c>
      <c r="L2106" s="2" t="s">
        <v>6101</v>
      </c>
      <c r="M2106" s="2" t="s">
        <v>11087</v>
      </c>
      <c r="N2106" s="2" t="s">
        <v>11088</v>
      </c>
      <c r="O2106" s="2" t="s">
        <v>869</v>
      </c>
      <c r="P2106" s="2" t="s">
        <v>870</v>
      </c>
    </row>
    <row r="2107" ht="15.75" customHeight="1">
      <c r="H2107" s="2" t="s">
        <v>11089</v>
      </c>
      <c r="I2107" s="2" t="s">
        <v>8880</v>
      </c>
      <c r="J2107" s="2" t="s">
        <v>8881</v>
      </c>
      <c r="K2107" s="2" t="s">
        <v>11090</v>
      </c>
      <c r="L2107" s="2" t="s">
        <v>6101</v>
      </c>
      <c r="M2107" s="2" t="s">
        <v>11091</v>
      </c>
      <c r="N2107" s="2" t="s">
        <v>8884</v>
      </c>
      <c r="O2107" s="2" t="s">
        <v>11092</v>
      </c>
      <c r="P2107" s="2" t="s">
        <v>869</v>
      </c>
    </row>
    <row r="2108" ht="15.75" customHeight="1">
      <c r="H2108" s="2" t="s">
        <v>11093</v>
      </c>
      <c r="I2108" s="2" t="s">
        <v>11094</v>
      </c>
      <c r="J2108" s="2" t="s">
        <v>11095</v>
      </c>
      <c r="K2108" s="2" t="s">
        <v>11096</v>
      </c>
      <c r="L2108" s="2" t="s">
        <v>6101</v>
      </c>
      <c r="M2108" s="2" t="s">
        <v>11097</v>
      </c>
      <c r="N2108" s="2" t="s">
        <v>11098</v>
      </c>
      <c r="O2108" s="2" t="s">
        <v>11099</v>
      </c>
      <c r="P2108" s="2" t="s">
        <v>869</v>
      </c>
    </row>
    <row r="2109" ht="15.75" customHeight="1">
      <c r="H2109" s="2" t="s">
        <v>11100</v>
      </c>
      <c r="I2109" s="2" t="s">
        <v>11101</v>
      </c>
      <c r="J2109" s="2" t="s">
        <v>11102</v>
      </c>
      <c r="K2109" s="2" t="s">
        <v>11103</v>
      </c>
      <c r="L2109" s="2" t="s">
        <v>6101</v>
      </c>
      <c r="M2109" s="2" t="s">
        <v>11104</v>
      </c>
      <c r="N2109" s="2" t="s">
        <v>11105</v>
      </c>
      <c r="O2109" s="2" t="s">
        <v>869</v>
      </c>
      <c r="P2109" s="2" t="s">
        <v>870</v>
      </c>
    </row>
    <row r="2110" ht="15.75" customHeight="1">
      <c r="H2110" s="2" t="s">
        <v>11106</v>
      </c>
      <c r="I2110" s="2" t="s">
        <v>11107</v>
      </c>
      <c r="J2110" s="2" t="s">
        <v>11108</v>
      </c>
      <c r="K2110" s="2" t="s">
        <v>11109</v>
      </c>
      <c r="L2110" s="2" t="s">
        <v>6101</v>
      </c>
      <c r="M2110" s="2" t="s">
        <v>11110</v>
      </c>
      <c r="N2110" s="2" t="s">
        <v>11111</v>
      </c>
      <c r="O2110" s="2" t="s">
        <v>11112</v>
      </c>
      <c r="P2110" s="2" t="s">
        <v>869</v>
      </c>
    </row>
    <row r="2111" ht="15.75" customHeight="1">
      <c r="H2111" s="2" t="s">
        <v>11113</v>
      </c>
      <c r="I2111" s="2" t="s">
        <v>11114</v>
      </c>
      <c r="J2111" s="2" t="s">
        <v>11115</v>
      </c>
      <c r="K2111" s="2" t="s">
        <v>11116</v>
      </c>
      <c r="L2111" s="2" t="s">
        <v>6101</v>
      </c>
      <c r="M2111" s="2" t="s">
        <v>11117</v>
      </c>
      <c r="N2111" s="2" t="s">
        <v>11118</v>
      </c>
      <c r="O2111" s="2" t="s">
        <v>869</v>
      </c>
      <c r="P2111" s="2" t="s">
        <v>870</v>
      </c>
    </row>
    <row r="2112" ht="15.75" customHeight="1">
      <c r="H2112" s="2" t="s">
        <v>11119</v>
      </c>
      <c r="I2112" s="2" t="s">
        <v>11120</v>
      </c>
      <c r="J2112" s="2" t="s">
        <v>11121</v>
      </c>
      <c r="K2112" s="2" t="s">
        <v>11122</v>
      </c>
      <c r="L2112" s="2" t="s">
        <v>6101</v>
      </c>
      <c r="M2112" s="2" t="s">
        <v>11123</v>
      </c>
      <c r="N2112" s="2" t="s">
        <v>11124</v>
      </c>
      <c r="O2112" s="2" t="s">
        <v>869</v>
      </c>
      <c r="P2112" s="2" t="s">
        <v>870</v>
      </c>
    </row>
    <row r="2113" ht="15.75" customHeight="1">
      <c r="H2113" s="2" t="s">
        <v>11125</v>
      </c>
      <c r="I2113" s="2" t="s">
        <v>11126</v>
      </c>
      <c r="J2113" s="2" t="s">
        <v>11127</v>
      </c>
      <c r="K2113" s="2" t="s">
        <v>11128</v>
      </c>
      <c r="L2113" s="2" t="s">
        <v>6101</v>
      </c>
      <c r="M2113" s="2" t="s">
        <v>11129</v>
      </c>
      <c r="N2113" s="2" t="s">
        <v>11130</v>
      </c>
      <c r="O2113" s="2" t="s">
        <v>869</v>
      </c>
      <c r="P2113" s="2" t="s">
        <v>870</v>
      </c>
    </row>
    <row r="2114" ht="15.75" customHeight="1">
      <c r="H2114" s="2" t="s">
        <v>11131</v>
      </c>
      <c r="I2114" s="2" t="s">
        <v>3110</v>
      </c>
      <c r="J2114" s="2" t="s">
        <v>3111</v>
      </c>
      <c r="K2114" s="2" t="s">
        <v>11132</v>
      </c>
      <c r="L2114" s="2" t="s">
        <v>6101</v>
      </c>
      <c r="M2114" s="2" t="s">
        <v>11133</v>
      </c>
      <c r="N2114" s="2" t="s">
        <v>11134</v>
      </c>
      <c r="O2114" s="2" t="s">
        <v>869</v>
      </c>
      <c r="P2114" s="2" t="s">
        <v>870</v>
      </c>
    </row>
    <row r="2115" ht="15.75" customHeight="1">
      <c r="H2115" s="2" t="s">
        <v>11135</v>
      </c>
      <c r="I2115" s="2" t="s">
        <v>11136</v>
      </c>
      <c r="J2115" s="2" t="s">
        <v>11137</v>
      </c>
      <c r="K2115" s="2" t="s">
        <v>11138</v>
      </c>
      <c r="L2115" s="2" t="s">
        <v>6101</v>
      </c>
      <c r="M2115" s="2" t="s">
        <v>11139</v>
      </c>
      <c r="N2115" s="2" t="s">
        <v>11140</v>
      </c>
      <c r="O2115" s="2" t="s">
        <v>11141</v>
      </c>
      <c r="P2115" s="2" t="s">
        <v>869</v>
      </c>
    </row>
    <row r="2116" ht="15.75" customHeight="1">
      <c r="H2116" s="2" t="s">
        <v>11142</v>
      </c>
      <c r="I2116" s="2" t="s">
        <v>11143</v>
      </c>
      <c r="J2116" s="2" t="s">
        <v>11144</v>
      </c>
      <c r="K2116" s="2" t="s">
        <v>11145</v>
      </c>
      <c r="L2116" s="2" t="s">
        <v>6101</v>
      </c>
      <c r="M2116" s="2" t="s">
        <v>11146</v>
      </c>
      <c r="N2116" s="2" t="s">
        <v>11147</v>
      </c>
      <c r="O2116" s="2" t="s">
        <v>869</v>
      </c>
      <c r="P2116" s="2" t="s">
        <v>870</v>
      </c>
    </row>
    <row r="2117" ht="15.75" customHeight="1">
      <c r="H2117" s="2" t="s">
        <v>11148</v>
      </c>
      <c r="I2117" s="2" t="s">
        <v>11149</v>
      </c>
      <c r="J2117" s="2" t="s">
        <v>11150</v>
      </c>
      <c r="K2117" s="2" t="s">
        <v>11151</v>
      </c>
      <c r="L2117" s="2" t="s">
        <v>6101</v>
      </c>
      <c r="M2117" s="2" t="s">
        <v>11152</v>
      </c>
      <c r="N2117" s="2" t="s">
        <v>11153</v>
      </c>
      <c r="O2117" s="2" t="s">
        <v>11154</v>
      </c>
      <c r="P2117" s="2" t="s">
        <v>869</v>
      </c>
    </row>
    <row r="2118" ht="15.75" customHeight="1">
      <c r="H2118" s="2" t="s">
        <v>11155</v>
      </c>
      <c r="I2118" s="2" t="s">
        <v>5235</v>
      </c>
      <c r="J2118" s="2" t="s">
        <v>5236</v>
      </c>
      <c r="K2118" s="2" t="s">
        <v>11156</v>
      </c>
      <c r="L2118" s="2" t="s">
        <v>6101</v>
      </c>
      <c r="M2118" s="2" t="s">
        <v>11157</v>
      </c>
      <c r="N2118" s="2" t="s">
        <v>11158</v>
      </c>
      <c r="O2118" s="2" t="s">
        <v>869</v>
      </c>
      <c r="P2118" s="2" t="s">
        <v>870</v>
      </c>
    </row>
    <row r="2119" ht="15.75" customHeight="1">
      <c r="H2119" s="2" t="s">
        <v>11159</v>
      </c>
      <c r="I2119" s="2" t="s">
        <v>775</v>
      </c>
      <c r="J2119" s="2" t="s">
        <v>776</v>
      </c>
      <c r="K2119" s="2" t="s">
        <v>11160</v>
      </c>
      <c r="L2119" s="2" t="s">
        <v>6101</v>
      </c>
      <c r="M2119" s="2" t="s">
        <v>11161</v>
      </c>
      <c r="N2119" s="2" t="s">
        <v>11162</v>
      </c>
      <c r="O2119" s="2" t="s">
        <v>11163</v>
      </c>
      <c r="P2119" s="2" t="s">
        <v>869</v>
      </c>
    </row>
    <row r="2120" ht="15.75" customHeight="1">
      <c r="H2120" s="2" t="s">
        <v>11164</v>
      </c>
      <c r="I2120" s="2" t="s">
        <v>4798</v>
      </c>
      <c r="J2120" s="2" t="s">
        <v>4799</v>
      </c>
      <c r="K2120" s="2" t="s">
        <v>11165</v>
      </c>
      <c r="L2120" s="2" t="s">
        <v>6101</v>
      </c>
      <c r="M2120" s="2" t="s">
        <v>11166</v>
      </c>
      <c r="N2120" s="2" t="s">
        <v>11167</v>
      </c>
      <c r="O2120" s="2" t="s">
        <v>869</v>
      </c>
      <c r="P2120" s="2" t="s">
        <v>870</v>
      </c>
    </row>
    <row r="2121" ht="15.75" customHeight="1">
      <c r="H2121" s="2" t="s">
        <v>11168</v>
      </c>
      <c r="I2121" s="2" t="s">
        <v>11169</v>
      </c>
      <c r="J2121" s="2" t="s">
        <v>11170</v>
      </c>
      <c r="K2121" s="2" t="s">
        <v>11171</v>
      </c>
      <c r="L2121" s="2" t="s">
        <v>6101</v>
      </c>
      <c r="M2121" s="2" t="s">
        <v>11172</v>
      </c>
      <c r="N2121" s="2" t="s">
        <v>11173</v>
      </c>
      <c r="O2121" s="2" t="s">
        <v>11174</v>
      </c>
      <c r="P2121" s="2" t="s">
        <v>869</v>
      </c>
    </row>
    <row r="2122" ht="15.75" customHeight="1">
      <c r="H2122" s="2" t="s">
        <v>11175</v>
      </c>
      <c r="I2122" s="2" t="s">
        <v>11176</v>
      </c>
      <c r="J2122" s="2" t="s">
        <v>11177</v>
      </c>
      <c r="K2122" s="2" t="s">
        <v>11178</v>
      </c>
      <c r="L2122" s="2" t="s">
        <v>6101</v>
      </c>
      <c r="M2122" s="2" t="s">
        <v>11179</v>
      </c>
      <c r="N2122" s="2" t="s">
        <v>11180</v>
      </c>
      <c r="O2122" s="2" t="s">
        <v>869</v>
      </c>
      <c r="P2122" s="2" t="s">
        <v>870</v>
      </c>
    </row>
    <row r="2123" ht="15.75" customHeight="1">
      <c r="F2123" s="2" t="s">
        <v>4802</v>
      </c>
      <c r="H2123" s="2" t="s">
        <v>11181</v>
      </c>
      <c r="I2123" s="2" t="s">
        <v>11182</v>
      </c>
      <c r="J2123" s="2" t="s">
        <v>11183</v>
      </c>
      <c r="K2123" s="2" t="s">
        <v>11184</v>
      </c>
      <c r="L2123" s="2" t="s">
        <v>6101</v>
      </c>
      <c r="M2123" s="2" t="s">
        <v>11185</v>
      </c>
      <c r="N2123" s="2" t="s">
        <v>11186</v>
      </c>
      <c r="O2123" s="2" t="s">
        <v>869</v>
      </c>
      <c r="P2123" s="2" t="s">
        <v>870</v>
      </c>
    </row>
    <row r="2124" ht="15.75" customHeight="1">
      <c r="H2124" s="2" t="s">
        <v>11187</v>
      </c>
      <c r="I2124" s="2" t="s">
        <v>11188</v>
      </c>
      <c r="J2124" s="2" t="s">
        <v>11189</v>
      </c>
      <c r="K2124" s="2" t="s">
        <v>11190</v>
      </c>
      <c r="L2124" s="2" t="s">
        <v>6101</v>
      </c>
      <c r="M2124" s="2" t="s">
        <v>11191</v>
      </c>
      <c r="N2124" s="2" t="s">
        <v>11192</v>
      </c>
      <c r="O2124" s="2" t="s">
        <v>11193</v>
      </c>
      <c r="P2124" s="2" t="s">
        <v>869</v>
      </c>
    </row>
    <row r="2125" ht="15.75" customHeight="1">
      <c r="H2125" s="2" t="s">
        <v>11194</v>
      </c>
      <c r="I2125" s="2" t="s">
        <v>11195</v>
      </c>
      <c r="J2125" s="2" t="s">
        <v>11196</v>
      </c>
      <c r="K2125" s="2" t="s">
        <v>11197</v>
      </c>
      <c r="L2125" s="2" t="s">
        <v>6101</v>
      </c>
      <c r="M2125" s="2" t="s">
        <v>11198</v>
      </c>
      <c r="N2125" s="2" t="s">
        <v>11199</v>
      </c>
      <c r="O2125" s="2" t="s">
        <v>869</v>
      </c>
      <c r="P2125" s="2" t="s">
        <v>870</v>
      </c>
    </row>
    <row r="2126" ht="15.75" customHeight="1">
      <c r="H2126" s="2" t="s">
        <v>11200</v>
      </c>
      <c r="I2126" s="2" t="s">
        <v>4804</v>
      </c>
      <c r="J2126" s="2" t="s">
        <v>4805</v>
      </c>
      <c r="K2126" s="2" t="s">
        <v>11201</v>
      </c>
      <c r="L2126" s="2" t="s">
        <v>6101</v>
      </c>
      <c r="M2126" s="2" t="s">
        <v>11202</v>
      </c>
      <c r="N2126" s="2" t="s">
        <v>11203</v>
      </c>
      <c r="O2126" s="2" t="s">
        <v>869</v>
      </c>
      <c r="P2126" s="2" t="s">
        <v>870</v>
      </c>
    </row>
    <row r="2127" ht="15.75" customHeight="1">
      <c r="H2127" s="2" t="s">
        <v>11204</v>
      </c>
      <c r="I2127" s="2" t="s">
        <v>11205</v>
      </c>
      <c r="J2127" s="2" t="s">
        <v>11206</v>
      </c>
      <c r="K2127" s="2" t="s">
        <v>11207</v>
      </c>
      <c r="L2127" s="2" t="s">
        <v>6101</v>
      </c>
      <c r="M2127" s="2" t="s">
        <v>11208</v>
      </c>
      <c r="N2127" s="2" t="s">
        <v>11209</v>
      </c>
      <c r="O2127" s="2" t="s">
        <v>869</v>
      </c>
      <c r="P2127" s="2" t="s">
        <v>870</v>
      </c>
    </row>
    <row r="2128" ht="15.75" customHeight="1">
      <c r="H2128" s="2" t="s">
        <v>11210</v>
      </c>
      <c r="I2128" s="2" t="s">
        <v>11211</v>
      </c>
      <c r="J2128" s="2" t="s">
        <v>11212</v>
      </c>
      <c r="K2128" s="2" t="s">
        <v>11213</v>
      </c>
      <c r="L2128" s="2" t="s">
        <v>6101</v>
      </c>
      <c r="M2128" s="2" t="s">
        <v>11214</v>
      </c>
      <c r="N2128" s="2" t="s">
        <v>11215</v>
      </c>
      <c r="O2128" s="2" t="s">
        <v>11216</v>
      </c>
      <c r="P2128" s="2" t="s">
        <v>869</v>
      </c>
    </row>
    <row r="2129" ht="15.75" customHeight="1">
      <c r="H2129" s="2" t="s">
        <v>11217</v>
      </c>
      <c r="I2129" s="2" t="s">
        <v>11218</v>
      </c>
      <c r="J2129" s="2" t="s">
        <v>11218</v>
      </c>
      <c r="K2129" s="2" t="s">
        <v>280</v>
      </c>
    </row>
    <row r="2130" ht="15.75" customHeight="1">
      <c r="H2130" s="2" t="s">
        <v>11219</v>
      </c>
      <c r="I2130" s="2" t="s">
        <v>11220</v>
      </c>
      <c r="J2130" s="2" t="s">
        <v>11221</v>
      </c>
      <c r="K2130" s="2" t="s">
        <v>11222</v>
      </c>
      <c r="L2130" s="2" t="s">
        <v>6101</v>
      </c>
      <c r="M2130" s="2" t="s">
        <v>11223</v>
      </c>
      <c r="N2130" s="2" t="s">
        <v>11224</v>
      </c>
      <c r="O2130" s="2" t="s">
        <v>869</v>
      </c>
      <c r="P2130" s="2" t="s">
        <v>870</v>
      </c>
    </row>
    <row r="2131" ht="15.75" customHeight="1">
      <c r="H2131" s="2" t="s">
        <v>11225</v>
      </c>
      <c r="I2131" s="2" t="s">
        <v>11226</v>
      </c>
      <c r="J2131" s="2" t="s">
        <v>11227</v>
      </c>
      <c r="K2131" s="2" t="s">
        <v>11228</v>
      </c>
      <c r="L2131" s="2" t="s">
        <v>6101</v>
      </c>
      <c r="M2131" s="2" t="s">
        <v>11229</v>
      </c>
      <c r="N2131" s="2" t="s">
        <v>11230</v>
      </c>
      <c r="O2131" s="2" t="s">
        <v>11231</v>
      </c>
      <c r="P2131" s="2" t="s">
        <v>869</v>
      </c>
    </row>
    <row r="2132" ht="15.75" customHeight="1">
      <c r="H2132" s="2" t="s">
        <v>11232</v>
      </c>
      <c r="I2132" s="2" t="s">
        <v>11233</v>
      </c>
      <c r="J2132" s="2" t="s">
        <v>11234</v>
      </c>
      <c r="K2132" s="2" t="s">
        <v>11235</v>
      </c>
      <c r="L2132" s="2" t="s">
        <v>6101</v>
      </c>
      <c r="M2132" s="2" t="s">
        <v>11236</v>
      </c>
      <c r="N2132" s="2" t="s">
        <v>11237</v>
      </c>
      <c r="O2132" s="2" t="s">
        <v>11238</v>
      </c>
      <c r="P2132" s="2" t="s">
        <v>869</v>
      </c>
    </row>
    <row r="2133" ht="15.75" customHeight="1">
      <c r="H2133" s="2" t="s">
        <v>11239</v>
      </c>
      <c r="I2133" s="2" t="s">
        <v>11240</v>
      </c>
      <c r="J2133" s="2" t="s">
        <v>11241</v>
      </c>
      <c r="K2133" s="2" t="s">
        <v>11242</v>
      </c>
      <c r="L2133" s="2" t="s">
        <v>6101</v>
      </c>
      <c r="M2133" s="2" t="s">
        <v>11243</v>
      </c>
      <c r="N2133" s="2" t="s">
        <v>11244</v>
      </c>
      <c r="O2133" s="2" t="s">
        <v>869</v>
      </c>
      <c r="P2133" s="2" t="s">
        <v>870</v>
      </c>
    </row>
    <row r="2134" ht="15.75" customHeight="1">
      <c r="H2134" s="2" t="s">
        <v>11245</v>
      </c>
      <c r="I2134" s="2" t="s">
        <v>11246</v>
      </c>
      <c r="J2134" s="2" t="s">
        <v>11247</v>
      </c>
      <c r="K2134" s="2" t="s">
        <v>11248</v>
      </c>
      <c r="L2134" s="2" t="s">
        <v>6101</v>
      </c>
      <c r="M2134" s="2" t="s">
        <v>11249</v>
      </c>
      <c r="N2134" s="2" t="s">
        <v>11250</v>
      </c>
      <c r="O2134" s="2" t="s">
        <v>11251</v>
      </c>
      <c r="P2134" s="2" t="s">
        <v>869</v>
      </c>
    </row>
    <row r="2135" ht="15.75" customHeight="1">
      <c r="H2135" s="2" t="s">
        <v>11252</v>
      </c>
      <c r="I2135" s="2" t="s">
        <v>11253</v>
      </c>
      <c r="J2135" s="2" t="s">
        <v>11254</v>
      </c>
      <c r="K2135" s="2" t="s">
        <v>11255</v>
      </c>
      <c r="L2135" s="2" t="s">
        <v>6101</v>
      </c>
      <c r="M2135" s="2" t="s">
        <v>11256</v>
      </c>
      <c r="N2135" s="2" t="s">
        <v>11257</v>
      </c>
      <c r="O2135" s="2" t="s">
        <v>11258</v>
      </c>
      <c r="P2135" s="2" t="s">
        <v>869</v>
      </c>
    </row>
    <row r="2136" ht="15.75" customHeight="1">
      <c r="H2136" s="2" t="s">
        <v>11259</v>
      </c>
      <c r="I2136" s="2" t="s">
        <v>11260</v>
      </c>
      <c r="J2136" s="2" t="s">
        <v>11261</v>
      </c>
      <c r="K2136" s="2" t="s">
        <v>11262</v>
      </c>
      <c r="L2136" s="2" t="s">
        <v>6101</v>
      </c>
      <c r="M2136" s="2" t="s">
        <v>11263</v>
      </c>
      <c r="N2136" s="2" t="s">
        <v>11264</v>
      </c>
      <c r="O2136" s="2" t="s">
        <v>11265</v>
      </c>
      <c r="P2136" s="2" t="s">
        <v>869</v>
      </c>
    </row>
    <row r="2137" ht="15.75" customHeight="1">
      <c r="H2137" s="2" t="s">
        <v>11266</v>
      </c>
      <c r="I2137" s="2" t="s">
        <v>4814</v>
      </c>
      <c r="J2137" s="2" t="s">
        <v>4815</v>
      </c>
      <c r="K2137" s="2" t="s">
        <v>11267</v>
      </c>
      <c r="L2137" s="2" t="s">
        <v>6101</v>
      </c>
      <c r="M2137" s="2" t="s">
        <v>11268</v>
      </c>
      <c r="N2137" s="2" t="s">
        <v>11269</v>
      </c>
      <c r="O2137" s="2" t="s">
        <v>869</v>
      </c>
      <c r="P2137" s="2" t="s">
        <v>870</v>
      </c>
    </row>
    <row r="2138" ht="15.75" customHeight="1">
      <c r="H2138" s="2" t="s">
        <v>11270</v>
      </c>
      <c r="I2138" s="2" t="s">
        <v>11271</v>
      </c>
      <c r="J2138" s="2" t="s">
        <v>11272</v>
      </c>
      <c r="K2138" s="2" t="s">
        <v>11273</v>
      </c>
      <c r="L2138" s="2" t="s">
        <v>6101</v>
      </c>
      <c r="M2138" s="2" t="s">
        <v>11274</v>
      </c>
      <c r="N2138" s="2" t="s">
        <v>11275</v>
      </c>
      <c r="O2138" s="2" t="s">
        <v>11276</v>
      </c>
      <c r="P2138" s="2" t="s">
        <v>869</v>
      </c>
    </row>
    <row r="2139" ht="15.75" customHeight="1">
      <c r="H2139" s="2" t="s">
        <v>11277</v>
      </c>
      <c r="I2139" s="2" t="s">
        <v>4819</v>
      </c>
      <c r="J2139" s="2" t="s">
        <v>4820</v>
      </c>
      <c r="K2139" s="2" t="s">
        <v>11278</v>
      </c>
      <c r="L2139" s="2" t="s">
        <v>6101</v>
      </c>
      <c r="M2139" s="2" t="s">
        <v>11279</v>
      </c>
      <c r="N2139" s="2" t="s">
        <v>11280</v>
      </c>
      <c r="O2139" s="2" t="s">
        <v>869</v>
      </c>
      <c r="P2139" s="2" t="s">
        <v>870</v>
      </c>
    </row>
    <row r="2140" ht="15.75" customHeight="1">
      <c r="H2140" s="2" t="s">
        <v>11281</v>
      </c>
      <c r="I2140" s="2" t="s">
        <v>11282</v>
      </c>
      <c r="J2140" s="2" t="s">
        <v>11283</v>
      </c>
      <c r="K2140" s="2" t="s">
        <v>11284</v>
      </c>
      <c r="L2140" s="2" t="s">
        <v>6101</v>
      </c>
      <c r="M2140" s="2" t="s">
        <v>11285</v>
      </c>
      <c r="N2140" s="2" t="s">
        <v>11286</v>
      </c>
      <c r="O2140" s="2" t="s">
        <v>869</v>
      </c>
      <c r="P2140" s="2" t="s">
        <v>870</v>
      </c>
    </row>
    <row r="2141" ht="15.75" customHeight="1">
      <c r="F2141" s="2" t="s">
        <v>4825</v>
      </c>
      <c r="H2141" s="2" t="s">
        <v>11287</v>
      </c>
      <c r="I2141" s="2" t="s">
        <v>11288</v>
      </c>
      <c r="J2141" s="2" t="s">
        <v>11289</v>
      </c>
      <c r="K2141" s="2" t="s">
        <v>11290</v>
      </c>
      <c r="L2141" s="2" t="s">
        <v>6101</v>
      </c>
      <c r="M2141" s="2" t="s">
        <v>11291</v>
      </c>
      <c r="N2141" s="2" t="s">
        <v>11292</v>
      </c>
      <c r="O2141" s="2" t="s">
        <v>869</v>
      </c>
      <c r="P2141" s="2" t="s">
        <v>870</v>
      </c>
    </row>
    <row r="2142" ht="15.75" customHeight="1">
      <c r="H2142" s="2" t="s">
        <v>11293</v>
      </c>
      <c r="I2142" s="2" t="s">
        <v>11294</v>
      </c>
      <c r="J2142" s="2" t="s">
        <v>11295</v>
      </c>
      <c r="K2142" s="2" t="s">
        <v>11296</v>
      </c>
      <c r="L2142" s="2" t="s">
        <v>6101</v>
      </c>
      <c r="M2142" s="2" t="s">
        <v>11297</v>
      </c>
      <c r="N2142" s="2" t="s">
        <v>11298</v>
      </c>
      <c r="O2142" s="2" t="s">
        <v>11299</v>
      </c>
      <c r="P2142" s="2" t="s">
        <v>869</v>
      </c>
    </row>
    <row r="2143" ht="15.75" customHeight="1">
      <c r="H2143" s="2" t="s">
        <v>11300</v>
      </c>
      <c r="I2143" s="2" t="s">
        <v>11301</v>
      </c>
      <c r="J2143" s="2" t="s">
        <v>11302</v>
      </c>
      <c r="K2143" s="2" t="s">
        <v>11303</v>
      </c>
      <c r="L2143" s="2" t="s">
        <v>6101</v>
      </c>
      <c r="M2143" s="2" t="s">
        <v>11304</v>
      </c>
      <c r="N2143" s="2" t="s">
        <v>11305</v>
      </c>
      <c r="O2143" s="2" t="s">
        <v>11306</v>
      </c>
      <c r="P2143" s="2" t="s">
        <v>869</v>
      </c>
    </row>
    <row r="2144" ht="15.75" customHeight="1">
      <c r="H2144" s="2" t="s">
        <v>11307</v>
      </c>
      <c r="I2144" s="2" t="s">
        <v>11308</v>
      </c>
      <c r="J2144" s="2" t="s">
        <v>11309</v>
      </c>
      <c r="K2144" s="2" t="s">
        <v>11310</v>
      </c>
      <c r="L2144" s="2" t="s">
        <v>6101</v>
      </c>
      <c r="M2144" s="2" t="s">
        <v>11311</v>
      </c>
      <c r="N2144" s="2" t="s">
        <v>11312</v>
      </c>
      <c r="O2144" s="2" t="s">
        <v>869</v>
      </c>
      <c r="P2144" s="2" t="s">
        <v>870</v>
      </c>
    </row>
    <row r="2145" ht="15.75" customHeight="1">
      <c r="H2145" s="2" t="s">
        <v>11313</v>
      </c>
      <c r="I2145" s="2" t="s">
        <v>11314</v>
      </c>
      <c r="J2145" s="2" t="s">
        <v>11315</v>
      </c>
      <c r="K2145" s="2" t="s">
        <v>11316</v>
      </c>
      <c r="L2145" s="2" t="s">
        <v>6101</v>
      </c>
      <c r="M2145" s="2" t="s">
        <v>11317</v>
      </c>
      <c r="N2145" s="2" t="s">
        <v>11318</v>
      </c>
      <c r="O2145" s="2" t="s">
        <v>869</v>
      </c>
      <c r="P2145" s="2" t="s">
        <v>870</v>
      </c>
    </row>
    <row r="2146" ht="15.75" customHeight="1">
      <c r="H2146" s="2" t="s">
        <v>11319</v>
      </c>
      <c r="I2146" s="2" t="s">
        <v>11320</v>
      </c>
      <c r="J2146" s="2" t="s">
        <v>11321</v>
      </c>
      <c r="K2146" s="2" t="s">
        <v>11322</v>
      </c>
      <c r="L2146" s="2" t="s">
        <v>6101</v>
      </c>
      <c r="M2146" s="2" t="s">
        <v>11323</v>
      </c>
      <c r="N2146" s="2" t="s">
        <v>11324</v>
      </c>
      <c r="O2146" s="2" t="s">
        <v>11325</v>
      </c>
      <c r="P2146" s="2" t="s">
        <v>869</v>
      </c>
    </row>
    <row r="2147" ht="15.75" customHeight="1">
      <c r="H2147" s="2" t="s">
        <v>11326</v>
      </c>
      <c r="I2147" s="2" t="s">
        <v>11327</v>
      </c>
      <c r="J2147" s="2" t="s">
        <v>11328</v>
      </c>
      <c r="K2147" s="2" t="s">
        <v>11329</v>
      </c>
      <c r="L2147" s="2" t="s">
        <v>6101</v>
      </c>
      <c r="M2147" s="2" t="s">
        <v>11330</v>
      </c>
      <c r="N2147" s="2" t="s">
        <v>11331</v>
      </c>
      <c r="O2147" s="2" t="s">
        <v>11332</v>
      </c>
      <c r="P2147" s="2" t="s">
        <v>869</v>
      </c>
    </row>
    <row r="2148" ht="15.75" customHeight="1">
      <c r="H2148" s="2" t="s">
        <v>11333</v>
      </c>
      <c r="I2148" s="2" t="s">
        <v>11334</v>
      </c>
      <c r="J2148" s="2" t="s">
        <v>11335</v>
      </c>
      <c r="K2148" s="2" t="s">
        <v>11336</v>
      </c>
      <c r="L2148" s="2" t="s">
        <v>6101</v>
      </c>
      <c r="M2148" s="2" t="s">
        <v>11337</v>
      </c>
      <c r="N2148" s="2" t="s">
        <v>11338</v>
      </c>
      <c r="O2148" s="2" t="s">
        <v>869</v>
      </c>
      <c r="P2148" s="2" t="s">
        <v>870</v>
      </c>
    </row>
    <row r="2149" ht="15.75" customHeight="1">
      <c r="H2149" s="2" t="s">
        <v>11339</v>
      </c>
      <c r="I2149" s="2" t="s">
        <v>4832</v>
      </c>
      <c r="J2149" s="2" t="s">
        <v>4833</v>
      </c>
      <c r="K2149" s="2" t="s">
        <v>11340</v>
      </c>
      <c r="L2149" s="2" t="s">
        <v>6101</v>
      </c>
      <c r="M2149" s="2" t="s">
        <v>11341</v>
      </c>
      <c r="N2149" s="2" t="s">
        <v>11342</v>
      </c>
      <c r="O2149" s="2" t="s">
        <v>869</v>
      </c>
      <c r="P2149" s="2" t="s">
        <v>870</v>
      </c>
    </row>
    <row r="2150" ht="15.75" customHeight="1">
      <c r="H2150" s="2" t="s">
        <v>11343</v>
      </c>
      <c r="I2150" s="2" t="s">
        <v>11344</v>
      </c>
      <c r="J2150" s="2" t="s">
        <v>11345</v>
      </c>
      <c r="K2150" s="2" t="s">
        <v>11346</v>
      </c>
      <c r="L2150" s="2" t="s">
        <v>6101</v>
      </c>
      <c r="M2150" s="2" t="s">
        <v>11347</v>
      </c>
      <c r="N2150" s="2" t="s">
        <v>11348</v>
      </c>
      <c r="O2150" s="2" t="s">
        <v>11349</v>
      </c>
      <c r="P2150" s="2" t="s">
        <v>869</v>
      </c>
    </row>
    <row r="2151" ht="15.75" customHeight="1">
      <c r="H2151" s="2" t="s">
        <v>11350</v>
      </c>
      <c r="I2151" s="2" t="s">
        <v>11351</v>
      </c>
      <c r="J2151" s="2" t="s">
        <v>11352</v>
      </c>
      <c r="K2151" s="2" t="s">
        <v>11353</v>
      </c>
      <c r="L2151" s="2" t="s">
        <v>6101</v>
      </c>
      <c r="M2151" s="2" t="s">
        <v>11354</v>
      </c>
      <c r="N2151" s="2" t="s">
        <v>11355</v>
      </c>
      <c r="O2151" s="2" t="s">
        <v>11356</v>
      </c>
      <c r="P2151" s="2" t="s">
        <v>869</v>
      </c>
    </row>
    <row r="2152" ht="15.75" customHeight="1">
      <c r="H2152" s="2" t="s">
        <v>11357</v>
      </c>
      <c r="I2152" s="2" t="s">
        <v>11358</v>
      </c>
      <c r="J2152" s="2" t="s">
        <v>11359</v>
      </c>
      <c r="K2152" s="2" t="s">
        <v>11360</v>
      </c>
      <c r="L2152" s="2" t="s">
        <v>6101</v>
      </c>
      <c r="M2152" s="2" t="s">
        <v>11361</v>
      </c>
      <c r="N2152" s="2" t="s">
        <v>11362</v>
      </c>
      <c r="O2152" s="2" t="s">
        <v>11363</v>
      </c>
      <c r="P2152" s="2" t="s">
        <v>869</v>
      </c>
    </row>
    <row r="2153" ht="15.75" customHeight="1">
      <c r="H2153" s="2" t="s">
        <v>11364</v>
      </c>
      <c r="I2153" s="2" t="s">
        <v>1215</v>
      </c>
      <c r="J2153" s="2" t="s">
        <v>1216</v>
      </c>
      <c r="K2153" s="2" t="s">
        <v>11365</v>
      </c>
      <c r="L2153" s="2" t="s">
        <v>6101</v>
      </c>
      <c r="M2153" s="2" t="s">
        <v>11366</v>
      </c>
      <c r="N2153" s="2" t="s">
        <v>11367</v>
      </c>
      <c r="O2153" s="2" t="s">
        <v>869</v>
      </c>
      <c r="P2153" s="2" t="s">
        <v>870</v>
      </c>
    </row>
    <row r="2154" ht="15.75" customHeight="1">
      <c r="H2154" s="2" t="s">
        <v>11368</v>
      </c>
      <c r="I2154" s="2" t="s">
        <v>11369</v>
      </c>
      <c r="J2154" s="2" t="s">
        <v>11370</v>
      </c>
      <c r="K2154" s="2" t="s">
        <v>11371</v>
      </c>
      <c r="L2154" s="2" t="s">
        <v>6101</v>
      </c>
      <c r="M2154" s="2" t="s">
        <v>11372</v>
      </c>
      <c r="N2154" s="2" t="s">
        <v>11373</v>
      </c>
      <c r="O2154" s="2" t="s">
        <v>869</v>
      </c>
      <c r="P2154" s="2" t="s">
        <v>870</v>
      </c>
    </row>
    <row r="2155" ht="15.75" customHeight="1">
      <c r="F2155" s="2" t="s">
        <v>791</v>
      </c>
      <c r="H2155" s="2" t="s">
        <v>11374</v>
      </c>
      <c r="I2155" s="2" t="s">
        <v>11375</v>
      </c>
      <c r="J2155" s="2" t="s">
        <v>11376</v>
      </c>
      <c r="K2155" s="2" t="s">
        <v>11377</v>
      </c>
      <c r="L2155" s="2" t="s">
        <v>6101</v>
      </c>
      <c r="M2155" s="2" t="s">
        <v>11378</v>
      </c>
      <c r="N2155" s="2" t="s">
        <v>11379</v>
      </c>
      <c r="O2155" s="2" t="s">
        <v>869</v>
      </c>
      <c r="P2155" s="2" t="s">
        <v>870</v>
      </c>
    </row>
    <row r="2156" ht="15.75" customHeight="1">
      <c r="H2156" s="2" t="s">
        <v>11380</v>
      </c>
      <c r="I2156" s="2" t="s">
        <v>11381</v>
      </c>
      <c r="J2156" s="2" t="s">
        <v>11382</v>
      </c>
      <c r="K2156" s="2" t="s">
        <v>11383</v>
      </c>
      <c r="L2156" s="2" t="s">
        <v>6101</v>
      </c>
      <c r="M2156" s="2" t="s">
        <v>11384</v>
      </c>
      <c r="N2156" s="2" t="s">
        <v>11385</v>
      </c>
      <c r="O2156" s="2" t="s">
        <v>869</v>
      </c>
      <c r="P2156" s="2" t="s">
        <v>870</v>
      </c>
    </row>
    <row r="2157" ht="15.75" customHeight="1">
      <c r="H2157" s="2" t="s">
        <v>11386</v>
      </c>
      <c r="I2157" s="2" t="s">
        <v>11387</v>
      </c>
      <c r="J2157" s="2" t="s">
        <v>11388</v>
      </c>
      <c r="K2157" s="2" t="s">
        <v>11389</v>
      </c>
      <c r="L2157" s="2" t="s">
        <v>6101</v>
      </c>
      <c r="M2157" s="2" t="s">
        <v>11390</v>
      </c>
      <c r="N2157" s="2" t="s">
        <v>11391</v>
      </c>
      <c r="O2157" s="2" t="s">
        <v>869</v>
      </c>
      <c r="P2157" s="2" t="s">
        <v>870</v>
      </c>
    </row>
    <row r="2158" ht="15.75" customHeight="1">
      <c r="H2158" s="2" t="s">
        <v>11392</v>
      </c>
      <c r="I2158" s="2" t="s">
        <v>11393</v>
      </c>
      <c r="J2158" s="2" t="s">
        <v>11394</v>
      </c>
      <c r="K2158" s="2" t="s">
        <v>11395</v>
      </c>
      <c r="L2158" s="2" t="s">
        <v>6101</v>
      </c>
      <c r="M2158" s="2" t="s">
        <v>11396</v>
      </c>
      <c r="N2158" s="2" t="s">
        <v>11397</v>
      </c>
      <c r="O2158" s="2" t="s">
        <v>869</v>
      </c>
      <c r="P2158" s="2" t="s">
        <v>870</v>
      </c>
    </row>
    <row r="2159" ht="15.75" customHeight="1">
      <c r="H2159" s="2" t="s">
        <v>11398</v>
      </c>
      <c r="I2159" s="2" t="s">
        <v>793</v>
      </c>
      <c r="J2159" s="2" t="s">
        <v>794</v>
      </c>
      <c r="K2159" s="2" t="s">
        <v>11399</v>
      </c>
      <c r="L2159" s="2" t="s">
        <v>6101</v>
      </c>
      <c r="M2159" s="2" t="s">
        <v>11400</v>
      </c>
      <c r="N2159" s="2" t="s">
        <v>11401</v>
      </c>
      <c r="O2159" s="2" t="s">
        <v>869</v>
      </c>
      <c r="P2159" s="2" t="s">
        <v>870</v>
      </c>
    </row>
    <row r="2160" ht="15.75" customHeight="1">
      <c r="H2160" s="2" t="s">
        <v>11402</v>
      </c>
      <c r="I2160" s="2" t="s">
        <v>11403</v>
      </c>
      <c r="J2160" s="2" t="s">
        <v>11404</v>
      </c>
      <c r="K2160" s="2" t="s">
        <v>11405</v>
      </c>
      <c r="L2160" s="2" t="s">
        <v>6101</v>
      </c>
      <c r="M2160" s="2" t="s">
        <v>11406</v>
      </c>
      <c r="N2160" s="2" t="s">
        <v>11407</v>
      </c>
      <c r="O2160" s="2" t="s">
        <v>869</v>
      </c>
      <c r="P2160" s="2" t="s">
        <v>870</v>
      </c>
    </row>
    <row r="2161" ht="15.75" customHeight="1">
      <c r="H2161" s="2" t="s">
        <v>11408</v>
      </c>
      <c r="I2161" s="2" t="s">
        <v>4959</v>
      </c>
      <c r="J2161" s="2" t="s">
        <v>4960</v>
      </c>
      <c r="K2161" s="2" t="s">
        <v>11409</v>
      </c>
      <c r="L2161" s="2" t="s">
        <v>6101</v>
      </c>
      <c r="M2161" s="2" t="s">
        <v>11410</v>
      </c>
      <c r="N2161" s="2" t="s">
        <v>11411</v>
      </c>
      <c r="O2161" s="2" t="s">
        <v>869</v>
      </c>
      <c r="P2161" s="2" t="s">
        <v>870</v>
      </c>
    </row>
    <row r="2162" ht="15.75" customHeight="1">
      <c r="H2162" s="2" t="s">
        <v>11412</v>
      </c>
      <c r="I2162" s="2" t="s">
        <v>11413</v>
      </c>
      <c r="J2162" s="2" t="s">
        <v>11414</v>
      </c>
      <c r="K2162" s="2" t="s">
        <v>11415</v>
      </c>
      <c r="L2162" s="2" t="s">
        <v>6101</v>
      </c>
      <c r="M2162" s="2" t="s">
        <v>11416</v>
      </c>
      <c r="N2162" s="2" t="s">
        <v>11417</v>
      </c>
      <c r="O2162" s="2" t="s">
        <v>869</v>
      </c>
      <c r="P2162" s="2" t="s">
        <v>870</v>
      </c>
    </row>
    <row r="2163" ht="15.75" customHeight="1">
      <c r="H2163" s="2" t="s">
        <v>11418</v>
      </c>
      <c r="I2163" s="2" t="s">
        <v>11419</v>
      </c>
      <c r="J2163" s="2" t="s">
        <v>11420</v>
      </c>
      <c r="K2163" s="2" t="s">
        <v>11421</v>
      </c>
      <c r="L2163" s="2" t="s">
        <v>6101</v>
      </c>
      <c r="M2163" s="2" t="s">
        <v>11422</v>
      </c>
      <c r="N2163" s="2" t="s">
        <v>11423</v>
      </c>
      <c r="O2163" s="2" t="s">
        <v>869</v>
      </c>
      <c r="P2163" s="2" t="s">
        <v>870</v>
      </c>
    </row>
    <row r="2164" ht="15.75" customHeight="1">
      <c r="H2164" s="2" t="s">
        <v>11424</v>
      </c>
      <c r="I2164" s="2" t="s">
        <v>11425</v>
      </c>
      <c r="J2164" s="2" t="s">
        <v>11426</v>
      </c>
      <c r="K2164" s="2" t="s">
        <v>11427</v>
      </c>
      <c r="L2164" s="2" t="s">
        <v>6101</v>
      </c>
      <c r="M2164" s="2" t="s">
        <v>11428</v>
      </c>
      <c r="N2164" s="2" t="s">
        <v>11429</v>
      </c>
      <c r="O2164" s="2" t="s">
        <v>869</v>
      </c>
      <c r="P2164" s="2" t="s">
        <v>870</v>
      </c>
    </row>
    <row r="2165" ht="15.75" customHeight="1">
      <c r="H2165" s="2" t="s">
        <v>11430</v>
      </c>
      <c r="I2165" s="2" t="s">
        <v>11431</v>
      </c>
      <c r="J2165" s="2" t="s">
        <v>11432</v>
      </c>
      <c r="K2165" s="2" t="s">
        <v>11433</v>
      </c>
      <c r="L2165" s="2" t="s">
        <v>6101</v>
      </c>
      <c r="M2165" s="2" t="s">
        <v>11434</v>
      </c>
      <c r="N2165" s="2" t="s">
        <v>11435</v>
      </c>
      <c r="O2165" s="2" t="s">
        <v>869</v>
      </c>
      <c r="P2165" s="2" t="s">
        <v>870</v>
      </c>
    </row>
    <row r="2166" ht="15.75" customHeight="1">
      <c r="H2166" s="2" t="s">
        <v>11436</v>
      </c>
      <c r="I2166" s="2" t="s">
        <v>11437</v>
      </c>
      <c r="J2166" s="2" t="s">
        <v>11438</v>
      </c>
      <c r="K2166" s="2" t="s">
        <v>11439</v>
      </c>
      <c r="L2166" s="2" t="s">
        <v>6101</v>
      </c>
      <c r="M2166" s="2" t="s">
        <v>11440</v>
      </c>
      <c r="N2166" s="2" t="s">
        <v>11441</v>
      </c>
      <c r="O2166" s="2" t="s">
        <v>869</v>
      </c>
      <c r="P2166" s="2" t="s">
        <v>870</v>
      </c>
    </row>
    <row r="2167" ht="15.75" customHeight="1">
      <c r="H2167" s="2" t="s">
        <v>11442</v>
      </c>
      <c r="I2167" s="2" t="s">
        <v>7306</v>
      </c>
      <c r="J2167" s="2" t="s">
        <v>7307</v>
      </c>
      <c r="K2167" s="2" t="s">
        <v>11443</v>
      </c>
      <c r="L2167" s="2" t="s">
        <v>6101</v>
      </c>
      <c r="M2167" s="2" t="s">
        <v>11444</v>
      </c>
      <c r="N2167" s="2" t="s">
        <v>11445</v>
      </c>
      <c r="O2167" s="2" t="s">
        <v>869</v>
      </c>
      <c r="P2167" s="2" t="s">
        <v>870</v>
      </c>
    </row>
    <row r="2168" ht="15.75" customHeight="1">
      <c r="H2168" s="2" t="s">
        <v>11446</v>
      </c>
      <c r="I2168" s="2" t="s">
        <v>11447</v>
      </c>
      <c r="J2168" s="2" t="s">
        <v>11448</v>
      </c>
      <c r="K2168" s="2" t="s">
        <v>11449</v>
      </c>
      <c r="L2168" s="2" t="s">
        <v>6101</v>
      </c>
      <c r="M2168" s="2" t="s">
        <v>11450</v>
      </c>
      <c r="N2168" s="2" t="s">
        <v>11451</v>
      </c>
      <c r="O2168" s="2" t="s">
        <v>869</v>
      </c>
      <c r="P2168" s="2" t="s">
        <v>870</v>
      </c>
    </row>
    <row r="2169" ht="15.75" customHeight="1">
      <c r="H2169" s="2" t="s">
        <v>11452</v>
      </c>
      <c r="I2169" s="2" t="s">
        <v>11453</v>
      </c>
      <c r="J2169" s="2" t="s">
        <v>11454</v>
      </c>
      <c r="K2169" s="2" t="s">
        <v>11455</v>
      </c>
      <c r="L2169" s="2" t="s">
        <v>6101</v>
      </c>
      <c r="M2169" s="2" t="s">
        <v>11456</v>
      </c>
      <c r="N2169" s="2" t="s">
        <v>11457</v>
      </c>
      <c r="O2169" s="2" t="s">
        <v>869</v>
      </c>
      <c r="P2169" s="2" t="s">
        <v>870</v>
      </c>
    </row>
    <row r="2170" ht="15.75" customHeight="1">
      <c r="H2170" s="2" t="s">
        <v>11458</v>
      </c>
      <c r="I2170" s="2" t="s">
        <v>11459</v>
      </c>
      <c r="J2170" s="2" t="s">
        <v>11460</v>
      </c>
      <c r="K2170" s="2" t="s">
        <v>11461</v>
      </c>
      <c r="L2170" s="2" t="s">
        <v>6101</v>
      </c>
      <c r="M2170" s="2" t="s">
        <v>11462</v>
      </c>
      <c r="N2170" s="2" t="s">
        <v>11463</v>
      </c>
      <c r="O2170" s="2" t="s">
        <v>869</v>
      </c>
      <c r="P2170" s="2" t="s">
        <v>870</v>
      </c>
    </row>
    <row r="2171" ht="15.75" customHeight="1">
      <c r="H2171" s="2" t="s">
        <v>11464</v>
      </c>
      <c r="I2171" s="2" t="s">
        <v>11465</v>
      </c>
      <c r="J2171" s="2" t="s">
        <v>11466</v>
      </c>
      <c r="K2171" s="2" t="s">
        <v>11467</v>
      </c>
      <c r="L2171" s="2" t="s">
        <v>6101</v>
      </c>
      <c r="M2171" s="2" t="s">
        <v>11468</v>
      </c>
      <c r="N2171" s="2" t="s">
        <v>11469</v>
      </c>
      <c r="O2171" s="2" t="s">
        <v>869</v>
      </c>
      <c r="P2171" s="2" t="s">
        <v>870</v>
      </c>
    </row>
    <row r="2172" ht="15.75" customHeight="1">
      <c r="H2172" s="2" t="s">
        <v>11470</v>
      </c>
      <c r="I2172" s="2" t="s">
        <v>11471</v>
      </c>
      <c r="J2172" s="2" t="s">
        <v>11472</v>
      </c>
      <c r="K2172" s="2" t="s">
        <v>11473</v>
      </c>
      <c r="L2172" s="2" t="s">
        <v>6101</v>
      </c>
      <c r="M2172" s="2" t="s">
        <v>11474</v>
      </c>
      <c r="N2172" s="2" t="s">
        <v>11475</v>
      </c>
      <c r="O2172" s="2" t="s">
        <v>869</v>
      </c>
      <c r="P2172" s="2" t="s">
        <v>870</v>
      </c>
    </row>
    <row r="2173" ht="15.75" customHeight="1">
      <c r="H2173" s="2" t="s">
        <v>11476</v>
      </c>
      <c r="I2173" s="2" t="s">
        <v>11477</v>
      </c>
      <c r="J2173" s="2" t="s">
        <v>11478</v>
      </c>
      <c r="K2173" s="2" t="s">
        <v>11479</v>
      </c>
      <c r="L2173" s="2" t="s">
        <v>6101</v>
      </c>
      <c r="M2173" s="2" t="s">
        <v>11480</v>
      </c>
      <c r="N2173" s="2" t="s">
        <v>11481</v>
      </c>
      <c r="O2173" s="2" t="s">
        <v>869</v>
      </c>
      <c r="P2173" s="2" t="s">
        <v>870</v>
      </c>
    </row>
    <row r="2174" ht="15.75" customHeight="1">
      <c r="H2174" s="2" t="s">
        <v>11482</v>
      </c>
      <c r="I2174" s="2" t="s">
        <v>11483</v>
      </c>
      <c r="J2174" s="2" t="s">
        <v>11484</v>
      </c>
      <c r="K2174" s="2" t="s">
        <v>11485</v>
      </c>
      <c r="L2174" s="2" t="s">
        <v>6101</v>
      </c>
      <c r="M2174" s="2" t="s">
        <v>11486</v>
      </c>
      <c r="N2174" s="2" t="s">
        <v>11487</v>
      </c>
      <c r="O2174" s="2" t="s">
        <v>869</v>
      </c>
      <c r="P2174" s="2" t="s">
        <v>870</v>
      </c>
    </row>
    <row r="2175" ht="15.75" customHeight="1">
      <c r="H2175" s="2" t="s">
        <v>11488</v>
      </c>
      <c r="I2175" s="2" t="s">
        <v>11489</v>
      </c>
      <c r="J2175" s="2" t="s">
        <v>11490</v>
      </c>
      <c r="K2175" s="2" t="s">
        <v>11491</v>
      </c>
      <c r="L2175" s="2" t="s">
        <v>6101</v>
      </c>
      <c r="M2175" s="2" t="s">
        <v>11492</v>
      </c>
      <c r="N2175" s="2" t="s">
        <v>11493</v>
      </c>
      <c r="O2175" s="2" t="s">
        <v>869</v>
      </c>
      <c r="P2175" s="2" t="s">
        <v>870</v>
      </c>
    </row>
    <row r="2176" ht="15.75" customHeight="1">
      <c r="H2176" s="2" t="s">
        <v>11494</v>
      </c>
      <c r="I2176" s="2" t="s">
        <v>11495</v>
      </c>
      <c r="J2176" s="2" t="s">
        <v>11496</v>
      </c>
      <c r="K2176" s="2" t="s">
        <v>11497</v>
      </c>
      <c r="L2176" s="2" t="s">
        <v>6101</v>
      </c>
      <c r="M2176" s="2" t="s">
        <v>11498</v>
      </c>
      <c r="N2176" s="2" t="s">
        <v>11499</v>
      </c>
      <c r="O2176" s="2" t="s">
        <v>869</v>
      </c>
      <c r="P2176" s="2" t="s">
        <v>870</v>
      </c>
    </row>
    <row r="2177" ht="15.75" customHeight="1">
      <c r="H2177" s="2" t="s">
        <v>11500</v>
      </c>
      <c r="I2177" s="2" t="s">
        <v>11501</v>
      </c>
      <c r="J2177" s="2" t="s">
        <v>11502</v>
      </c>
      <c r="K2177" s="2" t="s">
        <v>11503</v>
      </c>
      <c r="L2177" s="2" t="s">
        <v>6101</v>
      </c>
      <c r="M2177" s="2" t="s">
        <v>11504</v>
      </c>
      <c r="N2177" s="2" t="s">
        <v>11505</v>
      </c>
      <c r="O2177" s="2" t="s">
        <v>869</v>
      </c>
      <c r="P2177" s="2" t="s">
        <v>870</v>
      </c>
    </row>
    <row r="2178" ht="15.75" customHeight="1">
      <c r="H2178" s="2" t="s">
        <v>11506</v>
      </c>
      <c r="I2178" s="2" t="s">
        <v>8176</v>
      </c>
      <c r="J2178" s="2" t="s">
        <v>8177</v>
      </c>
      <c r="K2178" s="2" t="s">
        <v>11507</v>
      </c>
      <c r="L2178" s="2" t="s">
        <v>6101</v>
      </c>
      <c r="M2178" s="2" t="s">
        <v>11508</v>
      </c>
      <c r="N2178" s="2" t="s">
        <v>8180</v>
      </c>
      <c r="O2178" s="2" t="s">
        <v>869</v>
      </c>
      <c r="P2178" s="2" t="s">
        <v>870</v>
      </c>
    </row>
    <row r="2179" ht="15.75" customHeight="1">
      <c r="H2179" s="2" t="s">
        <v>11509</v>
      </c>
      <c r="I2179" s="2" t="s">
        <v>11510</v>
      </c>
      <c r="J2179" s="2" t="s">
        <v>11511</v>
      </c>
      <c r="K2179" s="2" t="s">
        <v>11512</v>
      </c>
      <c r="L2179" s="2" t="s">
        <v>6101</v>
      </c>
      <c r="M2179" s="2" t="s">
        <v>11513</v>
      </c>
      <c r="N2179" s="2" t="s">
        <v>11514</v>
      </c>
      <c r="O2179" s="2" t="s">
        <v>869</v>
      </c>
      <c r="P2179" s="2" t="s">
        <v>870</v>
      </c>
    </row>
    <row r="2180" ht="15.75" customHeight="1">
      <c r="H2180" s="2" t="s">
        <v>11515</v>
      </c>
      <c r="I2180" s="2" t="s">
        <v>11516</v>
      </c>
      <c r="J2180" s="2" t="s">
        <v>11517</v>
      </c>
      <c r="K2180" s="2" t="s">
        <v>11518</v>
      </c>
      <c r="L2180" s="2" t="s">
        <v>6101</v>
      </c>
      <c r="M2180" s="2" t="s">
        <v>11519</v>
      </c>
      <c r="N2180" s="2" t="s">
        <v>11520</v>
      </c>
      <c r="O2180" s="2" t="s">
        <v>869</v>
      </c>
      <c r="P2180" s="2" t="s">
        <v>870</v>
      </c>
    </row>
    <row r="2181" ht="15.75" customHeight="1">
      <c r="H2181" s="2" t="s">
        <v>11521</v>
      </c>
      <c r="I2181" s="2" t="s">
        <v>11522</v>
      </c>
      <c r="J2181" s="2" t="s">
        <v>11523</v>
      </c>
      <c r="K2181" s="2" t="s">
        <v>11524</v>
      </c>
      <c r="L2181" s="2" t="s">
        <v>6101</v>
      </c>
      <c r="M2181" s="2" t="s">
        <v>11525</v>
      </c>
      <c r="N2181" s="2" t="s">
        <v>11526</v>
      </c>
      <c r="O2181" s="2" t="s">
        <v>869</v>
      </c>
      <c r="P2181" s="2" t="s">
        <v>870</v>
      </c>
    </row>
    <row r="2182" ht="15.75" customHeight="1">
      <c r="H2182" s="2" t="s">
        <v>11527</v>
      </c>
      <c r="I2182" s="2" t="s">
        <v>4969</v>
      </c>
      <c r="J2182" s="2" t="s">
        <v>4970</v>
      </c>
      <c r="K2182" s="2" t="s">
        <v>11528</v>
      </c>
      <c r="L2182" s="2" t="s">
        <v>6101</v>
      </c>
      <c r="M2182" s="2" t="s">
        <v>11529</v>
      </c>
      <c r="N2182" s="2" t="s">
        <v>11530</v>
      </c>
      <c r="O2182" s="2" t="s">
        <v>11531</v>
      </c>
      <c r="P2182" s="2" t="s">
        <v>869</v>
      </c>
    </row>
    <row r="2183" ht="15.75" customHeight="1">
      <c r="H2183" s="2" t="s">
        <v>11532</v>
      </c>
      <c r="I2183" s="2" t="s">
        <v>11533</v>
      </c>
      <c r="J2183" s="2" t="s">
        <v>11534</v>
      </c>
      <c r="K2183" s="2" t="s">
        <v>11535</v>
      </c>
      <c r="L2183" s="2" t="s">
        <v>6101</v>
      </c>
      <c r="M2183" s="2" t="s">
        <v>11536</v>
      </c>
      <c r="N2183" s="2" t="s">
        <v>11537</v>
      </c>
      <c r="O2183" s="2" t="s">
        <v>869</v>
      </c>
      <c r="P2183" s="2" t="s">
        <v>870</v>
      </c>
    </row>
    <row r="2184" ht="15.75" customHeight="1">
      <c r="F2184" s="2" t="s">
        <v>800</v>
      </c>
      <c r="H2184" s="2" t="s">
        <v>11538</v>
      </c>
      <c r="I2184" s="2" t="s">
        <v>5722</v>
      </c>
      <c r="J2184" s="2" t="s">
        <v>5723</v>
      </c>
      <c r="K2184" s="2" t="s">
        <v>11539</v>
      </c>
      <c r="L2184" s="2" t="s">
        <v>6101</v>
      </c>
      <c r="M2184" s="2" t="s">
        <v>11540</v>
      </c>
      <c r="N2184" s="2" t="s">
        <v>11541</v>
      </c>
      <c r="O2184" s="2" t="s">
        <v>869</v>
      </c>
      <c r="P2184" s="2" t="s">
        <v>870</v>
      </c>
    </row>
    <row r="2185" ht="15.75" customHeight="1">
      <c r="H2185" s="2" t="s">
        <v>11542</v>
      </c>
      <c r="I2185" s="2" t="s">
        <v>4984</v>
      </c>
      <c r="J2185" s="2" t="s">
        <v>4985</v>
      </c>
      <c r="K2185" s="2" t="s">
        <v>11543</v>
      </c>
      <c r="L2185" s="2" t="s">
        <v>6101</v>
      </c>
      <c r="M2185" s="2" t="s">
        <v>11544</v>
      </c>
      <c r="N2185" s="2" t="s">
        <v>11545</v>
      </c>
      <c r="O2185" s="2" t="s">
        <v>869</v>
      </c>
      <c r="P2185" s="2" t="s">
        <v>870</v>
      </c>
    </row>
    <row r="2186" ht="15.75" customHeight="1">
      <c r="H2186" s="2" t="s">
        <v>11546</v>
      </c>
      <c r="I2186" s="2" t="s">
        <v>4989</v>
      </c>
      <c r="J2186" s="2" t="s">
        <v>4990</v>
      </c>
      <c r="K2186" s="2" t="s">
        <v>11547</v>
      </c>
      <c r="L2186" s="2" t="s">
        <v>6101</v>
      </c>
      <c r="M2186" s="2" t="s">
        <v>11548</v>
      </c>
      <c r="N2186" s="2" t="s">
        <v>11549</v>
      </c>
      <c r="O2186" s="2" t="s">
        <v>869</v>
      </c>
      <c r="P2186" s="2" t="s">
        <v>870</v>
      </c>
    </row>
    <row r="2187" ht="15.75" customHeight="1">
      <c r="H2187" s="2" t="s">
        <v>11550</v>
      </c>
      <c r="I2187" s="2" t="s">
        <v>4994</v>
      </c>
      <c r="J2187" s="2" t="s">
        <v>4995</v>
      </c>
      <c r="K2187" s="2" t="s">
        <v>11551</v>
      </c>
      <c r="L2187" s="2" t="s">
        <v>6101</v>
      </c>
      <c r="M2187" s="2" t="s">
        <v>11552</v>
      </c>
      <c r="N2187" s="2" t="s">
        <v>11553</v>
      </c>
      <c r="O2187" s="2" t="s">
        <v>869</v>
      </c>
      <c r="P2187" s="2" t="s">
        <v>870</v>
      </c>
    </row>
    <row r="2188" ht="15.75" customHeight="1">
      <c r="H2188" s="2" t="s">
        <v>11554</v>
      </c>
      <c r="I2188" s="2" t="s">
        <v>11555</v>
      </c>
      <c r="J2188" s="2" t="s">
        <v>11556</v>
      </c>
      <c r="K2188" s="2" t="s">
        <v>11557</v>
      </c>
      <c r="L2188" s="2" t="s">
        <v>6101</v>
      </c>
      <c r="M2188" s="2" t="s">
        <v>11558</v>
      </c>
      <c r="N2188" s="2" t="s">
        <v>11559</v>
      </c>
      <c r="O2188" s="2" t="s">
        <v>869</v>
      </c>
      <c r="P2188" s="2" t="s">
        <v>870</v>
      </c>
    </row>
    <row r="2189" ht="15.75" customHeight="1">
      <c r="H2189" s="2" t="s">
        <v>11560</v>
      </c>
      <c r="I2189" s="2" t="s">
        <v>11561</v>
      </c>
      <c r="J2189" s="2" t="s">
        <v>11562</v>
      </c>
      <c r="K2189" s="2" t="s">
        <v>11563</v>
      </c>
      <c r="L2189" s="2" t="s">
        <v>6101</v>
      </c>
      <c r="M2189" s="2" t="s">
        <v>11564</v>
      </c>
      <c r="N2189" s="2" t="s">
        <v>11565</v>
      </c>
      <c r="O2189" s="2" t="s">
        <v>869</v>
      </c>
      <c r="P2189" s="2" t="s">
        <v>870</v>
      </c>
    </row>
    <row r="2190" ht="15.75" customHeight="1">
      <c r="H2190" s="2" t="s">
        <v>11566</v>
      </c>
      <c r="I2190" s="2" t="s">
        <v>11567</v>
      </c>
      <c r="J2190" s="2" t="s">
        <v>11568</v>
      </c>
      <c r="K2190" s="2" t="s">
        <v>11569</v>
      </c>
      <c r="L2190" s="2" t="s">
        <v>6101</v>
      </c>
      <c r="M2190" s="2" t="s">
        <v>11570</v>
      </c>
      <c r="N2190" s="2" t="s">
        <v>11571</v>
      </c>
      <c r="O2190" s="2" t="s">
        <v>869</v>
      </c>
      <c r="P2190" s="2" t="s">
        <v>870</v>
      </c>
    </row>
    <row r="2191" ht="15.75" customHeight="1">
      <c r="H2191" s="2" t="s">
        <v>11572</v>
      </c>
      <c r="I2191" s="2" t="s">
        <v>11573</v>
      </c>
      <c r="J2191" s="2" t="s">
        <v>11574</v>
      </c>
      <c r="K2191" s="2" t="s">
        <v>11575</v>
      </c>
      <c r="L2191" s="2" t="s">
        <v>6101</v>
      </c>
      <c r="M2191" s="2" t="s">
        <v>11576</v>
      </c>
      <c r="N2191" s="2" t="s">
        <v>11577</v>
      </c>
      <c r="O2191" s="2" t="s">
        <v>869</v>
      </c>
      <c r="P2191" s="2" t="s">
        <v>870</v>
      </c>
    </row>
    <row r="2192" ht="15.75" customHeight="1">
      <c r="H2192" s="2" t="s">
        <v>11578</v>
      </c>
      <c r="I2192" s="2" t="s">
        <v>5378</v>
      </c>
      <c r="J2192" s="2" t="s">
        <v>5379</v>
      </c>
      <c r="K2192" s="2" t="s">
        <v>11579</v>
      </c>
      <c r="L2192" s="2" t="s">
        <v>6101</v>
      </c>
      <c r="M2192" s="2" t="s">
        <v>11580</v>
      </c>
      <c r="N2192" s="2" t="s">
        <v>11581</v>
      </c>
      <c r="O2192" s="2" t="s">
        <v>869</v>
      </c>
      <c r="P2192" s="2" t="s">
        <v>870</v>
      </c>
    </row>
    <row r="2193" ht="15.75" customHeight="1">
      <c r="H2193" s="2" t="s">
        <v>11582</v>
      </c>
      <c r="I2193" s="2" t="s">
        <v>11583</v>
      </c>
      <c r="J2193" s="2" t="s">
        <v>11584</v>
      </c>
      <c r="K2193" s="2" t="s">
        <v>11585</v>
      </c>
      <c r="L2193" s="2" t="s">
        <v>6101</v>
      </c>
      <c r="M2193" s="2" t="s">
        <v>11586</v>
      </c>
      <c r="N2193" s="2" t="s">
        <v>11587</v>
      </c>
      <c r="O2193" s="2" t="s">
        <v>11588</v>
      </c>
      <c r="P2193" s="2" t="s">
        <v>869</v>
      </c>
    </row>
    <row r="2194" ht="15.75" customHeight="1">
      <c r="H2194" s="2" t="s">
        <v>11589</v>
      </c>
      <c r="I2194" s="2" t="s">
        <v>11590</v>
      </c>
      <c r="J2194" s="2" t="s">
        <v>11591</v>
      </c>
      <c r="K2194" s="2" t="s">
        <v>11592</v>
      </c>
      <c r="L2194" s="2" t="s">
        <v>6101</v>
      </c>
      <c r="M2194" s="2" t="s">
        <v>11593</v>
      </c>
      <c r="N2194" s="2" t="s">
        <v>11594</v>
      </c>
      <c r="O2194" s="2" t="s">
        <v>11595</v>
      </c>
      <c r="P2194" s="2" t="s">
        <v>869</v>
      </c>
    </row>
    <row r="2195" ht="15.75" customHeight="1">
      <c r="H2195" s="2" t="s">
        <v>11596</v>
      </c>
      <c r="I2195" s="2" t="s">
        <v>11597</v>
      </c>
      <c r="J2195" s="2" t="s">
        <v>11598</v>
      </c>
      <c r="K2195" s="2" t="s">
        <v>11599</v>
      </c>
      <c r="L2195" s="2" t="s">
        <v>6101</v>
      </c>
      <c r="M2195" s="2" t="s">
        <v>11600</v>
      </c>
      <c r="N2195" s="2" t="s">
        <v>11601</v>
      </c>
      <c r="O2195" s="2" t="s">
        <v>869</v>
      </c>
      <c r="P2195" s="2" t="s">
        <v>870</v>
      </c>
    </row>
    <row r="2196" ht="15.75" customHeight="1">
      <c r="H2196" s="2" t="s">
        <v>11602</v>
      </c>
      <c r="I2196" s="2" t="s">
        <v>11603</v>
      </c>
      <c r="J2196" s="2" t="s">
        <v>11604</v>
      </c>
      <c r="K2196" s="2" t="s">
        <v>11605</v>
      </c>
      <c r="L2196" s="2" t="s">
        <v>6101</v>
      </c>
      <c r="M2196" s="2" t="s">
        <v>11606</v>
      </c>
      <c r="N2196" s="2" t="s">
        <v>11607</v>
      </c>
      <c r="O2196" s="2" t="s">
        <v>11608</v>
      </c>
      <c r="P2196" s="2" t="s">
        <v>869</v>
      </c>
    </row>
    <row r="2197" ht="15.75" customHeight="1">
      <c r="H2197" s="2" t="s">
        <v>11609</v>
      </c>
      <c r="I2197" s="2" t="s">
        <v>5027</v>
      </c>
      <c r="J2197" s="2" t="s">
        <v>5028</v>
      </c>
      <c r="K2197" s="2" t="s">
        <v>11610</v>
      </c>
      <c r="L2197" s="2" t="s">
        <v>6101</v>
      </c>
      <c r="M2197" s="2" t="s">
        <v>11611</v>
      </c>
      <c r="N2197" s="2" t="s">
        <v>11612</v>
      </c>
      <c r="O2197" s="2" t="s">
        <v>869</v>
      </c>
      <c r="P2197" s="2" t="s">
        <v>870</v>
      </c>
    </row>
    <row r="2198" ht="15.75" customHeight="1">
      <c r="H2198" s="2" t="s">
        <v>11613</v>
      </c>
      <c r="I2198" s="2" t="s">
        <v>5047</v>
      </c>
      <c r="J2198" s="2" t="s">
        <v>5048</v>
      </c>
      <c r="K2198" s="2" t="s">
        <v>11614</v>
      </c>
      <c r="L2198" s="2" t="s">
        <v>6101</v>
      </c>
      <c r="M2198" s="2" t="s">
        <v>11615</v>
      </c>
      <c r="N2198" s="2" t="s">
        <v>11616</v>
      </c>
      <c r="O2198" s="2" t="s">
        <v>869</v>
      </c>
      <c r="P2198" s="2" t="s">
        <v>870</v>
      </c>
    </row>
    <row r="2199" ht="15.75" customHeight="1">
      <c r="H2199" s="2" t="s">
        <v>11617</v>
      </c>
      <c r="I2199" s="2" t="s">
        <v>11618</v>
      </c>
      <c r="J2199" s="2" t="s">
        <v>11619</v>
      </c>
      <c r="K2199" s="2" t="s">
        <v>11620</v>
      </c>
      <c r="L2199" s="2" t="s">
        <v>6101</v>
      </c>
      <c r="M2199" s="2" t="s">
        <v>11621</v>
      </c>
      <c r="N2199" s="2" t="s">
        <v>11622</v>
      </c>
      <c r="O2199" s="2" t="s">
        <v>869</v>
      </c>
      <c r="P2199" s="2" t="s">
        <v>870</v>
      </c>
    </row>
    <row r="2200" ht="15.75" customHeight="1">
      <c r="H2200" s="2" t="s">
        <v>11623</v>
      </c>
      <c r="I2200" s="2" t="s">
        <v>11624</v>
      </c>
      <c r="J2200" s="2" t="s">
        <v>11625</v>
      </c>
      <c r="K2200" s="2" t="s">
        <v>11626</v>
      </c>
      <c r="L2200" s="2" t="s">
        <v>6101</v>
      </c>
      <c r="M2200" s="2" t="s">
        <v>11627</v>
      </c>
      <c r="N2200" s="2" t="s">
        <v>11628</v>
      </c>
      <c r="O2200" s="2" t="s">
        <v>11629</v>
      </c>
      <c r="P2200" s="2" t="s">
        <v>869</v>
      </c>
    </row>
    <row r="2201" ht="15.75" customHeight="1">
      <c r="H2201" s="2" t="s">
        <v>11630</v>
      </c>
      <c r="I2201" s="2" t="s">
        <v>11631</v>
      </c>
      <c r="J2201" s="2" t="s">
        <v>11632</v>
      </c>
      <c r="K2201" s="2" t="s">
        <v>11633</v>
      </c>
      <c r="L2201" s="2" t="s">
        <v>6101</v>
      </c>
      <c r="M2201" s="2" t="s">
        <v>11634</v>
      </c>
      <c r="N2201" s="2" t="s">
        <v>11635</v>
      </c>
      <c r="O2201" s="2" t="s">
        <v>869</v>
      </c>
      <c r="P2201" s="2" t="s">
        <v>870</v>
      </c>
    </row>
    <row r="2202" ht="15.75" customHeight="1">
      <c r="H2202" s="2" t="s">
        <v>11636</v>
      </c>
      <c r="I2202" s="2" t="s">
        <v>11637</v>
      </c>
      <c r="J2202" s="2" t="s">
        <v>11638</v>
      </c>
      <c r="K2202" s="2" t="s">
        <v>11639</v>
      </c>
      <c r="L2202" s="2" t="s">
        <v>6101</v>
      </c>
      <c r="M2202" s="2" t="s">
        <v>11640</v>
      </c>
      <c r="N2202" s="2" t="s">
        <v>11641</v>
      </c>
      <c r="O2202" s="2" t="s">
        <v>869</v>
      </c>
      <c r="P2202" s="2" t="s">
        <v>870</v>
      </c>
    </row>
    <row r="2203" ht="15.75" customHeight="1">
      <c r="H2203" s="2" t="s">
        <v>11642</v>
      </c>
      <c r="I2203" s="2" t="s">
        <v>11643</v>
      </c>
      <c r="J2203" s="2" t="s">
        <v>11644</v>
      </c>
      <c r="K2203" s="2" t="s">
        <v>11645</v>
      </c>
      <c r="L2203" s="2" t="s">
        <v>6101</v>
      </c>
      <c r="M2203" s="2" t="s">
        <v>11646</v>
      </c>
      <c r="N2203" s="2" t="s">
        <v>11647</v>
      </c>
      <c r="O2203" s="2" t="s">
        <v>11648</v>
      </c>
      <c r="P2203" s="2" t="s">
        <v>869</v>
      </c>
    </row>
    <row r="2204" ht="15.75" customHeight="1">
      <c r="H2204" s="2" t="s">
        <v>11649</v>
      </c>
      <c r="I2204" s="2" t="s">
        <v>11650</v>
      </c>
      <c r="J2204" s="2" t="s">
        <v>11651</v>
      </c>
      <c r="K2204" s="2" t="s">
        <v>11652</v>
      </c>
      <c r="L2204" s="2" t="s">
        <v>6101</v>
      </c>
      <c r="M2204" s="2" t="s">
        <v>11653</v>
      </c>
      <c r="N2204" s="2" t="s">
        <v>11654</v>
      </c>
      <c r="O2204" s="2" t="s">
        <v>11655</v>
      </c>
      <c r="P2204" s="2" t="s">
        <v>869</v>
      </c>
    </row>
    <row r="2205" ht="15.75" customHeight="1">
      <c r="H2205" s="2" t="s">
        <v>11656</v>
      </c>
      <c r="I2205" s="2" t="s">
        <v>11657</v>
      </c>
      <c r="J2205" s="2" t="s">
        <v>11658</v>
      </c>
      <c r="K2205" s="2" t="s">
        <v>11659</v>
      </c>
      <c r="L2205" s="2" t="s">
        <v>6101</v>
      </c>
      <c r="M2205" s="2" t="s">
        <v>11660</v>
      </c>
      <c r="N2205" s="2" t="s">
        <v>11661</v>
      </c>
      <c r="O2205" s="2" t="s">
        <v>11662</v>
      </c>
      <c r="P2205" s="2" t="s">
        <v>869</v>
      </c>
    </row>
    <row r="2206" ht="15.75" customHeight="1">
      <c r="H2206" s="2" t="s">
        <v>11663</v>
      </c>
      <c r="I2206" s="2" t="s">
        <v>11664</v>
      </c>
      <c r="J2206" s="2" t="s">
        <v>11665</v>
      </c>
      <c r="K2206" s="2" t="s">
        <v>11666</v>
      </c>
      <c r="L2206" s="2" t="s">
        <v>6101</v>
      </c>
      <c r="M2206" s="2" t="s">
        <v>11667</v>
      </c>
      <c r="N2206" s="2" t="s">
        <v>11668</v>
      </c>
      <c r="O2206" s="2" t="s">
        <v>869</v>
      </c>
      <c r="P2206" s="2" t="s">
        <v>870</v>
      </c>
    </row>
    <row r="2207" ht="15.75" customHeight="1">
      <c r="H2207" s="2" t="s">
        <v>11669</v>
      </c>
      <c r="I2207" s="2" t="s">
        <v>11670</v>
      </c>
      <c r="J2207" s="2" t="s">
        <v>11671</v>
      </c>
      <c r="K2207" s="2" t="s">
        <v>11672</v>
      </c>
      <c r="L2207" s="2" t="s">
        <v>6101</v>
      </c>
      <c r="M2207" s="2" t="s">
        <v>11673</v>
      </c>
      <c r="N2207" s="2" t="s">
        <v>11674</v>
      </c>
      <c r="O2207" s="2" t="s">
        <v>869</v>
      </c>
      <c r="P2207" s="2" t="s">
        <v>870</v>
      </c>
    </row>
    <row r="2208" ht="15.75" customHeight="1">
      <c r="H2208" s="2" t="s">
        <v>11675</v>
      </c>
      <c r="I2208" s="2" t="s">
        <v>11676</v>
      </c>
      <c r="J2208" s="2" t="s">
        <v>11677</v>
      </c>
      <c r="K2208" s="2" t="s">
        <v>11678</v>
      </c>
      <c r="L2208" s="2" t="s">
        <v>6101</v>
      </c>
      <c r="M2208" s="2" t="s">
        <v>11679</v>
      </c>
      <c r="N2208" s="2" t="s">
        <v>11680</v>
      </c>
      <c r="O2208" s="2" t="s">
        <v>11681</v>
      </c>
      <c r="P2208" s="2" t="s">
        <v>869</v>
      </c>
    </row>
    <row r="2209" ht="15.75" customHeight="1">
      <c r="H2209" s="2" t="s">
        <v>11682</v>
      </c>
      <c r="I2209" s="2" t="s">
        <v>11683</v>
      </c>
      <c r="J2209" s="2" t="s">
        <v>11684</v>
      </c>
      <c r="K2209" s="2" t="s">
        <v>11685</v>
      </c>
      <c r="L2209" s="2" t="s">
        <v>6101</v>
      </c>
      <c r="M2209" s="2" t="s">
        <v>11686</v>
      </c>
      <c r="N2209" s="2" t="s">
        <v>11687</v>
      </c>
      <c r="O2209" s="2" t="s">
        <v>869</v>
      </c>
      <c r="P2209" s="2" t="s">
        <v>870</v>
      </c>
    </row>
    <row r="2210" ht="15.75" customHeight="1">
      <c r="H2210" s="2" t="s">
        <v>11688</v>
      </c>
      <c r="I2210" s="2" t="s">
        <v>11689</v>
      </c>
      <c r="J2210" s="2" t="s">
        <v>11690</v>
      </c>
      <c r="K2210" s="2" t="s">
        <v>11691</v>
      </c>
      <c r="L2210" s="2" t="s">
        <v>6101</v>
      </c>
      <c r="M2210" s="2" t="s">
        <v>11692</v>
      </c>
      <c r="N2210" s="2" t="s">
        <v>11693</v>
      </c>
      <c r="O2210" s="2" t="s">
        <v>869</v>
      </c>
      <c r="P2210" s="2" t="s">
        <v>870</v>
      </c>
    </row>
    <row r="2211" ht="15.75" customHeight="1">
      <c r="F2211" s="2" t="s">
        <v>843</v>
      </c>
      <c r="H2211" s="2" t="s">
        <v>11694</v>
      </c>
      <c r="I2211" s="2" t="s">
        <v>9550</v>
      </c>
      <c r="J2211" s="2" t="s">
        <v>9551</v>
      </c>
      <c r="K2211" s="2" t="s">
        <v>11695</v>
      </c>
      <c r="L2211" s="2" t="s">
        <v>6101</v>
      </c>
      <c r="M2211" s="2" t="s">
        <v>11696</v>
      </c>
      <c r="N2211" s="2" t="s">
        <v>11697</v>
      </c>
      <c r="O2211" s="2" t="s">
        <v>11698</v>
      </c>
      <c r="P2211" s="2" t="s">
        <v>869</v>
      </c>
    </row>
    <row r="2212" ht="15.75" customHeight="1">
      <c r="H2212" s="2" t="s">
        <v>11699</v>
      </c>
      <c r="I2212" s="2" t="s">
        <v>11700</v>
      </c>
      <c r="J2212" s="2" t="s">
        <v>11701</v>
      </c>
      <c r="K2212" s="2" t="s">
        <v>11702</v>
      </c>
      <c r="L2212" s="2" t="s">
        <v>6101</v>
      </c>
      <c r="M2212" s="2" t="s">
        <v>11703</v>
      </c>
      <c r="N2212" s="2" t="s">
        <v>11704</v>
      </c>
      <c r="O2212" s="2" t="s">
        <v>11705</v>
      </c>
      <c r="P2212" s="2" t="s">
        <v>869</v>
      </c>
    </row>
    <row r="2213" ht="15.75" customHeight="1">
      <c r="H2213" s="2" t="s">
        <v>11706</v>
      </c>
      <c r="I2213" s="2" t="s">
        <v>11707</v>
      </c>
      <c r="J2213" s="2" t="s">
        <v>11708</v>
      </c>
      <c r="K2213" s="2" t="s">
        <v>11709</v>
      </c>
      <c r="L2213" s="2" t="s">
        <v>6101</v>
      </c>
      <c r="M2213" s="2" t="s">
        <v>11710</v>
      </c>
      <c r="N2213" s="2" t="s">
        <v>11711</v>
      </c>
      <c r="O2213" s="2" t="s">
        <v>869</v>
      </c>
      <c r="P2213" s="2" t="s">
        <v>870</v>
      </c>
    </row>
    <row r="2214" ht="15.75" customHeight="1">
      <c r="H2214" s="2" t="s">
        <v>11712</v>
      </c>
      <c r="I2214" s="2" t="s">
        <v>11713</v>
      </c>
      <c r="J2214" s="2" t="s">
        <v>11714</v>
      </c>
      <c r="K2214" s="2" t="s">
        <v>11715</v>
      </c>
      <c r="L2214" s="2" t="s">
        <v>6101</v>
      </c>
      <c r="M2214" s="2" t="s">
        <v>11716</v>
      </c>
      <c r="N2214" s="2" t="s">
        <v>11717</v>
      </c>
      <c r="O2214" s="2" t="s">
        <v>11718</v>
      </c>
      <c r="P2214" s="2" t="s">
        <v>869</v>
      </c>
    </row>
    <row r="2215" ht="15.75" customHeight="1">
      <c r="H2215" s="2" t="s">
        <v>11719</v>
      </c>
      <c r="I2215" s="2" t="s">
        <v>5151</v>
      </c>
      <c r="J2215" s="2" t="s">
        <v>5152</v>
      </c>
      <c r="K2215" s="2" t="s">
        <v>11720</v>
      </c>
      <c r="L2215" s="2" t="s">
        <v>6101</v>
      </c>
      <c r="M2215" s="2" t="s">
        <v>11721</v>
      </c>
      <c r="N2215" s="2" t="s">
        <v>11722</v>
      </c>
      <c r="O2215" s="2" t="s">
        <v>869</v>
      </c>
      <c r="P2215" s="2" t="s">
        <v>870</v>
      </c>
    </row>
    <row r="2216" ht="15.75" customHeight="1">
      <c r="H2216" s="2" t="s">
        <v>11723</v>
      </c>
      <c r="I2216" s="2" t="s">
        <v>11724</v>
      </c>
      <c r="J2216" s="2" t="s">
        <v>11725</v>
      </c>
      <c r="K2216" s="2" t="s">
        <v>11726</v>
      </c>
      <c r="L2216" s="2" t="s">
        <v>6101</v>
      </c>
      <c r="M2216" s="2" t="s">
        <v>11727</v>
      </c>
      <c r="N2216" s="2" t="s">
        <v>11728</v>
      </c>
      <c r="O2216" s="2" t="s">
        <v>869</v>
      </c>
      <c r="P2216" s="2" t="s">
        <v>870</v>
      </c>
    </row>
    <row r="2217" ht="15.75" customHeight="1">
      <c r="H2217" s="2" t="s">
        <v>11729</v>
      </c>
      <c r="I2217" s="2" t="s">
        <v>11730</v>
      </c>
      <c r="J2217" s="2" t="s">
        <v>11731</v>
      </c>
      <c r="K2217" s="2" t="s">
        <v>11732</v>
      </c>
      <c r="L2217" s="2" t="s">
        <v>6101</v>
      </c>
      <c r="M2217" s="2" t="s">
        <v>11733</v>
      </c>
      <c r="N2217" s="2" t="s">
        <v>11734</v>
      </c>
      <c r="O2217" s="2" t="s">
        <v>11735</v>
      </c>
      <c r="P2217" s="2" t="s">
        <v>869</v>
      </c>
    </row>
    <row r="2218" ht="15.75" customHeight="1">
      <c r="H2218" s="2" t="s">
        <v>11736</v>
      </c>
      <c r="I2218" s="2" t="s">
        <v>11737</v>
      </c>
      <c r="J2218" s="2" t="s">
        <v>11738</v>
      </c>
      <c r="K2218" s="2" t="s">
        <v>11739</v>
      </c>
      <c r="L2218" s="2" t="s">
        <v>6101</v>
      </c>
      <c r="M2218" s="2" t="s">
        <v>11740</v>
      </c>
      <c r="N2218" s="2" t="s">
        <v>11741</v>
      </c>
      <c r="O2218" s="2" t="s">
        <v>11742</v>
      </c>
      <c r="P2218" s="2" t="s">
        <v>869</v>
      </c>
    </row>
    <row r="2219" ht="15.75" customHeight="1">
      <c r="H2219" s="2" t="s">
        <v>11743</v>
      </c>
      <c r="I2219" s="2" t="s">
        <v>5155</v>
      </c>
      <c r="J2219" s="2" t="s">
        <v>5156</v>
      </c>
      <c r="K2219" s="2" t="s">
        <v>11744</v>
      </c>
      <c r="L2219" s="2" t="s">
        <v>6101</v>
      </c>
      <c r="M2219" s="2" t="s">
        <v>11745</v>
      </c>
      <c r="N2219" s="2" t="s">
        <v>11746</v>
      </c>
      <c r="O2219" s="2" t="s">
        <v>869</v>
      </c>
      <c r="P2219" s="2" t="s">
        <v>870</v>
      </c>
    </row>
    <row r="2220" ht="15.75" customHeight="1">
      <c r="H2220" s="2" t="s">
        <v>11747</v>
      </c>
      <c r="I2220" s="2" t="s">
        <v>11748</v>
      </c>
      <c r="J2220" s="2" t="s">
        <v>11749</v>
      </c>
      <c r="K2220" s="2" t="s">
        <v>11750</v>
      </c>
      <c r="L2220" s="2" t="s">
        <v>6101</v>
      </c>
      <c r="M2220" s="2" t="s">
        <v>11751</v>
      </c>
      <c r="N2220" s="2" t="s">
        <v>11752</v>
      </c>
      <c r="O2220" s="2" t="s">
        <v>11753</v>
      </c>
      <c r="P2220" s="2" t="s">
        <v>869</v>
      </c>
    </row>
    <row r="2221" ht="15.75" customHeight="1">
      <c r="H2221" s="2" t="s">
        <v>11754</v>
      </c>
      <c r="I2221" s="2" t="s">
        <v>11755</v>
      </c>
      <c r="J2221" s="2" t="s">
        <v>11756</v>
      </c>
      <c r="K2221" s="2" t="s">
        <v>11757</v>
      </c>
      <c r="L2221" s="2" t="s">
        <v>6101</v>
      </c>
      <c r="M2221" s="2" t="s">
        <v>11758</v>
      </c>
      <c r="N2221" s="2" t="s">
        <v>11759</v>
      </c>
      <c r="O2221" s="2" t="s">
        <v>869</v>
      </c>
      <c r="P2221" s="2" t="s">
        <v>870</v>
      </c>
    </row>
    <row r="2222" ht="15.75" customHeight="1">
      <c r="H2222" s="2" t="s">
        <v>11760</v>
      </c>
      <c r="I2222" s="2" t="s">
        <v>11761</v>
      </c>
      <c r="J2222" s="2" t="s">
        <v>11762</v>
      </c>
      <c r="K2222" s="2" t="s">
        <v>11763</v>
      </c>
      <c r="L2222" s="2" t="s">
        <v>6101</v>
      </c>
      <c r="M2222" s="2" t="s">
        <v>11764</v>
      </c>
      <c r="N2222" s="2" t="s">
        <v>11765</v>
      </c>
      <c r="O2222" s="2" t="s">
        <v>869</v>
      </c>
      <c r="P2222" s="2" t="s">
        <v>870</v>
      </c>
    </row>
    <row r="2223" ht="15.75" customHeight="1">
      <c r="H2223" s="2" t="s">
        <v>11766</v>
      </c>
      <c r="I2223" s="2" t="s">
        <v>11767</v>
      </c>
      <c r="J2223" s="2" t="s">
        <v>11768</v>
      </c>
      <c r="K2223" s="2" t="s">
        <v>11769</v>
      </c>
      <c r="L2223" s="2" t="s">
        <v>6101</v>
      </c>
      <c r="M2223" s="2" t="s">
        <v>11770</v>
      </c>
      <c r="N2223" s="2" t="s">
        <v>11771</v>
      </c>
      <c r="O2223" s="2" t="s">
        <v>869</v>
      </c>
      <c r="P2223" s="2" t="s">
        <v>870</v>
      </c>
    </row>
    <row r="2224" ht="15.75" customHeight="1">
      <c r="H2224" s="2" t="s">
        <v>11772</v>
      </c>
      <c r="I2224" s="2" t="s">
        <v>5170</v>
      </c>
      <c r="J2224" s="2" t="s">
        <v>5171</v>
      </c>
      <c r="K2224" s="2" t="s">
        <v>11773</v>
      </c>
      <c r="L2224" s="2" t="s">
        <v>6101</v>
      </c>
      <c r="M2224" s="2" t="s">
        <v>11774</v>
      </c>
      <c r="N2224" s="2" t="s">
        <v>11775</v>
      </c>
      <c r="O2224" s="2" t="s">
        <v>11776</v>
      </c>
      <c r="P2224" s="2" t="s">
        <v>869</v>
      </c>
    </row>
    <row r="2225" ht="15.75" customHeight="1">
      <c r="H2225" s="2" t="s">
        <v>11777</v>
      </c>
      <c r="I2225" s="2" t="s">
        <v>4127</v>
      </c>
      <c r="J2225" s="2" t="s">
        <v>4128</v>
      </c>
      <c r="K2225" s="2" t="s">
        <v>11778</v>
      </c>
      <c r="L2225" s="2" t="s">
        <v>6101</v>
      </c>
      <c r="M2225" s="2" t="s">
        <v>11779</v>
      </c>
      <c r="N2225" s="2" t="s">
        <v>11780</v>
      </c>
      <c r="O2225" s="2" t="s">
        <v>869</v>
      </c>
      <c r="P2225" s="2" t="s">
        <v>870</v>
      </c>
    </row>
    <row r="2226" ht="15.75" customHeight="1">
      <c r="H2226" s="2" t="s">
        <v>11781</v>
      </c>
      <c r="I2226" s="2" t="s">
        <v>11782</v>
      </c>
      <c r="J2226" s="2" t="s">
        <v>11783</v>
      </c>
      <c r="K2226" s="2" t="s">
        <v>11784</v>
      </c>
      <c r="L2226" s="2" t="s">
        <v>6101</v>
      </c>
      <c r="M2226" s="2" t="s">
        <v>11785</v>
      </c>
      <c r="N2226" s="2" t="s">
        <v>11786</v>
      </c>
      <c r="O2226" s="2" t="s">
        <v>11787</v>
      </c>
      <c r="P2226" s="2" t="s">
        <v>869</v>
      </c>
    </row>
    <row r="2227" ht="15.75" customHeight="1">
      <c r="H2227" s="2" t="s">
        <v>11788</v>
      </c>
      <c r="I2227" s="2" t="s">
        <v>11789</v>
      </c>
      <c r="J2227" s="2" t="s">
        <v>11790</v>
      </c>
      <c r="K2227" s="2" t="s">
        <v>11791</v>
      </c>
      <c r="L2227" s="2" t="s">
        <v>6101</v>
      </c>
      <c r="M2227" s="2" t="s">
        <v>11792</v>
      </c>
      <c r="N2227" s="2" t="s">
        <v>11793</v>
      </c>
      <c r="O2227" s="2" t="s">
        <v>11794</v>
      </c>
      <c r="P2227" s="2" t="s">
        <v>869</v>
      </c>
    </row>
    <row r="2228" ht="15.75" customHeight="1">
      <c r="H2228" s="2" t="s">
        <v>11795</v>
      </c>
      <c r="I2228" s="2" t="s">
        <v>11796</v>
      </c>
      <c r="J2228" s="2" t="s">
        <v>11797</v>
      </c>
      <c r="K2228" s="2" t="s">
        <v>11798</v>
      </c>
      <c r="L2228" s="2" t="s">
        <v>6101</v>
      </c>
      <c r="M2228" s="2" t="s">
        <v>11799</v>
      </c>
      <c r="N2228" s="2" t="s">
        <v>11800</v>
      </c>
      <c r="O2228" s="2" t="s">
        <v>869</v>
      </c>
      <c r="P2228" s="2" t="s">
        <v>870</v>
      </c>
    </row>
    <row r="2229" ht="15.75" customHeight="1">
      <c r="H2229" s="2" t="s">
        <v>11801</v>
      </c>
      <c r="I2229" s="2" t="s">
        <v>8924</v>
      </c>
      <c r="J2229" s="2" t="s">
        <v>8925</v>
      </c>
      <c r="K2229" s="2" t="s">
        <v>11802</v>
      </c>
      <c r="L2229" s="2" t="s">
        <v>6101</v>
      </c>
      <c r="M2229" s="2" t="s">
        <v>11803</v>
      </c>
      <c r="N2229" s="2" t="s">
        <v>11804</v>
      </c>
      <c r="O2229" s="2" t="s">
        <v>8929</v>
      </c>
      <c r="P2229" s="2" t="s">
        <v>869</v>
      </c>
    </row>
    <row r="2230" ht="15.75" customHeight="1">
      <c r="H2230" s="2" t="s">
        <v>11805</v>
      </c>
      <c r="I2230" s="2" t="s">
        <v>11806</v>
      </c>
      <c r="J2230" s="2" t="s">
        <v>11807</v>
      </c>
      <c r="K2230" s="2" t="s">
        <v>11808</v>
      </c>
      <c r="L2230" s="2" t="s">
        <v>6101</v>
      </c>
      <c r="M2230" s="2" t="s">
        <v>11809</v>
      </c>
      <c r="N2230" s="2" t="s">
        <v>11810</v>
      </c>
      <c r="O2230" s="2" t="s">
        <v>11811</v>
      </c>
      <c r="P2230" s="2" t="s">
        <v>869</v>
      </c>
    </row>
    <row r="2231" ht="15.75" customHeight="1">
      <c r="H2231" s="2" t="s">
        <v>11812</v>
      </c>
      <c r="I2231" s="2" t="s">
        <v>11813</v>
      </c>
      <c r="J2231" s="2" t="s">
        <v>11814</v>
      </c>
      <c r="K2231" s="2" t="s">
        <v>11815</v>
      </c>
      <c r="L2231" s="2" t="s">
        <v>6101</v>
      </c>
      <c r="M2231" s="2" t="s">
        <v>11816</v>
      </c>
      <c r="N2231" s="2" t="s">
        <v>11817</v>
      </c>
      <c r="O2231" s="2" t="s">
        <v>869</v>
      </c>
      <c r="P2231" s="2" t="s">
        <v>870</v>
      </c>
    </row>
    <row r="2232" ht="15.75" customHeight="1">
      <c r="H2232" s="2" t="s">
        <v>11818</v>
      </c>
      <c r="I2232" s="2" t="s">
        <v>5192</v>
      </c>
      <c r="J2232" s="2" t="s">
        <v>5193</v>
      </c>
      <c r="K2232" s="2" t="s">
        <v>11819</v>
      </c>
      <c r="L2232" s="2" t="s">
        <v>6101</v>
      </c>
      <c r="M2232" s="2" t="s">
        <v>11820</v>
      </c>
      <c r="N2232" s="2" t="s">
        <v>11821</v>
      </c>
      <c r="O2232" s="2" t="s">
        <v>11822</v>
      </c>
      <c r="P2232" s="2" t="s">
        <v>869</v>
      </c>
    </row>
    <row r="2233" ht="15.75" customHeight="1">
      <c r="H2233" s="2" t="s">
        <v>11823</v>
      </c>
      <c r="I2233" s="2" t="s">
        <v>5202</v>
      </c>
      <c r="J2233" s="2" t="s">
        <v>5203</v>
      </c>
      <c r="K2233" s="2" t="s">
        <v>11824</v>
      </c>
      <c r="L2233" s="2" t="s">
        <v>6101</v>
      </c>
      <c r="M2233" s="2" t="s">
        <v>11825</v>
      </c>
      <c r="N2233" s="2" t="s">
        <v>11826</v>
      </c>
      <c r="O2233" s="2" t="s">
        <v>869</v>
      </c>
      <c r="P2233" s="2" t="s">
        <v>870</v>
      </c>
    </row>
    <row r="2234" ht="15.75" customHeight="1">
      <c r="H2234" s="2" t="s">
        <v>11827</v>
      </c>
      <c r="I2234" s="2" t="s">
        <v>1167</v>
      </c>
      <c r="J2234" s="2" t="s">
        <v>1168</v>
      </c>
      <c r="K2234" s="2" t="s">
        <v>11828</v>
      </c>
      <c r="L2234" s="2" t="s">
        <v>6101</v>
      </c>
      <c r="M2234" s="2" t="s">
        <v>11829</v>
      </c>
      <c r="N2234" s="2" t="s">
        <v>11830</v>
      </c>
      <c r="O2234" s="2" t="s">
        <v>869</v>
      </c>
      <c r="P2234" s="2" t="s">
        <v>870</v>
      </c>
    </row>
    <row r="2235" ht="15.75" customHeight="1">
      <c r="H2235" s="2" t="s">
        <v>11831</v>
      </c>
      <c r="I2235" s="2" t="s">
        <v>11832</v>
      </c>
      <c r="J2235" s="2" t="s">
        <v>11833</v>
      </c>
      <c r="K2235" s="2" t="s">
        <v>11834</v>
      </c>
      <c r="L2235" s="2" t="s">
        <v>6101</v>
      </c>
      <c r="M2235" s="2" t="s">
        <v>11835</v>
      </c>
      <c r="N2235" s="2" t="s">
        <v>11836</v>
      </c>
      <c r="O2235" s="2" t="s">
        <v>869</v>
      </c>
      <c r="P2235" s="2" t="s">
        <v>870</v>
      </c>
    </row>
    <row r="2236" ht="15.75" customHeight="1">
      <c r="H2236" s="2" t="s">
        <v>11837</v>
      </c>
      <c r="I2236" s="2" t="s">
        <v>5225</v>
      </c>
      <c r="J2236" s="2" t="s">
        <v>5226</v>
      </c>
      <c r="K2236" s="2" t="s">
        <v>11838</v>
      </c>
      <c r="L2236" s="2" t="s">
        <v>6101</v>
      </c>
      <c r="M2236" s="2" t="s">
        <v>11839</v>
      </c>
      <c r="N2236" s="2" t="s">
        <v>11840</v>
      </c>
      <c r="O2236" s="2" t="s">
        <v>869</v>
      </c>
      <c r="P2236" s="2" t="s">
        <v>870</v>
      </c>
    </row>
    <row r="2237" ht="15.75" customHeight="1">
      <c r="H2237" s="2" t="s">
        <v>11841</v>
      </c>
      <c r="I2237" s="2" t="s">
        <v>5230</v>
      </c>
      <c r="J2237" s="2" t="s">
        <v>5231</v>
      </c>
      <c r="K2237" s="2" t="s">
        <v>11842</v>
      </c>
      <c r="L2237" s="2" t="s">
        <v>6101</v>
      </c>
      <c r="M2237" s="2" t="s">
        <v>11843</v>
      </c>
      <c r="N2237" s="2" t="s">
        <v>11844</v>
      </c>
      <c r="O2237" s="2" t="s">
        <v>11845</v>
      </c>
      <c r="P2237" s="2" t="s">
        <v>869</v>
      </c>
    </row>
    <row r="2238" ht="15.75" customHeight="1">
      <c r="H2238" s="2" t="s">
        <v>11846</v>
      </c>
      <c r="I2238" s="2" t="s">
        <v>11847</v>
      </c>
      <c r="J2238" s="2" t="s">
        <v>11848</v>
      </c>
      <c r="K2238" s="2" t="s">
        <v>11849</v>
      </c>
      <c r="L2238" s="2" t="s">
        <v>6101</v>
      </c>
      <c r="M2238" s="2" t="s">
        <v>11850</v>
      </c>
      <c r="N2238" s="2" t="s">
        <v>11851</v>
      </c>
      <c r="O2238" s="2" t="s">
        <v>869</v>
      </c>
      <c r="P2238" s="2" t="s">
        <v>870</v>
      </c>
    </row>
    <row r="2239" ht="15.75" customHeight="1">
      <c r="H2239" s="2" t="s">
        <v>11852</v>
      </c>
      <c r="I2239" s="2" t="s">
        <v>11853</v>
      </c>
      <c r="J2239" s="2" t="s">
        <v>11854</v>
      </c>
      <c r="K2239" s="2" t="s">
        <v>11855</v>
      </c>
      <c r="L2239" s="2" t="s">
        <v>6101</v>
      </c>
      <c r="M2239" s="2" t="s">
        <v>11856</v>
      </c>
      <c r="N2239" s="2" t="s">
        <v>11857</v>
      </c>
      <c r="O2239" s="2" t="s">
        <v>11858</v>
      </c>
      <c r="P2239" s="2" t="s">
        <v>869</v>
      </c>
    </row>
    <row r="2240" ht="15.75" customHeight="1">
      <c r="H2240" s="2" t="s">
        <v>11859</v>
      </c>
      <c r="I2240" s="2" t="s">
        <v>11860</v>
      </c>
      <c r="J2240" s="2" t="s">
        <v>11861</v>
      </c>
      <c r="K2240" s="2" t="s">
        <v>11862</v>
      </c>
      <c r="L2240" s="2" t="s">
        <v>6101</v>
      </c>
      <c r="M2240" s="2" t="s">
        <v>11863</v>
      </c>
      <c r="N2240" s="2" t="s">
        <v>11864</v>
      </c>
      <c r="O2240" s="2" t="s">
        <v>11865</v>
      </c>
      <c r="P2240" s="2" t="s">
        <v>869</v>
      </c>
    </row>
    <row r="2241" ht="15.75" customHeight="1">
      <c r="H2241" s="2" t="s">
        <v>11866</v>
      </c>
      <c r="I2241" s="2" t="s">
        <v>5235</v>
      </c>
      <c r="J2241" s="2" t="s">
        <v>5236</v>
      </c>
      <c r="K2241" s="2" t="s">
        <v>11867</v>
      </c>
      <c r="L2241" s="2" t="s">
        <v>6101</v>
      </c>
      <c r="M2241" s="2" t="s">
        <v>11868</v>
      </c>
      <c r="N2241" s="2" t="s">
        <v>11869</v>
      </c>
      <c r="O2241" s="2" t="s">
        <v>869</v>
      </c>
      <c r="P2241" s="2" t="s">
        <v>870</v>
      </c>
    </row>
    <row r="2242" ht="15.75" customHeight="1">
      <c r="H2242" s="2" t="s">
        <v>11870</v>
      </c>
      <c r="I2242" s="2" t="s">
        <v>11871</v>
      </c>
      <c r="J2242" s="2" t="s">
        <v>11872</v>
      </c>
      <c r="K2242" s="2" t="s">
        <v>11873</v>
      </c>
      <c r="L2242" s="2" t="s">
        <v>6101</v>
      </c>
      <c r="M2242" s="2" t="s">
        <v>11874</v>
      </c>
      <c r="N2242" s="2" t="s">
        <v>11875</v>
      </c>
      <c r="O2242" s="2" t="s">
        <v>11876</v>
      </c>
      <c r="P2242" s="2" t="s">
        <v>869</v>
      </c>
    </row>
    <row r="2243" ht="15.75" customHeight="1">
      <c r="H2243" s="2" t="s">
        <v>11877</v>
      </c>
      <c r="I2243" s="2" t="s">
        <v>11878</v>
      </c>
      <c r="J2243" s="2" t="s">
        <v>11879</v>
      </c>
      <c r="K2243" s="2" t="s">
        <v>11880</v>
      </c>
      <c r="L2243" s="2" t="s">
        <v>6101</v>
      </c>
      <c r="M2243" s="2" t="s">
        <v>11881</v>
      </c>
      <c r="N2243" s="2" t="s">
        <v>11882</v>
      </c>
      <c r="O2243" s="2" t="s">
        <v>869</v>
      </c>
      <c r="P2243" s="2" t="s">
        <v>870</v>
      </c>
    </row>
    <row r="2244" ht="15.75" customHeight="1">
      <c r="H2244" s="2" t="s">
        <v>11883</v>
      </c>
      <c r="I2244" s="2" t="s">
        <v>11884</v>
      </c>
      <c r="J2244" s="2" t="s">
        <v>11885</v>
      </c>
      <c r="K2244" s="2" t="s">
        <v>11886</v>
      </c>
      <c r="L2244" s="2" t="s">
        <v>6101</v>
      </c>
      <c r="M2244" s="2" t="s">
        <v>11887</v>
      </c>
      <c r="N2244" s="2" t="s">
        <v>11888</v>
      </c>
      <c r="O2244" s="2" t="s">
        <v>869</v>
      </c>
      <c r="P2244" s="2" t="s">
        <v>870</v>
      </c>
    </row>
    <row r="2245" ht="15.75" customHeight="1">
      <c r="H2245" s="2" t="s">
        <v>11889</v>
      </c>
      <c r="I2245" s="2" t="s">
        <v>11890</v>
      </c>
      <c r="J2245" s="2" t="s">
        <v>11891</v>
      </c>
      <c r="K2245" s="2" t="s">
        <v>11892</v>
      </c>
      <c r="L2245" s="2" t="s">
        <v>6101</v>
      </c>
      <c r="M2245" s="2" t="s">
        <v>11893</v>
      </c>
      <c r="N2245" s="2" t="s">
        <v>11894</v>
      </c>
      <c r="O2245" s="2" t="s">
        <v>869</v>
      </c>
      <c r="P2245" s="2" t="s">
        <v>870</v>
      </c>
    </row>
    <row r="2246" ht="15.75" customHeight="1">
      <c r="H2246" s="2" t="s">
        <v>11895</v>
      </c>
      <c r="I2246" s="2" t="s">
        <v>845</v>
      </c>
      <c r="J2246" s="2" t="s">
        <v>846</v>
      </c>
      <c r="K2246" s="2" t="s">
        <v>11896</v>
      </c>
      <c r="L2246" s="2" t="s">
        <v>6101</v>
      </c>
      <c r="M2246" s="2" t="s">
        <v>11897</v>
      </c>
      <c r="N2246" s="2" t="s">
        <v>11898</v>
      </c>
      <c r="O2246" s="2" t="s">
        <v>11899</v>
      </c>
      <c r="P2246" s="2" t="s">
        <v>869</v>
      </c>
    </row>
    <row r="2247" ht="15.75" customHeight="1">
      <c r="B2247" s="2" t="s">
        <v>11900</v>
      </c>
      <c r="C2247" s="2" t="s">
        <v>1288</v>
      </c>
      <c r="D2247" s="2" t="s">
        <v>11901</v>
      </c>
      <c r="F2247" s="2" t="s">
        <v>534</v>
      </c>
      <c r="H2247" s="2" t="s">
        <v>11902</v>
      </c>
      <c r="I2247" s="2" t="s">
        <v>284</v>
      </c>
      <c r="J2247" s="2" t="s">
        <v>284</v>
      </c>
      <c r="K2247" s="2" t="s">
        <v>1952</v>
      </c>
    </row>
    <row r="2248" ht="15.75" customHeight="1">
      <c r="H2248" s="2" t="s">
        <v>11903</v>
      </c>
      <c r="I2248" s="2" t="s">
        <v>536</v>
      </c>
      <c r="J2248" s="2" t="s">
        <v>537</v>
      </c>
      <c r="K2248" s="2" t="s">
        <v>538</v>
      </c>
    </row>
    <row r="2249" ht="15.75" customHeight="1">
      <c r="B2249" s="2" t="s">
        <v>11904</v>
      </c>
      <c r="C2249" s="2" t="s">
        <v>996</v>
      </c>
      <c r="D2249" s="2" t="s">
        <v>11905</v>
      </c>
      <c r="F2249" s="2" t="s">
        <v>19</v>
      </c>
      <c r="H2249" s="2" t="s">
        <v>11906</v>
      </c>
      <c r="I2249" s="2" t="s">
        <v>21</v>
      </c>
      <c r="J2249" s="2" t="s">
        <v>22</v>
      </c>
      <c r="K2249" s="2" t="s">
        <v>865</v>
      </c>
      <c r="L2249" s="2" t="s">
        <v>11907</v>
      </c>
      <c r="M2249" s="2" t="s">
        <v>11908</v>
      </c>
      <c r="N2249" s="2" t="s">
        <v>11909</v>
      </c>
      <c r="O2249" s="2" t="s">
        <v>869</v>
      </c>
      <c r="P2249" s="2" t="s">
        <v>870</v>
      </c>
    </row>
    <row r="2250" ht="15.75" customHeight="1">
      <c r="F2250" s="2" t="s">
        <v>29</v>
      </c>
      <c r="H2250" s="2" t="s">
        <v>11910</v>
      </c>
      <c r="I2250" s="2" t="s">
        <v>31</v>
      </c>
      <c r="J2250" s="2" t="s">
        <v>32</v>
      </c>
      <c r="K2250" s="2" t="s">
        <v>874</v>
      </c>
      <c r="L2250" s="2" t="s">
        <v>11911</v>
      </c>
      <c r="M2250" s="2" t="s">
        <v>11912</v>
      </c>
      <c r="N2250" s="2" t="s">
        <v>11913</v>
      </c>
      <c r="O2250" s="2" t="s">
        <v>869</v>
      </c>
      <c r="P2250" s="2" t="s">
        <v>870</v>
      </c>
    </row>
    <row r="2251" ht="15.75" customHeight="1">
      <c r="F2251" s="2" t="s">
        <v>74</v>
      </c>
      <c r="H2251" s="2" t="s">
        <v>11914</v>
      </c>
      <c r="I2251" s="2" t="s">
        <v>76</v>
      </c>
      <c r="J2251" s="2" t="s">
        <v>77</v>
      </c>
      <c r="K2251" s="2" t="s">
        <v>947</v>
      </c>
      <c r="L2251" s="2" t="s">
        <v>11915</v>
      </c>
      <c r="M2251" s="2" t="s">
        <v>11916</v>
      </c>
      <c r="N2251" s="2" t="s">
        <v>11917</v>
      </c>
      <c r="O2251" s="2" t="s">
        <v>869</v>
      </c>
      <c r="P2251" s="2" t="s">
        <v>870</v>
      </c>
    </row>
    <row r="2252" ht="15.75" customHeight="1">
      <c r="H2252" s="2" t="s">
        <v>11918</v>
      </c>
      <c r="I2252" s="2" t="s">
        <v>1535</v>
      </c>
      <c r="J2252" s="2" t="s">
        <v>1536</v>
      </c>
      <c r="K2252" s="2" t="s">
        <v>1297</v>
      </c>
      <c r="L2252" s="2" t="s">
        <v>11919</v>
      </c>
      <c r="M2252" s="2" t="s">
        <v>11920</v>
      </c>
      <c r="N2252" s="2" t="s">
        <v>11921</v>
      </c>
      <c r="O2252" s="2" t="s">
        <v>869</v>
      </c>
      <c r="P2252" s="2" t="s">
        <v>870</v>
      </c>
    </row>
    <row r="2253" ht="15.75" customHeight="1">
      <c r="H2253" s="2" t="s">
        <v>11922</v>
      </c>
      <c r="I2253" s="2" t="s">
        <v>11923</v>
      </c>
      <c r="J2253" s="2" t="s">
        <v>11924</v>
      </c>
      <c r="K2253" s="2" t="s">
        <v>1325</v>
      </c>
      <c r="L2253" s="2" t="s">
        <v>11907</v>
      </c>
      <c r="M2253" s="2" t="s">
        <v>11925</v>
      </c>
      <c r="N2253" s="2" t="s">
        <v>11926</v>
      </c>
      <c r="O2253" s="2" t="s">
        <v>869</v>
      </c>
      <c r="P2253" s="2" t="s">
        <v>870</v>
      </c>
    </row>
    <row r="2254" ht="15.75" customHeight="1">
      <c r="H2254" s="2" t="s">
        <v>11927</v>
      </c>
      <c r="I2254" s="2" t="s">
        <v>142</v>
      </c>
      <c r="J2254" s="2" t="s">
        <v>143</v>
      </c>
      <c r="K2254" s="2" t="s">
        <v>1205</v>
      </c>
      <c r="L2254" s="2" t="s">
        <v>11907</v>
      </c>
      <c r="M2254" s="2" t="s">
        <v>11928</v>
      </c>
      <c r="N2254" s="2" t="s">
        <v>11929</v>
      </c>
      <c r="O2254" s="2" t="s">
        <v>869</v>
      </c>
      <c r="P2254" s="2" t="s">
        <v>870</v>
      </c>
    </row>
    <row r="2255" ht="15.75" customHeight="1">
      <c r="H2255" s="2" t="s">
        <v>11930</v>
      </c>
      <c r="I2255" s="2" t="s">
        <v>7075</v>
      </c>
      <c r="J2255" s="2" t="s">
        <v>7076</v>
      </c>
      <c r="L2255" s="2" t="s">
        <v>11907</v>
      </c>
      <c r="M2255" s="2" t="s">
        <v>11931</v>
      </c>
      <c r="N2255" s="2" t="s">
        <v>11932</v>
      </c>
      <c r="O2255" s="2" t="s">
        <v>869</v>
      </c>
      <c r="P2255" s="2" t="s">
        <v>870</v>
      </c>
    </row>
    <row r="2256" ht="15.75" customHeight="1">
      <c r="H2256" s="2" t="s">
        <v>11933</v>
      </c>
      <c r="I2256" s="2" t="s">
        <v>11934</v>
      </c>
      <c r="J2256" s="2" t="s">
        <v>11935</v>
      </c>
      <c r="L2256" s="2" t="s">
        <v>11907</v>
      </c>
      <c r="M2256" s="2" t="s">
        <v>11936</v>
      </c>
      <c r="N2256" s="2" t="s">
        <v>869</v>
      </c>
      <c r="O2256" s="2" t="s">
        <v>870</v>
      </c>
    </row>
    <row r="2257" ht="15.75" customHeight="1">
      <c r="H2257" s="2" t="s">
        <v>11937</v>
      </c>
      <c r="I2257" s="2" t="s">
        <v>167</v>
      </c>
      <c r="J2257" s="2" t="s">
        <v>168</v>
      </c>
      <c r="K2257" s="2" t="s">
        <v>1692</v>
      </c>
      <c r="L2257" s="2" t="s">
        <v>11938</v>
      </c>
      <c r="M2257" s="2" t="s">
        <v>11939</v>
      </c>
      <c r="N2257" s="2" t="s">
        <v>11940</v>
      </c>
      <c r="O2257" s="2" t="s">
        <v>869</v>
      </c>
      <c r="P2257" s="2" t="s">
        <v>870</v>
      </c>
    </row>
    <row r="2258" ht="15.75" customHeight="1">
      <c r="H2258" s="2" t="s">
        <v>11941</v>
      </c>
      <c r="I2258" s="2" t="s">
        <v>176</v>
      </c>
      <c r="J2258" s="2" t="s">
        <v>177</v>
      </c>
      <c r="K2258" s="2" t="s">
        <v>1708</v>
      </c>
      <c r="L2258" s="2" t="s">
        <v>11942</v>
      </c>
      <c r="M2258" s="2" t="s">
        <v>11943</v>
      </c>
      <c r="N2258" s="2" t="s">
        <v>11944</v>
      </c>
      <c r="O2258" s="2" t="s">
        <v>869</v>
      </c>
      <c r="P2258" s="2" t="s">
        <v>870</v>
      </c>
    </row>
    <row r="2259" ht="15.75" customHeight="1">
      <c r="H2259" s="2" t="s">
        <v>11945</v>
      </c>
      <c r="I2259" s="2" t="s">
        <v>217</v>
      </c>
      <c r="J2259" s="2" t="s">
        <v>218</v>
      </c>
      <c r="L2259" s="2" t="s">
        <v>11907</v>
      </c>
      <c r="M2259" s="2" t="s">
        <v>11946</v>
      </c>
      <c r="N2259" s="2" t="s">
        <v>11947</v>
      </c>
      <c r="O2259" s="2" t="s">
        <v>869</v>
      </c>
      <c r="P2259" s="2" t="s">
        <v>870</v>
      </c>
    </row>
    <row r="2260" ht="15.75" customHeight="1">
      <c r="H2260" s="2" t="s">
        <v>11948</v>
      </c>
      <c r="I2260" s="2" t="s">
        <v>225</v>
      </c>
      <c r="J2260" s="2" t="s">
        <v>226</v>
      </c>
      <c r="L2260" s="2" t="s">
        <v>11907</v>
      </c>
      <c r="M2260" s="2" t="s">
        <v>11949</v>
      </c>
      <c r="N2260" s="2" t="s">
        <v>11950</v>
      </c>
      <c r="O2260" s="2" t="s">
        <v>869</v>
      </c>
      <c r="P2260" s="2" t="s">
        <v>870</v>
      </c>
    </row>
    <row r="2261" ht="15.75" customHeight="1">
      <c r="H2261" s="2" t="s">
        <v>11951</v>
      </c>
      <c r="I2261" s="2" t="s">
        <v>7251</v>
      </c>
      <c r="J2261" s="2" t="s">
        <v>7252</v>
      </c>
      <c r="K2261" s="2" t="s">
        <v>11952</v>
      </c>
      <c r="L2261" s="2" t="s">
        <v>11907</v>
      </c>
      <c r="M2261" s="2" t="s">
        <v>11953</v>
      </c>
      <c r="N2261" s="2" t="s">
        <v>11954</v>
      </c>
      <c r="O2261" s="2" t="s">
        <v>869</v>
      </c>
      <c r="P2261" s="2" t="s">
        <v>870</v>
      </c>
    </row>
    <row r="2262" ht="15.75" customHeight="1">
      <c r="F2262" s="2" t="s">
        <v>265</v>
      </c>
      <c r="H2262" s="2" t="s">
        <v>11955</v>
      </c>
      <c r="I2262" s="2" t="s">
        <v>267</v>
      </c>
      <c r="J2262" s="2" t="s">
        <v>268</v>
      </c>
      <c r="K2262" s="2" t="s">
        <v>1313</v>
      </c>
      <c r="L2262" s="2" t="s">
        <v>11907</v>
      </c>
      <c r="M2262" s="2" t="s">
        <v>11956</v>
      </c>
      <c r="N2262" s="2" t="s">
        <v>11957</v>
      </c>
      <c r="O2262" s="2" t="s">
        <v>869</v>
      </c>
      <c r="P2262" s="2" t="s">
        <v>870</v>
      </c>
    </row>
    <row r="2263" ht="15.75" customHeight="1">
      <c r="F2263" s="2" t="s">
        <v>284</v>
      </c>
      <c r="H2263" s="2" t="s">
        <v>11958</v>
      </c>
      <c r="I2263" s="2" t="s">
        <v>11959</v>
      </c>
      <c r="J2263" s="2" t="s">
        <v>11960</v>
      </c>
      <c r="K2263" s="2" t="s">
        <v>996</v>
      </c>
      <c r="L2263" s="2" t="s">
        <v>11961</v>
      </c>
      <c r="M2263" s="2" t="s">
        <v>11962</v>
      </c>
      <c r="N2263" s="2" t="s">
        <v>11963</v>
      </c>
      <c r="O2263" s="2" t="s">
        <v>869</v>
      </c>
      <c r="P2263" s="2" t="s">
        <v>870</v>
      </c>
    </row>
    <row r="2264" ht="15.75" customHeight="1">
      <c r="H2264" s="2" t="s">
        <v>11964</v>
      </c>
      <c r="I2264" s="2" t="s">
        <v>286</v>
      </c>
      <c r="J2264" s="2" t="s">
        <v>287</v>
      </c>
      <c r="L2264" s="2" t="s">
        <v>11907</v>
      </c>
      <c r="M2264" s="2" t="s">
        <v>11965</v>
      </c>
      <c r="N2264" s="2" t="s">
        <v>11966</v>
      </c>
      <c r="O2264" s="2" t="s">
        <v>869</v>
      </c>
      <c r="P2264" s="2" t="s">
        <v>870</v>
      </c>
    </row>
    <row r="2265" ht="15.75" customHeight="1">
      <c r="H2265" s="2" t="s">
        <v>11967</v>
      </c>
      <c r="I2265" s="2" t="s">
        <v>5889</v>
      </c>
      <c r="J2265" s="2" t="s">
        <v>5890</v>
      </c>
      <c r="K2265" s="2" t="s">
        <v>1136</v>
      </c>
      <c r="L2265" s="2" t="s">
        <v>11968</v>
      </c>
      <c r="M2265" s="2" t="s">
        <v>11969</v>
      </c>
      <c r="N2265" s="2" t="s">
        <v>11970</v>
      </c>
      <c r="O2265" s="2" t="s">
        <v>869</v>
      </c>
      <c r="P2265" s="2" t="s">
        <v>870</v>
      </c>
    </row>
    <row r="2266" ht="15.75" customHeight="1">
      <c r="H2266" s="2" t="s">
        <v>11971</v>
      </c>
      <c r="I2266" s="2" t="s">
        <v>302</v>
      </c>
      <c r="J2266" s="2" t="s">
        <v>303</v>
      </c>
      <c r="L2266" s="2" t="s">
        <v>11907</v>
      </c>
      <c r="M2266" s="2" t="s">
        <v>11972</v>
      </c>
      <c r="N2266" s="2" t="s">
        <v>11973</v>
      </c>
      <c r="O2266" s="2" t="s">
        <v>869</v>
      </c>
      <c r="P2266" s="2" t="s">
        <v>870</v>
      </c>
    </row>
    <row r="2267" ht="15.75" customHeight="1">
      <c r="H2267" s="2" t="s">
        <v>11974</v>
      </c>
      <c r="I2267" s="2" t="s">
        <v>11975</v>
      </c>
      <c r="J2267" s="2" t="s">
        <v>11976</v>
      </c>
      <c r="L2267" s="2" t="s">
        <v>11907</v>
      </c>
      <c r="M2267" s="2" t="s">
        <v>11977</v>
      </c>
      <c r="N2267" s="2" t="s">
        <v>11978</v>
      </c>
      <c r="O2267" s="2" t="s">
        <v>869</v>
      </c>
      <c r="P2267" s="2" t="s">
        <v>870</v>
      </c>
    </row>
    <row r="2268" ht="15.75" customHeight="1">
      <c r="H2268" s="2" t="s">
        <v>11979</v>
      </c>
      <c r="I2268" s="2" t="s">
        <v>5421</v>
      </c>
      <c r="J2268" s="2" t="s">
        <v>5422</v>
      </c>
      <c r="K2268" s="2" t="s">
        <v>1169</v>
      </c>
      <c r="L2268" s="2" t="s">
        <v>11980</v>
      </c>
      <c r="M2268" s="2" t="s">
        <v>11981</v>
      </c>
      <c r="N2268" s="2" t="s">
        <v>11982</v>
      </c>
      <c r="O2268" s="2" t="s">
        <v>869</v>
      </c>
      <c r="P2268" s="2" t="s">
        <v>870</v>
      </c>
    </row>
    <row r="2269" ht="15.75" customHeight="1">
      <c r="H2269" s="2" t="s">
        <v>11983</v>
      </c>
      <c r="I2269" s="2" t="s">
        <v>326</v>
      </c>
      <c r="J2269" s="2" t="s">
        <v>327</v>
      </c>
      <c r="K2269" s="2" t="s">
        <v>1331</v>
      </c>
      <c r="L2269" s="2" t="s">
        <v>11984</v>
      </c>
      <c r="M2269" s="2" t="s">
        <v>11985</v>
      </c>
      <c r="N2269" s="2" t="s">
        <v>11986</v>
      </c>
      <c r="O2269" s="2" t="s">
        <v>869</v>
      </c>
      <c r="P2269" s="2" t="s">
        <v>870</v>
      </c>
    </row>
    <row r="2270" ht="15.75" customHeight="1">
      <c r="H2270" s="2" t="s">
        <v>11987</v>
      </c>
      <c r="I2270" s="2" t="s">
        <v>352</v>
      </c>
      <c r="J2270" s="2" t="s">
        <v>353</v>
      </c>
      <c r="L2270" s="2" t="s">
        <v>11907</v>
      </c>
      <c r="M2270" s="2" t="s">
        <v>11988</v>
      </c>
      <c r="N2270" s="2" t="s">
        <v>11989</v>
      </c>
      <c r="O2270" s="2" t="s">
        <v>869</v>
      </c>
      <c r="P2270" s="2" t="s">
        <v>870</v>
      </c>
    </row>
    <row r="2271" ht="15.75" customHeight="1">
      <c r="H2271" s="2" t="s">
        <v>11990</v>
      </c>
      <c r="I2271" s="2" t="s">
        <v>415</v>
      </c>
      <c r="J2271" s="2" t="s">
        <v>416</v>
      </c>
      <c r="K2271" s="2" t="s">
        <v>11991</v>
      </c>
      <c r="L2271" s="2" t="s">
        <v>11907</v>
      </c>
      <c r="M2271" s="2" t="s">
        <v>11992</v>
      </c>
      <c r="N2271" s="2" t="s">
        <v>11993</v>
      </c>
      <c r="O2271" s="2" t="s">
        <v>869</v>
      </c>
      <c r="P2271" s="2" t="s">
        <v>870</v>
      </c>
    </row>
    <row r="2272" ht="15.75" customHeight="1">
      <c r="H2272" s="2" t="s">
        <v>11994</v>
      </c>
      <c r="I2272" s="2" t="s">
        <v>5459</v>
      </c>
      <c r="J2272" s="2" t="s">
        <v>5460</v>
      </c>
      <c r="L2272" s="2" t="s">
        <v>11907</v>
      </c>
      <c r="M2272" s="2" t="s">
        <v>11995</v>
      </c>
      <c r="N2272" s="2" t="s">
        <v>11996</v>
      </c>
      <c r="O2272" s="2" t="s">
        <v>869</v>
      </c>
      <c r="P2272" s="2" t="s">
        <v>870</v>
      </c>
    </row>
    <row r="2273" ht="15.75" customHeight="1">
      <c r="H2273" s="2" t="s">
        <v>11997</v>
      </c>
      <c r="I2273" s="2" t="s">
        <v>11998</v>
      </c>
      <c r="J2273" s="2" t="s">
        <v>11999</v>
      </c>
      <c r="K2273" s="2" t="s">
        <v>1433</v>
      </c>
      <c r="L2273" s="2" t="s">
        <v>12000</v>
      </c>
      <c r="M2273" s="2" t="s">
        <v>12001</v>
      </c>
      <c r="N2273" s="2" t="s">
        <v>12002</v>
      </c>
      <c r="O2273" s="2" t="s">
        <v>869</v>
      </c>
      <c r="P2273" s="2" t="s">
        <v>870</v>
      </c>
    </row>
    <row r="2274" ht="15.75" customHeight="1">
      <c r="H2274" s="2" t="s">
        <v>12003</v>
      </c>
      <c r="I2274" s="2" t="s">
        <v>2286</v>
      </c>
      <c r="J2274" s="2" t="s">
        <v>2287</v>
      </c>
      <c r="L2274" s="2" t="s">
        <v>11907</v>
      </c>
      <c r="M2274" s="2" t="s">
        <v>12004</v>
      </c>
      <c r="N2274" s="2" t="s">
        <v>12005</v>
      </c>
      <c r="O2274" s="2" t="s">
        <v>869</v>
      </c>
      <c r="P2274" s="2" t="s">
        <v>870</v>
      </c>
    </row>
    <row r="2275" ht="15.75" customHeight="1">
      <c r="H2275" s="2" t="s">
        <v>12006</v>
      </c>
      <c r="I2275" s="2" t="s">
        <v>432</v>
      </c>
      <c r="J2275" s="2" t="s">
        <v>433</v>
      </c>
      <c r="K2275" s="2" t="s">
        <v>2236</v>
      </c>
      <c r="L2275" s="2" t="s">
        <v>12007</v>
      </c>
      <c r="M2275" s="2" t="s">
        <v>12008</v>
      </c>
      <c r="N2275" s="2" t="s">
        <v>12009</v>
      </c>
      <c r="O2275" s="2" t="s">
        <v>869</v>
      </c>
      <c r="P2275" s="2" t="s">
        <v>870</v>
      </c>
    </row>
    <row r="2276" ht="15.75" customHeight="1">
      <c r="H2276" s="2" t="s">
        <v>12010</v>
      </c>
      <c r="I2276" s="2" t="s">
        <v>662</v>
      </c>
      <c r="J2276" s="2" t="s">
        <v>663</v>
      </c>
      <c r="K2276" s="2" t="s">
        <v>2309</v>
      </c>
      <c r="L2276" s="2" t="s">
        <v>12011</v>
      </c>
      <c r="M2276" s="2" t="s">
        <v>12012</v>
      </c>
      <c r="N2276" s="2" t="s">
        <v>12013</v>
      </c>
      <c r="O2276" s="2" t="s">
        <v>869</v>
      </c>
      <c r="P2276" s="2" t="s">
        <v>870</v>
      </c>
    </row>
    <row r="2277" ht="15.75" customHeight="1">
      <c r="H2277" s="2" t="s">
        <v>12014</v>
      </c>
      <c r="I2277" s="2" t="s">
        <v>510</v>
      </c>
      <c r="J2277" s="2" t="s">
        <v>511</v>
      </c>
      <c r="K2277" s="2" t="s">
        <v>2068</v>
      </c>
      <c r="L2277" s="2" t="s">
        <v>11907</v>
      </c>
      <c r="M2277" s="2" t="s">
        <v>12015</v>
      </c>
      <c r="N2277" s="2" t="s">
        <v>12016</v>
      </c>
      <c r="O2277" s="2" t="s">
        <v>869</v>
      </c>
      <c r="P2277" s="2" t="s">
        <v>870</v>
      </c>
    </row>
    <row r="2278" ht="15.75" customHeight="1">
      <c r="H2278" s="2" t="s">
        <v>12017</v>
      </c>
      <c r="I2278" s="2" t="s">
        <v>2435</v>
      </c>
      <c r="J2278" s="2" t="s">
        <v>2436</v>
      </c>
      <c r="K2278" s="2" t="s">
        <v>1785</v>
      </c>
      <c r="L2278" s="2" t="s">
        <v>12018</v>
      </c>
      <c r="M2278" s="2" t="s">
        <v>12019</v>
      </c>
      <c r="N2278" s="2" t="s">
        <v>12020</v>
      </c>
      <c r="O2278" s="2" t="s">
        <v>869</v>
      </c>
      <c r="P2278" s="2" t="s">
        <v>870</v>
      </c>
    </row>
    <row r="2279" ht="15.75" customHeight="1">
      <c r="H2279" s="2" t="s">
        <v>12021</v>
      </c>
      <c r="I2279" s="2" t="s">
        <v>518</v>
      </c>
      <c r="J2279" s="2" t="s">
        <v>519</v>
      </c>
      <c r="L2279" s="2" t="s">
        <v>11907</v>
      </c>
      <c r="M2279" s="2" t="s">
        <v>12022</v>
      </c>
      <c r="N2279" s="2" t="s">
        <v>12023</v>
      </c>
      <c r="O2279" s="2" t="s">
        <v>869</v>
      </c>
      <c r="P2279" s="2" t="s">
        <v>870</v>
      </c>
    </row>
    <row r="2280" ht="15.75" customHeight="1">
      <c r="H2280" s="2" t="s">
        <v>12024</v>
      </c>
      <c r="I2280" s="2" t="s">
        <v>526</v>
      </c>
      <c r="J2280" s="2" t="s">
        <v>527</v>
      </c>
      <c r="K2280" s="2" t="s">
        <v>2316</v>
      </c>
      <c r="L2280" s="2" t="s">
        <v>11907</v>
      </c>
      <c r="M2280" s="2" t="s">
        <v>12025</v>
      </c>
      <c r="N2280" s="2" t="s">
        <v>12026</v>
      </c>
      <c r="O2280" s="2" t="s">
        <v>869</v>
      </c>
      <c r="P2280" s="2" t="s">
        <v>870</v>
      </c>
    </row>
    <row r="2281" ht="15.75" customHeight="1">
      <c r="F2281" s="2" t="s">
        <v>556</v>
      </c>
      <c r="H2281" s="2" t="s">
        <v>12027</v>
      </c>
      <c r="I2281" s="2" t="s">
        <v>12028</v>
      </c>
      <c r="J2281" s="2" t="s">
        <v>12029</v>
      </c>
      <c r="K2281" s="2" t="s">
        <v>996</v>
      </c>
      <c r="L2281" s="2" t="s">
        <v>11907</v>
      </c>
      <c r="M2281" s="2" t="s">
        <v>12030</v>
      </c>
      <c r="N2281" s="2" t="s">
        <v>12031</v>
      </c>
      <c r="O2281" s="2" t="s">
        <v>869</v>
      </c>
      <c r="P2281" s="2" t="s">
        <v>870</v>
      </c>
    </row>
    <row r="2282" ht="15.75" customHeight="1">
      <c r="H2282" s="2" t="s">
        <v>12032</v>
      </c>
      <c r="I2282" s="2" t="s">
        <v>12033</v>
      </c>
      <c r="J2282" s="2" t="s">
        <v>12034</v>
      </c>
      <c r="L2282" s="2" t="s">
        <v>11907</v>
      </c>
      <c r="M2282" s="2" t="s">
        <v>12035</v>
      </c>
      <c r="N2282" s="2" t="s">
        <v>12036</v>
      </c>
      <c r="O2282" s="2" t="s">
        <v>869</v>
      </c>
      <c r="P2282" s="2" t="s">
        <v>870</v>
      </c>
    </row>
    <row r="2283" ht="15.75" customHeight="1">
      <c r="F2283" s="2" t="s">
        <v>2827</v>
      </c>
      <c r="H2283" s="2" t="s">
        <v>12037</v>
      </c>
      <c r="I2283" s="2" t="s">
        <v>2862</v>
      </c>
      <c r="J2283" s="2" t="s">
        <v>2863</v>
      </c>
      <c r="L2283" s="2" t="s">
        <v>11907</v>
      </c>
      <c r="M2283" s="2" t="s">
        <v>12038</v>
      </c>
      <c r="N2283" s="2" t="s">
        <v>12039</v>
      </c>
      <c r="O2283" s="2" t="s">
        <v>869</v>
      </c>
      <c r="P2283" s="2" t="s">
        <v>870</v>
      </c>
    </row>
    <row r="2284" ht="15.75" customHeight="1">
      <c r="H2284" s="2" t="s">
        <v>12040</v>
      </c>
      <c r="I2284" s="2" t="s">
        <v>2880</v>
      </c>
      <c r="J2284" s="2" t="s">
        <v>2881</v>
      </c>
      <c r="K2284" s="2" t="s">
        <v>1145</v>
      </c>
      <c r="L2284" s="2" t="s">
        <v>11907</v>
      </c>
      <c r="M2284" s="2" t="s">
        <v>12041</v>
      </c>
      <c r="N2284" s="2" t="s">
        <v>12042</v>
      </c>
      <c r="O2284" s="2" t="s">
        <v>869</v>
      </c>
      <c r="P2284" s="2" t="s">
        <v>870</v>
      </c>
    </row>
    <row r="2285" ht="15.75" customHeight="1">
      <c r="F2285" s="2" t="s">
        <v>598</v>
      </c>
      <c r="H2285" s="2" t="s">
        <v>12043</v>
      </c>
      <c r="I2285" s="2" t="s">
        <v>608</v>
      </c>
      <c r="J2285" s="2" t="s">
        <v>609</v>
      </c>
      <c r="K2285" s="2" t="s">
        <v>1508</v>
      </c>
      <c r="L2285" s="2" t="s">
        <v>11907</v>
      </c>
      <c r="M2285" s="2" t="s">
        <v>12044</v>
      </c>
      <c r="N2285" s="2" t="s">
        <v>12045</v>
      </c>
      <c r="O2285" s="2" t="s">
        <v>869</v>
      </c>
      <c r="P2285" s="2" t="s">
        <v>870</v>
      </c>
    </row>
    <row r="2286" ht="15.75" customHeight="1">
      <c r="H2286" s="2" t="s">
        <v>12046</v>
      </c>
      <c r="I2286" s="2" t="s">
        <v>617</v>
      </c>
      <c r="J2286" s="2" t="s">
        <v>618</v>
      </c>
      <c r="L2286" s="2" t="s">
        <v>11907</v>
      </c>
      <c r="M2286" s="2" t="s">
        <v>12047</v>
      </c>
      <c r="N2286" s="2" t="s">
        <v>12048</v>
      </c>
      <c r="O2286" s="2" t="s">
        <v>869</v>
      </c>
      <c r="P2286" s="2" t="s">
        <v>870</v>
      </c>
    </row>
    <row r="2287" ht="15.75" customHeight="1">
      <c r="F2287" s="2" t="s">
        <v>624</v>
      </c>
      <c r="H2287" s="2" t="s">
        <v>12049</v>
      </c>
      <c r="I2287" s="2" t="s">
        <v>12050</v>
      </c>
      <c r="J2287" s="2" t="s">
        <v>12051</v>
      </c>
      <c r="L2287" s="2" t="s">
        <v>11907</v>
      </c>
      <c r="M2287" s="2" t="s">
        <v>12052</v>
      </c>
      <c r="N2287" s="2" t="s">
        <v>12053</v>
      </c>
      <c r="O2287" s="2" t="s">
        <v>869</v>
      </c>
      <c r="P2287" s="2" t="s">
        <v>870</v>
      </c>
    </row>
    <row r="2288" ht="15.75" customHeight="1">
      <c r="H2288" s="2" t="s">
        <v>12054</v>
      </c>
      <c r="I2288" s="2" t="s">
        <v>626</v>
      </c>
      <c r="J2288" s="2" t="s">
        <v>627</v>
      </c>
      <c r="K2288" s="2" t="s">
        <v>2203</v>
      </c>
      <c r="L2288" s="2" t="s">
        <v>12055</v>
      </c>
      <c r="M2288" s="2" t="s">
        <v>12056</v>
      </c>
      <c r="N2288" s="2" t="s">
        <v>12057</v>
      </c>
      <c r="O2288" s="2" t="s">
        <v>869</v>
      </c>
      <c r="P2288" s="2" t="s">
        <v>870</v>
      </c>
    </row>
    <row r="2289" ht="15.75" customHeight="1">
      <c r="F2289" s="2" t="s">
        <v>660</v>
      </c>
      <c r="H2289" s="2" t="s">
        <v>12058</v>
      </c>
      <c r="I2289" s="2" t="s">
        <v>12059</v>
      </c>
      <c r="J2289" s="2" t="s">
        <v>12060</v>
      </c>
      <c r="K2289" s="2" t="s">
        <v>874</v>
      </c>
      <c r="L2289" s="2" t="s">
        <v>11907</v>
      </c>
      <c r="M2289" s="2" t="s">
        <v>12061</v>
      </c>
      <c r="N2289" s="2" t="s">
        <v>12062</v>
      </c>
      <c r="O2289" s="2" t="s">
        <v>869</v>
      </c>
      <c r="P2289" s="2" t="s">
        <v>870</v>
      </c>
    </row>
    <row r="2290" ht="15.75" customHeight="1">
      <c r="F2290" s="2" t="s">
        <v>703</v>
      </c>
      <c r="H2290" s="2" t="s">
        <v>12063</v>
      </c>
      <c r="I2290" s="2" t="s">
        <v>4065</v>
      </c>
      <c r="J2290" s="2" t="s">
        <v>4066</v>
      </c>
      <c r="K2290" s="2" t="s">
        <v>1433</v>
      </c>
      <c r="L2290" s="2" t="s">
        <v>12064</v>
      </c>
      <c r="M2290" s="2" t="s">
        <v>12065</v>
      </c>
      <c r="N2290" s="2" t="s">
        <v>12066</v>
      </c>
      <c r="O2290" s="2" t="s">
        <v>869</v>
      </c>
      <c r="P2290" s="2" t="s">
        <v>870</v>
      </c>
    </row>
    <row r="2291" ht="15.75" customHeight="1">
      <c r="F2291" s="2" t="s">
        <v>728</v>
      </c>
      <c r="H2291" s="2" t="s">
        <v>12067</v>
      </c>
      <c r="I2291" s="2" t="s">
        <v>730</v>
      </c>
      <c r="J2291" s="2" t="s">
        <v>731</v>
      </c>
      <c r="L2291" s="2" t="s">
        <v>11907</v>
      </c>
      <c r="M2291" s="2" t="s">
        <v>12068</v>
      </c>
      <c r="N2291" s="2" t="s">
        <v>12069</v>
      </c>
      <c r="O2291" s="2" t="s">
        <v>869</v>
      </c>
      <c r="P2291" s="2" t="s">
        <v>870</v>
      </c>
    </row>
    <row r="2292" ht="15.75" customHeight="1">
      <c r="H2292" s="2" t="s">
        <v>12070</v>
      </c>
      <c r="I2292" s="2" t="s">
        <v>4096</v>
      </c>
      <c r="J2292" s="2" t="s">
        <v>4097</v>
      </c>
      <c r="K2292" s="2" t="s">
        <v>896</v>
      </c>
      <c r="L2292" s="2" t="s">
        <v>11907</v>
      </c>
      <c r="M2292" s="2" t="s">
        <v>12071</v>
      </c>
      <c r="N2292" s="2" t="s">
        <v>12072</v>
      </c>
      <c r="O2292" s="2" t="s">
        <v>869</v>
      </c>
      <c r="P2292" s="2" t="s">
        <v>870</v>
      </c>
    </row>
    <row r="2293" ht="15.75" customHeight="1">
      <c r="F2293" s="2" t="s">
        <v>737</v>
      </c>
      <c r="H2293" s="2" t="s">
        <v>12073</v>
      </c>
      <c r="I2293" s="2" t="s">
        <v>739</v>
      </c>
      <c r="J2293" s="2" t="s">
        <v>740</v>
      </c>
      <c r="K2293" s="2" t="s">
        <v>1551</v>
      </c>
      <c r="L2293" s="2" t="s">
        <v>11907</v>
      </c>
      <c r="M2293" s="2" t="s">
        <v>12074</v>
      </c>
      <c r="N2293" s="2" t="s">
        <v>12075</v>
      </c>
      <c r="O2293" s="2" t="s">
        <v>869</v>
      </c>
      <c r="P2293" s="2" t="s">
        <v>870</v>
      </c>
    </row>
    <row r="2294" ht="15.75" customHeight="1">
      <c r="F2294" s="2" t="s">
        <v>755</v>
      </c>
      <c r="H2294" s="2" t="s">
        <v>12076</v>
      </c>
      <c r="I2294" s="2" t="s">
        <v>757</v>
      </c>
      <c r="J2294" s="2" t="s">
        <v>758</v>
      </c>
      <c r="K2294" s="2" t="s">
        <v>4429</v>
      </c>
      <c r="L2294" s="2" t="s">
        <v>11907</v>
      </c>
      <c r="M2294" s="2" t="s">
        <v>12077</v>
      </c>
      <c r="N2294" s="2" t="s">
        <v>12078</v>
      </c>
      <c r="O2294" s="2" t="s">
        <v>869</v>
      </c>
      <c r="P2294" s="2" t="s">
        <v>870</v>
      </c>
    </row>
    <row r="2295" ht="15.75" customHeight="1">
      <c r="F2295" s="2" t="s">
        <v>764</v>
      </c>
      <c r="H2295" s="2" t="s">
        <v>12079</v>
      </c>
      <c r="I2295" s="2" t="s">
        <v>766</v>
      </c>
      <c r="J2295" s="2" t="s">
        <v>767</v>
      </c>
      <c r="K2295" s="2" t="s">
        <v>1418</v>
      </c>
      <c r="L2295" s="2" t="s">
        <v>11907</v>
      </c>
      <c r="M2295" s="2" t="s">
        <v>12080</v>
      </c>
      <c r="N2295" s="2" t="s">
        <v>12081</v>
      </c>
      <c r="O2295" s="2" t="s">
        <v>869</v>
      </c>
      <c r="P2295" s="2" t="s">
        <v>870</v>
      </c>
    </row>
    <row r="2296" ht="15.75" customHeight="1">
      <c r="F2296" s="2" t="s">
        <v>800</v>
      </c>
      <c r="H2296" s="2" t="s">
        <v>12082</v>
      </c>
      <c r="I2296" s="2" t="s">
        <v>12083</v>
      </c>
      <c r="J2296" s="2" t="s">
        <v>12084</v>
      </c>
      <c r="L2296" s="2" t="s">
        <v>11907</v>
      </c>
      <c r="M2296" s="2" t="s">
        <v>12085</v>
      </c>
      <c r="N2296" s="2" t="s">
        <v>12086</v>
      </c>
      <c r="O2296" s="2" t="s">
        <v>869</v>
      </c>
      <c r="P2296" s="2" t="s">
        <v>870</v>
      </c>
    </row>
    <row r="2297" ht="15.75" customHeight="1">
      <c r="H2297" s="2" t="s">
        <v>12087</v>
      </c>
      <c r="I2297" s="2" t="s">
        <v>5140</v>
      </c>
      <c r="J2297" s="2" t="s">
        <v>5141</v>
      </c>
      <c r="K2297" s="2" t="s">
        <v>5142</v>
      </c>
      <c r="L2297" s="2" t="s">
        <v>12088</v>
      </c>
      <c r="M2297" s="2" t="s">
        <v>12089</v>
      </c>
      <c r="N2297" s="2" t="s">
        <v>12090</v>
      </c>
      <c r="O2297" s="2" t="s">
        <v>869</v>
      </c>
      <c r="P2297" s="2" t="s">
        <v>870</v>
      </c>
    </row>
    <row r="2298" ht="15.75" customHeight="1">
      <c r="B2298" s="2" t="s">
        <v>12091</v>
      </c>
      <c r="C2298" s="2" t="s">
        <v>12092</v>
      </c>
      <c r="D2298" s="2" t="s">
        <v>12093</v>
      </c>
      <c r="F2298" s="2" t="s">
        <v>74</v>
      </c>
      <c r="H2298" s="2" t="s">
        <v>12094</v>
      </c>
      <c r="I2298" s="2" t="s">
        <v>76</v>
      </c>
      <c r="J2298" s="2" t="s">
        <v>77</v>
      </c>
      <c r="K2298" s="2" t="s">
        <v>947</v>
      </c>
      <c r="L2298" s="2" t="s">
        <v>12095</v>
      </c>
      <c r="M2298" s="2" t="s">
        <v>12096</v>
      </c>
      <c r="N2298" s="2" t="s">
        <v>12097</v>
      </c>
      <c r="O2298" s="2" t="s">
        <v>869</v>
      </c>
      <c r="P2298" s="2" t="s">
        <v>870</v>
      </c>
    </row>
    <row r="2299" ht="15.75" customHeight="1">
      <c r="F2299" s="2" t="s">
        <v>284</v>
      </c>
      <c r="H2299" s="2" t="s">
        <v>12098</v>
      </c>
      <c r="I2299" s="2" t="s">
        <v>310</v>
      </c>
      <c r="J2299" s="2" t="s">
        <v>311</v>
      </c>
      <c r="K2299" s="2" t="s">
        <v>1567</v>
      </c>
      <c r="L2299" s="2" t="s">
        <v>12099</v>
      </c>
      <c r="M2299" s="2" t="s">
        <v>12100</v>
      </c>
      <c r="N2299" s="2" t="s">
        <v>12101</v>
      </c>
      <c r="O2299" s="2" t="s">
        <v>869</v>
      </c>
      <c r="P2299" s="2" t="s">
        <v>870</v>
      </c>
    </row>
    <row r="2300" ht="15.75" customHeight="1">
      <c r="H2300" s="2" t="s">
        <v>12102</v>
      </c>
      <c r="I2300" s="2" t="s">
        <v>326</v>
      </c>
      <c r="J2300" s="2" t="s">
        <v>327</v>
      </c>
      <c r="K2300" s="2" t="s">
        <v>1331</v>
      </c>
      <c r="L2300" s="2" t="s">
        <v>12103</v>
      </c>
      <c r="M2300" s="2" t="s">
        <v>12104</v>
      </c>
      <c r="N2300" s="2" t="s">
        <v>12105</v>
      </c>
      <c r="O2300" s="2" t="s">
        <v>869</v>
      </c>
      <c r="P2300" s="2" t="s">
        <v>870</v>
      </c>
    </row>
    <row r="2301" ht="15.75" customHeight="1">
      <c r="H2301" s="2" t="s">
        <v>12106</v>
      </c>
      <c r="I2301" s="2" t="s">
        <v>432</v>
      </c>
      <c r="J2301" s="2" t="s">
        <v>433</v>
      </c>
      <c r="L2301" s="2" t="s">
        <v>12099</v>
      </c>
      <c r="M2301" s="2" t="s">
        <v>12107</v>
      </c>
      <c r="N2301" s="2" t="s">
        <v>12108</v>
      </c>
      <c r="O2301" s="2" t="s">
        <v>869</v>
      </c>
      <c r="P2301" s="2" t="s">
        <v>870</v>
      </c>
    </row>
    <row r="2302" ht="15.75" customHeight="1">
      <c r="H2302" s="2" t="s">
        <v>12109</v>
      </c>
      <c r="I2302" s="2" t="s">
        <v>449</v>
      </c>
      <c r="J2302" s="2" t="s">
        <v>450</v>
      </c>
      <c r="K2302" s="2" t="s">
        <v>1433</v>
      </c>
      <c r="L2302" s="2" t="s">
        <v>12099</v>
      </c>
      <c r="M2302" s="2" t="s">
        <v>12110</v>
      </c>
      <c r="N2302" s="2" t="s">
        <v>12111</v>
      </c>
      <c r="O2302" s="2" t="s">
        <v>869</v>
      </c>
      <c r="P2302" s="2" t="s">
        <v>870</v>
      </c>
    </row>
    <row r="2303" ht="15.75" customHeight="1">
      <c r="H2303" s="2" t="s">
        <v>12112</v>
      </c>
      <c r="I2303" s="2" t="s">
        <v>526</v>
      </c>
      <c r="J2303" s="2" t="s">
        <v>527</v>
      </c>
      <c r="L2303" s="2" t="s">
        <v>12099</v>
      </c>
      <c r="M2303" s="2" t="s">
        <v>12113</v>
      </c>
      <c r="N2303" s="2" t="s">
        <v>12114</v>
      </c>
      <c r="O2303" s="2" t="s">
        <v>869</v>
      </c>
      <c r="P2303" s="2" t="s">
        <v>870</v>
      </c>
    </row>
    <row r="2304" ht="15.75" customHeight="1">
      <c r="F2304" s="2" t="s">
        <v>534</v>
      </c>
      <c r="H2304" s="2" t="s">
        <v>12115</v>
      </c>
      <c r="I2304" s="2" t="s">
        <v>536</v>
      </c>
      <c r="J2304" s="2" t="s">
        <v>537</v>
      </c>
      <c r="K2304" s="2" t="s">
        <v>538</v>
      </c>
    </row>
    <row r="2305" ht="15.75" customHeight="1">
      <c r="F2305" s="2" t="s">
        <v>800</v>
      </c>
      <c r="H2305" s="2" t="s">
        <v>12116</v>
      </c>
      <c r="I2305" s="2" t="s">
        <v>5986</v>
      </c>
      <c r="J2305" s="2" t="s">
        <v>5987</v>
      </c>
      <c r="K2305" s="2" t="s">
        <v>5988</v>
      </c>
      <c r="L2305" s="2" t="s">
        <v>12099</v>
      </c>
      <c r="M2305" s="2" t="s">
        <v>12117</v>
      </c>
      <c r="N2305" s="2" t="s">
        <v>12118</v>
      </c>
      <c r="O2305" s="2" t="s">
        <v>869</v>
      </c>
      <c r="P2305" s="2" t="s">
        <v>870</v>
      </c>
    </row>
    <row r="2306" ht="15.75" customHeight="1">
      <c r="B2306" s="2" t="s">
        <v>12119</v>
      </c>
      <c r="C2306" s="2" t="s">
        <v>890</v>
      </c>
      <c r="D2306" s="2" t="s">
        <v>12120</v>
      </c>
      <c r="F2306" s="2" t="s">
        <v>29</v>
      </c>
      <c r="H2306" s="2" t="s">
        <v>12121</v>
      </c>
      <c r="I2306" s="2" t="s">
        <v>31</v>
      </c>
      <c r="J2306" s="2" t="s">
        <v>32</v>
      </c>
      <c r="K2306" s="2" t="s">
        <v>874</v>
      </c>
      <c r="L2306" s="2" t="s">
        <v>12122</v>
      </c>
      <c r="M2306" s="2" t="s">
        <v>12123</v>
      </c>
      <c r="N2306" s="2" t="s">
        <v>12124</v>
      </c>
      <c r="O2306" s="2" t="s">
        <v>869</v>
      </c>
      <c r="P2306" s="2" t="s">
        <v>870</v>
      </c>
    </row>
    <row r="2307" ht="15.75" customHeight="1">
      <c r="F2307" s="2" t="s">
        <v>74</v>
      </c>
      <c r="H2307" s="2" t="s">
        <v>12125</v>
      </c>
      <c r="I2307" s="2" t="s">
        <v>76</v>
      </c>
      <c r="J2307" s="2" t="s">
        <v>77</v>
      </c>
      <c r="K2307" s="2" t="s">
        <v>947</v>
      </c>
      <c r="L2307" s="2" t="s">
        <v>12126</v>
      </c>
      <c r="M2307" s="2" t="s">
        <v>12127</v>
      </c>
      <c r="N2307" s="2" t="s">
        <v>12128</v>
      </c>
      <c r="O2307" s="2" t="s">
        <v>869</v>
      </c>
      <c r="P2307" s="2" t="s">
        <v>870</v>
      </c>
    </row>
    <row r="2308" ht="15.75" customHeight="1">
      <c r="H2308" s="2" t="s">
        <v>12129</v>
      </c>
      <c r="I2308" s="2" t="s">
        <v>85</v>
      </c>
      <c r="J2308" s="2" t="s">
        <v>86</v>
      </c>
      <c r="K2308" s="2" t="s">
        <v>1368</v>
      </c>
      <c r="L2308" s="2" t="s">
        <v>12130</v>
      </c>
      <c r="M2308" s="2" t="s">
        <v>12131</v>
      </c>
      <c r="N2308" s="2" t="s">
        <v>12132</v>
      </c>
      <c r="O2308" s="2" t="s">
        <v>869</v>
      </c>
      <c r="P2308" s="2" t="s">
        <v>870</v>
      </c>
    </row>
    <row r="2309" ht="15.75" customHeight="1">
      <c r="H2309" s="2" t="s">
        <v>12133</v>
      </c>
      <c r="I2309" s="2" t="s">
        <v>12134</v>
      </c>
      <c r="J2309" s="2" t="s">
        <v>12135</v>
      </c>
      <c r="K2309" s="2" t="s">
        <v>1551</v>
      </c>
      <c r="L2309" s="2" t="s">
        <v>12122</v>
      </c>
      <c r="M2309" s="2" t="s">
        <v>12136</v>
      </c>
      <c r="N2309" s="2" t="s">
        <v>12137</v>
      </c>
      <c r="O2309" s="2" t="s">
        <v>869</v>
      </c>
      <c r="P2309" s="2" t="s">
        <v>870</v>
      </c>
    </row>
    <row r="2310" ht="15.75" customHeight="1">
      <c r="H2310" s="2" t="s">
        <v>12138</v>
      </c>
      <c r="I2310" s="2" t="s">
        <v>12139</v>
      </c>
      <c r="J2310" s="2" t="s">
        <v>12140</v>
      </c>
      <c r="K2310" s="2" t="s">
        <v>1141</v>
      </c>
      <c r="L2310" s="2" t="s">
        <v>12122</v>
      </c>
      <c r="M2310" s="2" t="s">
        <v>12141</v>
      </c>
      <c r="N2310" s="2" t="s">
        <v>12142</v>
      </c>
      <c r="O2310" s="2" t="s">
        <v>869</v>
      </c>
      <c r="P2310" s="2" t="s">
        <v>870</v>
      </c>
    </row>
    <row r="2311" ht="15.75" customHeight="1">
      <c r="H2311" s="2" t="s">
        <v>12143</v>
      </c>
      <c r="I2311" s="2" t="s">
        <v>117</v>
      </c>
      <c r="J2311" s="2" t="s">
        <v>118</v>
      </c>
      <c r="K2311" s="2" t="s">
        <v>1424</v>
      </c>
      <c r="L2311" s="2" t="s">
        <v>12144</v>
      </c>
      <c r="M2311" s="2" t="s">
        <v>12145</v>
      </c>
      <c r="N2311" s="2" t="s">
        <v>12146</v>
      </c>
      <c r="O2311" s="2" t="s">
        <v>869</v>
      </c>
      <c r="P2311" s="2" t="s">
        <v>870</v>
      </c>
    </row>
    <row r="2312" ht="15.75" customHeight="1">
      <c r="H2312" s="2" t="s">
        <v>12147</v>
      </c>
      <c r="I2312" s="2" t="s">
        <v>12148</v>
      </c>
      <c r="J2312" s="2" t="s">
        <v>12149</v>
      </c>
      <c r="K2312" s="2" t="s">
        <v>12150</v>
      </c>
    </row>
    <row r="2313" ht="15.75" customHeight="1">
      <c r="H2313" s="2" t="s">
        <v>12151</v>
      </c>
      <c r="I2313" s="2" t="s">
        <v>12152</v>
      </c>
      <c r="J2313" s="2" t="s">
        <v>12153</v>
      </c>
      <c r="K2313" s="2" t="s">
        <v>1325</v>
      </c>
      <c r="L2313" s="2" t="s">
        <v>12154</v>
      </c>
      <c r="M2313" s="2" t="s">
        <v>12155</v>
      </c>
      <c r="N2313" s="2" t="s">
        <v>12156</v>
      </c>
      <c r="O2313" s="2" t="s">
        <v>869</v>
      </c>
      <c r="P2313" s="2" t="s">
        <v>870</v>
      </c>
    </row>
    <row r="2314" ht="15.75" customHeight="1">
      <c r="H2314" s="2" t="s">
        <v>12157</v>
      </c>
      <c r="I2314" s="2" t="s">
        <v>7075</v>
      </c>
      <c r="J2314" s="2" t="s">
        <v>7076</v>
      </c>
      <c r="L2314" s="2" t="s">
        <v>12122</v>
      </c>
      <c r="M2314" s="2" t="s">
        <v>12158</v>
      </c>
      <c r="N2314" s="2" t="s">
        <v>869</v>
      </c>
      <c r="O2314" s="2" t="s">
        <v>870</v>
      </c>
    </row>
    <row r="2315" ht="15.75" customHeight="1">
      <c r="H2315" s="2" t="s">
        <v>12159</v>
      </c>
      <c r="I2315" s="2" t="s">
        <v>7117</v>
      </c>
      <c r="J2315" s="2" t="s">
        <v>7118</v>
      </c>
      <c r="K2315" s="2" t="s">
        <v>12160</v>
      </c>
      <c r="L2315" s="2" t="s">
        <v>12122</v>
      </c>
      <c r="M2315" s="2" t="s">
        <v>12161</v>
      </c>
      <c r="N2315" s="2" t="s">
        <v>12162</v>
      </c>
      <c r="O2315" s="2" t="s">
        <v>869</v>
      </c>
      <c r="P2315" s="2" t="s">
        <v>870</v>
      </c>
    </row>
    <row r="2316" ht="15.75" customHeight="1">
      <c r="H2316" s="2" t="s">
        <v>12163</v>
      </c>
      <c r="I2316" s="2" t="s">
        <v>12164</v>
      </c>
      <c r="J2316" s="2" t="s">
        <v>12165</v>
      </c>
      <c r="L2316" s="2" t="s">
        <v>12122</v>
      </c>
      <c r="M2316" s="2" t="s">
        <v>12166</v>
      </c>
      <c r="N2316" s="2" t="s">
        <v>869</v>
      </c>
      <c r="O2316" s="2" t="s">
        <v>870</v>
      </c>
    </row>
    <row r="2317" ht="15.75" customHeight="1">
      <c r="H2317" s="2" t="s">
        <v>12167</v>
      </c>
      <c r="I2317" s="2" t="s">
        <v>176</v>
      </c>
      <c r="J2317" s="2" t="s">
        <v>177</v>
      </c>
      <c r="K2317" s="2" t="s">
        <v>1708</v>
      </c>
      <c r="L2317" s="2" t="s">
        <v>12168</v>
      </c>
      <c r="M2317" s="2" t="s">
        <v>12169</v>
      </c>
      <c r="N2317" s="2" t="s">
        <v>12170</v>
      </c>
      <c r="O2317" s="2" t="s">
        <v>869</v>
      </c>
      <c r="P2317" s="2" t="s">
        <v>870</v>
      </c>
    </row>
    <row r="2318" ht="15.75" customHeight="1">
      <c r="H2318" s="2" t="s">
        <v>12171</v>
      </c>
      <c r="I2318" s="2" t="s">
        <v>12172</v>
      </c>
      <c r="J2318" s="2" t="s">
        <v>12173</v>
      </c>
      <c r="L2318" s="2" t="s">
        <v>12122</v>
      </c>
      <c r="M2318" s="2" t="s">
        <v>12174</v>
      </c>
      <c r="N2318" s="2" t="s">
        <v>869</v>
      </c>
      <c r="O2318" s="2" t="s">
        <v>870</v>
      </c>
    </row>
    <row r="2319" ht="15.75" customHeight="1">
      <c r="H2319" s="2" t="s">
        <v>12175</v>
      </c>
      <c r="I2319" s="2" t="s">
        <v>193</v>
      </c>
      <c r="J2319" s="2" t="s">
        <v>194</v>
      </c>
      <c r="K2319" s="2" t="s">
        <v>2322</v>
      </c>
      <c r="L2319" s="2" t="s">
        <v>12122</v>
      </c>
      <c r="M2319" s="2" t="s">
        <v>12176</v>
      </c>
      <c r="N2319" s="2" t="s">
        <v>12177</v>
      </c>
      <c r="O2319" s="2" t="s">
        <v>869</v>
      </c>
      <c r="P2319" s="2" t="s">
        <v>870</v>
      </c>
    </row>
    <row r="2320" ht="15.75" customHeight="1">
      <c r="H2320" s="2" t="s">
        <v>12178</v>
      </c>
      <c r="I2320" s="2" t="s">
        <v>12179</v>
      </c>
      <c r="J2320" s="2" t="s">
        <v>12180</v>
      </c>
      <c r="K2320" s="2" t="s">
        <v>12181</v>
      </c>
      <c r="L2320" s="2" t="s">
        <v>12182</v>
      </c>
      <c r="M2320" s="2" t="s">
        <v>12183</v>
      </c>
      <c r="N2320" s="2" t="s">
        <v>12184</v>
      </c>
      <c r="O2320" s="2" t="s">
        <v>869</v>
      </c>
      <c r="P2320" s="2" t="s">
        <v>870</v>
      </c>
    </row>
    <row r="2321" ht="15.75" customHeight="1">
      <c r="H2321" s="2" t="s">
        <v>12185</v>
      </c>
      <c r="I2321" s="2" t="s">
        <v>12186</v>
      </c>
      <c r="J2321" s="2" t="s">
        <v>12187</v>
      </c>
      <c r="K2321" s="2" t="s">
        <v>12188</v>
      </c>
      <c r="L2321" s="2" t="s">
        <v>12122</v>
      </c>
      <c r="M2321" s="2" t="s">
        <v>12189</v>
      </c>
      <c r="N2321" s="2" t="s">
        <v>12190</v>
      </c>
      <c r="O2321" s="2" t="s">
        <v>869</v>
      </c>
      <c r="P2321" s="2" t="s">
        <v>870</v>
      </c>
    </row>
    <row r="2322" ht="15.75" customHeight="1">
      <c r="H2322" s="2" t="s">
        <v>12191</v>
      </c>
      <c r="I2322" s="2" t="s">
        <v>225</v>
      </c>
      <c r="J2322" s="2" t="s">
        <v>226</v>
      </c>
      <c r="K2322" s="2" t="s">
        <v>12192</v>
      </c>
      <c r="L2322" s="2" t="s">
        <v>12122</v>
      </c>
      <c r="M2322" s="2" t="s">
        <v>12193</v>
      </c>
      <c r="N2322" s="2" t="s">
        <v>12194</v>
      </c>
      <c r="O2322" s="2" t="s">
        <v>869</v>
      </c>
      <c r="P2322" s="2" t="s">
        <v>870</v>
      </c>
    </row>
    <row r="2323" ht="15.75" customHeight="1">
      <c r="H2323" s="2" t="s">
        <v>12195</v>
      </c>
      <c r="I2323" s="2" t="s">
        <v>257</v>
      </c>
      <c r="J2323" s="2" t="s">
        <v>258</v>
      </c>
      <c r="K2323" s="2" t="s">
        <v>12196</v>
      </c>
      <c r="L2323" s="2" t="s">
        <v>12197</v>
      </c>
      <c r="M2323" s="2" t="s">
        <v>12198</v>
      </c>
      <c r="N2323" s="2" t="s">
        <v>12199</v>
      </c>
      <c r="O2323" s="2" t="s">
        <v>869</v>
      </c>
      <c r="P2323" s="2" t="s">
        <v>870</v>
      </c>
    </row>
    <row r="2324" ht="15.75" customHeight="1">
      <c r="H2324" s="2" t="s">
        <v>12200</v>
      </c>
      <c r="I2324" s="2" t="s">
        <v>1848</v>
      </c>
      <c r="J2324" s="2" t="s">
        <v>1849</v>
      </c>
      <c r="L2324" s="2" t="s">
        <v>12122</v>
      </c>
      <c r="M2324" s="2" t="s">
        <v>12201</v>
      </c>
      <c r="N2324" s="2" t="s">
        <v>12202</v>
      </c>
      <c r="O2324" s="2" t="s">
        <v>869</v>
      </c>
      <c r="P2324" s="2" t="s">
        <v>870</v>
      </c>
    </row>
    <row r="2325" ht="15.75" customHeight="1">
      <c r="F2325" s="2" t="s">
        <v>274</v>
      </c>
      <c r="H2325" s="2" t="s">
        <v>12203</v>
      </c>
      <c r="I2325" s="2" t="s">
        <v>279</v>
      </c>
      <c r="J2325" s="2" t="s">
        <v>274</v>
      </c>
      <c r="K2325" s="2" t="s">
        <v>280</v>
      </c>
    </row>
    <row r="2326" ht="15.75" customHeight="1">
      <c r="F2326" s="2" t="s">
        <v>284</v>
      </c>
      <c r="H2326" s="2" t="s">
        <v>12204</v>
      </c>
      <c r="I2326" s="2" t="s">
        <v>12205</v>
      </c>
      <c r="J2326" s="2" t="s">
        <v>12206</v>
      </c>
      <c r="L2326" s="2" t="s">
        <v>12122</v>
      </c>
      <c r="M2326" s="2" t="s">
        <v>12207</v>
      </c>
      <c r="N2326" s="2" t="s">
        <v>869</v>
      </c>
      <c r="O2326" s="2" t="s">
        <v>870</v>
      </c>
    </row>
    <row r="2327" ht="15.75" customHeight="1">
      <c r="H2327" s="2" t="s">
        <v>12208</v>
      </c>
      <c r="I2327" s="2" t="s">
        <v>6023</v>
      </c>
      <c r="J2327" s="2" t="s">
        <v>6024</v>
      </c>
      <c r="K2327" s="2" t="s">
        <v>1362</v>
      </c>
      <c r="L2327" s="2" t="s">
        <v>12122</v>
      </c>
      <c r="M2327" s="2" t="s">
        <v>12209</v>
      </c>
      <c r="N2327" s="2" t="s">
        <v>12210</v>
      </c>
      <c r="O2327" s="2" t="s">
        <v>869</v>
      </c>
      <c r="P2327" s="2" t="s">
        <v>870</v>
      </c>
    </row>
    <row r="2328" ht="15.75" customHeight="1">
      <c r="H2328" s="2" t="s">
        <v>12211</v>
      </c>
      <c r="I2328" s="2" t="s">
        <v>12212</v>
      </c>
      <c r="J2328" s="2" t="s">
        <v>12213</v>
      </c>
      <c r="K2328" s="2" t="s">
        <v>12214</v>
      </c>
      <c r="L2328" s="2" t="s">
        <v>12122</v>
      </c>
      <c r="M2328" s="2" t="s">
        <v>12215</v>
      </c>
      <c r="N2328" s="2" t="s">
        <v>12216</v>
      </c>
      <c r="O2328" s="2" t="s">
        <v>869</v>
      </c>
      <c r="P2328" s="2" t="s">
        <v>870</v>
      </c>
    </row>
    <row r="2329" ht="15.75" customHeight="1">
      <c r="H2329" s="2" t="s">
        <v>12217</v>
      </c>
      <c r="I2329" s="2" t="s">
        <v>302</v>
      </c>
      <c r="J2329" s="2" t="s">
        <v>303</v>
      </c>
      <c r="K2329" s="2" t="s">
        <v>996</v>
      </c>
      <c r="L2329" s="2" t="s">
        <v>12122</v>
      </c>
      <c r="M2329" s="2" t="s">
        <v>12218</v>
      </c>
      <c r="N2329" s="2" t="s">
        <v>12219</v>
      </c>
      <c r="O2329" s="2" t="s">
        <v>869</v>
      </c>
      <c r="P2329" s="2" t="s">
        <v>870</v>
      </c>
    </row>
    <row r="2330" ht="15.75" customHeight="1">
      <c r="H2330" s="2" t="s">
        <v>12220</v>
      </c>
      <c r="I2330" s="2" t="s">
        <v>12221</v>
      </c>
      <c r="J2330" s="2" t="s">
        <v>12222</v>
      </c>
      <c r="K2330" s="2" t="s">
        <v>896</v>
      </c>
      <c r="L2330" s="2" t="s">
        <v>12223</v>
      </c>
      <c r="M2330" s="2" t="s">
        <v>12224</v>
      </c>
      <c r="N2330" s="2" t="s">
        <v>12225</v>
      </c>
      <c r="O2330" s="2" t="s">
        <v>869</v>
      </c>
      <c r="P2330" s="2" t="s">
        <v>870</v>
      </c>
    </row>
    <row r="2331" ht="15.75" customHeight="1">
      <c r="H2331" s="2" t="s">
        <v>12226</v>
      </c>
      <c r="I2331" s="2" t="s">
        <v>12227</v>
      </c>
      <c r="J2331" s="2" t="s">
        <v>12228</v>
      </c>
      <c r="L2331" s="2" t="s">
        <v>12122</v>
      </c>
      <c r="M2331" s="2" t="s">
        <v>12229</v>
      </c>
      <c r="N2331" s="2" t="s">
        <v>869</v>
      </c>
      <c r="O2331" s="2" t="s">
        <v>870</v>
      </c>
    </row>
    <row r="2332" ht="15.75" customHeight="1">
      <c r="H2332" s="2" t="s">
        <v>12230</v>
      </c>
      <c r="I2332" s="2" t="s">
        <v>310</v>
      </c>
      <c r="J2332" s="2" t="s">
        <v>311</v>
      </c>
      <c r="K2332" s="2" t="s">
        <v>1567</v>
      </c>
      <c r="L2332" s="2" t="s">
        <v>12122</v>
      </c>
      <c r="M2332" s="2" t="s">
        <v>12231</v>
      </c>
      <c r="N2332" s="2" t="s">
        <v>12232</v>
      </c>
      <c r="O2332" s="2" t="s">
        <v>869</v>
      </c>
      <c r="P2332" s="2" t="s">
        <v>870</v>
      </c>
    </row>
    <row r="2333" ht="15.75" customHeight="1">
      <c r="H2333" s="2" t="s">
        <v>12233</v>
      </c>
      <c r="I2333" s="2" t="s">
        <v>12234</v>
      </c>
      <c r="J2333" s="2" t="s">
        <v>12235</v>
      </c>
      <c r="K2333" s="2" t="s">
        <v>2551</v>
      </c>
      <c r="L2333" s="2" t="s">
        <v>12122</v>
      </c>
      <c r="M2333" s="2" t="s">
        <v>12236</v>
      </c>
      <c r="N2333" s="2" t="s">
        <v>12237</v>
      </c>
      <c r="O2333" s="2" t="s">
        <v>869</v>
      </c>
      <c r="P2333" s="2" t="s">
        <v>870</v>
      </c>
    </row>
    <row r="2334" ht="15.75" customHeight="1">
      <c r="H2334" s="2" t="s">
        <v>12238</v>
      </c>
      <c r="I2334" s="2" t="s">
        <v>2175</v>
      </c>
      <c r="J2334" s="2" t="s">
        <v>2176</v>
      </c>
      <c r="L2334" s="2" t="s">
        <v>12122</v>
      </c>
      <c r="M2334" s="2" t="s">
        <v>12239</v>
      </c>
      <c r="N2334" s="2" t="s">
        <v>12240</v>
      </c>
      <c r="O2334" s="2" t="s">
        <v>869</v>
      </c>
      <c r="P2334" s="2" t="s">
        <v>870</v>
      </c>
    </row>
    <row r="2335" ht="15.75" customHeight="1">
      <c r="H2335" s="2" t="s">
        <v>12241</v>
      </c>
      <c r="I2335" s="2" t="s">
        <v>12242</v>
      </c>
      <c r="J2335" s="2" t="s">
        <v>12243</v>
      </c>
      <c r="L2335" s="2" t="s">
        <v>12122</v>
      </c>
      <c r="M2335" s="2" t="s">
        <v>12244</v>
      </c>
      <c r="N2335" s="2" t="s">
        <v>869</v>
      </c>
      <c r="O2335" s="2" t="s">
        <v>870</v>
      </c>
    </row>
    <row r="2336" ht="15.75" customHeight="1">
      <c r="H2336" s="2" t="s">
        <v>12245</v>
      </c>
      <c r="I2336" s="2" t="s">
        <v>5436</v>
      </c>
      <c r="J2336" s="2" t="s">
        <v>5437</v>
      </c>
      <c r="L2336" s="2" t="s">
        <v>12122</v>
      </c>
      <c r="M2336" s="2" t="s">
        <v>12246</v>
      </c>
      <c r="N2336" s="2" t="s">
        <v>869</v>
      </c>
      <c r="O2336" s="2" t="s">
        <v>870</v>
      </c>
    </row>
    <row r="2337" ht="15.75" customHeight="1">
      <c r="H2337" s="2" t="s">
        <v>12247</v>
      </c>
      <c r="I2337" s="2" t="s">
        <v>12248</v>
      </c>
      <c r="J2337" s="2" t="s">
        <v>12249</v>
      </c>
      <c r="L2337" s="2" t="s">
        <v>12122</v>
      </c>
      <c r="M2337" s="2" t="s">
        <v>12250</v>
      </c>
      <c r="N2337" s="2" t="s">
        <v>869</v>
      </c>
      <c r="O2337" s="2" t="s">
        <v>870</v>
      </c>
    </row>
    <row r="2338" ht="15.75" customHeight="1">
      <c r="H2338" s="2" t="s">
        <v>12251</v>
      </c>
      <c r="I2338" s="2" t="s">
        <v>12252</v>
      </c>
      <c r="J2338" s="2" t="s">
        <v>12253</v>
      </c>
      <c r="L2338" s="2" t="s">
        <v>12122</v>
      </c>
      <c r="M2338" s="2" t="s">
        <v>12254</v>
      </c>
      <c r="N2338" s="2" t="s">
        <v>869</v>
      </c>
      <c r="O2338" s="2" t="s">
        <v>870</v>
      </c>
    </row>
    <row r="2339" ht="15.75" customHeight="1">
      <c r="H2339" s="2" t="s">
        <v>12255</v>
      </c>
      <c r="I2339" s="2" t="s">
        <v>12256</v>
      </c>
      <c r="J2339" s="2" t="s">
        <v>12257</v>
      </c>
      <c r="K2339" s="2" t="s">
        <v>1698</v>
      </c>
      <c r="L2339" s="2" t="s">
        <v>12258</v>
      </c>
      <c r="M2339" s="2" t="s">
        <v>12259</v>
      </c>
      <c r="N2339" s="2" t="s">
        <v>12260</v>
      </c>
      <c r="O2339" s="2" t="s">
        <v>869</v>
      </c>
      <c r="P2339" s="2" t="s">
        <v>870</v>
      </c>
    </row>
    <row r="2340" ht="15.75" customHeight="1">
      <c r="H2340" s="2" t="s">
        <v>12261</v>
      </c>
      <c r="I2340" s="2" t="s">
        <v>12262</v>
      </c>
      <c r="J2340" s="2" t="s">
        <v>12263</v>
      </c>
      <c r="K2340" s="2" t="s">
        <v>5106</v>
      </c>
      <c r="L2340" s="2" t="s">
        <v>12264</v>
      </c>
      <c r="M2340" s="2" t="s">
        <v>12265</v>
      </c>
      <c r="N2340" s="2" t="s">
        <v>12266</v>
      </c>
      <c r="O2340" s="2" t="s">
        <v>869</v>
      </c>
      <c r="P2340" s="2" t="s">
        <v>870</v>
      </c>
    </row>
    <row r="2341" ht="15.75" customHeight="1">
      <c r="H2341" s="2" t="s">
        <v>12267</v>
      </c>
      <c r="I2341" s="2" t="s">
        <v>432</v>
      </c>
      <c r="J2341" s="2" t="s">
        <v>433</v>
      </c>
      <c r="K2341" s="2" t="s">
        <v>2236</v>
      </c>
      <c r="L2341" s="2" t="s">
        <v>12122</v>
      </c>
      <c r="M2341" s="2" t="s">
        <v>12268</v>
      </c>
      <c r="N2341" s="2" t="s">
        <v>12269</v>
      </c>
      <c r="O2341" s="2" t="s">
        <v>869</v>
      </c>
      <c r="P2341" s="2" t="s">
        <v>870</v>
      </c>
    </row>
    <row r="2342" ht="15.75" customHeight="1">
      <c r="H2342" s="2" t="s">
        <v>12270</v>
      </c>
      <c r="I2342" s="2" t="s">
        <v>12271</v>
      </c>
      <c r="J2342" s="2" t="s">
        <v>12272</v>
      </c>
      <c r="K2342" s="2" t="s">
        <v>12273</v>
      </c>
      <c r="L2342" s="2" t="s">
        <v>12274</v>
      </c>
      <c r="M2342" s="2" t="s">
        <v>12275</v>
      </c>
      <c r="N2342" s="2" t="s">
        <v>12276</v>
      </c>
      <c r="O2342" s="2" t="s">
        <v>869</v>
      </c>
      <c r="P2342" s="2" t="s">
        <v>870</v>
      </c>
    </row>
    <row r="2343" ht="15.75" customHeight="1">
      <c r="H2343" s="2" t="s">
        <v>12277</v>
      </c>
      <c r="I2343" s="2" t="s">
        <v>12278</v>
      </c>
      <c r="J2343" s="2" t="s">
        <v>12279</v>
      </c>
      <c r="K2343" s="2" t="s">
        <v>1704</v>
      </c>
      <c r="L2343" s="2" t="s">
        <v>12122</v>
      </c>
      <c r="M2343" s="2" t="s">
        <v>12280</v>
      </c>
      <c r="N2343" s="2" t="s">
        <v>12281</v>
      </c>
      <c r="O2343" s="2" t="s">
        <v>869</v>
      </c>
      <c r="P2343" s="2" t="s">
        <v>870</v>
      </c>
    </row>
    <row r="2344" ht="15.75" customHeight="1">
      <c r="H2344" s="2" t="s">
        <v>12282</v>
      </c>
      <c r="I2344" s="2" t="s">
        <v>440</v>
      </c>
      <c r="J2344" s="2" t="s">
        <v>441</v>
      </c>
      <c r="K2344" s="2" t="s">
        <v>2252</v>
      </c>
      <c r="L2344" s="2" t="s">
        <v>12283</v>
      </c>
      <c r="M2344" s="2" t="s">
        <v>12284</v>
      </c>
      <c r="N2344" s="2" t="s">
        <v>12285</v>
      </c>
      <c r="O2344" s="2" t="s">
        <v>869</v>
      </c>
      <c r="P2344" s="2" t="s">
        <v>870</v>
      </c>
    </row>
    <row r="2345" ht="15.75" customHeight="1">
      <c r="H2345" s="2" t="s">
        <v>12286</v>
      </c>
      <c r="I2345" s="2" t="s">
        <v>476</v>
      </c>
      <c r="J2345" s="2" t="s">
        <v>477</v>
      </c>
      <c r="K2345" s="2" t="s">
        <v>5988</v>
      </c>
      <c r="L2345" s="2" t="s">
        <v>12287</v>
      </c>
      <c r="M2345" s="2" t="s">
        <v>12288</v>
      </c>
      <c r="N2345" s="2" t="s">
        <v>12289</v>
      </c>
      <c r="O2345" s="2" t="s">
        <v>869</v>
      </c>
      <c r="P2345" s="2" t="s">
        <v>870</v>
      </c>
    </row>
    <row r="2346" ht="15.75" customHeight="1">
      <c r="H2346" s="2" t="s">
        <v>12290</v>
      </c>
      <c r="I2346" s="2" t="s">
        <v>12291</v>
      </c>
      <c r="J2346" s="2" t="s">
        <v>12292</v>
      </c>
      <c r="K2346" s="2" t="s">
        <v>12293</v>
      </c>
      <c r="L2346" s="2" t="s">
        <v>12122</v>
      </c>
      <c r="M2346" s="2" t="s">
        <v>12294</v>
      </c>
      <c r="N2346" s="2" t="s">
        <v>12295</v>
      </c>
      <c r="O2346" s="2" t="s">
        <v>869</v>
      </c>
      <c r="P2346" s="2" t="s">
        <v>870</v>
      </c>
    </row>
    <row r="2347" ht="15.75" customHeight="1">
      <c r="H2347" s="2" t="s">
        <v>12296</v>
      </c>
      <c r="I2347" s="2" t="s">
        <v>12297</v>
      </c>
      <c r="J2347" s="2" t="s">
        <v>12298</v>
      </c>
      <c r="L2347" s="2" t="s">
        <v>12122</v>
      </c>
      <c r="M2347" s="2" t="s">
        <v>12299</v>
      </c>
      <c r="N2347" s="2" t="s">
        <v>12300</v>
      </c>
      <c r="O2347" s="2" t="s">
        <v>869</v>
      </c>
      <c r="P2347" s="2" t="s">
        <v>870</v>
      </c>
    </row>
    <row r="2348" ht="15.75" customHeight="1">
      <c r="H2348" s="2" t="s">
        <v>12301</v>
      </c>
      <c r="I2348" s="2" t="s">
        <v>12302</v>
      </c>
      <c r="J2348" s="2" t="s">
        <v>12303</v>
      </c>
      <c r="L2348" s="2" t="s">
        <v>12122</v>
      </c>
      <c r="M2348" s="2" t="s">
        <v>12304</v>
      </c>
      <c r="N2348" s="2" t="s">
        <v>869</v>
      </c>
      <c r="O2348" s="2" t="s">
        <v>870</v>
      </c>
    </row>
    <row r="2349" ht="15.75" customHeight="1">
      <c r="H2349" s="2" t="s">
        <v>12305</v>
      </c>
      <c r="I2349" s="2" t="s">
        <v>5541</v>
      </c>
      <c r="J2349" s="2" t="s">
        <v>5542</v>
      </c>
      <c r="K2349" s="2" t="s">
        <v>5543</v>
      </c>
      <c r="L2349" s="2" t="s">
        <v>12122</v>
      </c>
      <c r="M2349" s="2" t="s">
        <v>12306</v>
      </c>
      <c r="N2349" s="2" t="s">
        <v>12307</v>
      </c>
      <c r="O2349" s="2" t="s">
        <v>869</v>
      </c>
      <c r="P2349" s="2" t="s">
        <v>870</v>
      </c>
    </row>
    <row r="2350" ht="15.75" customHeight="1">
      <c r="H2350" s="2" t="s">
        <v>12308</v>
      </c>
      <c r="I2350" s="2" t="s">
        <v>12309</v>
      </c>
      <c r="J2350" s="2" t="s">
        <v>12310</v>
      </c>
      <c r="K2350" s="2" t="s">
        <v>2375</v>
      </c>
      <c r="L2350" s="2" t="s">
        <v>12311</v>
      </c>
      <c r="M2350" s="2" t="s">
        <v>12312</v>
      </c>
      <c r="N2350" s="2" t="s">
        <v>12313</v>
      </c>
      <c r="O2350" s="2" t="s">
        <v>869</v>
      </c>
      <c r="P2350" s="2" t="s">
        <v>870</v>
      </c>
    </row>
    <row r="2351" ht="15.75" customHeight="1">
      <c r="H2351" s="2" t="s">
        <v>12314</v>
      </c>
      <c r="I2351" s="2" t="s">
        <v>5550</v>
      </c>
      <c r="J2351" s="2" t="s">
        <v>5551</v>
      </c>
      <c r="K2351" s="2" t="s">
        <v>12315</v>
      </c>
      <c r="L2351" s="2" t="s">
        <v>12122</v>
      </c>
      <c r="M2351" s="2" t="s">
        <v>12316</v>
      </c>
      <c r="N2351" s="2" t="s">
        <v>869</v>
      </c>
      <c r="O2351" s="2" t="s">
        <v>870</v>
      </c>
    </row>
    <row r="2352" ht="15.75" customHeight="1">
      <c r="H2352" s="2" t="s">
        <v>12317</v>
      </c>
      <c r="I2352" s="2" t="s">
        <v>12318</v>
      </c>
      <c r="J2352" s="2" t="s">
        <v>12319</v>
      </c>
      <c r="K2352" s="2" t="s">
        <v>12320</v>
      </c>
      <c r="L2352" s="2" t="s">
        <v>12122</v>
      </c>
      <c r="M2352" s="2" t="s">
        <v>12321</v>
      </c>
      <c r="N2352" s="2" t="s">
        <v>12322</v>
      </c>
      <c r="O2352" s="2" t="s">
        <v>869</v>
      </c>
      <c r="P2352" s="2" t="s">
        <v>870</v>
      </c>
    </row>
    <row r="2353" ht="15.75" customHeight="1">
      <c r="H2353" s="2" t="s">
        <v>12323</v>
      </c>
      <c r="I2353" s="2" t="s">
        <v>2421</v>
      </c>
      <c r="J2353" s="2" t="s">
        <v>2422</v>
      </c>
      <c r="L2353" s="2" t="s">
        <v>12122</v>
      </c>
      <c r="M2353" s="2" t="s">
        <v>12324</v>
      </c>
      <c r="N2353" s="2" t="s">
        <v>869</v>
      </c>
      <c r="O2353" s="2" t="s">
        <v>870</v>
      </c>
    </row>
    <row r="2354" ht="15.75" customHeight="1">
      <c r="H2354" s="2" t="s">
        <v>12325</v>
      </c>
      <c r="I2354" s="2" t="s">
        <v>510</v>
      </c>
      <c r="J2354" s="2" t="s">
        <v>511</v>
      </c>
      <c r="K2354" s="2" t="s">
        <v>2068</v>
      </c>
      <c r="L2354" s="2" t="s">
        <v>12122</v>
      </c>
      <c r="M2354" s="2" t="s">
        <v>12326</v>
      </c>
      <c r="N2354" s="2" t="s">
        <v>12327</v>
      </c>
      <c r="O2354" s="2" t="s">
        <v>869</v>
      </c>
      <c r="P2354" s="2" t="s">
        <v>870</v>
      </c>
    </row>
    <row r="2355" ht="15.75" customHeight="1">
      <c r="H2355" s="2" t="s">
        <v>12328</v>
      </c>
      <c r="I2355" s="2" t="s">
        <v>12329</v>
      </c>
      <c r="J2355" s="2" t="s">
        <v>12330</v>
      </c>
      <c r="K2355" s="2" t="s">
        <v>5358</v>
      </c>
      <c r="L2355" s="2" t="s">
        <v>12331</v>
      </c>
      <c r="M2355" s="2" t="s">
        <v>12332</v>
      </c>
      <c r="N2355" s="2" t="s">
        <v>12333</v>
      </c>
      <c r="O2355" s="2" t="s">
        <v>869</v>
      </c>
      <c r="P2355" s="2" t="s">
        <v>870</v>
      </c>
    </row>
    <row r="2356" ht="15.75" customHeight="1">
      <c r="H2356" s="2" t="s">
        <v>12334</v>
      </c>
      <c r="I2356" s="2" t="s">
        <v>2435</v>
      </c>
      <c r="J2356" s="2" t="s">
        <v>2436</v>
      </c>
      <c r="K2356" s="2" t="s">
        <v>1785</v>
      </c>
      <c r="L2356" s="2" t="s">
        <v>12122</v>
      </c>
      <c r="M2356" s="2" t="s">
        <v>12335</v>
      </c>
      <c r="N2356" s="2" t="s">
        <v>12336</v>
      </c>
      <c r="O2356" s="2" t="s">
        <v>869</v>
      </c>
      <c r="P2356" s="2" t="s">
        <v>870</v>
      </c>
    </row>
    <row r="2357" ht="15.75" customHeight="1">
      <c r="H2357" s="2" t="s">
        <v>12337</v>
      </c>
      <c r="I2357" s="2" t="s">
        <v>518</v>
      </c>
      <c r="J2357" s="2" t="s">
        <v>519</v>
      </c>
      <c r="K2357" s="2" t="s">
        <v>2452</v>
      </c>
      <c r="L2357" s="2" t="s">
        <v>12122</v>
      </c>
      <c r="M2357" s="2" t="s">
        <v>12338</v>
      </c>
      <c r="N2357" s="2" t="s">
        <v>12339</v>
      </c>
      <c r="O2357" s="2" t="s">
        <v>869</v>
      </c>
      <c r="P2357" s="2" t="s">
        <v>870</v>
      </c>
    </row>
    <row r="2358" ht="15.75" customHeight="1">
      <c r="H2358" s="2" t="s">
        <v>12340</v>
      </c>
      <c r="I2358" s="2" t="s">
        <v>5558</v>
      </c>
      <c r="J2358" s="2" t="s">
        <v>5559</v>
      </c>
      <c r="L2358" s="2" t="s">
        <v>12122</v>
      </c>
      <c r="M2358" s="2" t="s">
        <v>12341</v>
      </c>
      <c r="N2358" s="2" t="s">
        <v>869</v>
      </c>
      <c r="O2358" s="2" t="s">
        <v>870</v>
      </c>
    </row>
    <row r="2359" ht="15.75" customHeight="1">
      <c r="H2359" s="2" t="s">
        <v>12342</v>
      </c>
      <c r="I2359" s="2" t="s">
        <v>12343</v>
      </c>
      <c r="J2359" s="2" t="s">
        <v>12344</v>
      </c>
      <c r="L2359" s="2" t="s">
        <v>12122</v>
      </c>
      <c r="M2359" s="2" t="s">
        <v>12345</v>
      </c>
      <c r="N2359" s="2" t="s">
        <v>12346</v>
      </c>
      <c r="O2359" s="2" t="s">
        <v>869</v>
      </c>
      <c r="P2359" s="2" t="s">
        <v>870</v>
      </c>
    </row>
    <row r="2360" ht="15.75" customHeight="1">
      <c r="H2360" s="2" t="s">
        <v>12347</v>
      </c>
      <c r="I2360" s="2" t="s">
        <v>526</v>
      </c>
      <c r="J2360" s="2" t="s">
        <v>527</v>
      </c>
      <c r="K2360" s="2" t="s">
        <v>2316</v>
      </c>
      <c r="L2360" s="2" t="s">
        <v>12348</v>
      </c>
      <c r="M2360" s="2" t="s">
        <v>12349</v>
      </c>
      <c r="N2360" s="2" t="s">
        <v>12350</v>
      </c>
      <c r="O2360" s="2" t="s">
        <v>869</v>
      </c>
      <c r="P2360" s="2" t="s">
        <v>870</v>
      </c>
    </row>
    <row r="2361" ht="15.75" customHeight="1">
      <c r="F2361" s="2" t="s">
        <v>2508</v>
      </c>
      <c r="H2361" s="2" t="s">
        <v>12351</v>
      </c>
      <c r="I2361" s="2" t="s">
        <v>12352</v>
      </c>
      <c r="J2361" s="2" t="s">
        <v>12352</v>
      </c>
      <c r="K2361" s="2" t="s">
        <v>1331</v>
      </c>
    </row>
    <row r="2362" ht="15.75" customHeight="1">
      <c r="F2362" s="2" t="s">
        <v>534</v>
      </c>
      <c r="H2362" s="2" t="s">
        <v>12353</v>
      </c>
      <c r="I2362" s="2" t="s">
        <v>12354</v>
      </c>
      <c r="J2362" s="2" t="s">
        <v>12355</v>
      </c>
      <c r="K2362" s="2" t="s">
        <v>12356</v>
      </c>
    </row>
    <row r="2363" ht="15.75" customHeight="1">
      <c r="H2363" s="2" t="s">
        <v>12357</v>
      </c>
      <c r="I2363" s="2" t="s">
        <v>2512</v>
      </c>
      <c r="J2363" s="2" t="s">
        <v>2513</v>
      </c>
      <c r="K2363" s="2" t="s">
        <v>2514</v>
      </c>
    </row>
    <row r="2364" ht="15.75" customHeight="1">
      <c r="H2364" s="2" t="s">
        <v>12358</v>
      </c>
      <c r="I2364" s="2" t="s">
        <v>12359</v>
      </c>
      <c r="J2364" s="2" t="s">
        <v>12360</v>
      </c>
      <c r="K2364" s="2" t="s">
        <v>12361</v>
      </c>
    </row>
    <row r="2365" ht="15.75" customHeight="1">
      <c r="H2365" s="2" t="s">
        <v>12362</v>
      </c>
      <c r="I2365" s="2" t="s">
        <v>12363</v>
      </c>
      <c r="J2365" s="2" t="s">
        <v>12364</v>
      </c>
      <c r="K2365" s="2" t="s">
        <v>12365</v>
      </c>
    </row>
    <row r="2366" ht="15.75" customHeight="1">
      <c r="H2366" s="2" t="s">
        <v>12366</v>
      </c>
      <c r="I2366" s="2" t="s">
        <v>536</v>
      </c>
      <c r="J2366" s="2" t="s">
        <v>537</v>
      </c>
      <c r="K2366" s="2" t="s">
        <v>538</v>
      </c>
    </row>
    <row r="2367" ht="15.75" customHeight="1">
      <c r="F2367" s="2" t="s">
        <v>2597</v>
      </c>
      <c r="H2367" s="2" t="s">
        <v>12367</v>
      </c>
      <c r="I2367" s="2" t="s">
        <v>2624</v>
      </c>
      <c r="J2367" s="2" t="s">
        <v>2625</v>
      </c>
      <c r="K2367" s="2" t="s">
        <v>963</v>
      </c>
      <c r="L2367" s="2" t="s">
        <v>12122</v>
      </c>
      <c r="M2367" s="2" t="s">
        <v>12368</v>
      </c>
      <c r="N2367" s="2" t="s">
        <v>12369</v>
      </c>
      <c r="O2367" s="2" t="s">
        <v>869</v>
      </c>
      <c r="P2367" s="2" t="s">
        <v>870</v>
      </c>
    </row>
    <row r="2368" ht="15.75" customHeight="1">
      <c r="F2368" s="2" t="s">
        <v>556</v>
      </c>
      <c r="H2368" s="2" t="s">
        <v>12370</v>
      </c>
      <c r="I2368" s="2" t="s">
        <v>2769</v>
      </c>
      <c r="J2368" s="2" t="s">
        <v>2770</v>
      </c>
      <c r="L2368" s="2" t="s">
        <v>12122</v>
      </c>
      <c r="M2368" s="2" t="s">
        <v>12371</v>
      </c>
      <c r="N2368" s="2" t="s">
        <v>869</v>
      </c>
      <c r="O2368" s="2" t="s">
        <v>870</v>
      </c>
    </row>
    <row r="2369" ht="15.75" customHeight="1">
      <c r="H2369" s="2" t="s">
        <v>12372</v>
      </c>
      <c r="I2369" s="2" t="s">
        <v>8166</v>
      </c>
      <c r="J2369" s="2" t="s">
        <v>8167</v>
      </c>
      <c r="K2369" s="2" t="s">
        <v>1508</v>
      </c>
      <c r="L2369" s="2" t="s">
        <v>12122</v>
      </c>
      <c r="M2369" s="2" t="s">
        <v>12373</v>
      </c>
      <c r="N2369" s="2" t="s">
        <v>12374</v>
      </c>
      <c r="O2369" s="2" t="s">
        <v>869</v>
      </c>
      <c r="P2369" s="2" t="s">
        <v>870</v>
      </c>
    </row>
    <row r="2370" ht="15.75" customHeight="1">
      <c r="H2370" s="2" t="s">
        <v>12375</v>
      </c>
      <c r="I2370" s="2" t="s">
        <v>12376</v>
      </c>
      <c r="J2370" s="2" t="s">
        <v>12377</v>
      </c>
      <c r="K2370" s="2" t="s">
        <v>2223</v>
      </c>
      <c r="L2370" s="2" t="s">
        <v>12122</v>
      </c>
      <c r="M2370" s="2" t="s">
        <v>12378</v>
      </c>
      <c r="N2370" s="2" t="s">
        <v>12379</v>
      </c>
      <c r="O2370" s="2" t="s">
        <v>869</v>
      </c>
      <c r="P2370" s="2" t="s">
        <v>870</v>
      </c>
    </row>
    <row r="2371" ht="15.75" customHeight="1">
      <c r="F2371" s="2" t="s">
        <v>598</v>
      </c>
      <c r="H2371" s="2" t="s">
        <v>12380</v>
      </c>
      <c r="I2371" s="2" t="s">
        <v>608</v>
      </c>
      <c r="J2371" s="2" t="s">
        <v>609</v>
      </c>
      <c r="K2371" s="2" t="s">
        <v>1508</v>
      </c>
      <c r="L2371" s="2" t="s">
        <v>12122</v>
      </c>
      <c r="M2371" s="2" t="s">
        <v>12381</v>
      </c>
      <c r="N2371" s="2" t="s">
        <v>12382</v>
      </c>
      <c r="O2371" s="2" t="s">
        <v>869</v>
      </c>
      <c r="P2371" s="2" t="s">
        <v>870</v>
      </c>
    </row>
    <row r="2372" ht="15.75" customHeight="1">
      <c r="F2372" s="2" t="s">
        <v>624</v>
      </c>
      <c r="H2372" s="2" t="s">
        <v>12383</v>
      </c>
      <c r="I2372" s="2" t="s">
        <v>626</v>
      </c>
      <c r="J2372" s="2" t="s">
        <v>627</v>
      </c>
      <c r="K2372" s="2" t="s">
        <v>2203</v>
      </c>
      <c r="L2372" s="2" t="s">
        <v>12122</v>
      </c>
      <c r="M2372" s="2" t="s">
        <v>12384</v>
      </c>
      <c r="N2372" s="2" t="s">
        <v>12385</v>
      </c>
      <c r="O2372" s="2" t="s">
        <v>869</v>
      </c>
      <c r="P2372" s="2" t="s">
        <v>870</v>
      </c>
    </row>
    <row r="2373" ht="15.75" customHeight="1">
      <c r="H2373" s="2" t="s">
        <v>12386</v>
      </c>
      <c r="I2373" s="2" t="s">
        <v>12387</v>
      </c>
      <c r="J2373" s="2" t="s">
        <v>12388</v>
      </c>
      <c r="K2373" s="2" t="s">
        <v>12389</v>
      </c>
    </row>
    <row r="2374" ht="15.75" customHeight="1">
      <c r="F2374" s="2" t="s">
        <v>634</v>
      </c>
      <c r="H2374" s="2" t="s">
        <v>12390</v>
      </c>
      <c r="I2374" s="2" t="s">
        <v>5634</v>
      </c>
      <c r="J2374" s="2" t="s">
        <v>5635</v>
      </c>
      <c r="K2374" s="2" t="s">
        <v>1061</v>
      </c>
      <c r="L2374" s="2" t="s">
        <v>12122</v>
      </c>
      <c r="M2374" s="2" t="s">
        <v>12391</v>
      </c>
      <c r="N2374" s="2" t="s">
        <v>12392</v>
      </c>
      <c r="O2374" s="2" t="s">
        <v>869</v>
      </c>
      <c r="P2374" s="2" t="s">
        <v>870</v>
      </c>
    </row>
    <row r="2375" ht="15.75" customHeight="1">
      <c r="H2375" s="2" t="s">
        <v>12393</v>
      </c>
      <c r="I2375" s="2" t="s">
        <v>9265</v>
      </c>
      <c r="J2375" s="2" t="s">
        <v>9266</v>
      </c>
      <c r="K2375" s="2" t="s">
        <v>1313</v>
      </c>
      <c r="L2375" s="2" t="s">
        <v>12122</v>
      </c>
      <c r="M2375" s="2" t="s">
        <v>12394</v>
      </c>
      <c r="N2375" s="2" t="s">
        <v>12395</v>
      </c>
      <c r="O2375" s="2" t="s">
        <v>869</v>
      </c>
      <c r="P2375" s="2" t="s">
        <v>870</v>
      </c>
    </row>
    <row r="2376" ht="15.75" customHeight="1">
      <c r="F2376" s="2" t="s">
        <v>3521</v>
      </c>
      <c r="H2376" s="2" t="s">
        <v>12396</v>
      </c>
      <c r="I2376" s="2" t="s">
        <v>12397</v>
      </c>
      <c r="J2376" s="2" t="s">
        <v>12398</v>
      </c>
      <c r="L2376" s="2" t="s">
        <v>12122</v>
      </c>
      <c r="M2376" s="2" t="s">
        <v>12399</v>
      </c>
      <c r="N2376" s="2" t="s">
        <v>869</v>
      </c>
      <c r="O2376" s="2" t="s">
        <v>870</v>
      </c>
    </row>
    <row r="2377" ht="15.75" customHeight="1">
      <c r="H2377" s="2" t="s">
        <v>12400</v>
      </c>
      <c r="I2377" s="2" t="s">
        <v>12401</v>
      </c>
      <c r="J2377" s="2" t="s">
        <v>12402</v>
      </c>
      <c r="K2377" s="2" t="s">
        <v>906</v>
      </c>
      <c r="L2377" s="2" t="s">
        <v>12122</v>
      </c>
      <c r="M2377" s="2" t="s">
        <v>12403</v>
      </c>
      <c r="N2377" s="2" t="s">
        <v>12404</v>
      </c>
      <c r="O2377" s="2" t="s">
        <v>869</v>
      </c>
      <c r="P2377" s="2" t="s">
        <v>870</v>
      </c>
    </row>
    <row r="2378" ht="15.75" customHeight="1">
      <c r="F2378" s="2" t="s">
        <v>660</v>
      </c>
      <c r="H2378" s="2" t="s">
        <v>12405</v>
      </c>
      <c r="I2378" s="2" t="s">
        <v>662</v>
      </c>
      <c r="J2378" s="2" t="s">
        <v>663</v>
      </c>
      <c r="K2378" s="2" t="s">
        <v>1567</v>
      </c>
      <c r="L2378" s="2" t="s">
        <v>12122</v>
      </c>
      <c r="M2378" s="2" t="s">
        <v>12406</v>
      </c>
      <c r="N2378" s="2" t="s">
        <v>12407</v>
      </c>
      <c r="O2378" s="2" t="s">
        <v>869</v>
      </c>
      <c r="P2378" s="2" t="s">
        <v>870</v>
      </c>
    </row>
    <row r="2379" ht="15.75" customHeight="1">
      <c r="F2379" s="2" t="s">
        <v>3762</v>
      </c>
      <c r="H2379" s="2" t="s">
        <v>12408</v>
      </c>
      <c r="I2379" s="2" t="s">
        <v>12409</v>
      </c>
      <c r="J2379" s="2" t="s">
        <v>12410</v>
      </c>
      <c r="L2379" s="2" t="s">
        <v>12122</v>
      </c>
      <c r="M2379" s="2" t="s">
        <v>12411</v>
      </c>
      <c r="N2379" s="2" t="s">
        <v>869</v>
      </c>
      <c r="O2379" s="2" t="s">
        <v>870</v>
      </c>
    </row>
    <row r="2380" ht="15.75" customHeight="1">
      <c r="H2380" s="2" t="s">
        <v>12412</v>
      </c>
      <c r="I2380" s="2" t="s">
        <v>12413</v>
      </c>
      <c r="J2380" s="2" t="s">
        <v>12414</v>
      </c>
      <c r="K2380" s="2" t="s">
        <v>1136</v>
      </c>
      <c r="L2380" s="2" t="s">
        <v>12122</v>
      </c>
      <c r="M2380" s="2" t="s">
        <v>12415</v>
      </c>
      <c r="N2380" s="2" t="s">
        <v>12416</v>
      </c>
      <c r="O2380" s="2" t="s">
        <v>869</v>
      </c>
      <c r="P2380" s="2" t="s">
        <v>870</v>
      </c>
    </row>
    <row r="2381" ht="15.75" customHeight="1">
      <c r="H2381" s="2" t="s">
        <v>12417</v>
      </c>
      <c r="I2381" s="2" t="s">
        <v>12418</v>
      </c>
      <c r="J2381" s="2" t="s">
        <v>12419</v>
      </c>
      <c r="L2381" s="2" t="s">
        <v>12122</v>
      </c>
      <c r="M2381" s="2" t="s">
        <v>12420</v>
      </c>
      <c r="N2381" s="2" t="s">
        <v>869</v>
      </c>
      <c r="O2381" s="2" t="s">
        <v>870</v>
      </c>
    </row>
    <row r="2382" ht="15.75" customHeight="1">
      <c r="H2382" s="2" t="s">
        <v>12421</v>
      </c>
      <c r="I2382" s="2" t="s">
        <v>12422</v>
      </c>
      <c r="J2382" s="2" t="s">
        <v>12423</v>
      </c>
      <c r="K2382" s="2" t="s">
        <v>12424</v>
      </c>
      <c r="L2382" s="2" t="s">
        <v>12122</v>
      </c>
      <c r="M2382" s="2" t="s">
        <v>12425</v>
      </c>
      <c r="N2382" s="2" t="s">
        <v>12426</v>
      </c>
      <c r="O2382" s="2" t="s">
        <v>869</v>
      </c>
      <c r="P2382" s="2" t="s">
        <v>870</v>
      </c>
    </row>
    <row r="2383" ht="15.75" customHeight="1">
      <c r="F2383" s="2" t="s">
        <v>703</v>
      </c>
      <c r="H2383" s="2" t="s">
        <v>12427</v>
      </c>
      <c r="I2383" s="2" t="s">
        <v>10199</v>
      </c>
      <c r="J2383" s="2" t="s">
        <v>10200</v>
      </c>
      <c r="L2383" s="2" t="s">
        <v>12122</v>
      </c>
      <c r="M2383" s="2" t="s">
        <v>12428</v>
      </c>
      <c r="N2383" s="2" t="s">
        <v>869</v>
      </c>
      <c r="O2383" s="2" t="s">
        <v>870</v>
      </c>
    </row>
    <row r="2384" ht="15.75" customHeight="1">
      <c r="H2384" s="2" t="s">
        <v>12429</v>
      </c>
      <c r="I2384" s="2" t="s">
        <v>713</v>
      </c>
      <c r="J2384" s="2" t="s">
        <v>714</v>
      </c>
      <c r="K2384" s="2" t="s">
        <v>1567</v>
      </c>
      <c r="L2384" s="2" t="s">
        <v>12122</v>
      </c>
      <c r="M2384" s="2" t="s">
        <v>12430</v>
      </c>
      <c r="N2384" s="2" t="s">
        <v>869</v>
      </c>
      <c r="O2384" s="2" t="s">
        <v>870</v>
      </c>
    </row>
    <row r="2385" ht="15.75" customHeight="1">
      <c r="F2385" s="2" t="s">
        <v>746</v>
      </c>
      <c r="H2385" s="2" t="s">
        <v>12431</v>
      </c>
      <c r="I2385" s="2" t="s">
        <v>4277</v>
      </c>
      <c r="J2385" s="2" t="s">
        <v>4278</v>
      </c>
      <c r="K2385" s="2" t="s">
        <v>1297</v>
      </c>
      <c r="L2385" s="2" t="s">
        <v>12122</v>
      </c>
      <c r="M2385" s="2" t="s">
        <v>12432</v>
      </c>
      <c r="N2385" s="2" t="s">
        <v>12433</v>
      </c>
      <c r="O2385" s="2" t="s">
        <v>869</v>
      </c>
      <c r="P2385" s="2" t="s">
        <v>870</v>
      </c>
    </row>
    <row r="2386" ht="15.75" customHeight="1">
      <c r="H2386" s="2" t="s">
        <v>12434</v>
      </c>
      <c r="I2386" s="2" t="s">
        <v>4344</v>
      </c>
      <c r="J2386" s="2" t="s">
        <v>4345</v>
      </c>
      <c r="L2386" s="2" t="s">
        <v>12122</v>
      </c>
      <c r="M2386" s="2" t="s">
        <v>12435</v>
      </c>
      <c r="N2386" s="2" t="s">
        <v>869</v>
      </c>
      <c r="O2386" s="2" t="s">
        <v>870</v>
      </c>
    </row>
    <row r="2387" ht="15.75" customHeight="1">
      <c r="F2387" s="2" t="s">
        <v>4353</v>
      </c>
      <c r="H2387" s="2" t="s">
        <v>12436</v>
      </c>
      <c r="I2387" s="2" t="s">
        <v>4395</v>
      </c>
      <c r="J2387" s="2" t="s">
        <v>4396</v>
      </c>
      <c r="K2387" s="2" t="s">
        <v>1141</v>
      </c>
      <c r="L2387" s="2" t="s">
        <v>12122</v>
      </c>
      <c r="M2387" s="2" t="s">
        <v>12437</v>
      </c>
      <c r="N2387" s="2" t="s">
        <v>869</v>
      </c>
      <c r="O2387" s="2" t="s">
        <v>870</v>
      </c>
    </row>
    <row r="2388" ht="15.75" customHeight="1">
      <c r="F2388" s="2" t="s">
        <v>755</v>
      </c>
      <c r="H2388" s="2" t="s">
        <v>12438</v>
      </c>
      <c r="I2388" s="2" t="s">
        <v>757</v>
      </c>
      <c r="J2388" s="2" t="s">
        <v>758</v>
      </c>
      <c r="K2388" s="2" t="s">
        <v>4429</v>
      </c>
      <c r="L2388" s="2" t="s">
        <v>12122</v>
      </c>
      <c r="M2388" s="2" t="s">
        <v>12439</v>
      </c>
      <c r="N2388" s="2" t="s">
        <v>12440</v>
      </c>
      <c r="O2388" s="2" t="s">
        <v>869</v>
      </c>
      <c r="P2388" s="2" t="s">
        <v>870</v>
      </c>
    </row>
    <row r="2389" ht="15.75" customHeight="1">
      <c r="F2389" s="2" t="s">
        <v>791</v>
      </c>
      <c r="H2389" s="2" t="s">
        <v>12441</v>
      </c>
      <c r="I2389" s="2" t="s">
        <v>7306</v>
      </c>
      <c r="J2389" s="2" t="s">
        <v>7307</v>
      </c>
      <c r="K2389" s="2" t="s">
        <v>958</v>
      </c>
      <c r="L2389" s="2" t="s">
        <v>12122</v>
      </c>
      <c r="M2389" s="2" t="s">
        <v>12442</v>
      </c>
      <c r="N2389" s="2" t="s">
        <v>869</v>
      </c>
      <c r="O2389" s="2" t="s">
        <v>870</v>
      </c>
    </row>
    <row r="2390" ht="15.75" customHeight="1">
      <c r="F2390" s="2" t="s">
        <v>800</v>
      </c>
      <c r="H2390" s="2" t="s">
        <v>12443</v>
      </c>
      <c r="I2390" s="2" t="s">
        <v>4994</v>
      </c>
      <c r="J2390" s="2" t="s">
        <v>4995</v>
      </c>
      <c r="K2390" s="2" t="s">
        <v>1878</v>
      </c>
      <c r="L2390" s="2" t="s">
        <v>12122</v>
      </c>
      <c r="M2390" s="2" t="s">
        <v>12444</v>
      </c>
      <c r="N2390" s="2" t="s">
        <v>12445</v>
      </c>
      <c r="O2390" s="2" t="s">
        <v>869</v>
      </c>
      <c r="P2390" s="2" t="s">
        <v>870</v>
      </c>
    </row>
    <row r="2391" ht="15.75" customHeight="1">
      <c r="H2391" s="2" t="s">
        <v>12446</v>
      </c>
      <c r="I2391" s="2" t="s">
        <v>5093</v>
      </c>
      <c r="J2391" s="2" t="s">
        <v>5094</v>
      </c>
      <c r="L2391" s="2" t="s">
        <v>12122</v>
      </c>
      <c r="M2391" s="2" t="s">
        <v>12447</v>
      </c>
      <c r="N2391" s="2" t="s">
        <v>12448</v>
      </c>
      <c r="O2391" s="2" t="s">
        <v>869</v>
      </c>
      <c r="P2391" s="2" t="s">
        <v>870</v>
      </c>
    </row>
    <row r="2392" ht="15.75" customHeight="1">
      <c r="H2392" s="2" t="s">
        <v>12449</v>
      </c>
      <c r="I2392" s="2" t="s">
        <v>12450</v>
      </c>
      <c r="J2392" s="2" t="s">
        <v>12451</v>
      </c>
      <c r="K2392" s="2" t="s">
        <v>12452</v>
      </c>
    </row>
    <row r="2393" ht="15.75" customHeight="1">
      <c r="H2393" s="2" t="s">
        <v>12453</v>
      </c>
      <c r="I2393" s="2" t="s">
        <v>5986</v>
      </c>
      <c r="J2393" s="2" t="s">
        <v>5987</v>
      </c>
      <c r="K2393" s="2" t="s">
        <v>12454</v>
      </c>
      <c r="L2393" s="2" t="s">
        <v>12122</v>
      </c>
      <c r="M2393" s="2" t="s">
        <v>12455</v>
      </c>
      <c r="N2393" s="2" t="s">
        <v>12456</v>
      </c>
      <c r="O2393" s="2" t="s">
        <v>869</v>
      </c>
      <c r="P2393" s="2" t="s">
        <v>870</v>
      </c>
    </row>
    <row r="2394" ht="15.75" customHeight="1">
      <c r="H2394" s="2" t="s">
        <v>12457</v>
      </c>
      <c r="I2394" s="2" t="s">
        <v>12458</v>
      </c>
      <c r="J2394" s="2" t="s">
        <v>12459</v>
      </c>
      <c r="K2394" s="2" t="s">
        <v>12460</v>
      </c>
      <c r="L2394" s="2" t="s">
        <v>12122</v>
      </c>
      <c r="M2394" s="2" t="s">
        <v>12461</v>
      </c>
      <c r="N2394" s="2" t="s">
        <v>12462</v>
      </c>
      <c r="O2394" s="2" t="s">
        <v>869</v>
      </c>
      <c r="P2394" s="2" t="s">
        <v>870</v>
      </c>
    </row>
    <row r="2395" ht="15.75" customHeight="1">
      <c r="B2395" s="2" t="s">
        <v>12463</v>
      </c>
      <c r="C2395" s="2" t="s">
        <v>996</v>
      </c>
      <c r="D2395" s="2" t="s">
        <v>12464</v>
      </c>
      <c r="F2395" s="2" t="s">
        <v>29</v>
      </c>
      <c r="H2395" s="2" t="s">
        <v>12465</v>
      </c>
      <c r="I2395" s="2" t="s">
        <v>12466</v>
      </c>
      <c r="J2395" s="2" t="s">
        <v>12466</v>
      </c>
      <c r="K2395" s="2" t="s">
        <v>1648</v>
      </c>
    </row>
    <row r="2396" ht="15.75" customHeight="1">
      <c r="F2396" s="2" t="s">
        <v>2508</v>
      </c>
      <c r="H2396" s="2" t="s">
        <v>12467</v>
      </c>
      <c r="I2396" s="2" t="s">
        <v>12468</v>
      </c>
      <c r="J2396" s="2" t="s">
        <v>12468</v>
      </c>
      <c r="K2396" s="2" t="s">
        <v>1567</v>
      </c>
    </row>
    <row r="2397" ht="15.75" customHeight="1">
      <c r="F2397" s="2" t="s">
        <v>534</v>
      </c>
      <c r="H2397" s="2" t="s">
        <v>12469</v>
      </c>
      <c r="I2397" s="2" t="s">
        <v>2512</v>
      </c>
      <c r="J2397" s="2" t="s">
        <v>2513</v>
      </c>
      <c r="K2397" s="2" t="s">
        <v>2514</v>
      </c>
    </row>
    <row r="2398" ht="15.75" customHeight="1">
      <c r="H2398" s="2" t="s">
        <v>12470</v>
      </c>
      <c r="I2398" s="2" t="s">
        <v>536</v>
      </c>
      <c r="J2398" s="2" t="s">
        <v>537</v>
      </c>
      <c r="K2398" s="2" t="s">
        <v>538</v>
      </c>
    </row>
    <row r="2399" ht="15.75" customHeight="1">
      <c r="B2399" s="2" t="s">
        <v>12471</v>
      </c>
      <c r="C2399" s="2" t="s">
        <v>12472</v>
      </c>
      <c r="D2399" s="2" t="s">
        <v>12473</v>
      </c>
      <c r="F2399" s="2" t="s">
        <v>855</v>
      </c>
      <c r="H2399" s="2" t="s">
        <v>12474</v>
      </c>
      <c r="I2399" s="2" t="s">
        <v>12475</v>
      </c>
      <c r="J2399" s="2" t="s">
        <v>12476</v>
      </c>
      <c r="K2399" s="2" t="s">
        <v>12477</v>
      </c>
      <c r="L2399" s="2" t="s">
        <v>12478</v>
      </c>
      <c r="M2399" s="2" t="s">
        <v>12479</v>
      </c>
      <c r="N2399" s="2" t="s">
        <v>869</v>
      </c>
      <c r="O2399" s="2" t="s">
        <v>870</v>
      </c>
    </row>
    <row r="2400" ht="15.75" customHeight="1">
      <c r="F2400" s="2" t="s">
        <v>19</v>
      </c>
      <c r="H2400" s="2" t="s">
        <v>12480</v>
      </c>
      <c r="I2400" s="2" t="s">
        <v>21</v>
      </c>
      <c r="J2400" s="2" t="s">
        <v>22</v>
      </c>
      <c r="K2400" s="2" t="s">
        <v>865</v>
      </c>
      <c r="L2400" s="2" t="s">
        <v>12478</v>
      </c>
      <c r="M2400" s="2" t="s">
        <v>12481</v>
      </c>
      <c r="N2400" s="2" t="s">
        <v>12482</v>
      </c>
      <c r="O2400" s="2" t="s">
        <v>869</v>
      </c>
      <c r="P2400" s="2" t="s">
        <v>870</v>
      </c>
    </row>
    <row r="2401" ht="15.75" customHeight="1">
      <c r="F2401" s="2" t="s">
        <v>1052</v>
      </c>
      <c r="H2401" s="2" t="s">
        <v>12483</v>
      </c>
      <c r="I2401" s="2" t="s">
        <v>1054</v>
      </c>
      <c r="J2401" s="2" t="s">
        <v>1055</v>
      </c>
      <c r="K2401" s="2" t="s">
        <v>853</v>
      </c>
      <c r="L2401" s="2" t="s">
        <v>12478</v>
      </c>
      <c r="M2401" s="2" t="s">
        <v>12484</v>
      </c>
      <c r="N2401" s="2" t="s">
        <v>12485</v>
      </c>
      <c r="O2401" s="2" t="s">
        <v>869</v>
      </c>
      <c r="P2401" s="2" t="s">
        <v>870</v>
      </c>
    </row>
    <row r="2402" ht="15.75" customHeight="1">
      <c r="F2402" s="2" t="s">
        <v>29</v>
      </c>
      <c r="H2402" s="2" t="s">
        <v>12486</v>
      </c>
      <c r="I2402" s="2" t="s">
        <v>31</v>
      </c>
      <c r="J2402" s="2" t="s">
        <v>32</v>
      </c>
      <c r="K2402" s="2" t="s">
        <v>874</v>
      </c>
      <c r="L2402" s="2" t="s">
        <v>12478</v>
      </c>
      <c r="M2402" s="2" t="s">
        <v>12487</v>
      </c>
      <c r="N2402" s="2" t="s">
        <v>12488</v>
      </c>
      <c r="O2402" s="2" t="s">
        <v>869</v>
      </c>
      <c r="P2402" s="2" t="s">
        <v>870</v>
      </c>
    </row>
    <row r="2403" ht="15.75" customHeight="1">
      <c r="F2403" s="2" t="s">
        <v>39</v>
      </c>
      <c r="H2403" s="2" t="s">
        <v>12489</v>
      </c>
      <c r="I2403" s="2" t="s">
        <v>12490</v>
      </c>
      <c r="J2403" s="2" t="s">
        <v>12491</v>
      </c>
      <c r="K2403" s="2" t="s">
        <v>1117</v>
      </c>
      <c r="L2403" s="2" t="s">
        <v>12478</v>
      </c>
      <c r="M2403" s="2" t="s">
        <v>12492</v>
      </c>
      <c r="N2403" s="2" t="s">
        <v>869</v>
      </c>
      <c r="O2403" s="2" t="s">
        <v>870</v>
      </c>
    </row>
    <row r="2404" ht="15.75" customHeight="1">
      <c r="F2404" s="2" t="s">
        <v>56</v>
      </c>
      <c r="H2404" s="2" t="s">
        <v>12493</v>
      </c>
      <c r="I2404" s="2" t="s">
        <v>12494</v>
      </c>
      <c r="J2404" s="2" t="s">
        <v>12495</v>
      </c>
      <c r="K2404" s="2" t="s">
        <v>1878</v>
      </c>
      <c r="L2404" s="2" t="s">
        <v>12478</v>
      </c>
      <c r="M2404" s="2" t="s">
        <v>12496</v>
      </c>
      <c r="N2404" s="2" t="s">
        <v>869</v>
      </c>
      <c r="O2404" s="2" t="s">
        <v>870</v>
      </c>
    </row>
    <row r="2405" ht="15.75" customHeight="1">
      <c r="H2405" s="2" t="s">
        <v>12497</v>
      </c>
      <c r="I2405" s="2" t="s">
        <v>1382</v>
      </c>
      <c r="J2405" s="2" t="s">
        <v>1383</v>
      </c>
      <c r="K2405" s="2" t="s">
        <v>1136</v>
      </c>
      <c r="L2405" s="2" t="s">
        <v>12478</v>
      </c>
      <c r="M2405" s="2" t="s">
        <v>12498</v>
      </c>
      <c r="N2405" s="2" t="s">
        <v>12499</v>
      </c>
      <c r="O2405" s="2" t="s">
        <v>869</v>
      </c>
      <c r="P2405" s="2" t="s">
        <v>870</v>
      </c>
    </row>
    <row r="2406" ht="15.75" customHeight="1">
      <c r="F2406" s="2" t="s">
        <v>65</v>
      </c>
      <c r="H2406" s="2" t="s">
        <v>12500</v>
      </c>
      <c r="I2406" s="2" t="s">
        <v>12501</v>
      </c>
      <c r="J2406" s="2" t="s">
        <v>12502</v>
      </c>
      <c r="K2406" s="2" t="s">
        <v>5692</v>
      </c>
      <c r="L2406" s="2" t="s">
        <v>12478</v>
      </c>
      <c r="M2406" s="2" t="s">
        <v>12503</v>
      </c>
      <c r="N2406" s="2" t="s">
        <v>869</v>
      </c>
      <c r="O2406" s="2" t="s">
        <v>870</v>
      </c>
    </row>
    <row r="2407" ht="15.75" customHeight="1">
      <c r="F2407" s="2" t="s">
        <v>74</v>
      </c>
      <c r="H2407" s="2" t="s">
        <v>12504</v>
      </c>
      <c r="I2407" s="2" t="s">
        <v>76</v>
      </c>
      <c r="J2407" s="2" t="s">
        <v>77</v>
      </c>
      <c r="K2407" s="2" t="s">
        <v>947</v>
      </c>
      <c r="L2407" s="2" t="s">
        <v>12478</v>
      </c>
      <c r="M2407" s="2" t="s">
        <v>12505</v>
      </c>
      <c r="N2407" s="2" t="s">
        <v>12506</v>
      </c>
      <c r="O2407" s="2" t="s">
        <v>869</v>
      </c>
      <c r="P2407" s="2" t="s">
        <v>870</v>
      </c>
    </row>
    <row r="2408" ht="15.75" customHeight="1">
      <c r="H2408" s="2" t="s">
        <v>12507</v>
      </c>
      <c r="I2408" s="2" t="s">
        <v>12508</v>
      </c>
      <c r="J2408" s="2" t="s">
        <v>12509</v>
      </c>
      <c r="K2408" s="2" t="s">
        <v>1297</v>
      </c>
    </row>
    <row r="2409" ht="15.75" customHeight="1">
      <c r="H2409" s="2" t="s">
        <v>12510</v>
      </c>
      <c r="I2409" s="2" t="s">
        <v>12511</v>
      </c>
      <c r="J2409" s="2" t="s">
        <v>12512</v>
      </c>
      <c r="K2409" s="2" t="s">
        <v>12513</v>
      </c>
      <c r="L2409" s="2" t="s">
        <v>12478</v>
      </c>
      <c r="M2409" s="2" t="s">
        <v>12514</v>
      </c>
      <c r="N2409" s="2" t="s">
        <v>869</v>
      </c>
      <c r="O2409" s="2" t="s">
        <v>870</v>
      </c>
    </row>
    <row r="2410" ht="15.75" customHeight="1">
      <c r="H2410" s="2" t="s">
        <v>12515</v>
      </c>
      <c r="I2410" s="2" t="s">
        <v>12516</v>
      </c>
      <c r="J2410" s="2" t="s">
        <v>12516</v>
      </c>
      <c r="K2410" s="2" t="s">
        <v>1508</v>
      </c>
    </row>
    <row r="2411" ht="15.75" customHeight="1">
      <c r="H2411" s="2" t="s">
        <v>12517</v>
      </c>
      <c r="I2411" s="2" t="s">
        <v>117</v>
      </c>
      <c r="J2411" s="2" t="s">
        <v>118</v>
      </c>
      <c r="K2411" s="2" t="s">
        <v>1424</v>
      </c>
      <c r="L2411" s="2" t="s">
        <v>12478</v>
      </c>
      <c r="M2411" s="2" t="s">
        <v>12518</v>
      </c>
      <c r="N2411" s="2" t="s">
        <v>12519</v>
      </c>
      <c r="O2411" s="2" t="s">
        <v>869</v>
      </c>
      <c r="P2411" s="2" t="s">
        <v>870</v>
      </c>
    </row>
    <row r="2412" ht="15.75" customHeight="1">
      <c r="H2412" s="2" t="s">
        <v>12520</v>
      </c>
      <c r="I2412" s="2" t="s">
        <v>1000</v>
      </c>
      <c r="J2412" s="2" t="s">
        <v>1001</v>
      </c>
      <c r="L2412" s="2" t="s">
        <v>12478</v>
      </c>
      <c r="M2412" s="2" t="s">
        <v>12521</v>
      </c>
      <c r="N2412" s="2" t="s">
        <v>869</v>
      </c>
      <c r="O2412" s="2" t="s">
        <v>870</v>
      </c>
    </row>
    <row r="2413" ht="15.75" customHeight="1">
      <c r="H2413" s="2" t="s">
        <v>12522</v>
      </c>
      <c r="I2413" s="2" t="s">
        <v>12523</v>
      </c>
      <c r="J2413" s="2" t="s">
        <v>12524</v>
      </c>
      <c r="K2413" s="2" t="s">
        <v>12525</v>
      </c>
    </row>
    <row r="2414" ht="15.75" customHeight="1">
      <c r="H2414" s="2" t="s">
        <v>12526</v>
      </c>
      <c r="I2414" s="2" t="s">
        <v>1663</v>
      </c>
      <c r="J2414" s="2" t="s">
        <v>1664</v>
      </c>
      <c r="K2414" s="2" t="s">
        <v>1257</v>
      </c>
      <c r="L2414" s="2" t="s">
        <v>12478</v>
      </c>
      <c r="M2414" s="2" t="s">
        <v>12527</v>
      </c>
      <c r="N2414" s="2" t="s">
        <v>12528</v>
      </c>
      <c r="O2414" s="2" t="s">
        <v>869</v>
      </c>
      <c r="P2414" s="2" t="s">
        <v>870</v>
      </c>
    </row>
    <row r="2415" ht="15.75" customHeight="1">
      <c r="H2415" s="2" t="s">
        <v>12529</v>
      </c>
      <c r="I2415" s="2" t="s">
        <v>12530</v>
      </c>
      <c r="J2415" s="2" t="s">
        <v>12531</v>
      </c>
      <c r="K2415" s="2" t="s">
        <v>12361</v>
      </c>
    </row>
    <row r="2416" ht="15.75" customHeight="1">
      <c r="H2416" s="2" t="s">
        <v>12532</v>
      </c>
      <c r="I2416" s="2" t="s">
        <v>12533</v>
      </c>
      <c r="J2416" s="2" t="s">
        <v>12534</v>
      </c>
      <c r="K2416" s="2" t="s">
        <v>5477</v>
      </c>
    </row>
    <row r="2417" ht="15.75" customHeight="1">
      <c r="H2417" s="2" t="s">
        <v>12535</v>
      </c>
      <c r="I2417" s="2" t="s">
        <v>12536</v>
      </c>
      <c r="J2417" s="2" t="s">
        <v>12537</v>
      </c>
      <c r="K2417" s="2" t="s">
        <v>5142</v>
      </c>
      <c r="L2417" s="2" t="s">
        <v>12478</v>
      </c>
      <c r="M2417" s="2" t="s">
        <v>12538</v>
      </c>
      <c r="N2417" s="2" t="s">
        <v>869</v>
      </c>
      <c r="O2417" s="2" t="s">
        <v>870</v>
      </c>
    </row>
    <row r="2418" ht="15.75" customHeight="1">
      <c r="H2418" s="2" t="s">
        <v>12539</v>
      </c>
      <c r="I2418" s="2" t="s">
        <v>12540</v>
      </c>
      <c r="J2418" s="2" t="s">
        <v>12541</v>
      </c>
      <c r="L2418" s="2" t="s">
        <v>12478</v>
      </c>
      <c r="M2418" s="2" t="s">
        <v>12542</v>
      </c>
      <c r="N2418" s="2" t="s">
        <v>869</v>
      </c>
      <c r="O2418" s="2" t="s">
        <v>870</v>
      </c>
    </row>
    <row r="2419" ht="15.75" customHeight="1">
      <c r="H2419" s="2" t="s">
        <v>12543</v>
      </c>
      <c r="I2419" s="2" t="s">
        <v>201</v>
      </c>
      <c r="J2419" s="2" t="s">
        <v>202</v>
      </c>
      <c r="K2419" s="2" t="s">
        <v>12544</v>
      </c>
      <c r="L2419" s="2" t="s">
        <v>12478</v>
      </c>
      <c r="M2419" s="2" t="s">
        <v>12545</v>
      </c>
      <c r="N2419" s="2" t="s">
        <v>12546</v>
      </c>
      <c r="O2419" s="2" t="s">
        <v>869</v>
      </c>
      <c r="P2419" s="2" t="s">
        <v>870</v>
      </c>
    </row>
    <row r="2420" ht="15.75" customHeight="1">
      <c r="H2420" s="2" t="s">
        <v>12547</v>
      </c>
      <c r="I2420" s="2" t="s">
        <v>5341</v>
      </c>
      <c r="J2420" s="2" t="s">
        <v>5342</v>
      </c>
      <c r="K2420" s="2" t="s">
        <v>12548</v>
      </c>
      <c r="L2420" s="2" t="s">
        <v>12478</v>
      </c>
      <c r="M2420" s="2" t="s">
        <v>12549</v>
      </c>
      <c r="N2420" s="2" t="s">
        <v>12550</v>
      </c>
      <c r="O2420" s="2" t="s">
        <v>869</v>
      </c>
      <c r="P2420" s="2" t="s">
        <v>870</v>
      </c>
    </row>
    <row r="2421" ht="15.75" customHeight="1">
      <c r="H2421" s="2" t="s">
        <v>12551</v>
      </c>
      <c r="I2421" s="2" t="s">
        <v>12552</v>
      </c>
      <c r="J2421" s="2" t="s">
        <v>12553</v>
      </c>
      <c r="K2421" s="2" t="s">
        <v>1761</v>
      </c>
    </row>
    <row r="2422" ht="15.75" customHeight="1">
      <c r="H2422" s="2" t="s">
        <v>12554</v>
      </c>
      <c r="I2422" s="2" t="s">
        <v>12555</v>
      </c>
      <c r="J2422" s="2" t="s">
        <v>12556</v>
      </c>
      <c r="K2422" s="2" t="s">
        <v>12557</v>
      </c>
    </row>
    <row r="2423" ht="15.75" customHeight="1">
      <c r="H2423" s="2" t="s">
        <v>12558</v>
      </c>
      <c r="I2423" s="2" t="s">
        <v>1772</v>
      </c>
      <c r="J2423" s="2" t="s">
        <v>1773</v>
      </c>
      <c r="K2423" s="2" t="s">
        <v>1774</v>
      </c>
      <c r="L2423" s="2" t="s">
        <v>12478</v>
      </c>
      <c r="M2423" s="2" t="s">
        <v>12559</v>
      </c>
      <c r="N2423" s="2" t="s">
        <v>12560</v>
      </c>
      <c r="O2423" s="2" t="s">
        <v>869</v>
      </c>
      <c r="P2423" s="2" t="s">
        <v>870</v>
      </c>
    </row>
    <row r="2424" ht="15.75" customHeight="1">
      <c r="H2424" s="2" t="s">
        <v>12561</v>
      </c>
      <c r="I2424" s="2" t="s">
        <v>12562</v>
      </c>
      <c r="J2424" s="2" t="s">
        <v>12563</v>
      </c>
      <c r="K2424" s="2" t="s">
        <v>12564</v>
      </c>
    </row>
    <row r="2425" ht="15.75" customHeight="1">
      <c r="H2425" s="2" t="s">
        <v>12565</v>
      </c>
      <c r="I2425" s="2" t="s">
        <v>249</v>
      </c>
      <c r="J2425" s="2" t="s">
        <v>250</v>
      </c>
      <c r="K2425" s="2" t="s">
        <v>1832</v>
      </c>
      <c r="L2425" s="2" t="s">
        <v>12478</v>
      </c>
      <c r="M2425" s="2" t="s">
        <v>12566</v>
      </c>
      <c r="N2425" s="2" t="s">
        <v>869</v>
      </c>
      <c r="O2425" s="2" t="s">
        <v>870</v>
      </c>
    </row>
    <row r="2426" ht="15.75" customHeight="1">
      <c r="F2426" s="2" t="s">
        <v>1854</v>
      </c>
      <c r="H2426" s="2" t="s">
        <v>12567</v>
      </c>
      <c r="I2426" s="2" t="s">
        <v>12568</v>
      </c>
      <c r="J2426" s="2" t="s">
        <v>12569</v>
      </c>
      <c r="K2426" s="2" t="s">
        <v>1061</v>
      </c>
      <c r="L2426" s="2" t="s">
        <v>12478</v>
      </c>
      <c r="M2426" s="2" t="s">
        <v>12570</v>
      </c>
      <c r="N2426" s="2" t="s">
        <v>869</v>
      </c>
      <c r="O2426" s="2" t="s">
        <v>870</v>
      </c>
    </row>
    <row r="2427" ht="15.75" customHeight="1">
      <c r="F2427" s="2" t="s">
        <v>265</v>
      </c>
      <c r="H2427" s="2" t="s">
        <v>12571</v>
      </c>
      <c r="I2427" s="2" t="s">
        <v>12572</v>
      </c>
      <c r="J2427" s="2" t="s">
        <v>12573</v>
      </c>
      <c r="K2427" s="2" t="s">
        <v>12574</v>
      </c>
      <c r="L2427" s="2" t="s">
        <v>12478</v>
      </c>
      <c r="M2427" s="2" t="s">
        <v>12575</v>
      </c>
      <c r="N2427" s="2" t="s">
        <v>869</v>
      </c>
      <c r="O2427" s="2" t="s">
        <v>870</v>
      </c>
    </row>
    <row r="2428" ht="15.75" customHeight="1">
      <c r="H2428" s="2" t="s">
        <v>12576</v>
      </c>
      <c r="I2428" s="2" t="s">
        <v>12577</v>
      </c>
      <c r="J2428" s="2" t="s">
        <v>12578</v>
      </c>
      <c r="K2428" s="2" t="s">
        <v>12579</v>
      </c>
      <c r="L2428" s="2" t="s">
        <v>12478</v>
      </c>
      <c r="M2428" s="2" t="s">
        <v>12580</v>
      </c>
      <c r="N2428" s="2" t="s">
        <v>869</v>
      </c>
      <c r="O2428" s="2" t="s">
        <v>870</v>
      </c>
    </row>
    <row r="2429" ht="15.75" customHeight="1">
      <c r="H2429" s="2" t="s">
        <v>12581</v>
      </c>
      <c r="I2429" s="2" t="s">
        <v>12582</v>
      </c>
      <c r="J2429" s="2" t="s">
        <v>12583</v>
      </c>
      <c r="K2429" s="2" t="s">
        <v>1313</v>
      </c>
      <c r="L2429" s="2" t="s">
        <v>12478</v>
      </c>
      <c r="M2429" s="2" t="s">
        <v>12584</v>
      </c>
      <c r="N2429" s="2" t="s">
        <v>869</v>
      </c>
      <c r="O2429" s="2" t="s">
        <v>870</v>
      </c>
    </row>
    <row r="2430" ht="15.75" customHeight="1">
      <c r="F2430" s="2" t="s">
        <v>274</v>
      </c>
      <c r="H2430" s="2" t="s">
        <v>12585</v>
      </c>
      <c r="I2430" s="2" t="s">
        <v>276</v>
      </c>
      <c r="J2430" s="2" t="s">
        <v>276</v>
      </c>
      <c r="K2430" s="2" t="s">
        <v>277</v>
      </c>
    </row>
    <row r="2431" ht="15.75" customHeight="1">
      <c r="H2431" s="2" t="s">
        <v>12586</v>
      </c>
      <c r="I2431" s="2" t="s">
        <v>279</v>
      </c>
      <c r="J2431" s="2" t="s">
        <v>274</v>
      </c>
      <c r="K2431" s="2" t="s">
        <v>280</v>
      </c>
    </row>
    <row r="2432" ht="15.75" customHeight="1">
      <c r="F2432" s="2" t="s">
        <v>284</v>
      </c>
      <c r="H2432" s="2" t="s">
        <v>12587</v>
      </c>
      <c r="I2432" s="2" t="s">
        <v>12588</v>
      </c>
      <c r="J2432" s="2" t="s">
        <v>12589</v>
      </c>
      <c r="K2432" s="2" t="s">
        <v>1567</v>
      </c>
      <c r="L2432" s="2" t="s">
        <v>12478</v>
      </c>
      <c r="M2432" s="2" t="s">
        <v>12590</v>
      </c>
      <c r="N2432" s="2" t="s">
        <v>12591</v>
      </c>
      <c r="O2432" s="2" t="s">
        <v>869</v>
      </c>
      <c r="P2432" s="2" t="s">
        <v>870</v>
      </c>
    </row>
    <row r="2433" ht="15.75" customHeight="1">
      <c r="H2433" s="2" t="s">
        <v>12592</v>
      </c>
      <c r="I2433" s="2" t="s">
        <v>12593</v>
      </c>
      <c r="J2433" s="2" t="s">
        <v>12594</v>
      </c>
      <c r="K2433" s="2" t="s">
        <v>17</v>
      </c>
      <c r="L2433" s="2" t="s">
        <v>12478</v>
      </c>
      <c r="M2433" s="2" t="s">
        <v>12595</v>
      </c>
      <c r="N2433" s="2" t="s">
        <v>12596</v>
      </c>
      <c r="O2433" s="2" t="s">
        <v>869</v>
      </c>
      <c r="P2433" s="2" t="s">
        <v>870</v>
      </c>
    </row>
    <row r="2434" ht="15.75" customHeight="1">
      <c r="H2434" s="2" t="s">
        <v>12597</v>
      </c>
      <c r="I2434" s="2" t="s">
        <v>286</v>
      </c>
      <c r="J2434" s="2" t="s">
        <v>287</v>
      </c>
      <c r="K2434" s="2" t="s">
        <v>1117</v>
      </c>
      <c r="L2434" s="2" t="s">
        <v>12478</v>
      </c>
      <c r="M2434" s="2" t="s">
        <v>12598</v>
      </c>
      <c r="N2434" s="2" t="s">
        <v>12599</v>
      </c>
      <c r="O2434" s="2" t="s">
        <v>869</v>
      </c>
      <c r="P2434" s="2" t="s">
        <v>870</v>
      </c>
    </row>
    <row r="2435" ht="15.75" customHeight="1">
      <c r="H2435" s="2" t="s">
        <v>12600</v>
      </c>
      <c r="I2435" s="2" t="s">
        <v>12601</v>
      </c>
      <c r="J2435" s="2" t="s">
        <v>12602</v>
      </c>
      <c r="L2435" s="2" t="s">
        <v>12478</v>
      </c>
      <c r="M2435" s="2" t="s">
        <v>12603</v>
      </c>
      <c r="N2435" s="2" t="s">
        <v>12604</v>
      </c>
      <c r="O2435" s="2" t="s">
        <v>869</v>
      </c>
      <c r="P2435" s="2" t="s">
        <v>870</v>
      </c>
    </row>
    <row r="2436" ht="15.75" customHeight="1">
      <c r="H2436" s="2" t="s">
        <v>12605</v>
      </c>
      <c r="I2436" s="2" t="s">
        <v>12606</v>
      </c>
      <c r="J2436" s="2" t="s">
        <v>12607</v>
      </c>
      <c r="K2436" s="2" t="s">
        <v>996</v>
      </c>
      <c r="L2436" s="2" t="s">
        <v>12478</v>
      </c>
      <c r="M2436" s="2" t="s">
        <v>12608</v>
      </c>
      <c r="N2436" s="2" t="s">
        <v>12609</v>
      </c>
      <c r="O2436" s="2" t="s">
        <v>869</v>
      </c>
      <c r="P2436" s="2" t="s">
        <v>870</v>
      </c>
    </row>
    <row r="2437" ht="15.75" customHeight="1">
      <c r="H2437" s="2" t="s">
        <v>12610</v>
      </c>
      <c r="I2437" s="2" t="s">
        <v>12611</v>
      </c>
      <c r="J2437" s="2" t="s">
        <v>12612</v>
      </c>
      <c r="K2437" s="2" t="s">
        <v>283</v>
      </c>
      <c r="L2437" s="2" t="s">
        <v>12478</v>
      </c>
      <c r="M2437" s="2" t="s">
        <v>12613</v>
      </c>
      <c r="N2437" s="2" t="s">
        <v>12614</v>
      </c>
      <c r="O2437" s="2" t="s">
        <v>869</v>
      </c>
      <c r="P2437" s="2" t="s">
        <v>870</v>
      </c>
    </row>
    <row r="2438" ht="15.75" customHeight="1">
      <c r="H2438" s="2" t="s">
        <v>12615</v>
      </c>
      <c r="I2438" s="2" t="s">
        <v>12616</v>
      </c>
      <c r="J2438" s="2" t="s">
        <v>12617</v>
      </c>
      <c r="K2438" s="2" t="s">
        <v>12618</v>
      </c>
      <c r="L2438" s="2" t="s">
        <v>12478</v>
      </c>
      <c r="M2438" s="2" t="s">
        <v>12619</v>
      </c>
      <c r="N2438" s="2" t="s">
        <v>869</v>
      </c>
      <c r="O2438" s="2" t="s">
        <v>870</v>
      </c>
    </row>
    <row r="2439" ht="15.75" customHeight="1">
      <c r="H2439" s="2" t="s">
        <v>12620</v>
      </c>
      <c r="I2439" s="2" t="s">
        <v>7740</v>
      </c>
      <c r="J2439" s="2" t="s">
        <v>7741</v>
      </c>
      <c r="K2439" s="2" t="s">
        <v>1439</v>
      </c>
      <c r="L2439" s="2" t="s">
        <v>12478</v>
      </c>
      <c r="M2439" s="2" t="s">
        <v>12621</v>
      </c>
      <c r="N2439" s="2" t="s">
        <v>12622</v>
      </c>
      <c r="O2439" s="2" t="s">
        <v>869</v>
      </c>
      <c r="P2439" s="2" t="s">
        <v>870</v>
      </c>
    </row>
    <row r="2440" ht="15.75" customHeight="1">
      <c r="H2440" s="2" t="s">
        <v>12623</v>
      </c>
      <c r="I2440" s="2" t="s">
        <v>12234</v>
      </c>
      <c r="J2440" s="2" t="s">
        <v>12235</v>
      </c>
      <c r="K2440" s="2" t="s">
        <v>2551</v>
      </c>
      <c r="L2440" s="2" t="s">
        <v>12478</v>
      </c>
      <c r="M2440" s="2" t="s">
        <v>12624</v>
      </c>
      <c r="N2440" s="2" t="s">
        <v>12625</v>
      </c>
      <c r="O2440" s="2" t="s">
        <v>869</v>
      </c>
      <c r="P2440" s="2" t="s">
        <v>870</v>
      </c>
    </row>
    <row r="2441" ht="15.75" customHeight="1">
      <c r="H2441" s="2" t="s">
        <v>12626</v>
      </c>
      <c r="I2441" s="2" t="s">
        <v>2175</v>
      </c>
      <c r="J2441" s="2" t="s">
        <v>2176</v>
      </c>
      <c r="K2441" s="2" t="s">
        <v>1406</v>
      </c>
      <c r="L2441" s="2" t="s">
        <v>12478</v>
      </c>
      <c r="M2441" s="2" t="s">
        <v>12627</v>
      </c>
      <c r="N2441" s="2" t="s">
        <v>12628</v>
      </c>
      <c r="O2441" s="2" t="s">
        <v>869</v>
      </c>
      <c r="P2441" s="2" t="s">
        <v>870</v>
      </c>
    </row>
    <row r="2442" ht="15.75" customHeight="1">
      <c r="H2442" s="2" t="s">
        <v>12629</v>
      </c>
      <c r="I2442" s="2" t="s">
        <v>12630</v>
      </c>
      <c r="J2442" s="2" t="s">
        <v>12631</v>
      </c>
      <c r="K2442" s="2" t="s">
        <v>1412</v>
      </c>
      <c r="L2442" s="2" t="s">
        <v>12478</v>
      </c>
      <c r="M2442" s="2" t="s">
        <v>12632</v>
      </c>
      <c r="N2442" s="2" t="s">
        <v>12633</v>
      </c>
      <c r="O2442" s="2" t="s">
        <v>869</v>
      </c>
      <c r="P2442" s="2" t="s">
        <v>870</v>
      </c>
    </row>
    <row r="2443" ht="15.75" customHeight="1">
      <c r="H2443" s="2" t="s">
        <v>12634</v>
      </c>
      <c r="I2443" s="2" t="s">
        <v>12635</v>
      </c>
      <c r="J2443" s="2" t="s">
        <v>12636</v>
      </c>
      <c r="K2443" s="2" t="s">
        <v>2594</v>
      </c>
      <c r="L2443" s="2" t="s">
        <v>12478</v>
      </c>
      <c r="M2443" s="2" t="s">
        <v>12637</v>
      </c>
      <c r="N2443" s="2" t="s">
        <v>12638</v>
      </c>
      <c r="O2443" s="2" t="s">
        <v>869</v>
      </c>
      <c r="P2443" s="2" t="s">
        <v>870</v>
      </c>
    </row>
    <row r="2444" ht="15.75" customHeight="1">
      <c r="H2444" s="2" t="s">
        <v>12639</v>
      </c>
      <c r="I2444" s="2" t="s">
        <v>12640</v>
      </c>
      <c r="J2444" s="2" t="s">
        <v>12641</v>
      </c>
      <c r="K2444" s="2" t="s">
        <v>11991</v>
      </c>
      <c r="L2444" s="2" t="s">
        <v>12478</v>
      </c>
      <c r="M2444" s="2" t="s">
        <v>12642</v>
      </c>
      <c r="N2444" s="2" t="s">
        <v>12643</v>
      </c>
      <c r="O2444" s="2" t="s">
        <v>869</v>
      </c>
      <c r="P2444" s="2" t="s">
        <v>870</v>
      </c>
    </row>
    <row r="2445" ht="15.75" customHeight="1">
      <c r="H2445" s="2" t="s">
        <v>12644</v>
      </c>
      <c r="I2445" s="2" t="s">
        <v>326</v>
      </c>
      <c r="J2445" s="2" t="s">
        <v>327</v>
      </c>
      <c r="K2445" s="2" t="s">
        <v>1331</v>
      </c>
      <c r="L2445" s="2" t="s">
        <v>12478</v>
      </c>
      <c r="M2445" s="2" t="s">
        <v>12645</v>
      </c>
      <c r="N2445" s="2" t="s">
        <v>869</v>
      </c>
      <c r="O2445" s="2" t="s">
        <v>870</v>
      </c>
    </row>
    <row r="2446" ht="15.75" customHeight="1">
      <c r="H2446" s="2" t="s">
        <v>12646</v>
      </c>
      <c r="I2446" s="2" t="s">
        <v>12647</v>
      </c>
      <c r="J2446" s="2" t="s">
        <v>12648</v>
      </c>
      <c r="K2446" s="2" t="s">
        <v>2171</v>
      </c>
      <c r="L2446" s="2" t="s">
        <v>12478</v>
      </c>
      <c r="M2446" s="2" t="s">
        <v>12649</v>
      </c>
      <c r="N2446" s="2" t="s">
        <v>12650</v>
      </c>
      <c r="O2446" s="2" t="s">
        <v>869</v>
      </c>
      <c r="P2446" s="2" t="s">
        <v>870</v>
      </c>
    </row>
    <row r="2447" ht="15.75" customHeight="1">
      <c r="H2447" s="2" t="s">
        <v>12651</v>
      </c>
      <c r="I2447" s="2" t="s">
        <v>12652</v>
      </c>
      <c r="J2447" s="2" t="s">
        <v>12653</v>
      </c>
      <c r="K2447" s="2" t="s">
        <v>12654</v>
      </c>
      <c r="L2447" s="2" t="s">
        <v>12478</v>
      </c>
      <c r="M2447" s="2" t="s">
        <v>12655</v>
      </c>
      <c r="N2447" s="2" t="s">
        <v>12656</v>
      </c>
      <c r="O2447" s="2" t="s">
        <v>869</v>
      </c>
      <c r="P2447" s="2" t="s">
        <v>870</v>
      </c>
    </row>
    <row r="2448" ht="15.75" customHeight="1">
      <c r="H2448" s="2" t="s">
        <v>12657</v>
      </c>
      <c r="I2448" s="2" t="s">
        <v>335</v>
      </c>
      <c r="J2448" s="2" t="s">
        <v>336</v>
      </c>
      <c r="K2448" s="2" t="s">
        <v>1637</v>
      </c>
      <c r="L2448" s="2" t="s">
        <v>12478</v>
      </c>
      <c r="M2448" s="2" t="s">
        <v>12658</v>
      </c>
      <c r="N2448" s="2" t="s">
        <v>869</v>
      </c>
      <c r="O2448" s="2" t="s">
        <v>870</v>
      </c>
    </row>
    <row r="2449" ht="15.75" customHeight="1">
      <c r="H2449" s="2" t="s">
        <v>12659</v>
      </c>
      <c r="I2449" s="2" t="s">
        <v>352</v>
      </c>
      <c r="J2449" s="2" t="s">
        <v>353</v>
      </c>
      <c r="L2449" s="2" t="s">
        <v>12478</v>
      </c>
      <c r="M2449" s="2" t="s">
        <v>12660</v>
      </c>
      <c r="N2449" s="2" t="s">
        <v>869</v>
      </c>
      <c r="O2449" s="2" t="s">
        <v>870</v>
      </c>
    </row>
    <row r="2450" ht="15.75" customHeight="1">
      <c r="H2450" s="2" t="s">
        <v>12661</v>
      </c>
      <c r="I2450" s="2" t="s">
        <v>5459</v>
      </c>
      <c r="J2450" s="2" t="s">
        <v>5460</v>
      </c>
      <c r="K2450" s="2" t="s">
        <v>1692</v>
      </c>
      <c r="L2450" s="2" t="s">
        <v>12478</v>
      </c>
      <c r="M2450" s="2" t="s">
        <v>12662</v>
      </c>
      <c r="N2450" s="2" t="s">
        <v>12663</v>
      </c>
      <c r="O2450" s="2" t="s">
        <v>869</v>
      </c>
      <c r="P2450" s="2" t="s">
        <v>870</v>
      </c>
    </row>
    <row r="2451" ht="15.75" customHeight="1">
      <c r="H2451" s="2" t="s">
        <v>12664</v>
      </c>
      <c r="I2451" s="2" t="s">
        <v>5481</v>
      </c>
      <c r="J2451" s="2" t="s">
        <v>5482</v>
      </c>
      <c r="K2451" s="2" t="s">
        <v>5483</v>
      </c>
      <c r="L2451" s="2" t="s">
        <v>12478</v>
      </c>
      <c r="M2451" s="2" t="s">
        <v>12665</v>
      </c>
      <c r="N2451" s="2" t="s">
        <v>12666</v>
      </c>
      <c r="O2451" s="2" t="s">
        <v>869</v>
      </c>
      <c r="P2451" s="2" t="s">
        <v>870</v>
      </c>
    </row>
    <row r="2452" ht="15.75" customHeight="1">
      <c r="H2452" s="2" t="s">
        <v>12667</v>
      </c>
      <c r="I2452" s="2" t="s">
        <v>432</v>
      </c>
      <c r="J2452" s="2" t="s">
        <v>433</v>
      </c>
      <c r="K2452" s="2" t="s">
        <v>2236</v>
      </c>
      <c r="L2452" s="2" t="s">
        <v>12478</v>
      </c>
      <c r="M2452" s="2" t="s">
        <v>12668</v>
      </c>
      <c r="N2452" s="2" t="s">
        <v>12669</v>
      </c>
      <c r="O2452" s="2" t="s">
        <v>869</v>
      </c>
      <c r="P2452" s="2" t="s">
        <v>870</v>
      </c>
    </row>
    <row r="2453" ht="15.75" customHeight="1">
      <c r="H2453" s="2" t="s">
        <v>12670</v>
      </c>
      <c r="I2453" s="2" t="s">
        <v>12278</v>
      </c>
      <c r="J2453" s="2" t="s">
        <v>12279</v>
      </c>
      <c r="K2453" s="2" t="s">
        <v>1704</v>
      </c>
      <c r="L2453" s="2" t="s">
        <v>12478</v>
      </c>
      <c r="M2453" s="2" t="s">
        <v>12671</v>
      </c>
      <c r="N2453" s="2" t="s">
        <v>12672</v>
      </c>
      <c r="O2453" s="2" t="s">
        <v>869</v>
      </c>
      <c r="P2453" s="2" t="s">
        <v>870</v>
      </c>
    </row>
    <row r="2454" ht="15.75" customHeight="1">
      <c r="H2454" s="2" t="s">
        <v>12673</v>
      </c>
      <c r="I2454" s="2" t="s">
        <v>449</v>
      </c>
      <c r="J2454" s="2" t="s">
        <v>450</v>
      </c>
      <c r="K2454" s="2" t="s">
        <v>5500</v>
      </c>
      <c r="L2454" s="2" t="s">
        <v>12478</v>
      </c>
      <c r="M2454" s="2" t="s">
        <v>12674</v>
      </c>
      <c r="N2454" s="2" t="s">
        <v>12675</v>
      </c>
      <c r="O2454" s="2" t="s">
        <v>869</v>
      </c>
      <c r="P2454" s="2" t="s">
        <v>870</v>
      </c>
    </row>
    <row r="2455" ht="15.75" customHeight="1">
      <c r="H2455" s="2" t="s">
        <v>12676</v>
      </c>
      <c r="I2455" s="2" t="s">
        <v>4528</v>
      </c>
      <c r="J2455" s="2" t="s">
        <v>4529</v>
      </c>
      <c r="K2455" s="2" t="s">
        <v>12677</v>
      </c>
      <c r="L2455" s="2" t="s">
        <v>12478</v>
      </c>
      <c r="M2455" s="2" t="s">
        <v>12678</v>
      </c>
      <c r="N2455" s="2" t="s">
        <v>12679</v>
      </c>
      <c r="O2455" s="2" t="s">
        <v>869</v>
      </c>
      <c r="P2455" s="2" t="s">
        <v>870</v>
      </c>
    </row>
    <row r="2456" ht="15.75" customHeight="1">
      <c r="H2456" s="2" t="s">
        <v>12680</v>
      </c>
      <c r="I2456" s="2" t="s">
        <v>12681</v>
      </c>
      <c r="J2456" s="2" t="s">
        <v>12682</v>
      </c>
      <c r="K2456" s="2" t="s">
        <v>1731</v>
      </c>
      <c r="L2456" s="2" t="s">
        <v>12478</v>
      </c>
      <c r="M2456" s="2" t="s">
        <v>12683</v>
      </c>
      <c r="N2456" s="2" t="s">
        <v>12684</v>
      </c>
      <c r="O2456" s="2" t="s">
        <v>869</v>
      </c>
      <c r="P2456" s="2" t="s">
        <v>870</v>
      </c>
    </row>
    <row r="2457" ht="15.75" customHeight="1">
      <c r="H2457" s="2" t="s">
        <v>12685</v>
      </c>
      <c r="I2457" s="2" t="s">
        <v>12686</v>
      </c>
      <c r="J2457" s="2" t="s">
        <v>12687</v>
      </c>
      <c r="K2457" s="2" t="s">
        <v>2343</v>
      </c>
      <c r="L2457" s="2" t="s">
        <v>12478</v>
      </c>
      <c r="M2457" s="2" t="s">
        <v>12688</v>
      </c>
      <c r="N2457" s="2" t="s">
        <v>12689</v>
      </c>
      <c r="O2457" s="2" t="s">
        <v>869</v>
      </c>
      <c r="P2457" s="2" t="s">
        <v>870</v>
      </c>
    </row>
    <row r="2458" ht="15.75" customHeight="1">
      <c r="H2458" s="2" t="s">
        <v>12690</v>
      </c>
      <c r="I2458" s="2" t="s">
        <v>2406</v>
      </c>
      <c r="J2458" s="2" t="s">
        <v>2407</v>
      </c>
      <c r="K2458" s="2" t="s">
        <v>2408</v>
      </c>
      <c r="L2458" s="2" t="s">
        <v>12478</v>
      </c>
      <c r="M2458" s="2" t="s">
        <v>12691</v>
      </c>
      <c r="N2458" s="2" t="s">
        <v>12692</v>
      </c>
      <c r="O2458" s="2" t="s">
        <v>869</v>
      </c>
      <c r="P2458" s="2" t="s">
        <v>870</v>
      </c>
    </row>
    <row r="2459" ht="15.75" customHeight="1">
      <c r="H2459" s="2" t="s">
        <v>12693</v>
      </c>
      <c r="I2459" s="2" t="s">
        <v>12694</v>
      </c>
      <c r="J2459" s="2" t="s">
        <v>12695</v>
      </c>
      <c r="K2459" s="2" t="s">
        <v>886</v>
      </c>
      <c r="L2459" s="2" t="s">
        <v>12478</v>
      </c>
      <c r="M2459" s="2" t="s">
        <v>12696</v>
      </c>
      <c r="N2459" s="2" t="s">
        <v>869</v>
      </c>
      <c r="O2459" s="2" t="s">
        <v>870</v>
      </c>
    </row>
    <row r="2460" ht="15.75" customHeight="1">
      <c r="H2460" s="2" t="s">
        <v>12697</v>
      </c>
      <c r="I2460" s="2" t="s">
        <v>2421</v>
      </c>
      <c r="J2460" s="2" t="s">
        <v>2422</v>
      </c>
      <c r="K2460" s="2" t="s">
        <v>12698</v>
      </c>
      <c r="L2460" s="2" t="s">
        <v>12478</v>
      </c>
      <c r="M2460" s="2" t="s">
        <v>12699</v>
      </c>
      <c r="N2460" s="2" t="s">
        <v>12700</v>
      </c>
      <c r="O2460" s="2" t="s">
        <v>869</v>
      </c>
      <c r="P2460" s="2" t="s">
        <v>870</v>
      </c>
    </row>
    <row r="2461" ht="15.75" customHeight="1">
      <c r="H2461" s="2" t="s">
        <v>12701</v>
      </c>
      <c r="I2461" s="2" t="s">
        <v>510</v>
      </c>
      <c r="J2461" s="2" t="s">
        <v>511</v>
      </c>
      <c r="K2461" s="2" t="s">
        <v>2068</v>
      </c>
      <c r="L2461" s="2" t="s">
        <v>12478</v>
      </c>
      <c r="M2461" s="2" t="s">
        <v>12702</v>
      </c>
      <c r="N2461" s="2" t="s">
        <v>12703</v>
      </c>
      <c r="O2461" s="2" t="s">
        <v>869</v>
      </c>
      <c r="P2461" s="2" t="s">
        <v>870</v>
      </c>
    </row>
    <row r="2462" ht="15.75" customHeight="1">
      <c r="H2462" s="2" t="s">
        <v>12704</v>
      </c>
      <c r="I2462" s="2" t="s">
        <v>518</v>
      </c>
      <c r="J2462" s="2" t="s">
        <v>519</v>
      </c>
      <c r="K2462" s="2" t="s">
        <v>2452</v>
      </c>
      <c r="L2462" s="2" t="s">
        <v>12478</v>
      </c>
      <c r="M2462" s="2" t="s">
        <v>12705</v>
      </c>
      <c r="N2462" s="2" t="s">
        <v>869</v>
      </c>
      <c r="O2462" s="2" t="s">
        <v>870</v>
      </c>
    </row>
    <row r="2463" ht="15.75" customHeight="1">
      <c r="H2463" s="2" t="s">
        <v>12706</v>
      </c>
      <c r="I2463" s="2" t="s">
        <v>12707</v>
      </c>
      <c r="J2463" s="2" t="s">
        <v>12708</v>
      </c>
      <c r="K2463" s="2" t="s">
        <v>12709</v>
      </c>
      <c r="L2463" s="2" t="s">
        <v>12478</v>
      </c>
      <c r="M2463" s="2" t="s">
        <v>12710</v>
      </c>
      <c r="N2463" s="2" t="s">
        <v>869</v>
      </c>
      <c r="O2463" s="2" t="s">
        <v>870</v>
      </c>
    </row>
    <row r="2464" ht="15.75" customHeight="1">
      <c r="H2464" s="2" t="s">
        <v>12711</v>
      </c>
      <c r="I2464" s="2" t="s">
        <v>526</v>
      </c>
      <c r="J2464" s="2" t="s">
        <v>527</v>
      </c>
      <c r="K2464" s="2" t="s">
        <v>2316</v>
      </c>
      <c r="L2464" s="2" t="s">
        <v>12478</v>
      </c>
      <c r="M2464" s="2" t="s">
        <v>12712</v>
      </c>
      <c r="N2464" s="2" t="s">
        <v>12713</v>
      </c>
      <c r="O2464" s="2" t="s">
        <v>869</v>
      </c>
      <c r="P2464" s="2" t="s">
        <v>870</v>
      </c>
    </row>
    <row r="2465" ht="15.75" customHeight="1">
      <c r="H2465" s="2" t="s">
        <v>12714</v>
      </c>
      <c r="I2465" s="2" t="s">
        <v>2504</v>
      </c>
      <c r="J2465" s="2" t="s">
        <v>2505</v>
      </c>
      <c r="K2465" s="2" t="s">
        <v>1816</v>
      </c>
      <c r="L2465" s="2" t="s">
        <v>12478</v>
      </c>
      <c r="M2465" s="2" t="s">
        <v>12715</v>
      </c>
      <c r="N2465" s="2" t="s">
        <v>12716</v>
      </c>
      <c r="O2465" s="2" t="s">
        <v>869</v>
      </c>
      <c r="P2465" s="2" t="s">
        <v>870</v>
      </c>
    </row>
    <row r="2466" ht="15.75" customHeight="1">
      <c r="F2466" s="2" t="s">
        <v>2508</v>
      </c>
      <c r="H2466" s="2" t="s">
        <v>12717</v>
      </c>
      <c r="I2466" s="2" t="s">
        <v>12718</v>
      </c>
      <c r="J2466" s="2" t="s">
        <v>12719</v>
      </c>
      <c r="K2466" s="2" t="s">
        <v>6095</v>
      </c>
    </row>
    <row r="2467" ht="15.75" customHeight="1">
      <c r="H2467" s="2" t="s">
        <v>12720</v>
      </c>
      <c r="I2467" s="2" t="s">
        <v>12468</v>
      </c>
      <c r="J2467" s="2" t="s">
        <v>12468</v>
      </c>
      <c r="K2467" s="2" t="s">
        <v>12721</v>
      </c>
    </row>
    <row r="2468" ht="15.75" customHeight="1">
      <c r="H2468" s="2" t="s">
        <v>12722</v>
      </c>
      <c r="I2468" s="2" t="s">
        <v>12723</v>
      </c>
      <c r="J2468" s="2" t="s">
        <v>12724</v>
      </c>
      <c r="K2468" s="2" t="s">
        <v>12725</v>
      </c>
    </row>
    <row r="2469" ht="15.75" customHeight="1">
      <c r="H2469" s="2" t="s">
        <v>12726</v>
      </c>
      <c r="I2469" s="2" t="s">
        <v>12727</v>
      </c>
      <c r="J2469" s="2" t="s">
        <v>12728</v>
      </c>
      <c r="K2469" s="2" t="s">
        <v>12729</v>
      </c>
    </row>
    <row r="2470" ht="15.75" customHeight="1">
      <c r="H2470" s="2" t="s">
        <v>12730</v>
      </c>
      <c r="I2470" s="2" t="s">
        <v>12731</v>
      </c>
      <c r="J2470" s="2" t="s">
        <v>12732</v>
      </c>
      <c r="K2470" s="2" t="s">
        <v>4436</v>
      </c>
    </row>
    <row r="2471" ht="15.75" customHeight="1">
      <c r="H2471" s="2" t="s">
        <v>12733</v>
      </c>
      <c r="I2471" s="2" t="s">
        <v>12734</v>
      </c>
      <c r="J2471" s="2" t="s">
        <v>12735</v>
      </c>
      <c r="K2471" s="2" t="s">
        <v>12736</v>
      </c>
    </row>
    <row r="2472" ht="15.75" customHeight="1">
      <c r="H2472" s="2" t="s">
        <v>12737</v>
      </c>
      <c r="I2472" s="2" t="s">
        <v>12738</v>
      </c>
      <c r="J2472" s="2" t="s">
        <v>12739</v>
      </c>
      <c r="K2472" s="2" t="s">
        <v>12740</v>
      </c>
    </row>
    <row r="2473" ht="15.75" customHeight="1">
      <c r="H2473" s="2" t="s">
        <v>12741</v>
      </c>
      <c r="I2473" s="2" t="s">
        <v>12742</v>
      </c>
      <c r="J2473" s="2" t="s">
        <v>12743</v>
      </c>
      <c r="K2473" s="2" t="s">
        <v>12744</v>
      </c>
    </row>
    <row r="2474" ht="15.75" customHeight="1">
      <c r="F2474" s="2" t="s">
        <v>534</v>
      </c>
      <c r="H2474" s="2" t="s">
        <v>12745</v>
      </c>
      <c r="I2474" s="2" t="s">
        <v>12354</v>
      </c>
      <c r="J2474" s="2" t="s">
        <v>12355</v>
      </c>
      <c r="K2474" s="2" t="s">
        <v>12356</v>
      </c>
    </row>
    <row r="2475" ht="15.75" customHeight="1">
      <c r="H2475" s="2" t="s">
        <v>12746</v>
      </c>
      <c r="I2475" s="2" t="s">
        <v>12747</v>
      </c>
      <c r="J2475" s="2" t="s">
        <v>12748</v>
      </c>
      <c r="K2475" s="2" t="s">
        <v>12749</v>
      </c>
    </row>
    <row r="2476" ht="15.75" customHeight="1">
      <c r="H2476" s="2" t="s">
        <v>12750</v>
      </c>
      <c r="I2476" s="2" t="s">
        <v>12751</v>
      </c>
      <c r="J2476" s="2" t="s">
        <v>12752</v>
      </c>
      <c r="K2476" s="2" t="s">
        <v>1163</v>
      </c>
    </row>
    <row r="2477" ht="15.75" customHeight="1">
      <c r="H2477" s="2" t="s">
        <v>12753</v>
      </c>
      <c r="I2477" s="2" t="s">
        <v>12754</v>
      </c>
      <c r="J2477" s="2" t="s">
        <v>12755</v>
      </c>
      <c r="K2477" s="2" t="s">
        <v>12729</v>
      </c>
    </row>
    <row r="2478" ht="15.75" customHeight="1">
      <c r="H2478" s="2" t="s">
        <v>12756</v>
      </c>
      <c r="I2478" s="2" t="s">
        <v>2512</v>
      </c>
      <c r="J2478" s="2" t="s">
        <v>2513</v>
      </c>
      <c r="K2478" s="2" t="s">
        <v>2514</v>
      </c>
    </row>
    <row r="2479" ht="15.75" customHeight="1">
      <c r="H2479" s="2" t="s">
        <v>12757</v>
      </c>
      <c r="I2479" s="2" t="s">
        <v>12359</v>
      </c>
      <c r="J2479" s="2" t="s">
        <v>12360</v>
      </c>
      <c r="K2479" s="2" t="s">
        <v>12361</v>
      </c>
    </row>
    <row r="2480" ht="15.75" customHeight="1">
      <c r="H2480" s="2" t="s">
        <v>12758</v>
      </c>
      <c r="I2480" s="2" t="s">
        <v>12759</v>
      </c>
      <c r="J2480" s="2" t="s">
        <v>12760</v>
      </c>
      <c r="K2480" s="2" t="s">
        <v>12761</v>
      </c>
    </row>
    <row r="2481" ht="15.75" customHeight="1">
      <c r="H2481" s="2" t="s">
        <v>12762</v>
      </c>
      <c r="I2481" s="2" t="s">
        <v>12763</v>
      </c>
      <c r="J2481" s="2" t="s">
        <v>12763</v>
      </c>
      <c r="K2481" s="2" t="s">
        <v>12764</v>
      </c>
    </row>
    <row r="2482" ht="15.75" customHeight="1">
      <c r="H2482" s="2" t="s">
        <v>12765</v>
      </c>
      <c r="I2482" s="2" t="s">
        <v>536</v>
      </c>
      <c r="J2482" s="2" t="s">
        <v>537</v>
      </c>
      <c r="K2482" s="2" t="s">
        <v>538</v>
      </c>
    </row>
    <row r="2483" ht="15.75" customHeight="1">
      <c r="F2483" s="2" t="s">
        <v>539</v>
      </c>
      <c r="H2483" s="2" t="s">
        <v>12766</v>
      </c>
      <c r="I2483" s="2" t="s">
        <v>12767</v>
      </c>
      <c r="J2483" s="2" t="s">
        <v>12768</v>
      </c>
      <c r="K2483" s="2" t="s">
        <v>886</v>
      </c>
      <c r="L2483" s="2" t="s">
        <v>12478</v>
      </c>
      <c r="M2483" s="2" t="s">
        <v>12769</v>
      </c>
      <c r="N2483" s="2" t="s">
        <v>869</v>
      </c>
      <c r="O2483" s="2" t="s">
        <v>870</v>
      </c>
    </row>
    <row r="2484" ht="15.75" customHeight="1">
      <c r="F2484" s="2" t="s">
        <v>2597</v>
      </c>
      <c r="H2484" s="2" t="s">
        <v>12770</v>
      </c>
      <c r="I2484" s="2" t="s">
        <v>12771</v>
      </c>
      <c r="J2484" s="2" t="s">
        <v>12772</v>
      </c>
      <c r="K2484" s="2" t="s">
        <v>865</v>
      </c>
      <c r="L2484" s="2" t="s">
        <v>12478</v>
      </c>
      <c r="M2484" s="2" t="s">
        <v>12773</v>
      </c>
      <c r="N2484" s="2" t="s">
        <v>869</v>
      </c>
      <c r="O2484" s="2" t="s">
        <v>870</v>
      </c>
    </row>
    <row r="2485" ht="15.75" customHeight="1">
      <c r="H2485" s="2" t="s">
        <v>12774</v>
      </c>
      <c r="I2485" s="2" t="s">
        <v>12775</v>
      </c>
      <c r="J2485" s="2" t="s">
        <v>12776</v>
      </c>
      <c r="K2485" s="2" t="s">
        <v>963</v>
      </c>
      <c r="L2485" s="2" t="s">
        <v>12478</v>
      </c>
      <c r="M2485" s="2" t="s">
        <v>12777</v>
      </c>
      <c r="N2485" s="2" t="s">
        <v>869</v>
      </c>
      <c r="O2485" s="2" t="s">
        <v>870</v>
      </c>
    </row>
    <row r="2486" ht="15.75" customHeight="1">
      <c r="F2486" s="2" t="s">
        <v>548</v>
      </c>
      <c r="H2486" s="2" t="s">
        <v>12778</v>
      </c>
      <c r="I2486" s="2" t="s">
        <v>12779</v>
      </c>
      <c r="J2486" s="2" t="s">
        <v>12780</v>
      </c>
      <c r="K2486" s="2" t="s">
        <v>963</v>
      </c>
      <c r="L2486" s="2" t="s">
        <v>12478</v>
      </c>
      <c r="M2486" s="2" t="s">
        <v>12781</v>
      </c>
      <c r="N2486" s="2" t="s">
        <v>869</v>
      </c>
      <c r="O2486" s="2" t="s">
        <v>870</v>
      </c>
    </row>
    <row r="2487" ht="15.75" customHeight="1">
      <c r="H2487" s="2" t="s">
        <v>12782</v>
      </c>
      <c r="I2487" s="2" t="s">
        <v>2681</v>
      </c>
      <c r="J2487" s="2" t="s">
        <v>2682</v>
      </c>
      <c r="K2487" s="2" t="s">
        <v>1424</v>
      </c>
      <c r="L2487" s="2" t="s">
        <v>12478</v>
      </c>
      <c r="M2487" s="2" t="s">
        <v>12783</v>
      </c>
      <c r="N2487" s="2" t="s">
        <v>12784</v>
      </c>
      <c r="O2487" s="2" t="s">
        <v>869</v>
      </c>
      <c r="P2487" s="2" t="s">
        <v>870</v>
      </c>
    </row>
    <row r="2488" ht="15.75" customHeight="1">
      <c r="F2488" s="2" t="s">
        <v>2693</v>
      </c>
      <c r="H2488" s="2" t="s">
        <v>12785</v>
      </c>
      <c r="I2488" s="2" t="s">
        <v>12786</v>
      </c>
      <c r="J2488" s="2" t="s">
        <v>12787</v>
      </c>
      <c r="K2488" s="2" t="s">
        <v>1297</v>
      </c>
      <c r="L2488" s="2" t="s">
        <v>12478</v>
      </c>
      <c r="M2488" s="2" t="s">
        <v>12788</v>
      </c>
      <c r="N2488" s="2" t="s">
        <v>869</v>
      </c>
      <c r="O2488" s="2" t="s">
        <v>870</v>
      </c>
    </row>
    <row r="2489" ht="15.75" customHeight="1">
      <c r="F2489" s="2" t="s">
        <v>556</v>
      </c>
      <c r="H2489" s="2" t="s">
        <v>12789</v>
      </c>
      <c r="I2489" s="2" t="s">
        <v>558</v>
      </c>
      <c r="J2489" s="2" t="s">
        <v>559</v>
      </c>
      <c r="K2489" s="2" t="s">
        <v>1362</v>
      </c>
      <c r="L2489" s="2" t="s">
        <v>12478</v>
      </c>
      <c r="M2489" s="2" t="s">
        <v>12790</v>
      </c>
      <c r="N2489" s="2" t="s">
        <v>12791</v>
      </c>
      <c r="O2489" s="2" t="s">
        <v>869</v>
      </c>
      <c r="P2489" s="2" t="s">
        <v>870</v>
      </c>
    </row>
    <row r="2490" ht="15.75" customHeight="1">
      <c r="H2490" s="2" t="s">
        <v>12792</v>
      </c>
      <c r="I2490" s="2" t="s">
        <v>12793</v>
      </c>
      <c r="J2490" s="2" t="s">
        <v>12794</v>
      </c>
      <c r="K2490" s="2" t="s">
        <v>963</v>
      </c>
      <c r="L2490" s="2" t="s">
        <v>12478</v>
      </c>
      <c r="M2490" s="2" t="s">
        <v>12795</v>
      </c>
      <c r="N2490" s="2" t="s">
        <v>869</v>
      </c>
      <c r="O2490" s="2" t="s">
        <v>870</v>
      </c>
    </row>
    <row r="2491" ht="15.75" customHeight="1">
      <c r="H2491" s="2" t="s">
        <v>12796</v>
      </c>
      <c r="I2491" s="2" t="s">
        <v>5599</v>
      </c>
      <c r="J2491" s="2" t="s">
        <v>5600</v>
      </c>
      <c r="K2491" s="2" t="s">
        <v>970</v>
      </c>
      <c r="L2491" s="2" t="s">
        <v>12478</v>
      </c>
      <c r="M2491" s="2" t="s">
        <v>12797</v>
      </c>
      <c r="N2491" s="2" t="s">
        <v>12798</v>
      </c>
      <c r="O2491" s="2" t="s">
        <v>869</v>
      </c>
      <c r="P2491" s="2" t="s">
        <v>870</v>
      </c>
    </row>
    <row r="2492" ht="15.75" customHeight="1">
      <c r="H2492" s="2" t="s">
        <v>12799</v>
      </c>
      <c r="I2492" s="2" t="s">
        <v>12800</v>
      </c>
      <c r="J2492" s="2" t="s">
        <v>12801</v>
      </c>
      <c r="K2492" s="2" t="s">
        <v>12802</v>
      </c>
      <c r="L2492" s="2" t="s">
        <v>12478</v>
      </c>
      <c r="M2492" s="2" t="s">
        <v>12803</v>
      </c>
      <c r="N2492" s="2" t="s">
        <v>869</v>
      </c>
      <c r="O2492" s="2" t="s">
        <v>870</v>
      </c>
    </row>
    <row r="2493" ht="15.75" customHeight="1">
      <c r="H2493" s="2" t="s">
        <v>12804</v>
      </c>
      <c r="I2493" s="2" t="s">
        <v>574</v>
      </c>
      <c r="J2493" s="2" t="s">
        <v>575</v>
      </c>
      <c r="K2493" s="2" t="s">
        <v>2223</v>
      </c>
      <c r="L2493" s="2" t="s">
        <v>12478</v>
      </c>
      <c r="M2493" s="2" t="s">
        <v>12805</v>
      </c>
      <c r="N2493" s="2" t="s">
        <v>869</v>
      </c>
      <c r="O2493" s="2" t="s">
        <v>870</v>
      </c>
    </row>
    <row r="2494" ht="15.75" customHeight="1">
      <c r="F2494" s="2" t="s">
        <v>2827</v>
      </c>
      <c r="H2494" s="2" t="s">
        <v>12806</v>
      </c>
      <c r="I2494" s="2" t="s">
        <v>12807</v>
      </c>
      <c r="J2494" s="2" t="s">
        <v>12808</v>
      </c>
      <c r="K2494" s="2" t="s">
        <v>874</v>
      </c>
      <c r="L2494" s="2" t="s">
        <v>12478</v>
      </c>
      <c r="M2494" s="2" t="s">
        <v>12809</v>
      </c>
      <c r="N2494" s="2" t="s">
        <v>869</v>
      </c>
      <c r="O2494" s="2" t="s">
        <v>870</v>
      </c>
    </row>
    <row r="2495" ht="15.75" customHeight="1">
      <c r="F2495" s="2" t="s">
        <v>581</v>
      </c>
      <c r="H2495" s="2" t="s">
        <v>12810</v>
      </c>
      <c r="I2495" s="2" t="s">
        <v>583</v>
      </c>
      <c r="J2495" s="2" t="s">
        <v>584</v>
      </c>
      <c r="K2495" s="2" t="s">
        <v>880</v>
      </c>
      <c r="L2495" s="2" t="s">
        <v>12478</v>
      </c>
      <c r="M2495" s="2" t="s">
        <v>12811</v>
      </c>
      <c r="N2495" s="2" t="s">
        <v>12812</v>
      </c>
      <c r="O2495" s="2" t="s">
        <v>869</v>
      </c>
      <c r="P2495" s="2" t="s">
        <v>870</v>
      </c>
    </row>
    <row r="2496" ht="15.75" customHeight="1">
      <c r="H2496" s="2" t="s">
        <v>12813</v>
      </c>
      <c r="I2496" s="2" t="s">
        <v>2895</v>
      </c>
      <c r="J2496" s="2" t="s">
        <v>2896</v>
      </c>
      <c r="K2496" s="2" t="s">
        <v>1145</v>
      </c>
      <c r="L2496" s="2" t="s">
        <v>12478</v>
      </c>
      <c r="M2496" s="2" t="s">
        <v>12814</v>
      </c>
      <c r="N2496" s="2" t="s">
        <v>12815</v>
      </c>
      <c r="O2496" s="2" t="s">
        <v>869</v>
      </c>
      <c r="P2496" s="2" t="s">
        <v>870</v>
      </c>
    </row>
    <row r="2497" ht="15.75" customHeight="1">
      <c r="F2497" s="2" t="s">
        <v>2902</v>
      </c>
      <c r="H2497" s="2" t="s">
        <v>12816</v>
      </c>
      <c r="I2497" s="2" t="s">
        <v>2925</v>
      </c>
      <c r="J2497" s="2" t="s">
        <v>2926</v>
      </c>
      <c r="K2497" s="2" t="s">
        <v>896</v>
      </c>
      <c r="L2497" s="2" t="s">
        <v>12478</v>
      </c>
      <c r="M2497" s="2" t="s">
        <v>12817</v>
      </c>
      <c r="N2497" s="2" t="s">
        <v>12818</v>
      </c>
      <c r="O2497" s="2" t="s">
        <v>869</v>
      </c>
      <c r="P2497" s="2" t="s">
        <v>870</v>
      </c>
    </row>
    <row r="2498" ht="15.75" customHeight="1">
      <c r="F2498" s="2" t="s">
        <v>598</v>
      </c>
      <c r="H2498" s="2" t="s">
        <v>12819</v>
      </c>
      <c r="I2498" s="2" t="s">
        <v>12820</v>
      </c>
      <c r="J2498" s="2" t="s">
        <v>12821</v>
      </c>
      <c r="K2498" s="2" t="s">
        <v>12822</v>
      </c>
      <c r="L2498" s="2" t="s">
        <v>12478</v>
      </c>
      <c r="M2498" s="2" t="s">
        <v>12823</v>
      </c>
      <c r="N2498" s="2" t="s">
        <v>869</v>
      </c>
      <c r="O2498" s="2" t="s">
        <v>870</v>
      </c>
    </row>
    <row r="2499" ht="15.75" customHeight="1">
      <c r="H2499" s="2" t="s">
        <v>12824</v>
      </c>
      <c r="I2499" s="2" t="s">
        <v>608</v>
      </c>
      <c r="J2499" s="2" t="s">
        <v>609</v>
      </c>
      <c r="K2499" s="2" t="s">
        <v>1508</v>
      </c>
      <c r="L2499" s="2" t="s">
        <v>12478</v>
      </c>
      <c r="M2499" s="2" t="s">
        <v>12825</v>
      </c>
      <c r="N2499" s="2" t="s">
        <v>12826</v>
      </c>
      <c r="O2499" s="2" t="s">
        <v>869</v>
      </c>
      <c r="P2499" s="2" t="s">
        <v>870</v>
      </c>
    </row>
    <row r="2500" ht="15.75" customHeight="1">
      <c r="H2500" s="2" t="s">
        <v>12827</v>
      </c>
      <c r="I2500" s="2" t="s">
        <v>8761</v>
      </c>
      <c r="J2500" s="2" t="s">
        <v>8762</v>
      </c>
      <c r="K2500" s="2" t="s">
        <v>2223</v>
      </c>
      <c r="L2500" s="2" t="s">
        <v>12478</v>
      </c>
      <c r="M2500" s="2" t="s">
        <v>12828</v>
      </c>
      <c r="N2500" s="2" t="s">
        <v>12829</v>
      </c>
      <c r="O2500" s="2" t="s">
        <v>869</v>
      </c>
      <c r="P2500" s="2" t="s">
        <v>870</v>
      </c>
    </row>
    <row r="2501" ht="15.75" customHeight="1">
      <c r="F2501" s="2" t="s">
        <v>3062</v>
      </c>
      <c r="H2501" s="2" t="s">
        <v>12830</v>
      </c>
      <c r="I2501" s="2" t="s">
        <v>12831</v>
      </c>
      <c r="J2501" s="2" t="s">
        <v>12832</v>
      </c>
      <c r="K2501" s="2" t="s">
        <v>12833</v>
      </c>
      <c r="L2501" s="2" t="s">
        <v>12478</v>
      </c>
      <c r="M2501" s="2" t="s">
        <v>12834</v>
      </c>
      <c r="N2501" s="2" t="s">
        <v>869</v>
      </c>
      <c r="O2501" s="2" t="s">
        <v>870</v>
      </c>
    </row>
    <row r="2502" ht="15.75" customHeight="1">
      <c r="F2502" s="2" t="s">
        <v>3079</v>
      </c>
      <c r="H2502" s="2" t="s">
        <v>12835</v>
      </c>
      <c r="I2502" s="2" t="s">
        <v>12836</v>
      </c>
      <c r="J2502" s="2" t="s">
        <v>12837</v>
      </c>
      <c r="K2502" s="2" t="s">
        <v>966</v>
      </c>
      <c r="L2502" s="2" t="s">
        <v>12478</v>
      </c>
      <c r="M2502" s="2" t="s">
        <v>12838</v>
      </c>
      <c r="N2502" s="2" t="s">
        <v>869</v>
      </c>
      <c r="O2502" s="2" t="s">
        <v>870</v>
      </c>
    </row>
    <row r="2503" ht="15.75" customHeight="1">
      <c r="F2503" s="2" t="s">
        <v>3129</v>
      </c>
      <c r="H2503" s="2" t="s">
        <v>12839</v>
      </c>
      <c r="I2503" s="2" t="s">
        <v>12840</v>
      </c>
      <c r="J2503" s="2" t="s">
        <v>12841</v>
      </c>
      <c r="K2503" s="2" t="s">
        <v>1288</v>
      </c>
      <c r="L2503" s="2" t="s">
        <v>12478</v>
      </c>
      <c r="M2503" s="2" t="s">
        <v>12842</v>
      </c>
      <c r="N2503" s="2" t="s">
        <v>869</v>
      </c>
      <c r="O2503" s="2" t="s">
        <v>870</v>
      </c>
    </row>
    <row r="2504" ht="15.75" customHeight="1">
      <c r="F2504" s="2" t="s">
        <v>624</v>
      </c>
      <c r="H2504" s="2" t="s">
        <v>12843</v>
      </c>
      <c r="I2504" s="2" t="s">
        <v>12844</v>
      </c>
      <c r="J2504" s="2" t="s">
        <v>12845</v>
      </c>
      <c r="K2504" s="2" t="s">
        <v>874</v>
      </c>
      <c r="L2504" s="2" t="s">
        <v>12478</v>
      </c>
      <c r="M2504" s="2" t="s">
        <v>5631</v>
      </c>
      <c r="N2504" s="2" t="s">
        <v>869</v>
      </c>
      <c r="O2504" s="2" t="s">
        <v>870</v>
      </c>
    </row>
    <row r="2505" ht="15.75" customHeight="1">
      <c r="H2505" s="2" t="s">
        <v>12846</v>
      </c>
      <c r="I2505" s="2" t="s">
        <v>626</v>
      </c>
      <c r="J2505" s="2" t="s">
        <v>627</v>
      </c>
      <c r="K2505" s="2" t="s">
        <v>2203</v>
      </c>
      <c r="L2505" s="2" t="s">
        <v>12478</v>
      </c>
      <c r="M2505" s="2" t="s">
        <v>12847</v>
      </c>
      <c r="N2505" s="2" t="s">
        <v>12848</v>
      </c>
      <c r="O2505" s="2" t="s">
        <v>869</v>
      </c>
      <c r="P2505" s="2" t="s">
        <v>870</v>
      </c>
    </row>
    <row r="2506" ht="15.75" customHeight="1">
      <c r="F2506" s="2" t="s">
        <v>634</v>
      </c>
      <c r="H2506" s="2" t="s">
        <v>12849</v>
      </c>
      <c r="I2506" s="2" t="s">
        <v>5634</v>
      </c>
      <c r="J2506" s="2" t="s">
        <v>5635</v>
      </c>
      <c r="K2506" s="2" t="s">
        <v>1061</v>
      </c>
      <c r="L2506" s="2" t="s">
        <v>12478</v>
      </c>
      <c r="M2506" s="2" t="s">
        <v>12850</v>
      </c>
      <c r="N2506" s="2" t="s">
        <v>12851</v>
      </c>
      <c r="O2506" s="2" t="s">
        <v>869</v>
      </c>
      <c r="P2506" s="2" t="s">
        <v>870</v>
      </c>
    </row>
    <row r="2507" ht="15.75" customHeight="1">
      <c r="H2507" s="2" t="s">
        <v>12852</v>
      </c>
      <c r="I2507" s="2" t="s">
        <v>12853</v>
      </c>
      <c r="J2507" s="2" t="s">
        <v>12854</v>
      </c>
      <c r="K2507" s="2" t="s">
        <v>886</v>
      </c>
      <c r="L2507" s="2" t="s">
        <v>12478</v>
      </c>
      <c r="M2507" s="2" t="s">
        <v>12855</v>
      </c>
      <c r="N2507" s="2" t="s">
        <v>869</v>
      </c>
      <c r="O2507" s="2" t="s">
        <v>870</v>
      </c>
    </row>
    <row r="2508" ht="15.75" customHeight="1">
      <c r="F2508" s="2" t="s">
        <v>651</v>
      </c>
      <c r="H2508" s="2" t="s">
        <v>12856</v>
      </c>
      <c r="I2508" s="2" t="s">
        <v>12857</v>
      </c>
      <c r="J2508" s="2" t="s">
        <v>12858</v>
      </c>
      <c r="K2508" s="2" t="s">
        <v>1508</v>
      </c>
      <c r="L2508" s="2" t="s">
        <v>12478</v>
      </c>
      <c r="M2508" s="2" t="s">
        <v>12859</v>
      </c>
      <c r="N2508" s="2" t="s">
        <v>869</v>
      </c>
      <c r="O2508" s="2" t="s">
        <v>870</v>
      </c>
    </row>
    <row r="2509" ht="15.75" customHeight="1">
      <c r="F2509" s="2" t="s">
        <v>3521</v>
      </c>
      <c r="H2509" s="2" t="s">
        <v>12860</v>
      </c>
      <c r="I2509" s="2" t="s">
        <v>12861</v>
      </c>
      <c r="J2509" s="2" t="s">
        <v>12862</v>
      </c>
      <c r="K2509" s="2" t="s">
        <v>970</v>
      </c>
      <c r="L2509" s="2" t="s">
        <v>12478</v>
      </c>
      <c r="M2509" s="2" t="s">
        <v>12863</v>
      </c>
      <c r="N2509" s="2" t="s">
        <v>869</v>
      </c>
      <c r="O2509" s="2" t="s">
        <v>870</v>
      </c>
    </row>
    <row r="2510" ht="15.75" customHeight="1">
      <c r="H2510" s="2" t="s">
        <v>12864</v>
      </c>
      <c r="I2510" s="2" t="s">
        <v>3553</v>
      </c>
      <c r="J2510" s="2" t="s">
        <v>3554</v>
      </c>
      <c r="K2510" s="2" t="s">
        <v>900</v>
      </c>
      <c r="L2510" s="2" t="s">
        <v>12478</v>
      </c>
      <c r="M2510" s="2" t="s">
        <v>12865</v>
      </c>
      <c r="N2510" s="2" t="s">
        <v>869</v>
      </c>
      <c r="O2510" s="2" t="s">
        <v>870</v>
      </c>
    </row>
    <row r="2511" ht="15.75" customHeight="1">
      <c r="F2511" s="2" t="s">
        <v>3577</v>
      </c>
      <c r="H2511" s="2" t="s">
        <v>12866</v>
      </c>
      <c r="I2511" s="2" t="s">
        <v>12867</v>
      </c>
      <c r="J2511" s="2" t="s">
        <v>12868</v>
      </c>
      <c r="K2511" s="2" t="s">
        <v>1288</v>
      </c>
      <c r="L2511" s="2" t="s">
        <v>12478</v>
      </c>
      <c r="M2511" s="2" t="s">
        <v>12869</v>
      </c>
      <c r="N2511" s="2" t="s">
        <v>869</v>
      </c>
      <c r="O2511" s="2" t="s">
        <v>870</v>
      </c>
    </row>
    <row r="2512" ht="15.75" customHeight="1">
      <c r="F2512" s="2" t="s">
        <v>3605</v>
      </c>
      <c r="H2512" s="2" t="s">
        <v>12870</v>
      </c>
      <c r="I2512" s="2" t="s">
        <v>12871</v>
      </c>
      <c r="J2512" s="2" t="s">
        <v>12872</v>
      </c>
      <c r="K2512" s="2" t="s">
        <v>12873</v>
      </c>
      <c r="L2512" s="2" t="s">
        <v>12478</v>
      </c>
      <c r="M2512" s="2" t="s">
        <v>12874</v>
      </c>
      <c r="N2512" s="2" t="s">
        <v>869</v>
      </c>
      <c r="O2512" s="2" t="s">
        <v>870</v>
      </c>
    </row>
    <row r="2513" ht="15.75" customHeight="1">
      <c r="F2513" s="2" t="s">
        <v>3629</v>
      </c>
      <c r="H2513" s="2" t="s">
        <v>12875</v>
      </c>
      <c r="I2513" s="2" t="s">
        <v>3661</v>
      </c>
      <c r="J2513" s="2" t="s">
        <v>3662</v>
      </c>
      <c r="K2513" s="2" t="s">
        <v>880</v>
      </c>
      <c r="L2513" s="2" t="s">
        <v>12478</v>
      </c>
      <c r="M2513" s="2" t="s">
        <v>12876</v>
      </c>
      <c r="N2513" s="2" t="s">
        <v>12877</v>
      </c>
      <c r="O2513" s="2" t="s">
        <v>869</v>
      </c>
      <c r="P2513" s="2" t="s">
        <v>870</v>
      </c>
    </row>
    <row r="2514" ht="15.75" customHeight="1">
      <c r="F2514" s="2" t="s">
        <v>660</v>
      </c>
      <c r="H2514" s="2" t="s">
        <v>12878</v>
      </c>
      <c r="I2514" s="2" t="s">
        <v>662</v>
      </c>
      <c r="J2514" s="2" t="s">
        <v>663</v>
      </c>
      <c r="K2514" s="2" t="s">
        <v>1567</v>
      </c>
      <c r="L2514" s="2" t="s">
        <v>12478</v>
      </c>
      <c r="M2514" s="2" t="s">
        <v>12879</v>
      </c>
      <c r="N2514" s="2" t="s">
        <v>12880</v>
      </c>
      <c r="O2514" s="2" t="s">
        <v>869</v>
      </c>
      <c r="P2514" s="2" t="s">
        <v>870</v>
      </c>
    </row>
    <row r="2515" ht="15.75" customHeight="1">
      <c r="F2515" s="2" t="s">
        <v>3762</v>
      </c>
      <c r="H2515" s="2" t="s">
        <v>12881</v>
      </c>
      <c r="I2515" s="2" t="s">
        <v>3809</v>
      </c>
      <c r="J2515" s="2" t="s">
        <v>3810</v>
      </c>
      <c r="K2515" s="2" t="s">
        <v>906</v>
      </c>
      <c r="L2515" s="2" t="s">
        <v>12478</v>
      </c>
      <c r="M2515" s="2" t="s">
        <v>12882</v>
      </c>
      <c r="N2515" s="2" t="s">
        <v>12883</v>
      </c>
      <c r="O2515" s="2" t="s">
        <v>869</v>
      </c>
      <c r="P2515" s="2" t="s">
        <v>870</v>
      </c>
    </row>
    <row r="2516" ht="15.75" customHeight="1">
      <c r="F2516" s="2" t="s">
        <v>677</v>
      </c>
      <c r="H2516" s="2" t="s">
        <v>12884</v>
      </c>
      <c r="I2516" s="2" t="s">
        <v>12885</v>
      </c>
      <c r="J2516" s="2" t="s">
        <v>12886</v>
      </c>
      <c r="K2516" s="2" t="s">
        <v>1027</v>
      </c>
      <c r="L2516" s="2" t="s">
        <v>12478</v>
      </c>
      <c r="M2516" s="2" t="s">
        <v>12887</v>
      </c>
      <c r="N2516" s="2" t="s">
        <v>869</v>
      </c>
      <c r="O2516" s="2" t="s">
        <v>870</v>
      </c>
    </row>
    <row r="2517" ht="15.75" customHeight="1">
      <c r="H2517" s="2" t="s">
        <v>12888</v>
      </c>
      <c r="I2517" s="2" t="s">
        <v>679</v>
      </c>
      <c r="J2517" s="2" t="s">
        <v>680</v>
      </c>
      <c r="K2517" s="2" t="s">
        <v>1157</v>
      </c>
      <c r="L2517" s="2" t="s">
        <v>12478</v>
      </c>
      <c r="M2517" s="2" t="s">
        <v>12889</v>
      </c>
      <c r="N2517" s="2" t="s">
        <v>12890</v>
      </c>
      <c r="O2517" s="2" t="s">
        <v>869</v>
      </c>
      <c r="P2517" s="2" t="s">
        <v>870</v>
      </c>
    </row>
    <row r="2518" ht="15.75" customHeight="1">
      <c r="F2518" s="2" t="s">
        <v>694</v>
      </c>
      <c r="H2518" s="2" t="s">
        <v>12891</v>
      </c>
      <c r="I2518" s="2" t="s">
        <v>12892</v>
      </c>
      <c r="J2518" s="2" t="s">
        <v>12893</v>
      </c>
      <c r="K2518" s="2" t="s">
        <v>12894</v>
      </c>
      <c r="L2518" s="2" t="s">
        <v>12478</v>
      </c>
      <c r="M2518" s="2" t="s">
        <v>12895</v>
      </c>
      <c r="N2518" s="2" t="s">
        <v>869</v>
      </c>
      <c r="O2518" s="2" t="s">
        <v>870</v>
      </c>
    </row>
    <row r="2519" ht="15.75" customHeight="1">
      <c r="F2519" s="2" t="s">
        <v>703</v>
      </c>
      <c r="H2519" s="2" t="s">
        <v>12896</v>
      </c>
      <c r="I2519" s="2" t="s">
        <v>12897</v>
      </c>
      <c r="J2519" s="2" t="s">
        <v>12898</v>
      </c>
      <c r="K2519" s="2" t="s">
        <v>5298</v>
      </c>
      <c r="L2519" s="2" t="s">
        <v>12478</v>
      </c>
      <c r="M2519" s="2" t="s">
        <v>12899</v>
      </c>
      <c r="N2519" s="2" t="s">
        <v>869</v>
      </c>
      <c r="O2519" s="2" t="s">
        <v>870</v>
      </c>
    </row>
    <row r="2520" ht="15.75" customHeight="1">
      <c r="H2520" s="2" t="s">
        <v>12900</v>
      </c>
      <c r="I2520" s="2" t="s">
        <v>12901</v>
      </c>
      <c r="J2520" s="2" t="s">
        <v>12902</v>
      </c>
      <c r="K2520" s="2" t="s">
        <v>12214</v>
      </c>
      <c r="L2520" s="2" t="s">
        <v>12478</v>
      </c>
      <c r="M2520" s="2" t="s">
        <v>12903</v>
      </c>
      <c r="N2520" s="2" t="s">
        <v>869</v>
      </c>
      <c r="O2520" s="2" t="s">
        <v>870</v>
      </c>
    </row>
    <row r="2521" ht="15.75" customHeight="1">
      <c r="H2521" s="2" t="s">
        <v>12904</v>
      </c>
      <c r="I2521" s="2" t="s">
        <v>713</v>
      </c>
      <c r="J2521" s="2" t="s">
        <v>714</v>
      </c>
      <c r="K2521" s="2" t="s">
        <v>1567</v>
      </c>
      <c r="L2521" s="2" t="s">
        <v>12478</v>
      </c>
      <c r="M2521" s="2" t="s">
        <v>12905</v>
      </c>
      <c r="N2521" s="2" t="s">
        <v>12906</v>
      </c>
      <c r="O2521" s="2" t="s">
        <v>869</v>
      </c>
      <c r="P2521" s="2" t="s">
        <v>870</v>
      </c>
    </row>
    <row r="2522" ht="15.75" customHeight="1">
      <c r="H2522" s="2" t="s">
        <v>12907</v>
      </c>
      <c r="I2522" s="2" t="s">
        <v>12908</v>
      </c>
      <c r="J2522" s="2" t="s">
        <v>12909</v>
      </c>
      <c r="K2522" s="2" t="s">
        <v>12910</v>
      </c>
      <c r="L2522" s="2" t="s">
        <v>12478</v>
      </c>
      <c r="M2522" s="2" t="s">
        <v>12911</v>
      </c>
      <c r="N2522" s="2" t="s">
        <v>869</v>
      </c>
      <c r="O2522" s="2" t="s">
        <v>870</v>
      </c>
    </row>
    <row r="2523" ht="15.75" customHeight="1">
      <c r="H2523" s="2" t="s">
        <v>12912</v>
      </c>
      <c r="I2523" s="2" t="s">
        <v>4060</v>
      </c>
      <c r="J2523" s="2" t="s">
        <v>4061</v>
      </c>
      <c r="K2523" s="2" t="s">
        <v>1027</v>
      </c>
      <c r="L2523" s="2" t="s">
        <v>12478</v>
      </c>
      <c r="M2523" s="2" t="s">
        <v>12913</v>
      </c>
      <c r="N2523" s="2" t="s">
        <v>12914</v>
      </c>
      <c r="O2523" s="2" t="s">
        <v>869</v>
      </c>
      <c r="P2523" s="2" t="s">
        <v>870</v>
      </c>
    </row>
    <row r="2524" ht="15.75" customHeight="1">
      <c r="F2524" s="2" t="s">
        <v>728</v>
      </c>
      <c r="H2524" s="2" t="s">
        <v>12915</v>
      </c>
      <c r="I2524" s="2" t="s">
        <v>12916</v>
      </c>
      <c r="J2524" s="2" t="s">
        <v>12917</v>
      </c>
      <c r="K2524" s="2" t="s">
        <v>958</v>
      </c>
      <c r="L2524" s="2" t="s">
        <v>12478</v>
      </c>
      <c r="M2524" s="2" t="s">
        <v>12918</v>
      </c>
      <c r="N2524" s="2" t="s">
        <v>12919</v>
      </c>
      <c r="O2524" s="2" t="s">
        <v>869</v>
      </c>
      <c r="P2524" s="2" t="s">
        <v>870</v>
      </c>
    </row>
    <row r="2525" ht="15.75" customHeight="1">
      <c r="H2525" s="2" t="s">
        <v>12920</v>
      </c>
      <c r="I2525" s="2" t="s">
        <v>730</v>
      </c>
      <c r="J2525" s="2" t="s">
        <v>731</v>
      </c>
      <c r="K2525" s="2" t="s">
        <v>886</v>
      </c>
      <c r="L2525" s="2" t="s">
        <v>12478</v>
      </c>
      <c r="M2525" s="2" t="s">
        <v>12921</v>
      </c>
      <c r="N2525" s="2" t="s">
        <v>12922</v>
      </c>
      <c r="O2525" s="2" t="s">
        <v>869</v>
      </c>
      <c r="P2525" s="2" t="s">
        <v>870</v>
      </c>
    </row>
    <row r="2526" ht="15.75" customHeight="1">
      <c r="H2526" s="2" t="s">
        <v>12923</v>
      </c>
      <c r="I2526" s="2" t="s">
        <v>4086</v>
      </c>
      <c r="J2526" s="2" t="s">
        <v>4087</v>
      </c>
      <c r="K2526" s="2" t="s">
        <v>970</v>
      </c>
      <c r="L2526" s="2" t="s">
        <v>12478</v>
      </c>
      <c r="M2526" s="2" t="s">
        <v>12924</v>
      </c>
      <c r="N2526" s="2" t="s">
        <v>12925</v>
      </c>
      <c r="O2526" s="2" t="s">
        <v>869</v>
      </c>
      <c r="P2526" s="2" t="s">
        <v>870</v>
      </c>
    </row>
    <row r="2527" ht="15.75" customHeight="1">
      <c r="H2527" s="2" t="s">
        <v>12926</v>
      </c>
      <c r="I2527" s="2" t="s">
        <v>12927</v>
      </c>
      <c r="J2527" s="2" t="s">
        <v>12928</v>
      </c>
      <c r="K2527" s="2" t="s">
        <v>896</v>
      </c>
      <c r="L2527" s="2" t="s">
        <v>12478</v>
      </c>
      <c r="M2527" s="2" t="s">
        <v>12929</v>
      </c>
      <c r="N2527" s="2" t="s">
        <v>869</v>
      </c>
      <c r="O2527" s="2" t="s">
        <v>870</v>
      </c>
    </row>
    <row r="2528" ht="15.75" customHeight="1">
      <c r="F2528" s="2" t="s">
        <v>4115</v>
      </c>
      <c r="H2528" s="2" t="s">
        <v>12930</v>
      </c>
      <c r="I2528" s="2" t="s">
        <v>4147</v>
      </c>
      <c r="J2528" s="2" t="s">
        <v>4148</v>
      </c>
      <c r="K2528" s="2" t="s">
        <v>1145</v>
      </c>
      <c r="L2528" s="2" t="s">
        <v>12478</v>
      </c>
      <c r="M2528" s="2" t="s">
        <v>12931</v>
      </c>
      <c r="N2528" s="2" t="s">
        <v>12932</v>
      </c>
      <c r="O2528" s="2" t="s">
        <v>869</v>
      </c>
      <c r="P2528" s="2" t="s">
        <v>870</v>
      </c>
    </row>
    <row r="2529" ht="15.75" customHeight="1">
      <c r="F2529" s="2" t="s">
        <v>4180</v>
      </c>
      <c r="H2529" s="2" t="s">
        <v>12933</v>
      </c>
      <c r="I2529" s="2" t="s">
        <v>12934</v>
      </c>
      <c r="J2529" s="2" t="s">
        <v>12935</v>
      </c>
      <c r="K2529" s="2" t="s">
        <v>5466</v>
      </c>
      <c r="L2529" s="2" t="s">
        <v>12478</v>
      </c>
      <c r="M2529" s="2" t="s">
        <v>12936</v>
      </c>
      <c r="N2529" s="2" t="s">
        <v>869</v>
      </c>
      <c r="O2529" s="2" t="s">
        <v>870</v>
      </c>
    </row>
    <row r="2530" ht="15.75" customHeight="1">
      <c r="F2530" s="2" t="s">
        <v>737</v>
      </c>
      <c r="H2530" s="2" t="s">
        <v>12937</v>
      </c>
      <c r="I2530" s="2" t="s">
        <v>739</v>
      </c>
      <c r="J2530" s="2" t="s">
        <v>740</v>
      </c>
      <c r="K2530" s="2" t="s">
        <v>1551</v>
      </c>
      <c r="L2530" s="2" t="s">
        <v>12478</v>
      </c>
      <c r="M2530" s="2" t="s">
        <v>12938</v>
      </c>
      <c r="N2530" s="2" t="s">
        <v>12939</v>
      </c>
      <c r="O2530" s="2" t="s">
        <v>869</v>
      </c>
      <c r="P2530" s="2" t="s">
        <v>870</v>
      </c>
    </row>
    <row r="2531" ht="15.75" customHeight="1">
      <c r="F2531" s="2" t="s">
        <v>746</v>
      </c>
      <c r="H2531" s="2" t="s">
        <v>12940</v>
      </c>
      <c r="I2531" s="2" t="s">
        <v>4282</v>
      </c>
      <c r="J2531" s="2" t="s">
        <v>4283</v>
      </c>
      <c r="K2531" s="2" t="s">
        <v>886</v>
      </c>
      <c r="L2531" s="2" t="s">
        <v>12478</v>
      </c>
      <c r="M2531" s="2" t="s">
        <v>12941</v>
      </c>
      <c r="N2531" s="2" t="s">
        <v>869</v>
      </c>
      <c r="O2531" s="2" t="s">
        <v>870</v>
      </c>
    </row>
    <row r="2532" ht="15.75" customHeight="1">
      <c r="H2532" s="2" t="s">
        <v>12942</v>
      </c>
      <c r="I2532" s="2" t="s">
        <v>12943</v>
      </c>
      <c r="J2532" s="2" t="s">
        <v>12944</v>
      </c>
      <c r="K2532" s="2" t="s">
        <v>1325</v>
      </c>
      <c r="L2532" s="2" t="s">
        <v>12478</v>
      </c>
      <c r="M2532" s="2" t="s">
        <v>12945</v>
      </c>
      <c r="N2532" s="2" t="s">
        <v>869</v>
      </c>
      <c r="O2532" s="2" t="s">
        <v>870</v>
      </c>
    </row>
    <row r="2533" ht="15.75" customHeight="1">
      <c r="F2533" s="2" t="s">
        <v>4353</v>
      </c>
      <c r="H2533" s="2" t="s">
        <v>12946</v>
      </c>
      <c r="I2533" s="2" t="s">
        <v>4395</v>
      </c>
      <c r="J2533" s="2" t="s">
        <v>4396</v>
      </c>
      <c r="K2533" s="2" t="s">
        <v>1141</v>
      </c>
      <c r="L2533" s="2" t="s">
        <v>12478</v>
      </c>
      <c r="M2533" s="2" t="s">
        <v>12947</v>
      </c>
      <c r="N2533" s="2" t="s">
        <v>12948</v>
      </c>
      <c r="O2533" s="2" t="s">
        <v>869</v>
      </c>
      <c r="P2533" s="2" t="s">
        <v>870</v>
      </c>
    </row>
    <row r="2534" ht="15.75" customHeight="1">
      <c r="H2534" s="2" t="s">
        <v>12949</v>
      </c>
      <c r="I2534" s="2" t="s">
        <v>12950</v>
      </c>
      <c r="J2534" s="2" t="s">
        <v>12951</v>
      </c>
      <c r="K2534" s="2" t="s">
        <v>1433</v>
      </c>
      <c r="L2534" s="2" t="s">
        <v>12478</v>
      </c>
      <c r="M2534" s="2" t="s">
        <v>12952</v>
      </c>
      <c r="N2534" s="2" t="s">
        <v>869</v>
      </c>
      <c r="O2534" s="2" t="s">
        <v>870</v>
      </c>
    </row>
    <row r="2535" ht="15.75" customHeight="1">
      <c r="F2535" s="2" t="s">
        <v>4462</v>
      </c>
      <c r="H2535" s="2" t="s">
        <v>12953</v>
      </c>
      <c r="I2535" s="2" t="s">
        <v>12954</v>
      </c>
      <c r="J2535" s="2" t="s">
        <v>12955</v>
      </c>
      <c r="K2535" s="2" t="s">
        <v>12873</v>
      </c>
      <c r="L2535" s="2" t="s">
        <v>12478</v>
      </c>
      <c r="M2535" s="2" t="s">
        <v>12956</v>
      </c>
      <c r="N2535" s="2" t="s">
        <v>869</v>
      </c>
      <c r="O2535" s="2" t="s">
        <v>870</v>
      </c>
    </row>
    <row r="2536" ht="15.75" customHeight="1">
      <c r="F2536" s="2" t="s">
        <v>4491</v>
      </c>
      <c r="H2536" s="2" t="s">
        <v>12957</v>
      </c>
      <c r="I2536" s="2" t="s">
        <v>10786</v>
      </c>
      <c r="J2536" s="2" t="s">
        <v>10787</v>
      </c>
      <c r="K2536" s="2" t="s">
        <v>1145</v>
      </c>
      <c r="L2536" s="2" t="s">
        <v>12478</v>
      </c>
      <c r="M2536" s="2" t="s">
        <v>12958</v>
      </c>
      <c r="N2536" s="2" t="s">
        <v>12959</v>
      </c>
      <c r="O2536" s="2" t="s">
        <v>869</v>
      </c>
      <c r="P2536" s="2" t="s">
        <v>870</v>
      </c>
    </row>
    <row r="2537" ht="15.75" customHeight="1">
      <c r="F2537" s="2" t="s">
        <v>4544</v>
      </c>
      <c r="H2537" s="2" t="s">
        <v>12960</v>
      </c>
      <c r="I2537" s="2" t="s">
        <v>12961</v>
      </c>
      <c r="J2537" s="2" t="s">
        <v>12962</v>
      </c>
      <c r="K2537" s="2" t="s">
        <v>12963</v>
      </c>
      <c r="L2537" s="2" t="s">
        <v>12478</v>
      </c>
      <c r="M2537" s="2" t="s">
        <v>12964</v>
      </c>
      <c r="N2537" s="2" t="s">
        <v>869</v>
      </c>
      <c r="O2537" s="2" t="s">
        <v>870</v>
      </c>
    </row>
    <row r="2538" ht="15.75" customHeight="1">
      <c r="H2538" s="2" t="s">
        <v>12965</v>
      </c>
      <c r="I2538" s="2" t="s">
        <v>12966</v>
      </c>
      <c r="J2538" s="2" t="s">
        <v>12967</v>
      </c>
      <c r="K2538" s="2" t="s">
        <v>12356</v>
      </c>
      <c r="L2538" s="2" t="s">
        <v>12478</v>
      </c>
      <c r="M2538" s="2" t="s">
        <v>12968</v>
      </c>
      <c r="N2538" s="2" t="s">
        <v>869</v>
      </c>
      <c r="O2538" s="2" t="s">
        <v>870</v>
      </c>
    </row>
    <row r="2539" ht="15.75" customHeight="1">
      <c r="F2539" s="2" t="s">
        <v>4576</v>
      </c>
      <c r="H2539" s="2" t="s">
        <v>12969</v>
      </c>
      <c r="I2539" s="2" t="s">
        <v>12970</v>
      </c>
      <c r="J2539" s="2" t="s">
        <v>12971</v>
      </c>
      <c r="K2539" s="2" t="s">
        <v>970</v>
      </c>
      <c r="L2539" s="2" t="s">
        <v>12478</v>
      </c>
      <c r="M2539" s="2" t="s">
        <v>12972</v>
      </c>
      <c r="N2539" s="2" t="s">
        <v>869</v>
      </c>
      <c r="O2539" s="2" t="s">
        <v>870</v>
      </c>
    </row>
    <row r="2540" ht="15.75" customHeight="1">
      <c r="F2540" s="2" t="s">
        <v>755</v>
      </c>
      <c r="H2540" s="2" t="s">
        <v>12973</v>
      </c>
      <c r="I2540" s="2" t="s">
        <v>757</v>
      </c>
      <c r="J2540" s="2" t="s">
        <v>758</v>
      </c>
      <c r="K2540" s="2" t="s">
        <v>4429</v>
      </c>
      <c r="L2540" s="2" t="s">
        <v>12478</v>
      </c>
      <c r="M2540" s="2" t="s">
        <v>12974</v>
      </c>
      <c r="N2540" s="2" t="s">
        <v>12975</v>
      </c>
      <c r="O2540" s="2" t="s">
        <v>869</v>
      </c>
      <c r="P2540" s="2" t="s">
        <v>870</v>
      </c>
    </row>
    <row r="2541" ht="15.75" customHeight="1">
      <c r="F2541" s="2" t="s">
        <v>764</v>
      </c>
      <c r="H2541" s="2" t="s">
        <v>12976</v>
      </c>
      <c r="I2541" s="2" t="s">
        <v>766</v>
      </c>
      <c r="J2541" s="2" t="s">
        <v>767</v>
      </c>
      <c r="K2541" s="2" t="s">
        <v>1418</v>
      </c>
      <c r="L2541" s="2" t="s">
        <v>12478</v>
      </c>
      <c r="M2541" s="2" t="s">
        <v>12977</v>
      </c>
      <c r="N2541" s="2" t="s">
        <v>12978</v>
      </c>
      <c r="O2541" s="2" t="s">
        <v>869</v>
      </c>
      <c r="P2541" s="2" t="s">
        <v>870</v>
      </c>
    </row>
    <row r="2542" ht="15.75" customHeight="1">
      <c r="F2542" s="2" t="s">
        <v>773</v>
      </c>
      <c r="H2542" s="2" t="s">
        <v>12979</v>
      </c>
      <c r="I2542" s="2" t="s">
        <v>775</v>
      </c>
      <c r="J2542" s="2" t="s">
        <v>776</v>
      </c>
      <c r="K2542" s="2" t="s">
        <v>1145</v>
      </c>
      <c r="L2542" s="2" t="s">
        <v>12478</v>
      </c>
      <c r="M2542" s="2" t="s">
        <v>12980</v>
      </c>
      <c r="N2542" s="2" t="s">
        <v>12981</v>
      </c>
      <c r="O2542" s="2" t="s">
        <v>869</v>
      </c>
      <c r="P2542" s="2" t="s">
        <v>870</v>
      </c>
    </row>
    <row r="2543" ht="15.75" customHeight="1">
      <c r="F2543" s="2" t="s">
        <v>4825</v>
      </c>
      <c r="H2543" s="2" t="s">
        <v>12982</v>
      </c>
      <c r="I2543" s="2" t="s">
        <v>12983</v>
      </c>
      <c r="J2543" s="2" t="s">
        <v>12984</v>
      </c>
      <c r="K2543" s="2" t="s">
        <v>996</v>
      </c>
      <c r="L2543" s="2" t="s">
        <v>12478</v>
      </c>
      <c r="M2543" s="2" t="s">
        <v>12985</v>
      </c>
      <c r="N2543" s="2" t="s">
        <v>869</v>
      </c>
      <c r="O2543" s="2" t="s">
        <v>870</v>
      </c>
    </row>
    <row r="2544" ht="15.75" customHeight="1">
      <c r="F2544" s="2" t="s">
        <v>782</v>
      </c>
      <c r="H2544" s="2" t="s">
        <v>12986</v>
      </c>
      <c r="I2544" s="2" t="s">
        <v>4860</v>
      </c>
      <c r="J2544" s="2" t="s">
        <v>4861</v>
      </c>
      <c r="K2544" s="2" t="s">
        <v>1362</v>
      </c>
      <c r="L2544" s="2" t="s">
        <v>12478</v>
      </c>
      <c r="M2544" s="2" t="s">
        <v>12987</v>
      </c>
      <c r="N2544" s="2" t="s">
        <v>869</v>
      </c>
      <c r="O2544" s="2" t="s">
        <v>870</v>
      </c>
    </row>
    <row r="2545" ht="15.75" customHeight="1">
      <c r="H2545" s="2" t="s">
        <v>12988</v>
      </c>
      <c r="I2545" s="2" t="s">
        <v>12989</v>
      </c>
      <c r="J2545" s="2" t="s">
        <v>12990</v>
      </c>
      <c r="K2545" s="2" t="s">
        <v>1169</v>
      </c>
      <c r="L2545" s="2" t="s">
        <v>12478</v>
      </c>
      <c r="M2545" s="2" t="s">
        <v>12991</v>
      </c>
      <c r="N2545" s="2" t="s">
        <v>869</v>
      </c>
      <c r="O2545" s="2" t="s">
        <v>870</v>
      </c>
    </row>
    <row r="2546" ht="15.75" customHeight="1">
      <c r="H2546" s="2" t="s">
        <v>12992</v>
      </c>
      <c r="I2546" s="2" t="s">
        <v>12993</v>
      </c>
      <c r="J2546" s="2" t="s">
        <v>12994</v>
      </c>
      <c r="K2546" s="2" t="s">
        <v>12995</v>
      </c>
      <c r="L2546" s="2" t="s">
        <v>12478</v>
      </c>
      <c r="M2546" s="2" t="s">
        <v>12996</v>
      </c>
      <c r="N2546" s="2" t="s">
        <v>869</v>
      </c>
      <c r="O2546" s="2" t="s">
        <v>870</v>
      </c>
    </row>
    <row r="2547" ht="15.75" customHeight="1">
      <c r="F2547" s="2" t="s">
        <v>800</v>
      </c>
      <c r="H2547" s="2" t="s">
        <v>12997</v>
      </c>
      <c r="I2547" s="2" t="s">
        <v>4994</v>
      </c>
      <c r="J2547" s="2" t="s">
        <v>4995</v>
      </c>
      <c r="K2547" s="2" t="s">
        <v>1878</v>
      </c>
      <c r="L2547" s="2" t="s">
        <v>12478</v>
      </c>
      <c r="M2547" s="2" t="s">
        <v>12998</v>
      </c>
      <c r="N2547" s="2" t="s">
        <v>12999</v>
      </c>
      <c r="O2547" s="2" t="s">
        <v>869</v>
      </c>
      <c r="P2547" s="2" t="s">
        <v>870</v>
      </c>
    </row>
    <row r="2548" ht="15.75" customHeight="1">
      <c r="H2548" s="2" t="s">
        <v>13000</v>
      </c>
      <c r="I2548" s="2" t="s">
        <v>11561</v>
      </c>
      <c r="J2548" s="2" t="s">
        <v>11562</v>
      </c>
      <c r="K2548" s="2" t="s">
        <v>1117</v>
      </c>
      <c r="L2548" s="2" t="s">
        <v>12478</v>
      </c>
      <c r="M2548" s="2" t="s">
        <v>13001</v>
      </c>
      <c r="N2548" s="2" t="s">
        <v>13002</v>
      </c>
      <c r="O2548" s="2" t="s">
        <v>869</v>
      </c>
      <c r="P2548" s="2" t="s">
        <v>870</v>
      </c>
    </row>
    <row r="2549" ht="15.75" customHeight="1">
      <c r="H2549" s="2" t="s">
        <v>13003</v>
      </c>
      <c r="I2549" s="2" t="s">
        <v>5037</v>
      </c>
      <c r="J2549" s="2" t="s">
        <v>5038</v>
      </c>
      <c r="L2549" s="2" t="s">
        <v>12478</v>
      </c>
      <c r="M2549" s="2" t="s">
        <v>13004</v>
      </c>
      <c r="N2549" s="2" t="s">
        <v>13005</v>
      </c>
      <c r="O2549" s="2" t="s">
        <v>869</v>
      </c>
      <c r="P2549" s="2" t="s">
        <v>870</v>
      </c>
    </row>
    <row r="2550" ht="15.75" customHeight="1">
      <c r="H2550" s="2" t="s">
        <v>13006</v>
      </c>
      <c r="I2550" s="2" t="s">
        <v>13007</v>
      </c>
      <c r="J2550" s="2" t="s">
        <v>13008</v>
      </c>
      <c r="K2550" s="2" t="s">
        <v>13009</v>
      </c>
      <c r="L2550" s="2" t="s">
        <v>12478</v>
      </c>
      <c r="M2550" s="2" t="s">
        <v>13010</v>
      </c>
      <c r="N2550" s="2" t="s">
        <v>869</v>
      </c>
      <c r="O2550" s="2" t="s">
        <v>870</v>
      </c>
    </row>
    <row r="2551" ht="15.75" customHeight="1">
      <c r="H2551" s="2" t="s">
        <v>13011</v>
      </c>
      <c r="I2551" s="2" t="s">
        <v>13012</v>
      </c>
      <c r="J2551" s="2" t="s">
        <v>13013</v>
      </c>
      <c r="K2551" s="2" t="s">
        <v>13014</v>
      </c>
    </row>
    <row r="2552" ht="15.75" customHeight="1">
      <c r="H2552" s="2" t="s">
        <v>13015</v>
      </c>
      <c r="I2552" s="2" t="s">
        <v>5986</v>
      </c>
      <c r="J2552" s="2" t="s">
        <v>5987</v>
      </c>
      <c r="K2552" s="2" t="s">
        <v>5988</v>
      </c>
      <c r="L2552" s="2" t="s">
        <v>12478</v>
      </c>
      <c r="M2552" s="2" t="s">
        <v>13016</v>
      </c>
      <c r="N2552" s="2" t="s">
        <v>13017</v>
      </c>
      <c r="O2552" s="2" t="s">
        <v>869</v>
      </c>
      <c r="P2552" s="2" t="s">
        <v>870</v>
      </c>
    </row>
    <row r="2553" ht="15.75" customHeight="1">
      <c r="H2553" s="2" t="s">
        <v>13018</v>
      </c>
      <c r="I2553" s="2" t="s">
        <v>13019</v>
      </c>
      <c r="J2553" s="2" t="s">
        <v>13020</v>
      </c>
      <c r="K2553" s="2" t="s">
        <v>12460</v>
      </c>
      <c r="L2553" s="2" t="s">
        <v>12478</v>
      </c>
      <c r="M2553" s="2" t="s">
        <v>13021</v>
      </c>
      <c r="N2553" s="2" t="s">
        <v>13022</v>
      </c>
      <c r="O2553" s="2" t="s">
        <v>869</v>
      </c>
      <c r="P2553" s="2" t="s">
        <v>870</v>
      </c>
    </row>
    <row r="2554" ht="15.75" customHeight="1">
      <c r="H2554" s="2" t="s">
        <v>13023</v>
      </c>
      <c r="I2554" s="2" t="s">
        <v>5140</v>
      </c>
      <c r="J2554" s="2" t="s">
        <v>5141</v>
      </c>
      <c r="K2554" s="2" t="s">
        <v>5142</v>
      </c>
      <c r="L2554" s="2" t="s">
        <v>12478</v>
      </c>
      <c r="M2554" s="2" t="s">
        <v>13024</v>
      </c>
      <c r="N2554" s="2" t="s">
        <v>13025</v>
      </c>
      <c r="O2554" s="2" t="s">
        <v>869</v>
      </c>
      <c r="P2554" s="2" t="s">
        <v>870</v>
      </c>
    </row>
    <row r="2555" ht="15.75" customHeight="1">
      <c r="F2555" s="2" t="s">
        <v>843</v>
      </c>
      <c r="H2555" s="2" t="s">
        <v>13026</v>
      </c>
      <c r="I2555" s="2" t="s">
        <v>13027</v>
      </c>
      <c r="J2555" s="2" t="s">
        <v>13028</v>
      </c>
      <c r="K2555" s="2" t="s">
        <v>1618</v>
      </c>
      <c r="L2555" s="2" t="s">
        <v>12478</v>
      </c>
      <c r="M2555" s="2" t="s">
        <v>13029</v>
      </c>
      <c r="N2555" s="2" t="s">
        <v>869</v>
      </c>
      <c r="O2555" s="2" t="s">
        <v>870</v>
      </c>
    </row>
    <row r="2556" ht="15.75" customHeight="1">
      <c r="H2556" s="2" t="s">
        <v>13030</v>
      </c>
      <c r="I2556" s="2" t="s">
        <v>845</v>
      </c>
      <c r="J2556" s="2" t="s">
        <v>846</v>
      </c>
      <c r="K2556" s="2" t="s">
        <v>13031</v>
      </c>
      <c r="L2556" s="2" t="s">
        <v>12478</v>
      </c>
      <c r="M2556" s="2" t="s">
        <v>13032</v>
      </c>
      <c r="N2556" s="2" t="s">
        <v>13033</v>
      </c>
      <c r="O2556" s="2" t="s">
        <v>869</v>
      </c>
      <c r="P2556" s="2" t="s">
        <v>870</v>
      </c>
    </row>
    <row r="2557" ht="15.75" customHeight="1">
      <c r="F2557" s="2" t="s">
        <v>5257</v>
      </c>
      <c r="H2557" s="2" t="s">
        <v>13034</v>
      </c>
      <c r="I2557" s="2" t="s">
        <v>13035</v>
      </c>
      <c r="J2557" s="2" t="s">
        <v>13036</v>
      </c>
      <c r="K2557" s="2" t="s">
        <v>13037</v>
      </c>
      <c r="L2557" s="2" t="s">
        <v>12478</v>
      </c>
      <c r="M2557" s="2" t="s">
        <v>13038</v>
      </c>
      <c r="N2557" s="2" t="s">
        <v>869</v>
      </c>
      <c r="O2557" s="2" t="s">
        <v>870</v>
      </c>
    </row>
    <row r="2558" ht="15.75" customHeight="1">
      <c r="B2558" s="2" t="s">
        <v>13039</v>
      </c>
      <c r="C2558" s="2" t="s">
        <v>13040</v>
      </c>
      <c r="D2558" s="2" t="s">
        <v>13041</v>
      </c>
      <c r="F2558" s="2" t="s">
        <v>74</v>
      </c>
      <c r="H2558" s="2" t="s">
        <v>13042</v>
      </c>
      <c r="I2558" s="2" t="s">
        <v>76</v>
      </c>
      <c r="J2558" s="2" t="s">
        <v>77</v>
      </c>
      <c r="K2558" s="2" t="s">
        <v>1175</v>
      </c>
      <c r="L2558" s="2" t="s">
        <v>13043</v>
      </c>
      <c r="M2558" s="2" t="s">
        <v>13044</v>
      </c>
      <c r="N2558" s="2" t="s">
        <v>13045</v>
      </c>
      <c r="O2558" s="2" t="s">
        <v>869</v>
      </c>
      <c r="P2558" s="2" t="s">
        <v>870</v>
      </c>
    </row>
    <row r="2559" ht="15.75" customHeight="1">
      <c r="F2559" s="2" t="s">
        <v>284</v>
      </c>
      <c r="H2559" s="2" t="s">
        <v>13046</v>
      </c>
      <c r="I2559" s="2" t="s">
        <v>310</v>
      </c>
      <c r="J2559" s="2" t="s">
        <v>311</v>
      </c>
      <c r="K2559" s="2" t="s">
        <v>1567</v>
      </c>
      <c r="L2559" s="2" t="s">
        <v>13043</v>
      </c>
      <c r="M2559" s="2" t="s">
        <v>13047</v>
      </c>
      <c r="N2559" s="2" t="s">
        <v>13048</v>
      </c>
      <c r="O2559" s="2" t="s">
        <v>869</v>
      </c>
      <c r="P2559" s="2" t="s">
        <v>870</v>
      </c>
    </row>
    <row r="2560" ht="15.75" customHeight="1">
      <c r="H2560" s="2" t="s">
        <v>13049</v>
      </c>
      <c r="I2560" s="2" t="s">
        <v>326</v>
      </c>
      <c r="J2560" s="2" t="s">
        <v>327</v>
      </c>
      <c r="K2560" s="2" t="s">
        <v>1331</v>
      </c>
      <c r="L2560" s="2" t="s">
        <v>13043</v>
      </c>
      <c r="M2560" s="2" t="s">
        <v>13050</v>
      </c>
      <c r="N2560" s="2" t="s">
        <v>13051</v>
      </c>
      <c r="O2560" s="2" t="s">
        <v>869</v>
      </c>
      <c r="P2560" s="2" t="s">
        <v>870</v>
      </c>
    </row>
    <row r="2561" ht="15.75" customHeight="1">
      <c r="H2561" s="2" t="s">
        <v>13052</v>
      </c>
      <c r="I2561" s="2" t="s">
        <v>449</v>
      </c>
      <c r="J2561" s="2" t="s">
        <v>450</v>
      </c>
      <c r="K2561" s="2" t="s">
        <v>5500</v>
      </c>
      <c r="L2561" s="2" t="s">
        <v>13043</v>
      </c>
      <c r="M2561" s="2" t="s">
        <v>13053</v>
      </c>
      <c r="N2561" s="2" t="s">
        <v>13054</v>
      </c>
      <c r="O2561" s="2" t="s">
        <v>869</v>
      </c>
      <c r="P2561" s="2" t="s">
        <v>870</v>
      </c>
    </row>
    <row r="2562" ht="15.75" customHeight="1">
      <c r="F2562" s="2" t="s">
        <v>534</v>
      </c>
      <c r="H2562" s="2" t="s">
        <v>13055</v>
      </c>
      <c r="I2562" s="2" t="s">
        <v>536</v>
      </c>
      <c r="J2562" s="2" t="s">
        <v>537</v>
      </c>
      <c r="K2562" s="2" t="s">
        <v>538</v>
      </c>
    </row>
    <row r="2563" ht="15.75" customHeight="1">
      <c r="B2563" s="2" t="s">
        <v>13056</v>
      </c>
      <c r="C2563" s="2" t="s">
        <v>12513</v>
      </c>
      <c r="D2563" s="2" t="s">
        <v>13057</v>
      </c>
      <c r="F2563" s="2" t="s">
        <v>74</v>
      </c>
      <c r="H2563" s="2" t="s">
        <v>13058</v>
      </c>
      <c r="I2563" s="2" t="s">
        <v>76</v>
      </c>
      <c r="J2563" s="2" t="s">
        <v>77</v>
      </c>
      <c r="K2563" s="2" t="s">
        <v>1175</v>
      </c>
      <c r="L2563" s="2" t="s">
        <v>13059</v>
      </c>
      <c r="M2563" s="2" t="s">
        <v>13060</v>
      </c>
      <c r="N2563" s="2" t="s">
        <v>13061</v>
      </c>
      <c r="O2563" s="2" t="s">
        <v>13062</v>
      </c>
      <c r="P2563" s="2" t="s">
        <v>869</v>
      </c>
    </row>
    <row r="2564" ht="15.75" customHeight="1">
      <c r="F2564" s="2" t="s">
        <v>284</v>
      </c>
      <c r="H2564" s="2" t="s">
        <v>13063</v>
      </c>
      <c r="I2564" s="2" t="s">
        <v>310</v>
      </c>
      <c r="J2564" s="2" t="s">
        <v>311</v>
      </c>
      <c r="K2564" s="2" t="s">
        <v>1567</v>
      </c>
      <c r="L2564" s="2" t="s">
        <v>13059</v>
      </c>
      <c r="M2564" s="2" t="s">
        <v>13064</v>
      </c>
      <c r="N2564" s="2" t="s">
        <v>13065</v>
      </c>
      <c r="O2564" s="2" t="s">
        <v>13066</v>
      </c>
      <c r="P2564" s="2" t="s">
        <v>869</v>
      </c>
    </row>
    <row r="2565" ht="15.75" customHeight="1">
      <c r="H2565" s="2" t="s">
        <v>13067</v>
      </c>
      <c r="I2565" s="2" t="s">
        <v>326</v>
      </c>
      <c r="J2565" s="2" t="s">
        <v>327</v>
      </c>
      <c r="L2565" s="2" t="s">
        <v>13059</v>
      </c>
      <c r="M2565" s="2" t="s">
        <v>13068</v>
      </c>
      <c r="N2565" s="2" t="s">
        <v>13069</v>
      </c>
      <c r="O2565" s="2" t="s">
        <v>13070</v>
      </c>
      <c r="P2565" s="2" t="s">
        <v>869</v>
      </c>
    </row>
    <row r="2566" ht="15.75" customHeight="1">
      <c r="H2566" s="2" t="s">
        <v>13071</v>
      </c>
      <c r="I2566" s="2" t="s">
        <v>432</v>
      </c>
      <c r="J2566" s="2" t="s">
        <v>433</v>
      </c>
      <c r="K2566" s="2" t="s">
        <v>2236</v>
      </c>
      <c r="L2566" s="2" t="s">
        <v>13059</v>
      </c>
      <c r="M2566" s="2" t="s">
        <v>13072</v>
      </c>
      <c r="N2566" s="2" t="s">
        <v>13073</v>
      </c>
      <c r="O2566" s="2" t="s">
        <v>869</v>
      </c>
      <c r="P2566" s="2" t="s">
        <v>870</v>
      </c>
    </row>
    <row r="2567" ht="15.75" customHeight="1">
      <c r="H2567" s="2" t="s">
        <v>13074</v>
      </c>
      <c r="I2567" s="2" t="s">
        <v>449</v>
      </c>
      <c r="J2567" s="2" t="s">
        <v>450</v>
      </c>
      <c r="K2567" s="2" t="s">
        <v>1952</v>
      </c>
      <c r="L2567" s="2" t="s">
        <v>13059</v>
      </c>
      <c r="M2567" s="2" t="s">
        <v>13075</v>
      </c>
      <c r="N2567" s="2" t="s">
        <v>13076</v>
      </c>
      <c r="O2567" s="2" t="s">
        <v>13077</v>
      </c>
      <c r="P2567" s="2" t="s">
        <v>869</v>
      </c>
    </row>
    <row r="2568" ht="15.75" customHeight="1">
      <c r="H2568" s="2" t="s">
        <v>13078</v>
      </c>
      <c r="I2568" s="2" t="s">
        <v>2357</v>
      </c>
      <c r="J2568" s="2" t="s">
        <v>2358</v>
      </c>
      <c r="L2568" s="2" t="s">
        <v>13059</v>
      </c>
      <c r="M2568" s="2" t="s">
        <v>13079</v>
      </c>
      <c r="N2568" s="2" t="s">
        <v>13080</v>
      </c>
      <c r="O2568" s="2" t="s">
        <v>13081</v>
      </c>
      <c r="P2568" s="2" t="s">
        <v>869</v>
      </c>
    </row>
    <row r="2569" ht="15.75" customHeight="1">
      <c r="H2569" s="2" t="s">
        <v>13082</v>
      </c>
      <c r="I2569" s="2" t="s">
        <v>2477</v>
      </c>
      <c r="J2569" s="2" t="s">
        <v>2478</v>
      </c>
      <c r="L2569" s="2" t="s">
        <v>13059</v>
      </c>
      <c r="M2569" s="2" t="s">
        <v>13083</v>
      </c>
      <c r="N2569" s="2" t="s">
        <v>13084</v>
      </c>
      <c r="O2569" s="2" t="s">
        <v>13085</v>
      </c>
      <c r="P2569" s="2" t="s">
        <v>869</v>
      </c>
    </row>
    <row r="2570" ht="15.75" customHeight="1">
      <c r="H2570" s="2" t="s">
        <v>13086</v>
      </c>
      <c r="I2570" s="2" t="s">
        <v>526</v>
      </c>
      <c r="J2570" s="2" t="s">
        <v>527</v>
      </c>
      <c r="K2570" s="2" t="s">
        <v>2316</v>
      </c>
      <c r="L2570" s="2" t="s">
        <v>13059</v>
      </c>
      <c r="M2570" s="2" t="s">
        <v>13087</v>
      </c>
      <c r="N2570" s="2" t="s">
        <v>13088</v>
      </c>
      <c r="O2570" s="2" t="s">
        <v>13089</v>
      </c>
      <c r="P2570" s="2" t="s">
        <v>869</v>
      </c>
    </row>
    <row r="2571" ht="15.75" customHeight="1">
      <c r="F2571" s="2" t="s">
        <v>534</v>
      </c>
      <c r="H2571" s="2" t="s">
        <v>13090</v>
      </c>
      <c r="I2571" s="2" t="s">
        <v>536</v>
      </c>
      <c r="J2571" s="2" t="s">
        <v>537</v>
      </c>
      <c r="K2571" s="2" t="s">
        <v>538</v>
      </c>
    </row>
    <row r="2572" ht="15.75" customHeight="1">
      <c r="F2572" s="2" t="s">
        <v>703</v>
      </c>
      <c r="H2572" s="2" t="s">
        <v>13091</v>
      </c>
      <c r="I2572" s="2" t="s">
        <v>713</v>
      </c>
      <c r="J2572" s="2" t="s">
        <v>714</v>
      </c>
      <c r="K2572" s="2" t="s">
        <v>1567</v>
      </c>
      <c r="L2572" s="2" t="s">
        <v>13059</v>
      </c>
      <c r="M2572" s="2" t="s">
        <v>13092</v>
      </c>
      <c r="N2572" s="2" t="s">
        <v>13093</v>
      </c>
      <c r="O2572" s="2" t="s">
        <v>13094</v>
      </c>
      <c r="P2572" s="2" t="s">
        <v>869</v>
      </c>
    </row>
    <row r="2573" ht="15.75" customHeight="1">
      <c r="F2573" s="2" t="s">
        <v>800</v>
      </c>
      <c r="H2573" s="2" t="s">
        <v>13095</v>
      </c>
      <c r="I2573" s="2" t="s">
        <v>5986</v>
      </c>
      <c r="J2573" s="2" t="s">
        <v>5987</v>
      </c>
      <c r="K2573" s="2" t="s">
        <v>5927</v>
      </c>
      <c r="L2573" s="2" t="s">
        <v>13059</v>
      </c>
      <c r="M2573" s="2" t="s">
        <v>13096</v>
      </c>
      <c r="N2573" s="2" t="s">
        <v>13097</v>
      </c>
      <c r="O2573" s="2" t="s">
        <v>13098</v>
      </c>
      <c r="P2573" s="2" t="s">
        <v>869</v>
      </c>
    </row>
    <row r="2574" ht="15.75" customHeight="1">
      <c r="B2574" s="2" t="s">
        <v>13099</v>
      </c>
      <c r="C2574" s="2" t="s">
        <v>896</v>
      </c>
      <c r="D2574" s="2" t="s">
        <v>13100</v>
      </c>
      <c r="F2574" s="2" t="s">
        <v>19</v>
      </c>
      <c r="H2574" s="2" t="s">
        <v>13101</v>
      </c>
      <c r="I2574" s="2" t="s">
        <v>21</v>
      </c>
      <c r="J2574" s="2" t="s">
        <v>22</v>
      </c>
      <c r="K2574" s="2" t="s">
        <v>865</v>
      </c>
      <c r="L2574" s="2" t="s">
        <v>13102</v>
      </c>
      <c r="M2574" s="2" t="s">
        <v>13103</v>
      </c>
      <c r="N2574" s="2" t="s">
        <v>13104</v>
      </c>
      <c r="O2574" s="2" t="s">
        <v>13105</v>
      </c>
      <c r="P2574" s="2" t="s">
        <v>13106</v>
      </c>
    </row>
    <row r="2575" ht="15.75" customHeight="1">
      <c r="F2575" s="2" t="s">
        <v>29</v>
      </c>
      <c r="H2575" s="2" t="s">
        <v>13107</v>
      </c>
      <c r="I2575" s="2" t="s">
        <v>31</v>
      </c>
      <c r="J2575" s="2" t="s">
        <v>32</v>
      </c>
      <c r="K2575" s="2" t="s">
        <v>874</v>
      </c>
      <c r="L2575" s="2" t="s">
        <v>13102</v>
      </c>
      <c r="M2575" s="2" t="s">
        <v>13108</v>
      </c>
      <c r="N2575" s="2" t="s">
        <v>13109</v>
      </c>
      <c r="O2575" s="2" t="s">
        <v>13110</v>
      </c>
      <c r="P2575" s="2" t="s">
        <v>13111</v>
      </c>
    </row>
    <row r="2576" ht="15.75" customHeight="1">
      <c r="F2576" s="2" t="s">
        <v>74</v>
      </c>
      <c r="H2576" s="2" t="s">
        <v>13112</v>
      </c>
      <c r="I2576" s="2" t="s">
        <v>76</v>
      </c>
      <c r="J2576" s="2" t="s">
        <v>77</v>
      </c>
      <c r="K2576" s="2" t="s">
        <v>947</v>
      </c>
      <c r="L2576" s="2" t="s">
        <v>13113</v>
      </c>
      <c r="M2576" s="2" t="s">
        <v>13114</v>
      </c>
      <c r="N2576" s="2" t="s">
        <v>13115</v>
      </c>
      <c r="O2576" s="2" t="s">
        <v>13116</v>
      </c>
      <c r="P2576" s="2" t="s">
        <v>13117</v>
      </c>
    </row>
    <row r="2577" ht="15.75" customHeight="1">
      <c r="H2577" s="2" t="s">
        <v>13118</v>
      </c>
      <c r="I2577" s="2" t="s">
        <v>85</v>
      </c>
      <c r="J2577" s="2" t="s">
        <v>86</v>
      </c>
      <c r="L2577" s="2" t="s">
        <v>13102</v>
      </c>
      <c r="M2577" s="2" t="s">
        <v>13119</v>
      </c>
      <c r="N2577" s="2" t="s">
        <v>13120</v>
      </c>
      <c r="O2577" s="2" t="s">
        <v>13121</v>
      </c>
      <c r="P2577" s="2" t="s">
        <v>13122</v>
      </c>
    </row>
    <row r="2578" ht="15.75" customHeight="1">
      <c r="H2578" s="2" t="s">
        <v>13123</v>
      </c>
      <c r="I2578" s="2" t="s">
        <v>117</v>
      </c>
      <c r="J2578" s="2" t="s">
        <v>118</v>
      </c>
      <c r="K2578" s="2" t="s">
        <v>1424</v>
      </c>
      <c r="L2578" s="2" t="s">
        <v>13102</v>
      </c>
      <c r="M2578" s="2" t="s">
        <v>13124</v>
      </c>
      <c r="N2578" s="2" t="s">
        <v>13125</v>
      </c>
      <c r="O2578" s="2" t="s">
        <v>13126</v>
      </c>
      <c r="P2578" s="2" t="s">
        <v>13127</v>
      </c>
    </row>
    <row r="2579" ht="15.75" customHeight="1">
      <c r="H2579" s="2" t="s">
        <v>13128</v>
      </c>
      <c r="I2579" s="2" t="s">
        <v>13129</v>
      </c>
      <c r="J2579" s="2" t="s">
        <v>13130</v>
      </c>
      <c r="K2579" s="2" t="s">
        <v>1761</v>
      </c>
      <c r="L2579" s="2" t="s">
        <v>13102</v>
      </c>
      <c r="M2579" s="2" t="s">
        <v>13131</v>
      </c>
      <c r="N2579" s="2" t="s">
        <v>13132</v>
      </c>
      <c r="O2579" s="2" t="s">
        <v>13133</v>
      </c>
      <c r="P2579" s="2" t="s">
        <v>13134</v>
      </c>
    </row>
    <row r="2580" ht="15.75" customHeight="1">
      <c r="H2580" s="2" t="s">
        <v>13135</v>
      </c>
      <c r="I2580" s="2" t="s">
        <v>7081</v>
      </c>
      <c r="J2580" s="2" t="s">
        <v>7082</v>
      </c>
      <c r="K2580" s="2" t="s">
        <v>1217</v>
      </c>
      <c r="L2580" s="2" t="s">
        <v>13102</v>
      </c>
      <c r="M2580" s="2" t="s">
        <v>13136</v>
      </c>
      <c r="N2580" s="2" t="s">
        <v>13137</v>
      </c>
      <c r="O2580" s="2" t="s">
        <v>13138</v>
      </c>
      <c r="P2580" s="2" t="s">
        <v>13137</v>
      </c>
    </row>
    <row r="2581" ht="15.75" customHeight="1">
      <c r="H2581" s="2" t="s">
        <v>13139</v>
      </c>
      <c r="I2581" s="2" t="s">
        <v>13140</v>
      </c>
      <c r="J2581" s="2" t="s">
        <v>13141</v>
      </c>
      <c r="L2581" s="2" t="s">
        <v>13102</v>
      </c>
      <c r="M2581" s="2" t="s">
        <v>13142</v>
      </c>
      <c r="N2581" s="2" t="s">
        <v>13143</v>
      </c>
      <c r="O2581" s="2" t="s">
        <v>13144</v>
      </c>
      <c r="P2581" s="2" t="s">
        <v>13145</v>
      </c>
    </row>
    <row r="2582" ht="15.75" customHeight="1">
      <c r="H2582" s="2" t="s">
        <v>13146</v>
      </c>
      <c r="I2582" s="2" t="s">
        <v>1663</v>
      </c>
      <c r="J2582" s="2" t="s">
        <v>1664</v>
      </c>
      <c r="K2582" s="2" t="s">
        <v>1257</v>
      </c>
      <c r="L2582" s="2" t="s">
        <v>13102</v>
      </c>
      <c r="M2582" s="2" t="s">
        <v>13147</v>
      </c>
      <c r="N2582" s="2" t="s">
        <v>13148</v>
      </c>
      <c r="O2582" s="2" t="s">
        <v>13149</v>
      </c>
      <c r="P2582" s="2" t="s">
        <v>13150</v>
      </c>
    </row>
    <row r="2583" ht="15.75" customHeight="1">
      <c r="H2583" s="2" t="s">
        <v>13151</v>
      </c>
      <c r="I2583" s="2" t="s">
        <v>159</v>
      </c>
      <c r="J2583" s="2" t="s">
        <v>160</v>
      </c>
      <c r="K2583" s="2" t="s">
        <v>1264</v>
      </c>
      <c r="L2583" s="2" t="s">
        <v>13102</v>
      </c>
      <c r="M2583" s="2" t="s">
        <v>13152</v>
      </c>
      <c r="N2583" s="2" t="s">
        <v>13153</v>
      </c>
      <c r="O2583" s="2" t="s">
        <v>13154</v>
      </c>
      <c r="P2583" s="2" t="s">
        <v>13155</v>
      </c>
    </row>
    <row r="2584" ht="15.75" customHeight="1">
      <c r="H2584" s="2" t="s">
        <v>13156</v>
      </c>
      <c r="I2584" s="2" t="s">
        <v>13157</v>
      </c>
      <c r="J2584" s="2" t="s">
        <v>13158</v>
      </c>
      <c r="K2584" s="2" t="s">
        <v>5126</v>
      </c>
      <c r="L2584" s="2" t="s">
        <v>13102</v>
      </c>
      <c r="M2584" s="2" t="s">
        <v>13159</v>
      </c>
      <c r="N2584" s="2" t="s">
        <v>13160</v>
      </c>
      <c r="O2584" s="2" t="s">
        <v>13161</v>
      </c>
      <c r="P2584" s="2" t="s">
        <v>13162</v>
      </c>
    </row>
    <row r="2585" ht="15.75" customHeight="1">
      <c r="H2585" s="2" t="s">
        <v>13163</v>
      </c>
      <c r="I2585" s="2" t="s">
        <v>167</v>
      </c>
      <c r="J2585" s="2" t="s">
        <v>168</v>
      </c>
      <c r="K2585" s="2" t="s">
        <v>1692</v>
      </c>
      <c r="L2585" s="2" t="s">
        <v>13164</v>
      </c>
      <c r="M2585" s="2" t="s">
        <v>13165</v>
      </c>
      <c r="N2585" s="2" t="s">
        <v>13166</v>
      </c>
      <c r="O2585" s="2" t="s">
        <v>13167</v>
      </c>
      <c r="P2585" s="2" t="s">
        <v>13168</v>
      </c>
    </row>
    <row r="2586" ht="15.75" customHeight="1">
      <c r="H2586" s="2" t="s">
        <v>13169</v>
      </c>
      <c r="I2586" s="2" t="s">
        <v>176</v>
      </c>
      <c r="J2586" s="2" t="s">
        <v>177</v>
      </c>
      <c r="K2586" s="2" t="s">
        <v>1708</v>
      </c>
      <c r="L2586" s="2" t="s">
        <v>13170</v>
      </c>
      <c r="M2586" s="2" t="s">
        <v>13171</v>
      </c>
      <c r="N2586" s="2" t="s">
        <v>13172</v>
      </c>
      <c r="O2586" s="2" t="s">
        <v>13173</v>
      </c>
      <c r="P2586" s="2" t="s">
        <v>13174</v>
      </c>
    </row>
    <row r="2587" ht="15.75" customHeight="1">
      <c r="H2587" s="2" t="s">
        <v>13175</v>
      </c>
      <c r="I2587" s="2" t="s">
        <v>1772</v>
      </c>
      <c r="J2587" s="2" t="s">
        <v>1773</v>
      </c>
      <c r="K2587" s="2" t="s">
        <v>1774</v>
      </c>
      <c r="L2587" s="2" t="s">
        <v>13102</v>
      </c>
      <c r="M2587" s="2" t="s">
        <v>13176</v>
      </c>
      <c r="N2587" s="2" t="s">
        <v>13177</v>
      </c>
      <c r="O2587" s="2" t="s">
        <v>13178</v>
      </c>
      <c r="P2587" s="2" t="s">
        <v>13177</v>
      </c>
    </row>
    <row r="2588" ht="15.75" customHeight="1">
      <c r="F2588" s="2" t="s">
        <v>265</v>
      </c>
      <c r="H2588" s="2" t="s">
        <v>13179</v>
      </c>
      <c r="I2588" s="2" t="s">
        <v>267</v>
      </c>
      <c r="J2588" s="2" t="s">
        <v>268</v>
      </c>
      <c r="K2588" s="2" t="s">
        <v>1313</v>
      </c>
      <c r="L2588" s="2" t="s">
        <v>13102</v>
      </c>
      <c r="M2588" s="2" t="s">
        <v>13180</v>
      </c>
      <c r="N2588" s="2" t="s">
        <v>13181</v>
      </c>
      <c r="O2588" s="2" t="s">
        <v>13182</v>
      </c>
      <c r="P2588" s="2" t="s">
        <v>13183</v>
      </c>
    </row>
    <row r="2589" ht="15.75" customHeight="1">
      <c r="F2589" s="2" t="s">
        <v>274</v>
      </c>
      <c r="H2589" s="2" t="s">
        <v>13184</v>
      </c>
      <c r="I2589" s="2" t="s">
        <v>276</v>
      </c>
      <c r="J2589" s="2" t="s">
        <v>276</v>
      </c>
      <c r="K2589" s="2" t="s">
        <v>277</v>
      </c>
    </row>
    <row r="2590" ht="15.75" customHeight="1">
      <c r="H2590" s="2" t="s">
        <v>13185</v>
      </c>
      <c r="I2590" s="2" t="s">
        <v>279</v>
      </c>
      <c r="J2590" s="2" t="s">
        <v>274</v>
      </c>
      <c r="K2590" s="2" t="s">
        <v>280</v>
      </c>
    </row>
    <row r="2591" ht="15.75" customHeight="1">
      <c r="F2591" s="2" t="s">
        <v>284</v>
      </c>
      <c r="H2591" s="2" t="s">
        <v>13186</v>
      </c>
      <c r="I2591" s="2" t="s">
        <v>13187</v>
      </c>
      <c r="J2591" s="2" t="s">
        <v>13188</v>
      </c>
      <c r="K2591" s="2" t="s">
        <v>947</v>
      </c>
      <c r="L2591" s="2" t="s">
        <v>13102</v>
      </c>
      <c r="M2591" s="2" t="s">
        <v>13189</v>
      </c>
      <c r="N2591" s="2" t="s">
        <v>13190</v>
      </c>
      <c r="O2591" s="2" t="s">
        <v>13191</v>
      </c>
      <c r="P2591" s="2" t="s">
        <v>13192</v>
      </c>
    </row>
    <row r="2592" ht="15.75" customHeight="1">
      <c r="H2592" s="2" t="s">
        <v>13193</v>
      </c>
      <c r="I2592" s="2" t="s">
        <v>286</v>
      </c>
      <c r="J2592" s="2" t="s">
        <v>287</v>
      </c>
      <c r="K2592" s="2" t="s">
        <v>1117</v>
      </c>
      <c r="L2592" s="2" t="s">
        <v>13194</v>
      </c>
      <c r="M2592" s="2" t="s">
        <v>13195</v>
      </c>
      <c r="N2592" s="2" t="s">
        <v>13196</v>
      </c>
      <c r="O2592" s="2" t="s">
        <v>13197</v>
      </c>
      <c r="P2592" s="2" t="s">
        <v>13198</v>
      </c>
    </row>
    <row r="2593" ht="15.75" customHeight="1">
      <c r="H2593" s="2" t="s">
        <v>13199</v>
      </c>
      <c r="I2593" s="2" t="s">
        <v>12601</v>
      </c>
      <c r="J2593" s="2" t="s">
        <v>12602</v>
      </c>
      <c r="L2593" s="2" t="s">
        <v>13102</v>
      </c>
      <c r="M2593" s="2" t="s">
        <v>13200</v>
      </c>
      <c r="N2593" s="2" t="s">
        <v>13201</v>
      </c>
      <c r="O2593" s="2" t="s">
        <v>13202</v>
      </c>
      <c r="P2593" s="2" t="s">
        <v>13203</v>
      </c>
    </row>
    <row r="2594" ht="15.75" customHeight="1">
      <c r="H2594" s="2" t="s">
        <v>13204</v>
      </c>
      <c r="I2594" s="2" t="s">
        <v>5889</v>
      </c>
      <c r="J2594" s="2" t="s">
        <v>5890</v>
      </c>
      <c r="K2594" s="2" t="s">
        <v>1136</v>
      </c>
      <c r="L2594" s="2" t="s">
        <v>13205</v>
      </c>
      <c r="M2594" s="2" t="s">
        <v>13206</v>
      </c>
      <c r="N2594" s="2" t="s">
        <v>13207</v>
      </c>
      <c r="O2594" s="2" t="s">
        <v>13208</v>
      </c>
      <c r="P2594" s="2" t="s">
        <v>13209</v>
      </c>
    </row>
    <row r="2595" ht="15.75" customHeight="1">
      <c r="H2595" s="2" t="s">
        <v>13210</v>
      </c>
      <c r="I2595" s="2" t="s">
        <v>13211</v>
      </c>
      <c r="J2595" s="2" t="s">
        <v>13212</v>
      </c>
      <c r="K2595" s="2" t="s">
        <v>963</v>
      </c>
      <c r="L2595" s="2" t="s">
        <v>13102</v>
      </c>
      <c r="M2595" s="2" t="s">
        <v>13213</v>
      </c>
      <c r="N2595" s="2" t="s">
        <v>13214</v>
      </c>
      <c r="O2595" s="2" t="s">
        <v>13215</v>
      </c>
      <c r="P2595" s="2" t="s">
        <v>13216</v>
      </c>
    </row>
    <row r="2596" ht="15.75" customHeight="1">
      <c r="H2596" s="2" t="s">
        <v>13217</v>
      </c>
      <c r="I2596" s="2" t="s">
        <v>13218</v>
      </c>
      <c r="J2596" s="2" t="s">
        <v>13219</v>
      </c>
      <c r="K2596" s="2" t="s">
        <v>1145</v>
      </c>
      <c r="L2596" s="2" t="s">
        <v>13102</v>
      </c>
      <c r="M2596" s="2" t="s">
        <v>13220</v>
      </c>
      <c r="N2596" s="2" t="s">
        <v>13221</v>
      </c>
      <c r="O2596" s="2" t="s">
        <v>13222</v>
      </c>
      <c r="P2596" s="2" t="s">
        <v>13223</v>
      </c>
    </row>
    <row r="2597" ht="15.75" customHeight="1">
      <c r="H2597" s="2" t="s">
        <v>13224</v>
      </c>
      <c r="I2597" s="2" t="s">
        <v>310</v>
      </c>
      <c r="J2597" s="2" t="s">
        <v>311</v>
      </c>
      <c r="K2597" s="2" t="s">
        <v>1567</v>
      </c>
      <c r="L2597" s="2" t="s">
        <v>13225</v>
      </c>
      <c r="M2597" s="2" t="s">
        <v>13226</v>
      </c>
      <c r="N2597" s="2" t="s">
        <v>13227</v>
      </c>
      <c r="O2597" s="2" t="s">
        <v>13228</v>
      </c>
      <c r="P2597" s="2" t="s">
        <v>13229</v>
      </c>
    </row>
    <row r="2598" ht="15.75" customHeight="1">
      <c r="H2598" s="2" t="s">
        <v>13230</v>
      </c>
      <c r="I2598" s="2" t="s">
        <v>13231</v>
      </c>
      <c r="J2598" s="2" t="s">
        <v>13232</v>
      </c>
      <c r="K2598" s="2" t="s">
        <v>12894</v>
      </c>
      <c r="L2598" s="2" t="s">
        <v>13102</v>
      </c>
      <c r="M2598" s="2" t="s">
        <v>13233</v>
      </c>
      <c r="N2598" s="2" t="s">
        <v>13234</v>
      </c>
      <c r="O2598" s="2" t="s">
        <v>13235</v>
      </c>
      <c r="P2598" s="2" t="s">
        <v>13236</v>
      </c>
    </row>
    <row r="2599" ht="15.75" customHeight="1">
      <c r="H2599" s="2" t="s">
        <v>13237</v>
      </c>
      <c r="I2599" s="2" t="s">
        <v>13238</v>
      </c>
      <c r="J2599" s="2" t="s">
        <v>13239</v>
      </c>
      <c r="K2599" s="2" t="s">
        <v>2551</v>
      </c>
      <c r="L2599" s="2" t="s">
        <v>13102</v>
      </c>
      <c r="M2599" s="2" t="s">
        <v>13240</v>
      </c>
      <c r="N2599" s="2" t="s">
        <v>13241</v>
      </c>
      <c r="O2599" s="2" t="s">
        <v>13242</v>
      </c>
      <c r="P2599" s="2" t="s">
        <v>13243</v>
      </c>
    </row>
    <row r="2600" ht="15.75" customHeight="1">
      <c r="H2600" s="2" t="s">
        <v>13244</v>
      </c>
      <c r="I2600" s="2" t="s">
        <v>2195</v>
      </c>
      <c r="J2600" s="2" t="s">
        <v>2196</v>
      </c>
      <c r="K2600" s="2" t="s">
        <v>1624</v>
      </c>
      <c r="L2600" s="2" t="s">
        <v>13245</v>
      </c>
      <c r="M2600" s="2" t="s">
        <v>13246</v>
      </c>
      <c r="N2600" s="2" t="s">
        <v>13247</v>
      </c>
      <c r="O2600" s="2" t="s">
        <v>13248</v>
      </c>
      <c r="P2600" s="2" t="s">
        <v>13249</v>
      </c>
    </row>
    <row r="2601" ht="15.75" customHeight="1">
      <c r="H2601" s="2" t="s">
        <v>13250</v>
      </c>
      <c r="I2601" s="2" t="s">
        <v>13251</v>
      </c>
      <c r="J2601" s="2" t="s">
        <v>13252</v>
      </c>
      <c r="L2601" s="2" t="s">
        <v>13102</v>
      </c>
      <c r="M2601" s="2" t="s">
        <v>13253</v>
      </c>
      <c r="N2601" s="2" t="s">
        <v>13254</v>
      </c>
      <c r="O2601" s="2" t="s">
        <v>13255</v>
      </c>
      <c r="P2601" s="2" t="s">
        <v>13256</v>
      </c>
    </row>
    <row r="2602" ht="15.75" customHeight="1">
      <c r="H2602" s="2" t="s">
        <v>13257</v>
      </c>
      <c r="I2602" s="2" t="s">
        <v>326</v>
      </c>
      <c r="J2602" s="2" t="s">
        <v>327</v>
      </c>
      <c r="K2602" s="2" t="s">
        <v>1331</v>
      </c>
      <c r="L2602" s="2" t="s">
        <v>13258</v>
      </c>
      <c r="M2602" s="2" t="s">
        <v>13259</v>
      </c>
      <c r="N2602" s="2" t="s">
        <v>13260</v>
      </c>
      <c r="O2602" s="2" t="s">
        <v>13261</v>
      </c>
      <c r="P2602" s="2" t="s">
        <v>13262</v>
      </c>
    </row>
    <row r="2603" ht="15.75" customHeight="1">
      <c r="H2603" s="2" t="s">
        <v>13263</v>
      </c>
      <c r="I2603" s="2" t="s">
        <v>335</v>
      </c>
      <c r="J2603" s="2" t="s">
        <v>336</v>
      </c>
      <c r="K2603" s="2" t="s">
        <v>1637</v>
      </c>
      <c r="L2603" s="2" t="s">
        <v>13264</v>
      </c>
      <c r="M2603" s="2" t="s">
        <v>13265</v>
      </c>
      <c r="N2603" s="2" t="s">
        <v>13266</v>
      </c>
      <c r="O2603" s="2" t="s">
        <v>13267</v>
      </c>
      <c r="P2603" s="2" t="s">
        <v>13268</v>
      </c>
    </row>
    <row r="2604" ht="15.75" customHeight="1">
      <c r="H2604" s="2" t="s">
        <v>13269</v>
      </c>
      <c r="I2604" s="2" t="s">
        <v>352</v>
      </c>
      <c r="J2604" s="2" t="s">
        <v>353</v>
      </c>
      <c r="K2604" s="2" t="s">
        <v>2236</v>
      </c>
      <c r="L2604" s="2" t="s">
        <v>13102</v>
      </c>
      <c r="M2604" s="2" t="s">
        <v>11988</v>
      </c>
      <c r="N2604" s="2" t="s">
        <v>13270</v>
      </c>
      <c r="O2604" s="2" t="s">
        <v>13271</v>
      </c>
      <c r="P2604" s="2" t="s">
        <v>13272</v>
      </c>
    </row>
    <row r="2605" ht="15.75" customHeight="1">
      <c r="H2605" s="2" t="s">
        <v>13273</v>
      </c>
      <c r="I2605" s="2" t="s">
        <v>360</v>
      </c>
      <c r="J2605" s="2" t="s">
        <v>361</v>
      </c>
      <c r="L2605" s="2" t="s">
        <v>13102</v>
      </c>
      <c r="M2605" s="2" t="s">
        <v>13274</v>
      </c>
      <c r="N2605" s="2" t="s">
        <v>13275</v>
      </c>
      <c r="O2605" s="2" t="s">
        <v>13276</v>
      </c>
      <c r="P2605" s="2" t="s">
        <v>13277</v>
      </c>
    </row>
    <row r="2606" ht="15.75" customHeight="1">
      <c r="H2606" s="2" t="s">
        <v>13278</v>
      </c>
      <c r="I2606" s="2" t="s">
        <v>376</v>
      </c>
      <c r="J2606" s="2" t="s">
        <v>377</v>
      </c>
      <c r="K2606" s="2" t="s">
        <v>2025</v>
      </c>
      <c r="L2606" s="2" t="s">
        <v>13102</v>
      </c>
      <c r="M2606" s="2" t="s">
        <v>13279</v>
      </c>
      <c r="N2606" s="2" t="s">
        <v>13280</v>
      </c>
      <c r="O2606" s="2" t="s">
        <v>13281</v>
      </c>
      <c r="P2606" s="2" t="s">
        <v>13282</v>
      </c>
    </row>
    <row r="2607" ht="15.75" customHeight="1">
      <c r="H2607" s="2" t="s">
        <v>13283</v>
      </c>
      <c r="I2607" s="2" t="s">
        <v>415</v>
      </c>
      <c r="J2607" s="2" t="s">
        <v>416</v>
      </c>
      <c r="K2607" s="2" t="s">
        <v>11991</v>
      </c>
      <c r="L2607" s="2" t="s">
        <v>13284</v>
      </c>
      <c r="M2607" s="2" t="s">
        <v>13285</v>
      </c>
      <c r="N2607" s="2" t="s">
        <v>13286</v>
      </c>
      <c r="O2607" s="2" t="s">
        <v>13287</v>
      </c>
      <c r="P2607" s="2" t="s">
        <v>13288</v>
      </c>
    </row>
    <row r="2608" ht="15.75" customHeight="1">
      <c r="H2608" s="2" t="s">
        <v>13289</v>
      </c>
      <c r="I2608" s="2" t="s">
        <v>5459</v>
      </c>
      <c r="J2608" s="2" t="s">
        <v>5460</v>
      </c>
      <c r="K2608" s="2" t="s">
        <v>1692</v>
      </c>
      <c r="L2608" s="2" t="s">
        <v>13102</v>
      </c>
      <c r="M2608" s="2" t="s">
        <v>13290</v>
      </c>
      <c r="N2608" s="2" t="s">
        <v>13291</v>
      </c>
      <c r="O2608" s="2" t="s">
        <v>13292</v>
      </c>
      <c r="P2608" s="2" t="s">
        <v>13293</v>
      </c>
    </row>
    <row r="2609" ht="15.75" customHeight="1">
      <c r="H2609" s="2" t="s">
        <v>13294</v>
      </c>
      <c r="I2609" s="2" t="s">
        <v>5925</v>
      </c>
      <c r="J2609" s="2" t="s">
        <v>5926</v>
      </c>
      <c r="K2609" s="2" t="s">
        <v>5927</v>
      </c>
      <c r="L2609" s="2" t="s">
        <v>13102</v>
      </c>
      <c r="M2609" s="2" t="s">
        <v>13295</v>
      </c>
      <c r="N2609" s="2" t="s">
        <v>13296</v>
      </c>
      <c r="O2609" s="2" t="s">
        <v>13297</v>
      </c>
      <c r="P2609" s="2" t="s">
        <v>13298</v>
      </c>
    </row>
    <row r="2610" ht="15.75" customHeight="1">
      <c r="H2610" s="2" t="s">
        <v>13299</v>
      </c>
      <c r="I2610" s="2" t="s">
        <v>13300</v>
      </c>
      <c r="J2610" s="2" t="s">
        <v>13301</v>
      </c>
      <c r="K2610" s="2" t="s">
        <v>13302</v>
      </c>
      <c r="L2610" s="2" t="s">
        <v>13303</v>
      </c>
      <c r="M2610" s="2" t="s">
        <v>13304</v>
      </c>
      <c r="N2610" s="2" t="s">
        <v>13305</v>
      </c>
      <c r="O2610" s="2" t="s">
        <v>13306</v>
      </c>
      <c r="P2610" s="2" t="s">
        <v>13307</v>
      </c>
    </row>
    <row r="2611" ht="15.75" customHeight="1">
      <c r="H2611" s="2" t="s">
        <v>13308</v>
      </c>
      <c r="I2611" s="2" t="s">
        <v>432</v>
      </c>
      <c r="J2611" s="2" t="s">
        <v>433</v>
      </c>
      <c r="K2611" s="2" t="s">
        <v>2236</v>
      </c>
      <c r="L2611" s="2" t="s">
        <v>13102</v>
      </c>
      <c r="M2611" s="2" t="s">
        <v>13309</v>
      </c>
      <c r="N2611" s="2" t="s">
        <v>13310</v>
      </c>
      <c r="O2611" s="2" t="s">
        <v>13311</v>
      </c>
      <c r="P2611" s="2" t="s">
        <v>13312</v>
      </c>
    </row>
    <row r="2612" ht="15.75" customHeight="1">
      <c r="H2612" s="2" t="s">
        <v>13313</v>
      </c>
      <c r="I2612" s="2" t="s">
        <v>12278</v>
      </c>
      <c r="J2612" s="2" t="s">
        <v>12279</v>
      </c>
      <c r="K2612" s="2" t="s">
        <v>1704</v>
      </c>
      <c r="L2612" s="2" t="s">
        <v>13102</v>
      </c>
      <c r="M2612" s="2" t="s">
        <v>13314</v>
      </c>
      <c r="N2612" s="2" t="s">
        <v>13315</v>
      </c>
      <c r="O2612" s="2" t="s">
        <v>13316</v>
      </c>
      <c r="P2612" s="2" t="s">
        <v>13317</v>
      </c>
    </row>
    <row r="2613" ht="15.75" customHeight="1">
      <c r="H2613" s="2" t="s">
        <v>13318</v>
      </c>
      <c r="I2613" s="2" t="s">
        <v>440</v>
      </c>
      <c r="J2613" s="2" t="s">
        <v>441</v>
      </c>
      <c r="K2613" s="2" t="s">
        <v>2252</v>
      </c>
      <c r="L2613" s="2" t="s">
        <v>13102</v>
      </c>
      <c r="M2613" s="2" t="s">
        <v>13319</v>
      </c>
      <c r="N2613" s="2" t="s">
        <v>13320</v>
      </c>
      <c r="O2613" s="2" t="s">
        <v>13321</v>
      </c>
      <c r="P2613" s="2" t="s">
        <v>13322</v>
      </c>
    </row>
    <row r="2614" ht="15.75" customHeight="1">
      <c r="H2614" s="2" t="s">
        <v>13323</v>
      </c>
      <c r="I2614" s="2" t="s">
        <v>449</v>
      </c>
      <c r="J2614" s="2" t="s">
        <v>450</v>
      </c>
      <c r="K2614" s="2" t="s">
        <v>2514</v>
      </c>
    </row>
    <row r="2615" ht="15.75" customHeight="1">
      <c r="H2615" s="2" t="s">
        <v>13324</v>
      </c>
      <c r="I2615" s="2" t="s">
        <v>13325</v>
      </c>
      <c r="J2615" s="2" t="s">
        <v>13326</v>
      </c>
      <c r="K2615" s="2" t="s">
        <v>1229</v>
      </c>
      <c r="L2615" s="2" t="s">
        <v>13327</v>
      </c>
      <c r="M2615" s="2" t="s">
        <v>13328</v>
      </c>
      <c r="N2615" s="2" t="s">
        <v>13329</v>
      </c>
      <c r="O2615" s="2" t="s">
        <v>13330</v>
      </c>
      <c r="P2615" s="2" t="s">
        <v>13331</v>
      </c>
    </row>
    <row r="2616" ht="15.75" customHeight="1">
      <c r="H2616" s="2" t="s">
        <v>13332</v>
      </c>
      <c r="I2616" s="2" t="s">
        <v>13333</v>
      </c>
      <c r="J2616" s="2" t="s">
        <v>13334</v>
      </c>
      <c r="K2616" s="2" t="s">
        <v>13335</v>
      </c>
      <c r="L2616" s="2" t="s">
        <v>13102</v>
      </c>
      <c r="M2616" s="2" t="s">
        <v>13336</v>
      </c>
      <c r="N2616" s="2" t="s">
        <v>13337</v>
      </c>
      <c r="O2616" s="2" t="s">
        <v>13338</v>
      </c>
      <c r="P2616" s="2" t="s">
        <v>13339</v>
      </c>
    </row>
    <row r="2617" ht="15.75" customHeight="1">
      <c r="H2617" s="2" t="s">
        <v>13340</v>
      </c>
      <c r="I2617" s="2" t="s">
        <v>526</v>
      </c>
      <c r="J2617" s="2" t="s">
        <v>527</v>
      </c>
      <c r="K2617" s="2" t="s">
        <v>2316</v>
      </c>
      <c r="L2617" s="2" t="s">
        <v>13341</v>
      </c>
      <c r="M2617" s="2" t="s">
        <v>13342</v>
      </c>
      <c r="N2617" s="2" t="s">
        <v>13343</v>
      </c>
      <c r="O2617" s="2" t="s">
        <v>13344</v>
      </c>
      <c r="P2617" s="2" t="s">
        <v>13345</v>
      </c>
    </row>
    <row r="2618" ht="15.75" customHeight="1">
      <c r="F2618" s="2" t="s">
        <v>534</v>
      </c>
      <c r="H2618" s="2" t="s">
        <v>13346</v>
      </c>
      <c r="I2618" s="2" t="s">
        <v>536</v>
      </c>
      <c r="J2618" s="2" t="s">
        <v>537</v>
      </c>
      <c r="K2618" s="2" t="s">
        <v>538</v>
      </c>
    </row>
    <row r="2619" ht="15.75" customHeight="1">
      <c r="F2619" s="2" t="s">
        <v>548</v>
      </c>
      <c r="H2619" s="2" t="s">
        <v>13347</v>
      </c>
      <c r="I2619" s="2" t="s">
        <v>550</v>
      </c>
      <c r="J2619" s="2" t="s">
        <v>551</v>
      </c>
      <c r="K2619" s="2" t="s">
        <v>963</v>
      </c>
      <c r="L2619" s="2" t="s">
        <v>13102</v>
      </c>
      <c r="M2619" s="2" t="s">
        <v>13348</v>
      </c>
      <c r="N2619" s="2" t="s">
        <v>13349</v>
      </c>
      <c r="O2619" s="2" t="s">
        <v>13350</v>
      </c>
      <c r="P2619" s="2" t="s">
        <v>13351</v>
      </c>
    </row>
    <row r="2620" ht="15.75" customHeight="1">
      <c r="F2620" s="2" t="s">
        <v>556</v>
      </c>
      <c r="H2620" s="2" t="s">
        <v>13352</v>
      </c>
      <c r="I2620" s="2" t="s">
        <v>558</v>
      </c>
      <c r="J2620" s="2" t="s">
        <v>559</v>
      </c>
      <c r="K2620" s="2" t="s">
        <v>1362</v>
      </c>
      <c r="L2620" s="2" t="s">
        <v>13102</v>
      </c>
      <c r="M2620" s="2" t="s">
        <v>13353</v>
      </c>
      <c r="N2620" s="2" t="s">
        <v>13354</v>
      </c>
      <c r="O2620" s="2" t="s">
        <v>13355</v>
      </c>
      <c r="P2620" s="2" t="s">
        <v>13356</v>
      </c>
    </row>
    <row r="2621" ht="15.75" customHeight="1">
      <c r="H2621" s="2" t="s">
        <v>13357</v>
      </c>
      <c r="I2621" s="2" t="s">
        <v>8166</v>
      </c>
      <c r="J2621" s="2" t="s">
        <v>8167</v>
      </c>
      <c r="K2621" s="2" t="s">
        <v>1508</v>
      </c>
      <c r="L2621" s="2" t="s">
        <v>13102</v>
      </c>
      <c r="M2621" s="2" t="s">
        <v>13358</v>
      </c>
      <c r="N2621" s="2" t="s">
        <v>13359</v>
      </c>
      <c r="O2621" s="2" t="s">
        <v>13360</v>
      </c>
      <c r="P2621" s="2" t="s">
        <v>13359</v>
      </c>
    </row>
    <row r="2622" ht="15.75" customHeight="1">
      <c r="F2622" s="2" t="s">
        <v>581</v>
      </c>
      <c r="H2622" s="2" t="s">
        <v>13361</v>
      </c>
      <c r="I2622" s="2" t="s">
        <v>583</v>
      </c>
      <c r="J2622" s="2" t="s">
        <v>584</v>
      </c>
      <c r="K2622" s="2" t="s">
        <v>880</v>
      </c>
      <c r="L2622" s="2" t="s">
        <v>13102</v>
      </c>
      <c r="M2622" s="2" t="s">
        <v>13362</v>
      </c>
      <c r="N2622" s="2" t="s">
        <v>13363</v>
      </c>
      <c r="O2622" s="2" t="s">
        <v>13364</v>
      </c>
      <c r="P2622" s="2" t="s">
        <v>13365</v>
      </c>
    </row>
    <row r="2623" ht="15.75" customHeight="1">
      <c r="F2623" s="2" t="s">
        <v>598</v>
      </c>
      <c r="H2623" s="2" t="s">
        <v>13366</v>
      </c>
      <c r="I2623" s="2" t="s">
        <v>608</v>
      </c>
      <c r="J2623" s="2" t="s">
        <v>609</v>
      </c>
      <c r="K2623" s="2" t="s">
        <v>1508</v>
      </c>
      <c r="L2623" s="2" t="s">
        <v>13102</v>
      </c>
      <c r="M2623" s="2" t="s">
        <v>13367</v>
      </c>
      <c r="N2623" s="2" t="s">
        <v>13368</v>
      </c>
      <c r="O2623" s="2" t="s">
        <v>13369</v>
      </c>
      <c r="P2623" s="2" t="s">
        <v>13370</v>
      </c>
    </row>
    <row r="2624" ht="15.75" customHeight="1">
      <c r="F2624" s="2" t="s">
        <v>624</v>
      </c>
      <c r="H2624" s="2" t="s">
        <v>13371</v>
      </c>
      <c r="I2624" s="2" t="s">
        <v>12050</v>
      </c>
      <c r="J2624" s="2" t="s">
        <v>12051</v>
      </c>
      <c r="K2624" s="2" t="s">
        <v>13372</v>
      </c>
      <c r="L2624" s="2" t="s">
        <v>13102</v>
      </c>
      <c r="M2624" s="2" t="s">
        <v>13373</v>
      </c>
      <c r="N2624" s="2" t="s">
        <v>13374</v>
      </c>
      <c r="O2624" s="2" t="s">
        <v>13375</v>
      </c>
      <c r="P2624" s="2" t="s">
        <v>13376</v>
      </c>
    </row>
    <row r="2625" ht="15.75" customHeight="1">
      <c r="F2625" s="2" t="s">
        <v>634</v>
      </c>
      <c r="H2625" s="2" t="s">
        <v>13377</v>
      </c>
      <c r="I2625" s="2" t="s">
        <v>644</v>
      </c>
      <c r="J2625" s="2" t="s">
        <v>645</v>
      </c>
      <c r="K2625" s="2" t="s">
        <v>1362</v>
      </c>
      <c r="L2625" s="2" t="s">
        <v>13102</v>
      </c>
      <c r="M2625" s="2" t="s">
        <v>13378</v>
      </c>
      <c r="N2625" s="2" t="s">
        <v>13379</v>
      </c>
      <c r="O2625" s="2" t="s">
        <v>13380</v>
      </c>
      <c r="P2625" s="2" t="s">
        <v>13381</v>
      </c>
    </row>
    <row r="2626" ht="15.75" customHeight="1">
      <c r="H2626" s="2" t="s">
        <v>13382</v>
      </c>
      <c r="I2626" s="2" t="s">
        <v>3357</v>
      </c>
      <c r="J2626" s="2" t="s">
        <v>3358</v>
      </c>
      <c r="L2626" s="2" t="s">
        <v>13102</v>
      </c>
      <c r="M2626" s="2" t="s">
        <v>13383</v>
      </c>
      <c r="N2626" s="2" t="s">
        <v>13384</v>
      </c>
      <c r="O2626" s="2" t="s">
        <v>13385</v>
      </c>
      <c r="P2626" s="2" t="s">
        <v>13386</v>
      </c>
    </row>
    <row r="2627" ht="15.75" customHeight="1">
      <c r="F2627" s="2" t="s">
        <v>660</v>
      </c>
      <c r="H2627" s="2" t="s">
        <v>13387</v>
      </c>
      <c r="I2627" s="2" t="s">
        <v>662</v>
      </c>
      <c r="J2627" s="2" t="s">
        <v>663</v>
      </c>
      <c r="K2627" s="2" t="s">
        <v>1567</v>
      </c>
      <c r="L2627" s="2" t="s">
        <v>13102</v>
      </c>
      <c r="M2627" s="2" t="s">
        <v>13388</v>
      </c>
      <c r="N2627" s="2" t="s">
        <v>13389</v>
      </c>
      <c r="O2627" s="2" t="s">
        <v>13390</v>
      </c>
      <c r="P2627" s="2" t="s">
        <v>13391</v>
      </c>
    </row>
    <row r="2628" ht="15.75" customHeight="1">
      <c r="F2628" s="2" t="s">
        <v>703</v>
      </c>
      <c r="H2628" s="2" t="s">
        <v>13392</v>
      </c>
      <c r="I2628" s="2" t="s">
        <v>4011</v>
      </c>
      <c r="J2628" s="2" t="s">
        <v>4012</v>
      </c>
      <c r="L2628" s="2" t="s">
        <v>13102</v>
      </c>
      <c r="M2628" s="2" t="s">
        <v>13393</v>
      </c>
      <c r="N2628" s="2" t="s">
        <v>13394</v>
      </c>
      <c r="O2628" s="2" t="s">
        <v>13395</v>
      </c>
      <c r="P2628" s="2" t="s">
        <v>13396</v>
      </c>
    </row>
    <row r="2629" ht="15.75" customHeight="1">
      <c r="H2629" s="2" t="s">
        <v>13397</v>
      </c>
      <c r="I2629" s="2" t="s">
        <v>13398</v>
      </c>
      <c r="J2629" s="2" t="s">
        <v>13399</v>
      </c>
      <c r="K2629" s="2" t="s">
        <v>861</v>
      </c>
      <c r="L2629" s="2" t="s">
        <v>13102</v>
      </c>
      <c r="M2629" s="2" t="s">
        <v>13400</v>
      </c>
      <c r="N2629" s="2" t="s">
        <v>13401</v>
      </c>
      <c r="O2629" s="2" t="s">
        <v>13402</v>
      </c>
      <c r="P2629" s="2" t="s">
        <v>13403</v>
      </c>
    </row>
    <row r="2630" ht="15.75" customHeight="1">
      <c r="H2630" s="2" t="s">
        <v>13404</v>
      </c>
      <c r="I2630" s="2" t="s">
        <v>705</v>
      </c>
      <c r="J2630" s="2" t="s">
        <v>706</v>
      </c>
      <c r="K2630" s="2" t="s">
        <v>1362</v>
      </c>
      <c r="L2630" s="2" t="s">
        <v>13102</v>
      </c>
      <c r="M2630" s="2" t="s">
        <v>13405</v>
      </c>
      <c r="N2630" s="2" t="s">
        <v>13406</v>
      </c>
      <c r="O2630" s="2" t="s">
        <v>13407</v>
      </c>
      <c r="P2630" s="2" t="s">
        <v>13408</v>
      </c>
    </row>
    <row r="2631" ht="15.75" customHeight="1">
      <c r="H2631" s="2" t="s">
        <v>13409</v>
      </c>
      <c r="I2631" s="2" t="s">
        <v>713</v>
      </c>
      <c r="J2631" s="2" t="s">
        <v>714</v>
      </c>
      <c r="K2631" s="2" t="s">
        <v>1567</v>
      </c>
      <c r="L2631" s="2" t="s">
        <v>13410</v>
      </c>
      <c r="M2631" s="2" t="s">
        <v>13411</v>
      </c>
      <c r="N2631" s="2" t="s">
        <v>13412</v>
      </c>
      <c r="O2631" s="2" t="s">
        <v>13413</v>
      </c>
      <c r="P2631" s="2" t="s">
        <v>13414</v>
      </c>
    </row>
    <row r="2632" ht="15.75" customHeight="1">
      <c r="H2632" s="2" t="s">
        <v>13415</v>
      </c>
      <c r="I2632" s="2" t="s">
        <v>3902</v>
      </c>
      <c r="J2632" s="2" t="s">
        <v>3903</v>
      </c>
      <c r="K2632" s="2" t="s">
        <v>1406</v>
      </c>
      <c r="L2632" s="2" t="s">
        <v>13102</v>
      </c>
      <c r="M2632" s="2" t="s">
        <v>13416</v>
      </c>
      <c r="N2632" s="2" t="s">
        <v>13417</v>
      </c>
      <c r="O2632" s="2" t="s">
        <v>13418</v>
      </c>
      <c r="P2632" s="2" t="s">
        <v>13419</v>
      </c>
    </row>
    <row r="2633" ht="15.75" customHeight="1">
      <c r="F2633" s="2" t="s">
        <v>728</v>
      </c>
      <c r="H2633" s="2" t="s">
        <v>13420</v>
      </c>
      <c r="I2633" s="2" t="s">
        <v>730</v>
      </c>
      <c r="J2633" s="2" t="s">
        <v>731</v>
      </c>
      <c r="K2633" s="2" t="s">
        <v>886</v>
      </c>
      <c r="L2633" s="2" t="s">
        <v>13102</v>
      </c>
      <c r="M2633" s="2" t="s">
        <v>13421</v>
      </c>
      <c r="N2633" s="2" t="s">
        <v>13422</v>
      </c>
      <c r="O2633" s="2" t="s">
        <v>13423</v>
      </c>
      <c r="P2633" s="2" t="s">
        <v>13424</v>
      </c>
    </row>
    <row r="2634" ht="15.75" customHeight="1">
      <c r="F2634" s="2" t="s">
        <v>737</v>
      </c>
      <c r="H2634" s="2" t="s">
        <v>13425</v>
      </c>
      <c r="I2634" s="2" t="s">
        <v>739</v>
      </c>
      <c r="J2634" s="2" t="s">
        <v>740</v>
      </c>
      <c r="K2634" s="2" t="s">
        <v>1551</v>
      </c>
      <c r="L2634" s="2" t="s">
        <v>13102</v>
      </c>
      <c r="M2634" s="2" t="s">
        <v>13426</v>
      </c>
      <c r="N2634" s="2" t="s">
        <v>13427</v>
      </c>
      <c r="O2634" s="2" t="s">
        <v>13428</v>
      </c>
      <c r="P2634" s="2" t="s">
        <v>13427</v>
      </c>
    </row>
    <row r="2635" ht="15.75" customHeight="1">
      <c r="F2635" s="2" t="s">
        <v>746</v>
      </c>
      <c r="H2635" s="2" t="s">
        <v>13429</v>
      </c>
      <c r="I2635" s="2" t="s">
        <v>4344</v>
      </c>
      <c r="J2635" s="2" t="s">
        <v>4345</v>
      </c>
      <c r="K2635" s="2" t="s">
        <v>1049</v>
      </c>
      <c r="L2635" s="2" t="s">
        <v>13102</v>
      </c>
      <c r="M2635" s="2" t="s">
        <v>13430</v>
      </c>
      <c r="N2635" s="2" t="s">
        <v>13431</v>
      </c>
      <c r="O2635" s="2" t="s">
        <v>13432</v>
      </c>
      <c r="P2635" s="2" t="s">
        <v>13433</v>
      </c>
    </row>
    <row r="2636" ht="15.75" customHeight="1">
      <c r="F2636" s="2" t="s">
        <v>755</v>
      </c>
      <c r="H2636" s="2" t="s">
        <v>13434</v>
      </c>
      <c r="I2636" s="2" t="s">
        <v>757</v>
      </c>
      <c r="J2636" s="2" t="s">
        <v>758</v>
      </c>
      <c r="K2636" s="2" t="s">
        <v>4429</v>
      </c>
      <c r="L2636" s="2" t="s">
        <v>13102</v>
      </c>
      <c r="M2636" s="2" t="s">
        <v>13435</v>
      </c>
      <c r="N2636" s="2" t="s">
        <v>13436</v>
      </c>
      <c r="O2636" s="2" t="s">
        <v>13437</v>
      </c>
      <c r="P2636" s="2" t="s">
        <v>13438</v>
      </c>
    </row>
    <row r="2637" ht="15.75" customHeight="1">
      <c r="F2637" s="2" t="s">
        <v>764</v>
      </c>
      <c r="H2637" s="2" t="s">
        <v>13439</v>
      </c>
      <c r="I2637" s="2" t="s">
        <v>766</v>
      </c>
      <c r="J2637" s="2" t="s">
        <v>767</v>
      </c>
      <c r="K2637" s="2" t="s">
        <v>1418</v>
      </c>
      <c r="L2637" s="2" t="s">
        <v>13102</v>
      </c>
      <c r="M2637" s="2" t="s">
        <v>13440</v>
      </c>
      <c r="N2637" s="2" t="s">
        <v>13441</v>
      </c>
      <c r="O2637" s="2" t="s">
        <v>13442</v>
      </c>
      <c r="P2637" s="2" t="s">
        <v>13441</v>
      </c>
    </row>
    <row r="2638" ht="15.75" customHeight="1">
      <c r="F2638" s="2" t="s">
        <v>773</v>
      </c>
      <c r="H2638" s="2" t="s">
        <v>13443</v>
      </c>
      <c r="I2638" s="2" t="s">
        <v>775</v>
      </c>
      <c r="J2638" s="2" t="s">
        <v>776</v>
      </c>
      <c r="K2638" s="2" t="s">
        <v>1145</v>
      </c>
      <c r="L2638" s="2" t="s">
        <v>13102</v>
      </c>
      <c r="M2638" s="2" t="s">
        <v>13444</v>
      </c>
      <c r="N2638" s="2" t="s">
        <v>13445</v>
      </c>
      <c r="O2638" s="2" t="s">
        <v>13446</v>
      </c>
      <c r="P2638" s="2" t="s">
        <v>13447</v>
      </c>
    </row>
    <row r="2639" ht="15.75" customHeight="1">
      <c r="F2639" s="2" t="s">
        <v>782</v>
      </c>
      <c r="H2639" s="2" t="s">
        <v>13448</v>
      </c>
      <c r="I2639" s="2" t="s">
        <v>4860</v>
      </c>
      <c r="J2639" s="2" t="s">
        <v>4861</v>
      </c>
      <c r="K2639" s="2" t="s">
        <v>1362</v>
      </c>
      <c r="L2639" s="2" t="s">
        <v>13102</v>
      </c>
      <c r="M2639" s="2" t="s">
        <v>13449</v>
      </c>
      <c r="N2639" s="2" t="s">
        <v>13450</v>
      </c>
      <c r="O2639" s="2" t="s">
        <v>13451</v>
      </c>
      <c r="P2639" s="2" t="s">
        <v>13452</v>
      </c>
    </row>
    <row r="2640" ht="15.75" customHeight="1">
      <c r="H2640" s="2" t="s">
        <v>13453</v>
      </c>
      <c r="I2640" s="2" t="s">
        <v>4875</v>
      </c>
      <c r="J2640" s="2" t="s">
        <v>4876</v>
      </c>
      <c r="L2640" s="2" t="s">
        <v>13102</v>
      </c>
      <c r="M2640" s="2" t="s">
        <v>13454</v>
      </c>
      <c r="N2640" s="2" t="s">
        <v>13455</v>
      </c>
      <c r="O2640" s="2" t="s">
        <v>13456</v>
      </c>
      <c r="P2640" s="2" t="s">
        <v>13457</v>
      </c>
    </row>
    <row r="2641" ht="15.75" customHeight="1">
      <c r="H2641" s="2" t="s">
        <v>13458</v>
      </c>
      <c r="I2641" s="2" t="s">
        <v>13459</v>
      </c>
      <c r="J2641" s="2" t="s">
        <v>13460</v>
      </c>
      <c r="L2641" s="2" t="s">
        <v>13102</v>
      </c>
      <c r="M2641" s="2" t="s">
        <v>13461</v>
      </c>
      <c r="N2641" s="2" t="s">
        <v>13462</v>
      </c>
      <c r="O2641" s="2" t="s">
        <v>13463</v>
      </c>
      <c r="P2641" s="2" t="s">
        <v>13464</v>
      </c>
    </row>
    <row r="2642" ht="15.75" customHeight="1">
      <c r="H2642" s="2" t="s">
        <v>13465</v>
      </c>
      <c r="I2642" s="2" t="s">
        <v>784</v>
      </c>
      <c r="J2642" s="2" t="s">
        <v>785</v>
      </c>
      <c r="K2642" s="2" t="s">
        <v>2171</v>
      </c>
      <c r="L2642" s="2" t="s">
        <v>13102</v>
      </c>
      <c r="M2642" s="2" t="s">
        <v>13466</v>
      </c>
      <c r="N2642" s="2" t="s">
        <v>13467</v>
      </c>
      <c r="O2642" s="2" t="s">
        <v>13468</v>
      </c>
      <c r="P2642" s="2" t="s">
        <v>13469</v>
      </c>
    </row>
    <row r="2643" ht="15.75" customHeight="1">
      <c r="F2643" s="2" t="s">
        <v>800</v>
      </c>
      <c r="H2643" s="2" t="s">
        <v>13470</v>
      </c>
      <c r="I2643" s="2" t="s">
        <v>5037</v>
      </c>
      <c r="J2643" s="2" t="s">
        <v>5038</v>
      </c>
      <c r="K2643" s="2" t="s">
        <v>2203</v>
      </c>
      <c r="L2643" s="2" t="s">
        <v>13102</v>
      </c>
      <c r="M2643" s="2" t="s">
        <v>13471</v>
      </c>
      <c r="N2643" s="2" t="s">
        <v>13472</v>
      </c>
      <c r="O2643" s="2" t="s">
        <v>13473</v>
      </c>
      <c r="P2643" s="2" t="s">
        <v>13474</v>
      </c>
    </row>
    <row r="2644" ht="15.75" customHeight="1">
      <c r="H2644" s="2" t="s">
        <v>13475</v>
      </c>
      <c r="I2644" s="2" t="s">
        <v>5093</v>
      </c>
      <c r="J2644" s="2" t="s">
        <v>5094</v>
      </c>
      <c r="K2644" s="2" t="s">
        <v>3309</v>
      </c>
      <c r="L2644" s="2" t="s">
        <v>13476</v>
      </c>
      <c r="M2644" s="2" t="s">
        <v>13477</v>
      </c>
      <c r="N2644" s="2" t="s">
        <v>13478</v>
      </c>
      <c r="O2644" s="2" t="s">
        <v>13479</v>
      </c>
      <c r="P2644" s="2" t="s">
        <v>13480</v>
      </c>
    </row>
    <row r="2645" ht="15.75" customHeight="1">
      <c r="H2645" s="2" t="s">
        <v>13481</v>
      </c>
      <c r="I2645" s="2" t="s">
        <v>13482</v>
      </c>
      <c r="J2645" s="2" t="s">
        <v>13483</v>
      </c>
      <c r="L2645" s="2" t="s">
        <v>13102</v>
      </c>
      <c r="M2645" s="2" t="s">
        <v>13484</v>
      </c>
      <c r="N2645" s="2" t="s">
        <v>13485</v>
      </c>
      <c r="O2645" s="2" t="s">
        <v>13486</v>
      </c>
      <c r="P2645" s="2" t="s">
        <v>13487</v>
      </c>
    </row>
    <row r="2646" ht="15.75" customHeight="1">
      <c r="H2646" s="2" t="s">
        <v>13488</v>
      </c>
      <c r="I2646" s="2" t="s">
        <v>13019</v>
      </c>
      <c r="J2646" s="2" t="s">
        <v>13020</v>
      </c>
      <c r="K2646" s="2" t="s">
        <v>1698</v>
      </c>
      <c r="L2646" s="2" t="s">
        <v>13102</v>
      </c>
      <c r="M2646" s="2" t="s">
        <v>13489</v>
      </c>
      <c r="N2646" s="2" t="s">
        <v>13490</v>
      </c>
      <c r="O2646" s="2" t="s">
        <v>13491</v>
      </c>
      <c r="P2646" s="2" t="s">
        <v>13492</v>
      </c>
    </row>
    <row r="2647" ht="15.75" customHeight="1">
      <c r="B2647" s="2" t="s">
        <v>13493</v>
      </c>
      <c r="C2647" s="2" t="s">
        <v>13494</v>
      </c>
      <c r="D2647" s="2" t="s">
        <v>13495</v>
      </c>
      <c r="F2647" s="2" t="s">
        <v>19</v>
      </c>
      <c r="H2647" s="2" t="s">
        <v>13496</v>
      </c>
      <c r="I2647" s="2" t="s">
        <v>21</v>
      </c>
      <c r="J2647" s="2" t="s">
        <v>22</v>
      </c>
      <c r="K2647" s="2" t="s">
        <v>13497</v>
      </c>
      <c r="L2647" s="2" t="s">
        <v>13498</v>
      </c>
      <c r="M2647" s="2" t="s">
        <v>13499</v>
      </c>
      <c r="N2647" s="2" t="s">
        <v>13500</v>
      </c>
      <c r="O2647" s="2" t="s">
        <v>13501</v>
      </c>
      <c r="P2647" s="2" t="s">
        <v>13502</v>
      </c>
    </row>
    <row r="2648" ht="15.75" customHeight="1">
      <c r="F2648" s="2" t="s">
        <v>29</v>
      </c>
      <c r="H2648" s="2" t="s">
        <v>13503</v>
      </c>
      <c r="I2648" s="2" t="s">
        <v>31</v>
      </c>
      <c r="J2648" s="2" t="s">
        <v>32</v>
      </c>
      <c r="K2648" s="2" t="s">
        <v>13504</v>
      </c>
      <c r="L2648" s="2" t="s">
        <v>13498</v>
      </c>
      <c r="M2648" s="2" t="s">
        <v>13505</v>
      </c>
      <c r="N2648" s="2" t="s">
        <v>13506</v>
      </c>
      <c r="O2648" s="2" t="s">
        <v>13507</v>
      </c>
      <c r="P2648" s="2" t="s">
        <v>13508</v>
      </c>
    </row>
    <row r="2649" ht="15.75" customHeight="1">
      <c r="F2649" s="2" t="s">
        <v>74</v>
      </c>
      <c r="H2649" s="2" t="s">
        <v>13509</v>
      </c>
      <c r="I2649" s="2" t="s">
        <v>76</v>
      </c>
      <c r="J2649" s="2" t="s">
        <v>77</v>
      </c>
      <c r="K2649" s="2" t="s">
        <v>13510</v>
      </c>
      <c r="L2649" s="2" t="s">
        <v>13511</v>
      </c>
      <c r="M2649" s="2" t="s">
        <v>13512</v>
      </c>
      <c r="N2649" s="2" t="s">
        <v>13513</v>
      </c>
      <c r="O2649" s="2" t="s">
        <v>13514</v>
      </c>
      <c r="P2649" s="2" t="s">
        <v>13515</v>
      </c>
    </row>
    <row r="2650" ht="15.75" customHeight="1">
      <c r="H2650" s="2" t="s">
        <v>13516</v>
      </c>
      <c r="I2650" s="2" t="s">
        <v>117</v>
      </c>
      <c r="J2650" s="2" t="s">
        <v>118</v>
      </c>
      <c r="K2650" s="2" t="s">
        <v>13517</v>
      </c>
      <c r="L2650" s="2" t="s">
        <v>13498</v>
      </c>
      <c r="M2650" s="2" t="s">
        <v>13518</v>
      </c>
      <c r="N2650" s="2" t="s">
        <v>13519</v>
      </c>
      <c r="O2650" s="2" t="s">
        <v>13520</v>
      </c>
      <c r="P2650" s="2" t="s">
        <v>13521</v>
      </c>
    </row>
    <row r="2651" ht="15.75" customHeight="1">
      <c r="H2651" s="2" t="s">
        <v>13522</v>
      </c>
      <c r="I2651" s="2" t="s">
        <v>11923</v>
      </c>
      <c r="J2651" s="2" t="s">
        <v>11924</v>
      </c>
      <c r="K2651" s="2" t="s">
        <v>13523</v>
      </c>
      <c r="L2651" s="2" t="s">
        <v>13498</v>
      </c>
      <c r="M2651" s="2" t="s">
        <v>13524</v>
      </c>
      <c r="N2651" s="2" t="s">
        <v>13525</v>
      </c>
      <c r="O2651" s="2" t="s">
        <v>13526</v>
      </c>
      <c r="P2651" s="2" t="s">
        <v>13527</v>
      </c>
    </row>
    <row r="2652" ht="15.75" customHeight="1">
      <c r="H2652" s="2" t="s">
        <v>13528</v>
      </c>
      <c r="I2652" s="2" t="s">
        <v>7081</v>
      </c>
      <c r="J2652" s="2" t="s">
        <v>7082</v>
      </c>
      <c r="K2652" s="2" t="s">
        <v>13529</v>
      </c>
      <c r="L2652" s="2" t="s">
        <v>13498</v>
      </c>
      <c r="M2652" s="2" t="s">
        <v>13530</v>
      </c>
      <c r="N2652" s="2" t="s">
        <v>13531</v>
      </c>
      <c r="O2652" s="2" t="s">
        <v>13532</v>
      </c>
      <c r="P2652" s="2" t="s">
        <v>13533</v>
      </c>
    </row>
    <row r="2653" ht="15.75" customHeight="1">
      <c r="H2653" s="2" t="s">
        <v>13534</v>
      </c>
      <c r="I2653" s="2" t="s">
        <v>1663</v>
      </c>
      <c r="J2653" s="2" t="s">
        <v>1664</v>
      </c>
      <c r="K2653" s="2" t="s">
        <v>13535</v>
      </c>
      <c r="L2653" s="2" t="s">
        <v>13498</v>
      </c>
      <c r="M2653" s="2" t="s">
        <v>13536</v>
      </c>
      <c r="N2653" s="2" t="s">
        <v>13537</v>
      </c>
      <c r="O2653" s="2" t="s">
        <v>13538</v>
      </c>
      <c r="P2653" s="2" t="s">
        <v>13539</v>
      </c>
    </row>
    <row r="2654" ht="15.75" customHeight="1">
      <c r="H2654" s="2" t="s">
        <v>13540</v>
      </c>
      <c r="I2654" s="2" t="s">
        <v>159</v>
      </c>
      <c r="J2654" s="2" t="s">
        <v>160</v>
      </c>
      <c r="K2654" s="2" t="s">
        <v>13541</v>
      </c>
      <c r="L2654" s="2" t="s">
        <v>13498</v>
      </c>
      <c r="M2654" s="2" t="s">
        <v>13542</v>
      </c>
      <c r="N2654" s="2" t="s">
        <v>13543</v>
      </c>
      <c r="O2654" s="2" t="s">
        <v>13544</v>
      </c>
      <c r="P2654" s="2" t="s">
        <v>13545</v>
      </c>
    </row>
    <row r="2655" ht="15.75" customHeight="1">
      <c r="H2655" s="2" t="s">
        <v>13546</v>
      </c>
      <c r="I2655" s="2" t="s">
        <v>167</v>
      </c>
      <c r="J2655" s="2" t="s">
        <v>168</v>
      </c>
      <c r="K2655" s="2" t="s">
        <v>13547</v>
      </c>
      <c r="L2655" s="2" t="s">
        <v>13498</v>
      </c>
      <c r="M2655" s="2" t="s">
        <v>13548</v>
      </c>
      <c r="N2655" s="2" t="s">
        <v>13549</v>
      </c>
      <c r="O2655" s="2" t="s">
        <v>13550</v>
      </c>
      <c r="P2655" s="2" t="s">
        <v>13551</v>
      </c>
    </row>
    <row r="2656" ht="15.75" customHeight="1">
      <c r="H2656" s="2" t="s">
        <v>13552</v>
      </c>
      <c r="I2656" s="2" t="s">
        <v>5332</v>
      </c>
      <c r="J2656" s="2" t="s">
        <v>5333</v>
      </c>
      <c r="K2656" s="2" t="s">
        <v>13553</v>
      </c>
      <c r="L2656" s="2" t="s">
        <v>13498</v>
      </c>
      <c r="M2656" s="2" t="s">
        <v>13554</v>
      </c>
      <c r="N2656" s="2" t="s">
        <v>13555</v>
      </c>
      <c r="O2656" s="2" t="s">
        <v>13556</v>
      </c>
      <c r="P2656" s="2" t="s">
        <v>13557</v>
      </c>
    </row>
    <row r="2657" ht="15.75" customHeight="1">
      <c r="H2657" s="2" t="s">
        <v>13558</v>
      </c>
      <c r="I2657" s="2" t="s">
        <v>176</v>
      </c>
      <c r="J2657" s="2" t="s">
        <v>177</v>
      </c>
      <c r="K2657" s="2" t="s">
        <v>13559</v>
      </c>
      <c r="L2657" s="2" t="s">
        <v>13560</v>
      </c>
      <c r="M2657" s="2" t="s">
        <v>13561</v>
      </c>
      <c r="N2657" s="2" t="s">
        <v>13562</v>
      </c>
      <c r="O2657" s="2" t="s">
        <v>13563</v>
      </c>
      <c r="P2657" s="2" t="s">
        <v>13564</v>
      </c>
    </row>
    <row r="2658" ht="15.75" customHeight="1">
      <c r="H2658" s="2" t="s">
        <v>13565</v>
      </c>
      <c r="I2658" s="2" t="s">
        <v>193</v>
      </c>
      <c r="J2658" s="2" t="s">
        <v>194</v>
      </c>
      <c r="K2658" s="2" t="s">
        <v>13566</v>
      </c>
      <c r="L2658" s="2" t="s">
        <v>13498</v>
      </c>
      <c r="M2658" s="2" t="s">
        <v>13567</v>
      </c>
      <c r="N2658" s="2" t="s">
        <v>13568</v>
      </c>
      <c r="O2658" s="2" t="s">
        <v>13569</v>
      </c>
      <c r="P2658" s="2" t="s">
        <v>13570</v>
      </c>
    </row>
    <row r="2659" ht="15.75" customHeight="1">
      <c r="H2659" s="2" t="s">
        <v>13571</v>
      </c>
      <c r="I2659" s="2" t="s">
        <v>5341</v>
      </c>
      <c r="J2659" s="2" t="s">
        <v>5342</v>
      </c>
      <c r="K2659" s="2" t="s">
        <v>13572</v>
      </c>
      <c r="L2659" s="2" t="s">
        <v>13498</v>
      </c>
      <c r="M2659" s="2" t="s">
        <v>13573</v>
      </c>
      <c r="N2659" s="2" t="s">
        <v>13574</v>
      </c>
      <c r="O2659" s="2" t="s">
        <v>13575</v>
      </c>
      <c r="P2659" s="2" t="s">
        <v>13576</v>
      </c>
    </row>
    <row r="2660" ht="15.75" customHeight="1">
      <c r="H2660" s="2" t="s">
        <v>13577</v>
      </c>
      <c r="I2660" s="2" t="s">
        <v>225</v>
      </c>
      <c r="J2660" s="2" t="s">
        <v>226</v>
      </c>
      <c r="K2660" s="2" t="s">
        <v>13578</v>
      </c>
      <c r="L2660" s="2" t="s">
        <v>13498</v>
      </c>
      <c r="M2660" s="2" t="s">
        <v>13579</v>
      </c>
      <c r="N2660" s="2" t="s">
        <v>13580</v>
      </c>
      <c r="O2660" s="2" t="s">
        <v>13581</v>
      </c>
      <c r="P2660" s="2" t="s">
        <v>13582</v>
      </c>
    </row>
    <row r="2661" ht="15.75" customHeight="1">
      <c r="H2661" s="2" t="s">
        <v>13583</v>
      </c>
      <c r="I2661" s="2" t="s">
        <v>13584</v>
      </c>
      <c r="J2661" s="2" t="s">
        <v>13585</v>
      </c>
      <c r="K2661" s="2" t="s">
        <v>13586</v>
      </c>
      <c r="L2661" s="2" t="s">
        <v>13498</v>
      </c>
      <c r="M2661" s="2" t="s">
        <v>13587</v>
      </c>
      <c r="N2661" s="2" t="s">
        <v>13588</v>
      </c>
      <c r="O2661" s="2" t="s">
        <v>13589</v>
      </c>
      <c r="P2661" s="2" t="s">
        <v>13590</v>
      </c>
    </row>
    <row r="2662" ht="15.75" customHeight="1">
      <c r="F2662" s="2" t="s">
        <v>265</v>
      </c>
      <c r="H2662" s="2" t="s">
        <v>13591</v>
      </c>
      <c r="I2662" s="2" t="s">
        <v>267</v>
      </c>
      <c r="J2662" s="2" t="s">
        <v>268</v>
      </c>
      <c r="K2662" s="2" t="s">
        <v>13592</v>
      </c>
      <c r="L2662" s="2" t="s">
        <v>13498</v>
      </c>
      <c r="M2662" s="2" t="s">
        <v>13593</v>
      </c>
      <c r="N2662" s="2" t="s">
        <v>13594</v>
      </c>
      <c r="O2662" s="2" t="s">
        <v>13595</v>
      </c>
      <c r="P2662" s="2" t="s">
        <v>13596</v>
      </c>
    </row>
    <row r="2663" ht="15.75" customHeight="1">
      <c r="H2663" s="2" t="s">
        <v>13597</v>
      </c>
      <c r="I2663" s="2" t="s">
        <v>5388</v>
      </c>
      <c r="J2663" s="2" t="s">
        <v>5389</v>
      </c>
      <c r="K2663" s="2" t="s">
        <v>13598</v>
      </c>
      <c r="L2663" s="2" t="s">
        <v>13498</v>
      </c>
      <c r="M2663" s="2" t="s">
        <v>13599</v>
      </c>
      <c r="N2663" s="2" t="s">
        <v>13600</v>
      </c>
      <c r="O2663" s="2" t="s">
        <v>13601</v>
      </c>
      <c r="P2663" s="2" t="s">
        <v>13602</v>
      </c>
    </row>
    <row r="2664" ht="15.75" customHeight="1">
      <c r="H2664" s="2" t="s">
        <v>13603</v>
      </c>
      <c r="I2664" s="2" t="s">
        <v>13604</v>
      </c>
      <c r="J2664" s="2" t="s">
        <v>13605</v>
      </c>
      <c r="K2664" s="2" t="s">
        <v>13606</v>
      </c>
      <c r="L2664" s="2" t="s">
        <v>13498</v>
      </c>
      <c r="M2664" s="2" t="s">
        <v>13607</v>
      </c>
      <c r="N2664" s="2" t="s">
        <v>13608</v>
      </c>
      <c r="O2664" s="2" t="s">
        <v>13609</v>
      </c>
      <c r="P2664" s="2" t="s">
        <v>13610</v>
      </c>
    </row>
    <row r="2665" ht="15.75" customHeight="1">
      <c r="H2665" s="2" t="s">
        <v>13611</v>
      </c>
      <c r="I2665" s="2" t="s">
        <v>2001</v>
      </c>
      <c r="J2665" s="2" t="s">
        <v>2002</v>
      </c>
      <c r="K2665" s="2" t="s">
        <v>13612</v>
      </c>
      <c r="L2665" s="2" t="s">
        <v>13498</v>
      </c>
      <c r="M2665" s="2" t="s">
        <v>13613</v>
      </c>
      <c r="N2665" s="2" t="s">
        <v>13614</v>
      </c>
      <c r="O2665" s="2" t="s">
        <v>13615</v>
      </c>
      <c r="P2665" s="2" t="s">
        <v>13616</v>
      </c>
    </row>
    <row r="2666" ht="15.75" customHeight="1">
      <c r="F2666" s="2" t="s">
        <v>274</v>
      </c>
      <c r="H2666" s="2" t="s">
        <v>13617</v>
      </c>
      <c r="I2666" s="2" t="s">
        <v>279</v>
      </c>
      <c r="J2666" s="2" t="s">
        <v>274</v>
      </c>
      <c r="K2666" s="2" t="s">
        <v>280</v>
      </c>
    </row>
    <row r="2667" ht="15.75" customHeight="1">
      <c r="F2667" s="2" t="s">
        <v>284</v>
      </c>
      <c r="H2667" s="2" t="s">
        <v>13618</v>
      </c>
      <c r="I2667" s="2" t="s">
        <v>13619</v>
      </c>
      <c r="J2667" s="2" t="s">
        <v>13620</v>
      </c>
      <c r="K2667" s="2" t="s">
        <v>13621</v>
      </c>
      <c r="L2667" s="2" t="s">
        <v>13498</v>
      </c>
      <c r="M2667" s="2" t="s">
        <v>13622</v>
      </c>
      <c r="N2667" s="2" t="s">
        <v>13623</v>
      </c>
      <c r="O2667" s="2" t="s">
        <v>13624</v>
      </c>
      <c r="P2667" s="2" t="s">
        <v>13625</v>
      </c>
    </row>
    <row r="2668" ht="15.75" customHeight="1">
      <c r="H2668" s="2" t="s">
        <v>13626</v>
      </c>
      <c r="I2668" s="2" t="s">
        <v>12593</v>
      </c>
      <c r="J2668" s="2" t="s">
        <v>12594</v>
      </c>
      <c r="K2668" s="2" t="s">
        <v>13627</v>
      </c>
      <c r="L2668" s="2" t="s">
        <v>13498</v>
      </c>
      <c r="M2668" s="2" t="s">
        <v>13628</v>
      </c>
      <c r="N2668" s="2" t="s">
        <v>13629</v>
      </c>
      <c r="O2668" s="2" t="s">
        <v>13630</v>
      </c>
      <c r="P2668" s="2" t="s">
        <v>13631</v>
      </c>
    </row>
    <row r="2669" ht="15.75" customHeight="1">
      <c r="H2669" s="2" t="s">
        <v>13632</v>
      </c>
      <c r="I2669" s="2" t="s">
        <v>6023</v>
      </c>
      <c r="J2669" s="2" t="s">
        <v>6024</v>
      </c>
      <c r="K2669" s="2" t="s">
        <v>13633</v>
      </c>
      <c r="L2669" s="2" t="s">
        <v>13498</v>
      </c>
      <c r="M2669" s="2" t="s">
        <v>13634</v>
      </c>
      <c r="N2669" s="2" t="s">
        <v>13635</v>
      </c>
      <c r="O2669" s="2" t="s">
        <v>13636</v>
      </c>
      <c r="P2669" s="2" t="s">
        <v>13637</v>
      </c>
    </row>
    <row r="2670" ht="15.75" customHeight="1">
      <c r="H2670" s="2" t="s">
        <v>13638</v>
      </c>
      <c r="I2670" s="2" t="s">
        <v>5403</v>
      </c>
      <c r="J2670" s="2" t="s">
        <v>5404</v>
      </c>
      <c r="K2670" s="2" t="s">
        <v>13639</v>
      </c>
      <c r="L2670" s="2" t="s">
        <v>13498</v>
      </c>
      <c r="M2670" s="2" t="s">
        <v>13640</v>
      </c>
      <c r="N2670" s="2" t="s">
        <v>13641</v>
      </c>
      <c r="O2670" s="2" t="s">
        <v>13642</v>
      </c>
      <c r="P2670" s="2" t="s">
        <v>13643</v>
      </c>
    </row>
    <row r="2671" ht="15.75" customHeight="1">
      <c r="H2671" s="2" t="s">
        <v>13644</v>
      </c>
      <c r="I2671" s="2" t="s">
        <v>286</v>
      </c>
      <c r="J2671" s="2" t="s">
        <v>287</v>
      </c>
      <c r="K2671" s="2" t="s">
        <v>13645</v>
      </c>
      <c r="L2671" s="2" t="s">
        <v>13646</v>
      </c>
      <c r="M2671" s="2" t="s">
        <v>13647</v>
      </c>
      <c r="N2671" s="2" t="s">
        <v>13648</v>
      </c>
      <c r="O2671" s="2" t="s">
        <v>13649</v>
      </c>
      <c r="P2671" s="2" t="s">
        <v>13650</v>
      </c>
    </row>
    <row r="2672" ht="15.75" customHeight="1">
      <c r="H2672" s="2" t="s">
        <v>13651</v>
      </c>
      <c r="I2672" s="2" t="s">
        <v>294</v>
      </c>
      <c r="J2672" s="2" t="s">
        <v>295</v>
      </c>
      <c r="K2672" s="2" t="s">
        <v>13652</v>
      </c>
      <c r="L2672" s="2" t="s">
        <v>13498</v>
      </c>
      <c r="M2672" s="2" t="s">
        <v>13653</v>
      </c>
      <c r="N2672" s="2" t="s">
        <v>13654</v>
      </c>
      <c r="O2672" s="2" t="s">
        <v>13655</v>
      </c>
      <c r="P2672" s="2" t="s">
        <v>13656</v>
      </c>
    </row>
    <row r="2673" ht="15.75" customHeight="1">
      <c r="H2673" s="2" t="s">
        <v>13657</v>
      </c>
      <c r="I2673" s="2" t="s">
        <v>302</v>
      </c>
      <c r="J2673" s="2" t="s">
        <v>303</v>
      </c>
      <c r="K2673" s="2" t="s">
        <v>13658</v>
      </c>
      <c r="L2673" s="2" t="s">
        <v>13498</v>
      </c>
      <c r="M2673" s="2" t="s">
        <v>13659</v>
      </c>
      <c r="N2673" s="2" t="s">
        <v>13660</v>
      </c>
      <c r="O2673" s="2" t="s">
        <v>13661</v>
      </c>
      <c r="P2673" s="2" t="s">
        <v>13662</v>
      </c>
    </row>
    <row r="2674" ht="15.75" customHeight="1">
      <c r="H2674" s="2" t="s">
        <v>13663</v>
      </c>
      <c r="I2674" s="2" t="s">
        <v>5895</v>
      </c>
      <c r="J2674" s="2" t="s">
        <v>5896</v>
      </c>
      <c r="K2674" s="2" t="s">
        <v>13664</v>
      </c>
      <c r="L2674" s="2" t="s">
        <v>13498</v>
      </c>
      <c r="M2674" s="2" t="s">
        <v>13665</v>
      </c>
      <c r="N2674" s="2" t="s">
        <v>13666</v>
      </c>
      <c r="O2674" s="2" t="s">
        <v>13667</v>
      </c>
      <c r="P2674" s="2" t="s">
        <v>13668</v>
      </c>
    </row>
    <row r="2675" ht="15.75" customHeight="1">
      <c r="H2675" s="2" t="s">
        <v>13669</v>
      </c>
      <c r="I2675" s="2" t="s">
        <v>13670</v>
      </c>
      <c r="J2675" s="2" t="s">
        <v>13671</v>
      </c>
      <c r="K2675" s="2" t="s">
        <v>13672</v>
      </c>
      <c r="L2675" s="2" t="s">
        <v>13498</v>
      </c>
      <c r="M2675" s="2" t="s">
        <v>13673</v>
      </c>
      <c r="N2675" s="2" t="s">
        <v>13674</v>
      </c>
      <c r="O2675" s="2" t="s">
        <v>13675</v>
      </c>
      <c r="P2675" s="2" t="s">
        <v>13676</v>
      </c>
    </row>
    <row r="2676" ht="15.75" customHeight="1">
      <c r="H2676" s="2" t="s">
        <v>13677</v>
      </c>
      <c r="I2676" s="2" t="s">
        <v>13678</v>
      </c>
      <c r="J2676" s="2" t="s">
        <v>13679</v>
      </c>
      <c r="K2676" s="2" t="s">
        <v>13680</v>
      </c>
      <c r="L2676" s="2" t="s">
        <v>13498</v>
      </c>
      <c r="M2676" s="2" t="s">
        <v>13681</v>
      </c>
      <c r="N2676" s="2" t="s">
        <v>13682</v>
      </c>
      <c r="O2676" s="2" t="s">
        <v>13683</v>
      </c>
      <c r="P2676" s="2" t="s">
        <v>13684</v>
      </c>
    </row>
    <row r="2677" ht="15.75" customHeight="1">
      <c r="H2677" s="2" t="s">
        <v>13685</v>
      </c>
      <c r="I2677" s="2" t="s">
        <v>13686</v>
      </c>
      <c r="J2677" s="2" t="s">
        <v>13687</v>
      </c>
      <c r="K2677" s="2" t="s">
        <v>13688</v>
      </c>
      <c r="L2677" s="2" t="s">
        <v>13689</v>
      </c>
      <c r="M2677" s="2" t="s">
        <v>13690</v>
      </c>
      <c r="N2677" s="2" t="s">
        <v>13691</v>
      </c>
      <c r="O2677" s="2" t="s">
        <v>13692</v>
      </c>
      <c r="P2677" s="2" t="s">
        <v>13693</v>
      </c>
    </row>
    <row r="2678" ht="15.75" customHeight="1">
      <c r="H2678" s="2" t="s">
        <v>13694</v>
      </c>
      <c r="I2678" s="2" t="s">
        <v>310</v>
      </c>
      <c r="J2678" s="2" t="s">
        <v>311</v>
      </c>
      <c r="K2678" s="2" t="s">
        <v>13695</v>
      </c>
      <c r="L2678" s="2" t="s">
        <v>13696</v>
      </c>
      <c r="M2678" s="2" t="s">
        <v>13697</v>
      </c>
      <c r="N2678" s="2" t="s">
        <v>13698</v>
      </c>
      <c r="O2678" s="2" t="s">
        <v>13699</v>
      </c>
      <c r="P2678" s="2" t="s">
        <v>13700</v>
      </c>
    </row>
    <row r="2679" ht="15.75" customHeight="1">
      <c r="H2679" s="2" t="s">
        <v>13701</v>
      </c>
      <c r="I2679" s="2" t="s">
        <v>13702</v>
      </c>
      <c r="J2679" s="2" t="s">
        <v>13703</v>
      </c>
      <c r="K2679" s="2" t="s">
        <v>13704</v>
      </c>
      <c r="L2679" s="2" t="s">
        <v>13498</v>
      </c>
      <c r="M2679" s="2" t="s">
        <v>13705</v>
      </c>
      <c r="N2679" s="2" t="s">
        <v>13706</v>
      </c>
      <c r="O2679" s="2" t="s">
        <v>13707</v>
      </c>
      <c r="P2679" s="2" t="s">
        <v>13708</v>
      </c>
    </row>
    <row r="2680" ht="15.75" customHeight="1">
      <c r="H2680" s="2" t="s">
        <v>13709</v>
      </c>
      <c r="I2680" s="2" t="s">
        <v>2175</v>
      </c>
      <c r="J2680" s="2" t="s">
        <v>2176</v>
      </c>
      <c r="K2680" s="2" t="s">
        <v>13710</v>
      </c>
      <c r="L2680" s="2" t="s">
        <v>13498</v>
      </c>
      <c r="M2680" s="2" t="s">
        <v>13711</v>
      </c>
      <c r="N2680" s="2" t="s">
        <v>13712</v>
      </c>
      <c r="O2680" s="2" t="s">
        <v>13713</v>
      </c>
      <c r="P2680" s="2" t="s">
        <v>13714</v>
      </c>
    </row>
    <row r="2681" ht="15.75" customHeight="1">
      <c r="H2681" s="2" t="s">
        <v>13715</v>
      </c>
      <c r="I2681" s="2" t="s">
        <v>2195</v>
      </c>
      <c r="J2681" s="2" t="s">
        <v>2196</v>
      </c>
      <c r="K2681" s="2" t="s">
        <v>13716</v>
      </c>
      <c r="L2681" s="2" t="s">
        <v>13717</v>
      </c>
      <c r="M2681" s="2" t="s">
        <v>13718</v>
      </c>
      <c r="N2681" s="2" t="s">
        <v>13719</v>
      </c>
      <c r="O2681" s="2" t="s">
        <v>13720</v>
      </c>
      <c r="P2681" s="2" t="s">
        <v>13721</v>
      </c>
    </row>
    <row r="2682" ht="15.75" customHeight="1">
      <c r="H2682" s="2" t="s">
        <v>13722</v>
      </c>
      <c r="I2682" s="2" t="s">
        <v>326</v>
      </c>
      <c r="J2682" s="2" t="s">
        <v>327</v>
      </c>
      <c r="K2682" s="2" t="s">
        <v>13723</v>
      </c>
      <c r="L2682" s="2" t="s">
        <v>13724</v>
      </c>
      <c r="M2682" s="2" t="s">
        <v>13725</v>
      </c>
      <c r="N2682" s="2" t="s">
        <v>13726</v>
      </c>
      <c r="O2682" s="2" t="s">
        <v>13727</v>
      </c>
      <c r="P2682" s="2" t="s">
        <v>13728</v>
      </c>
    </row>
    <row r="2683" ht="15.75" customHeight="1">
      <c r="H2683" s="2" t="s">
        <v>13729</v>
      </c>
      <c r="I2683" s="2" t="s">
        <v>5436</v>
      </c>
      <c r="J2683" s="2" t="s">
        <v>5437</v>
      </c>
      <c r="K2683" s="2" t="s">
        <v>13730</v>
      </c>
      <c r="L2683" s="2" t="s">
        <v>13498</v>
      </c>
      <c r="M2683" s="2" t="s">
        <v>13731</v>
      </c>
      <c r="N2683" s="2" t="s">
        <v>13732</v>
      </c>
      <c r="O2683" s="2" t="s">
        <v>13733</v>
      </c>
      <c r="P2683" s="2" t="s">
        <v>13734</v>
      </c>
    </row>
    <row r="2684" ht="15.75" customHeight="1">
      <c r="H2684" s="2" t="s">
        <v>13735</v>
      </c>
      <c r="I2684" s="2" t="s">
        <v>335</v>
      </c>
      <c r="J2684" s="2" t="s">
        <v>336</v>
      </c>
      <c r="K2684" s="2" t="s">
        <v>13736</v>
      </c>
      <c r="L2684" s="2" t="s">
        <v>13498</v>
      </c>
      <c r="M2684" s="2" t="s">
        <v>13737</v>
      </c>
      <c r="N2684" s="2" t="s">
        <v>13738</v>
      </c>
      <c r="O2684" s="2" t="s">
        <v>13739</v>
      </c>
      <c r="P2684" s="2" t="s">
        <v>13740</v>
      </c>
    </row>
    <row r="2685" ht="15.75" customHeight="1">
      <c r="H2685" s="2" t="s">
        <v>13741</v>
      </c>
      <c r="I2685" s="2" t="s">
        <v>352</v>
      </c>
      <c r="J2685" s="2" t="s">
        <v>353</v>
      </c>
      <c r="K2685" s="2" t="s">
        <v>13742</v>
      </c>
      <c r="L2685" s="2" t="s">
        <v>13743</v>
      </c>
      <c r="M2685" s="2" t="s">
        <v>13744</v>
      </c>
      <c r="N2685" s="2" t="s">
        <v>13745</v>
      </c>
      <c r="O2685" s="2" t="s">
        <v>13746</v>
      </c>
      <c r="P2685" s="2" t="s">
        <v>13747</v>
      </c>
    </row>
    <row r="2686" ht="15.75" customHeight="1">
      <c r="H2686" s="2" t="s">
        <v>13748</v>
      </c>
      <c r="I2686" s="2" t="s">
        <v>376</v>
      </c>
      <c r="J2686" s="2" t="s">
        <v>377</v>
      </c>
      <c r="K2686" s="2" t="s">
        <v>13749</v>
      </c>
      <c r="L2686" s="2" t="s">
        <v>13498</v>
      </c>
      <c r="M2686" s="2" t="s">
        <v>13750</v>
      </c>
      <c r="N2686" s="2" t="s">
        <v>13751</v>
      </c>
      <c r="O2686" s="2" t="s">
        <v>13752</v>
      </c>
      <c r="P2686" s="2" t="s">
        <v>13753</v>
      </c>
    </row>
    <row r="2687" ht="15.75" customHeight="1">
      <c r="H2687" s="2" t="s">
        <v>13754</v>
      </c>
      <c r="I2687" s="2" t="s">
        <v>393</v>
      </c>
      <c r="J2687" s="2" t="s">
        <v>394</v>
      </c>
      <c r="K2687" s="2" t="s">
        <v>13755</v>
      </c>
      <c r="L2687" s="2" t="s">
        <v>13498</v>
      </c>
      <c r="M2687" s="2" t="s">
        <v>13756</v>
      </c>
      <c r="N2687" s="2" t="s">
        <v>13757</v>
      </c>
      <c r="O2687" s="2" t="s">
        <v>13758</v>
      </c>
      <c r="P2687" s="2" t="s">
        <v>13759</v>
      </c>
    </row>
    <row r="2688" ht="15.75" customHeight="1">
      <c r="H2688" s="2" t="s">
        <v>13760</v>
      </c>
      <c r="I2688" s="2" t="s">
        <v>415</v>
      </c>
      <c r="J2688" s="2" t="s">
        <v>416</v>
      </c>
      <c r="K2688" s="2" t="s">
        <v>13761</v>
      </c>
      <c r="L2688" s="2" t="s">
        <v>13762</v>
      </c>
      <c r="M2688" s="2" t="s">
        <v>13763</v>
      </c>
      <c r="N2688" s="2" t="s">
        <v>13764</v>
      </c>
      <c r="O2688" s="2" t="s">
        <v>13765</v>
      </c>
      <c r="P2688" s="2" t="s">
        <v>13766</v>
      </c>
    </row>
    <row r="2689" ht="15.75" customHeight="1">
      <c r="H2689" s="2" t="s">
        <v>13767</v>
      </c>
      <c r="I2689" s="2" t="s">
        <v>5459</v>
      </c>
      <c r="J2689" s="2" t="s">
        <v>5460</v>
      </c>
      <c r="K2689" s="2" t="s">
        <v>13768</v>
      </c>
      <c r="L2689" s="2" t="s">
        <v>13498</v>
      </c>
      <c r="M2689" s="2" t="s">
        <v>13769</v>
      </c>
      <c r="N2689" s="2" t="s">
        <v>13770</v>
      </c>
      <c r="O2689" s="2" t="s">
        <v>13771</v>
      </c>
      <c r="P2689" s="2" t="s">
        <v>13772</v>
      </c>
    </row>
    <row r="2690" ht="15.75" customHeight="1">
      <c r="H2690" s="2" t="s">
        <v>13773</v>
      </c>
      <c r="I2690" s="2" t="s">
        <v>13300</v>
      </c>
      <c r="J2690" s="2" t="s">
        <v>13301</v>
      </c>
      <c r="K2690" s="2" t="s">
        <v>13774</v>
      </c>
      <c r="L2690" s="2" t="s">
        <v>13775</v>
      </c>
      <c r="M2690" s="2" t="s">
        <v>13776</v>
      </c>
      <c r="N2690" s="2" t="s">
        <v>13777</v>
      </c>
      <c r="O2690" s="2" t="s">
        <v>13778</v>
      </c>
      <c r="P2690" s="2" t="s">
        <v>13779</v>
      </c>
    </row>
    <row r="2691" ht="15.75" customHeight="1">
      <c r="H2691" s="2" t="s">
        <v>13780</v>
      </c>
      <c r="I2691" s="2" t="s">
        <v>5481</v>
      </c>
      <c r="J2691" s="2" t="s">
        <v>5482</v>
      </c>
      <c r="K2691" s="2" t="s">
        <v>13781</v>
      </c>
      <c r="L2691" s="2" t="s">
        <v>13498</v>
      </c>
      <c r="M2691" s="2" t="s">
        <v>13782</v>
      </c>
      <c r="N2691" s="2" t="s">
        <v>13783</v>
      </c>
      <c r="O2691" s="2" t="s">
        <v>13784</v>
      </c>
      <c r="P2691" s="2" t="s">
        <v>13785</v>
      </c>
    </row>
    <row r="2692" ht="15.75" customHeight="1">
      <c r="H2692" s="2" t="s">
        <v>13786</v>
      </c>
      <c r="I2692" s="2" t="s">
        <v>2286</v>
      </c>
      <c r="J2692" s="2" t="s">
        <v>2287</v>
      </c>
      <c r="K2692" s="2" t="s">
        <v>13787</v>
      </c>
      <c r="L2692" s="2" t="s">
        <v>13498</v>
      </c>
      <c r="M2692" s="2" t="s">
        <v>13788</v>
      </c>
      <c r="N2692" s="2" t="s">
        <v>13789</v>
      </c>
      <c r="O2692" s="2" t="s">
        <v>13790</v>
      </c>
      <c r="P2692" s="2" t="s">
        <v>13791</v>
      </c>
    </row>
    <row r="2693" ht="15.75" customHeight="1">
      <c r="H2693" s="2" t="s">
        <v>13792</v>
      </c>
      <c r="I2693" s="2" t="s">
        <v>13793</v>
      </c>
      <c r="J2693" s="2" t="s">
        <v>13794</v>
      </c>
      <c r="K2693" s="2" t="s">
        <v>13795</v>
      </c>
    </row>
    <row r="2694" ht="15.75" customHeight="1">
      <c r="H2694" s="2" t="s">
        <v>13796</v>
      </c>
      <c r="I2694" s="2" t="s">
        <v>5487</v>
      </c>
      <c r="J2694" s="2" t="s">
        <v>5488</v>
      </c>
      <c r="K2694" s="2" t="s">
        <v>13797</v>
      </c>
      <c r="L2694" s="2" t="s">
        <v>13498</v>
      </c>
      <c r="M2694" s="2" t="s">
        <v>13798</v>
      </c>
      <c r="N2694" s="2" t="s">
        <v>13799</v>
      </c>
      <c r="O2694" s="2" t="s">
        <v>13800</v>
      </c>
      <c r="P2694" s="2" t="s">
        <v>13801</v>
      </c>
    </row>
    <row r="2695" ht="15.75" customHeight="1">
      <c r="H2695" s="2" t="s">
        <v>13802</v>
      </c>
      <c r="I2695" s="2" t="s">
        <v>432</v>
      </c>
      <c r="J2695" s="2" t="s">
        <v>433</v>
      </c>
      <c r="K2695" s="2" t="s">
        <v>13803</v>
      </c>
      <c r="L2695" s="2" t="s">
        <v>13498</v>
      </c>
      <c r="M2695" s="2" t="s">
        <v>13804</v>
      </c>
      <c r="N2695" s="2" t="s">
        <v>13805</v>
      </c>
      <c r="O2695" s="2" t="s">
        <v>13806</v>
      </c>
      <c r="P2695" s="2" t="s">
        <v>13807</v>
      </c>
    </row>
    <row r="2696" ht="15.75" customHeight="1">
      <c r="H2696" s="2" t="s">
        <v>13808</v>
      </c>
      <c r="I2696" s="2" t="s">
        <v>440</v>
      </c>
      <c r="J2696" s="2" t="s">
        <v>441</v>
      </c>
      <c r="K2696" s="2" t="s">
        <v>13809</v>
      </c>
      <c r="L2696" s="2" t="s">
        <v>13810</v>
      </c>
      <c r="M2696" s="2" t="s">
        <v>13811</v>
      </c>
      <c r="N2696" s="2" t="s">
        <v>13812</v>
      </c>
      <c r="O2696" s="2" t="s">
        <v>13813</v>
      </c>
      <c r="P2696" s="2" t="s">
        <v>13814</v>
      </c>
    </row>
    <row r="2697" ht="15.75" customHeight="1">
      <c r="H2697" s="2" t="s">
        <v>13815</v>
      </c>
      <c r="I2697" s="2" t="s">
        <v>2341</v>
      </c>
      <c r="J2697" s="2" t="s">
        <v>2342</v>
      </c>
      <c r="K2697" s="2" t="s">
        <v>13816</v>
      </c>
      <c r="L2697" s="2" t="s">
        <v>13817</v>
      </c>
      <c r="M2697" s="2" t="s">
        <v>13818</v>
      </c>
      <c r="N2697" s="2" t="s">
        <v>13819</v>
      </c>
      <c r="O2697" s="2" t="s">
        <v>13820</v>
      </c>
      <c r="P2697" s="2" t="s">
        <v>13821</v>
      </c>
    </row>
    <row r="2698" ht="15.75" customHeight="1">
      <c r="H2698" s="2" t="s">
        <v>13822</v>
      </c>
      <c r="I2698" s="2" t="s">
        <v>13823</v>
      </c>
      <c r="J2698" s="2" t="s">
        <v>13824</v>
      </c>
      <c r="K2698" s="2" t="s">
        <v>13825</v>
      </c>
      <c r="L2698" s="2" t="s">
        <v>13498</v>
      </c>
      <c r="M2698" s="2" t="s">
        <v>13826</v>
      </c>
      <c r="N2698" s="2" t="s">
        <v>13827</v>
      </c>
      <c r="O2698" s="2" t="s">
        <v>13828</v>
      </c>
      <c r="P2698" s="2" t="s">
        <v>13829</v>
      </c>
    </row>
    <row r="2699" ht="15.75" customHeight="1">
      <c r="H2699" s="2" t="s">
        <v>13830</v>
      </c>
      <c r="I2699" s="2" t="s">
        <v>2352</v>
      </c>
      <c r="J2699" s="2" t="s">
        <v>2353</v>
      </c>
      <c r="K2699" s="2" t="s">
        <v>13831</v>
      </c>
      <c r="L2699" s="2" t="s">
        <v>13498</v>
      </c>
      <c r="M2699" s="2" t="s">
        <v>13832</v>
      </c>
      <c r="N2699" s="2" t="s">
        <v>13833</v>
      </c>
      <c r="O2699" s="2" t="s">
        <v>13834</v>
      </c>
      <c r="P2699" s="2" t="s">
        <v>13835</v>
      </c>
    </row>
    <row r="2700" ht="15.75" customHeight="1">
      <c r="H2700" s="2" t="s">
        <v>13836</v>
      </c>
      <c r="I2700" s="2" t="s">
        <v>5541</v>
      </c>
      <c r="J2700" s="2" t="s">
        <v>5542</v>
      </c>
      <c r="K2700" s="2" t="s">
        <v>13837</v>
      </c>
      <c r="L2700" s="2" t="s">
        <v>13498</v>
      </c>
      <c r="M2700" s="2" t="s">
        <v>13838</v>
      </c>
      <c r="N2700" s="2" t="s">
        <v>13839</v>
      </c>
      <c r="O2700" s="2" t="s">
        <v>13840</v>
      </c>
      <c r="P2700" s="2" t="s">
        <v>13841</v>
      </c>
    </row>
    <row r="2701" ht="15.75" customHeight="1">
      <c r="H2701" s="2" t="s">
        <v>13842</v>
      </c>
      <c r="I2701" s="2" t="s">
        <v>2406</v>
      </c>
      <c r="J2701" s="2" t="s">
        <v>2407</v>
      </c>
      <c r="K2701" s="2" t="s">
        <v>13843</v>
      </c>
      <c r="L2701" s="2" t="s">
        <v>13498</v>
      </c>
      <c r="M2701" s="2" t="s">
        <v>13844</v>
      </c>
      <c r="N2701" s="2" t="s">
        <v>13845</v>
      </c>
      <c r="O2701" s="2" t="s">
        <v>13846</v>
      </c>
      <c r="P2701" s="2" t="s">
        <v>13847</v>
      </c>
    </row>
    <row r="2702" ht="15.75" customHeight="1">
      <c r="H2702" s="2" t="s">
        <v>13848</v>
      </c>
      <c r="I2702" s="2" t="s">
        <v>13849</v>
      </c>
      <c r="J2702" s="2" t="s">
        <v>13850</v>
      </c>
      <c r="K2702" s="2" t="s">
        <v>13851</v>
      </c>
      <c r="L2702" s="2" t="s">
        <v>13498</v>
      </c>
      <c r="M2702" s="2" t="s">
        <v>13852</v>
      </c>
      <c r="N2702" s="2" t="s">
        <v>13853</v>
      </c>
      <c r="O2702" s="2" t="s">
        <v>13854</v>
      </c>
      <c r="P2702" s="2" t="s">
        <v>13855</v>
      </c>
    </row>
    <row r="2703" ht="15.75" customHeight="1">
      <c r="H2703" s="2" t="s">
        <v>13856</v>
      </c>
      <c r="I2703" s="2" t="s">
        <v>5550</v>
      </c>
      <c r="J2703" s="2" t="s">
        <v>5551</v>
      </c>
      <c r="K2703" s="2" t="s">
        <v>13857</v>
      </c>
      <c r="L2703" s="2" t="s">
        <v>13498</v>
      </c>
      <c r="M2703" s="2" t="s">
        <v>13858</v>
      </c>
      <c r="N2703" s="2" t="s">
        <v>13859</v>
      </c>
      <c r="O2703" s="2" t="s">
        <v>13860</v>
      </c>
      <c r="P2703" s="2" t="s">
        <v>13861</v>
      </c>
    </row>
    <row r="2704" ht="15.75" customHeight="1">
      <c r="H2704" s="2" t="s">
        <v>13862</v>
      </c>
      <c r="I2704" s="2" t="s">
        <v>2421</v>
      </c>
      <c r="J2704" s="2" t="s">
        <v>2422</v>
      </c>
      <c r="K2704" s="2" t="s">
        <v>13863</v>
      </c>
      <c r="L2704" s="2" t="s">
        <v>13498</v>
      </c>
      <c r="M2704" s="2" t="s">
        <v>13864</v>
      </c>
      <c r="N2704" s="2" t="s">
        <v>13865</v>
      </c>
      <c r="O2704" s="2" t="s">
        <v>13866</v>
      </c>
      <c r="P2704" s="2" t="s">
        <v>13867</v>
      </c>
    </row>
    <row r="2705" ht="15.75" customHeight="1">
      <c r="H2705" s="2" t="s">
        <v>13868</v>
      </c>
      <c r="I2705" s="2" t="s">
        <v>13333</v>
      </c>
      <c r="J2705" s="2" t="s">
        <v>13334</v>
      </c>
      <c r="K2705" s="2" t="s">
        <v>13869</v>
      </c>
      <c r="L2705" s="2" t="s">
        <v>13498</v>
      </c>
      <c r="M2705" s="2" t="s">
        <v>13870</v>
      </c>
      <c r="N2705" s="2" t="s">
        <v>13871</v>
      </c>
      <c r="O2705" s="2" t="s">
        <v>13872</v>
      </c>
      <c r="P2705" s="2" t="s">
        <v>13873</v>
      </c>
    </row>
    <row r="2706" ht="15.75" customHeight="1">
      <c r="H2706" s="2" t="s">
        <v>13874</v>
      </c>
      <c r="I2706" s="2" t="s">
        <v>2435</v>
      </c>
      <c r="J2706" s="2" t="s">
        <v>2436</v>
      </c>
      <c r="K2706" s="2" t="s">
        <v>13875</v>
      </c>
      <c r="L2706" s="2" t="s">
        <v>13498</v>
      </c>
      <c r="M2706" s="2" t="s">
        <v>13876</v>
      </c>
      <c r="N2706" s="2" t="s">
        <v>13877</v>
      </c>
      <c r="O2706" s="2" t="s">
        <v>13878</v>
      </c>
      <c r="P2706" s="2" t="s">
        <v>13879</v>
      </c>
    </row>
    <row r="2707" ht="15.75" customHeight="1">
      <c r="H2707" s="2" t="s">
        <v>13880</v>
      </c>
      <c r="I2707" s="2" t="s">
        <v>13881</v>
      </c>
      <c r="J2707" s="2" t="s">
        <v>13882</v>
      </c>
      <c r="K2707" s="2" t="s">
        <v>13883</v>
      </c>
      <c r="L2707" s="2" t="s">
        <v>13498</v>
      </c>
      <c r="M2707" s="2" t="s">
        <v>13884</v>
      </c>
      <c r="N2707" s="2" t="s">
        <v>13885</v>
      </c>
      <c r="O2707" s="2" t="s">
        <v>13886</v>
      </c>
      <c r="P2707" s="2" t="s">
        <v>13887</v>
      </c>
    </row>
    <row r="2708" ht="15.75" customHeight="1">
      <c r="H2708" s="2" t="s">
        <v>13888</v>
      </c>
      <c r="I2708" s="2" t="s">
        <v>2477</v>
      </c>
      <c r="J2708" s="2" t="s">
        <v>2478</v>
      </c>
      <c r="K2708" s="2" t="s">
        <v>13889</v>
      </c>
      <c r="L2708" s="2" t="s">
        <v>13498</v>
      </c>
      <c r="M2708" s="2" t="s">
        <v>13890</v>
      </c>
      <c r="N2708" s="2" t="s">
        <v>13891</v>
      </c>
      <c r="O2708" s="2" t="s">
        <v>13892</v>
      </c>
      <c r="P2708" s="2" t="s">
        <v>13893</v>
      </c>
    </row>
    <row r="2709" ht="15.75" customHeight="1">
      <c r="H2709" s="2" t="s">
        <v>13894</v>
      </c>
      <c r="I2709" s="2" t="s">
        <v>526</v>
      </c>
      <c r="J2709" s="2" t="s">
        <v>527</v>
      </c>
      <c r="K2709" s="2" t="s">
        <v>13895</v>
      </c>
      <c r="L2709" s="2" t="s">
        <v>13896</v>
      </c>
      <c r="M2709" s="2" t="s">
        <v>13897</v>
      </c>
      <c r="N2709" s="2" t="s">
        <v>13898</v>
      </c>
      <c r="O2709" s="2" t="s">
        <v>13899</v>
      </c>
      <c r="P2709" s="2" t="s">
        <v>13900</v>
      </c>
    </row>
    <row r="2710" ht="15.75" customHeight="1">
      <c r="H2710" s="2" t="s">
        <v>13901</v>
      </c>
      <c r="I2710" s="2" t="s">
        <v>13902</v>
      </c>
      <c r="J2710" s="2" t="s">
        <v>13903</v>
      </c>
      <c r="K2710" s="2" t="s">
        <v>13904</v>
      </c>
      <c r="L2710" s="2" t="s">
        <v>13498</v>
      </c>
      <c r="M2710" s="2" t="s">
        <v>13905</v>
      </c>
      <c r="N2710" s="2" t="s">
        <v>13906</v>
      </c>
      <c r="O2710" s="2" t="s">
        <v>13907</v>
      </c>
      <c r="P2710" s="2" t="s">
        <v>13908</v>
      </c>
    </row>
    <row r="2711" ht="15.75" customHeight="1">
      <c r="H2711" s="2" t="s">
        <v>13909</v>
      </c>
      <c r="I2711" s="2" t="s">
        <v>13910</v>
      </c>
      <c r="J2711" s="2" t="s">
        <v>13911</v>
      </c>
      <c r="K2711" s="2" t="s">
        <v>13912</v>
      </c>
      <c r="L2711" s="2" t="s">
        <v>13498</v>
      </c>
      <c r="M2711" s="2" t="s">
        <v>13913</v>
      </c>
      <c r="N2711" s="2" t="s">
        <v>13914</v>
      </c>
      <c r="O2711" s="2" t="s">
        <v>13915</v>
      </c>
      <c r="P2711" s="2" t="s">
        <v>13916</v>
      </c>
    </row>
    <row r="2712" ht="15.75" customHeight="1">
      <c r="H2712" s="2" t="s">
        <v>13917</v>
      </c>
      <c r="I2712" s="2" t="s">
        <v>13918</v>
      </c>
      <c r="J2712" s="2" t="s">
        <v>13919</v>
      </c>
      <c r="K2712" s="2" t="s">
        <v>13920</v>
      </c>
      <c r="L2712" s="2" t="s">
        <v>13498</v>
      </c>
      <c r="M2712" s="2" t="s">
        <v>13921</v>
      </c>
      <c r="N2712" s="2" t="s">
        <v>13922</v>
      </c>
      <c r="O2712" s="2" t="s">
        <v>13923</v>
      </c>
      <c r="P2712" s="2" t="s">
        <v>13924</v>
      </c>
    </row>
    <row r="2713" ht="15.75" customHeight="1">
      <c r="F2713" s="2" t="s">
        <v>534</v>
      </c>
      <c r="H2713" s="2" t="s">
        <v>13925</v>
      </c>
      <c r="I2713" s="2" t="s">
        <v>536</v>
      </c>
      <c r="J2713" s="2" t="s">
        <v>537</v>
      </c>
      <c r="K2713" s="2" t="s">
        <v>538</v>
      </c>
    </row>
    <row r="2714" ht="15.75" customHeight="1">
      <c r="F2714" s="2" t="s">
        <v>539</v>
      </c>
      <c r="H2714" s="2" t="s">
        <v>13926</v>
      </c>
      <c r="I2714" s="2" t="s">
        <v>541</v>
      </c>
      <c r="J2714" s="2" t="s">
        <v>542</v>
      </c>
      <c r="K2714" s="2" t="s">
        <v>13927</v>
      </c>
      <c r="L2714" s="2" t="s">
        <v>13498</v>
      </c>
      <c r="M2714" s="2" t="s">
        <v>13928</v>
      </c>
      <c r="N2714" s="2" t="s">
        <v>13929</v>
      </c>
      <c r="O2714" s="2" t="s">
        <v>13930</v>
      </c>
      <c r="P2714" s="2" t="s">
        <v>13931</v>
      </c>
    </row>
    <row r="2715" ht="15.75" customHeight="1">
      <c r="F2715" s="2" t="s">
        <v>2597</v>
      </c>
      <c r="H2715" s="2" t="s">
        <v>13932</v>
      </c>
      <c r="I2715" s="2" t="s">
        <v>2624</v>
      </c>
      <c r="J2715" s="2" t="s">
        <v>2625</v>
      </c>
      <c r="K2715" s="2" t="s">
        <v>13933</v>
      </c>
      <c r="L2715" s="2" t="s">
        <v>13498</v>
      </c>
      <c r="M2715" s="2" t="s">
        <v>13934</v>
      </c>
      <c r="N2715" s="2" t="s">
        <v>13935</v>
      </c>
      <c r="O2715" s="2" t="s">
        <v>13936</v>
      </c>
      <c r="P2715" s="2" t="s">
        <v>13937</v>
      </c>
    </row>
    <row r="2716" ht="15.75" customHeight="1">
      <c r="F2716" s="2" t="s">
        <v>548</v>
      </c>
      <c r="H2716" s="2" t="s">
        <v>13938</v>
      </c>
      <c r="I2716" s="2" t="s">
        <v>8036</v>
      </c>
      <c r="J2716" s="2" t="s">
        <v>8037</v>
      </c>
      <c r="K2716" s="2" t="s">
        <v>13939</v>
      </c>
      <c r="L2716" s="2" t="s">
        <v>13498</v>
      </c>
      <c r="M2716" s="2" t="s">
        <v>13940</v>
      </c>
      <c r="N2716" s="2" t="s">
        <v>13941</v>
      </c>
      <c r="O2716" s="2" t="s">
        <v>13942</v>
      </c>
      <c r="P2716" s="2" t="s">
        <v>13943</v>
      </c>
    </row>
    <row r="2717" ht="15.75" customHeight="1">
      <c r="H2717" s="2" t="s">
        <v>13944</v>
      </c>
      <c r="I2717" s="2" t="s">
        <v>550</v>
      </c>
      <c r="J2717" s="2" t="s">
        <v>551</v>
      </c>
      <c r="K2717" s="2" t="s">
        <v>13945</v>
      </c>
      <c r="L2717" s="2" t="s">
        <v>13498</v>
      </c>
      <c r="M2717" s="2" t="s">
        <v>13946</v>
      </c>
      <c r="N2717" s="2" t="s">
        <v>13947</v>
      </c>
      <c r="O2717" s="2" t="s">
        <v>13948</v>
      </c>
      <c r="P2717" s="2" t="s">
        <v>13949</v>
      </c>
    </row>
    <row r="2718" ht="15.75" customHeight="1">
      <c r="H2718" s="2" t="s">
        <v>13950</v>
      </c>
      <c r="I2718" s="2" t="s">
        <v>2681</v>
      </c>
      <c r="J2718" s="2" t="s">
        <v>2682</v>
      </c>
      <c r="K2718" s="2" t="s">
        <v>13951</v>
      </c>
      <c r="L2718" s="2" t="s">
        <v>13498</v>
      </c>
      <c r="M2718" s="2" t="s">
        <v>13952</v>
      </c>
      <c r="N2718" s="2" t="s">
        <v>13953</v>
      </c>
      <c r="O2718" s="2" t="s">
        <v>13954</v>
      </c>
      <c r="P2718" s="2" t="s">
        <v>13955</v>
      </c>
    </row>
    <row r="2719" ht="15.75" customHeight="1">
      <c r="F2719" s="2" t="s">
        <v>2693</v>
      </c>
      <c r="H2719" s="2" t="s">
        <v>13956</v>
      </c>
      <c r="I2719" s="2" t="s">
        <v>11431</v>
      </c>
      <c r="J2719" s="2" t="s">
        <v>11432</v>
      </c>
      <c r="K2719" s="2" t="s">
        <v>13957</v>
      </c>
      <c r="L2719" s="2" t="s">
        <v>13498</v>
      </c>
      <c r="M2719" s="2" t="s">
        <v>13958</v>
      </c>
      <c r="N2719" s="2" t="s">
        <v>13959</v>
      </c>
      <c r="O2719" s="2" t="s">
        <v>13960</v>
      </c>
      <c r="P2719" s="2" t="s">
        <v>13961</v>
      </c>
    </row>
    <row r="2720" ht="15.75" customHeight="1">
      <c r="F2720" s="2" t="s">
        <v>556</v>
      </c>
      <c r="H2720" s="2" t="s">
        <v>13962</v>
      </c>
      <c r="I2720" s="2" t="s">
        <v>558</v>
      </c>
      <c r="J2720" s="2" t="s">
        <v>559</v>
      </c>
      <c r="K2720" s="2" t="s">
        <v>13963</v>
      </c>
      <c r="L2720" s="2" t="s">
        <v>13498</v>
      </c>
      <c r="M2720" s="2" t="s">
        <v>13964</v>
      </c>
      <c r="N2720" s="2" t="s">
        <v>13965</v>
      </c>
      <c r="O2720" s="2" t="s">
        <v>13966</v>
      </c>
      <c r="P2720" s="2" t="s">
        <v>13967</v>
      </c>
    </row>
    <row r="2721" ht="15.75" customHeight="1">
      <c r="H2721" s="2" t="s">
        <v>13968</v>
      </c>
      <c r="I2721" s="2" t="s">
        <v>2769</v>
      </c>
      <c r="J2721" s="2" t="s">
        <v>2770</v>
      </c>
      <c r="K2721" s="2" t="s">
        <v>13969</v>
      </c>
      <c r="L2721" s="2" t="s">
        <v>13498</v>
      </c>
      <c r="M2721" s="2" t="s">
        <v>13970</v>
      </c>
      <c r="N2721" s="2" t="s">
        <v>13971</v>
      </c>
      <c r="O2721" s="2" t="s">
        <v>13972</v>
      </c>
      <c r="P2721" s="2" t="s">
        <v>13973</v>
      </c>
    </row>
    <row r="2722" ht="15.75" customHeight="1">
      <c r="H2722" s="2" t="s">
        <v>13974</v>
      </c>
      <c r="I2722" s="2" t="s">
        <v>12028</v>
      </c>
      <c r="J2722" s="2" t="s">
        <v>12029</v>
      </c>
      <c r="K2722" s="2" t="s">
        <v>996</v>
      </c>
    </row>
    <row r="2723" ht="15.75" customHeight="1">
      <c r="H2723" s="2" t="s">
        <v>13975</v>
      </c>
      <c r="I2723" s="2" t="s">
        <v>2793</v>
      </c>
      <c r="J2723" s="2" t="s">
        <v>2794</v>
      </c>
      <c r="K2723" s="2" t="s">
        <v>13976</v>
      </c>
      <c r="L2723" s="2" t="s">
        <v>13498</v>
      </c>
      <c r="M2723" s="2" t="s">
        <v>13977</v>
      </c>
      <c r="N2723" s="2" t="s">
        <v>13978</v>
      </c>
      <c r="O2723" s="2" t="s">
        <v>13979</v>
      </c>
      <c r="P2723" s="2" t="s">
        <v>13980</v>
      </c>
    </row>
    <row r="2724" ht="15.75" customHeight="1">
      <c r="H2724" s="2" t="s">
        <v>13981</v>
      </c>
      <c r="I2724" s="2" t="s">
        <v>8166</v>
      </c>
      <c r="J2724" s="2" t="s">
        <v>8167</v>
      </c>
      <c r="K2724" s="2" t="s">
        <v>13982</v>
      </c>
      <c r="L2724" s="2" t="s">
        <v>13498</v>
      </c>
      <c r="M2724" s="2" t="s">
        <v>13983</v>
      </c>
      <c r="N2724" s="2" t="s">
        <v>13984</v>
      </c>
      <c r="O2724" s="2" t="s">
        <v>13985</v>
      </c>
      <c r="P2724" s="2" t="s">
        <v>13986</v>
      </c>
    </row>
    <row r="2725" ht="15.75" customHeight="1">
      <c r="H2725" s="2" t="s">
        <v>13987</v>
      </c>
      <c r="I2725" s="2" t="s">
        <v>12033</v>
      </c>
      <c r="J2725" s="2" t="s">
        <v>12034</v>
      </c>
      <c r="K2725" s="2" t="s">
        <v>13988</v>
      </c>
      <c r="L2725" s="2" t="s">
        <v>13498</v>
      </c>
      <c r="M2725" s="2" t="s">
        <v>13989</v>
      </c>
      <c r="N2725" s="2" t="s">
        <v>13990</v>
      </c>
      <c r="O2725" s="2" t="s">
        <v>13991</v>
      </c>
      <c r="P2725" s="2" t="s">
        <v>13992</v>
      </c>
    </row>
    <row r="2726" ht="15.75" customHeight="1">
      <c r="H2726" s="2" t="s">
        <v>13993</v>
      </c>
      <c r="I2726" s="2" t="s">
        <v>13994</v>
      </c>
      <c r="J2726" s="2" t="s">
        <v>13995</v>
      </c>
      <c r="K2726" s="2" t="s">
        <v>13996</v>
      </c>
      <c r="L2726" s="2" t="s">
        <v>13498</v>
      </c>
      <c r="M2726" s="2" t="s">
        <v>13997</v>
      </c>
      <c r="N2726" s="2" t="s">
        <v>13998</v>
      </c>
      <c r="O2726" s="2" t="s">
        <v>13999</v>
      </c>
      <c r="P2726" s="2" t="s">
        <v>14000</v>
      </c>
    </row>
    <row r="2727" ht="15.75" customHeight="1">
      <c r="H2727" s="2" t="s">
        <v>14001</v>
      </c>
      <c r="I2727" s="2" t="s">
        <v>14002</v>
      </c>
      <c r="J2727" s="2" t="s">
        <v>14003</v>
      </c>
      <c r="K2727" s="2" t="s">
        <v>14004</v>
      </c>
      <c r="L2727" s="2" t="s">
        <v>13498</v>
      </c>
      <c r="M2727" s="2" t="s">
        <v>14005</v>
      </c>
      <c r="N2727" s="2" t="s">
        <v>14006</v>
      </c>
      <c r="O2727" s="2" t="s">
        <v>14007</v>
      </c>
      <c r="P2727" s="2" t="s">
        <v>14008</v>
      </c>
    </row>
    <row r="2728" ht="15.75" customHeight="1">
      <c r="H2728" s="2" t="s">
        <v>14009</v>
      </c>
      <c r="I2728" s="2" t="s">
        <v>574</v>
      </c>
      <c r="J2728" s="2" t="s">
        <v>575</v>
      </c>
      <c r="K2728" s="2" t="s">
        <v>14010</v>
      </c>
      <c r="L2728" s="2" t="s">
        <v>13498</v>
      </c>
      <c r="M2728" s="2" t="s">
        <v>14011</v>
      </c>
      <c r="N2728" s="2" t="s">
        <v>14012</v>
      </c>
      <c r="O2728" s="2" t="s">
        <v>14013</v>
      </c>
      <c r="P2728" s="2" t="s">
        <v>14014</v>
      </c>
    </row>
    <row r="2729" ht="15.75" customHeight="1">
      <c r="F2729" s="2" t="s">
        <v>581</v>
      </c>
      <c r="H2729" s="2" t="s">
        <v>14015</v>
      </c>
      <c r="I2729" s="2" t="s">
        <v>583</v>
      </c>
      <c r="J2729" s="2" t="s">
        <v>584</v>
      </c>
      <c r="K2729" s="2" t="s">
        <v>14016</v>
      </c>
      <c r="L2729" s="2" t="s">
        <v>13498</v>
      </c>
      <c r="M2729" s="2" t="s">
        <v>14017</v>
      </c>
      <c r="N2729" s="2" t="s">
        <v>14018</v>
      </c>
      <c r="O2729" s="2" t="s">
        <v>14019</v>
      </c>
      <c r="P2729" s="2" t="s">
        <v>14020</v>
      </c>
    </row>
    <row r="2730" ht="15.75" customHeight="1">
      <c r="F2730" s="2" t="s">
        <v>598</v>
      </c>
      <c r="H2730" s="2" t="s">
        <v>14021</v>
      </c>
      <c r="I2730" s="2" t="s">
        <v>608</v>
      </c>
      <c r="J2730" s="2" t="s">
        <v>609</v>
      </c>
      <c r="K2730" s="2" t="s">
        <v>14022</v>
      </c>
      <c r="L2730" s="2" t="s">
        <v>13498</v>
      </c>
      <c r="M2730" s="2" t="s">
        <v>14023</v>
      </c>
      <c r="N2730" s="2" t="s">
        <v>14024</v>
      </c>
      <c r="O2730" s="2" t="s">
        <v>14025</v>
      </c>
      <c r="P2730" s="2" t="s">
        <v>14026</v>
      </c>
    </row>
    <row r="2731" ht="15.75" customHeight="1">
      <c r="F2731" s="2" t="s">
        <v>624</v>
      </c>
      <c r="H2731" s="2" t="s">
        <v>14027</v>
      </c>
      <c r="I2731" s="2" t="s">
        <v>626</v>
      </c>
      <c r="J2731" s="2" t="s">
        <v>627</v>
      </c>
      <c r="K2731" s="2" t="s">
        <v>14028</v>
      </c>
      <c r="L2731" s="2" t="s">
        <v>13498</v>
      </c>
      <c r="M2731" s="2" t="s">
        <v>14029</v>
      </c>
      <c r="N2731" s="2" t="s">
        <v>14030</v>
      </c>
      <c r="O2731" s="2" t="s">
        <v>14031</v>
      </c>
      <c r="P2731" s="2" t="s">
        <v>14032</v>
      </c>
    </row>
    <row r="2732" ht="15.75" customHeight="1">
      <c r="F2732" s="2" t="s">
        <v>634</v>
      </c>
      <c r="H2732" s="2" t="s">
        <v>14033</v>
      </c>
      <c r="I2732" s="2" t="s">
        <v>644</v>
      </c>
      <c r="J2732" s="2" t="s">
        <v>645</v>
      </c>
      <c r="K2732" s="2" t="s">
        <v>14034</v>
      </c>
      <c r="L2732" s="2" t="s">
        <v>13498</v>
      </c>
      <c r="M2732" s="2" t="s">
        <v>14035</v>
      </c>
      <c r="N2732" s="2" t="s">
        <v>14036</v>
      </c>
      <c r="O2732" s="2" t="s">
        <v>14037</v>
      </c>
      <c r="P2732" s="2" t="s">
        <v>14038</v>
      </c>
    </row>
    <row r="2733" ht="15.75" customHeight="1">
      <c r="H2733" s="2" t="s">
        <v>14039</v>
      </c>
      <c r="I2733" s="2" t="s">
        <v>3357</v>
      </c>
      <c r="J2733" s="2" t="s">
        <v>3358</v>
      </c>
      <c r="K2733" s="2" t="s">
        <v>14040</v>
      </c>
      <c r="L2733" s="2" t="s">
        <v>13498</v>
      </c>
      <c r="M2733" s="2" t="s">
        <v>14041</v>
      </c>
      <c r="N2733" s="2" t="s">
        <v>14042</v>
      </c>
      <c r="O2733" s="2" t="s">
        <v>14043</v>
      </c>
      <c r="P2733" s="2" t="s">
        <v>14044</v>
      </c>
    </row>
    <row r="2734" ht="15.75" customHeight="1">
      <c r="F2734" s="2" t="s">
        <v>651</v>
      </c>
      <c r="H2734" s="2" t="s">
        <v>14045</v>
      </c>
      <c r="I2734" s="2" t="s">
        <v>653</v>
      </c>
      <c r="J2734" s="2" t="s">
        <v>654</v>
      </c>
      <c r="K2734" s="2" t="s">
        <v>14046</v>
      </c>
      <c r="L2734" s="2" t="s">
        <v>13498</v>
      </c>
      <c r="M2734" s="2" t="s">
        <v>14047</v>
      </c>
      <c r="N2734" s="2" t="s">
        <v>14048</v>
      </c>
      <c r="O2734" s="2" t="s">
        <v>14049</v>
      </c>
      <c r="P2734" s="2" t="s">
        <v>14050</v>
      </c>
    </row>
    <row r="2735" ht="15.75" customHeight="1">
      <c r="F2735" s="2" t="s">
        <v>3577</v>
      </c>
      <c r="H2735" s="2" t="s">
        <v>14051</v>
      </c>
      <c r="I2735" s="2" t="s">
        <v>3593</v>
      </c>
      <c r="J2735" s="2" t="s">
        <v>3594</v>
      </c>
      <c r="K2735" s="2" t="s">
        <v>14052</v>
      </c>
      <c r="L2735" s="2" t="s">
        <v>13498</v>
      </c>
      <c r="M2735" s="2" t="s">
        <v>14053</v>
      </c>
      <c r="N2735" s="2" t="s">
        <v>14054</v>
      </c>
      <c r="O2735" s="2" t="s">
        <v>14055</v>
      </c>
      <c r="P2735" s="2" t="s">
        <v>14056</v>
      </c>
    </row>
    <row r="2736" ht="15.75" customHeight="1">
      <c r="F2736" s="2" t="s">
        <v>3629</v>
      </c>
      <c r="H2736" s="2" t="s">
        <v>14057</v>
      </c>
      <c r="I2736" s="2" t="s">
        <v>3661</v>
      </c>
      <c r="J2736" s="2" t="s">
        <v>3662</v>
      </c>
      <c r="K2736" s="2" t="s">
        <v>14058</v>
      </c>
      <c r="L2736" s="2" t="s">
        <v>13498</v>
      </c>
      <c r="M2736" s="2" t="s">
        <v>14059</v>
      </c>
      <c r="N2736" s="2" t="s">
        <v>14060</v>
      </c>
      <c r="O2736" s="2" t="s">
        <v>14061</v>
      </c>
      <c r="P2736" s="2" t="s">
        <v>14062</v>
      </c>
    </row>
    <row r="2737" ht="15.75" customHeight="1">
      <c r="F2737" s="2" t="s">
        <v>660</v>
      </c>
      <c r="H2737" s="2" t="s">
        <v>14063</v>
      </c>
      <c r="I2737" s="2" t="s">
        <v>9751</v>
      </c>
      <c r="J2737" s="2" t="s">
        <v>9752</v>
      </c>
      <c r="K2737" s="2" t="s">
        <v>14064</v>
      </c>
      <c r="L2737" s="2" t="s">
        <v>13498</v>
      </c>
      <c r="M2737" s="2" t="s">
        <v>14065</v>
      </c>
      <c r="N2737" s="2" t="s">
        <v>14066</v>
      </c>
      <c r="O2737" s="2" t="s">
        <v>14067</v>
      </c>
      <c r="P2737" s="2" t="s">
        <v>14068</v>
      </c>
    </row>
    <row r="2738" ht="15.75" customHeight="1">
      <c r="H2738" s="2" t="s">
        <v>14069</v>
      </c>
      <c r="I2738" s="2" t="s">
        <v>662</v>
      </c>
      <c r="J2738" s="2" t="s">
        <v>663</v>
      </c>
      <c r="K2738" s="2" t="s">
        <v>14070</v>
      </c>
      <c r="L2738" s="2" t="s">
        <v>13498</v>
      </c>
      <c r="M2738" s="2" t="s">
        <v>14071</v>
      </c>
      <c r="N2738" s="2" t="s">
        <v>14072</v>
      </c>
      <c r="O2738" s="2" t="s">
        <v>14073</v>
      </c>
      <c r="P2738" s="2" t="s">
        <v>14074</v>
      </c>
    </row>
    <row r="2739" ht="15.75" customHeight="1">
      <c r="H2739" s="2" t="s">
        <v>14075</v>
      </c>
      <c r="I2739" s="2" t="s">
        <v>670</v>
      </c>
      <c r="J2739" s="2" t="s">
        <v>671</v>
      </c>
      <c r="K2739" s="2" t="s">
        <v>14076</v>
      </c>
      <c r="L2739" s="2" t="s">
        <v>13498</v>
      </c>
      <c r="M2739" s="2" t="s">
        <v>14077</v>
      </c>
      <c r="N2739" s="2" t="s">
        <v>14078</v>
      </c>
      <c r="O2739" s="2" t="s">
        <v>14079</v>
      </c>
      <c r="P2739" s="2" t="s">
        <v>14080</v>
      </c>
    </row>
    <row r="2740" ht="15.75" customHeight="1">
      <c r="F2740" s="2" t="s">
        <v>3762</v>
      </c>
      <c r="H2740" s="2" t="s">
        <v>14081</v>
      </c>
      <c r="I2740" s="2" t="s">
        <v>3809</v>
      </c>
      <c r="J2740" s="2" t="s">
        <v>3810</v>
      </c>
      <c r="K2740" s="2" t="s">
        <v>14082</v>
      </c>
      <c r="L2740" s="2" t="s">
        <v>13498</v>
      </c>
      <c r="M2740" s="2" t="s">
        <v>14083</v>
      </c>
      <c r="N2740" s="2" t="s">
        <v>14084</v>
      </c>
      <c r="O2740" s="2" t="s">
        <v>14085</v>
      </c>
      <c r="P2740" s="2" t="s">
        <v>14086</v>
      </c>
    </row>
    <row r="2741" ht="15.75" customHeight="1">
      <c r="F2741" s="2" t="s">
        <v>677</v>
      </c>
      <c r="H2741" s="2" t="s">
        <v>14087</v>
      </c>
      <c r="I2741" s="2" t="s">
        <v>679</v>
      </c>
      <c r="J2741" s="2" t="s">
        <v>680</v>
      </c>
      <c r="K2741" s="2" t="s">
        <v>14088</v>
      </c>
      <c r="L2741" s="2" t="s">
        <v>13498</v>
      </c>
      <c r="M2741" s="2" t="s">
        <v>14089</v>
      </c>
      <c r="N2741" s="2" t="s">
        <v>14090</v>
      </c>
      <c r="O2741" s="2" t="s">
        <v>14091</v>
      </c>
      <c r="P2741" s="2" t="s">
        <v>14092</v>
      </c>
    </row>
    <row r="2742" ht="15.75" customHeight="1">
      <c r="F2742" s="2" t="s">
        <v>703</v>
      </c>
      <c r="H2742" s="2" t="s">
        <v>14093</v>
      </c>
      <c r="I2742" s="2" t="s">
        <v>13398</v>
      </c>
      <c r="J2742" s="2" t="s">
        <v>13399</v>
      </c>
      <c r="K2742" s="2" t="s">
        <v>14094</v>
      </c>
      <c r="L2742" s="2" t="s">
        <v>14095</v>
      </c>
      <c r="M2742" s="2" t="s">
        <v>14096</v>
      </c>
      <c r="N2742" s="2" t="s">
        <v>14097</v>
      </c>
      <c r="O2742" s="2" t="s">
        <v>14098</v>
      </c>
      <c r="P2742" s="2" t="s">
        <v>14099</v>
      </c>
    </row>
    <row r="2743" ht="15.75" customHeight="1">
      <c r="H2743" s="2" t="s">
        <v>14100</v>
      </c>
      <c r="I2743" s="2" t="s">
        <v>705</v>
      </c>
      <c r="J2743" s="2" t="s">
        <v>706</v>
      </c>
      <c r="K2743" s="2" t="s">
        <v>14101</v>
      </c>
      <c r="L2743" s="2" t="s">
        <v>13498</v>
      </c>
      <c r="M2743" s="2" t="s">
        <v>14102</v>
      </c>
      <c r="N2743" s="2" t="s">
        <v>14103</v>
      </c>
      <c r="O2743" s="2" t="s">
        <v>14104</v>
      </c>
      <c r="P2743" s="2" t="s">
        <v>14105</v>
      </c>
    </row>
    <row r="2744" ht="15.75" customHeight="1">
      <c r="H2744" s="2" t="s">
        <v>14106</v>
      </c>
      <c r="I2744" s="2" t="s">
        <v>713</v>
      </c>
      <c r="J2744" s="2" t="s">
        <v>714</v>
      </c>
      <c r="K2744" s="2" t="s">
        <v>14107</v>
      </c>
      <c r="L2744" s="2" t="s">
        <v>14108</v>
      </c>
      <c r="M2744" s="2" t="s">
        <v>14109</v>
      </c>
      <c r="N2744" s="2" t="s">
        <v>14110</v>
      </c>
      <c r="O2744" s="2" t="s">
        <v>14111</v>
      </c>
      <c r="P2744" s="2" t="s">
        <v>14112</v>
      </c>
    </row>
    <row r="2745" ht="15.75" customHeight="1">
      <c r="H2745" s="2" t="s">
        <v>14113</v>
      </c>
      <c r="I2745" s="2" t="s">
        <v>14114</v>
      </c>
      <c r="J2745" s="2" t="s">
        <v>14115</v>
      </c>
      <c r="K2745" s="2" t="s">
        <v>14116</v>
      </c>
      <c r="L2745" s="2" t="s">
        <v>13498</v>
      </c>
      <c r="M2745" s="2" t="s">
        <v>14117</v>
      </c>
      <c r="N2745" s="2" t="s">
        <v>14118</v>
      </c>
      <c r="O2745" s="2" t="s">
        <v>14119</v>
      </c>
      <c r="P2745" s="2" t="s">
        <v>14120</v>
      </c>
    </row>
    <row r="2746" ht="15.75" customHeight="1">
      <c r="H2746" s="2" t="s">
        <v>14121</v>
      </c>
      <c r="I2746" s="2" t="s">
        <v>14122</v>
      </c>
      <c r="J2746" s="2" t="s">
        <v>14123</v>
      </c>
      <c r="K2746" s="2" t="s">
        <v>14124</v>
      </c>
      <c r="L2746" s="2" t="s">
        <v>13498</v>
      </c>
      <c r="M2746" s="2" t="s">
        <v>14125</v>
      </c>
      <c r="N2746" s="2" t="s">
        <v>14126</v>
      </c>
      <c r="O2746" s="2" t="s">
        <v>14127</v>
      </c>
      <c r="P2746" s="2" t="s">
        <v>14128</v>
      </c>
    </row>
    <row r="2747" ht="15.75" customHeight="1">
      <c r="H2747" s="2" t="s">
        <v>14129</v>
      </c>
      <c r="I2747" s="2" t="s">
        <v>721</v>
      </c>
      <c r="J2747" s="2" t="s">
        <v>722</v>
      </c>
      <c r="K2747" s="2" t="s">
        <v>14130</v>
      </c>
      <c r="L2747" s="2" t="s">
        <v>13498</v>
      </c>
      <c r="M2747" s="2" t="s">
        <v>14131</v>
      </c>
      <c r="N2747" s="2" t="s">
        <v>14132</v>
      </c>
      <c r="O2747" s="2" t="s">
        <v>14133</v>
      </c>
      <c r="P2747" s="2" t="s">
        <v>14134</v>
      </c>
    </row>
    <row r="2748" ht="15.75" customHeight="1">
      <c r="H2748" s="2" t="s">
        <v>14135</v>
      </c>
      <c r="I2748" s="2" t="s">
        <v>14136</v>
      </c>
      <c r="J2748" s="2" t="s">
        <v>14137</v>
      </c>
      <c r="K2748" s="2" t="s">
        <v>14138</v>
      </c>
      <c r="L2748" s="2" t="s">
        <v>13498</v>
      </c>
      <c r="M2748" s="2" t="s">
        <v>14139</v>
      </c>
      <c r="N2748" s="2" t="s">
        <v>14140</v>
      </c>
      <c r="O2748" s="2" t="s">
        <v>14141</v>
      </c>
      <c r="P2748" s="2" t="s">
        <v>14142</v>
      </c>
    </row>
    <row r="2749" ht="15.75" customHeight="1">
      <c r="H2749" s="2" t="s">
        <v>14143</v>
      </c>
      <c r="I2749" s="2" t="s">
        <v>4060</v>
      </c>
      <c r="J2749" s="2" t="s">
        <v>4061</v>
      </c>
      <c r="K2749" s="2" t="s">
        <v>14144</v>
      </c>
      <c r="L2749" s="2" t="s">
        <v>13498</v>
      </c>
      <c r="M2749" s="2" t="s">
        <v>14145</v>
      </c>
      <c r="N2749" s="2" t="s">
        <v>14146</v>
      </c>
      <c r="O2749" s="2" t="s">
        <v>14147</v>
      </c>
      <c r="P2749" s="2" t="s">
        <v>13602</v>
      </c>
    </row>
    <row r="2750" ht="15.75" customHeight="1">
      <c r="F2750" s="2" t="s">
        <v>728</v>
      </c>
      <c r="H2750" s="2" t="s">
        <v>14148</v>
      </c>
      <c r="I2750" s="2" t="s">
        <v>1350</v>
      </c>
      <c r="J2750" s="2" t="s">
        <v>1351</v>
      </c>
      <c r="K2750" s="2" t="s">
        <v>14149</v>
      </c>
      <c r="L2750" s="2" t="s">
        <v>14150</v>
      </c>
      <c r="M2750" s="2" t="s">
        <v>14151</v>
      </c>
      <c r="N2750" s="2" t="s">
        <v>14152</v>
      </c>
      <c r="O2750" s="2" t="s">
        <v>14153</v>
      </c>
      <c r="P2750" s="2" t="s">
        <v>14154</v>
      </c>
    </row>
    <row r="2751" ht="15.75" customHeight="1">
      <c r="H2751" s="2" t="s">
        <v>14155</v>
      </c>
      <c r="I2751" s="2" t="s">
        <v>4086</v>
      </c>
      <c r="J2751" s="2" t="s">
        <v>4087</v>
      </c>
      <c r="K2751" s="2" t="s">
        <v>14156</v>
      </c>
      <c r="L2751" s="2" t="s">
        <v>13498</v>
      </c>
      <c r="M2751" s="2" t="s">
        <v>14157</v>
      </c>
      <c r="N2751" s="2" t="s">
        <v>14158</v>
      </c>
      <c r="O2751" s="2" t="s">
        <v>14159</v>
      </c>
      <c r="P2751" s="2" t="s">
        <v>13708</v>
      </c>
    </row>
    <row r="2752" ht="15.75" customHeight="1">
      <c r="H2752" s="2" t="s">
        <v>14160</v>
      </c>
      <c r="I2752" s="2" t="s">
        <v>4096</v>
      </c>
      <c r="J2752" s="2" t="s">
        <v>4097</v>
      </c>
      <c r="K2752" s="2" t="s">
        <v>14161</v>
      </c>
      <c r="L2752" s="2" t="s">
        <v>13498</v>
      </c>
      <c r="M2752" s="2" t="s">
        <v>14162</v>
      </c>
      <c r="N2752" s="2" t="s">
        <v>14163</v>
      </c>
      <c r="O2752" s="2" t="s">
        <v>14164</v>
      </c>
      <c r="P2752" s="2" t="s">
        <v>14165</v>
      </c>
    </row>
    <row r="2753" ht="15.75" customHeight="1">
      <c r="F2753" s="2" t="s">
        <v>737</v>
      </c>
      <c r="H2753" s="2" t="s">
        <v>14166</v>
      </c>
      <c r="I2753" s="2" t="s">
        <v>739</v>
      </c>
      <c r="J2753" s="2" t="s">
        <v>740</v>
      </c>
      <c r="K2753" s="2" t="s">
        <v>14167</v>
      </c>
      <c r="L2753" s="2" t="s">
        <v>13498</v>
      </c>
      <c r="M2753" s="2" t="s">
        <v>14168</v>
      </c>
      <c r="N2753" s="2" t="s">
        <v>14169</v>
      </c>
      <c r="O2753" s="2" t="s">
        <v>14170</v>
      </c>
      <c r="P2753" s="2" t="s">
        <v>14171</v>
      </c>
    </row>
    <row r="2754" ht="15.75" customHeight="1">
      <c r="F2754" s="2" t="s">
        <v>746</v>
      </c>
      <c r="H2754" s="2" t="s">
        <v>14172</v>
      </c>
      <c r="I2754" s="2" t="s">
        <v>4260</v>
      </c>
      <c r="J2754" s="2" t="s">
        <v>4261</v>
      </c>
      <c r="K2754" s="2" t="s">
        <v>14173</v>
      </c>
      <c r="L2754" s="2" t="s">
        <v>13498</v>
      </c>
      <c r="M2754" s="2" t="s">
        <v>14174</v>
      </c>
      <c r="N2754" s="2" t="s">
        <v>14175</v>
      </c>
      <c r="O2754" s="2" t="s">
        <v>14176</v>
      </c>
      <c r="P2754" s="2" t="s">
        <v>14177</v>
      </c>
    </row>
    <row r="2755" ht="15.75" customHeight="1">
      <c r="H2755" s="2" t="s">
        <v>14178</v>
      </c>
      <c r="I2755" s="2" t="s">
        <v>4282</v>
      </c>
      <c r="J2755" s="2" t="s">
        <v>4283</v>
      </c>
      <c r="K2755" s="2" t="s">
        <v>14179</v>
      </c>
      <c r="L2755" s="2" t="s">
        <v>13498</v>
      </c>
      <c r="M2755" s="2" t="s">
        <v>14180</v>
      </c>
      <c r="N2755" s="2" t="s">
        <v>14181</v>
      </c>
      <c r="O2755" s="2" t="s">
        <v>14182</v>
      </c>
      <c r="P2755" s="2" t="s">
        <v>14183</v>
      </c>
    </row>
    <row r="2756" ht="15.75" customHeight="1">
      <c r="F2756" s="2" t="s">
        <v>4353</v>
      </c>
      <c r="H2756" s="2" t="s">
        <v>14184</v>
      </c>
      <c r="I2756" s="2" t="s">
        <v>14185</v>
      </c>
      <c r="J2756" s="2" t="s">
        <v>14186</v>
      </c>
      <c r="K2756" s="2" t="s">
        <v>14187</v>
      </c>
      <c r="L2756" s="2" t="s">
        <v>13498</v>
      </c>
      <c r="M2756" s="2" t="s">
        <v>14188</v>
      </c>
      <c r="N2756" s="2" t="s">
        <v>14189</v>
      </c>
      <c r="O2756" s="2" t="s">
        <v>14190</v>
      </c>
      <c r="P2756" s="2" t="s">
        <v>14191</v>
      </c>
    </row>
    <row r="2757" ht="15.75" customHeight="1">
      <c r="H2757" s="2" t="s">
        <v>14192</v>
      </c>
      <c r="I2757" s="2" t="s">
        <v>6072</v>
      </c>
      <c r="J2757" s="2" t="s">
        <v>6073</v>
      </c>
      <c r="K2757" s="2" t="s">
        <v>14193</v>
      </c>
      <c r="L2757" s="2" t="s">
        <v>13498</v>
      </c>
      <c r="M2757" s="2" t="s">
        <v>14194</v>
      </c>
      <c r="N2757" s="2" t="s">
        <v>14195</v>
      </c>
      <c r="O2757" s="2" t="s">
        <v>14196</v>
      </c>
      <c r="P2757" s="2" t="s">
        <v>14197</v>
      </c>
    </row>
    <row r="2758" ht="15.75" customHeight="1">
      <c r="F2758" s="2" t="s">
        <v>755</v>
      </c>
      <c r="H2758" s="2" t="s">
        <v>14198</v>
      </c>
      <c r="I2758" s="2" t="s">
        <v>757</v>
      </c>
      <c r="J2758" s="2" t="s">
        <v>758</v>
      </c>
      <c r="K2758" s="2" t="s">
        <v>14199</v>
      </c>
      <c r="L2758" s="2" t="s">
        <v>13498</v>
      </c>
      <c r="M2758" s="2" t="s">
        <v>14200</v>
      </c>
      <c r="N2758" s="2" t="s">
        <v>14201</v>
      </c>
      <c r="O2758" s="2" t="s">
        <v>14202</v>
      </c>
      <c r="P2758" s="2" t="s">
        <v>14203</v>
      </c>
    </row>
    <row r="2759" ht="15.75" customHeight="1">
      <c r="F2759" s="2" t="s">
        <v>764</v>
      </c>
      <c r="H2759" s="2" t="s">
        <v>14204</v>
      </c>
      <c r="I2759" s="2" t="s">
        <v>766</v>
      </c>
      <c r="J2759" s="2" t="s">
        <v>767</v>
      </c>
      <c r="K2759" s="2" t="s">
        <v>14205</v>
      </c>
      <c r="L2759" s="2" t="s">
        <v>13498</v>
      </c>
      <c r="M2759" s="2" t="s">
        <v>14206</v>
      </c>
      <c r="N2759" s="2" t="s">
        <v>14207</v>
      </c>
      <c r="O2759" s="2" t="s">
        <v>14208</v>
      </c>
      <c r="P2759" s="2" t="s">
        <v>14209</v>
      </c>
    </row>
    <row r="2760" ht="15.75" customHeight="1">
      <c r="F2760" s="2" t="s">
        <v>773</v>
      </c>
      <c r="H2760" s="2" t="s">
        <v>14210</v>
      </c>
      <c r="I2760" s="2" t="s">
        <v>775</v>
      </c>
      <c r="J2760" s="2" t="s">
        <v>776</v>
      </c>
      <c r="K2760" s="2" t="s">
        <v>14211</v>
      </c>
      <c r="L2760" s="2" t="s">
        <v>13498</v>
      </c>
      <c r="M2760" s="2" t="s">
        <v>14212</v>
      </c>
      <c r="N2760" s="2" t="s">
        <v>14213</v>
      </c>
      <c r="O2760" s="2" t="s">
        <v>14214</v>
      </c>
      <c r="P2760" s="2" t="s">
        <v>14215</v>
      </c>
    </row>
    <row r="2761" ht="15.75" customHeight="1">
      <c r="F2761" s="2" t="s">
        <v>782</v>
      </c>
      <c r="H2761" s="2" t="s">
        <v>14216</v>
      </c>
      <c r="I2761" s="2" t="s">
        <v>13459</v>
      </c>
      <c r="J2761" s="2" t="s">
        <v>13460</v>
      </c>
      <c r="K2761" s="2" t="s">
        <v>14217</v>
      </c>
      <c r="L2761" s="2" t="s">
        <v>13498</v>
      </c>
      <c r="M2761" s="2" t="s">
        <v>14218</v>
      </c>
      <c r="N2761" s="2" t="s">
        <v>14219</v>
      </c>
      <c r="O2761" s="2" t="s">
        <v>14220</v>
      </c>
      <c r="P2761" s="2" t="s">
        <v>14221</v>
      </c>
    </row>
    <row r="2762" ht="15.75" customHeight="1">
      <c r="H2762" s="2" t="s">
        <v>14222</v>
      </c>
      <c r="I2762" s="2" t="s">
        <v>784</v>
      </c>
      <c r="J2762" s="2" t="s">
        <v>785</v>
      </c>
      <c r="K2762" s="2" t="s">
        <v>14223</v>
      </c>
      <c r="L2762" s="2" t="s">
        <v>13498</v>
      </c>
      <c r="M2762" s="2" t="s">
        <v>14224</v>
      </c>
      <c r="N2762" s="2" t="s">
        <v>14225</v>
      </c>
      <c r="O2762" s="2" t="s">
        <v>14226</v>
      </c>
      <c r="P2762" s="2" t="s">
        <v>14227</v>
      </c>
    </row>
    <row r="2763" ht="15.75" customHeight="1">
      <c r="F2763" s="2" t="s">
        <v>791</v>
      </c>
      <c r="H2763" s="2" t="s">
        <v>14228</v>
      </c>
      <c r="I2763" s="2" t="s">
        <v>793</v>
      </c>
      <c r="J2763" s="2" t="s">
        <v>794</v>
      </c>
      <c r="K2763" s="2" t="s">
        <v>14229</v>
      </c>
      <c r="L2763" s="2" t="s">
        <v>13498</v>
      </c>
      <c r="M2763" s="2" t="s">
        <v>14230</v>
      </c>
      <c r="N2763" s="2" t="s">
        <v>14231</v>
      </c>
      <c r="O2763" s="2" t="s">
        <v>14232</v>
      </c>
      <c r="P2763" s="2" t="s">
        <v>14233</v>
      </c>
    </row>
    <row r="2764" ht="15.75" customHeight="1">
      <c r="H2764" s="2" t="s">
        <v>14234</v>
      </c>
      <c r="I2764" s="2" t="s">
        <v>12786</v>
      </c>
      <c r="J2764" s="2" t="s">
        <v>12787</v>
      </c>
      <c r="K2764" s="2" t="s">
        <v>14235</v>
      </c>
      <c r="L2764" s="2" t="s">
        <v>13498</v>
      </c>
      <c r="M2764" s="2" t="s">
        <v>14236</v>
      </c>
      <c r="N2764" s="2" t="s">
        <v>14237</v>
      </c>
      <c r="O2764" s="2" t="s">
        <v>14238</v>
      </c>
      <c r="P2764" s="2" t="s">
        <v>14239</v>
      </c>
    </row>
    <row r="2765" ht="15.75" customHeight="1">
      <c r="H2765" s="2" t="s">
        <v>14240</v>
      </c>
      <c r="I2765" s="2" t="s">
        <v>4969</v>
      </c>
      <c r="J2765" s="2" t="s">
        <v>4970</v>
      </c>
      <c r="K2765" s="2" t="s">
        <v>14241</v>
      </c>
      <c r="L2765" s="2" t="s">
        <v>13498</v>
      </c>
      <c r="M2765" s="2" t="s">
        <v>14242</v>
      </c>
      <c r="N2765" s="2" t="s">
        <v>14243</v>
      </c>
      <c r="O2765" s="2" t="s">
        <v>14244</v>
      </c>
      <c r="P2765" s="2" t="s">
        <v>14245</v>
      </c>
    </row>
    <row r="2766" ht="15.75" customHeight="1">
      <c r="F2766" s="2" t="s">
        <v>800</v>
      </c>
      <c r="H2766" s="2" t="s">
        <v>14246</v>
      </c>
      <c r="I2766" s="2" t="s">
        <v>5722</v>
      </c>
      <c r="J2766" s="2" t="s">
        <v>5723</v>
      </c>
      <c r="K2766" s="2" t="s">
        <v>14247</v>
      </c>
      <c r="L2766" s="2" t="s">
        <v>13498</v>
      </c>
      <c r="M2766" s="2" t="s">
        <v>14248</v>
      </c>
      <c r="N2766" s="2" t="s">
        <v>14249</v>
      </c>
      <c r="O2766" s="2" t="s">
        <v>14250</v>
      </c>
      <c r="P2766" s="2" t="s">
        <v>14251</v>
      </c>
    </row>
    <row r="2767" ht="15.75" customHeight="1">
      <c r="H2767" s="2" t="s">
        <v>14252</v>
      </c>
      <c r="I2767" s="2" t="s">
        <v>14253</v>
      </c>
      <c r="J2767" s="2" t="s">
        <v>14254</v>
      </c>
      <c r="K2767" s="2" t="s">
        <v>14255</v>
      </c>
      <c r="L2767" s="2" t="s">
        <v>13498</v>
      </c>
      <c r="M2767" s="2" t="s">
        <v>14256</v>
      </c>
      <c r="N2767" s="2" t="s">
        <v>14257</v>
      </c>
      <c r="O2767" s="2" t="s">
        <v>14258</v>
      </c>
      <c r="P2767" s="2" t="s">
        <v>14259</v>
      </c>
    </row>
    <row r="2768" ht="15.75" customHeight="1">
      <c r="H2768" s="2" t="s">
        <v>14260</v>
      </c>
      <c r="I2768" s="2" t="s">
        <v>11561</v>
      </c>
      <c r="J2768" s="2" t="s">
        <v>11562</v>
      </c>
      <c r="K2768" s="2" t="s">
        <v>14261</v>
      </c>
      <c r="L2768" s="2" t="s">
        <v>13498</v>
      </c>
      <c r="M2768" s="2" t="s">
        <v>14262</v>
      </c>
      <c r="N2768" s="2" t="s">
        <v>14263</v>
      </c>
      <c r="O2768" s="2" t="s">
        <v>14264</v>
      </c>
      <c r="P2768" s="2" t="s">
        <v>14265</v>
      </c>
    </row>
    <row r="2769" ht="15.75" customHeight="1">
      <c r="H2769" s="2" t="s">
        <v>14266</v>
      </c>
      <c r="I2769" s="2" t="s">
        <v>14267</v>
      </c>
      <c r="J2769" s="2" t="s">
        <v>14268</v>
      </c>
      <c r="K2769" s="2" t="s">
        <v>14269</v>
      </c>
      <c r="L2769" s="2" t="s">
        <v>13498</v>
      </c>
      <c r="M2769" s="2" t="s">
        <v>14270</v>
      </c>
      <c r="N2769" s="2" t="s">
        <v>14271</v>
      </c>
      <c r="O2769" s="2" t="s">
        <v>14272</v>
      </c>
      <c r="P2769" s="2" t="s">
        <v>14273</v>
      </c>
    </row>
    <row r="2770" ht="15.75" customHeight="1">
      <c r="H2770" s="2" t="s">
        <v>14274</v>
      </c>
      <c r="I2770" s="2" t="s">
        <v>5037</v>
      </c>
      <c r="J2770" s="2" t="s">
        <v>5038</v>
      </c>
      <c r="K2770" s="2" t="s">
        <v>6058</v>
      </c>
      <c r="L2770" s="2" t="s">
        <v>13498</v>
      </c>
      <c r="M2770" s="2" t="s">
        <v>14275</v>
      </c>
      <c r="N2770" s="2" t="s">
        <v>14276</v>
      </c>
      <c r="O2770" s="2" t="s">
        <v>14277</v>
      </c>
      <c r="P2770" s="2" t="s">
        <v>14278</v>
      </c>
    </row>
    <row r="2771" ht="15.75" customHeight="1">
      <c r="H2771" s="2" t="s">
        <v>14279</v>
      </c>
      <c r="I2771" s="2" t="s">
        <v>5047</v>
      </c>
      <c r="J2771" s="2" t="s">
        <v>5048</v>
      </c>
      <c r="K2771" s="2" t="s">
        <v>14280</v>
      </c>
      <c r="L2771" s="2" t="s">
        <v>13498</v>
      </c>
      <c r="M2771" s="2" t="s">
        <v>14281</v>
      </c>
      <c r="N2771" s="2" t="s">
        <v>14282</v>
      </c>
      <c r="O2771" s="2" t="s">
        <v>14283</v>
      </c>
      <c r="P2771" s="2" t="s">
        <v>14284</v>
      </c>
    </row>
    <row r="2772" ht="15.75" customHeight="1">
      <c r="H2772" s="2" t="s">
        <v>14285</v>
      </c>
      <c r="I2772" s="2" t="s">
        <v>14286</v>
      </c>
      <c r="J2772" s="2" t="s">
        <v>14287</v>
      </c>
      <c r="K2772" s="2" t="s">
        <v>14288</v>
      </c>
      <c r="L2772" s="2" t="s">
        <v>13498</v>
      </c>
      <c r="M2772" s="2" t="s">
        <v>14289</v>
      </c>
      <c r="N2772" s="2" t="s">
        <v>14290</v>
      </c>
      <c r="O2772" s="2" t="s">
        <v>14291</v>
      </c>
      <c r="P2772" s="2" t="s">
        <v>14292</v>
      </c>
    </row>
    <row r="2773" ht="15.75" customHeight="1">
      <c r="H2773" s="2" t="s">
        <v>14293</v>
      </c>
      <c r="I2773" s="2" t="s">
        <v>5986</v>
      </c>
      <c r="J2773" s="2" t="s">
        <v>5987</v>
      </c>
      <c r="K2773" s="2" t="s">
        <v>14294</v>
      </c>
      <c r="L2773" s="2" t="s">
        <v>13498</v>
      </c>
      <c r="M2773" s="2" t="s">
        <v>14295</v>
      </c>
      <c r="N2773" s="2" t="s">
        <v>14296</v>
      </c>
      <c r="O2773" s="2" t="s">
        <v>14297</v>
      </c>
      <c r="P2773" s="2" t="s">
        <v>14298</v>
      </c>
    </row>
    <row r="2774" ht="15.75" customHeight="1">
      <c r="F2774" s="2" t="s">
        <v>843</v>
      </c>
      <c r="H2774" s="2" t="s">
        <v>14299</v>
      </c>
      <c r="I2774" s="2" t="s">
        <v>1167</v>
      </c>
      <c r="J2774" s="2" t="s">
        <v>1168</v>
      </c>
      <c r="K2774" s="2" t="s">
        <v>14300</v>
      </c>
      <c r="L2774" s="2" t="s">
        <v>13498</v>
      </c>
      <c r="M2774" s="2" t="s">
        <v>14301</v>
      </c>
      <c r="N2774" s="2" t="s">
        <v>14302</v>
      </c>
      <c r="O2774" s="2" t="s">
        <v>14303</v>
      </c>
      <c r="P2774" s="2" t="s">
        <v>14304</v>
      </c>
    </row>
    <row r="2775" ht="15.75" customHeight="1">
      <c r="H2775" s="2" t="s">
        <v>14305</v>
      </c>
      <c r="I2775" s="2" t="s">
        <v>845</v>
      </c>
      <c r="J2775" s="2" t="s">
        <v>846</v>
      </c>
      <c r="K2775" s="2" t="s">
        <v>14306</v>
      </c>
      <c r="L2775" s="2" t="s">
        <v>13498</v>
      </c>
      <c r="M2775" s="2" t="s">
        <v>14307</v>
      </c>
      <c r="N2775" s="2" t="s">
        <v>14308</v>
      </c>
      <c r="O2775" s="2" t="s">
        <v>14309</v>
      </c>
      <c r="P2775" s="2" t="s">
        <v>14310</v>
      </c>
    </row>
    <row r="2776" ht="15.75" customHeight="1">
      <c r="B2776" s="2" t="s">
        <v>14311</v>
      </c>
      <c r="C2776" s="2" t="s">
        <v>12802</v>
      </c>
      <c r="D2776" s="2" t="s">
        <v>14312</v>
      </c>
      <c r="F2776" s="2" t="s">
        <v>29</v>
      </c>
      <c r="H2776" s="2" t="s">
        <v>14313</v>
      </c>
      <c r="I2776" s="2" t="s">
        <v>31</v>
      </c>
      <c r="J2776" s="2" t="s">
        <v>32</v>
      </c>
      <c r="K2776" s="2" t="s">
        <v>874</v>
      </c>
      <c r="L2776" s="2" t="s">
        <v>14314</v>
      </c>
      <c r="M2776" s="2" t="s">
        <v>14315</v>
      </c>
      <c r="N2776" s="2" t="s">
        <v>14316</v>
      </c>
      <c r="O2776" s="2" t="s">
        <v>14317</v>
      </c>
      <c r="P2776" s="2" t="s">
        <v>14318</v>
      </c>
    </row>
    <row r="2777" ht="15.75" customHeight="1">
      <c r="F2777" s="2" t="s">
        <v>74</v>
      </c>
      <c r="H2777" s="2" t="s">
        <v>14319</v>
      </c>
      <c r="I2777" s="2" t="s">
        <v>76</v>
      </c>
      <c r="J2777" s="2" t="s">
        <v>77</v>
      </c>
      <c r="K2777" s="2" t="s">
        <v>947</v>
      </c>
      <c r="L2777" s="2" t="s">
        <v>14320</v>
      </c>
      <c r="M2777" s="2" t="s">
        <v>14321</v>
      </c>
      <c r="N2777" s="2" t="s">
        <v>14322</v>
      </c>
      <c r="O2777" s="2" t="s">
        <v>14323</v>
      </c>
      <c r="P2777" s="2" t="s">
        <v>14324</v>
      </c>
    </row>
    <row r="2778" ht="15.75" customHeight="1">
      <c r="H2778" s="2" t="s">
        <v>14325</v>
      </c>
      <c r="I2778" s="2" t="s">
        <v>12139</v>
      </c>
      <c r="J2778" s="2" t="s">
        <v>12140</v>
      </c>
      <c r="L2778" s="2" t="s">
        <v>14326</v>
      </c>
      <c r="M2778" s="2" t="s">
        <v>14327</v>
      </c>
      <c r="N2778" s="2" t="s">
        <v>14328</v>
      </c>
      <c r="O2778" s="2" t="s">
        <v>14329</v>
      </c>
      <c r="P2778" s="2" t="s">
        <v>869</v>
      </c>
    </row>
    <row r="2779" ht="15.75" customHeight="1">
      <c r="H2779" s="2" t="s">
        <v>14330</v>
      </c>
      <c r="I2779" s="2" t="s">
        <v>14331</v>
      </c>
      <c r="J2779" s="2" t="s">
        <v>14332</v>
      </c>
      <c r="K2779" s="2" t="s">
        <v>1424</v>
      </c>
      <c r="L2779" s="2" t="s">
        <v>14326</v>
      </c>
      <c r="M2779" s="2" t="s">
        <v>14333</v>
      </c>
      <c r="N2779" s="2" t="s">
        <v>14334</v>
      </c>
      <c r="O2779" s="2" t="s">
        <v>14335</v>
      </c>
      <c r="P2779" s="2" t="s">
        <v>869</v>
      </c>
    </row>
    <row r="2780" ht="15.75" customHeight="1">
      <c r="H2780" s="2" t="s">
        <v>14336</v>
      </c>
      <c r="I2780" s="2" t="s">
        <v>11923</v>
      </c>
      <c r="J2780" s="2" t="s">
        <v>11924</v>
      </c>
      <c r="L2780" s="2" t="s">
        <v>14326</v>
      </c>
      <c r="M2780" s="2" t="s">
        <v>14337</v>
      </c>
      <c r="N2780" s="2" t="s">
        <v>14338</v>
      </c>
      <c r="O2780" s="2" t="s">
        <v>14339</v>
      </c>
      <c r="P2780" s="2" t="s">
        <v>869</v>
      </c>
    </row>
    <row r="2781" ht="15.75" customHeight="1">
      <c r="H2781" s="2" t="s">
        <v>14340</v>
      </c>
      <c r="I2781" s="2" t="s">
        <v>7075</v>
      </c>
      <c r="J2781" s="2" t="s">
        <v>7076</v>
      </c>
      <c r="L2781" s="2" t="s">
        <v>14326</v>
      </c>
      <c r="M2781" s="2" t="s">
        <v>14341</v>
      </c>
      <c r="N2781" s="2" t="s">
        <v>14342</v>
      </c>
      <c r="O2781" s="2" t="s">
        <v>14343</v>
      </c>
      <c r="P2781" s="2" t="s">
        <v>869</v>
      </c>
    </row>
    <row r="2782" ht="15.75" customHeight="1">
      <c r="H2782" s="2" t="s">
        <v>14344</v>
      </c>
      <c r="I2782" s="2" t="s">
        <v>1663</v>
      </c>
      <c r="J2782" s="2" t="s">
        <v>1664</v>
      </c>
      <c r="K2782" s="2" t="s">
        <v>1257</v>
      </c>
      <c r="L2782" s="2" t="s">
        <v>14326</v>
      </c>
      <c r="M2782" s="2" t="s">
        <v>14345</v>
      </c>
      <c r="N2782" s="2" t="s">
        <v>14346</v>
      </c>
      <c r="O2782" s="2" t="s">
        <v>14347</v>
      </c>
      <c r="P2782" s="2" t="s">
        <v>14348</v>
      </c>
    </row>
    <row r="2783" ht="15.75" customHeight="1">
      <c r="H2783" s="2" t="s">
        <v>14349</v>
      </c>
      <c r="I2783" s="2" t="s">
        <v>159</v>
      </c>
      <c r="J2783" s="2" t="s">
        <v>160</v>
      </c>
      <c r="L2783" s="2" t="s">
        <v>14326</v>
      </c>
      <c r="M2783" s="2" t="s">
        <v>14350</v>
      </c>
      <c r="N2783" s="2" t="s">
        <v>14351</v>
      </c>
      <c r="O2783" s="2" t="s">
        <v>14352</v>
      </c>
      <c r="P2783" s="2" t="s">
        <v>14353</v>
      </c>
    </row>
    <row r="2784" ht="15.75" customHeight="1">
      <c r="H2784" s="2" t="s">
        <v>14354</v>
      </c>
      <c r="I2784" s="2" t="s">
        <v>14355</v>
      </c>
      <c r="J2784" s="2" t="s">
        <v>14356</v>
      </c>
      <c r="L2784" s="2" t="s">
        <v>14326</v>
      </c>
      <c r="M2784" s="2" t="s">
        <v>14357</v>
      </c>
      <c r="N2784" s="2" t="s">
        <v>14358</v>
      </c>
      <c r="O2784" s="2" t="s">
        <v>14359</v>
      </c>
      <c r="P2784" s="2" t="s">
        <v>14360</v>
      </c>
    </row>
    <row r="2785" ht="15.75" customHeight="1">
      <c r="H2785" s="2" t="s">
        <v>14361</v>
      </c>
      <c r="I2785" s="2" t="s">
        <v>167</v>
      </c>
      <c r="J2785" s="2" t="s">
        <v>168</v>
      </c>
      <c r="K2785" s="2" t="s">
        <v>1692</v>
      </c>
      <c r="L2785" s="2" t="s">
        <v>14362</v>
      </c>
      <c r="M2785" s="2" t="s">
        <v>14363</v>
      </c>
      <c r="N2785" s="2" t="s">
        <v>14364</v>
      </c>
      <c r="O2785" s="2" t="s">
        <v>14365</v>
      </c>
      <c r="P2785" s="2" t="s">
        <v>14366</v>
      </c>
    </row>
    <row r="2786" ht="15.75" customHeight="1">
      <c r="H2786" s="2" t="s">
        <v>14367</v>
      </c>
      <c r="I2786" s="2" t="s">
        <v>176</v>
      </c>
      <c r="J2786" s="2" t="s">
        <v>177</v>
      </c>
      <c r="K2786" s="2" t="s">
        <v>1708</v>
      </c>
      <c r="L2786" s="2" t="s">
        <v>14368</v>
      </c>
      <c r="M2786" s="2" t="s">
        <v>14369</v>
      </c>
      <c r="N2786" s="2" t="s">
        <v>14370</v>
      </c>
      <c r="O2786" s="2" t="s">
        <v>14371</v>
      </c>
      <c r="P2786" s="2" t="s">
        <v>14372</v>
      </c>
    </row>
    <row r="2787" ht="15.75" customHeight="1">
      <c r="H2787" s="2" t="s">
        <v>14373</v>
      </c>
      <c r="I2787" s="2" t="s">
        <v>193</v>
      </c>
      <c r="J2787" s="2" t="s">
        <v>194</v>
      </c>
      <c r="L2787" s="2" t="s">
        <v>14326</v>
      </c>
      <c r="M2787" s="2" t="s">
        <v>14374</v>
      </c>
      <c r="N2787" s="2" t="s">
        <v>14375</v>
      </c>
      <c r="O2787" s="2" t="s">
        <v>14376</v>
      </c>
      <c r="P2787" s="2" t="s">
        <v>14377</v>
      </c>
    </row>
    <row r="2788" ht="15.75" customHeight="1">
      <c r="H2788" s="2" t="s">
        <v>14378</v>
      </c>
      <c r="I2788" s="2" t="s">
        <v>14379</v>
      </c>
      <c r="J2788" s="2" t="s">
        <v>14380</v>
      </c>
      <c r="L2788" s="2" t="s">
        <v>14326</v>
      </c>
      <c r="M2788" s="2" t="s">
        <v>14381</v>
      </c>
      <c r="N2788" s="2" t="s">
        <v>869</v>
      </c>
      <c r="O2788" s="2" t="s">
        <v>870</v>
      </c>
    </row>
    <row r="2789" ht="15.75" customHeight="1">
      <c r="H2789" s="2" t="s">
        <v>14382</v>
      </c>
      <c r="I2789" s="2" t="s">
        <v>1753</v>
      </c>
      <c r="J2789" s="2" t="s">
        <v>1754</v>
      </c>
      <c r="L2789" s="2" t="s">
        <v>14326</v>
      </c>
      <c r="M2789" s="2" t="s">
        <v>14383</v>
      </c>
      <c r="N2789" s="2" t="s">
        <v>14384</v>
      </c>
      <c r="O2789" s="2" t="s">
        <v>869</v>
      </c>
      <c r="P2789" s="2" t="s">
        <v>870</v>
      </c>
    </row>
    <row r="2790" ht="15.75" customHeight="1">
      <c r="H2790" s="2" t="s">
        <v>14385</v>
      </c>
      <c r="I2790" s="2" t="s">
        <v>5346</v>
      </c>
      <c r="J2790" s="2" t="s">
        <v>5347</v>
      </c>
      <c r="K2790" s="2" t="s">
        <v>5348</v>
      </c>
      <c r="L2790" s="2" t="s">
        <v>14386</v>
      </c>
      <c r="M2790" s="2" t="s">
        <v>14387</v>
      </c>
      <c r="N2790" s="2" t="s">
        <v>14388</v>
      </c>
      <c r="O2790" s="2" t="s">
        <v>14389</v>
      </c>
      <c r="P2790" s="2" t="s">
        <v>14390</v>
      </c>
    </row>
    <row r="2791" ht="15.75" customHeight="1">
      <c r="H2791" s="2" t="s">
        <v>14391</v>
      </c>
      <c r="I2791" s="2" t="s">
        <v>14392</v>
      </c>
      <c r="J2791" s="2" t="s">
        <v>14393</v>
      </c>
      <c r="K2791" s="2" t="s">
        <v>14394</v>
      </c>
      <c r="L2791" s="2" t="s">
        <v>14326</v>
      </c>
      <c r="M2791" s="2" t="s">
        <v>14395</v>
      </c>
      <c r="N2791" s="2" t="s">
        <v>14396</v>
      </c>
      <c r="O2791" s="2" t="s">
        <v>14397</v>
      </c>
      <c r="P2791" s="2" t="s">
        <v>14398</v>
      </c>
    </row>
    <row r="2792" ht="15.75" customHeight="1">
      <c r="H2792" s="2" t="s">
        <v>14399</v>
      </c>
      <c r="I2792" s="2" t="s">
        <v>1789</v>
      </c>
      <c r="J2792" s="2" t="s">
        <v>1790</v>
      </c>
      <c r="K2792" s="2" t="s">
        <v>1791</v>
      </c>
      <c r="L2792" s="2" t="s">
        <v>14326</v>
      </c>
      <c r="M2792" s="2" t="s">
        <v>14400</v>
      </c>
      <c r="N2792" s="2" t="s">
        <v>14401</v>
      </c>
      <c r="O2792" s="2" t="s">
        <v>14402</v>
      </c>
      <c r="P2792" s="2" t="s">
        <v>14403</v>
      </c>
    </row>
    <row r="2793" ht="15.75" customHeight="1">
      <c r="H2793" s="2" t="s">
        <v>14404</v>
      </c>
      <c r="I2793" s="2" t="s">
        <v>14405</v>
      </c>
      <c r="J2793" s="2" t="s">
        <v>14406</v>
      </c>
      <c r="K2793" s="2" t="s">
        <v>14407</v>
      </c>
      <c r="L2793" s="2" t="s">
        <v>14326</v>
      </c>
      <c r="M2793" s="2" t="s">
        <v>14408</v>
      </c>
      <c r="N2793" s="2" t="s">
        <v>14409</v>
      </c>
      <c r="O2793" s="2" t="s">
        <v>869</v>
      </c>
      <c r="P2793" s="2" t="s">
        <v>870</v>
      </c>
    </row>
    <row r="2794" ht="15.75" customHeight="1">
      <c r="H2794" s="2" t="s">
        <v>14410</v>
      </c>
      <c r="I2794" s="2" t="s">
        <v>14411</v>
      </c>
      <c r="J2794" s="2" t="s">
        <v>14412</v>
      </c>
      <c r="K2794" s="2" t="s">
        <v>12196</v>
      </c>
    </row>
    <row r="2795" ht="15.75" customHeight="1">
      <c r="F2795" s="2" t="s">
        <v>274</v>
      </c>
      <c r="H2795" s="2" t="s">
        <v>14413</v>
      </c>
      <c r="I2795" s="2" t="s">
        <v>279</v>
      </c>
      <c r="J2795" s="2" t="s">
        <v>274</v>
      </c>
      <c r="K2795" s="2" t="s">
        <v>280</v>
      </c>
    </row>
    <row r="2796" ht="15.75" customHeight="1">
      <c r="F2796" s="2" t="s">
        <v>284</v>
      </c>
      <c r="H2796" s="2" t="s">
        <v>14414</v>
      </c>
      <c r="I2796" s="2" t="s">
        <v>14415</v>
      </c>
      <c r="J2796" s="2" t="s">
        <v>14416</v>
      </c>
      <c r="L2796" s="2" t="s">
        <v>14326</v>
      </c>
      <c r="M2796" s="2" t="s">
        <v>14417</v>
      </c>
      <c r="N2796" s="2" t="s">
        <v>14418</v>
      </c>
      <c r="O2796" s="2" t="s">
        <v>14419</v>
      </c>
      <c r="P2796" s="2" t="s">
        <v>14420</v>
      </c>
    </row>
    <row r="2797" ht="15.75" customHeight="1">
      <c r="H2797" s="2" t="s">
        <v>14421</v>
      </c>
      <c r="I2797" s="2" t="s">
        <v>286</v>
      </c>
      <c r="J2797" s="2" t="s">
        <v>287</v>
      </c>
      <c r="K2797" s="2" t="s">
        <v>1117</v>
      </c>
      <c r="L2797" s="2" t="s">
        <v>14326</v>
      </c>
      <c r="M2797" s="2" t="s">
        <v>14422</v>
      </c>
      <c r="N2797" s="2" t="s">
        <v>14423</v>
      </c>
      <c r="O2797" s="2" t="s">
        <v>14424</v>
      </c>
      <c r="P2797" s="2" t="s">
        <v>14425</v>
      </c>
    </row>
    <row r="2798" ht="15.75" customHeight="1">
      <c r="H2798" s="2" t="s">
        <v>14426</v>
      </c>
      <c r="I2798" s="2" t="s">
        <v>12601</v>
      </c>
      <c r="J2798" s="2" t="s">
        <v>12602</v>
      </c>
      <c r="K2798" s="2" t="s">
        <v>14427</v>
      </c>
      <c r="L2798" s="2" t="s">
        <v>14326</v>
      </c>
      <c r="M2798" s="2" t="s">
        <v>14428</v>
      </c>
      <c r="N2798" s="2" t="s">
        <v>14429</v>
      </c>
      <c r="O2798" s="2" t="s">
        <v>14430</v>
      </c>
      <c r="P2798" s="2" t="s">
        <v>869</v>
      </c>
    </row>
    <row r="2799" ht="15.75" customHeight="1">
      <c r="H2799" s="2" t="s">
        <v>14431</v>
      </c>
      <c r="I2799" s="2" t="s">
        <v>302</v>
      </c>
      <c r="J2799" s="2" t="s">
        <v>303</v>
      </c>
      <c r="K2799" s="2" t="s">
        <v>996</v>
      </c>
      <c r="L2799" s="2" t="s">
        <v>14326</v>
      </c>
      <c r="M2799" s="2" t="s">
        <v>14432</v>
      </c>
      <c r="N2799" s="2" t="s">
        <v>14433</v>
      </c>
      <c r="O2799" s="2" t="s">
        <v>14434</v>
      </c>
      <c r="P2799" s="2" t="s">
        <v>14435</v>
      </c>
    </row>
    <row r="2800" ht="15.75" customHeight="1">
      <c r="H2800" s="2" t="s">
        <v>14436</v>
      </c>
      <c r="I2800" s="2" t="s">
        <v>14437</v>
      </c>
      <c r="J2800" s="2" t="s">
        <v>14438</v>
      </c>
      <c r="K2800" s="2" t="s">
        <v>1569</v>
      </c>
      <c r="L2800" s="2" t="s">
        <v>14439</v>
      </c>
      <c r="M2800" s="2" t="s">
        <v>14440</v>
      </c>
      <c r="N2800" s="2" t="s">
        <v>14441</v>
      </c>
      <c r="O2800" s="2" t="s">
        <v>14442</v>
      </c>
      <c r="P2800" s="2" t="s">
        <v>14443</v>
      </c>
    </row>
    <row r="2801" ht="15.75" customHeight="1">
      <c r="H2801" s="2" t="s">
        <v>14444</v>
      </c>
      <c r="I2801" s="2" t="s">
        <v>12227</v>
      </c>
      <c r="J2801" s="2" t="s">
        <v>12228</v>
      </c>
      <c r="L2801" s="2" t="s">
        <v>14326</v>
      </c>
      <c r="M2801" s="2" t="s">
        <v>14445</v>
      </c>
      <c r="N2801" s="2" t="s">
        <v>14446</v>
      </c>
      <c r="O2801" s="2" t="s">
        <v>14447</v>
      </c>
      <c r="P2801" s="2" t="s">
        <v>14448</v>
      </c>
    </row>
    <row r="2802" ht="15.75" customHeight="1">
      <c r="H2802" s="2" t="s">
        <v>14449</v>
      </c>
      <c r="I2802" s="2" t="s">
        <v>14450</v>
      </c>
      <c r="J2802" s="2" t="s">
        <v>14451</v>
      </c>
      <c r="K2802" s="2" t="s">
        <v>14452</v>
      </c>
      <c r="L2802" s="2" t="s">
        <v>14326</v>
      </c>
      <c r="M2802" s="2" t="s">
        <v>14453</v>
      </c>
      <c r="N2802" s="2" t="s">
        <v>14454</v>
      </c>
      <c r="O2802" s="2" t="s">
        <v>14455</v>
      </c>
      <c r="P2802" s="2" t="s">
        <v>869</v>
      </c>
    </row>
    <row r="2803" ht="15.75" customHeight="1">
      <c r="H2803" s="2" t="s">
        <v>14456</v>
      </c>
      <c r="I2803" s="2" t="s">
        <v>13686</v>
      </c>
      <c r="J2803" s="2" t="s">
        <v>13687</v>
      </c>
      <c r="L2803" s="2" t="s">
        <v>14326</v>
      </c>
      <c r="M2803" s="2" t="s">
        <v>14457</v>
      </c>
      <c r="N2803" s="2" t="s">
        <v>14458</v>
      </c>
      <c r="O2803" s="2" t="s">
        <v>14459</v>
      </c>
      <c r="P2803" s="2" t="s">
        <v>14460</v>
      </c>
    </row>
    <row r="2804" ht="15.75" customHeight="1">
      <c r="H2804" s="2" t="s">
        <v>14461</v>
      </c>
      <c r="I2804" s="2" t="s">
        <v>310</v>
      </c>
      <c r="J2804" s="2" t="s">
        <v>311</v>
      </c>
      <c r="K2804" s="2" t="s">
        <v>1567</v>
      </c>
      <c r="L2804" s="2" t="s">
        <v>14462</v>
      </c>
      <c r="M2804" s="2" t="s">
        <v>14463</v>
      </c>
      <c r="N2804" s="2" t="s">
        <v>14464</v>
      </c>
      <c r="O2804" s="2" t="s">
        <v>14465</v>
      </c>
      <c r="P2804" s="2" t="s">
        <v>14466</v>
      </c>
    </row>
    <row r="2805" ht="15.75" customHeight="1">
      <c r="H2805" s="2" t="s">
        <v>14467</v>
      </c>
      <c r="I2805" s="2" t="s">
        <v>7740</v>
      </c>
      <c r="J2805" s="2" t="s">
        <v>7741</v>
      </c>
      <c r="L2805" s="2" t="s">
        <v>14326</v>
      </c>
      <c r="M2805" s="2" t="s">
        <v>14468</v>
      </c>
      <c r="N2805" s="2" t="s">
        <v>14469</v>
      </c>
      <c r="O2805" s="2" t="s">
        <v>14470</v>
      </c>
      <c r="P2805" s="2" t="s">
        <v>869</v>
      </c>
    </row>
    <row r="2806" ht="15.75" customHeight="1">
      <c r="H2806" s="2" t="s">
        <v>14471</v>
      </c>
      <c r="I2806" s="2" t="s">
        <v>14472</v>
      </c>
      <c r="J2806" s="2" t="s">
        <v>14473</v>
      </c>
      <c r="K2806" s="2" t="s">
        <v>3298</v>
      </c>
      <c r="L2806" s="2" t="s">
        <v>14474</v>
      </c>
      <c r="M2806" s="2" t="s">
        <v>14475</v>
      </c>
      <c r="N2806" s="2" t="s">
        <v>14476</v>
      </c>
      <c r="O2806" s="2" t="s">
        <v>14477</v>
      </c>
      <c r="P2806" s="2" t="s">
        <v>14478</v>
      </c>
    </row>
    <row r="2807" ht="15.75" customHeight="1">
      <c r="H2807" s="2" t="s">
        <v>14479</v>
      </c>
      <c r="I2807" s="2" t="s">
        <v>14480</v>
      </c>
      <c r="J2807" s="2" t="s">
        <v>14481</v>
      </c>
      <c r="K2807" s="2" t="s">
        <v>1731</v>
      </c>
      <c r="L2807" s="2" t="s">
        <v>14326</v>
      </c>
      <c r="M2807" s="2" t="s">
        <v>14482</v>
      </c>
      <c r="N2807" s="2" t="s">
        <v>14483</v>
      </c>
      <c r="O2807" s="2" t="s">
        <v>14484</v>
      </c>
      <c r="P2807" s="2" t="s">
        <v>869</v>
      </c>
    </row>
    <row r="2808" ht="15.75" customHeight="1">
      <c r="H2808" s="2" t="s">
        <v>14485</v>
      </c>
      <c r="I2808" s="2" t="s">
        <v>326</v>
      </c>
      <c r="J2808" s="2" t="s">
        <v>327</v>
      </c>
      <c r="K2808" s="2" t="s">
        <v>1331</v>
      </c>
      <c r="L2808" s="2" t="s">
        <v>14486</v>
      </c>
      <c r="M2808" s="2" t="s">
        <v>14487</v>
      </c>
      <c r="N2808" s="2" t="s">
        <v>14488</v>
      </c>
      <c r="O2808" s="2" t="s">
        <v>14489</v>
      </c>
      <c r="P2808" s="2" t="s">
        <v>14490</v>
      </c>
    </row>
    <row r="2809" ht="15.75" customHeight="1">
      <c r="H2809" s="2" t="s">
        <v>14491</v>
      </c>
      <c r="I2809" s="2" t="s">
        <v>12647</v>
      </c>
      <c r="J2809" s="2" t="s">
        <v>12648</v>
      </c>
      <c r="L2809" s="2" t="s">
        <v>14326</v>
      </c>
      <c r="M2809" s="2" t="s">
        <v>14492</v>
      </c>
      <c r="N2809" s="2" t="s">
        <v>14493</v>
      </c>
      <c r="O2809" s="2" t="s">
        <v>869</v>
      </c>
      <c r="P2809" s="2" t="s">
        <v>870</v>
      </c>
    </row>
    <row r="2810" ht="15.75" customHeight="1">
      <c r="H2810" s="2" t="s">
        <v>14494</v>
      </c>
      <c r="I2810" s="2" t="s">
        <v>14495</v>
      </c>
      <c r="J2810" s="2" t="s">
        <v>14496</v>
      </c>
      <c r="L2810" s="2" t="s">
        <v>14326</v>
      </c>
      <c r="M2810" s="2" t="s">
        <v>14497</v>
      </c>
      <c r="N2810" s="2" t="s">
        <v>14498</v>
      </c>
      <c r="O2810" s="2" t="s">
        <v>14499</v>
      </c>
      <c r="P2810" s="2" t="s">
        <v>869</v>
      </c>
    </row>
    <row r="2811" ht="15.75" customHeight="1">
      <c r="H2811" s="2" t="s">
        <v>14500</v>
      </c>
      <c r="I2811" s="2" t="s">
        <v>5459</v>
      </c>
      <c r="J2811" s="2" t="s">
        <v>5460</v>
      </c>
      <c r="K2811" s="2" t="s">
        <v>1692</v>
      </c>
      <c r="L2811" s="2" t="s">
        <v>14326</v>
      </c>
      <c r="M2811" s="2" t="s">
        <v>14501</v>
      </c>
      <c r="N2811" s="2" t="s">
        <v>14502</v>
      </c>
      <c r="O2811" s="2" t="s">
        <v>14503</v>
      </c>
      <c r="P2811" s="2" t="s">
        <v>14504</v>
      </c>
    </row>
    <row r="2812" ht="15.75" customHeight="1">
      <c r="H2812" s="2" t="s">
        <v>14505</v>
      </c>
      <c r="I2812" s="2" t="s">
        <v>14506</v>
      </c>
      <c r="J2812" s="2" t="s">
        <v>14507</v>
      </c>
      <c r="K2812" s="2" t="s">
        <v>14508</v>
      </c>
      <c r="L2812" s="2" t="s">
        <v>14326</v>
      </c>
      <c r="M2812" s="2" t="s">
        <v>14509</v>
      </c>
      <c r="N2812" s="2" t="s">
        <v>14510</v>
      </c>
      <c r="O2812" s="2" t="s">
        <v>14511</v>
      </c>
      <c r="P2812" s="2" t="s">
        <v>869</v>
      </c>
    </row>
    <row r="2813" ht="15.75" customHeight="1">
      <c r="H2813" s="2" t="s">
        <v>14512</v>
      </c>
      <c r="I2813" s="2" t="s">
        <v>432</v>
      </c>
      <c r="J2813" s="2" t="s">
        <v>433</v>
      </c>
      <c r="K2813" s="2" t="s">
        <v>2236</v>
      </c>
      <c r="L2813" s="2" t="s">
        <v>14513</v>
      </c>
      <c r="M2813" s="2" t="s">
        <v>14514</v>
      </c>
      <c r="N2813" s="2" t="s">
        <v>14515</v>
      </c>
      <c r="O2813" s="2" t="s">
        <v>14516</v>
      </c>
      <c r="P2813" s="2" t="s">
        <v>14517</v>
      </c>
    </row>
    <row r="2814" ht="15.75" customHeight="1">
      <c r="H2814" s="2" t="s">
        <v>14518</v>
      </c>
      <c r="I2814" s="2" t="s">
        <v>12278</v>
      </c>
      <c r="J2814" s="2" t="s">
        <v>12279</v>
      </c>
      <c r="K2814" s="2" t="s">
        <v>1704</v>
      </c>
      <c r="L2814" s="2" t="s">
        <v>14326</v>
      </c>
      <c r="M2814" s="2" t="s">
        <v>14519</v>
      </c>
      <c r="N2814" s="2" t="s">
        <v>14520</v>
      </c>
      <c r="O2814" s="2" t="s">
        <v>14521</v>
      </c>
      <c r="P2814" s="2" t="s">
        <v>14522</v>
      </c>
    </row>
    <row r="2815" ht="15.75" customHeight="1">
      <c r="H2815" s="2" t="s">
        <v>14523</v>
      </c>
      <c r="I2815" s="2" t="s">
        <v>449</v>
      </c>
      <c r="J2815" s="2" t="s">
        <v>450</v>
      </c>
      <c r="K2815" s="2" t="s">
        <v>5500</v>
      </c>
      <c r="L2815" s="2" t="s">
        <v>14524</v>
      </c>
      <c r="M2815" s="2" t="s">
        <v>14525</v>
      </c>
      <c r="N2815" s="2" t="s">
        <v>14526</v>
      </c>
      <c r="O2815" s="2" t="s">
        <v>14527</v>
      </c>
      <c r="P2815" s="2" t="s">
        <v>14528</v>
      </c>
    </row>
    <row r="2816" ht="15.75" customHeight="1">
      <c r="H2816" s="2" t="s">
        <v>14529</v>
      </c>
      <c r="I2816" s="2" t="s">
        <v>2331</v>
      </c>
      <c r="J2816" s="2" t="s">
        <v>2332</v>
      </c>
      <c r="K2816" s="2" t="s">
        <v>1731</v>
      </c>
      <c r="L2816" s="2" t="s">
        <v>14326</v>
      </c>
      <c r="M2816" s="2" t="s">
        <v>14530</v>
      </c>
      <c r="N2816" s="2" t="s">
        <v>14531</v>
      </c>
      <c r="O2816" s="2" t="s">
        <v>14532</v>
      </c>
      <c r="P2816" s="2" t="s">
        <v>869</v>
      </c>
    </row>
    <row r="2817" ht="15.75" customHeight="1">
      <c r="H2817" s="2" t="s">
        <v>14533</v>
      </c>
      <c r="I2817" s="2" t="s">
        <v>5541</v>
      </c>
      <c r="J2817" s="2" t="s">
        <v>5542</v>
      </c>
      <c r="L2817" s="2" t="s">
        <v>14326</v>
      </c>
      <c r="M2817" s="2" t="s">
        <v>14534</v>
      </c>
      <c r="N2817" s="2" t="s">
        <v>14535</v>
      </c>
      <c r="O2817" s="2" t="s">
        <v>869</v>
      </c>
      <c r="P2817" s="2" t="s">
        <v>870</v>
      </c>
    </row>
    <row r="2818" ht="15.75" customHeight="1">
      <c r="H2818" s="2" t="s">
        <v>14536</v>
      </c>
      <c r="I2818" s="2" t="s">
        <v>485</v>
      </c>
      <c r="J2818" s="2" t="s">
        <v>486</v>
      </c>
      <c r="K2818" s="2" t="s">
        <v>2375</v>
      </c>
      <c r="L2818" s="2" t="s">
        <v>14537</v>
      </c>
      <c r="M2818" s="2" t="s">
        <v>14538</v>
      </c>
      <c r="N2818" s="2" t="s">
        <v>14539</v>
      </c>
      <c r="O2818" s="2" t="s">
        <v>14540</v>
      </c>
      <c r="P2818" s="2" t="s">
        <v>14541</v>
      </c>
    </row>
    <row r="2819" ht="15.75" customHeight="1">
      <c r="H2819" s="2" t="s">
        <v>14542</v>
      </c>
      <c r="I2819" s="2" t="s">
        <v>2421</v>
      </c>
      <c r="J2819" s="2" t="s">
        <v>2422</v>
      </c>
      <c r="K2819" s="2" t="s">
        <v>1698</v>
      </c>
      <c r="L2819" s="2" t="s">
        <v>14326</v>
      </c>
      <c r="M2819" s="2" t="s">
        <v>14543</v>
      </c>
      <c r="N2819" s="2" t="s">
        <v>14544</v>
      </c>
      <c r="O2819" s="2" t="s">
        <v>14545</v>
      </c>
      <c r="P2819" s="2" t="s">
        <v>869</v>
      </c>
    </row>
    <row r="2820" ht="15.75" customHeight="1">
      <c r="H2820" s="2" t="s">
        <v>14546</v>
      </c>
      <c r="I2820" s="2" t="s">
        <v>510</v>
      </c>
      <c r="J2820" s="2" t="s">
        <v>511</v>
      </c>
      <c r="K2820" s="2" t="s">
        <v>2068</v>
      </c>
      <c r="L2820" s="2" t="s">
        <v>14326</v>
      </c>
      <c r="M2820" s="2" t="s">
        <v>14547</v>
      </c>
      <c r="N2820" s="2" t="s">
        <v>14548</v>
      </c>
      <c r="O2820" s="2" t="s">
        <v>14545</v>
      </c>
      <c r="P2820" s="2" t="s">
        <v>869</v>
      </c>
    </row>
    <row r="2821" ht="15.75" customHeight="1">
      <c r="H2821" s="2" t="s">
        <v>14549</v>
      </c>
      <c r="I2821" s="2" t="s">
        <v>2435</v>
      </c>
      <c r="J2821" s="2" t="s">
        <v>2436</v>
      </c>
      <c r="K2821" s="2" t="s">
        <v>1785</v>
      </c>
      <c r="L2821" s="2" t="s">
        <v>14326</v>
      </c>
      <c r="M2821" s="2" t="s">
        <v>14550</v>
      </c>
      <c r="N2821" s="2" t="s">
        <v>14551</v>
      </c>
      <c r="O2821" s="2" t="s">
        <v>14552</v>
      </c>
      <c r="P2821" s="2" t="s">
        <v>14553</v>
      </c>
    </row>
    <row r="2822" ht="15.75" customHeight="1">
      <c r="H2822" s="2" t="s">
        <v>14554</v>
      </c>
      <c r="I2822" s="2" t="s">
        <v>518</v>
      </c>
      <c r="J2822" s="2" t="s">
        <v>519</v>
      </c>
      <c r="K2822" s="2" t="s">
        <v>2452</v>
      </c>
      <c r="L2822" s="2" t="s">
        <v>14326</v>
      </c>
      <c r="M2822" s="2" t="s">
        <v>14555</v>
      </c>
      <c r="N2822" s="2" t="s">
        <v>14556</v>
      </c>
      <c r="O2822" s="2" t="s">
        <v>14557</v>
      </c>
      <c r="P2822" s="2" t="s">
        <v>14558</v>
      </c>
    </row>
    <row r="2823" ht="15.75" customHeight="1">
      <c r="H2823" s="2" t="s">
        <v>14559</v>
      </c>
      <c r="I2823" s="2" t="s">
        <v>14560</v>
      </c>
      <c r="J2823" s="2" t="s">
        <v>14561</v>
      </c>
      <c r="K2823" s="2" t="s">
        <v>14562</v>
      </c>
      <c r="L2823" s="2" t="s">
        <v>14563</v>
      </c>
      <c r="M2823" s="2" t="s">
        <v>14564</v>
      </c>
      <c r="N2823" s="2" t="s">
        <v>14565</v>
      </c>
      <c r="O2823" s="2" t="s">
        <v>14566</v>
      </c>
      <c r="P2823" s="2" t="s">
        <v>14567</v>
      </c>
    </row>
    <row r="2824" ht="15.75" customHeight="1">
      <c r="H2824" s="2" t="s">
        <v>14568</v>
      </c>
      <c r="I2824" s="2" t="s">
        <v>526</v>
      </c>
      <c r="J2824" s="2" t="s">
        <v>527</v>
      </c>
      <c r="K2824" s="2" t="s">
        <v>2316</v>
      </c>
      <c r="L2824" s="2" t="s">
        <v>14569</v>
      </c>
      <c r="M2824" s="2" t="s">
        <v>14570</v>
      </c>
      <c r="N2824" s="2" t="s">
        <v>14571</v>
      </c>
      <c r="O2824" s="2" t="s">
        <v>14572</v>
      </c>
      <c r="P2824" s="2" t="s">
        <v>869</v>
      </c>
    </row>
    <row r="2825" ht="15.75" customHeight="1">
      <c r="H2825" s="2" t="s">
        <v>14573</v>
      </c>
      <c r="I2825" s="2" t="s">
        <v>13918</v>
      </c>
      <c r="J2825" s="2" t="s">
        <v>13919</v>
      </c>
      <c r="L2825" s="2" t="s">
        <v>14326</v>
      </c>
      <c r="M2825" s="2" t="s">
        <v>14574</v>
      </c>
      <c r="N2825" s="2" t="s">
        <v>14575</v>
      </c>
      <c r="O2825" s="2" t="s">
        <v>14576</v>
      </c>
      <c r="P2825" s="2" t="s">
        <v>869</v>
      </c>
    </row>
    <row r="2826" ht="15.75" customHeight="1">
      <c r="F2826" s="2" t="s">
        <v>534</v>
      </c>
      <c r="H2826" s="2" t="s">
        <v>14577</v>
      </c>
      <c r="I2826" s="2" t="s">
        <v>536</v>
      </c>
      <c r="J2826" s="2" t="s">
        <v>537</v>
      </c>
      <c r="K2826" s="2" t="s">
        <v>538</v>
      </c>
    </row>
    <row r="2827" ht="15.75" customHeight="1">
      <c r="F2827" s="2" t="s">
        <v>548</v>
      </c>
      <c r="H2827" s="2" t="s">
        <v>14578</v>
      </c>
      <c r="I2827" s="2" t="s">
        <v>12779</v>
      </c>
      <c r="J2827" s="2" t="s">
        <v>12780</v>
      </c>
      <c r="K2827" s="2" t="s">
        <v>14579</v>
      </c>
      <c r="L2827" s="2" t="s">
        <v>14326</v>
      </c>
      <c r="M2827" s="2" t="s">
        <v>14580</v>
      </c>
      <c r="N2827" s="2" t="s">
        <v>14581</v>
      </c>
      <c r="O2827" s="2" t="s">
        <v>14582</v>
      </c>
      <c r="P2827" s="2" t="s">
        <v>869</v>
      </c>
    </row>
    <row r="2828" ht="15.75" customHeight="1">
      <c r="F2828" s="2" t="s">
        <v>556</v>
      </c>
      <c r="H2828" s="2" t="s">
        <v>14583</v>
      </c>
      <c r="I2828" s="2" t="s">
        <v>558</v>
      </c>
      <c r="J2828" s="2" t="s">
        <v>559</v>
      </c>
      <c r="K2828" s="2" t="s">
        <v>1362</v>
      </c>
      <c r="L2828" s="2" t="s">
        <v>14326</v>
      </c>
      <c r="M2828" s="2" t="s">
        <v>14584</v>
      </c>
      <c r="N2828" s="2" t="s">
        <v>14585</v>
      </c>
      <c r="O2828" s="2" t="s">
        <v>14586</v>
      </c>
      <c r="P2828" s="2" t="s">
        <v>14587</v>
      </c>
    </row>
    <row r="2829" ht="15.75" customHeight="1">
      <c r="F2829" s="2" t="s">
        <v>598</v>
      </c>
      <c r="H2829" s="2" t="s">
        <v>14588</v>
      </c>
      <c r="I2829" s="2" t="s">
        <v>608</v>
      </c>
      <c r="J2829" s="2" t="s">
        <v>609</v>
      </c>
      <c r="K2829" s="2" t="s">
        <v>1508</v>
      </c>
      <c r="L2829" s="2" t="s">
        <v>14589</v>
      </c>
      <c r="M2829" s="2" t="s">
        <v>14590</v>
      </c>
      <c r="N2829" s="2" t="s">
        <v>14591</v>
      </c>
      <c r="O2829" s="2" t="s">
        <v>14592</v>
      </c>
      <c r="P2829" s="2" t="s">
        <v>14593</v>
      </c>
    </row>
    <row r="2830" ht="15.75" customHeight="1">
      <c r="F2830" s="2" t="s">
        <v>624</v>
      </c>
      <c r="H2830" s="2" t="s">
        <v>14594</v>
      </c>
      <c r="I2830" s="2" t="s">
        <v>14595</v>
      </c>
      <c r="J2830" s="2" t="s">
        <v>14596</v>
      </c>
      <c r="L2830" s="2" t="s">
        <v>14326</v>
      </c>
      <c r="M2830" s="2" t="s">
        <v>14597</v>
      </c>
      <c r="N2830" s="2" t="s">
        <v>14598</v>
      </c>
      <c r="O2830" s="2" t="s">
        <v>14599</v>
      </c>
      <c r="P2830" s="2" t="s">
        <v>14600</v>
      </c>
    </row>
    <row r="2831" ht="15.75" customHeight="1">
      <c r="H2831" s="2" t="s">
        <v>14601</v>
      </c>
      <c r="I2831" s="2" t="s">
        <v>626</v>
      </c>
      <c r="J2831" s="2" t="s">
        <v>627</v>
      </c>
      <c r="K2831" s="2" t="s">
        <v>2203</v>
      </c>
      <c r="L2831" s="2" t="s">
        <v>14602</v>
      </c>
      <c r="M2831" s="2" t="s">
        <v>14603</v>
      </c>
      <c r="N2831" s="2" t="s">
        <v>14604</v>
      </c>
      <c r="O2831" s="2" t="s">
        <v>14605</v>
      </c>
      <c r="P2831" s="2" t="s">
        <v>14606</v>
      </c>
    </row>
    <row r="2832" ht="15.75" customHeight="1">
      <c r="F2832" s="2" t="s">
        <v>634</v>
      </c>
      <c r="H2832" s="2" t="s">
        <v>14607</v>
      </c>
      <c r="I2832" s="2" t="s">
        <v>14608</v>
      </c>
      <c r="J2832" s="2" t="s">
        <v>14609</v>
      </c>
      <c r="K2832" s="2" t="s">
        <v>17</v>
      </c>
      <c r="L2832" s="2" t="s">
        <v>14326</v>
      </c>
      <c r="M2832" s="2" t="s">
        <v>14610</v>
      </c>
      <c r="N2832" s="2" t="s">
        <v>14611</v>
      </c>
      <c r="O2832" s="2" t="s">
        <v>14612</v>
      </c>
      <c r="P2832" s="2" t="s">
        <v>869</v>
      </c>
    </row>
    <row r="2833" ht="15.75" customHeight="1">
      <c r="F2833" s="2" t="s">
        <v>660</v>
      </c>
      <c r="H2833" s="2" t="s">
        <v>14613</v>
      </c>
      <c r="I2833" s="2" t="s">
        <v>662</v>
      </c>
      <c r="J2833" s="2" t="s">
        <v>663</v>
      </c>
      <c r="K2833" s="2" t="s">
        <v>1567</v>
      </c>
      <c r="L2833" s="2" t="s">
        <v>14614</v>
      </c>
      <c r="M2833" s="2" t="s">
        <v>14615</v>
      </c>
      <c r="N2833" s="2" t="s">
        <v>14616</v>
      </c>
      <c r="O2833" s="2" t="s">
        <v>14617</v>
      </c>
      <c r="P2833" s="2" t="s">
        <v>14618</v>
      </c>
    </row>
    <row r="2834" ht="15.75" customHeight="1">
      <c r="F2834" s="2" t="s">
        <v>677</v>
      </c>
      <c r="H2834" s="2" t="s">
        <v>14619</v>
      </c>
      <c r="I2834" s="2" t="s">
        <v>14620</v>
      </c>
      <c r="J2834" s="2" t="s">
        <v>14621</v>
      </c>
      <c r="K2834" s="2" t="s">
        <v>14622</v>
      </c>
      <c r="L2834" s="2" t="s">
        <v>14326</v>
      </c>
      <c r="M2834" s="2" t="s">
        <v>14623</v>
      </c>
      <c r="N2834" s="2" t="s">
        <v>14624</v>
      </c>
      <c r="O2834" s="2" t="s">
        <v>14625</v>
      </c>
      <c r="P2834" s="2" t="s">
        <v>869</v>
      </c>
    </row>
    <row r="2835" ht="15.75" customHeight="1">
      <c r="F2835" s="2" t="s">
        <v>703</v>
      </c>
      <c r="H2835" s="2" t="s">
        <v>14626</v>
      </c>
      <c r="I2835" s="2" t="s">
        <v>713</v>
      </c>
      <c r="J2835" s="2" t="s">
        <v>714</v>
      </c>
      <c r="K2835" s="2" t="s">
        <v>1567</v>
      </c>
      <c r="L2835" s="2" t="s">
        <v>14326</v>
      </c>
      <c r="M2835" s="2" t="s">
        <v>14627</v>
      </c>
      <c r="N2835" s="2" t="s">
        <v>14628</v>
      </c>
      <c r="O2835" s="2" t="s">
        <v>14629</v>
      </c>
      <c r="P2835" s="2" t="s">
        <v>869</v>
      </c>
    </row>
    <row r="2836" ht="15.75" customHeight="1">
      <c r="H2836" s="2" t="s">
        <v>14630</v>
      </c>
      <c r="I2836" s="2" t="s">
        <v>14631</v>
      </c>
      <c r="J2836" s="2" t="s">
        <v>14632</v>
      </c>
      <c r="K2836" s="2" t="s">
        <v>12721</v>
      </c>
      <c r="L2836" s="2" t="s">
        <v>14326</v>
      </c>
      <c r="M2836" s="2" t="s">
        <v>14633</v>
      </c>
      <c r="N2836" s="2" t="s">
        <v>14634</v>
      </c>
      <c r="O2836" s="2" t="s">
        <v>14635</v>
      </c>
      <c r="P2836" s="2" t="s">
        <v>14636</v>
      </c>
    </row>
    <row r="2837" ht="15.75" customHeight="1">
      <c r="H2837" s="2" t="s">
        <v>14637</v>
      </c>
      <c r="I2837" s="2" t="s">
        <v>14638</v>
      </c>
      <c r="J2837" s="2" t="s">
        <v>14639</v>
      </c>
      <c r="L2837" s="2" t="s">
        <v>14326</v>
      </c>
      <c r="M2837" s="2" t="s">
        <v>14640</v>
      </c>
      <c r="N2837" s="2" t="s">
        <v>14641</v>
      </c>
      <c r="O2837" s="2" t="s">
        <v>869</v>
      </c>
      <c r="P2837" s="2" t="s">
        <v>870</v>
      </c>
    </row>
    <row r="2838" ht="15.75" customHeight="1">
      <c r="F2838" s="2" t="s">
        <v>746</v>
      </c>
      <c r="H2838" s="2" t="s">
        <v>14642</v>
      </c>
      <c r="I2838" s="2" t="s">
        <v>4282</v>
      </c>
      <c r="J2838" s="2" t="s">
        <v>4283</v>
      </c>
      <c r="K2838" s="2" t="s">
        <v>886</v>
      </c>
      <c r="L2838" s="2" t="s">
        <v>14326</v>
      </c>
      <c r="M2838" s="2" t="s">
        <v>14643</v>
      </c>
      <c r="N2838" s="2" t="s">
        <v>14644</v>
      </c>
      <c r="O2838" s="2" t="s">
        <v>869</v>
      </c>
      <c r="P2838" s="2" t="s">
        <v>870</v>
      </c>
    </row>
    <row r="2839" ht="15.75" customHeight="1">
      <c r="H2839" s="2" t="s">
        <v>14645</v>
      </c>
      <c r="I2839" s="2" t="s">
        <v>14646</v>
      </c>
      <c r="J2839" s="2" t="s">
        <v>14647</v>
      </c>
      <c r="L2839" s="2" t="s">
        <v>14326</v>
      </c>
      <c r="M2839" s="2" t="s">
        <v>14648</v>
      </c>
      <c r="N2839" s="2" t="s">
        <v>14649</v>
      </c>
      <c r="O2839" s="2" t="s">
        <v>14650</v>
      </c>
      <c r="P2839" s="2" t="s">
        <v>869</v>
      </c>
    </row>
    <row r="2840" ht="15.75" customHeight="1">
      <c r="F2840" s="2" t="s">
        <v>755</v>
      </c>
      <c r="H2840" s="2" t="s">
        <v>14651</v>
      </c>
      <c r="I2840" s="2" t="s">
        <v>757</v>
      </c>
      <c r="J2840" s="2" t="s">
        <v>758</v>
      </c>
      <c r="K2840" s="2" t="s">
        <v>4429</v>
      </c>
      <c r="L2840" s="2" t="s">
        <v>14652</v>
      </c>
      <c r="M2840" s="2" t="s">
        <v>14653</v>
      </c>
      <c r="N2840" s="2" t="s">
        <v>14654</v>
      </c>
      <c r="O2840" s="2" t="s">
        <v>14655</v>
      </c>
      <c r="P2840" s="2" t="s">
        <v>14656</v>
      </c>
    </row>
    <row r="2841" ht="15.75" customHeight="1">
      <c r="F2841" s="2" t="s">
        <v>800</v>
      </c>
      <c r="H2841" s="2" t="s">
        <v>14657</v>
      </c>
      <c r="I2841" s="2" t="s">
        <v>11561</v>
      </c>
      <c r="J2841" s="2" t="s">
        <v>11562</v>
      </c>
      <c r="K2841" s="2" t="s">
        <v>1117</v>
      </c>
      <c r="L2841" s="2" t="s">
        <v>14326</v>
      </c>
      <c r="M2841" s="2" t="s">
        <v>14658</v>
      </c>
      <c r="N2841" s="2" t="s">
        <v>14659</v>
      </c>
      <c r="O2841" s="2" t="s">
        <v>14660</v>
      </c>
      <c r="P2841" s="2" t="s">
        <v>14661</v>
      </c>
    </row>
    <row r="2842" ht="15.75" customHeight="1">
      <c r="H2842" s="2" t="s">
        <v>14662</v>
      </c>
      <c r="I2842" s="2" t="s">
        <v>14663</v>
      </c>
      <c r="J2842" s="2" t="s">
        <v>14664</v>
      </c>
      <c r="K2842" s="2" t="s">
        <v>896</v>
      </c>
      <c r="L2842" s="2" t="s">
        <v>14665</v>
      </c>
      <c r="M2842" s="2" t="s">
        <v>14666</v>
      </c>
      <c r="N2842" s="2" t="s">
        <v>14667</v>
      </c>
      <c r="O2842" s="2" t="s">
        <v>14668</v>
      </c>
      <c r="P2842" s="2" t="s">
        <v>14669</v>
      </c>
    </row>
    <row r="2843" ht="15.75" customHeight="1">
      <c r="H2843" s="2" t="s">
        <v>14670</v>
      </c>
      <c r="I2843" s="2" t="s">
        <v>5027</v>
      </c>
      <c r="J2843" s="2" t="s">
        <v>5028</v>
      </c>
      <c r="L2843" s="2" t="s">
        <v>14326</v>
      </c>
      <c r="M2843" s="2" t="s">
        <v>14671</v>
      </c>
      <c r="N2843" s="2" t="s">
        <v>14672</v>
      </c>
      <c r="O2843" s="2" t="s">
        <v>14673</v>
      </c>
      <c r="P2843" s="2" t="s">
        <v>869</v>
      </c>
    </row>
    <row r="2844" ht="15.75" customHeight="1">
      <c r="H2844" s="2" t="s">
        <v>14674</v>
      </c>
      <c r="I2844" s="2" t="s">
        <v>14675</v>
      </c>
      <c r="J2844" s="2" t="s">
        <v>14676</v>
      </c>
      <c r="K2844" s="2" t="s">
        <v>12460</v>
      </c>
      <c r="L2844" s="2" t="s">
        <v>14326</v>
      </c>
      <c r="M2844" s="2" t="s">
        <v>14677</v>
      </c>
      <c r="N2844" s="2" t="s">
        <v>14678</v>
      </c>
      <c r="O2844" s="2" t="s">
        <v>14679</v>
      </c>
      <c r="P2844" s="2" t="s">
        <v>14680</v>
      </c>
    </row>
    <row r="2845" ht="15.75" customHeight="1">
      <c r="F2845" s="2" t="s">
        <v>843</v>
      </c>
      <c r="H2845" s="2" t="s">
        <v>14681</v>
      </c>
      <c r="I2845" s="2" t="s">
        <v>845</v>
      </c>
      <c r="J2845" s="2" t="s">
        <v>846</v>
      </c>
      <c r="K2845" s="2" t="s">
        <v>1618</v>
      </c>
      <c r="L2845" s="2" t="s">
        <v>14326</v>
      </c>
      <c r="M2845" s="2" t="s">
        <v>14682</v>
      </c>
      <c r="N2845" s="2" t="s">
        <v>14683</v>
      </c>
      <c r="O2845" s="2" t="s">
        <v>14684</v>
      </c>
      <c r="P2845" s="2" t="s">
        <v>869</v>
      </c>
    </row>
    <row r="2846" ht="15.75" customHeight="1">
      <c r="B2846" s="2" t="s">
        <v>14685</v>
      </c>
      <c r="C2846" s="2" t="s">
        <v>2937</v>
      </c>
      <c r="D2846" s="2" t="s">
        <v>14686</v>
      </c>
      <c r="F2846" s="2" t="s">
        <v>534</v>
      </c>
      <c r="H2846" s="2" t="s">
        <v>14687</v>
      </c>
      <c r="I2846" s="2" t="s">
        <v>2512</v>
      </c>
      <c r="J2846" s="2" t="s">
        <v>2513</v>
      </c>
      <c r="K2846" s="2" t="s">
        <v>2514</v>
      </c>
    </row>
    <row r="2847" ht="15.75" customHeight="1">
      <c r="H2847" s="2" t="s">
        <v>14688</v>
      </c>
      <c r="I2847" s="2" t="s">
        <v>536</v>
      </c>
      <c r="J2847" s="2" t="s">
        <v>537</v>
      </c>
      <c r="K2847" s="2" t="s">
        <v>538</v>
      </c>
    </row>
    <row r="2848" ht="15.75" customHeight="1">
      <c r="B2848" s="2" t="s">
        <v>14689</v>
      </c>
      <c r="C2848" s="2" t="s">
        <v>2937</v>
      </c>
      <c r="D2848" s="2" t="s">
        <v>14690</v>
      </c>
      <c r="F2848" s="2" t="s">
        <v>19</v>
      </c>
      <c r="H2848" s="2" t="s">
        <v>14691</v>
      </c>
      <c r="I2848" s="2" t="s">
        <v>21</v>
      </c>
      <c r="J2848" s="2" t="s">
        <v>22</v>
      </c>
      <c r="K2848" s="2" t="s">
        <v>865</v>
      </c>
      <c r="L2848" s="2" t="s">
        <v>14692</v>
      </c>
      <c r="M2848" s="2" t="s">
        <v>14693</v>
      </c>
      <c r="N2848" s="2" t="s">
        <v>14694</v>
      </c>
      <c r="O2848" s="2" t="s">
        <v>14695</v>
      </c>
      <c r="P2848" s="2" t="s">
        <v>14696</v>
      </c>
    </row>
    <row r="2849" ht="15.75" customHeight="1">
      <c r="F2849" s="2" t="s">
        <v>29</v>
      </c>
      <c r="H2849" s="2" t="s">
        <v>14697</v>
      </c>
      <c r="I2849" s="2" t="s">
        <v>31</v>
      </c>
      <c r="J2849" s="2" t="s">
        <v>32</v>
      </c>
      <c r="K2849" s="2" t="s">
        <v>874</v>
      </c>
      <c r="L2849" s="2" t="s">
        <v>14692</v>
      </c>
      <c r="M2849" s="2" t="s">
        <v>14698</v>
      </c>
      <c r="N2849" s="2" t="s">
        <v>14699</v>
      </c>
      <c r="O2849" s="2" t="s">
        <v>14700</v>
      </c>
      <c r="P2849" s="2" t="s">
        <v>14701</v>
      </c>
    </row>
    <row r="2850" ht="15.75" customHeight="1">
      <c r="F2850" s="2" t="s">
        <v>39</v>
      </c>
      <c r="H2850" s="2" t="s">
        <v>14702</v>
      </c>
      <c r="I2850" s="2" t="s">
        <v>41</v>
      </c>
      <c r="J2850" s="2" t="s">
        <v>42</v>
      </c>
      <c r="K2850" s="2" t="s">
        <v>853</v>
      </c>
      <c r="L2850" s="2" t="s">
        <v>14692</v>
      </c>
      <c r="M2850" s="2" t="s">
        <v>14703</v>
      </c>
      <c r="N2850" s="2" t="s">
        <v>14704</v>
      </c>
      <c r="O2850" s="2" t="s">
        <v>14705</v>
      </c>
      <c r="P2850" s="2" t="s">
        <v>14706</v>
      </c>
    </row>
    <row r="2851" ht="15.75" customHeight="1">
      <c r="F2851" s="2" t="s">
        <v>56</v>
      </c>
      <c r="H2851" s="2" t="s">
        <v>14707</v>
      </c>
      <c r="I2851" s="2" t="s">
        <v>14708</v>
      </c>
      <c r="J2851" s="2" t="s">
        <v>14709</v>
      </c>
      <c r="K2851" s="2" t="s">
        <v>14710</v>
      </c>
      <c r="L2851" s="2" t="s">
        <v>14692</v>
      </c>
      <c r="M2851" s="2" t="s">
        <v>14711</v>
      </c>
      <c r="N2851" s="2" t="s">
        <v>14712</v>
      </c>
      <c r="O2851" s="2" t="s">
        <v>14713</v>
      </c>
      <c r="P2851" s="2" t="s">
        <v>14714</v>
      </c>
    </row>
    <row r="2852" ht="15.75" customHeight="1">
      <c r="F2852" s="2" t="s">
        <v>74</v>
      </c>
      <c r="H2852" s="2" t="s">
        <v>14715</v>
      </c>
      <c r="I2852" s="2" t="s">
        <v>76</v>
      </c>
      <c r="J2852" s="2" t="s">
        <v>77</v>
      </c>
      <c r="K2852" s="2" t="s">
        <v>947</v>
      </c>
      <c r="L2852" s="2" t="s">
        <v>14692</v>
      </c>
      <c r="M2852" s="2" t="s">
        <v>14716</v>
      </c>
      <c r="N2852" s="2" t="s">
        <v>14717</v>
      </c>
      <c r="O2852" s="2" t="s">
        <v>14718</v>
      </c>
      <c r="P2852" s="2" t="s">
        <v>14719</v>
      </c>
    </row>
    <row r="2853" ht="15.75" customHeight="1">
      <c r="H2853" s="2" t="s">
        <v>14720</v>
      </c>
      <c r="I2853" s="2" t="s">
        <v>93</v>
      </c>
      <c r="J2853" s="2" t="s">
        <v>94</v>
      </c>
      <c r="K2853" s="2" t="s">
        <v>1551</v>
      </c>
      <c r="L2853" s="2" t="s">
        <v>14692</v>
      </c>
      <c r="M2853" s="2" t="s">
        <v>14721</v>
      </c>
      <c r="N2853" s="2" t="s">
        <v>14722</v>
      </c>
      <c r="O2853" s="2" t="s">
        <v>14723</v>
      </c>
      <c r="P2853" s="2" t="s">
        <v>14724</v>
      </c>
    </row>
    <row r="2854" ht="15.75" customHeight="1">
      <c r="H2854" s="2" t="s">
        <v>14725</v>
      </c>
      <c r="I2854" s="2" t="s">
        <v>117</v>
      </c>
      <c r="J2854" s="2" t="s">
        <v>118</v>
      </c>
      <c r="K2854" s="2" t="s">
        <v>1424</v>
      </c>
      <c r="L2854" s="2" t="s">
        <v>14692</v>
      </c>
      <c r="M2854" s="2" t="s">
        <v>14726</v>
      </c>
      <c r="N2854" s="2" t="s">
        <v>14727</v>
      </c>
      <c r="O2854" s="2" t="s">
        <v>14728</v>
      </c>
      <c r="P2854" s="2" t="s">
        <v>14729</v>
      </c>
    </row>
    <row r="2855" ht="15.75" customHeight="1">
      <c r="H2855" s="2" t="s">
        <v>14730</v>
      </c>
      <c r="I2855" s="2" t="s">
        <v>7075</v>
      </c>
      <c r="J2855" s="2" t="s">
        <v>7076</v>
      </c>
      <c r="L2855" s="2" t="s">
        <v>14692</v>
      </c>
      <c r="M2855" s="2" t="s">
        <v>14731</v>
      </c>
      <c r="N2855" s="2" t="s">
        <v>14732</v>
      </c>
      <c r="O2855" s="2" t="s">
        <v>14733</v>
      </c>
      <c r="P2855" s="2" t="s">
        <v>869</v>
      </c>
    </row>
    <row r="2856" ht="15.75" customHeight="1">
      <c r="H2856" s="2" t="s">
        <v>14734</v>
      </c>
      <c r="I2856" s="2" t="s">
        <v>167</v>
      </c>
      <c r="J2856" s="2" t="s">
        <v>168</v>
      </c>
      <c r="K2856" s="2" t="s">
        <v>1692</v>
      </c>
      <c r="L2856" s="2" t="s">
        <v>14692</v>
      </c>
      <c r="M2856" s="2" t="s">
        <v>14735</v>
      </c>
      <c r="N2856" s="2" t="s">
        <v>14736</v>
      </c>
      <c r="O2856" s="2" t="s">
        <v>14737</v>
      </c>
      <c r="P2856" s="2" t="s">
        <v>14738</v>
      </c>
    </row>
    <row r="2857" ht="15.75" customHeight="1">
      <c r="H2857" s="2" t="s">
        <v>14739</v>
      </c>
      <c r="I2857" s="2" t="s">
        <v>176</v>
      </c>
      <c r="J2857" s="2" t="s">
        <v>177</v>
      </c>
      <c r="K2857" s="2" t="s">
        <v>1708</v>
      </c>
      <c r="L2857" s="2" t="s">
        <v>14692</v>
      </c>
      <c r="M2857" s="2" t="s">
        <v>14740</v>
      </c>
      <c r="N2857" s="2" t="s">
        <v>14741</v>
      </c>
      <c r="O2857" s="2" t="s">
        <v>14742</v>
      </c>
      <c r="P2857" s="2" t="s">
        <v>14743</v>
      </c>
    </row>
    <row r="2858" ht="15.75" customHeight="1">
      <c r="H2858" s="2" t="s">
        <v>14744</v>
      </c>
      <c r="I2858" s="2" t="s">
        <v>185</v>
      </c>
      <c r="J2858" s="2" t="s">
        <v>186</v>
      </c>
      <c r="L2858" s="2" t="s">
        <v>14692</v>
      </c>
      <c r="M2858" s="2" t="s">
        <v>14745</v>
      </c>
      <c r="N2858" s="2" t="s">
        <v>14746</v>
      </c>
      <c r="O2858" s="2" t="s">
        <v>14747</v>
      </c>
      <c r="P2858" s="2" t="s">
        <v>869</v>
      </c>
    </row>
    <row r="2859" ht="15.75" customHeight="1">
      <c r="H2859" s="2" t="s">
        <v>14748</v>
      </c>
      <c r="I2859" s="2" t="s">
        <v>1753</v>
      </c>
      <c r="J2859" s="2" t="s">
        <v>1754</v>
      </c>
      <c r="L2859" s="2" t="s">
        <v>14692</v>
      </c>
      <c r="M2859" s="2" t="s">
        <v>14749</v>
      </c>
      <c r="N2859" s="2" t="s">
        <v>14750</v>
      </c>
      <c r="O2859" s="2" t="s">
        <v>14751</v>
      </c>
      <c r="P2859" s="2" t="s">
        <v>869</v>
      </c>
    </row>
    <row r="2860" ht="15.75" customHeight="1">
      <c r="H2860" s="2" t="s">
        <v>14752</v>
      </c>
      <c r="I2860" s="2" t="s">
        <v>217</v>
      </c>
      <c r="J2860" s="2" t="s">
        <v>218</v>
      </c>
      <c r="K2860" s="2" t="s">
        <v>1768</v>
      </c>
      <c r="L2860" s="2" t="s">
        <v>14692</v>
      </c>
      <c r="M2860" s="2" t="s">
        <v>14753</v>
      </c>
      <c r="N2860" s="2" t="s">
        <v>14754</v>
      </c>
      <c r="O2860" s="2" t="s">
        <v>14755</v>
      </c>
      <c r="P2860" s="2" t="s">
        <v>14756</v>
      </c>
    </row>
    <row r="2861" ht="15.75" customHeight="1">
      <c r="H2861" s="2" t="s">
        <v>14757</v>
      </c>
      <c r="I2861" s="2" t="s">
        <v>241</v>
      </c>
      <c r="J2861" s="2" t="s">
        <v>242</v>
      </c>
      <c r="L2861" s="2" t="s">
        <v>14692</v>
      </c>
      <c r="M2861" s="2" t="s">
        <v>14758</v>
      </c>
      <c r="N2861" s="2" t="s">
        <v>14759</v>
      </c>
      <c r="O2861" s="2" t="s">
        <v>14760</v>
      </c>
      <c r="P2861" s="2" t="s">
        <v>869</v>
      </c>
    </row>
    <row r="2862" ht="15.75" customHeight="1">
      <c r="H2862" s="2" t="s">
        <v>14761</v>
      </c>
      <c r="I2862" s="2" t="s">
        <v>14762</v>
      </c>
      <c r="J2862" s="2" t="s">
        <v>14763</v>
      </c>
      <c r="L2862" s="2" t="s">
        <v>14692</v>
      </c>
      <c r="M2862" s="2" t="s">
        <v>14764</v>
      </c>
      <c r="N2862" s="2" t="s">
        <v>14765</v>
      </c>
      <c r="O2862" s="2" t="s">
        <v>14766</v>
      </c>
      <c r="P2862" s="2" t="s">
        <v>14767</v>
      </c>
    </row>
    <row r="2863" ht="15.75" customHeight="1">
      <c r="H2863" s="2" t="s">
        <v>14768</v>
      </c>
      <c r="I2863" s="2" t="s">
        <v>249</v>
      </c>
      <c r="J2863" s="2" t="s">
        <v>250</v>
      </c>
      <c r="K2863" s="2" t="s">
        <v>1832</v>
      </c>
      <c r="L2863" s="2" t="s">
        <v>14692</v>
      </c>
      <c r="M2863" s="2" t="s">
        <v>14769</v>
      </c>
      <c r="N2863" s="2" t="s">
        <v>14770</v>
      </c>
      <c r="O2863" s="2" t="s">
        <v>14771</v>
      </c>
      <c r="P2863" s="2" t="s">
        <v>14772</v>
      </c>
    </row>
    <row r="2864" ht="15.75" customHeight="1">
      <c r="F2864" s="2" t="s">
        <v>265</v>
      </c>
      <c r="H2864" s="2" t="s">
        <v>14773</v>
      </c>
      <c r="I2864" s="2" t="s">
        <v>14774</v>
      </c>
      <c r="J2864" s="2" t="s">
        <v>14775</v>
      </c>
      <c r="L2864" s="2" t="s">
        <v>14692</v>
      </c>
      <c r="M2864" s="2" t="s">
        <v>14776</v>
      </c>
      <c r="N2864" s="2" t="s">
        <v>14777</v>
      </c>
      <c r="O2864" s="2" t="s">
        <v>14778</v>
      </c>
      <c r="P2864" s="2" t="s">
        <v>14779</v>
      </c>
    </row>
    <row r="2865" ht="15.75" customHeight="1">
      <c r="H2865" s="2" t="s">
        <v>14780</v>
      </c>
      <c r="I2865" s="2" t="s">
        <v>267</v>
      </c>
      <c r="J2865" s="2" t="s">
        <v>268</v>
      </c>
      <c r="K2865" s="2" t="s">
        <v>1313</v>
      </c>
      <c r="L2865" s="2" t="s">
        <v>14692</v>
      </c>
      <c r="M2865" s="2" t="s">
        <v>14781</v>
      </c>
      <c r="N2865" s="2" t="s">
        <v>14782</v>
      </c>
      <c r="O2865" s="2" t="s">
        <v>14783</v>
      </c>
      <c r="P2865" s="2" t="s">
        <v>14784</v>
      </c>
    </row>
    <row r="2866" ht="15.75" customHeight="1">
      <c r="H2866" s="2" t="s">
        <v>14785</v>
      </c>
      <c r="I2866" s="2" t="s">
        <v>5388</v>
      </c>
      <c r="J2866" s="2" t="s">
        <v>5389</v>
      </c>
      <c r="L2866" s="2" t="s">
        <v>14692</v>
      </c>
      <c r="M2866" s="2" t="s">
        <v>14786</v>
      </c>
      <c r="N2866" s="2" t="s">
        <v>14787</v>
      </c>
      <c r="O2866" s="2" t="s">
        <v>14788</v>
      </c>
      <c r="P2866" s="2" t="s">
        <v>869</v>
      </c>
    </row>
    <row r="2867" ht="15.75" customHeight="1">
      <c r="H2867" s="2" t="s">
        <v>14789</v>
      </c>
      <c r="I2867" s="2" t="s">
        <v>2001</v>
      </c>
      <c r="J2867" s="2" t="s">
        <v>2002</v>
      </c>
      <c r="K2867" s="2" t="s">
        <v>2003</v>
      </c>
      <c r="L2867" s="2" t="s">
        <v>14692</v>
      </c>
      <c r="M2867" s="2" t="s">
        <v>14790</v>
      </c>
      <c r="N2867" s="2" t="s">
        <v>14791</v>
      </c>
      <c r="O2867" s="2" t="s">
        <v>14792</v>
      </c>
      <c r="P2867" s="2" t="s">
        <v>14793</v>
      </c>
    </row>
    <row r="2868" ht="15.75" customHeight="1">
      <c r="H2868" s="2" t="s">
        <v>14794</v>
      </c>
      <c r="I2868" s="2" t="s">
        <v>14795</v>
      </c>
      <c r="J2868" s="2" t="s">
        <v>14796</v>
      </c>
      <c r="K2868" s="2" t="s">
        <v>1251</v>
      </c>
      <c r="L2868" s="2" t="s">
        <v>14692</v>
      </c>
      <c r="M2868" s="2" t="s">
        <v>14797</v>
      </c>
      <c r="N2868" s="2" t="s">
        <v>14798</v>
      </c>
      <c r="O2868" s="2" t="s">
        <v>14799</v>
      </c>
      <c r="P2868" s="2" t="s">
        <v>869</v>
      </c>
    </row>
    <row r="2869" ht="15.75" customHeight="1">
      <c r="F2869" s="2" t="s">
        <v>284</v>
      </c>
      <c r="H2869" s="2" t="s">
        <v>14800</v>
      </c>
      <c r="I2869" s="2" t="s">
        <v>6023</v>
      </c>
      <c r="J2869" s="2" t="s">
        <v>6024</v>
      </c>
      <c r="K2869" s="2" t="s">
        <v>1362</v>
      </c>
      <c r="L2869" s="2" t="s">
        <v>14692</v>
      </c>
      <c r="M2869" s="2" t="s">
        <v>14801</v>
      </c>
      <c r="N2869" s="2" t="s">
        <v>14802</v>
      </c>
      <c r="O2869" s="2" t="s">
        <v>14803</v>
      </c>
      <c r="P2869" s="2" t="s">
        <v>14804</v>
      </c>
    </row>
    <row r="2870" ht="15.75" customHeight="1">
      <c r="H2870" s="2" t="s">
        <v>14805</v>
      </c>
      <c r="I2870" s="2" t="s">
        <v>14806</v>
      </c>
      <c r="J2870" s="2" t="s">
        <v>14807</v>
      </c>
      <c r="K2870" s="2" t="s">
        <v>880</v>
      </c>
      <c r="L2870" s="2" t="s">
        <v>14692</v>
      </c>
      <c r="M2870" s="2" t="s">
        <v>14808</v>
      </c>
      <c r="N2870" s="2" t="s">
        <v>14809</v>
      </c>
      <c r="O2870" s="2" t="s">
        <v>14810</v>
      </c>
      <c r="P2870" s="2" t="s">
        <v>14811</v>
      </c>
    </row>
    <row r="2871" ht="15.75" customHeight="1">
      <c r="H2871" s="2" t="s">
        <v>14812</v>
      </c>
      <c r="I2871" s="2" t="s">
        <v>13678</v>
      </c>
      <c r="J2871" s="2" t="s">
        <v>13679</v>
      </c>
      <c r="L2871" s="2" t="s">
        <v>14692</v>
      </c>
      <c r="M2871" s="2" t="s">
        <v>14813</v>
      </c>
      <c r="N2871" s="2" t="s">
        <v>14814</v>
      </c>
      <c r="O2871" s="2" t="s">
        <v>14815</v>
      </c>
      <c r="P2871" s="2" t="s">
        <v>869</v>
      </c>
    </row>
    <row r="2872" ht="15.75" customHeight="1">
      <c r="H2872" s="2" t="s">
        <v>14816</v>
      </c>
      <c r="I2872" s="2" t="s">
        <v>310</v>
      </c>
      <c r="J2872" s="2" t="s">
        <v>311</v>
      </c>
      <c r="L2872" s="2" t="s">
        <v>14692</v>
      </c>
      <c r="M2872" s="2" t="s">
        <v>14817</v>
      </c>
      <c r="N2872" s="2" t="s">
        <v>14818</v>
      </c>
      <c r="O2872" s="2" t="s">
        <v>14819</v>
      </c>
      <c r="P2872" s="2" t="s">
        <v>14820</v>
      </c>
    </row>
    <row r="2873" ht="15.75" customHeight="1">
      <c r="H2873" s="2" t="s">
        <v>14821</v>
      </c>
      <c r="I2873" s="2" t="s">
        <v>2175</v>
      </c>
      <c r="J2873" s="2" t="s">
        <v>2176</v>
      </c>
      <c r="K2873" s="2" t="s">
        <v>1406</v>
      </c>
      <c r="L2873" s="2" t="s">
        <v>14692</v>
      </c>
      <c r="M2873" s="2" t="s">
        <v>14822</v>
      </c>
      <c r="N2873" s="2" t="s">
        <v>14823</v>
      </c>
      <c r="O2873" s="2" t="s">
        <v>14824</v>
      </c>
      <c r="P2873" s="2" t="s">
        <v>14825</v>
      </c>
    </row>
    <row r="2874" ht="15.75" customHeight="1">
      <c r="H2874" s="2" t="s">
        <v>14826</v>
      </c>
      <c r="I2874" s="2" t="s">
        <v>14827</v>
      </c>
      <c r="J2874" s="2" t="s">
        <v>14828</v>
      </c>
      <c r="L2874" s="2" t="s">
        <v>14692</v>
      </c>
      <c r="M2874" s="2" t="s">
        <v>14829</v>
      </c>
      <c r="N2874" s="2" t="s">
        <v>14830</v>
      </c>
      <c r="O2874" s="2" t="s">
        <v>14831</v>
      </c>
      <c r="P2874" s="2" t="s">
        <v>14832</v>
      </c>
    </row>
    <row r="2875" ht="15.75" customHeight="1">
      <c r="H2875" s="2" t="s">
        <v>14833</v>
      </c>
      <c r="I2875" s="2" t="s">
        <v>326</v>
      </c>
      <c r="J2875" s="2" t="s">
        <v>327</v>
      </c>
      <c r="K2875" s="2" t="s">
        <v>1331</v>
      </c>
      <c r="L2875" s="2" t="s">
        <v>14692</v>
      </c>
      <c r="M2875" s="2" t="s">
        <v>14834</v>
      </c>
      <c r="N2875" s="2" t="s">
        <v>14835</v>
      </c>
      <c r="O2875" s="2" t="s">
        <v>14836</v>
      </c>
      <c r="P2875" s="2" t="s">
        <v>14837</v>
      </c>
    </row>
    <row r="2876" ht="15.75" customHeight="1">
      <c r="H2876" s="2" t="s">
        <v>14838</v>
      </c>
      <c r="I2876" s="2" t="s">
        <v>14839</v>
      </c>
      <c r="J2876" s="2" t="s">
        <v>14840</v>
      </c>
      <c r="K2876" s="2" t="s">
        <v>14841</v>
      </c>
      <c r="L2876" s="2" t="s">
        <v>14692</v>
      </c>
      <c r="M2876" s="2" t="s">
        <v>14842</v>
      </c>
      <c r="N2876" s="2" t="s">
        <v>14843</v>
      </c>
      <c r="O2876" s="2" t="s">
        <v>14844</v>
      </c>
      <c r="P2876" s="2" t="s">
        <v>14845</v>
      </c>
    </row>
    <row r="2877" ht="15.75" customHeight="1">
      <c r="H2877" s="2" t="s">
        <v>14846</v>
      </c>
      <c r="I2877" s="2" t="s">
        <v>5436</v>
      </c>
      <c r="J2877" s="2" t="s">
        <v>5437</v>
      </c>
      <c r="L2877" s="2" t="s">
        <v>14692</v>
      </c>
      <c r="M2877" s="2" t="s">
        <v>14847</v>
      </c>
      <c r="N2877" s="2" t="s">
        <v>14848</v>
      </c>
      <c r="O2877" s="2" t="s">
        <v>14849</v>
      </c>
      <c r="P2877" s="2" t="s">
        <v>14850</v>
      </c>
    </row>
    <row r="2878" ht="15.75" customHeight="1">
      <c r="H2878" s="2" t="s">
        <v>14851</v>
      </c>
      <c r="I2878" s="2" t="s">
        <v>335</v>
      </c>
      <c r="J2878" s="2" t="s">
        <v>336</v>
      </c>
      <c r="K2878" s="2" t="s">
        <v>1637</v>
      </c>
      <c r="L2878" s="2" t="s">
        <v>14692</v>
      </c>
      <c r="M2878" s="2" t="s">
        <v>14852</v>
      </c>
      <c r="N2878" s="2" t="s">
        <v>14853</v>
      </c>
      <c r="O2878" s="2" t="s">
        <v>14854</v>
      </c>
      <c r="P2878" s="2" t="s">
        <v>14855</v>
      </c>
    </row>
    <row r="2879" ht="15.75" customHeight="1">
      <c r="H2879" s="2" t="s">
        <v>14856</v>
      </c>
      <c r="I2879" s="2" t="s">
        <v>415</v>
      </c>
      <c r="J2879" s="2" t="s">
        <v>416</v>
      </c>
      <c r="K2879" s="2" t="s">
        <v>11991</v>
      </c>
      <c r="L2879" s="2" t="s">
        <v>14692</v>
      </c>
      <c r="M2879" s="2" t="s">
        <v>14857</v>
      </c>
      <c r="N2879" s="2" t="s">
        <v>14858</v>
      </c>
      <c r="O2879" s="2" t="s">
        <v>14859</v>
      </c>
      <c r="P2879" s="2" t="s">
        <v>14860</v>
      </c>
    </row>
    <row r="2880" ht="15.75" customHeight="1">
      <c r="H2880" s="2" t="s">
        <v>14861</v>
      </c>
      <c r="I2880" s="2" t="s">
        <v>5459</v>
      </c>
      <c r="J2880" s="2" t="s">
        <v>5460</v>
      </c>
      <c r="K2880" s="2" t="s">
        <v>14508</v>
      </c>
      <c r="L2880" s="2" t="s">
        <v>14692</v>
      </c>
      <c r="M2880" s="2" t="s">
        <v>14862</v>
      </c>
      <c r="N2880" s="2" t="s">
        <v>14863</v>
      </c>
      <c r="O2880" s="2" t="s">
        <v>14864</v>
      </c>
      <c r="P2880" s="2" t="s">
        <v>14865</v>
      </c>
    </row>
    <row r="2881" ht="15.75" customHeight="1">
      <c r="H2881" s="2" t="s">
        <v>14866</v>
      </c>
      <c r="I2881" s="2" t="s">
        <v>424</v>
      </c>
      <c r="J2881" s="2" t="s">
        <v>425</v>
      </c>
      <c r="K2881" s="2" t="s">
        <v>2282</v>
      </c>
      <c r="L2881" s="2" t="s">
        <v>14692</v>
      </c>
      <c r="M2881" s="2" t="s">
        <v>14867</v>
      </c>
      <c r="N2881" s="2" t="s">
        <v>14868</v>
      </c>
      <c r="O2881" s="2" t="s">
        <v>14869</v>
      </c>
      <c r="P2881" s="2" t="s">
        <v>14870</v>
      </c>
    </row>
    <row r="2882" ht="15.75" customHeight="1">
      <c r="H2882" s="2" t="s">
        <v>14871</v>
      </c>
      <c r="I2882" s="2" t="s">
        <v>432</v>
      </c>
      <c r="J2882" s="2" t="s">
        <v>433</v>
      </c>
      <c r="K2882" s="2" t="s">
        <v>2236</v>
      </c>
      <c r="L2882" s="2" t="s">
        <v>14692</v>
      </c>
      <c r="M2882" s="2" t="s">
        <v>14872</v>
      </c>
      <c r="N2882" s="2" t="s">
        <v>14873</v>
      </c>
      <c r="O2882" s="2" t="s">
        <v>14874</v>
      </c>
      <c r="P2882" s="2" t="s">
        <v>14875</v>
      </c>
    </row>
    <row r="2883" ht="15.75" customHeight="1">
      <c r="H2883" s="2" t="s">
        <v>14876</v>
      </c>
      <c r="I2883" s="2" t="s">
        <v>449</v>
      </c>
      <c r="J2883" s="2" t="s">
        <v>450</v>
      </c>
      <c r="K2883" s="2" t="s">
        <v>5500</v>
      </c>
      <c r="L2883" s="2" t="s">
        <v>14692</v>
      </c>
      <c r="M2883" s="2" t="s">
        <v>14877</v>
      </c>
      <c r="N2883" s="2" t="s">
        <v>14878</v>
      </c>
      <c r="O2883" s="2" t="s">
        <v>14879</v>
      </c>
      <c r="P2883" s="2" t="s">
        <v>14880</v>
      </c>
    </row>
    <row r="2884" ht="15.75" customHeight="1">
      <c r="H2884" s="2" t="s">
        <v>14881</v>
      </c>
      <c r="I2884" s="2" t="s">
        <v>2341</v>
      </c>
      <c r="J2884" s="2" t="s">
        <v>2342</v>
      </c>
      <c r="K2884" s="2" t="s">
        <v>2343</v>
      </c>
      <c r="L2884" s="2" t="s">
        <v>14692</v>
      </c>
      <c r="M2884" s="2" t="s">
        <v>14882</v>
      </c>
      <c r="N2884" s="2" t="s">
        <v>14883</v>
      </c>
      <c r="O2884" s="2" t="s">
        <v>14884</v>
      </c>
      <c r="P2884" s="2" t="s">
        <v>14885</v>
      </c>
    </row>
    <row r="2885" ht="15.75" customHeight="1">
      <c r="H2885" s="2" t="s">
        <v>14886</v>
      </c>
      <c r="I2885" s="2" t="s">
        <v>14887</v>
      </c>
      <c r="J2885" s="2" t="s">
        <v>14888</v>
      </c>
      <c r="L2885" s="2" t="s">
        <v>14692</v>
      </c>
      <c r="M2885" s="2" t="s">
        <v>14889</v>
      </c>
      <c r="N2885" s="2" t="s">
        <v>14890</v>
      </c>
      <c r="O2885" s="2" t="s">
        <v>14891</v>
      </c>
      <c r="P2885" s="2" t="s">
        <v>14892</v>
      </c>
    </row>
    <row r="2886" ht="15.75" customHeight="1">
      <c r="H2886" s="2" t="s">
        <v>14893</v>
      </c>
      <c r="I2886" s="2" t="s">
        <v>14894</v>
      </c>
      <c r="J2886" s="2" t="s">
        <v>14895</v>
      </c>
      <c r="K2886" s="2" t="s">
        <v>1737</v>
      </c>
      <c r="L2886" s="2" t="s">
        <v>14692</v>
      </c>
      <c r="M2886" s="2" t="s">
        <v>14896</v>
      </c>
      <c r="N2886" s="2" t="s">
        <v>14897</v>
      </c>
      <c r="O2886" s="2" t="s">
        <v>14898</v>
      </c>
      <c r="P2886" s="2" t="s">
        <v>14899</v>
      </c>
    </row>
    <row r="2887" ht="15.75" customHeight="1">
      <c r="H2887" s="2" t="s">
        <v>14900</v>
      </c>
      <c r="I2887" s="2" t="s">
        <v>12291</v>
      </c>
      <c r="J2887" s="2" t="s">
        <v>12292</v>
      </c>
      <c r="K2887" s="2" t="s">
        <v>12293</v>
      </c>
      <c r="L2887" s="2" t="s">
        <v>14692</v>
      </c>
      <c r="M2887" s="2" t="s">
        <v>14901</v>
      </c>
      <c r="N2887" s="2" t="s">
        <v>14902</v>
      </c>
      <c r="O2887" s="2" t="s">
        <v>14903</v>
      </c>
      <c r="P2887" s="2" t="s">
        <v>869</v>
      </c>
    </row>
    <row r="2888" ht="15.75" customHeight="1">
      <c r="H2888" s="2" t="s">
        <v>14904</v>
      </c>
      <c r="I2888" s="2" t="s">
        <v>2357</v>
      </c>
      <c r="J2888" s="2" t="s">
        <v>2358</v>
      </c>
      <c r="K2888" s="2" t="s">
        <v>2359</v>
      </c>
      <c r="L2888" s="2" t="s">
        <v>14692</v>
      </c>
      <c r="M2888" s="2" t="s">
        <v>14905</v>
      </c>
      <c r="N2888" s="2" t="s">
        <v>14906</v>
      </c>
      <c r="O2888" s="2" t="s">
        <v>14907</v>
      </c>
      <c r="P2888" s="2" t="s">
        <v>14908</v>
      </c>
    </row>
    <row r="2889" ht="15.75" customHeight="1">
      <c r="H2889" s="2" t="s">
        <v>14909</v>
      </c>
      <c r="I2889" s="2" t="s">
        <v>14910</v>
      </c>
      <c r="J2889" s="2" t="s">
        <v>14911</v>
      </c>
      <c r="K2889" s="2" t="s">
        <v>1755</v>
      </c>
      <c r="L2889" s="2" t="s">
        <v>14692</v>
      </c>
      <c r="M2889" s="2" t="s">
        <v>14912</v>
      </c>
      <c r="N2889" s="2" t="s">
        <v>14913</v>
      </c>
      <c r="O2889" s="2" t="s">
        <v>14914</v>
      </c>
      <c r="P2889" s="2" t="s">
        <v>14915</v>
      </c>
    </row>
    <row r="2890" ht="15.75" customHeight="1">
      <c r="H2890" s="2" t="s">
        <v>14916</v>
      </c>
      <c r="I2890" s="2" t="s">
        <v>13849</v>
      </c>
      <c r="J2890" s="2" t="s">
        <v>13850</v>
      </c>
      <c r="L2890" s="2" t="s">
        <v>14692</v>
      </c>
      <c r="M2890" s="2" t="s">
        <v>14917</v>
      </c>
      <c r="N2890" s="2" t="s">
        <v>14918</v>
      </c>
      <c r="O2890" s="2" t="s">
        <v>14919</v>
      </c>
      <c r="P2890" s="2" t="s">
        <v>14920</v>
      </c>
    </row>
    <row r="2891" ht="15.75" customHeight="1">
      <c r="H2891" s="2" t="s">
        <v>14921</v>
      </c>
      <c r="I2891" s="2" t="s">
        <v>14922</v>
      </c>
      <c r="J2891" s="2" t="s">
        <v>14923</v>
      </c>
      <c r="L2891" s="2" t="s">
        <v>14692</v>
      </c>
      <c r="M2891" s="2" t="s">
        <v>14924</v>
      </c>
      <c r="N2891" s="2" t="s">
        <v>14925</v>
      </c>
      <c r="O2891" s="2" t="s">
        <v>14926</v>
      </c>
      <c r="P2891" s="2" t="s">
        <v>14927</v>
      </c>
    </row>
    <row r="2892" ht="15.75" customHeight="1">
      <c r="H2892" s="2" t="s">
        <v>14928</v>
      </c>
      <c r="I2892" s="2" t="s">
        <v>2421</v>
      </c>
      <c r="J2892" s="2" t="s">
        <v>2422</v>
      </c>
      <c r="K2892" s="2" t="s">
        <v>1698</v>
      </c>
      <c r="L2892" s="2" t="s">
        <v>14692</v>
      </c>
      <c r="M2892" s="2" t="s">
        <v>14929</v>
      </c>
      <c r="N2892" s="2" t="s">
        <v>14930</v>
      </c>
      <c r="O2892" s="2" t="s">
        <v>14931</v>
      </c>
      <c r="P2892" s="2" t="s">
        <v>14932</v>
      </c>
    </row>
    <row r="2893" ht="15.75" customHeight="1">
      <c r="H2893" s="2" t="s">
        <v>14933</v>
      </c>
      <c r="I2893" s="2" t="s">
        <v>510</v>
      </c>
      <c r="J2893" s="2" t="s">
        <v>511</v>
      </c>
      <c r="K2893" s="2" t="s">
        <v>2068</v>
      </c>
      <c r="L2893" s="2" t="s">
        <v>14692</v>
      </c>
      <c r="M2893" s="2" t="s">
        <v>14934</v>
      </c>
      <c r="N2893" s="2" t="s">
        <v>14935</v>
      </c>
      <c r="O2893" s="2" t="s">
        <v>14936</v>
      </c>
      <c r="P2893" s="2" t="s">
        <v>14937</v>
      </c>
    </row>
    <row r="2894" ht="15.75" customHeight="1">
      <c r="H2894" s="2" t="s">
        <v>14938</v>
      </c>
      <c r="I2894" s="2" t="s">
        <v>526</v>
      </c>
      <c r="J2894" s="2" t="s">
        <v>527</v>
      </c>
      <c r="K2894" s="2" t="s">
        <v>2316</v>
      </c>
      <c r="L2894" s="2" t="s">
        <v>14692</v>
      </c>
      <c r="M2894" s="2" t="s">
        <v>14939</v>
      </c>
      <c r="N2894" s="2" t="s">
        <v>14940</v>
      </c>
      <c r="O2894" s="2" t="s">
        <v>14941</v>
      </c>
      <c r="P2894" s="2" t="s">
        <v>14942</v>
      </c>
    </row>
    <row r="2895" ht="15.75" customHeight="1">
      <c r="F2895" s="2" t="s">
        <v>539</v>
      </c>
      <c r="H2895" s="2" t="s">
        <v>14943</v>
      </c>
      <c r="I2895" s="2" t="s">
        <v>541</v>
      </c>
      <c r="J2895" s="2" t="s">
        <v>542</v>
      </c>
      <c r="K2895" s="2" t="s">
        <v>886</v>
      </c>
      <c r="L2895" s="2" t="s">
        <v>14692</v>
      </c>
      <c r="M2895" s="2" t="s">
        <v>14944</v>
      </c>
      <c r="N2895" s="2" t="s">
        <v>14945</v>
      </c>
      <c r="O2895" s="2" t="s">
        <v>14946</v>
      </c>
      <c r="P2895" s="2" t="s">
        <v>14947</v>
      </c>
    </row>
    <row r="2896" ht="15.75" customHeight="1">
      <c r="F2896" s="2" t="s">
        <v>2597</v>
      </c>
      <c r="H2896" s="2" t="s">
        <v>14948</v>
      </c>
      <c r="I2896" s="2" t="s">
        <v>2624</v>
      </c>
      <c r="J2896" s="2" t="s">
        <v>2625</v>
      </c>
      <c r="K2896" s="2" t="s">
        <v>963</v>
      </c>
      <c r="L2896" s="2" t="s">
        <v>14692</v>
      </c>
      <c r="M2896" s="2" t="s">
        <v>14949</v>
      </c>
      <c r="N2896" s="2" t="s">
        <v>14950</v>
      </c>
      <c r="O2896" s="2" t="s">
        <v>14951</v>
      </c>
      <c r="P2896" s="2" t="s">
        <v>14952</v>
      </c>
    </row>
    <row r="2897" ht="15.75" customHeight="1">
      <c r="F2897" s="2" t="s">
        <v>548</v>
      </c>
      <c r="H2897" s="2" t="s">
        <v>14953</v>
      </c>
      <c r="I2897" s="2" t="s">
        <v>2663</v>
      </c>
      <c r="J2897" s="2" t="s">
        <v>2664</v>
      </c>
      <c r="K2897" s="2" t="s">
        <v>1878</v>
      </c>
      <c r="L2897" s="2" t="s">
        <v>14692</v>
      </c>
      <c r="M2897" s="2" t="s">
        <v>14954</v>
      </c>
      <c r="N2897" s="2" t="s">
        <v>14955</v>
      </c>
      <c r="O2897" s="2" t="s">
        <v>14956</v>
      </c>
      <c r="P2897" s="2" t="s">
        <v>14957</v>
      </c>
    </row>
    <row r="2898" ht="15.75" customHeight="1">
      <c r="H2898" s="2" t="s">
        <v>14958</v>
      </c>
      <c r="I2898" s="2" t="s">
        <v>550</v>
      </c>
      <c r="J2898" s="2" t="s">
        <v>551</v>
      </c>
      <c r="K2898" s="2" t="s">
        <v>963</v>
      </c>
      <c r="L2898" s="2" t="s">
        <v>14692</v>
      </c>
      <c r="M2898" s="2" t="s">
        <v>14959</v>
      </c>
      <c r="N2898" s="2" t="s">
        <v>14960</v>
      </c>
      <c r="O2898" s="2" t="s">
        <v>14961</v>
      </c>
      <c r="P2898" s="2" t="s">
        <v>14962</v>
      </c>
    </row>
    <row r="2899" ht="15.75" customHeight="1">
      <c r="F2899" s="2" t="s">
        <v>556</v>
      </c>
      <c r="H2899" s="2" t="s">
        <v>14963</v>
      </c>
      <c r="I2899" s="2" t="s">
        <v>558</v>
      </c>
      <c r="J2899" s="2" t="s">
        <v>559</v>
      </c>
      <c r="K2899" s="2" t="s">
        <v>1362</v>
      </c>
      <c r="L2899" s="2" t="s">
        <v>14692</v>
      </c>
      <c r="M2899" s="2" t="s">
        <v>14964</v>
      </c>
      <c r="N2899" s="2" t="s">
        <v>14965</v>
      </c>
      <c r="O2899" s="2" t="s">
        <v>14966</v>
      </c>
      <c r="P2899" s="2" t="s">
        <v>14967</v>
      </c>
    </row>
    <row r="2900" ht="15.75" customHeight="1">
      <c r="H2900" s="2" t="s">
        <v>14968</v>
      </c>
      <c r="I2900" s="2" t="s">
        <v>12028</v>
      </c>
      <c r="J2900" s="2" t="s">
        <v>12029</v>
      </c>
      <c r="K2900" s="2" t="s">
        <v>996</v>
      </c>
      <c r="L2900" s="2" t="s">
        <v>14692</v>
      </c>
      <c r="M2900" s="2" t="s">
        <v>14969</v>
      </c>
      <c r="N2900" s="2" t="s">
        <v>14970</v>
      </c>
      <c r="O2900" s="2" t="s">
        <v>14971</v>
      </c>
      <c r="P2900" s="2" t="s">
        <v>14972</v>
      </c>
    </row>
    <row r="2901" ht="15.75" customHeight="1">
      <c r="H2901" s="2" t="s">
        <v>14973</v>
      </c>
      <c r="I2901" s="2" t="s">
        <v>12033</v>
      </c>
      <c r="J2901" s="2" t="s">
        <v>12034</v>
      </c>
      <c r="K2901" s="2" t="s">
        <v>900</v>
      </c>
      <c r="L2901" s="2" t="s">
        <v>14692</v>
      </c>
      <c r="M2901" s="2" t="s">
        <v>14974</v>
      </c>
      <c r="N2901" s="2" t="s">
        <v>14975</v>
      </c>
      <c r="O2901" s="2" t="s">
        <v>14976</v>
      </c>
      <c r="P2901" s="2" t="s">
        <v>14977</v>
      </c>
    </row>
    <row r="2902" ht="15.75" customHeight="1">
      <c r="H2902" s="2" t="s">
        <v>14978</v>
      </c>
      <c r="I2902" s="2" t="s">
        <v>2303</v>
      </c>
      <c r="J2902" s="2" t="s">
        <v>2304</v>
      </c>
      <c r="L2902" s="2" t="s">
        <v>14692</v>
      </c>
      <c r="M2902" s="2" t="s">
        <v>14979</v>
      </c>
      <c r="N2902" s="2" t="s">
        <v>14980</v>
      </c>
      <c r="O2902" s="2" t="s">
        <v>14981</v>
      </c>
      <c r="P2902" s="2" t="s">
        <v>14982</v>
      </c>
    </row>
    <row r="2903" ht="15.75" customHeight="1">
      <c r="F2903" s="2" t="s">
        <v>581</v>
      </c>
      <c r="H2903" s="2" t="s">
        <v>14983</v>
      </c>
      <c r="I2903" s="2" t="s">
        <v>2895</v>
      </c>
      <c r="J2903" s="2" t="s">
        <v>2896</v>
      </c>
      <c r="K2903" s="2" t="s">
        <v>1145</v>
      </c>
      <c r="L2903" s="2" t="s">
        <v>14692</v>
      </c>
      <c r="M2903" s="2" t="s">
        <v>14984</v>
      </c>
      <c r="N2903" s="2" t="s">
        <v>14985</v>
      </c>
      <c r="O2903" s="2" t="s">
        <v>14986</v>
      </c>
      <c r="P2903" s="2" t="s">
        <v>14987</v>
      </c>
    </row>
    <row r="2904" ht="15.75" customHeight="1">
      <c r="F2904" s="2" t="s">
        <v>598</v>
      </c>
      <c r="H2904" s="2" t="s">
        <v>14988</v>
      </c>
      <c r="I2904" s="2" t="s">
        <v>608</v>
      </c>
      <c r="J2904" s="2" t="s">
        <v>609</v>
      </c>
      <c r="K2904" s="2" t="s">
        <v>1508</v>
      </c>
      <c r="L2904" s="2" t="s">
        <v>14692</v>
      </c>
      <c r="M2904" s="2" t="s">
        <v>14989</v>
      </c>
      <c r="N2904" s="2" t="s">
        <v>14990</v>
      </c>
      <c r="O2904" s="2" t="s">
        <v>14991</v>
      </c>
      <c r="P2904" s="2" t="s">
        <v>14992</v>
      </c>
    </row>
    <row r="2905" ht="15.75" customHeight="1">
      <c r="F2905" s="2" t="s">
        <v>624</v>
      </c>
      <c r="H2905" s="2" t="s">
        <v>14993</v>
      </c>
      <c r="I2905" s="2" t="s">
        <v>626</v>
      </c>
      <c r="J2905" s="2" t="s">
        <v>627</v>
      </c>
      <c r="K2905" s="2" t="s">
        <v>2203</v>
      </c>
      <c r="L2905" s="2" t="s">
        <v>14692</v>
      </c>
      <c r="M2905" s="2" t="s">
        <v>5631</v>
      </c>
      <c r="N2905" s="2" t="s">
        <v>14994</v>
      </c>
      <c r="O2905" s="2" t="s">
        <v>14995</v>
      </c>
      <c r="P2905" s="2" t="s">
        <v>14996</v>
      </c>
    </row>
    <row r="2906" ht="15.75" customHeight="1">
      <c r="F2906" s="2" t="s">
        <v>651</v>
      </c>
      <c r="H2906" s="2" t="s">
        <v>14997</v>
      </c>
      <c r="I2906" s="2" t="s">
        <v>653</v>
      </c>
      <c r="J2906" s="2" t="s">
        <v>654</v>
      </c>
      <c r="K2906" s="2" t="s">
        <v>1508</v>
      </c>
      <c r="L2906" s="2" t="s">
        <v>14692</v>
      </c>
      <c r="M2906" s="2" t="s">
        <v>14998</v>
      </c>
      <c r="N2906" s="2" t="s">
        <v>14999</v>
      </c>
      <c r="O2906" s="2" t="s">
        <v>15000</v>
      </c>
      <c r="P2906" s="2" t="s">
        <v>15001</v>
      </c>
    </row>
    <row r="2907" ht="15.75" customHeight="1">
      <c r="F2907" s="2" t="s">
        <v>660</v>
      </c>
      <c r="H2907" s="2" t="s">
        <v>15002</v>
      </c>
      <c r="I2907" s="2" t="s">
        <v>662</v>
      </c>
      <c r="J2907" s="2" t="s">
        <v>663</v>
      </c>
      <c r="K2907" s="2" t="s">
        <v>1567</v>
      </c>
      <c r="L2907" s="2" t="s">
        <v>14692</v>
      </c>
      <c r="M2907" s="2" t="s">
        <v>15003</v>
      </c>
      <c r="N2907" s="2" t="s">
        <v>15004</v>
      </c>
      <c r="O2907" s="2" t="s">
        <v>15005</v>
      </c>
      <c r="P2907" s="2" t="s">
        <v>15006</v>
      </c>
    </row>
    <row r="2908" ht="15.75" customHeight="1">
      <c r="F2908" s="2" t="s">
        <v>703</v>
      </c>
      <c r="H2908" s="2" t="s">
        <v>15007</v>
      </c>
      <c r="I2908" s="2" t="s">
        <v>713</v>
      </c>
      <c r="J2908" s="2" t="s">
        <v>714</v>
      </c>
      <c r="K2908" s="2" t="s">
        <v>1567</v>
      </c>
      <c r="L2908" s="2" t="s">
        <v>14692</v>
      </c>
      <c r="M2908" s="2" t="s">
        <v>15008</v>
      </c>
      <c r="N2908" s="2" t="s">
        <v>15009</v>
      </c>
      <c r="O2908" s="2" t="s">
        <v>15010</v>
      </c>
      <c r="P2908" s="2" t="s">
        <v>15011</v>
      </c>
    </row>
    <row r="2909" ht="15.75" customHeight="1">
      <c r="H2909" s="2" t="s">
        <v>15012</v>
      </c>
      <c r="I2909" s="2" t="s">
        <v>14638</v>
      </c>
      <c r="J2909" s="2" t="s">
        <v>14639</v>
      </c>
      <c r="K2909" s="2" t="s">
        <v>15013</v>
      </c>
      <c r="L2909" s="2" t="s">
        <v>14692</v>
      </c>
      <c r="M2909" s="2" t="s">
        <v>15014</v>
      </c>
      <c r="N2909" s="2" t="s">
        <v>15015</v>
      </c>
      <c r="O2909" s="2" t="s">
        <v>15016</v>
      </c>
      <c r="P2909" s="2" t="s">
        <v>15017</v>
      </c>
    </row>
    <row r="2910" ht="15.75" customHeight="1">
      <c r="H2910" s="2" t="s">
        <v>15018</v>
      </c>
      <c r="I2910" s="2" t="s">
        <v>14136</v>
      </c>
      <c r="J2910" s="2" t="s">
        <v>14137</v>
      </c>
      <c r="K2910" s="2" t="s">
        <v>1325</v>
      </c>
      <c r="L2910" s="2" t="s">
        <v>14692</v>
      </c>
      <c r="M2910" s="2" t="s">
        <v>15019</v>
      </c>
      <c r="N2910" s="2" t="s">
        <v>15020</v>
      </c>
      <c r="O2910" s="2" t="s">
        <v>15021</v>
      </c>
      <c r="P2910" s="2" t="s">
        <v>15022</v>
      </c>
    </row>
    <row r="2911" ht="15.75" customHeight="1">
      <c r="H2911" s="2" t="s">
        <v>15023</v>
      </c>
      <c r="I2911" s="2" t="s">
        <v>4060</v>
      </c>
      <c r="J2911" s="2" t="s">
        <v>4061</v>
      </c>
      <c r="L2911" s="2" t="s">
        <v>14692</v>
      </c>
      <c r="M2911" s="2" t="s">
        <v>15024</v>
      </c>
      <c r="N2911" s="2" t="s">
        <v>15025</v>
      </c>
      <c r="O2911" s="2" t="s">
        <v>15026</v>
      </c>
      <c r="P2911" s="2" t="s">
        <v>15027</v>
      </c>
    </row>
    <row r="2912" ht="15.75" customHeight="1">
      <c r="F2912" s="2" t="s">
        <v>746</v>
      </c>
      <c r="H2912" s="2" t="s">
        <v>15028</v>
      </c>
      <c r="I2912" s="2" t="s">
        <v>4260</v>
      </c>
      <c r="J2912" s="2" t="s">
        <v>4261</v>
      </c>
      <c r="L2912" s="2" t="s">
        <v>14692</v>
      </c>
      <c r="M2912" s="2" t="s">
        <v>15029</v>
      </c>
      <c r="N2912" s="2" t="s">
        <v>15030</v>
      </c>
      <c r="O2912" s="2" t="s">
        <v>15031</v>
      </c>
      <c r="P2912" s="2" t="s">
        <v>869</v>
      </c>
    </row>
    <row r="2913" ht="15.75" customHeight="1">
      <c r="H2913" s="2" t="s">
        <v>15032</v>
      </c>
      <c r="I2913" s="2" t="s">
        <v>4282</v>
      </c>
      <c r="J2913" s="2" t="s">
        <v>4283</v>
      </c>
      <c r="K2913" s="2" t="s">
        <v>886</v>
      </c>
      <c r="L2913" s="2" t="s">
        <v>14692</v>
      </c>
      <c r="M2913" s="2" t="s">
        <v>15033</v>
      </c>
      <c r="N2913" s="2" t="s">
        <v>15034</v>
      </c>
      <c r="O2913" s="2" t="s">
        <v>15035</v>
      </c>
      <c r="P2913" s="2" t="s">
        <v>15036</v>
      </c>
    </row>
    <row r="2914" ht="15.75" customHeight="1">
      <c r="H2914" s="2" t="s">
        <v>15037</v>
      </c>
      <c r="I2914" s="2" t="s">
        <v>4344</v>
      </c>
      <c r="J2914" s="2" t="s">
        <v>4345</v>
      </c>
      <c r="K2914" s="2" t="s">
        <v>1049</v>
      </c>
      <c r="L2914" s="2" t="s">
        <v>14692</v>
      </c>
      <c r="M2914" s="2" t="s">
        <v>15038</v>
      </c>
      <c r="N2914" s="2" t="s">
        <v>15039</v>
      </c>
      <c r="O2914" s="2" t="s">
        <v>15040</v>
      </c>
      <c r="P2914" s="2" t="s">
        <v>15041</v>
      </c>
    </row>
    <row r="2915" ht="15.75" customHeight="1">
      <c r="F2915" s="2" t="s">
        <v>755</v>
      </c>
      <c r="H2915" s="2" t="s">
        <v>15042</v>
      </c>
      <c r="I2915" s="2" t="s">
        <v>757</v>
      </c>
      <c r="J2915" s="2" t="s">
        <v>758</v>
      </c>
      <c r="K2915" s="2" t="s">
        <v>4429</v>
      </c>
      <c r="L2915" s="2" t="s">
        <v>14692</v>
      </c>
      <c r="M2915" s="2" t="s">
        <v>15043</v>
      </c>
      <c r="N2915" s="2" t="s">
        <v>15044</v>
      </c>
      <c r="O2915" s="2" t="s">
        <v>15045</v>
      </c>
      <c r="P2915" s="2" t="s">
        <v>15046</v>
      </c>
    </row>
    <row r="2916" ht="15.75" customHeight="1">
      <c r="F2916" s="2" t="s">
        <v>764</v>
      </c>
      <c r="H2916" s="2" t="s">
        <v>15047</v>
      </c>
      <c r="I2916" s="2" t="s">
        <v>766</v>
      </c>
      <c r="J2916" s="2" t="s">
        <v>767</v>
      </c>
      <c r="K2916" s="2" t="s">
        <v>1418</v>
      </c>
      <c r="L2916" s="2" t="s">
        <v>14692</v>
      </c>
      <c r="M2916" s="2" t="s">
        <v>15048</v>
      </c>
      <c r="N2916" s="2" t="s">
        <v>15049</v>
      </c>
      <c r="O2916" s="2" t="s">
        <v>15050</v>
      </c>
      <c r="P2916" s="2" t="s">
        <v>15051</v>
      </c>
    </row>
    <row r="2917" ht="15.75" customHeight="1">
      <c r="F2917" s="2" t="s">
        <v>4802</v>
      </c>
      <c r="H2917" s="2" t="s">
        <v>15052</v>
      </c>
      <c r="I2917" s="2" t="s">
        <v>4814</v>
      </c>
      <c r="J2917" s="2" t="s">
        <v>4815</v>
      </c>
      <c r="K2917" s="2" t="s">
        <v>1297</v>
      </c>
      <c r="L2917" s="2" t="s">
        <v>14692</v>
      </c>
      <c r="M2917" s="2" t="s">
        <v>15053</v>
      </c>
      <c r="N2917" s="2" t="s">
        <v>15054</v>
      </c>
      <c r="O2917" s="2" t="s">
        <v>15055</v>
      </c>
      <c r="P2917" s="2" t="s">
        <v>15056</v>
      </c>
    </row>
    <row r="2918" ht="15.75" customHeight="1">
      <c r="F2918" s="2" t="s">
        <v>800</v>
      </c>
      <c r="H2918" s="2" t="s">
        <v>15057</v>
      </c>
      <c r="I2918" s="2" t="s">
        <v>4994</v>
      </c>
      <c r="J2918" s="2" t="s">
        <v>4995</v>
      </c>
      <c r="K2918" s="2" t="s">
        <v>1878</v>
      </c>
      <c r="L2918" s="2" t="s">
        <v>14692</v>
      </c>
      <c r="M2918" s="2" t="s">
        <v>15058</v>
      </c>
      <c r="N2918" s="2" t="s">
        <v>15059</v>
      </c>
      <c r="O2918" s="2" t="s">
        <v>15060</v>
      </c>
      <c r="P2918" s="2" t="s">
        <v>15061</v>
      </c>
    </row>
    <row r="2919" ht="15.75" customHeight="1">
      <c r="H2919" s="2" t="s">
        <v>15062</v>
      </c>
      <c r="I2919" s="2" t="s">
        <v>11561</v>
      </c>
      <c r="J2919" s="2" t="s">
        <v>11562</v>
      </c>
      <c r="K2919" s="2" t="s">
        <v>1117</v>
      </c>
      <c r="L2919" s="2" t="s">
        <v>14692</v>
      </c>
      <c r="M2919" s="2" t="s">
        <v>15063</v>
      </c>
      <c r="N2919" s="2" t="s">
        <v>15064</v>
      </c>
      <c r="O2919" s="2" t="s">
        <v>15065</v>
      </c>
      <c r="P2919" s="2" t="s">
        <v>15066</v>
      </c>
    </row>
    <row r="2920" ht="15.75" customHeight="1">
      <c r="H2920" s="2" t="s">
        <v>15067</v>
      </c>
      <c r="I2920" s="2" t="s">
        <v>15068</v>
      </c>
      <c r="J2920" s="2" t="s">
        <v>15069</v>
      </c>
      <c r="L2920" s="2" t="s">
        <v>14692</v>
      </c>
      <c r="M2920" s="2" t="s">
        <v>15070</v>
      </c>
      <c r="N2920" s="2" t="s">
        <v>15071</v>
      </c>
      <c r="O2920" s="2" t="s">
        <v>15072</v>
      </c>
      <c r="P2920" s="2" t="s">
        <v>15073</v>
      </c>
    </row>
    <row r="2921" ht="15.75" customHeight="1">
      <c r="H2921" s="2" t="s">
        <v>15074</v>
      </c>
      <c r="I2921" s="2" t="s">
        <v>5027</v>
      </c>
      <c r="J2921" s="2" t="s">
        <v>5028</v>
      </c>
      <c r="K2921" s="2" t="s">
        <v>1319</v>
      </c>
      <c r="L2921" s="2" t="s">
        <v>14692</v>
      </c>
      <c r="M2921" s="2" t="s">
        <v>15075</v>
      </c>
      <c r="N2921" s="2" t="s">
        <v>15076</v>
      </c>
      <c r="O2921" s="2" t="s">
        <v>15077</v>
      </c>
      <c r="P2921" s="2" t="s">
        <v>15078</v>
      </c>
    </row>
    <row r="2922" ht="15.75" customHeight="1">
      <c r="H2922" s="2" t="s">
        <v>15079</v>
      </c>
      <c r="I2922" s="2" t="s">
        <v>5037</v>
      </c>
      <c r="J2922" s="2" t="s">
        <v>5038</v>
      </c>
      <c r="K2922" s="2" t="s">
        <v>2203</v>
      </c>
      <c r="L2922" s="2" t="s">
        <v>14692</v>
      </c>
      <c r="M2922" s="2" t="s">
        <v>15080</v>
      </c>
      <c r="N2922" s="2" t="s">
        <v>15081</v>
      </c>
      <c r="O2922" s="2" t="s">
        <v>15082</v>
      </c>
      <c r="P2922" s="2" t="s">
        <v>15083</v>
      </c>
    </row>
    <row r="2923" ht="15.75" customHeight="1">
      <c r="H2923" s="2" t="s">
        <v>15084</v>
      </c>
      <c r="I2923" s="2" t="s">
        <v>5047</v>
      </c>
      <c r="J2923" s="2" t="s">
        <v>5048</v>
      </c>
      <c r="K2923" s="2" t="s">
        <v>1151</v>
      </c>
      <c r="L2923" s="2" t="s">
        <v>14692</v>
      </c>
      <c r="M2923" s="2" t="s">
        <v>15085</v>
      </c>
      <c r="N2923" s="2" t="s">
        <v>15086</v>
      </c>
      <c r="O2923" s="2" t="s">
        <v>15087</v>
      </c>
      <c r="P2923" s="2" t="s">
        <v>15088</v>
      </c>
    </row>
    <row r="2924" ht="15.75" customHeight="1">
      <c r="H2924" s="2" t="s">
        <v>15089</v>
      </c>
      <c r="I2924" s="2" t="s">
        <v>5986</v>
      </c>
      <c r="J2924" s="2" t="s">
        <v>5987</v>
      </c>
      <c r="K2924" s="2" t="s">
        <v>5988</v>
      </c>
      <c r="L2924" s="2" t="s">
        <v>14692</v>
      </c>
      <c r="M2924" s="2" t="s">
        <v>15090</v>
      </c>
      <c r="N2924" s="2" t="s">
        <v>15091</v>
      </c>
      <c r="O2924" s="2" t="s">
        <v>15092</v>
      </c>
      <c r="P2924" s="2" t="s">
        <v>15093</v>
      </c>
    </row>
    <row r="2925" ht="15.75" customHeight="1">
      <c r="B2925" s="2" t="s">
        <v>15094</v>
      </c>
      <c r="C2925" s="2" t="s">
        <v>15095</v>
      </c>
      <c r="D2925" s="2" t="s">
        <v>15096</v>
      </c>
      <c r="F2925" s="2" t="s">
        <v>19</v>
      </c>
      <c r="H2925" s="2" t="s">
        <v>15097</v>
      </c>
      <c r="I2925" s="2" t="s">
        <v>21</v>
      </c>
      <c r="J2925" s="2" t="s">
        <v>22</v>
      </c>
      <c r="K2925" s="2" t="s">
        <v>15098</v>
      </c>
      <c r="L2925" s="2" t="s">
        <v>15099</v>
      </c>
      <c r="M2925" s="2" t="s">
        <v>15100</v>
      </c>
      <c r="N2925" s="2" t="s">
        <v>15101</v>
      </c>
      <c r="O2925" s="2" t="s">
        <v>15102</v>
      </c>
      <c r="P2925" s="2" t="s">
        <v>15103</v>
      </c>
    </row>
    <row r="2926" ht="15.75" customHeight="1">
      <c r="H2926" s="2" t="s">
        <v>15104</v>
      </c>
      <c r="I2926" s="2" t="s">
        <v>6522</v>
      </c>
      <c r="J2926" s="2" t="s">
        <v>6523</v>
      </c>
      <c r="K2926" s="2" t="s">
        <v>15105</v>
      </c>
      <c r="L2926" s="2" t="s">
        <v>15099</v>
      </c>
      <c r="M2926" s="2" t="s">
        <v>15106</v>
      </c>
      <c r="N2926" s="2" t="s">
        <v>15107</v>
      </c>
      <c r="O2926" s="2" t="s">
        <v>15108</v>
      </c>
      <c r="P2926" s="2" t="s">
        <v>15109</v>
      </c>
    </row>
    <row r="2927" ht="15.75" customHeight="1">
      <c r="F2927" s="2" t="s">
        <v>29</v>
      </c>
      <c r="H2927" s="2" t="s">
        <v>15110</v>
      </c>
      <c r="I2927" s="2" t="s">
        <v>15111</v>
      </c>
      <c r="J2927" s="2" t="s">
        <v>15112</v>
      </c>
      <c r="K2927" s="2" t="s">
        <v>15113</v>
      </c>
      <c r="L2927" s="2" t="s">
        <v>15099</v>
      </c>
      <c r="M2927" s="2" t="s">
        <v>15114</v>
      </c>
      <c r="N2927" s="2" t="s">
        <v>15115</v>
      </c>
      <c r="O2927" s="2" t="s">
        <v>15116</v>
      </c>
      <c r="P2927" s="2" t="s">
        <v>15117</v>
      </c>
    </row>
    <row r="2928" ht="15.75" customHeight="1">
      <c r="F2928" s="2" t="s">
        <v>74</v>
      </c>
      <c r="H2928" s="2" t="s">
        <v>15118</v>
      </c>
      <c r="I2928" s="2" t="s">
        <v>76</v>
      </c>
      <c r="J2928" s="2" t="s">
        <v>77</v>
      </c>
      <c r="K2928" s="2" t="s">
        <v>15119</v>
      </c>
      <c r="L2928" s="2" t="s">
        <v>15120</v>
      </c>
      <c r="M2928" s="2" t="s">
        <v>15121</v>
      </c>
      <c r="N2928" s="2" t="s">
        <v>15122</v>
      </c>
      <c r="O2928" s="2" t="s">
        <v>15123</v>
      </c>
      <c r="P2928" s="2" t="s">
        <v>15124</v>
      </c>
    </row>
    <row r="2929" ht="15.75" customHeight="1">
      <c r="H2929" s="2" t="s">
        <v>15125</v>
      </c>
      <c r="I2929" s="2" t="s">
        <v>85</v>
      </c>
      <c r="J2929" s="2" t="s">
        <v>86</v>
      </c>
      <c r="K2929" s="2" t="s">
        <v>15126</v>
      </c>
      <c r="L2929" s="2" t="s">
        <v>15099</v>
      </c>
      <c r="M2929" s="2" t="s">
        <v>15127</v>
      </c>
      <c r="N2929" s="2" t="s">
        <v>15128</v>
      </c>
      <c r="O2929" s="2" t="s">
        <v>15129</v>
      </c>
      <c r="P2929" s="2" t="s">
        <v>869</v>
      </c>
    </row>
    <row r="2930" ht="15.75" customHeight="1">
      <c r="H2930" s="2" t="s">
        <v>15130</v>
      </c>
      <c r="I2930" s="2" t="s">
        <v>93</v>
      </c>
      <c r="J2930" s="2" t="s">
        <v>94</v>
      </c>
      <c r="K2930" s="2" t="s">
        <v>15131</v>
      </c>
      <c r="L2930" s="2" t="s">
        <v>15099</v>
      </c>
      <c r="M2930" s="2" t="s">
        <v>15132</v>
      </c>
      <c r="N2930" s="2" t="s">
        <v>15133</v>
      </c>
      <c r="O2930" s="2" t="s">
        <v>15134</v>
      </c>
      <c r="P2930" s="2" t="s">
        <v>15135</v>
      </c>
    </row>
    <row r="2931" ht="15.75" customHeight="1">
      <c r="H2931" s="2" t="s">
        <v>15136</v>
      </c>
      <c r="I2931" s="2" t="s">
        <v>15137</v>
      </c>
      <c r="J2931" s="2" t="s">
        <v>15138</v>
      </c>
      <c r="K2931" s="2" t="s">
        <v>15139</v>
      </c>
      <c r="L2931" s="2" t="s">
        <v>15099</v>
      </c>
      <c r="M2931" s="2" t="s">
        <v>15140</v>
      </c>
      <c r="N2931" s="2" t="s">
        <v>15141</v>
      </c>
      <c r="O2931" s="2" t="s">
        <v>15142</v>
      </c>
      <c r="P2931" s="2" t="s">
        <v>15143</v>
      </c>
    </row>
    <row r="2932" ht="15.75" customHeight="1">
      <c r="H2932" s="2" t="s">
        <v>15144</v>
      </c>
      <c r="I2932" s="2" t="s">
        <v>101</v>
      </c>
      <c r="J2932" s="2" t="s">
        <v>102</v>
      </c>
      <c r="K2932" s="2" t="s">
        <v>15145</v>
      </c>
      <c r="L2932" s="2" t="s">
        <v>15099</v>
      </c>
      <c r="M2932" s="2" t="s">
        <v>15146</v>
      </c>
      <c r="N2932" s="2" t="s">
        <v>15147</v>
      </c>
      <c r="O2932" s="2" t="s">
        <v>15148</v>
      </c>
      <c r="P2932" s="2" t="s">
        <v>15149</v>
      </c>
    </row>
    <row r="2933" ht="15.75" customHeight="1">
      <c r="H2933" s="2" t="s">
        <v>15150</v>
      </c>
      <c r="I2933" s="2" t="s">
        <v>1000</v>
      </c>
      <c r="J2933" s="2" t="s">
        <v>1001</v>
      </c>
      <c r="K2933" s="2" t="s">
        <v>15151</v>
      </c>
      <c r="L2933" s="2" t="s">
        <v>15099</v>
      </c>
      <c r="M2933" s="2" t="s">
        <v>15152</v>
      </c>
      <c r="N2933" s="2" t="s">
        <v>15153</v>
      </c>
      <c r="O2933" s="2" t="s">
        <v>15154</v>
      </c>
      <c r="P2933" s="2" t="s">
        <v>13841</v>
      </c>
    </row>
    <row r="2934" ht="15.75" customHeight="1">
      <c r="H2934" s="2" t="s">
        <v>15155</v>
      </c>
      <c r="I2934" s="2" t="s">
        <v>15156</v>
      </c>
      <c r="J2934" s="2" t="s">
        <v>15156</v>
      </c>
      <c r="K2934" s="2" t="s">
        <v>12389</v>
      </c>
    </row>
    <row r="2935" ht="15.75" customHeight="1">
      <c r="H2935" s="2" t="s">
        <v>15157</v>
      </c>
      <c r="I2935" s="2" t="s">
        <v>15158</v>
      </c>
      <c r="J2935" s="2" t="s">
        <v>15159</v>
      </c>
      <c r="K2935" s="2" t="s">
        <v>15160</v>
      </c>
      <c r="L2935" s="2" t="s">
        <v>15099</v>
      </c>
      <c r="M2935" s="2" t="s">
        <v>15161</v>
      </c>
      <c r="N2935" s="2" t="s">
        <v>15162</v>
      </c>
      <c r="O2935" s="2" t="s">
        <v>15163</v>
      </c>
      <c r="P2935" s="2" t="s">
        <v>15164</v>
      </c>
    </row>
    <row r="2936" ht="15.75" customHeight="1">
      <c r="H2936" s="2" t="s">
        <v>15165</v>
      </c>
      <c r="I2936" s="2" t="s">
        <v>7661</v>
      </c>
      <c r="J2936" s="2" t="s">
        <v>7661</v>
      </c>
      <c r="K2936" s="2" t="s">
        <v>15166</v>
      </c>
    </row>
    <row r="2937" ht="15.75" customHeight="1">
      <c r="H2937" s="2" t="s">
        <v>15167</v>
      </c>
      <c r="I2937" s="2" t="s">
        <v>1663</v>
      </c>
      <c r="J2937" s="2" t="s">
        <v>1664</v>
      </c>
      <c r="K2937" s="2" t="s">
        <v>15168</v>
      </c>
      <c r="L2937" s="2" t="s">
        <v>15099</v>
      </c>
      <c r="M2937" s="2" t="s">
        <v>15169</v>
      </c>
      <c r="N2937" s="2" t="s">
        <v>15170</v>
      </c>
      <c r="O2937" s="2" t="s">
        <v>15171</v>
      </c>
      <c r="P2937" s="2" t="s">
        <v>15172</v>
      </c>
    </row>
    <row r="2938" ht="15.75" customHeight="1">
      <c r="H2938" s="2" t="s">
        <v>15173</v>
      </c>
      <c r="I2938" s="2" t="s">
        <v>159</v>
      </c>
      <c r="J2938" s="2" t="s">
        <v>160</v>
      </c>
      <c r="K2938" s="2" t="s">
        <v>15174</v>
      </c>
      <c r="L2938" s="2" t="s">
        <v>15099</v>
      </c>
      <c r="M2938" s="2" t="s">
        <v>15175</v>
      </c>
      <c r="N2938" s="2" t="s">
        <v>15176</v>
      </c>
      <c r="O2938" s="2" t="s">
        <v>15177</v>
      </c>
      <c r="P2938" s="2" t="s">
        <v>15178</v>
      </c>
    </row>
    <row r="2939" ht="15.75" customHeight="1">
      <c r="H2939" s="2" t="s">
        <v>15179</v>
      </c>
      <c r="I2939" s="2" t="s">
        <v>167</v>
      </c>
      <c r="J2939" s="2" t="s">
        <v>168</v>
      </c>
      <c r="K2939" s="2" t="s">
        <v>15180</v>
      </c>
      <c r="L2939" s="2" t="s">
        <v>15181</v>
      </c>
      <c r="M2939" s="2" t="s">
        <v>15182</v>
      </c>
      <c r="N2939" s="2" t="s">
        <v>15183</v>
      </c>
      <c r="O2939" s="2" t="s">
        <v>15184</v>
      </c>
      <c r="P2939" s="2" t="s">
        <v>15185</v>
      </c>
    </row>
    <row r="2940" ht="15.75" customHeight="1">
      <c r="H2940" s="2" t="s">
        <v>15186</v>
      </c>
      <c r="I2940" s="2" t="s">
        <v>2262</v>
      </c>
      <c r="J2940" s="2" t="s">
        <v>2263</v>
      </c>
      <c r="K2940" s="2" t="s">
        <v>15187</v>
      </c>
      <c r="L2940" s="2" t="s">
        <v>15099</v>
      </c>
      <c r="M2940" s="2" t="s">
        <v>15188</v>
      </c>
      <c r="N2940" s="2" t="s">
        <v>15189</v>
      </c>
      <c r="O2940" s="2" t="s">
        <v>15190</v>
      </c>
      <c r="P2940" s="2" t="s">
        <v>15191</v>
      </c>
    </row>
    <row r="2941" ht="15.75" customHeight="1">
      <c r="H2941" s="2" t="s">
        <v>15192</v>
      </c>
      <c r="I2941" s="2" t="s">
        <v>7123</v>
      </c>
      <c r="J2941" s="2" t="s">
        <v>7124</v>
      </c>
      <c r="K2941" s="2" t="s">
        <v>15193</v>
      </c>
      <c r="L2941" s="2" t="s">
        <v>15099</v>
      </c>
      <c r="M2941" s="2" t="s">
        <v>15194</v>
      </c>
      <c r="N2941" s="2" t="s">
        <v>15195</v>
      </c>
      <c r="O2941" s="2" t="s">
        <v>15196</v>
      </c>
      <c r="P2941" s="2" t="s">
        <v>15197</v>
      </c>
    </row>
    <row r="2942" ht="15.75" customHeight="1">
      <c r="H2942" s="2" t="s">
        <v>15198</v>
      </c>
      <c r="I2942" s="2" t="s">
        <v>7129</v>
      </c>
      <c r="J2942" s="2" t="s">
        <v>7130</v>
      </c>
      <c r="K2942" s="2" t="s">
        <v>15199</v>
      </c>
      <c r="L2942" s="2" t="s">
        <v>15099</v>
      </c>
      <c r="M2942" s="2" t="s">
        <v>15200</v>
      </c>
      <c r="N2942" s="2" t="s">
        <v>15201</v>
      </c>
      <c r="O2942" s="2" t="s">
        <v>15202</v>
      </c>
      <c r="P2942" s="2" t="s">
        <v>15203</v>
      </c>
    </row>
    <row r="2943" ht="15.75" customHeight="1">
      <c r="H2943" s="2" t="s">
        <v>15204</v>
      </c>
      <c r="I2943" s="2" t="s">
        <v>176</v>
      </c>
      <c r="J2943" s="2" t="s">
        <v>177</v>
      </c>
      <c r="K2943" s="2" t="s">
        <v>15205</v>
      </c>
      <c r="L2943" s="2" t="s">
        <v>15206</v>
      </c>
      <c r="M2943" s="2" t="s">
        <v>15207</v>
      </c>
      <c r="N2943" s="2" t="s">
        <v>15208</v>
      </c>
      <c r="O2943" s="2" t="s">
        <v>15209</v>
      </c>
      <c r="P2943" s="2" t="s">
        <v>15210</v>
      </c>
    </row>
    <row r="2944" ht="15.75" customHeight="1">
      <c r="H2944" s="2" t="s">
        <v>15211</v>
      </c>
      <c r="I2944" s="2" t="s">
        <v>7146</v>
      </c>
      <c r="J2944" s="2" t="s">
        <v>7147</v>
      </c>
      <c r="K2944" s="2" t="s">
        <v>15212</v>
      </c>
      <c r="L2944" s="2" t="s">
        <v>15099</v>
      </c>
      <c r="M2944" s="2" t="s">
        <v>15213</v>
      </c>
      <c r="N2944" s="2" t="s">
        <v>15214</v>
      </c>
      <c r="O2944" s="2" t="s">
        <v>15215</v>
      </c>
      <c r="P2944" s="2" t="s">
        <v>15216</v>
      </c>
    </row>
    <row r="2945" ht="15.75" customHeight="1">
      <c r="H2945" s="2" t="s">
        <v>15217</v>
      </c>
      <c r="I2945" s="2" t="s">
        <v>15218</v>
      </c>
      <c r="J2945" s="2" t="s">
        <v>15219</v>
      </c>
      <c r="K2945" s="2" t="s">
        <v>15220</v>
      </c>
      <c r="L2945" s="2" t="s">
        <v>15099</v>
      </c>
      <c r="M2945" s="2" t="s">
        <v>15221</v>
      </c>
      <c r="N2945" s="2" t="s">
        <v>15222</v>
      </c>
      <c r="O2945" s="2" t="s">
        <v>15223</v>
      </c>
      <c r="P2945" s="2" t="s">
        <v>15224</v>
      </c>
    </row>
    <row r="2946" ht="15.75" customHeight="1">
      <c r="H2946" s="2" t="s">
        <v>15225</v>
      </c>
      <c r="I2946" s="2" t="s">
        <v>1741</v>
      </c>
      <c r="J2946" s="2" t="s">
        <v>1742</v>
      </c>
      <c r="K2946" s="2" t="s">
        <v>15226</v>
      </c>
      <c r="L2946" s="2" t="s">
        <v>15099</v>
      </c>
      <c r="M2946" s="2" t="s">
        <v>15227</v>
      </c>
      <c r="N2946" s="2" t="s">
        <v>15228</v>
      </c>
      <c r="O2946" s="2" t="s">
        <v>15229</v>
      </c>
      <c r="P2946" s="2" t="s">
        <v>15230</v>
      </c>
    </row>
    <row r="2947" ht="15.75" customHeight="1">
      <c r="H2947" s="2" t="s">
        <v>15231</v>
      </c>
      <c r="I2947" s="2" t="s">
        <v>15232</v>
      </c>
      <c r="J2947" s="2" t="s">
        <v>15233</v>
      </c>
      <c r="K2947" s="2" t="s">
        <v>15234</v>
      </c>
      <c r="L2947" s="2" t="s">
        <v>15099</v>
      </c>
      <c r="M2947" s="2" t="s">
        <v>15235</v>
      </c>
      <c r="N2947" s="2" t="s">
        <v>15236</v>
      </c>
      <c r="O2947" s="2" t="s">
        <v>15237</v>
      </c>
      <c r="P2947" s="2" t="s">
        <v>15238</v>
      </c>
    </row>
    <row r="2948" ht="15.75" customHeight="1">
      <c r="H2948" s="2" t="s">
        <v>15239</v>
      </c>
      <c r="I2948" s="2" t="s">
        <v>15240</v>
      </c>
      <c r="J2948" s="2" t="s">
        <v>15241</v>
      </c>
      <c r="K2948" s="2" t="s">
        <v>15242</v>
      </c>
      <c r="L2948" s="2" t="s">
        <v>15099</v>
      </c>
      <c r="M2948" s="2" t="s">
        <v>15243</v>
      </c>
      <c r="N2948" s="2" t="s">
        <v>15244</v>
      </c>
      <c r="O2948" s="2" t="s">
        <v>15245</v>
      </c>
      <c r="P2948" s="2" t="s">
        <v>15246</v>
      </c>
    </row>
    <row r="2949" ht="15.75" customHeight="1">
      <c r="H2949" s="2" t="s">
        <v>15247</v>
      </c>
      <c r="I2949" s="2" t="s">
        <v>1753</v>
      </c>
      <c r="J2949" s="2" t="s">
        <v>1754</v>
      </c>
      <c r="K2949" s="2" t="s">
        <v>15248</v>
      </c>
      <c r="L2949" s="2" t="s">
        <v>15099</v>
      </c>
      <c r="M2949" s="2" t="s">
        <v>15249</v>
      </c>
      <c r="N2949" s="2" t="s">
        <v>15250</v>
      </c>
      <c r="O2949" s="2" t="s">
        <v>15251</v>
      </c>
      <c r="P2949" s="2" t="s">
        <v>15252</v>
      </c>
    </row>
    <row r="2950" ht="15.75" customHeight="1">
      <c r="H2950" s="2" t="s">
        <v>15253</v>
      </c>
      <c r="I2950" s="2" t="s">
        <v>15254</v>
      </c>
      <c r="J2950" s="2" t="s">
        <v>15255</v>
      </c>
      <c r="K2950" s="2" t="s">
        <v>15256</v>
      </c>
      <c r="L2950" s="2" t="s">
        <v>15099</v>
      </c>
      <c r="M2950" s="2" t="s">
        <v>15257</v>
      </c>
      <c r="N2950" s="2" t="s">
        <v>15258</v>
      </c>
      <c r="O2950" s="2" t="s">
        <v>15259</v>
      </c>
      <c r="P2950" s="2" t="s">
        <v>15260</v>
      </c>
    </row>
    <row r="2951" ht="15.75" customHeight="1">
      <c r="H2951" s="2" t="s">
        <v>15261</v>
      </c>
      <c r="I2951" s="2" t="s">
        <v>1766</v>
      </c>
      <c r="J2951" s="2" t="s">
        <v>1767</v>
      </c>
      <c r="K2951" s="2" t="s">
        <v>15262</v>
      </c>
      <c r="L2951" s="2" t="s">
        <v>15099</v>
      </c>
      <c r="M2951" s="2" t="s">
        <v>15263</v>
      </c>
      <c r="N2951" s="2" t="s">
        <v>15264</v>
      </c>
      <c r="O2951" s="2" t="s">
        <v>15265</v>
      </c>
      <c r="P2951" s="2" t="s">
        <v>15266</v>
      </c>
    </row>
    <row r="2952" ht="15.75" customHeight="1">
      <c r="H2952" s="2" t="s">
        <v>15267</v>
      </c>
      <c r="I2952" s="2" t="s">
        <v>7194</v>
      </c>
      <c r="J2952" s="2" t="s">
        <v>7195</v>
      </c>
      <c r="K2952" s="2" t="s">
        <v>15268</v>
      </c>
      <c r="L2952" s="2" t="s">
        <v>15099</v>
      </c>
      <c r="M2952" s="2" t="s">
        <v>15269</v>
      </c>
      <c r="N2952" s="2" t="s">
        <v>15270</v>
      </c>
      <c r="O2952" s="2" t="s">
        <v>15271</v>
      </c>
      <c r="P2952" s="2" t="s">
        <v>15272</v>
      </c>
    </row>
    <row r="2953" ht="15.75" customHeight="1">
      <c r="H2953" s="2" t="s">
        <v>15273</v>
      </c>
      <c r="I2953" s="2" t="s">
        <v>225</v>
      </c>
      <c r="J2953" s="2" t="s">
        <v>226</v>
      </c>
      <c r="K2953" s="2" t="s">
        <v>15274</v>
      </c>
      <c r="L2953" s="2" t="s">
        <v>15099</v>
      </c>
      <c r="M2953" s="2" t="s">
        <v>15275</v>
      </c>
      <c r="N2953" s="2" t="s">
        <v>15276</v>
      </c>
      <c r="O2953" s="2" t="s">
        <v>15277</v>
      </c>
      <c r="P2953" s="2" t="s">
        <v>15278</v>
      </c>
    </row>
    <row r="2954" ht="15.75" customHeight="1">
      <c r="H2954" s="2" t="s">
        <v>15279</v>
      </c>
      <c r="I2954" s="2" t="s">
        <v>1772</v>
      </c>
      <c r="J2954" s="2" t="s">
        <v>1773</v>
      </c>
      <c r="K2954" s="2" t="s">
        <v>15280</v>
      </c>
      <c r="L2954" s="2" t="s">
        <v>15099</v>
      </c>
      <c r="M2954" s="2" t="s">
        <v>15281</v>
      </c>
      <c r="N2954" s="2" t="s">
        <v>15282</v>
      </c>
      <c r="O2954" s="2" t="s">
        <v>15283</v>
      </c>
      <c r="P2954" s="2" t="s">
        <v>15284</v>
      </c>
    </row>
    <row r="2955" ht="15.75" customHeight="1">
      <c r="H2955" s="2" t="s">
        <v>15285</v>
      </c>
      <c r="I2955" s="2" t="s">
        <v>15286</v>
      </c>
      <c r="J2955" s="2" t="s">
        <v>15287</v>
      </c>
      <c r="K2955" s="2" t="s">
        <v>15288</v>
      </c>
      <c r="L2955" s="2" t="s">
        <v>15099</v>
      </c>
      <c r="M2955" s="2" t="s">
        <v>15289</v>
      </c>
      <c r="N2955" s="2" t="s">
        <v>15290</v>
      </c>
      <c r="O2955" s="2" t="s">
        <v>15291</v>
      </c>
      <c r="P2955" s="2" t="s">
        <v>15292</v>
      </c>
    </row>
    <row r="2956" ht="15.75" customHeight="1">
      <c r="H2956" s="2" t="s">
        <v>15293</v>
      </c>
      <c r="I2956" s="2" t="s">
        <v>15294</v>
      </c>
      <c r="J2956" s="2" t="s">
        <v>15295</v>
      </c>
      <c r="K2956" s="2" t="s">
        <v>15296</v>
      </c>
      <c r="L2956" s="2" t="s">
        <v>15099</v>
      </c>
      <c r="M2956" s="2" t="s">
        <v>15297</v>
      </c>
      <c r="N2956" s="2" t="s">
        <v>15298</v>
      </c>
      <c r="O2956" s="2" t="s">
        <v>15299</v>
      </c>
      <c r="P2956" s="2" t="s">
        <v>869</v>
      </c>
    </row>
    <row r="2957" ht="15.75" customHeight="1">
      <c r="H2957" s="2" t="s">
        <v>15300</v>
      </c>
      <c r="I2957" s="2" t="s">
        <v>15301</v>
      </c>
      <c r="J2957" s="2" t="s">
        <v>15302</v>
      </c>
      <c r="K2957" s="2" t="s">
        <v>15303</v>
      </c>
      <c r="L2957" s="2" t="s">
        <v>15099</v>
      </c>
      <c r="M2957" s="2" t="s">
        <v>15304</v>
      </c>
      <c r="N2957" s="2" t="s">
        <v>15305</v>
      </c>
      <c r="O2957" s="2" t="s">
        <v>15306</v>
      </c>
      <c r="P2957" s="2" t="s">
        <v>15307</v>
      </c>
    </row>
    <row r="2958" ht="15.75" customHeight="1">
      <c r="F2958" s="2" t="s">
        <v>265</v>
      </c>
      <c r="H2958" s="2" t="s">
        <v>15308</v>
      </c>
      <c r="I2958" s="2" t="s">
        <v>267</v>
      </c>
      <c r="J2958" s="2" t="s">
        <v>268</v>
      </c>
      <c r="K2958" s="2" t="s">
        <v>15309</v>
      </c>
      <c r="L2958" s="2" t="s">
        <v>15099</v>
      </c>
      <c r="M2958" s="2" t="s">
        <v>15310</v>
      </c>
      <c r="N2958" s="2" t="s">
        <v>15311</v>
      </c>
      <c r="O2958" s="2" t="s">
        <v>15312</v>
      </c>
      <c r="P2958" s="2" t="s">
        <v>15313</v>
      </c>
    </row>
    <row r="2959" ht="15.75" customHeight="1">
      <c r="F2959" s="2" t="s">
        <v>274</v>
      </c>
      <c r="H2959" s="2" t="s">
        <v>15314</v>
      </c>
      <c r="I2959" s="2" t="s">
        <v>15315</v>
      </c>
      <c r="J2959" s="2" t="s">
        <v>15316</v>
      </c>
      <c r="K2959" s="2" t="s">
        <v>1362</v>
      </c>
    </row>
    <row r="2960" ht="15.75" customHeight="1">
      <c r="H2960" s="2" t="s">
        <v>15317</v>
      </c>
      <c r="I2960" s="2" t="s">
        <v>279</v>
      </c>
      <c r="J2960" s="2" t="s">
        <v>274</v>
      </c>
      <c r="K2960" s="2" t="s">
        <v>280</v>
      </c>
    </row>
    <row r="2961" ht="15.75" customHeight="1">
      <c r="F2961" s="2" t="s">
        <v>284</v>
      </c>
      <c r="H2961" s="2" t="s">
        <v>15318</v>
      </c>
      <c r="I2961" s="2" t="s">
        <v>286</v>
      </c>
      <c r="J2961" s="2" t="s">
        <v>287</v>
      </c>
      <c r="K2961" s="2" t="s">
        <v>15319</v>
      </c>
      <c r="L2961" s="2" t="s">
        <v>15320</v>
      </c>
      <c r="M2961" s="2" t="s">
        <v>15321</v>
      </c>
      <c r="N2961" s="2" t="s">
        <v>15322</v>
      </c>
      <c r="O2961" s="2" t="s">
        <v>15323</v>
      </c>
      <c r="P2961" s="2" t="s">
        <v>15324</v>
      </c>
    </row>
    <row r="2962" ht="15.75" customHeight="1">
      <c r="H2962" s="2" t="s">
        <v>15325</v>
      </c>
      <c r="I2962" s="2" t="s">
        <v>12601</v>
      </c>
      <c r="J2962" s="2" t="s">
        <v>12602</v>
      </c>
      <c r="K2962" s="2" t="s">
        <v>15326</v>
      </c>
      <c r="L2962" s="2" t="s">
        <v>15099</v>
      </c>
      <c r="M2962" s="2" t="s">
        <v>15327</v>
      </c>
      <c r="N2962" s="2" t="s">
        <v>15328</v>
      </c>
      <c r="O2962" s="2" t="s">
        <v>15329</v>
      </c>
      <c r="P2962" s="2" t="s">
        <v>15330</v>
      </c>
    </row>
    <row r="2963" ht="15.75" customHeight="1">
      <c r="H2963" s="2" t="s">
        <v>15331</v>
      </c>
      <c r="I2963" s="2" t="s">
        <v>5889</v>
      </c>
      <c r="J2963" s="2" t="s">
        <v>5890</v>
      </c>
      <c r="K2963" s="2" t="s">
        <v>15332</v>
      </c>
      <c r="L2963" s="2" t="s">
        <v>15333</v>
      </c>
      <c r="M2963" s="2" t="s">
        <v>15334</v>
      </c>
      <c r="N2963" s="2" t="s">
        <v>15335</v>
      </c>
      <c r="O2963" s="2" t="s">
        <v>15336</v>
      </c>
      <c r="P2963" s="2" t="s">
        <v>15337</v>
      </c>
    </row>
    <row r="2964" ht="15.75" customHeight="1">
      <c r="H2964" s="2" t="s">
        <v>15338</v>
      </c>
      <c r="I2964" s="2" t="s">
        <v>302</v>
      </c>
      <c r="J2964" s="2" t="s">
        <v>303</v>
      </c>
      <c r="K2964" s="2" t="s">
        <v>15339</v>
      </c>
      <c r="L2964" s="2" t="s">
        <v>15099</v>
      </c>
      <c r="M2964" s="2" t="s">
        <v>15340</v>
      </c>
      <c r="N2964" s="2" t="s">
        <v>15341</v>
      </c>
      <c r="O2964" s="2" t="s">
        <v>15342</v>
      </c>
      <c r="P2964" s="2" t="s">
        <v>15343</v>
      </c>
    </row>
    <row r="2965" ht="15.75" customHeight="1">
      <c r="H2965" s="2" t="s">
        <v>15344</v>
      </c>
      <c r="I2965" s="2" t="s">
        <v>15345</v>
      </c>
      <c r="J2965" s="2" t="s">
        <v>15346</v>
      </c>
      <c r="K2965" s="2" t="s">
        <v>15347</v>
      </c>
      <c r="L2965" s="2" t="s">
        <v>15099</v>
      </c>
      <c r="M2965" s="2" t="s">
        <v>15348</v>
      </c>
      <c r="N2965" s="2" t="s">
        <v>15349</v>
      </c>
      <c r="O2965" s="2" t="s">
        <v>15350</v>
      </c>
      <c r="P2965" s="2" t="s">
        <v>15351</v>
      </c>
    </row>
    <row r="2966" ht="15.75" customHeight="1">
      <c r="H2966" s="2" t="s">
        <v>15352</v>
      </c>
      <c r="I2966" s="2" t="s">
        <v>15353</v>
      </c>
      <c r="J2966" s="2" t="s">
        <v>15354</v>
      </c>
      <c r="K2966" s="2" t="s">
        <v>15355</v>
      </c>
      <c r="L2966" s="2" t="s">
        <v>15099</v>
      </c>
      <c r="M2966" s="2" t="s">
        <v>15356</v>
      </c>
      <c r="N2966" s="2" t="s">
        <v>15357</v>
      </c>
      <c r="O2966" s="2" t="s">
        <v>15358</v>
      </c>
      <c r="P2966" s="2" t="s">
        <v>15359</v>
      </c>
    </row>
    <row r="2967" ht="15.75" customHeight="1">
      <c r="H2967" s="2" t="s">
        <v>15360</v>
      </c>
      <c r="I2967" s="2" t="s">
        <v>13678</v>
      </c>
      <c r="J2967" s="2" t="s">
        <v>13679</v>
      </c>
      <c r="K2967" s="2" t="s">
        <v>15361</v>
      </c>
      <c r="L2967" s="2" t="s">
        <v>15099</v>
      </c>
      <c r="M2967" s="2" t="s">
        <v>15362</v>
      </c>
      <c r="N2967" s="2" t="s">
        <v>15363</v>
      </c>
      <c r="O2967" s="2" t="s">
        <v>15364</v>
      </c>
      <c r="P2967" s="2" t="s">
        <v>15365</v>
      </c>
    </row>
    <row r="2968" ht="15.75" customHeight="1">
      <c r="H2968" s="2" t="s">
        <v>15366</v>
      </c>
      <c r="I2968" s="2" t="s">
        <v>310</v>
      </c>
      <c r="J2968" s="2" t="s">
        <v>311</v>
      </c>
      <c r="K2968" s="2" t="s">
        <v>15367</v>
      </c>
      <c r="L2968" s="2" t="s">
        <v>15368</v>
      </c>
      <c r="M2968" s="2" t="s">
        <v>15369</v>
      </c>
      <c r="N2968" s="2" t="s">
        <v>15370</v>
      </c>
      <c r="O2968" s="2" t="s">
        <v>15371</v>
      </c>
      <c r="P2968" s="2" t="s">
        <v>15372</v>
      </c>
    </row>
    <row r="2969" ht="15.75" customHeight="1">
      <c r="H2969" s="2" t="s">
        <v>15373</v>
      </c>
      <c r="I2969" s="2" t="s">
        <v>5421</v>
      </c>
      <c r="J2969" s="2" t="s">
        <v>5422</v>
      </c>
      <c r="K2969" s="2" t="s">
        <v>15374</v>
      </c>
      <c r="L2969" s="2" t="s">
        <v>15375</v>
      </c>
      <c r="M2969" s="2" t="s">
        <v>15376</v>
      </c>
      <c r="N2969" s="2" t="s">
        <v>15377</v>
      </c>
      <c r="O2969" s="2" t="s">
        <v>15378</v>
      </c>
      <c r="P2969" s="2" t="s">
        <v>15379</v>
      </c>
    </row>
    <row r="2970" ht="15.75" customHeight="1">
      <c r="H2970" s="2" t="s">
        <v>15380</v>
      </c>
      <c r="I2970" s="2" t="s">
        <v>15381</v>
      </c>
      <c r="J2970" s="2" t="s">
        <v>15382</v>
      </c>
      <c r="K2970" s="2" t="s">
        <v>15383</v>
      </c>
      <c r="L2970" s="2" t="s">
        <v>15099</v>
      </c>
      <c r="M2970" s="2" t="s">
        <v>15384</v>
      </c>
      <c r="N2970" s="2" t="s">
        <v>15385</v>
      </c>
      <c r="O2970" s="2" t="s">
        <v>15386</v>
      </c>
      <c r="P2970" s="2" t="s">
        <v>15387</v>
      </c>
    </row>
    <row r="2971" ht="15.75" customHeight="1">
      <c r="H2971" s="2" t="s">
        <v>15388</v>
      </c>
      <c r="I2971" s="2" t="s">
        <v>326</v>
      </c>
      <c r="J2971" s="2" t="s">
        <v>327</v>
      </c>
      <c r="K2971" s="2" t="s">
        <v>15389</v>
      </c>
      <c r="L2971" s="2" t="s">
        <v>15390</v>
      </c>
      <c r="M2971" s="2" t="s">
        <v>15391</v>
      </c>
      <c r="N2971" s="2" t="s">
        <v>15392</v>
      </c>
      <c r="O2971" s="2" t="s">
        <v>15393</v>
      </c>
      <c r="P2971" s="2" t="s">
        <v>15394</v>
      </c>
    </row>
    <row r="2972" ht="15.75" customHeight="1">
      <c r="H2972" s="2" t="s">
        <v>15395</v>
      </c>
      <c r="I2972" s="2" t="s">
        <v>352</v>
      </c>
      <c r="J2972" s="2" t="s">
        <v>353</v>
      </c>
      <c r="K2972" s="2" t="s">
        <v>15396</v>
      </c>
      <c r="L2972" s="2" t="s">
        <v>15099</v>
      </c>
      <c r="M2972" s="2" t="s">
        <v>15397</v>
      </c>
      <c r="N2972" s="2" t="s">
        <v>15398</v>
      </c>
      <c r="O2972" s="2" t="s">
        <v>15399</v>
      </c>
      <c r="P2972" s="2" t="s">
        <v>15400</v>
      </c>
    </row>
    <row r="2973" ht="15.75" customHeight="1">
      <c r="H2973" s="2" t="s">
        <v>15401</v>
      </c>
      <c r="I2973" s="2" t="s">
        <v>415</v>
      </c>
      <c r="J2973" s="2" t="s">
        <v>416</v>
      </c>
      <c r="K2973" s="2" t="s">
        <v>15402</v>
      </c>
      <c r="L2973" s="2" t="s">
        <v>15099</v>
      </c>
      <c r="M2973" s="2" t="s">
        <v>15403</v>
      </c>
      <c r="N2973" s="2" t="s">
        <v>15404</v>
      </c>
      <c r="O2973" s="2" t="s">
        <v>15405</v>
      </c>
      <c r="P2973" s="2" t="s">
        <v>15406</v>
      </c>
    </row>
    <row r="2974" ht="15.75" customHeight="1">
      <c r="H2974" s="2" t="s">
        <v>15407</v>
      </c>
      <c r="I2974" s="2" t="s">
        <v>5459</v>
      </c>
      <c r="J2974" s="2" t="s">
        <v>5460</v>
      </c>
      <c r="K2974" s="2" t="s">
        <v>15408</v>
      </c>
      <c r="L2974" s="2" t="s">
        <v>15099</v>
      </c>
      <c r="M2974" s="2" t="s">
        <v>15409</v>
      </c>
      <c r="N2974" s="2" t="s">
        <v>15410</v>
      </c>
      <c r="O2974" s="2" t="s">
        <v>15411</v>
      </c>
      <c r="P2974" s="2" t="s">
        <v>15412</v>
      </c>
    </row>
    <row r="2975" ht="15.75" customHeight="1">
      <c r="H2975" s="2" t="s">
        <v>15413</v>
      </c>
      <c r="I2975" s="2" t="s">
        <v>5475</v>
      </c>
      <c r="J2975" s="2" t="s">
        <v>5476</v>
      </c>
      <c r="K2975" s="2" t="s">
        <v>15414</v>
      </c>
      <c r="L2975" s="2" t="s">
        <v>15099</v>
      </c>
      <c r="M2975" s="2" t="s">
        <v>15415</v>
      </c>
      <c r="N2975" s="2" t="s">
        <v>15416</v>
      </c>
      <c r="O2975" s="2" t="s">
        <v>15417</v>
      </c>
      <c r="P2975" s="2" t="s">
        <v>15418</v>
      </c>
    </row>
    <row r="2976" ht="15.75" customHeight="1">
      <c r="H2976" s="2" t="s">
        <v>15419</v>
      </c>
      <c r="I2976" s="2" t="s">
        <v>424</v>
      </c>
      <c r="J2976" s="2" t="s">
        <v>425</v>
      </c>
      <c r="K2976" s="2" t="s">
        <v>15420</v>
      </c>
      <c r="L2976" s="2" t="s">
        <v>15099</v>
      </c>
      <c r="M2976" s="2" t="s">
        <v>15421</v>
      </c>
      <c r="N2976" s="2" t="s">
        <v>15422</v>
      </c>
      <c r="O2976" s="2" t="s">
        <v>15423</v>
      </c>
      <c r="P2976" s="2" t="s">
        <v>15424</v>
      </c>
    </row>
    <row r="2977" ht="15.75" customHeight="1">
      <c r="H2977" s="2" t="s">
        <v>15425</v>
      </c>
      <c r="I2977" s="2" t="s">
        <v>432</v>
      </c>
      <c r="J2977" s="2" t="s">
        <v>433</v>
      </c>
      <c r="K2977" s="2" t="s">
        <v>15426</v>
      </c>
      <c r="L2977" s="2" t="s">
        <v>15099</v>
      </c>
      <c r="M2977" s="2" t="s">
        <v>15427</v>
      </c>
      <c r="N2977" s="2" t="s">
        <v>15428</v>
      </c>
      <c r="O2977" s="2" t="s">
        <v>15429</v>
      </c>
      <c r="P2977" s="2" t="s">
        <v>15430</v>
      </c>
    </row>
    <row r="2978" ht="15.75" customHeight="1">
      <c r="H2978" s="2" t="s">
        <v>15431</v>
      </c>
      <c r="I2978" s="2" t="s">
        <v>440</v>
      </c>
      <c r="J2978" s="2" t="s">
        <v>441</v>
      </c>
      <c r="K2978" s="2" t="s">
        <v>15432</v>
      </c>
      <c r="L2978" s="2" t="s">
        <v>15433</v>
      </c>
      <c r="M2978" s="2" t="s">
        <v>15434</v>
      </c>
      <c r="N2978" s="2" t="s">
        <v>15435</v>
      </c>
      <c r="O2978" s="2" t="s">
        <v>15436</v>
      </c>
      <c r="P2978" s="2" t="s">
        <v>15437</v>
      </c>
    </row>
    <row r="2979" ht="15.75" customHeight="1">
      <c r="H2979" s="2" t="s">
        <v>15438</v>
      </c>
      <c r="I2979" s="2" t="s">
        <v>2298</v>
      </c>
      <c r="J2979" s="2" t="s">
        <v>2299</v>
      </c>
      <c r="K2979" s="2" t="s">
        <v>15439</v>
      </c>
      <c r="L2979" s="2" t="s">
        <v>15099</v>
      </c>
      <c r="M2979" s="2" t="s">
        <v>15440</v>
      </c>
      <c r="N2979" s="2" t="s">
        <v>15441</v>
      </c>
      <c r="O2979" s="2" t="s">
        <v>15442</v>
      </c>
      <c r="P2979" s="2" t="s">
        <v>15443</v>
      </c>
    </row>
    <row r="2980" ht="15.75" customHeight="1">
      <c r="H2980" s="2" t="s">
        <v>15444</v>
      </c>
      <c r="I2980" s="2" t="s">
        <v>449</v>
      </c>
      <c r="J2980" s="2" t="s">
        <v>450</v>
      </c>
      <c r="K2980" s="2" t="s">
        <v>15445</v>
      </c>
      <c r="L2980" s="2" t="s">
        <v>15446</v>
      </c>
      <c r="M2980" s="2" t="s">
        <v>15447</v>
      </c>
      <c r="N2980" s="2" t="s">
        <v>15448</v>
      </c>
      <c r="O2980" s="2" t="s">
        <v>15449</v>
      </c>
      <c r="P2980" s="2" t="s">
        <v>15450</v>
      </c>
    </row>
    <row r="2981" ht="15.75" customHeight="1">
      <c r="H2981" s="2" t="s">
        <v>15451</v>
      </c>
      <c r="I2981" s="2" t="s">
        <v>2867</v>
      </c>
      <c r="J2981" s="2" t="s">
        <v>2868</v>
      </c>
      <c r="K2981" s="2" t="s">
        <v>15452</v>
      </c>
      <c r="L2981" s="2" t="s">
        <v>15099</v>
      </c>
      <c r="M2981" s="2" t="s">
        <v>15453</v>
      </c>
      <c r="N2981" s="2" t="s">
        <v>15454</v>
      </c>
      <c r="O2981" s="2" t="s">
        <v>15455</v>
      </c>
      <c r="P2981" s="2" t="s">
        <v>15456</v>
      </c>
    </row>
    <row r="2982" ht="15.75" customHeight="1">
      <c r="H2982" s="2" t="s">
        <v>15457</v>
      </c>
      <c r="I2982" s="2" t="s">
        <v>15458</v>
      </c>
      <c r="J2982" s="2" t="s">
        <v>15459</v>
      </c>
      <c r="K2982" s="2" t="s">
        <v>14144</v>
      </c>
      <c r="L2982" s="2" t="s">
        <v>15099</v>
      </c>
      <c r="M2982" s="2" t="s">
        <v>15460</v>
      </c>
      <c r="N2982" s="2" t="s">
        <v>15461</v>
      </c>
      <c r="O2982" s="2" t="s">
        <v>15462</v>
      </c>
      <c r="P2982" s="2" t="s">
        <v>869</v>
      </c>
    </row>
    <row r="2983" ht="15.75" customHeight="1">
      <c r="H2983" s="2" t="s">
        <v>15463</v>
      </c>
      <c r="I2983" s="2" t="s">
        <v>15464</v>
      </c>
      <c r="J2983" s="2" t="s">
        <v>15465</v>
      </c>
      <c r="K2983" s="2" t="s">
        <v>15466</v>
      </c>
      <c r="L2983" s="2" t="s">
        <v>15099</v>
      </c>
      <c r="M2983" s="2" t="s">
        <v>15467</v>
      </c>
      <c r="N2983" s="2" t="s">
        <v>15468</v>
      </c>
      <c r="O2983" s="2" t="s">
        <v>15469</v>
      </c>
      <c r="P2983" s="2" t="s">
        <v>869</v>
      </c>
    </row>
    <row r="2984" ht="15.75" customHeight="1">
      <c r="H2984" s="2" t="s">
        <v>15470</v>
      </c>
      <c r="I2984" s="2" t="s">
        <v>13849</v>
      </c>
      <c r="J2984" s="2" t="s">
        <v>13850</v>
      </c>
      <c r="K2984" s="2" t="s">
        <v>15471</v>
      </c>
      <c r="L2984" s="2" t="s">
        <v>15099</v>
      </c>
      <c r="M2984" s="2" t="s">
        <v>15472</v>
      </c>
      <c r="N2984" s="2" t="s">
        <v>15473</v>
      </c>
      <c r="O2984" s="2" t="s">
        <v>15474</v>
      </c>
      <c r="P2984" s="2" t="s">
        <v>15475</v>
      </c>
    </row>
    <row r="2985" ht="15.75" customHeight="1">
      <c r="H2985" s="2" t="s">
        <v>15476</v>
      </c>
      <c r="I2985" s="2" t="s">
        <v>12318</v>
      </c>
      <c r="J2985" s="2" t="s">
        <v>12319</v>
      </c>
      <c r="K2985" s="2" t="s">
        <v>13730</v>
      </c>
      <c r="L2985" s="2" t="s">
        <v>15099</v>
      </c>
      <c r="M2985" s="2" t="s">
        <v>15477</v>
      </c>
      <c r="N2985" s="2" t="s">
        <v>15478</v>
      </c>
      <c r="O2985" s="2" t="s">
        <v>15479</v>
      </c>
      <c r="P2985" s="2" t="s">
        <v>869</v>
      </c>
    </row>
    <row r="2986" ht="15.75" customHeight="1">
      <c r="H2986" s="2" t="s">
        <v>15480</v>
      </c>
      <c r="I2986" s="2" t="s">
        <v>510</v>
      </c>
      <c r="J2986" s="2" t="s">
        <v>511</v>
      </c>
      <c r="K2986" s="2" t="s">
        <v>15481</v>
      </c>
      <c r="L2986" s="2" t="s">
        <v>15099</v>
      </c>
      <c r="M2986" s="2" t="s">
        <v>15482</v>
      </c>
      <c r="N2986" s="2" t="s">
        <v>15483</v>
      </c>
      <c r="O2986" s="2" t="s">
        <v>15484</v>
      </c>
      <c r="P2986" s="2" t="s">
        <v>15485</v>
      </c>
    </row>
    <row r="2987" ht="15.75" customHeight="1">
      <c r="H2987" s="2" t="s">
        <v>15486</v>
      </c>
      <c r="I2987" s="2" t="s">
        <v>15487</v>
      </c>
      <c r="J2987" s="2" t="s">
        <v>15488</v>
      </c>
      <c r="K2987" s="2" t="s">
        <v>15489</v>
      </c>
      <c r="L2987" s="2" t="s">
        <v>15099</v>
      </c>
      <c r="M2987" s="2" t="s">
        <v>15490</v>
      </c>
      <c r="N2987" s="2" t="s">
        <v>15491</v>
      </c>
      <c r="O2987" s="2" t="s">
        <v>15492</v>
      </c>
      <c r="P2987" s="2" t="s">
        <v>15493</v>
      </c>
    </row>
    <row r="2988" ht="15.75" customHeight="1">
      <c r="H2988" s="2" t="s">
        <v>15494</v>
      </c>
      <c r="I2988" s="2" t="s">
        <v>15495</v>
      </c>
      <c r="J2988" s="2" t="s">
        <v>15496</v>
      </c>
      <c r="K2988" s="2" t="s">
        <v>15497</v>
      </c>
      <c r="L2988" s="2" t="s">
        <v>15099</v>
      </c>
      <c r="M2988" s="2" t="s">
        <v>15498</v>
      </c>
      <c r="N2988" s="2" t="s">
        <v>15499</v>
      </c>
      <c r="O2988" s="2" t="s">
        <v>15500</v>
      </c>
      <c r="P2988" s="2" t="s">
        <v>15501</v>
      </c>
    </row>
    <row r="2989" ht="15.75" customHeight="1">
      <c r="H2989" s="2" t="s">
        <v>15502</v>
      </c>
      <c r="I2989" s="2" t="s">
        <v>526</v>
      </c>
      <c r="J2989" s="2" t="s">
        <v>527</v>
      </c>
      <c r="K2989" s="2" t="s">
        <v>15503</v>
      </c>
      <c r="L2989" s="2" t="s">
        <v>15099</v>
      </c>
      <c r="M2989" s="2" t="s">
        <v>15504</v>
      </c>
      <c r="N2989" s="2" t="s">
        <v>15505</v>
      </c>
      <c r="O2989" s="2" t="s">
        <v>15506</v>
      </c>
      <c r="P2989" s="2" t="s">
        <v>15507</v>
      </c>
    </row>
    <row r="2990" ht="15.75" customHeight="1">
      <c r="H2990" s="2" t="s">
        <v>15508</v>
      </c>
      <c r="I2990" s="2" t="s">
        <v>15509</v>
      </c>
      <c r="J2990" s="2" t="s">
        <v>15510</v>
      </c>
      <c r="K2990" s="2" t="s">
        <v>15511</v>
      </c>
      <c r="L2990" s="2" t="s">
        <v>15099</v>
      </c>
      <c r="M2990" s="2" t="s">
        <v>15512</v>
      </c>
      <c r="N2990" s="2" t="s">
        <v>15513</v>
      </c>
      <c r="O2990" s="2" t="s">
        <v>15514</v>
      </c>
      <c r="P2990" s="2" t="s">
        <v>15515</v>
      </c>
    </row>
    <row r="2991" ht="15.75" customHeight="1">
      <c r="F2991" s="2" t="s">
        <v>534</v>
      </c>
      <c r="H2991" s="2" t="s">
        <v>15516</v>
      </c>
      <c r="I2991" s="2" t="s">
        <v>536</v>
      </c>
      <c r="J2991" s="2" t="s">
        <v>537</v>
      </c>
      <c r="K2991" s="2" t="s">
        <v>538</v>
      </c>
    </row>
    <row r="2992" ht="15.75" customHeight="1">
      <c r="F2992" s="2" t="s">
        <v>2597</v>
      </c>
      <c r="H2992" s="2" t="s">
        <v>15517</v>
      </c>
      <c r="I2992" s="2" t="s">
        <v>2624</v>
      </c>
      <c r="J2992" s="2" t="s">
        <v>2625</v>
      </c>
      <c r="K2992" s="2" t="s">
        <v>15518</v>
      </c>
      <c r="L2992" s="2" t="s">
        <v>15099</v>
      </c>
      <c r="M2992" s="2" t="s">
        <v>15519</v>
      </c>
      <c r="N2992" s="2" t="s">
        <v>15520</v>
      </c>
      <c r="O2992" s="2" t="s">
        <v>15521</v>
      </c>
      <c r="P2992" s="2" t="s">
        <v>15522</v>
      </c>
    </row>
    <row r="2993" ht="15.75" customHeight="1">
      <c r="F2993" s="2" t="s">
        <v>548</v>
      </c>
      <c r="H2993" s="2" t="s">
        <v>15523</v>
      </c>
      <c r="I2993" s="2" t="s">
        <v>550</v>
      </c>
      <c r="J2993" s="2" t="s">
        <v>551</v>
      </c>
      <c r="K2993" s="2" t="s">
        <v>15524</v>
      </c>
      <c r="L2993" s="2" t="s">
        <v>15099</v>
      </c>
      <c r="M2993" s="2" t="s">
        <v>15525</v>
      </c>
      <c r="N2993" s="2" t="s">
        <v>15526</v>
      </c>
      <c r="O2993" s="2" t="s">
        <v>15527</v>
      </c>
      <c r="P2993" s="2" t="s">
        <v>15528</v>
      </c>
    </row>
    <row r="2994" ht="15.75" customHeight="1">
      <c r="F2994" s="2" t="s">
        <v>556</v>
      </c>
      <c r="H2994" s="2" t="s">
        <v>15529</v>
      </c>
      <c r="I2994" s="2" t="s">
        <v>4377</v>
      </c>
      <c r="J2994" s="2" t="s">
        <v>4378</v>
      </c>
      <c r="K2994" s="2" t="s">
        <v>15530</v>
      </c>
      <c r="L2994" s="2" t="s">
        <v>15099</v>
      </c>
      <c r="M2994" s="2" t="s">
        <v>15531</v>
      </c>
      <c r="N2994" s="2" t="s">
        <v>15532</v>
      </c>
      <c r="O2994" s="2" t="s">
        <v>15533</v>
      </c>
      <c r="P2994" s="2" t="s">
        <v>15534</v>
      </c>
    </row>
    <row r="2995" ht="15.75" customHeight="1">
      <c r="H2995" s="2" t="s">
        <v>15535</v>
      </c>
      <c r="I2995" s="2" t="s">
        <v>12028</v>
      </c>
      <c r="J2995" s="2" t="s">
        <v>12029</v>
      </c>
      <c r="K2995" s="2" t="s">
        <v>13904</v>
      </c>
      <c r="L2995" s="2" t="s">
        <v>15099</v>
      </c>
      <c r="M2995" s="2" t="s">
        <v>15536</v>
      </c>
      <c r="N2995" s="2" t="s">
        <v>15537</v>
      </c>
      <c r="O2995" s="2" t="s">
        <v>15538</v>
      </c>
      <c r="P2995" s="2" t="s">
        <v>15539</v>
      </c>
    </row>
    <row r="2996" ht="15.75" customHeight="1">
      <c r="H2996" s="2" t="s">
        <v>15540</v>
      </c>
      <c r="I2996" s="2" t="s">
        <v>8189</v>
      </c>
      <c r="J2996" s="2" t="s">
        <v>8190</v>
      </c>
      <c r="K2996" s="2" t="s">
        <v>15541</v>
      </c>
      <c r="L2996" s="2" t="s">
        <v>15099</v>
      </c>
      <c r="M2996" s="2" t="s">
        <v>15542</v>
      </c>
      <c r="N2996" s="2" t="s">
        <v>15543</v>
      </c>
      <c r="O2996" s="2" t="s">
        <v>15544</v>
      </c>
      <c r="P2996" s="2" t="s">
        <v>15545</v>
      </c>
    </row>
    <row r="2997" ht="15.75" customHeight="1">
      <c r="H2997" s="2" t="s">
        <v>15546</v>
      </c>
      <c r="I2997" s="2" t="s">
        <v>2815</v>
      </c>
      <c r="J2997" s="2" t="s">
        <v>2816</v>
      </c>
      <c r="K2997" s="2" t="s">
        <v>15547</v>
      </c>
      <c r="L2997" s="2" t="s">
        <v>15099</v>
      </c>
      <c r="M2997" s="2" t="s">
        <v>8196</v>
      </c>
      <c r="N2997" s="2" t="s">
        <v>15548</v>
      </c>
      <c r="O2997" s="2" t="s">
        <v>15549</v>
      </c>
      <c r="P2997" s="2" t="s">
        <v>15550</v>
      </c>
    </row>
    <row r="2998" ht="15.75" customHeight="1">
      <c r="F2998" s="2" t="s">
        <v>598</v>
      </c>
      <c r="H2998" s="2" t="s">
        <v>15551</v>
      </c>
      <c r="I2998" s="2" t="s">
        <v>15552</v>
      </c>
      <c r="J2998" s="2" t="s">
        <v>15553</v>
      </c>
      <c r="K2998" s="2" t="s">
        <v>13988</v>
      </c>
      <c r="L2998" s="2" t="s">
        <v>15099</v>
      </c>
      <c r="M2998" s="2" t="s">
        <v>15554</v>
      </c>
      <c r="N2998" s="2" t="s">
        <v>15555</v>
      </c>
      <c r="O2998" s="2" t="s">
        <v>15556</v>
      </c>
      <c r="P2998" s="2" t="s">
        <v>15557</v>
      </c>
    </row>
    <row r="2999" ht="15.75" customHeight="1">
      <c r="H2999" s="2" t="s">
        <v>15558</v>
      </c>
      <c r="I2999" s="2" t="s">
        <v>608</v>
      </c>
      <c r="J2999" s="2" t="s">
        <v>609</v>
      </c>
      <c r="K2999" s="2" t="s">
        <v>15559</v>
      </c>
      <c r="L2999" s="2" t="s">
        <v>15099</v>
      </c>
      <c r="M2999" s="2" t="s">
        <v>15560</v>
      </c>
      <c r="N2999" s="2" t="s">
        <v>15561</v>
      </c>
      <c r="O2999" s="2" t="s">
        <v>15562</v>
      </c>
      <c r="P2999" s="2" t="s">
        <v>15563</v>
      </c>
    </row>
    <row r="3000" ht="15.75" customHeight="1">
      <c r="H3000" s="2" t="s">
        <v>15564</v>
      </c>
      <c r="I3000" s="2" t="s">
        <v>3033</v>
      </c>
      <c r="J3000" s="2" t="s">
        <v>3034</v>
      </c>
      <c r="K3000" s="2" t="s">
        <v>15565</v>
      </c>
      <c r="L3000" s="2" t="s">
        <v>15099</v>
      </c>
      <c r="M3000" s="2" t="s">
        <v>15566</v>
      </c>
      <c r="N3000" s="2" t="s">
        <v>15567</v>
      </c>
      <c r="O3000" s="2" t="s">
        <v>15568</v>
      </c>
      <c r="P3000" s="2" t="s">
        <v>15569</v>
      </c>
    </row>
    <row r="3001" ht="15.75" customHeight="1">
      <c r="H3001" s="2" t="s">
        <v>15570</v>
      </c>
      <c r="I3001" s="2" t="s">
        <v>15571</v>
      </c>
      <c r="J3001" s="2" t="s">
        <v>15572</v>
      </c>
      <c r="K3001" s="2" t="s">
        <v>15573</v>
      </c>
      <c r="L3001" s="2" t="s">
        <v>15099</v>
      </c>
      <c r="M3001" s="2" t="s">
        <v>15574</v>
      </c>
      <c r="N3001" s="2" t="s">
        <v>15575</v>
      </c>
      <c r="O3001" s="2" t="s">
        <v>15576</v>
      </c>
      <c r="P3001" s="2" t="s">
        <v>869</v>
      </c>
    </row>
    <row r="3002" ht="15.75" customHeight="1">
      <c r="H3002" s="2" t="s">
        <v>15577</v>
      </c>
      <c r="I3002" s="2" t="s">
        <v>8755</v>
      </c>
      <c r="J3002" s="2" t="s">
        <v>8756</v>
      </c>
      <c r="K3002" s="2" t="s">
        <v>13768</v>
      </c>
      <c r="L3002" s="2" t="s">
        <v>15099</v>
      </c>
      <c r="M3002" s="2" t="s">
        <v>15578</v>
      </c>
      <c r="N3002" s="2" t="s">
        <v>15579</v>
      </c>
      <c r="O3002" s="2" t="s">
        <v>15580</v>
      </c>
      <c r="P3002" s="2" t="s">
        <v>15581</v>
      </c>
    </row>
    <row r="3003" ht="15.75" customHeight="1">
      <c r="F3003" s="2" t="s">
        <v>624</v>
      </c>
      <c r="H3003" s="2" t="s">
        <v>15582</v>
      </c>
      <c r="I3003" s="2" t="s">
        <v>3712</v>
      </c>
      <c r="J3003" s="2" t="s">
        <v>3713</v>
      </c>
      <c r="K3003" s="2" t="s">
        <v>13639</v>
      </c>
      <c r="L3003" s="2" t="s">
        <v>15099</v>
      </c>
      <c r="M3003" s="2" t="s">
        <v>15583</v>
      </c>
      <c r="N3003" s="2" t="s">
        <v>15584</v>
      </c>
      <c r="O3003" s="2" t="s">
        <v>15585</v>
      </c>
      <c r="P3003" s="2" t="s">
        <v>15586</v>
      </c>
    </row>
    <row r="3004" ht="15.75" customHeight="1">
      <c r="H3004" s="2" t="s">
        <v>15587</v>
      </c>
      <c r="I3004" s="2" t="s">
        <v>3246</v>
      </c>
      <c r="J3004" s="2" t="s">
        <v>3247</v>
      </c>
      <c r="K3004" s="2" t="s">
        <v>13912</v>
      </c>
      <c r="L3004" s="2" t="s">
        <v>15099</v>
      </c>
      <c r="M3004" s="2" t="s">
        <v>15588</v>
      </c>
      <c r="N3004" s="2" t="s">
        <v>15589</v>
      </c>
      <c r="O3004" s="2" t="s">
        <v>15590</v>
      </c>
      <c r="P3004" s="2" t="s">
        <v>15591</v>
      </c>
    </row>
    <row r="3005" ht="15.75" customHeight="1">
      <c r="H3005" s="2" t="s">
        <v>15592</v>
      </c>
      <c r="I3005" s="2" t="s">
        <v>626</v>
      </c>
      <c r="J3005" s="2" t="s">
        <v>627</v>
      </c>
      <c r="K3005" s="2" t="s">
        <v>15593</v>
      </c>
      <c r="L3005" s="2" t="s">
        <v>15099</v>
      </c>
      <c r="M3005" s="2" t="s">
        <v>15594</v>
      </c>
      <c r="N3005" s="2" t="s">
        <v>15595</v>
      </c>
      <c r="O3005" s="2" t="s">
        <v>15596</v>
      </c>
      <c r="P3005" s="2" t="s">
        <v>15597</v>
      </c>
    </row>
    <row r="3006" ht="15.75" customHeight="1">
      <c r="F3006" s="2" t="s">
        <v>3521</v>
      </c>
      <c r="H3006" s="2" t="s">
        <v>15598</v>
      </c>
      <c r="I3006" s="2" t="s">
        <v>3558</v>
      </c>
      <c r="J3006" s="2" t="s">
        <v>3559</v>
      </c>
      <c r="K3006" s="2" t="s">
        <v>15599</v>
      </c>
      <c r="L3006" s="2" t="s">
        <v>15099</v>
      </c>
      <c r="M3006" s="2" t="s">
        <v>15600</v>
      </c>
      <c r="N3006" s="2" t="s">
        <v>15601</v>
      </c>
      <c r="O3006" s="2" t="s">
        <v>15602</v>
      </c>
      <c r="P3006" s="2" t="s">
        <v>869</v>
      </c>
    </row>
    <row r="3007" ht="15.75" customHeight="1">
      <c r="F3007" s="2" t="s">
        <v>660</v>
      </c>
      <c r="H3007" s="2" t="s">
        <v>15603</v>
      </c>
      <c r="I3007" s="2" t="s">
        <v>662</v>
      </c>
      <c r="J3007" s="2" t="s">
        <v>663</v>
      </c>
      <c r="K3007" s="2" t="s">
        <v>15604</v>
      </c>
      <c r="L3007" s="2" t="s">
        <v>15099</v>
      </c>
      <c r="M3007" s="2" t="s">
        <v>15605</v>
      </c>
      <c r="N3007" s="2" t="s">
        <v>15606</v>
      </c>
      <c r="O3007" s="2" t="s">
        <v>15607</v>
      </c>
      <c r="P3007" s="2" t="s">
        <v>15608</v>
      </c>
    </row>
    <row r="3008" ht="15.75" customHeight="1">
      <c r="F3008" s="2" t="s">
        <v>677</v>
      </c>
      <c r="H3008" s="2" t="s">
        <v>15609</v>
      </c>
      <c r="I3008" s="2" t="s">
        <v>15610</v>
      </c>
      <c r="J3008" s="2" t="s">
        <v>15611</v>
      </c>
      <c r="K3008" s="2" t="s">
        <v>15612</v>
      </c>
      <c r="L3008" s="2" t="s">
        <v>15099</v>
      </c>
      <c r="M3008" s="2" t="s">
        <v>15613</v>
      </c>
      <c r="N3008" s="2" t="s">
        <v>15614</v>
      </c>
      <c r="O3008" s="2" t="s">
        <v>15615</v>
      </c>
      <c r="P3008" s="2" t="s">
        <v>15616</v>
      </c>
    </row>
    <row r="3009" ht="15.75" customHeight="1">
      <c r="H3009" s="2" t="s">
        <v>15617</v>
      </c>
      <c r="I3009" s="2" t="s">
        <v>15618</v>
      </c>
      <c r="J3009" s="2" t="s">
        <v>15619</v>
      </c>
      <c r="K3009" s="2" t="s">
        <v>15620</v>
      </c>
      <c r="L3009" s="2" t="s">
        <v>15099</v>
      </c>
      <c r="M3009" s="2" t="s">
        <v>15621</v>
      </c>
      <c r="N3009" s="2" t="s">
        <v>15622</v>
      </c>
      <c r="O3009" s="2" t="s">
        <v>15623</v>
      </c>
      <c r="P3009" s="2" t="s">
        <v>13835</v>
      </c>
    </row>
    <row r="3010" ht="15.75" customHeight="1">
      <c r="H3010" s="2" t="s">
        <v>15624</v>
      </c>
      <c r="I3010" s="2" t="s">
        <v>679</v>
      </c>
      <c r="J3010" s="2" t="s">
        <v>680</v>
      </c>
      <c r="K3010" s="2" t="s">
        <v>15625</v>
      </c>
      <c r="L3010" s="2" t="s">
        <v>15099</v>
      </c>
      <c r="M3010" s="2" t="s">
        <v>15626</v>
      </c>
      <c r="N3010" s="2" t="s">
        <v>15627</v>
      </c>
      <c r="O3010" s="2" t="s">
        <v>15628</v>
      </c>
      <c r="P3010" s="2" t="s">
        <v>15629</v>
      </c>
    </row>
    <row r="3011" ht="15.75" customHeight="1">
      <c r="F3011" s="2" t="s">
        <v>728</v>
      </c>
      <c r="H3011" s="2" t="s">
        <v>15630</v>
      </c>
      <c r="I3011" s="2" t="s">
        <v>15631</v>
      </c>
      <c r="J3011" s="2" t="s">
        <v>15632</v>
      </c>
      <c r="K3011" s="2" t="s">
        <v>15633</v>
      </c>
      <c r="L3011" s="2" t="s">
        <v>15099</v>
      </c>
      <c r="M3011" s="2" t="s">
        <v>15634</v>
      </c>
      <c r="N3011" s="2" t="s">
        <v>15635</v>
      </c>
      <c r="O3011" s="2" t="s">
        <v>15636</v>
      </c>
      <c r="P3011" s="2" t="s">
        <v>15637</v>
      </c>
    </row>
    <row r="3012" ht="15.75" customHeight="1">
      <c r="F3012" s="2" t="s">
        <v>4491</v>
      </c>
      <c r="H3012" s="2" t="s">
        <v>15638</v>
      </c>
      <c r="I3012" s="2" t="s">
        <v>4493</v>
      </c>
      <c r="J3012" s="2" t="s">
        <v>4494</v>
      </c>
      <c r="K3012" s="2" t="s">
        <v>13621</v>
      </c>
      <c r="L3012" s="2" t="s">
        <v>15099</v>
      </c>
      <c r="M3012" s="2" t="s">
        <v>15639</v>
      </c>
      <c r="N3012" s="2" t="s">
        <v>15640</v>
      </c>
      <c r="O3012" s="2" t="s">
        <v>15641</v>
      </c>
      <c r="P3012" s="2" t="s">
        <v>869</v>
      </c>
    </row>
    <row r="3013" ht="15.75" customHeight="1">
      <c r="H3013" s="2" t="s">
        <v>15642</v>
      </c>
      <c r="I3013" s="2" t="s">
        <v>4503</v>
      </c>
      <c r="J3013" s="2" t="s">
        <v>4504</v>
      </c>
      <c r="K3013" s="2" t="s">
        <v>15643</v>
      </c>
      <c r="L3013" s="2" t="s">
        <v>15099</v>
      </c>
      <c r="M3013" s="2" t="s">
        <v>15644</v>
      </c>
      <c r="N3013" s="2" t="s">
        <v>15645</v>
      </c>
      <c r="O3013" s="2" t="s">
        <v>15646</v>
      </c>
      <c r="P3013" s="2" t="s">
        <v>15191</v>
      </c>
    </row>
    <row r="3014" ht="15.75" customHeight="1">
      <c r="H3014" s="2" t="s">
        <v>15647</v>
      </c>
      <c r="I3014" s="2" t="s">
        <v>10786</v>
      </c>
      <c r="J3014" s="2" t="s">
        <v>10787</v>
      </c>
      <c r="K3014" s="2" t="s">
        <v>15648</v>
      </c>
      <c r="L3014" s="2" t="s">
        <v>15099</v>
      </c>
      <c r="M3014" s="2" t="s">
        <v>15649</v>
      </c>
      <c r="N3014" s="2" t="s">
        <v>15650</v>
      </c>
      <c r="O3014" s="2" t="s">
        <v>15651</v>
      </c>
      <c r="P3014" s="2" t="s">
        <v>15652</v>
      </c>
    </row>
    <row r="3015" ht="15.75" customHeight="1">
      <c r="F3015" s="2" t="s">
        <v>755</v>
      </c>
      <c r="H3015" s="2" t="s">
        <v>15653</v>
      </c>
      <c r="I3015" s="2" t="s">
        <v>757</v>
      </c>
      <c r="J3015" s="2" t="s">
        <v>758</v>
      </c>
      <c r="K3015" s="2" t="s">
        <v>15654</v>
      </c>
      <c r="L3015" s="2" t="s">
        <v>15099</v>
      </c>
      <c r="M3015" s="2" t="s">
        <v>15655</v>
      </c>
      <c r="N3015" s="2" t="s">
        <v>15656</v>
      </c>
      <c r="O3015" s="2" t="s">
        <v>15657</v>
      </c>
      <c r="P3015" s="2" t="s">
        <v>15658</v>
      </c>
    </row>
    <row r="3016" ht="15.75" customHeight="1">
      <c r="F3016" s="2" t="s">
        <v>764</v>
      </c>
      <c r="H3016" s="2" t="s">
        <v>15659</v>
      </c>
      <c r="I3016" s="2" t="s">
        <v>766</v>
      </c>
      <c r="J3016" s="2" t="s">
        <v>767</v>
      </c>
      <c r="K3016" s="2" t="s">
        <v>15660</v>
      </c>
      <c r="L3016" s="2" t="s">
        <v>15099</v>
      </c>
      <c r="M3016" s="2" t="s">
        <v>15661</v>
      </c>
      <c r="N3016" s="2" t="s">
        <v>15662</v>
      </c>
      <c r="O3016" s="2" t="s">
        <v>15663</v>
      </c>
      <c r="P3016" s="2" t="s">
        <v>15664</v>
      </c>
    </row>
    <row r="3017" ht="15.75" customHeight="1">
      <c r="F3017" s="2" t="s">
        <v>773</v>
      </c>
      <c r="H3017" s="2" t="s">
        <v>15665</v>
      </c>
      <c r="I3017" s="2" t="s">
        <v>3110</v>
      </c>
      <c r="J3017" s="2" t="s">
        <v>3111</v>
      </c>
      <c r="K3017" s="2" t="s">
        <v>13920</v>
      </c>
      <c r="L3017" s="2" t="s">
        <v>15099</v>
      </c>
      <c r="M3017" s="2" t="s">
        <v>15666</v>
      </c>
      <c r="N3017" s="2" t="s">
        <v>15667</v>
      </c>
      <c r="O3017" s="2" t="s">
        <v>15668</v>
      </c>
      <c r="P3017" s="2" t="s">
        <v>15669</v>
      </c>
    </row>
    <row r="3018" ht="15.75" customHeight="1">
      <c r="H3018" s="2" t="s">
        <v>15670</v>
      </c>
      <c r="I3018" s="2" t="s">
        <v>775</v>
      </c>
      <c r="J3018" s="2" t="s">
        <v>776</v>
      </c>
      <c r="K3018" s="2" t="s">
        <v>15671</v>
      </c>
      <c r="L3018" s="2" t="s">
        <v>15099</v>
      </c>
      <c r="M3018" s="2" t="s">
        <v>15672</v>
      </c>
      <c r="N3018" s="2" t="s">
        <v>15673</v>
      </c>
      <c r="O3018" s="2" t="s">
        <v>15674</v>
      </c>
      <c r="P3018" s="2" t="s">
        <v>15675</v>
      </c>
    </row>
    <row r="3019" ht="15.75" customHeight="1">
      <c r="H3019" s="2" t="s">
        <v>15676</v>
      </c>
      <c r="I3019" s="2" t="s">
        <v>4798</v>
      </c>
      <c r="J3019" s="2" t="s">
        <v>4799</v>
      </c>
      <c r="K3019" s="2" t="s">
        <v>14130</v>
      </c>
      <c r="L3019" s="2" t="s">
        <v>15099</v>
      </c>
      <c r="M3019" s="2" t="s">
        <v>15677</v>
      </c>
      <c r="N3019" s="2" t="s">
        <v>15678</v>
      </c>
      <c r="O3019" s="2" t="s">
        <v>15679</v>
      </c>
      <c r="P3019" s="2" t="s">
        <v>15680</v>
      </c>
    </row>
    <row r="3020" ht="15.75" customHeight="1">
      <c r="F3020" s="2" t="s">
        <v>791</v>
      </c>
      <c r="H3020" s="2" t="s">
        <v>15681</v>
      </c>
      <c r="I3020" s="2" t="s">
        <v>11431</v>
      </c>
      <c r="J3020" s="2" t="s">
        <v>11432</v>
      </c>
      <c r="K3020" s="2" t="s">
        <v>15682</v>
      </c>
      <c r="L3020" s="2" t="s">
        <v>15099</v>
      </c>
      <c r="M3020" s="2" t="s">
        <v>15683</v>
      </c>
      <c r="N3020" s="2" t="s">
        <v>15684</v>
      </c>
      <c r="O3020" s="2" t="s">
        <v>15685</v>
      </c>
      <c r="P3020" s="2" t="s">
        <v>15675</v>
      </c>
    </row>
    <row r="3021" ht="15.75" customHeight="1">
      <c r="F3021" s="2" t="s">
        <v>800</v>
      </c>
      <c r="H3021" s="2" t="s">
        <v>15686</v>
      </c>
      <c r="I3021" s="2" t="s">
        <v>5722</v>
      </c>
      <c r="J3021" s="2" t="s">
        <v>5723</v>
      </c>
      <c r="K3021" s="2" t="s">
        <v>15687</v>
      </c>
      <c r="L3021" s="2" t="s">
        <v>15099</v>
      </c>
      <c r="M3021" s="2" t="s">
        <v>15688</v>
      </c>
      <c r="N3021" s="2" t="s">
        <v>15689</v>
      </c>
      <c r="O3021" s="2" t="s">
        <v>15690</v>
      </c>
      <c r="P3021" s="2" t="s">
        <v>15691</v>
      </c>
    </row>
    <row r="3022" ht="15.75" customHeight="1">
      <c r="H3022" s="2" t="s">
        <v>15692</v>
      </c>
      <c r="I3022" s="2" t="s">
        <v>4994</v>
      </c>
      <c r="J3022" s="2" t="s">
        <v>4995</v>
      </c>
      <c r="K3022" s="2" t="s">
        <v>15693</v>
      </c>
      <c r="L3022" s="2" t="s">
        <v>15099</v>
      </c>
      <c r="M3022" s="2" t="s">
        <v>15694</v>
      </c>
      <c r="N3022" s="2" t="s">
        <v>15695</v>
      </c>
      <c r="O3022" s="2" t="s">
        <v>15696</v>
      </c>
      <c r="P3022" s="2" t="s">
        <v>15697</v>
      </c>
    </row>
    <row r="3023" ht="15.75" customHeight="1">
      <c r="H3023" s="2" t="s">
        <v>15698</v>
      </c>
      <c r="I3023" s="2" t="s">
        <v>4999</v>
      </c>
      <c r="J3023" s="2" t="s">
        <v>5000</v>
      </c>
      <c r="K3023" s="2" t="s">
        <v>15699</v>
      </c>
      <c r="L3023" s="2" t="s">
        <v>15099</v>
      </c>
      <c r="M3023" s="2" t="s">
        <v>15700</v>
      </c>
      <c r="N3023" s="2" t="s">
        <v>15701</v>
      </c>
      <c r="O3023" s="2" t="s">
        <v>15702</v>
      </c>
      <c r="P3023" s="2" t="s">
        <v>15703</v>
      </c>
    </row>
    <row r="3024" ht="15.75" customHeight="1">
      <c r="H3024" s="2" t="s">
        <v>15704</v>
      </c>
      <c r="I3024" s="2" t="s">
        <v>5986</v>
      </c>
      <c r="J3024" s="2" t="s">
        <v>5987</v>
      </c>
      <c r="K3024" s="2" t="s">
        <v>15705</v>
      </c>
      <c r="L3024" s="2" t="s">
        <v>15706</v>
      </c>
      <c r="M3024" s="2" t="s">
        <v>15707</v>
      </c>
      <c r="N3024" s="2" t="s">
        <v>15708</v>
      </c>
      <c r="O3024" s="2" t="s">
        <v>15709</v>
      </c>
      <c r="P3024" s="2" t="s">
        <v>15710</v>
      </c>
    </row>
    <row r="3025" ht="15.75" customHeight="1">
      <c r="H3025" s="2" t="s">
        <v>15711</v>
      </c>
      <c r="I3025" s="2" t="s">
        <v>15712</v>
      </c>
      <c r="J3025" s="2" t="s">
        <v>15713</v>
      </c>
      <c r="K3025" s="2" t="s">
        <v>15714</v>
      </c>
      <c r="L3025" s="2" t="s">
        <v>15099</v>
      </c>
      <c r="M3025" s="2" t="s">
        <v>15715</v>
      </c>
      <c r="N3025" s="2" t="s">
        <v>15716</v>
      </c>
      <c r="O3025" s="2" t="s">
        <v>15717</v>
      </c>
      <c r="P3025" s="2" t="s">
        <v>15718</v>
      </c>
    </row>
    <row r="3026" ht="15.75" customHeight="1">
      <c r="B3026" s="2" t="s">
        <v>15719</v>
      </c>
      <c r="C3026" s="2" t="s">
        <v>12749</v>
      </c>
      <c r="D3026" s="2" t="s">
        <v>15720</v>
      </c>
      <c r="F3026" s="2" t="s">
        <v>74</v>
      </c>
      <c r="H3026" s="2" t="s">
        <v>15721</v>
      </c>
      <c r="I3026" s="2" t="s">
        <v>15722</v>
      </c>
      <c r="J3026" s="2" t="s">
        <v>15723</v>
      </c>
      <c r="K3026" s="2" t="s">
        <v>1718</v>
      </c>
      <c r="L3026" s="2" t="s">
        <v>15724</v>
      </c>
      <c r="M3026" s="2" t="s">
        <v>15725</v>
      </c>
      <c r="N3026" s="2" t="s">
        <v>15726</v>
      </c>
      <c r="O3026" s="2" t="s">
        <v>15727</v>
      </c>
      <c r="P3026" s="2" t="s">
        <v>15728</v>
      </c>
    </row>
    <row r="3027" ht="15.75" customHeight="1">
      <c r="F3027" s="2" t="s">
        <v>284</v>
      </c>
      <c r="H3027" s="2" t="s">
        <v>15729</v>
      </c>
      <c r="I3027" s="2" t="s">
        <v>326</v>
      </c>
      <c r="J3027" s="2" t="s">
        <v>327</v>
      </c>
      <c r="K3027" s="2" t="s">
        <v>1331</v>
      </c>
      <c r="L3027" s="2" t="s">
        <v>15730</v>
      </c>
      <c r="M3027" s="2" t="s">
        <v>15731</v>
      </c>
      <c r="N3027" s="2" t="s">
        <v>15732</v>
      </c>
      <c r="O3027" s="2" t="s">
        <v>15733</v>
      </c>
      <c r="P3027" s="2" t="s">
        <v>15734</v>
      </c>
    </row>
    <row r="3028" ht="15.75" customHeight="1">
      <c r="H3028" s="2" t="s">
        <v>15735</v>
      </c>
      <c r="I3028" s="2" t="s">
        <v>415</v>
      </c>
      <c r="J3028" s="2" t="s">
        <v>416</v>
      </c>
      <c r="L3028" s="2" t="s">
        <v>15730</v>
      </c>
      <c r="M3028" s="2" t="s">
        <v>15736</v>
      </c>
      <c r="N3028" s="2" t="s">
        <v>15737</v>
      </c>
      <c r="O3028" s="2" t="s">
        <v>15738</v>
      </c>
      <c r="P3028" s="2" t="s">
        <v>15739</v>
      </c>
    </row>
    <row r="3029" ht="15.75" customHeight="1">
      <c r="H3029" s="2" t="s">
        <v>15740</v>
      </c>
      <c r="I3029" s="2" t="s">
        <v>449</v>
      </c>
      <c r="J3029" s="2" t="s">
        <v>450</v>
      </c>
      <c r="K3029" s="2" t="s">
        <v>5500</v>
      </c>
      <c r="L3029" s="2" t="s">
        <v>15730</v>
      </c>
      <c r="M3029" s="2" t="s">
        <v>15741</v>
      </c>
      <c r="N3029" s="2" t="s">
        <v>15742</v>
      </c>
      <c r="O3029" s="2" t="s">
        <v>15743</v>
      </c>
      <c r="P3029" s="2" t="s">
        <v>15744</v>
      </c>
    </row>
    <row r="3030" ht="15.75" customHeight="1">
      <c r="H3030" s="2" t="s">
        <v>15745</v>
      </c>
      <c r="I3030" s="2" t="s">
        <v>13823</v>
      </c>
      <c r="J3030" s="2" t="s">
        <v>13824</v>
      </c>
      <c r="L3030" s="2" t="s">
        <v>15730</v>
      </c>
      <c r="M3030" s="2" t="s">
        <v>15746</v>
      </c>
      <c r="N3030" s="2" t="s">
        <v>15747</v>
      </c>
      <c r="O3030" s="2" t="s">
        <v>15748</v>
      </c>
      <c r="P3030" s="2" t="s">
        <v>869</v>
      </c>
    </row>
    <row r="3031" ht="15.75" customHeight="1">
      <c r="H3031" s="2" t="s">
        <v>15749</v>
      </c>
      <c r="I3031" s="2" t="s">
        <v>526</v>
      </c>
      <c r="J3031" s="2" t="s">
        <v>527</v>
      </c>
      <c r="K3031" s="2" t="s">
        <v>2316</v>
      </c>
      <c r="L3031" s="2" t="s">
        <v>15730</v>
      </c>
      <c r="M3031" s="2" t="s">
        <v>15750</v>
      </c>
      <c r="N3031" s="2" t="s">
        <v>15751</v>
      </c>
      <c r="O3031" s="2" t="s">
        <v>15752</v>
      </c>
      <c r="P3031" s="2" t="s">
        <v>15753</v>
      </c>
    </row>
    <row r="3032" ht="15.75" customHeight="1">
      <c r="F3032" s="2" t="s">
        <v>534</v>
      </c>
      <c r="H3032" s="2" t="s">
        <v>15754</v>
      </c>
      <c r="I3032" s="2" t="s">
        <v>536</v>
      </c>
      <c r="J3032" s="2" t="s">
        <v>537</v>
      </c>
      <c r="K3032" s="2" t="s">
        <v>538</v>
      </c>
    </row>
    <row r="3033" ht="15.75" customHeight="1">
      <c r="F3033" s="2" t="s">
        <v>800</v>
      </c>
      <c r="H3033" s="2" t="s">
        <v>15755</v>
      </c>
      <c r="I3033" s="2" t="s">
        <v>5986</v>
      </c>
      <c r="J3033" s="2" t="s">
        <v>5987</v>
      </c>
      <c r="K3033" s="2" t="s">
        <v>5988</v>
      </c>
      <c r="L3033" s="2" t="s">
        <v>15730</v>
      </c>
      <c r="M3033" s="2" t="s">
        <v>15756</v>
      </c>
      <c r="N3033" s="2" t="s">
        <v>15757</v>
      </c>
      <c r="O3033" s="2" t="s">
        <v>15758</v>
      </c>
      <c r="P3033" s="2" t="s">
        <v>15759</v>
      </c>
    </row>
    <row r="3034" ht="15.75" customHeight="1">
      <c r="B3034" s="2" t="s">
        <v>15760</v>
      </c>
      <c r="C3034" s="2" t="s">
        <v>1313</v>
      </c>
      <c r="D3034" s="2" t="s">
        <v>15761</v>
      </c>
      <c r="F3034" s="2" t="s">
        <v>74</v>
      </c>
      <c r="H3034" s="2" t="s">
        <v>15762</v>
      </c>
      <c r="I3034" s="2" t="s">
        <v>15763</v>
      </c>
      <c r="J3034" s="2" t="s">
        <v>15763</v>
      </c>
      <c r="K3034" s="2" t="s">
        <v>947</v>
      </c>
    </row>
    <row r="3035" ht="15.75" customHeight="1">
      <c r="F3035" s="2" t="s">
        <v>2508</v>
      </c>
      <c r="H3035" s="2" t="s">
        <v>15764</v>
      </c>
      <c r="I3035" s="2" t="s">
        <v>15765</v>
      </c>
      <c r="J3035" s="2" t="s">
        <v>15765</v>
      </c>
      <c r="K3035" s="2" t="s">
        <v>853</v>
      </c>
    </row>
    <row r="3036" ht="15.75" customHeight="1">
      <c r="H3036" s="2" t="s">
        <v>15766</v>
      </c>
      <c r="I3036" s="2" t="s">
        <v>15767</v>
      </c>
      <c r="J3036" s="2" t="s">
        <v>15767</v>
      </c>
      <c r="K3036" s="2" t="s">
        <v>2236</v>
      </c>
    </row>
    <row r="3037" ht="15.75" customHeight="1">
      <c r="F3037" s="2" t="s">
        <v>534</v>
      </c>
      <c r="H3037" s="2" t="s">
        <v>15768</v>
      </c>
      <c r="I3037" s="2" t="s">
        <v>15769</v>
      </c>
      <c r="J3037" s="2" t="s">
        <v>15770</v>
      </c>
      <c r="K3037" s="2" t="s">
        <v>924</v>
      </c>
    </row>
    <row r="3038" ht="15.75" customHeight="1">
      <c r="H3038" s="2" t="s">
        <v>15771</v>
      </c>
      <c r="I3038" s="2" t="s">
        <v>536</v>
      </c>
      <c r="J3038" s="2" t="s">
        <v>537</v>
      </c>
      <c r="K3038" s="2" t="s">
        <v>538</v>
      </c>
    </row>
    <row r="3039" ht="15.75" customHeight="1">
      <c r="B3039" s="2" t="s">
        <v>15772</v>
      </c>
      <c r="C3039" s="2" t="s">
        <v>13031</v>
      </c>
      <c r="D3039" s="2" t="s">
        <v>15773</v>
      </c>
      <c r="F3039" s="2" t="s">
        <v>19</v>
      </c>
      <c r="H3039" s="2" t="s">
        <v>15774</v>
      </c>
      <c r="I3039" s="2" t="s">
        <v>21</v>
      </c>
      <c r="J3039" s="2" t="s">
        <v>22</v>
      </c>
      <c r="K3039" s="2" t="s">
        <v>5995</v>
      </c>
      <c r="L3039" s="2" t="s">
        <v>15775</v>
      </c>
      <c r="M3039" s="2" t="s">
        <v>15776</v>
      </c>
      <c r="N3039" s="2" t="s">
        <v>15777</v>
      </c>
      <c r="O3039" s="2" t="s">
        <v>869</v>
      </c>
      <c r="P3039" s="2" t="s">
        <v>870</v>
      </c>
    </row>
    <row r="3040" ht="15.75" customHeight="1">
      <c r="F3040" s="2" t="s">
        <v>74</v>
      </c>
      <c r="H3040" s="2" t="s">
        <v>15778</v>
      </c>
      <c r="I3040" s="2" t="s">
        <v>76</v>
      </c>
      <c r="J3040" s="2" t="s">
        <v>77</v>
      </c>
      <c r="K3040" s="2" t="s">
        <v>15779</v>
      </c>
      <c r="L3040" s="2" t="s">
        <v>15780</v>
      </c>
      <c r="M3040" s="2" t="s">
        <v>15781</v>
      </c>
      <c r="N3040" s="2" t="s">
        <v>15782</v>
      </c>
      <c r="O3040" s="2" t="s">
        <v>869</v>
      </c>
      <c r="P3040" s="2" t="s">
        <v>870</v>
      </c>
    </row>
    <row r="3041" ht="15.75" customHeight="1">
      <c r="H3041" s="2" t="s">
        <v>15783</v>
      </c>
      <c r="I3041" s="2" t="s">
        <v>167</v>
      </c>
      <c r="J3041" s="2" t="s">
        <v>168</v>
      </c>
      <c r="K3041" s="2" t="s">
        <v>15784</v>
      </c>
      <c r="L3041" s="2" t="s">
        <v>15775</v>
      </c>
      <c r="M3041" s="2" t="s">
        <v>15785</v>
      </c>
      <c r="N3041" s="2" t="s">
        <v>15786</v>
      </c>
      <c r="O3041" s="2" t="s">
        <v>869</v>
      </c>
      <c r="P3041" s="2" t="s">
        <v>870</v>
      </c>
    </row>
    <row r="3042" ht="15.75" customHeight="1">
      <c r="H3042" s="2" t="s">
        <v>15787</v>
      </c>
      <c r="I3042" s="2" t="s">
        <v>176</v>
      </c>
      <c r="J3042" s="2" t="s">
        <v>177</v>
      </c>
      <c r="K3042" s="2" t="s">
        <v>6015</v>
      </c>
      <c r="L3042" s="2" t="s">
        <v>15788</v>
      </c>
      <c r="M3042" s="2" t="s">
        <v>15789</v>
      </c>
      <c r="N3042" s="2" t="s">
        <v>15790</v>
      </c>
      <c r="O3042" s="2" t="s">
        <v>869</v>
      </c>
      <c r="P3042" s="2" t="s">
        <v>870</v>
      </c>
    </row>
    <row r="3043" ht="15.75" customHeight="1">
      <c r="H3043" s="2" t="s">
        <v>15791</v>
      </c>
      <c r="I3043" s="2" t="s">
        <v>5341</v>
      </c>
      <c r="J3043" s="2" t="s">
        <v>5342</v>
      </c>
      <c r="K3043" s="2" t="s">
        <v>15792</v>
      </c>
      <c r="L3043" s="2" t="s">
        <v>15775</v>
      </c>
      <c r="M3043" s="2" t="s">
        <v>15793</v>
      </c>
      <c r="N3043" s="2" t="s">
        <v>15794</v>
      </c>
      <c r="O3043" s="2" t="s">
        <v>869</v>
      </c>
      <c r="P3043" s="2" t="s">
        <v>870</v>
      </c>
    </row>
    <row r="3044" ht="15.75" customHeight="1">
      <c r="F3044" s="2" t="s">
        <v>284</v>
      </c>
      <c r="H3044" s="2" t="s">
        <v>15795</v>
      </c>
      <c r="I3044" s="2" t="s">
        <v>11959</v>
      </c>
      <c r="J3044" s="2" t="s">
        <v>11960</v>
      </c>
      <c r="K3044" s="2" t="s">
        <v>15796</v>
      </c>
      <c r="L3044" s="2" t="s">
        <v>15797</v>
      </c>
      <c r="M3044" s="2" t="s">
        <v>15798</v>
      </c>
      <c r="N3044" s="2" t="s">
        <v>15799</v>
      </c>
      <c r="O3044" s="2" t="s">
        <v>869</v>
      </c>
      <c r="P3044" s="2" t="s">
        <v>870</v>
      </c>
    </row>
    <row r="3045" ht="15.75" customHeight="1">
      <c r="H3045" s="2" t="s">
        <v>15800</v>
      </c>
      <c r="I3045" s="2" t="s">
        <v>286</v>
      </c>
      <c r="J3045" s="2" t="s">
        <v>287</v>
      </c>
      <c r="K3045" s="2" t="s">
        <v>15801</v>
      </c>
      <c r="L3045" s="2" t="s">
        <v>15775</v>
      </c>
      <c r="M3045" s="2" t="s">
        <v>15802</v>
      </c>
      <c r="N3045" s="2" t="s">
        <v>15803</v>
      </c>
      <c r="O3045" s="2" t="s">
        <v>869</v>
      </c>
      <c r="P3045" s="2" t="s">
        <v>870</v>
      </c>
    </row>
    <row r="3046" ht="15.75" customHeight="1">
      <c r="H3046" s="2" t="s">
        <v>15804</v>
      </c>
      <c r="I3046" s="2" t="s">
        <v>5889</v>
      </c>
      <c r="J3046" s="2" t="s">
        <v>5890</v>
      </c>
      <c r="K3046" s="2" t="s">
        <v>15805</v>
      </c>
      <c r="L3046" s="2" t="s">
        <v>15775</v>
      </c>
      <c r="M3046" s="2" t="s">
        <v>15806</v>
      </c>
      <c r="N3046" s="2" t="s">
        <v>15807</v>
      </c>
      <c r="O3046" s="2" t="s">
        <v>869</v>
      </c>
      <c r="P3046" s="2" t="s">
        <v>870</v>
      </c>
    </row>
    <row r="3047" ht="15.75" customHeight="1">
      <c r="H3047" s="2" t="s">
        <v>15808</v>
      </c>
      <c r="I3047" s="2" t="s">
        <v>310</v>
      </c>
      <c r="J3047" s="2" t="s">
        <v>311</v>
      </c>
      <c r="K3047" s="2" t="s">
        <v>15809</v>
      </c>
      <c r="L3047" s="2" t="s">
        <v>15775</v>
      </c>
      <c r="M3047" s="2" t="s">
        <v>15810</v>
      </c>
      <c r="N3047" s="2" t="s">
        <v>15811</v>
      </c>
      <c r="O3047" s="2" t="s">
        <v>869</v>
      </c>
      <c r="P3047" s="2" t="s">
        <v>870</v>
      </c>
    </row>
    <row r="3048" ht="15.75" customHeight="1">
      <c r="H3048" s="2" t="s">
        <v>15812</v>
      </c>
      <c r="I3048" s="2" t="s">
        <v>326</v>
      </c>
      <c r="J3048" s="2" t="s">
        <v>327</v>
      </c>
      <c r="K3048" s="2" t="s">
        <v>6068</v>
      </c>
      <c r="L3048" s="2" t="s">
        <v>15813</v>
      </c>
      <c r="M3048" s="2" t="s">
        <v>15814</v>
      </c>
      <c r="N3048" s="2" t="s">
        <v>15815</v>
      </c>
      <c r="O3048" s="2" t="s">
        <v>869</v>
      </c>
      <c r="P3048" s="2" t="s">
        <v>870</v>
      </c>
    </row>
    <row r="3049" ht="15.75" customHeight="1">
      <c r="H3049" s="2" t="s">
        <v>15816</v>
      </c>
      <c r="I3049" s="2" t="s">
        <v>15817</v>
      </c>
      <c r="J3049" s="2" t="s">
        <v>15818</v>
      </c>
      <c r="K3049" s="2" t="s">
        <v>15819</v>
      </c>
      <c r="L3049" s="2" t="s">
        <v>15775</v>
      </c>
      <c r="M3049" s="2" t="s">
        <v>15820</v>
      </c>
      <c r="N3049" s="2" t="s">
        <v>15821</v>
      </c>
      <c r="O3049" s="2" t="s">
        <v>869</v>
      </c>
      <c r="P3049" s="2" t="s">
        <v>870</v>
      </c>
    </row>
    <row r="3050" ht="15.75" customHeight="1">
      <c r="H3050" s="2" t="s">
        <v>15822</v>
      </c>
      <c r="I3050" s="2" t="s">
        <v>335</v>
      </c>
      <c r="J3050" s="2" t="s">
        <v>336</v>
      </c>
      <c r="K3050" s="2" t="s">
        <v>15823</v>
      </c>
      <c r="L3050" s="2" t="s">
        <v>15775</v>
      </c>
      <c r="M3050" s="2" t="s">
        <v>15824</v>
      </c>
      <c r="N3050" s="2" t="s">
        <v>15825</v>
      </c>
      <c r="O3050" s="2" t="s">
        <v>869</v>
      </c>
      <c r="P3050" s="2" t="s">
        <v>870</v>
      </c>
    </row>
    <row r="3051" ht="15.75" customHeight="1">
      <c r="H3051" s="2" t="s">
        <v>15826</v>
      </c>
      <c r="I3051" s="2" t="s">
        <v>352</v>
      </c>
      <c r="J3051" s="2" t="s">
        <v>353</v>
      </c>
      <c r="K3051" s="2" t="s">
        <v>15827</v>
      </c>
      <c r="L3051" s="2" t="s">
        <v>15775</v>
      </c>
      <c r="M3051" s="2" t="s">
        <v>15828</v>
      </c>
      <c r="N3051" s="2" t="s">
        <v>15829</v>
      </c>
      <c r="O3051" s="2" t="s">
        <v>869</v>
      </c>
      <c r="P3051" s="2" t="s">
        <v>870</v>
      </c>
    </row>
    <row r="3052" ht="15.75" customHeight="1">
      <c r="H3052" s="2" t="s">
        <v>15830</v>
      </c>
      <c r="I3052" s="2" t="s">
        <v>415</v>
      </c>
      <c r="J3052" s="2" t="s">
        <v>416</v>
      </c>
      <c r="K3052" s="2" t="s">
        <v>15831</v>
      </c>
      <c r="L3052" s="2" t="s">
        <v>15775</v>
      </c>
      <c r="M3052" s="2" t="s">
        <v>15832</v>
      </c>
      <c r="N3052" s="2" t="s">
        <v>15833</v>
      </c>
      <c r="O3052" s="2" t="s">
        <v>869</v>
      </c>
      <c r="P3052" s="2" t="s">
        <v>870</v>
      </c>
    </row>
    <row r="3053" ht="15.75" customHeight="1">
      <c r="H3053" s="2" t="s">
        <v>15834</v>
      </c>
      <c r="I3053" s="2" t="s">
        <v>15835</v>
      </c>
      <c r="J3053" s="2" t="s">
        <v>15836</v>
      </c>
      <c r="K3053" s="2" t="s">
        <v>15837</v>
      </c>
      <c r="L3053" s="2" t="s">
        <v>15775</v>
      </c>
      <c r="M3053" s="2" t="s">
        <v>15838</v>
      </c>
      <c r="N3053" s="2" t="s">
        <v>15839</v>
      </c>
      <c r="O3053" s="2" t="s">
        <v>869</v>
      </c>
      <c r="P3053" s="2" t="s">
        <v>870</v>
      </c>
    </row>
    <row r="3054" ht="15.75" customHeight="1">
      <c r="H3054" s="2" t="s">
        <v>15840</v>
      </c>
      <c r="I3054" s="2" t="s">
        <v>2341</v>
      </c>
      <c r="J3054" s="2" t="s">
        <v>2342</v>
      </c>
      <c r="K3054" s="2" t="s">
        <v>15841</v>
      </c>
      <c r="L3054" s="2" t="s">
        <v>15842</v>
      </c>
      <c r="M3054" s="2" t="s">
        <v>15843</v>
      </c>
      <c r="N3054" s="2" t="s">
        <v>15844</v>
      </c>
      <c r="O3054" s="2" t="s">
        <v>869</v>
      </c>
      <c r="P3054" s="2" t="s">
        <v>870</v>
      </c>
    </row>
    <row r="3055" ht="15.75" customHeight="1">
      <c r="H3055" s="2" t="s">
        <v>15845</v>
      </c>
      <c r="I3055" s="2" t="s">
        <v>485</v>
      </c>
      <c r="J3055" s="2" t="s">
        <v>486</v>
      </c>
      <c r="K3055" s="2" t="s">
        <v>15792</v>
      </c>
      <c r="L3055" s="2" t="s">
        <v>15846</v>
      </c>
      <c r="M3055" s="2" t="s">
        <v>15847</v>
      </c>
      <c r="N3055" s="2" t="s">
        <v>15848</v>
      </c>
      <c r="O3055" s="2" t="s">
        <v>869</v>
      </c>
      <c r="P3055" s="2" t="s">
        <v>870</v>
      </c>
    </row>
    <row r="3056" ht="15.75" customHeight="1">
      <c r="H3056" s="2" t="s">
        <v>15849</v>
      </c>
      <c r="I3056" s="2" t="s">
        <v>835</v>
      </c>
      <c r="J3056" s="2" t="s">
        <v>836</v>
      </c>
      <c r="K3056" s="2" t="s">
        <v>15850</v>
      </c>
      <c r="L3056" s="2" t="s">
        <v>15851</v>
      </c>
      <c r="M3056" s="2" t="s">
        <v>15852</v>
      </c>
      <c r="N3056" s="2" t="s">
        <v>15853</v>
      </c>
      <c r="O3056" s="2" t="s">
        <v>869</v>
      </c>
      <c r="P3056" s="2" t="s">
        <v>870</v>
      </c>
    </row>
    <row r="3057" ht="15.75" customHeight="1">
      <c r="F3057" s="2" t="s">
        <v>2508</v>
      </c>
      <c r="H3057" s="2" t="s">
        <v>15854</v>
      </c>
      <c r="I3057" s="2" t="s">
        <v>15855</v>
      </c>
      <c r="J3057" s="2" t="s">
        <v>15855</v>
      </c>
      <c r="K3057" s="2" t="s">
        <v>2316</v>
      </c>
    </row>
    <row r="3058" ht="15.75" customHeight="1">
      <c r="F3058" s="2" t="s">
        <v>534</v>
      </c>
      <c r="H3058" s="2" t="s">
        <v>15856</v>
      </c>
      <c r="I3058" s="2" t="s">
        <v>536</v>
      </c>
      <c r="J3058" s="2" t="s">
        <v>537</v>
      </c>
      <c r="K3058" s="2" t="s">
        <v>538</v>
      </c>
    </row>
    <row r="3059" ht="15.75" customHeight="1">
      <c r="F3059" s="2" t="s">
        <v>548</v>
      </c>
      <c r="H3059" s="2" t="s">
        <v>15857</v>
      </c>
      <c r="I3059" s="2" t="s">
        <v>550</v>
      </c>
      <c r="J3059" s="2" t="s">
        <v>551</v>
      </c>
      <c r="K3059" s="2" t="s">
        <v>6050</v>
      </c>
      <c r="L3059" s="2" t="s">
        <v>15775</v>
      </c>
      <c r="M3059" s="2" t="s">
        <v>15858</v>
      </c>
      <c r="N3059" s="2" t="s">
        <v>15859</v>
      </c>
      <c r="O3059" s="2" t="s">
        <v>869</v>
      </c>
      <c r="P3059" s="2" t="s">
        <v>870</v>
      </c>
    </row>
    <row r="3060" ht="15.75" customHeight="1">
      <c r="F3060" s="2" t="s">
        <v>581</v>
      </c>
      <c r="H3060" s="2" t="s">
        <v>15860</v>
      </c>
      <c r="I3060" s="2" t="s">
        <v>583</v>
      </c>
      <c r="J3060" s="2" t="s">
        <v>584</v>
      </c>
      <c r="K3060" s="2" t="s">
        <v>15861</v>
      </c>
      <c r="L3060" s="2" t="s">
        <v>15775</v>
      </c>
      <c r="M3060" s="2" t="s">
        <v>15862</v>
      </c>
      <c r="N3060" s="2" t="s">
        <v>15863</v>
      </c>
      <c r="O3060" s="2" t="s">
        <v>869</v>
      </c>
      <c r="P3060" s="2" t="s">
        <v>870</v>
      </c>
    </row>
    <row r="3061" ht="15.75" customHeight="1">
      <c r="F3061" s="2" t="s">
        <v>598</v>
      </c>
      <c r="H3061" s="2" t="s">
        <v>15864</v>
      </c>
      <c r="I3061" s="2" t="s">
        <v>15865</v>
      </c>
      <c r="J3061" s="2" t="s">
        <v>15866</v>
      </c>
      <c r="K3061" s="2" t="s">
        <v>1878</v>
      </c>
    </row>
    <row r="3062" ht="15.75" customHeight="1">
      <c r="H3062" s="2" t="s">
        <v>15867</v>
      </c>
      <c r="I3062" s="2" t="s">
        <v>608</v>
      </c>
      <c r="J3062" s="2" t="s">
        <v>609</v>
      </c>
      <c r="K3062" s="2" t="s">
        <v>15868</v>
      </c>
      <c r="L3062" s="2" t="s">
        <v>15775</v>
      </c>
      <c r="M3062" s="2" t="s">
        <v>15869</v>
      </c>
      <c r="N3062" s="2" t="s">
        <v>15870</v>
      </c>
      <c r="O3062" s="2" t="s">
        <v>869</v>
      </c>
      <c r="P3062" s="2" t="s">
        <v>870</v>
      </c>
    </row>
    <row r="3063" ht="15.75" customHeight="1">
      <c r="H3063" s="2" t="s">
        <v>15871</v>
      </c>
      <c r="I3063" s="2" t="s">
        <v>8761</v>
      </c>
      <c r="J3063" s="2" t="s">
        <v>8762</v>
      </c>
      <c r="K3063" s="2" t="s">
        <v>15872</v>
      </c>
      <c r="L3063" s="2" t="s">
        <v>15775</v>
      </c>
      <c r="M3063" s="2" t="s">
        <v>15873</v>
      </c>
      <c r="N3063" s="2" t="s">
        <v>15874</v>
      </c>
      <c r="O3063" s="2" t="s">
        <v>869</v>
      </c>
      <c r="P3063" s="2" t="s">
        <v>870</v>
      </c>
    </row>
    <row r="3064" ht="15.75" customHeight="1">
      <c r="F3064" s="2" t="s">
        <v>624</v>
      </c>
      <c r="H3064" s="2" t="s">
        <v>15875</v>
      </c>
      <c r="I3064" s="2" t="s">
        <v>626</v>
      </c>
      <c r="J3064" s="2" t="s">
        <v>627</v>
      </c>
      <c r="K3064" s="2" t="s">
        <v>6058</v>
      </c>
      <c r="L3064" s="2" t="s">
        <v>15876</v>
      </c>
      <c r="M3064" s="2" t="s">
        <v>15877</v>
      </c>
      <c r="N3064" s="2" t="s">
        <v>15878</v>
      </c>
      <c r="O3064" s="2" t="s">
        <v>869</v>
      </c>
      <c r="P3064" s="2" t="s">
        <v>870</v>
      </c>
    </row>
    <row r="3065" ht="15.75" customHeight="1">
      <c r="F3065" s="2" t="s">
        <v>660</v>
      </c>
      <c r="H3065" s="2" t="s">
        <v>15879</v>
      </c>
      <c r="I3065" s="2" t="s">
        <v>662</v>
      </c>
      <c r="J3065" s="2" t="s">
        <v>663</v>
      </c>
      <c r="K3065" s="2" t="s">
        <v>15809</v>
      </c>
      <c r="L3065" s="2" t="s">
        <v>15775</v>
      </c>
      <c r="M3065" s="2" t="s">
        <v>15880</v>
      </c>
      <c r="N3065" s="2" t="s">
        <v>15881</v>
      </c>
      <c r="O3065" s="2" t="s">
        <v>869</v>
      </c>
      <c r="P3065" s="2" t="s">
        <v>870</v>
      </c>
    </row>
    <row r="3066" ht="15.75" customHeight="1">
      <c r="F3066" s="2" t="s">
        <v>694</v>
      </c>
      <c r="H3066" s="2" t="s">
        <v>15882</v>
      </c>
      <c r="I3066" s="2" t="s">
        <v>696</v>
      </c>
      <c r="J3066" s="2" t="s">
        <v>697</v>
      </c>
      <c r="K3066" s="2" t="s">
        <v>15809</v>
      </c>
      <c r="L3066" s="2" t="s">
        <v>15775</v>
      </c>
      <c r="M3066" s="2" t="s">
        <v>15883</v>
      </c>
      <c r="N3066" s="2" t="s">
        <v>15884</v>
      </c>
      <c r="O3066" s="2" t="s">
        <v>869</v>
      </c>
      <c r="P3066" s="2" t="s">
        <v>870</v>
      </c>
    </row>
    <row r="3067" ht="15.75" customHeight="1">
      <c r="F3067" s="2" t="s">
        <v>703</v>
      </c>
      <c r="H3067" s="2" t="s">
        <v>15885</v>
      </c>
      <c r="I3067" s="2" t="s">
        <v>713</v>
      </c>
      <c r="J3067" s="2" t="s">
        <v>714</v>
      </c>
      <c r="K3067" s="2" t="s">
        <v>15809</v>
      </c>
      <c r="L3067" s="2" t="s">
        <v>15886</v>
      </c>
      <c r="M3067" s="2" t="s">
        <v>15887</v>
      </c>
      <c r="N3067" s="2" t="s">
        <v>15888</v>
      </c>
      <c r="O3067" s="2" t="s">
        <v>869</v>
      </c>
      <c r="P3067" s="2" t="s">
        <v>870</v>
      </c>
    </row>
    <row r="3068" ht="15.75" customHeight="1">
      <c r="F3068" s="2" t="s">
        <v>728</v>
      </c>
      <c r="H3068" s="2" t="s">
        <v>15889</v>
      </c>
      <c r="I3068" s="2" t="s">
        <v>4096</v>
      </c>
      <c r="J3068" s="2" t="s">
        <v>4097</v>
      </c>
      <c r="K3068" s="2" t="s">
        <v>15890</v>
      </c>
      <c r="L3068" s="2" t="s">
        <v>15775</v>
      </c>
      <c r="M3068" s="2" t="s">
        <v>15891</v>
      </c>
      <c r="N3068" s="2" t="s">
        <v>15892</v>
      </c>
      <c r="O3068" s="2" t="s">
        <v>869</v>
      </c>
      <c r="P3068" s="2" t="s">
        <v>870</v>
      </c>
    </row>
    <row r="3069" ht="15.75" customHeight="1">
      <c r="F3069" s="2" t="s">
        <v>755</v>
      </c>
      <c r="H3069" s="2" t="s">
        <v>15893</v>
      </c>
      <c r="I3069" s="2" t="s">
        <v>757</v>
      </c>
      <c r="J3069" s="2" t="s">
        <v>758</v>
      </c>
      <c r="K3069" s="2" t="s">
        <v>6006</v>
      </c>
      <c r="L3069" s="2" t="s">
        <v>15775</v>
      </c>
      <c r="M3069" s="2" t="s">
        <v>15894</v>
      </c>
      <c r="N3069" s="2" t="s">
        <v>15895</v>
      </c>
      <c r="O3069" s="2" t="s">
        <v>869</v>
      </c>
      <c r="P3069" s="2" t="s">
        <v>870</v>
      </c>
    </row>
    <row r="3070" ht="15.75" customHeight="1">
      <c r="F3070" s="2" t="s">
        <v>800</v>
      </c>
      <c r="H3070" s="2" t="s">
        <v>15896</v>
      </c>
      <c r="I3070" s="2" t="s">
        <v>4994</v>
      </c>
      <c r="J3070" s="2" t="s">
        <v>4995</v>
      </c>
      <c r="K3070" s="2" t="s">
        <v>15897</v>
      </c>
      <c r="L3070" s="2" t="s">
        <v>15775</v>
      </c>
      <c r="M3070" s="2" t="s">
        <v>15898</v>
      </c>
      <c r="N3070" s="2" t="s">
        <v>15899</v>
      </c>
      <c r="O3070" s="2" t="s">
        <v>869</v>
      </c>
      <c r="P3070" s="2" t="s">
        <v>870</v>
      </c>
    </row>
    <row r="3071" ht="15.75" customHeight="1">
      <c r="H3071" s="2" t="s">
        <v>15900</v>
      </c>
      <c r="I3071" s="2" t="s">
        <v>4999</v>
      </c>
      <c r="J3071" s="2" t="s">
        <v>5000</v>
      </c>
      <c r="K3071" s="2" t="s">
        <v>15901</v>
      </c>
      <c r="L3071" s="2" t="s">
        <v>15775</v>
      </c>
      <c r="M3071" s="2" t="s">
        <v>15902</v>
      </c>
      <c r="N3071" s="2" t="s">
        <v>15903</v>
      </c>
      <c r="O3071" s="2" t="s">
        <v>869</v>
      </c>
      <c r="P3071" s="2" t="s">
        <v>870</v>
      </c>
    </row>
    <row r="3072" ht="15.75" customHeight="1">
      <c r="H3072" s="2" t="s">
        <v>15904</v>
      </c>
      <c r="I3072" s="2" t="s">
        <v>5986</v>
      </c>
      <c r="J3072" s="2" t="s">
        <v>5987</v>
      </c>
      <c r="K3072" s="2" t="s">
        <v>6091</v>
      </c>
      <c r="L3072" s="2" t="s">
        <v>15905</v>
      </c>
      <c r="M3072" s="2" t="s">
        <v>15906</v>
      </c>
      <c r="N3072" s="2" t="s">
        <v>15907</v>
      </c>
      <c r="O3072" s="2" t="s">
        <v>869</v>
      </c>
      <c r="P3072" s="2" t="s">
        <v>870</v>
      </c>
    </row>
    <row r="3073" ht="15.75" customHeight="1">
      <c r="B3073" s="2" t="s">
        <v>15908</v>
      </c>
      <c r="C3073" s="2" t="s">
        <v>12721</v>
      </c>
      <c r="D3073" s="2" t="s">
        <v>15909</v>
      </c>
      <c r="F3073" s="2" t="s">
        <v>19</v>
      </c>
      <c r="H3073" s="2" t="s">
        <v>15910</v>
      </c>
      <c r="I3073" s="2" t="s">
        <v>21</v>
      </c>
      <c r="J3073" s="2" t="s">
        <v>22</v>
      </c>
      <c r="K3073" s="2" t="s">
        <v>865</v>
      </c>
      <c r="L3073" s="2" t="s">
        <v>15911</v>
      </c>
      <c r="M3073" s="2" t="s">
        <v>15912</v>
      </c>
      <c r="N3073" s="2" t="s">
        <v>15913</v>
      </c>
      <c r="O3073" s="2" t="s">
        <v>15914</v>
      </c>
      <c r="P3073" s="2" t="s">
        <v>15915</v>
      </c>
    </row>
    <row r="3074" ht="15.75" customHeight="1">
      <c r="F3074" s="2" t="s">
        <v>29</v>
      </c>
      <c r="H3074" s="2" t="s">
        <v>15916</v>
      </c>
      <c r="I3074" s="2" t="s">
        <v>31</v>
      </c>
      <c r="J3074" s="2" t="s">
        <v>32</v>
      </c>
      <c r="K3074" s="2" t="s">
        <v>874</v>
      </c>
      <c r="L3074" s="2" t="s">
        <v>15917</v>
      </c>
      <c r="M3074" s="2" t="s">
        <v>15918</v>
      </c>
      <c r="N3074" s="2" t="s">
        <v>15919</v>
      </c>
      <c r="O3074" s="2" t="s">
        <v>15920</v>
      </c>
      <c r="P3074" s="2" t="s">
        <v>15921</v>
      </c>
    </row>
    <row r="3075" ht="15.75" customHeight="1">
      <c r="F3075" s="2" t="s">
        <v>39</v>
      </c>
      <c r="H3075" s="2" t="s">
        <v>15922</v>
      </c>
      <c r="I3075" s="2" t="s">
        <v>41</v>
      </c>
      <c r="J3075" s="2" t="s">
        <v>42</v>
      </c>
      <c r="K3075" s="2" t="s">
        <v>853</v>
      </c>
      <c r="L3075" s="2" t="s">
        <v>15911</v>
      </c>
      <c r="M3075" s="2" t="s">
        <v>15923</v>
      </c>
      <c r="N3075" s="2" t="s">
        <v>15924</v>
      </c>
      <c r="O3075" s="2" t="s">
        <v>15925</v>
      </c>
      <c r="P3075" s="2" t="s">
        <v>15926</v>
      </c>
    </row>
    <row r="3076" ht="15.75" customHeight="1">
      <c r="H3076" s="2" t="s">
        <v>15927</v>
      </c>
      <c r="I3076" s="2" t="s">
        <v>49</v>
      </c>
      <c r="J3076" s="2" t="s">
        <v>50</v>
      </c>
      <c r="K3076" s="2" t="s">
        <v>1117</v>
      </c>
      <c r="L3076" s="2" t="s">
        <v>15911</v>
      </c>
      <c r="M3076" s="2" t="s">
        <v>15928</v>
      </c>
      <c r="N3076" s="2" t="s">
        <v>15929</v>
      </c>
      <c r="O3076" s="2" t="s">
        <v>15930</v>
      </c>
      <c r="P3076" s="2" t="s">
        <v>15931</v>
      </c>
    </row>
    <row r="3077" ht="15.75" customHeight="1">
      <c r="F3077" s="2" t="s">
        <v>65</v>
      </c>
      <c r="H3077" s="2" t="s">
        <v>15932</v>
      </c>
      <c r="I3077" s="2" t="s">
        <v>67</v>
      </c>
      <c r="J3077" s="2" t="s">
        <v>68</v>
      </c>
      <c r="K3077" s="2" t="s">
        <v>280</v>
      </c>
      <c r="L3077" s="2" t="s">
        <v>15911</v>
      </c>
      <c r="M3077" s="2" t="s">
        <v>15933</v>
      </c>
      <c r="N3077" s="2" t="s">
        <v>15934</v>
      </c>
      <c r="O3077" s="2" t="s">
        <v>15935</v>
      </c>
      <c r="P3077" s="2" t="s">
        <v>15936</v>
      </c>
    </row>
    <row r="3078" ht="15.75" customHeight="1">
      <c r="F3078" s="2" t="s">
        <v>74</v>
      </c>
      <c r="H3078" s="2" t="s">
        <v>15937</v>
      </c>
      <c r="I3078" s="2" t="s">
        <v>76</v>
      </c>
      <c r="J3078" s="2" t="s">
        <v>77</v>
      </c>
      <c r="K3078" s="2" t="s">
        <v>947</v>
      </c>
      <c r="L3078" s="2" t="s">
        <v>15938</v>
      </c>
      <c r="M3078" s="2" t="s">
        <v>15939</v>
      </c>
      <c r="N3078" s="2" t="s">
        <v>15940</v>
      </c>
      <c r="O3078" s="2" t="s">
        <v>15941</v>
      </c>
      <c r="P3078" s="2" t="s">
        <v>15942</v>
      </c>
    </row>
    <row r="3079" ht="15.75" customHeight="1">
      <c r="H3079" s="2" t="s">
        <v>15943</v>
      </c>
      <c r="I3079" s="2" t="s">
        <v>15944</v>
      </c>
      <c r="J3079" s="2" t="s">
        <v>15945</v>
      </c>
      <c r="K3079" s="2" t="s">
        <v>15946</v>
      </c>
      <c r="L3079" s="2" t="s">
        <v>15911</v>
      </c>
      <c r="M3079" s="2" t="s">
        <v>15947</v>
      </c>
      <c r="N3079" s="2" t="s">
        <v>15948</v>
      </c>
      <c r="O3079" s="2" t="s">
        <v>15949</v>
      </c>
      <c r="P3079" s="2" t="s">
        <v>14310</v>
      </c>
    </row>
    <row r="3080" ht="15.75" customHeight="1">
      <c r="H3080" s="2" t="s">
        <v>15950</v>
      </c>
      <c r="I3080" s="2" t="s">
        <v>117</v>
      </c>
      <c r="J3080" s="2" t="s">
        <v>118</v>
      </c>
      <c r="K3080" s="2" t="s">
        <v>1424</v>
      </c>
      <c r="L3080" s="2" t="s">
        <v>15911</v>
      </c>
      <c r="M3080" s="2" t="s">
        <v>15951</v>
      </c>
      <c r="N3080" s="2" t="s">
        <v>15952</v>
      </c>
      <c r="O3080" s="2" t="s">
        <v>15953</v>
      </c>
      <c r="P3080" s="2" t="s">
        <v>15954</v>
      </c>
    </row>
    <row r="3081" ht="15.75" customHeight="1">
      <c r="H3081" s="2" t="s">
        <v>15955</v>
      </c>
      <c r="I3081" s="2" t="s">
        <v>1000</v>
      </c>
      <c r="J3081" s="2" t="s">
        <v>1001</v>
      </c>
      <c r="K3081" s="2" t="s">
        <v>4429</v>
      </c>
      <c r="L3081" s="2" t="s">
        <v>15911</v>
      </c>
      <c r="M3081" s="2" t="s">
        <v>15956</v>
      </c>
      <c r="N3081" s="2" t="s">
        <v>15957</v>
      </c>
      <c r="O3081" s="2" t="s">
        <v>15958</v>
      </c>
      <c r="P3081" s="2" t="s">
        <v>15959</v>
      </c>
    </row>
    <row r="3082" ht="15.75" customHeight="1">
      <c r="H3082" s="2" t="s">
        <v>15960</v>
      </c>
      <c r="I3082" s="2" t="s">
        <v>7081</v>
      </c>
      <c r="J3082" s="2" t="s">
        <v>7082</v>
      </c>
      <c r="K3082" s="2" t="s">
        <v>1217</v>
      </c>
      <c r="L3082" s="2" t="s">
        <v>15911</v>
      </c>
      <c r="M3082" s="2" t="s">
        <v>15961</v>
      </c>
      <c r="N3082" s="2" t="s">
        <v>15962</v>
      </c>
      <c r="O3082" s="2" t="s">
        <v>15963</v>
      </c>
      <c r="P3082" s="2" t="s">
        <v>869</v>
      </c>
    </row>
    <row r="3083" ht="15.75" customHeight="1">
      <c r="H3083" s="2" t="s">
        <v>15964</v>
      </c>
      <c r="I3083" s="2" t="s">
        <v>159</v>
      </c>
      <c r="J3083" s="2" t="s">
        <v>160</v>
      </c>
      <c r="K3083" s="2" t="s">
        <v>1264</v>
      </c>
      <c r="L3083" s="2" t="s">
        <v>15911</v>
      </c>
      <c r="M3083" s="2" t="s">
        <v>15965</v>
      </c>
      <c r="N3083" s="2" t="s">
        <v>15966</v>
      </c>
      <c r="O3083" s="2" t="s">
        <v>15967</v>
      </c>
      <c r="P3083" s="2" t="s">
        <v>15968</v>
      </c>
    </row>
    <row r="3084" ht="15.75" customHeight="1">
      <c r="H3084" s="2" t="s">
        <v>15969</v>
      </c>
      <c r="I3084" s="2" t="s">
        <v>176</v>
      </c>
      <c r="J3084" s="2" t="s">
        <v>177</v>
      </c>
      <c r="K3084" s="2" t="s">
        <v>1708</v>
      </c>
      <c r="L3084" s="2" t="s">
        <v>15970</v>
      </c>
      <c r="M3084" s="2" t="s">
        <v>15971</v>
      </c>
      <c r="N3084" s="2" t="s">
        <v>15972</v>
      </c>
      <c r="O3084" s="2" t="s">
        <v>15973</v>
      </c>
      <c r="P3084" s="2" t="s">
        <v>869</v>
      </c>
    </row>
    <row r="3085" ht="15.75" customHeight="1">
      <c r="H3085" s="2" t="s">
        <v>15974</v>
      </c>
      <c r="I3085" s="2" t="s">
        <v>15975</v>
      </c>
      <c r="J3085" s="2" t="s">
        <v>15976</v>
      </c>
      <c r="K3085" s="2" t="s">
        <v>1731</v>
      </c>
      <c r="L3085" s="2" t="s">
        <v>15911</v>
      </c>
      <c r="M3085" s="2" t="s">
        <v>15977</v>
      </c>
      <c r="N3085" s="2" t="s">
        <v>15978</v>
      </c>
      <c r="O3085" s="2" t="s">
        <v>15979</v>
      </c>
      <c r="P3085" s="2" t="s">
        <v>15954</v>
      </c>
    </row>
    <row r="3086" ht="15.75" customHeight="1">
      <c r="H3086" s="2" t="s">
        <v>15980</v>
      </c>
      <c r="I3086" s="2" t="s">
        <v>15981</v>
      </c>
      <c r="J3086" s="2" t="s">
        <v>15982</v>
      </c>
      <c r="K3086" s="2" t="s">
        <v>15983</v>
      </c>
      <c r="L3086" s="2" t="s">
        <v>15911</v>
      </c>
      <c r="M3086" s="2" t="s">
        <v>15984</v>
      </c>
      <c r="N3086" s="2" t="s">
        <v>15985</v>
      </c>
      <c r="O3086" s="2" t="s">
        <v>15986</v>
      </c>
      <c r="P3086" s="2" t="s">
        <v>15987</v>
      </c>
    </row>
    <row r="3087" ht="15.75" customHeight="1">
      <c r="H3087" s="2" t="s">
        <v>15988</v>
      </c>
      <c r="I3087" s="2" t="s">
        <v>15989</v>
      </c>
      <c r="J3087" s="2" t="s">
        <v>15990</v>
      </c>
      <c r="K3087" s="2" t="s">
        <v>15991</v>
      </c>
    </row>
    <row r="3088" ht="15.75" customHeight="1">
      <c r="H3088" s="2" t="s">
        <v>15992</v>
      </c>
      <c r="I3088" s="2" t="s">
        <v>14762</v>
      </c>
      <c r="J3088" s="2" t="s">
        <v>14763</v>
      </c>
      <c r="K3088" s="2" t="s">
        <v>1838</v>
      </c>
      <c r="L3088" s="2" t="s">
        <v>15911</v>
      </c>
      <c r="M3088" s="2" t="s">
        <v>15993</v>
      </c>
      <c r="N3088" s="2" t="s">
        <v>15994</v>
      </c>
      <c r="O3088" s="2" t="s">
        <v>15995</v>
      </c>
      <c r="P3088" s="2" t="s">
        <v>15996</v>
      </c>
    </row>
    <row r="3089" ht="15.75" customHeight="1">
      <c r="H3089" s="2" t="s">
        <v>15997</v>
      </c>
      <c r="I3089" s="2" t="s">
        <v>15998</v>
      </c>
      <c r="J3089" s="2" t="s">
        <v>15999</v>
      </c>
      <c r="K3089" s="2" t="s">
        <v>16000</v>
      </c>
    </row>
    <row r="3090" ht="15.75" customHeight="1">
      <c r="F3090" s="2" t="s">
        <v>265</v>
      </c>
      <c r="H3090" s="2" t="s">
        <v>16001</v>
      </c>
      <c r="I3090" s="2" t="s">
        <v>1940</v>
      </c>
      <c r="J3090" s="2" t="s">
        <v>1941</v>
      </c>
      <c r="L3090" s="2" t="s">
        <v>15911</v>
      </c>
      <c r="M3090" s="2" t="s">
        <v>16002</v>
      </c>
      <c r="N3090" s="2" t="s">
        <v>16003</v>
      </c>
      <c r="O3090" s="2" t="s">
        <v>16004</v>
      </c>
      <c r="P3090" s="2" t="s">
        <v>16005</v>
      </c>
    </row>
    <row r="3091" ht="15.75" customHeight="1">
      <c r="H3091" s="2" t="s">
        <v>16006</v>
      </c>
      <c r="I3091" s="2" t="s">
        <v>267</v>
      </c>
      <c r="J3091" s="2" t="s">
        <v>268</v>
      </c>
      <c r="K3091" s="2" t="s">
        <v>1313</v>
      </c>
      <c r="L3091" s="2" t="s">
        <v>15911</v>
      </c>
      <c r="M3091" s="2" t="s">
        <v>16007</v>
      </c>
      <c r="N3091" s="2" t="s">
        <v>16008</v>
      </c>
      <c r="O3091" s="2" t="s">
        <v>16009</v>
      </c>
      <c r="P3091" s="2" t="s">
        <v>16010</v>
      </c>
    </row>
    <row r="3092" ht="15.75" customHeight="1">
      <c r="H3092" s="2" t="s">
        <v>16011</v>
      </c>
      <c r="I3092" s="2" t="s">
        <v>5378</v>
      </c>
      <c r="J3092" s="2" t="s">
        <v>5379</v>
      </c>
      <c r="K3092" s="2" t="s">
        <v>2551</v>
      </c>
      <c r="L3092" s="2" t="s">
        <v>15911</v>
      </c>
      <c r="M3092" s="2" t="s">
        <v>16012</v>
      </c>
      <c r="N3092" s="2" t="s">
        <v>16013</v>
      </c>
      <c r="O3092" s="2" t="s">
        <v>16014</v>
      </c>
      <c r="P3092" s="2" t="s">
        <v>16015</v>
      </c>
    </row>
    <row r="3093" ht="15.75" customHeight="1">
      <c r="H3093" s="2" t="s">
        <v>16016</v>
      </c>
      <c r="I3093" s="2" t="s">
        <v>5388</v>
      </c>
      <c r="J3093" s="2" t="s">
        <v>5389</v>
      </c>
      <c r="L3093" s="2" t="s">
        <v>15911</v>
      </c>
      <c r="M3093" s="2" t="s">
        <v>16017</v>
      </c>
      <c r="N3093" s="2" t="s">
        <v>16018</v>
      </c>
      <c r="O3093" s="2" t="s">
        <v>16019</v>
      </c>
      <c r="P3093" s="2" t="s">
        <v>869</v>
      </c>
    </row>
    <row r="3094" ht="15.75" customHeight="1">
      <c r="H3094" s="2" t="s">
        <v>16020</v>
      </c>
      <c r="I3094" s="2" t="s">
        <v>16021</v>
      </c>
      <c r="J3094" s="2" t="s">
        <v>16022</v>
      </c>
      <c r="L3094" s="2" t="s">
        <v>15911</v>
      </c>
      <c r="M3094" s="2" t="s">
        <v>16023</v>
      </c>
      <c r="N3094" s="2" t="s">
        <v>16024</v>
      </c>
      <c r="O3094" s="2" t="s">
        <v>16025</v>
      </c>
      <c r="P3094" s="2" t="s">
        <v>869</v>
      </c>
    </row>
    <row r="3095" ht="15.75" customHeight="1">
      <c r="F3095" s="2" t="s">
        <v>274</v>
      </c>
      <c r="H3095" s="2" t="s">
        <v>16026</v>
      </c>
      <c r="I3095" s="2" t="s">
        <v>279</v>
      </c>
      <c r="J3095" s="2" t="s">
        <v>274</v>
      </c>
      <c r="K3095" s="2" t="s">
        <v>280</v>
      </c>
    </row>
    <row r="3096" ht="15.75" customHeight="1">
      <c r="F3096" s="2" t="s">
        <v>284</v>
      </c>
      <c r="H3096" s="2" t="s">
        <v>16027</v>
      </c>
      <c r="I3096" s="2" t="s">
        <v>6023</v>
      </c>
      <c r="J3096" s="2" t="s">
        <v>6024</v>
      </c>
      <c r="K3096" s="2" t="s">
        <v>1362</v>
      </c>
      <c r="L3096" s="2" t="s">
        <v>15911</v>
      </c>
      <c r="M3096" s="2" t="s">
        <v>16028</v>
      </c>
      <c r="N3096" s="2" t="s">
        <v>16029</v>
      </c>
      <c r="O3096" s="2" t="s">
        <v>16030</v>
      </c>
      <c r="P3096" s="2" t="s">
        <v>16031</v>
      </c>
    </row>
    <row r="3097" ht="15.75" customHeight="1">
      <c r="H3097" s="2" t="s">
        <v>16032</v>
      </c>
      <c r="I3097" s="2" t="s">
        <v>286</v>
      </c>
      <c r="J3097" s="2" t="s">
        <v>287</v>
      </c>
      <c r="K3097" s="2" t="s">
        <v>1117</v>
      </c>
      <c r="L3097" s="2" t="s">
        <v>15911</v>
      </c>
      <c r="M3097" s="2" t="s">
        <v>16033</v>
      </c>
      <c r="N3097" s="2" t="s">
        <v>16034</v>
      </c>
      <c r="O3097" s="2" t="s">
        <v>16035</v>
      </c>
      <c r="P3097" s="2" t="s">
        <v>16036</v>
      </c>
    </row>
    <row r="3098" ht="15.75" customHeight="1">
      <c r="H3098" s="2" t="s">
        <v>16037</v>
      </c>
      <c r="I3098" s="2" t="s">
        <v>5889</v>
      </c>
      <c r="J3098" s="2" t="s">
        <v>5890</v>
      </c>
      <c r="K3098" s="2" t="s">
        <v>1136</v>
      </c>
      <c r="L3098" s="2" t="s">
        <v>16038</v>
      </c>
      <c r="M3098" s="2" t="s">
        <v>16039</v>
      </c>
      <c r="N3098" s="2" t="s">
        <v>16040</v>
      </c>
      <c r="O3098" s="2" t="s">
        <v>16041</v>
      </c>
      <c r="P3098" s="2" t="s">
        <v>16042</v>
      </c>
    </row>
    <row r="3099" ht="15.75" customHeight="1">
      <c r="H3099" s="2" t="s">
        <v>16043</v>
      </c>
      <c r="I3099" s="2" t="s">
        <v>302</v>
      </c>
      <c r="J3099" s="2" t="s">
        <v>303</v>
      </c>
      <c r="L3099" s="2" t="s">
        <v>15911</v>
      </c>
      <c r="M3099" s="2" t="s">
        <v>16044</v>
      </c>
      <c r="N3099" s="2" t="s">
        <v>16045</v>
      </c>
      <c r="O3099" s="2" t="s">
        <v>16046</v>
      </c>
      <c r="P3099" s="2" t="s">
        <v>16047</v>
      </c>
    </row>
    <row r="3100" ht="15.75" customHeight="1">
      <c r="H3100" s="2" t="s">
        <v>16048</v>
      </c>
      <c r="I3100" s="2" t="s">
        <v>16049</v>
      </c>
      <c r="J3100" s="2" t="s">
        <v>16050</v>
      </c>
      <c r="K3100" s="2" t="s">
        <v>1313</v>
      </c>
      <c r="L3100" s="2" t="s">
        <v>15911</v>
      </c>
      <c r="M3100" s="2" t="s">
        <v>16051</v>
      </c>
      <c r="N3100" s="2" t="s">
        <v>16052</v>
      </c>
      <c r="O3100" s="2" t="s">
        <v>16053</v>
      </c>
      <c r="P3100" s="2" t="s">
        <v>16054</v>
      </c>
    </row>
    <row r="3101" ht="15.75" customHeight="1">
      <c r="H3101" s="2" t="s">
        <v>16055</v>
      </c>
      <c r="I3101" s="2" t="s">
        <v>310</v>
      </c>
      <c r="J3101" s="2" t="s">
        <v>311</v>
      </c>
      <c r="K3101" s="2" t="s">
        <v>1567</v>
      </c>
      <c r="L3101" s="2" t="s">
        <v>16056</v>
      </c>
      <c r="M3101" s="2" t="s">
        <v>16057</v>
      </c>
      <c r="N3101" s="2" t="s">
        <v>16058</v>
      </c>
      <c r="O3101" s="2" t="s">
        <v>16059</v>
      </c>
      <c r="P3101" s="2" t="s">
        <v>16060</v>
      </c>
    </row>
    <row r="3102" ht="15.75" customHeight="1">
      <c r="H3102" s="2" t="s">
        <v>16061</v>
      </c>
      <c r="I3102" s="2" t="s">
        <v>5903</v>
      </c>
      <c r="J3102" s="2" t="s">
        <v>5904</v>
      </c>
      <c r="L3102" s="2" t="s">
        <v>15911</v>
      </c>
      <c r="M3102" s="2" t="s">
        <v>16062</v>
      </c>
      <c r="N3102" s="2" t="s">
        <v>16063</v>
      </c>
      <c r="O3102" s="2" t="s">
        <v>16064</v>
      </c>
      <c r="P3102" s="2" t="s">
        <v>869</v>
      </c>
    </row>
    <row r="3103" ht="15.75" customHeight="1">
      <c r="H3103" s="2" t="s">
        <v>16065</v>
      </c>
      <c r="I3103" s="2" t="s">
        <v>12234</v>
      </c>
      <c r="J3103" s="2" t="s">
        <v>12235</v>
      </c>
      <c r="K3103" s="2" t="s">
        <v>2551</v>
      </c>
      <c r="L3103" s="2" t="s">
        <v>15911</v>
      </c>
      <c r="M3103" s="2" t="s">
        <v>16066</v>
      </c>
      <c r="N3103" s="2" t="s">
        <v>16067</v>
      </c>
      <c r="O3103" s="2" t="s">
        <v>16068</v>
      </c>
      <c r="P3103" s="2" t="s">
        <v>16069</v>
      </c>
    </row>
    <row r="3104" ht="15.75" customHeight="1">
      <c r="H3104" s="2" t="s">
        <v>16070</v>
      </c>
      <c r="I3104" s="2" t="s">
        <v>2175</v>
      </c>
      <c r="J3104" s="2" t="s">
        <v>2176</v>
      </c>
      <c r="K3104" s="2" t="s">
        <v>1406</v>
      </c>
      <c r="L3104" s="2" t="s">
        <v>16071</v>
      </c>
      <c r="M3104" s="2" t="s">
        <v>16072</v>
      </c>
      <c r="N3104" s="2" t="s">
        <v>16073</v>
      </c>
      <c r="O3104" s="2" t="s">
        <v>16074</v>
      </c>
      <c r="P3104" s="2" t="s">
        <v>16075</v>
      </c>
    </row>
    <row r="3105" ht="15.75" customHeight="1">
      <c r="H3105" s="2" t="s">
        <v>16076</v>
      </c>
      <c r="I3105" s="2" t="s">
        <v>16077</v>
      </c>
      <c r="J3105" s="2" t="s">
        <v>16078</v>
      </c>
      <c r="K3105" s="2" t="s">
        <v>1618</v>
      </c>
      <c r="L3105" s="2" t="s">
        <v>16079</v>
      </c>
      <c r="M3105" s="2" t="s">
        <v>16080</v>
      </c>
      <c r="N3105" s="2" t="s">
        <v>16081</v>
      </c>
      <c r="O3105" s="2" t="s">
        <v>16082</v>
      </c>
      <c r="P3105" s="2" t="s">
        <v>16083</v>
      </c>
    </row>
    <row r="3106" ht="15.75" customHeight="1">
      <c r="H3106" s="2" t="s">
        <v>16084</v>
      </c>
      <c r="I3106" s="2" t="s">
        <v>16085</v>
      </c>
      <c r="J3106" s="2" t="s">
        <v>16086</v>
      </c>
      <c r="L3106" s="2" t="s">
        <v>15911</v>
      </c>
      <c r="M3106" s="2" t="s">
        <v>16087</v>
      </c>
      <c r="N3106" s="2" t="s">
        <v>16088</v>
      </c>
      <c r="O3106" s="2" t="s">
        <v>16089</v>
      </c>
      <c r="P3106" s="2" t="s">
        <v>16090</v>
      </c>
    </row>
    <row r="3107" ht="15.75" customHeight="1">
      <c r="H3107" s="2" t="s">
        <v>16091</v>
      </c>
      <c r="I3107" s="2" t="s">
        <v>318</v>
      </c>
      <c r="J3107" s="2" t="s">
        <v>319</v>
      </c>
      <c r="L3107" s="2" t="s">
        <v>15911</v>
      </c>
      <c r="M3107" s="2" t="s">
        <v>16092</v>
      </c>
      <c r="N3107" s="2" t="s">
        <v>16093</v>
      </c>
      <c r="O3107" s="2" t="s">
        <v>16094</v>
      </c>
      <c r="P3107" s="2" t="s">
        <v>869</v>
      </c>
    </row>
    <row r="3108" ht="15.75" customHeight="1">
      <c r="H3108" s="2" t="s">
        <v>16095</v>
      </c>
      <c r="I3108" s="2" t="s">
        <v>326</v>
      </c>
      <c r="J3108" s="2" t="s">
        <v>327</v>
      </c>
      <c r="K3108" s="2" t="s">
        <v>1331</v>
      </c>
      <c r="L3108" s="2" t="s">
        <v>16096</v>
      </c>
      <c r="M3108" s="2" t="s">
        <v>13050</v>
      </c>
      <c r="N3108" s="2" t="s">
        <v>16097</v>
      </c>
      <c r="O3108" s="2" t="s">
        <v>16098</v>
      </c>
      <c r="P3108" s="2" t="s">
        <v>16099</v>
      </c>
    </row>
    <row r="3109" ht="15.75" customHeight="1">
      <c r="H3109" s="2" t="s">
        <v>16100</v>
      </c>
      <c r="I3109" s="2" t="s">
        <v>352</v>
      </c>
      <c r="J3109" s="2" t="s">
        <v>353</v>
      </c>
      <c r="K3109" s="2" t="s">
        <v>2236</v>
      </c>
      <c r="L3109" s="2" t="s">
        <v>16101</v>
      </c>
      <c r="M3109" s="2" t="s">
        <v>16102</v>
      </c>
      <c r="N3109" s="2" t="s">
        <v>16103</v>
      </c>
      <c r="O3109" s="2" t="s">
        <v>16104</v>
      </c>
      <c r="P3109" s="2" t="s">
        <v>16105</v>
      </c>
    </row>
    <row r="3110" ht="15.75" customHeight="1">
      <c r="H3110" s="2" t="s">
        <v>16106</v>
      </c>
      <c r="I3110" s="2" t="s">
        <v>415</v>
      </c>
      <c r="J3110" s="2" t="s">
        <v>416</v>
      </c>
      <c r="K3110" s="2" t="s">
        <v>11991</v>
      </c>
      <c r="L3110" s="2" t="s">
        <v>16107</v>
      </c>
      <c r="M3110" s="2" t="s">
        <v>16108</v>
      </c>
      <c r="N3110" s="2" t="s">
        <v>16109</v>
      </c>
      <c r="O3110" s="2" t="s">
        <v>869</v>
      </c>
      <c r="P3110" s="2" t="s">
        <v>870</v>
      </c>
    </row>
    <row r="3111" ht="15.75" customHeight="1">
      <c r="H3111" s="2" t="s">
        <v>16110</v>
      </c>
      <c r="I3111" s="2" t="s">
        <v>5459</v>
      </c>
      <c r="J3111" s="2" t="s">
        <v>5460</v>
      </c>
      <c r="K3111" s="2" t="s">
        <v>1692</v>
      </c>
      <c r="L3111" s="2" t="s">
        <v>15911</v>
      </c>
      <c r="M3111" s="2" t="s">
        <v>16111</v>
      </c>
      <c r="N3111" s="2" t="s">
        <v>16112</v>
      </c>
      <c r="O3111" s="2" t="s">
        <v>16113</v>
      </c>
      <c r="P3111" s="2" t="s">
        <v>16114</v>
      </c>
    </row>
    <row r="3112" ht="15.75" customHeight="1">
      <c r="H3112" s="2" t="s">
        <v>16115</v>
      </c>
      <c r="I3112" s="2" t="s">
        <v>5475</v>
      </c>
      <c r="J3112" s="2" t="s">
        <v>5476</v>
      </c>
      <c r="L3112" s="2" t="s">
        <v>15911</v>
      </c>
      <c r="M3112" s="2" t="s">
        <v>16116</v>
      </c>
      <c r="N3112" s="2" t="s">
        <v>16117</v>
      </c>
      <c r="O3112" s="2" t="s">
        <v>16118</v>
      </c>
      <c r="P3112" s="2" t="s">
        <v>869</v>
      </c>
    </row>
    <row r="3113" ht="15.75" customHeight="1">
      <c r="H3113" s="2" t="s">
        <v>16119</v>
      </c>
      <c r="I3113" s="2" t="s">
        <v>12252</v>
      </c>
      <c r="J3113" s="2" t="s">
        <v>12253</v>
      </c>
      <c r="K3113" s="2" t="s">
        <v>1211</v>
      </c>
      <c r="L3113" s="2" t="s">
        <v>15911</v>
      </c>
      <c r="M3113" s="2" t="s">
        <v>16120</v>
      </c>
      <c r="N3113" s="2" t="s">
        <v>16121</v>
      </c>
      <c r="O3113" s="2" t="s">
        <v>16122</v>
      </c>
      <c r="P3113" s="2" t="s">
        <v>16123</v>
      </c>
    </row>
    <row r="3114" ht="15.75" customHeight="1">
      <c r="H3114" s="2" t="s">
        <v>16124</v>
      </c>
      <c r="I3114" s="2" t="s">
        <v>424</v>
      </c>
      <c r="J3114" s="2" t="s">
        <v>425</v>
      </c>
      <c r="K3114" s="2" t="s">
        <v>2282</v>
      </c>
      <c r="L3114" s="2" t="s">
        <v>15911</v>
      </c>
      <c r="M3114" s="2" t="s">
        <v>16125</v>
      </c>
      <c r="N3114" s="2" t="s">
        <v>16126</v>
      </c>
      <c r="O3114" s="2" t="s">
        <v>16127</v>
      </c>
      <c r="P3114" s="2" t="s">
        <v>16128</v>
      </c>
    </row>
    <row r="3115" ht="15.75" customHeight="1">
      <c r="H3115" s="2" t="s">
        <v>16129</v>
      </c>
      <c r="I3115" s="2" t="s">
        <v>16130</v>
      </c>
      <c r="J3115" s="2" t="s">
        <v>16131</v>
      </c>
      <c r="L3115" s="2" t="s">
        <v>15911</v>
      </c>
      <c r="M3115" s="2" t="s">
        <v>16132</v>
      </c>
      <c r="N3115" s="2" t="s">
        <v>16133</v>
      </c>
      <c r="O3115" s="2" t="s">
        <v>16134</v>
      </c>
      <c r="P3115" s="2" t="s">
        <v>869</v>
      </c>
    </row>
    <row r="3116" ht="15.75" customHeight="1">
      <c r="H3116" s="2" t="s">
        <v>16135</v>
      </c>
      <c r="I3116" s="2" t="s">
        <v>432</v>
      </c>
      <c r="J3116" s="2" t="s">
        <v>433</v>
      </c>
      <c r="K3116" s="2" t="s">
        <v>2236</v>
      </c>
      <c r="L3116" s="2" t="s">
        <v>15911</v>
      </c>
      <c r="M3116" s="2" t="s">
        <v>16136</v>
      </c>
      <c r="N3116" s="2" t="s">
        <v>16137</v>
      </c>
      <c r="O3116" s="2" t="s">
        <v>14239</v>
      </c>
      <c r="P3116" s="2" t="s">
        <v>869</v>
      </c>
    </row>
    <row r="3117" ht="15.75" customHeight="1">
      <c r="H3117" s="2" t="s">
        <v>16138</v>
      </c>
      <c r="I3117" s="2" t="s">
        <v>440</v>
      </c>
      <c r="J3117" s="2" t="s">
        <v>441</v>
      </c>
      <c r="K3117" s="2" t="s">
        <v>2252</v>
      </c>
      <c r="L3117" s="2" t="s">
        <v>15911</v>
      </c>
      <c r="M3117" s="2" t="s">
        <v>16139</v>
      </c>
      <c r="N3117" s="2" t="s">
        <v>16140</v>
      </c>
      <c r="O3117" s="2" t="s">
        <v>16141</v>
      </c>
      <c r="P3117" s="2" t="s">
        <v>16069</v>
      </c>
    </row>
    <row r="3118" ht="15.75" customHeight="1">
      <c r="H3118" s="2" t="s">
        <v>16142</v>
      </c>
      <c r="I3118" s="2" t="s">
        <v>2298</v>
      </c>
      <c r="J3118" s="2" t="s">
        <v>2299</v>
      </c>
      <c r="L3118" s="2" t="s">
        <v>15911</v>
      </c>
      <c r="M3118" s="2" t="s">
        <v>16143</v>
      </c>
      <c r="N3118" s="2" t="s">
        <v>16144</v>
      </c>
      <c r="O3118" s="2" t="s">
        <v>16145</v>
      </c>
      <c r="P3118" s="2" t="s">
        <v>16146</v>
      </c>
    </row>
    <row r="3119" ht="15.75" customHeight="1">
      <c r="H3119" s="2" t="s">
        <v>16147</v>
      </c>
      <c r="I3119" s="2" t="s">
        <v>449</v>
      </c>
      <c r="J3119" s="2" t="s">
        <v>450</v>
      </c>
      <c r="K3119" s="2" t="s">
        <v>5500</v>
      </c>
      <c r="L3119" s="2" t="s">
        <v>16148</v>
      </c>
      <c r="M3119" s="2" t="s">
        <v>16149</v>
      </c>
      <c r="N3119" s="2" t="s">
        <v>16150</v>
      </c>
      <c r="O3119" s="2" t="s">
        <v>869</v>
      </c>
      <c r="P3119" s="2" t="s">
        <v>870</v>
      </c>
    </row>
    <row r="3120" ht="15.75" customHeight="1">
      <c r="H3120" s="2" t="s">
        <v>16151</v>
      </c>
      <c r="I3120" s="2" t="s">
        <v>662</v>
      </c>
      <c r="J3120" s="2" t="s">
        <v>663</v>
      </c>
      <c r="K3120" s="2" t="s">
        <v>2309</v>
      </c>
      <c r="L3120" s="2" t="s">
        <v>16152</v>
      </c>
      <c r="M3120" s="2" t="s">
        <v>16153</v>
      </c>
      <c r="N3120" s="2" t="s">
        <v>16154</v>
      </c>
      <c r="O3120" s="2" t="s">
        <v>16155</v>
      </c>
      <c r="P3120" s="2" t="s">
        <v>16156</v>
      </c>
    </row>
    <row r="3121" ht="15.75" customHeight="1">
      <c r="H3121" s="2" t="s">
        <v>16157</v>
      </c>
      <c r="I3121" s="2" t="s">
        <v>16158</v>
      </c>
      <c r="J3121" s="2" t="s">
        <v>16159</v>
      </c>
      <c r="K3121" s="2" t="s">
        <v>16160</v>
      </c>
      <c r="L3121" s="2" t="s">
        <v>15911</v>
      </c>
      <c r="M3121" s="2" t="s">
        <v>16161</v>
      </c>
      <c r="N3121" s="2" t="s">
        <v>16162</v>
      </c>
      <c r="O3121" s="2" t="s">
        <v>16163</v>
      </c>
      <c r="P3121" s="2" t="s">
        <v>16164</v>
      </c>
    </row>
    <row r="3122" ht="15.75" customHeight="1">
      <c r="H3122" s="2" t="s">
        <v>16165</v>
      </c>
      <c r="I3122" s="2" t="s">
        <v>2341</v>
      </c>
      <c r="J3122" s="2" t="s">
        <v>2342</v>
      </c>
      <c r="K3122" s="2" t="s">
        <v>16166</v>
      </c>
      <c r="L3122" s="2" t="s">
        <v>16167</v>
      </c>
      <c r="M3122" s="2" t="s">
        <v>16168</v>
      </c>
      <c r="N3122" s="2" t="s">
        <v>16169</v>
      </c>
      <c r="O3122" s="2" t="s">
        <v>16170</v>
      </c>
      <c r="P3122" s="2" t="s">
        <v>16171</v>
      </c>
    </row>
    <row r="3123" ht="15.75" customHeight="1">
      <c r="H3123" s="2" t="s">
        <v>16172</v>
      </c>
      <c r="I3123" s="2" t="s">
        <v>16173</v>
      </c>
      <c r="J3123" s="2" t="s">
        <v>16174</v>
      </c>
      <c r="K3123" s="2" t="s">
        <v>16175</v>
      </c>
      <c r="L3123" s="2" t="s">
        <v>15911</v>
      </c>
      <c r="M3123" s="2" t="s">
        <v>16176</v>
      </c>
      <c r="N3123" s="2" t="s">
        <v>16177</v>
      </c>
      <c r="O3123" s="2" t="s">
        <v>16178</v>
      </c>
      <c r="P3123" s="2" t="s">
        <v>16179</v>
      </c>
    </row>
    <row r="3124" ht="15.75" customHeight="1">
      <c r="H3124" s="2" t="s">
        <v>16180</v>
      </c>
      <c r="I3124" s="2" t="s">
        <v>16181</v>
      </c>
      <c r="J3124" s="2" t="s">
        <v>16182</v>
      </c>
      <c r="K3124" s="2" t="s">
        <v>16183</v>
      </c>
      <c r="L3124" s="2" t="s">
        <v>15911</v>
      </c>
      <c r="M3124" s="2" t="s">
        <v>16184</v>
      </c>
      <c r="N3124" s="2" t="s">
        <v>16185</v>
      </c>
      <c r="O3124" s="2" t="s">
        <v>16186</v>
      </c>
      <c r="P3124" s="2" t="s">
        <v>16187</v>
      </c>
    </row>
    <row r="3125" ht="15.75" customHeight="1">
      <c r="H3125" s="2" t="s">
        <v>16188</v>
      </c>
      <c r="I3125" s="2" t="s">
        <v>2352</v>
      </c>
      <c r="J3125" s="2" t="s">
        <v>2353</v>
      </c>
      <c r="K3125" s="2" t="s">
        <v>2049</v>
      </c>
      <c r="L3125" s="2" t="s">
        <v>15911</v>
      </c>
      <c r="M3125" s="2" t="s">
        <v>16189</v>
      </c>
      <c r="N3125" s="2" t="s">
        <v>16190</v>
      </c>
      <c r="O3125" s="2" t="s">
        <v>16191</v>
      </c>
      <c r="P3125" s="2" t="s">
        <v>16192</v>
      </c>
    </row>
    <row r="3126" ht="15.75" customHeight="1">
      <c r="H3126" s="2" t="s">
        <v>16193</v>
      </c>
      <c r="I3126" s="2" t="s">
        <v>5541</v>
      </c>
      <c r="J3126" s="2" t="s">
        <v>5542</v>
      </c>
      <c r="K3126" s="2" t="s">
        <v>5543</v>
      </c>
      <c r="L3126" s="2" t="s">
        <v>15911</v>
      </c>
      <c r="M3126" s="2" t="s">
        <v>16194</v>
      </c>
      <c r="N3126" s="2" t="s">
        <v>16195</v>
      </c>
      <c r="O3126" s="2" t="s">
        <v>16196</v>
      </c>
      <c r="P3126" s="2" t="s">
        <v>13408</v>
      </c>
    </row>
    <row r="3127" ht="15.75" customHeight="1">
      <c r="H3127" s="2" t="s">
        <v>16197</v>
      </c>
      <c r="I3127" s="2" t="s">
        <v>13333</v>
      </c>
      <c r="J3127" s="2" t="s">
        <v>13334</v>
      </c>
      <c r="K3127" s="2" t="s">
        <v>13335</v>
      </c>
      <c r="L3127" s="2" t="s">
        <v>15911</v>
      </c>
      <c r="M3127" s="2" t="s">
        <v>16198</v>
      </c>
      <c r="N3127" s="2" t="s">
        <v>16199</v>
      </c>
      <c r="O3127" s="2" t="s">
        <v>16200</v>
      </c>
      <c r="P3127" s="2" t="s">
        <v>16201</v>
      </c>
    </row>
    <row r="3128" ht="15.75" customHeight="1">
      <c r="H3128" s="2" t="s">
        <v>16202</v>
      </c>
      <c r="I3128" s="2" t="s">
        <v>2435</v>
      </c>
      <c r="J3128" s="2" t="s">
        <v>2436</v>
      </c>
      <c r="K3128" s="2" t="s">
        <v>1785</v>
      </c>
      <c r="L3128" s="2" t="s">
        <v>15911</v>
      </c>
      <c r="M3128" s="2" t="s">
        <v>16203</v>
      </c>
      <c r="N3128" s="2" t="s">
        <v>16204</v>
      </c>
      <c r="O3128" s="2" t="s">
        <v>16205</v>
      </c>
      <c r="P3128" s="2" t="s">
        <v>16206</v>
      </c>
    </row>
    <row r="3129" ht="15.75" customHeight="1">
      <c r="H3129" s="2" t="s">
        <v>16207</v>
      </c>
      <c r="I3129" s="2" t="s">
        <v>16208</v>
      </c>
      <c r="J3129" s="2" t="s">
        <v>16209</v>
      </c>
      <c r="K3129" s="2" t="s">
        <v>16210</v>
      </c>
      <c r="L3129" s="2" t="s">
        <v>15911</v>
      </c>
      <c r="M3129" s="2" t="s">
        <v>16211</v>
      </c>
      <c r="N3129" s="2" t="s">
        <v>16212</v>
      </c>
      <c r="O3129" s="2" t="s">
        <v>16213</v>
      </c>
      <c r="P3129" s="2" t="s">
        <v>16214</v>
      </c>
    </row>
    <row r="3130" ht="15.75" customHeight="1">
      <c r="H3130" s="2" t="s">
        <v>16215</v>
      </c>
      <c r="I3130" s="2" t="s">
        <v>16216</v>
      </c>
      <c r="J3130" s="2" t="s">
        <v>16217</v>
      </c>
      <c r="L3130" s="2" t="s">
        <v>15911</v>
      </c>
      <c r="M3130" s="2" t="s">
        <v>16218</v>
      </c>
      <c r="N3130" s="2" t="s">
        <v>16219</v>
      </c>
      <c r="O3130" s="2" t="s">
        <v>16220</v>
      </c>
      <c r="P3130" s="2" t="s">
        <v>16221</v>
      </c>
    </row>
    <row r="3131" ht="15.75" customHeight="1">
      <c r="H3131" s="2" t="s">
        <v>16222</v>
      </c>
      <c r="I3131" s="2" t="s">
        <v>526</v>
      </c>
      <c r="J3131" s="2" t="s">
        <v>527</v>
      </c>
      <c r="K3131" s="2" t="s">
        <v>2316</v>
      </c>
      <c r="L3131" s="2" t="s">
        <v>16223</v>
      </c>
      <c r="M3131" s="2" t="s">
        <v>16224</v>
      </c>
      <c r="N3131" s="2" t="s">
        <v>16225</v>
      </c>
      <c r="O3131" s="2" t="s">
        <v>16226</v>
      </c>
      <c r="P3131" s="2" t="s">
        <v>16227</v>
      </c>
    </row>
    <row r="3132" ht="15.75" customHeight="1">
      <c r="F3132" s="2" t="s">
        <v>534</v>
      </c>
      <c r="H3132" s="2" t="s">
        <v>16228</v>
      </c>
      <c r="I3132" s="2" t="s">
        <v>536</v>
      </c>
      <c r="J3132" s="2" t="s">
        <v>537</v>
      </c>
      <c r="K3132" s="2" t="s">
        <v>538</v>
      </c>
    </row>
    <row r="3133" ht="15.75" customHeight="1">
      <c r="F3133" s="2" t="s">
        <v>539</v>
      </c>
      <c r="H3133" s="2" t="s">
        <v>16229</v>
      </c>
      <c r="I3133" s="2" t="s">
        <v>16230</v>
      </c>
      <c r="J3133" s="2" t="s">
        <v>16231</v>
      </c>
      <c r="L3133" s="2" t="s">
        <v>15911</v>
      </c>
      <c r="M3133" s="2" t="s">
        <v>16232</v>
      </c>
      <c r="N3133" s="2" t="s">
        <v>16233</v>
      </c>
      <c r="O3133" s="2" t="s">
        <v>16234</v>
      </c>
      <c r="P3133" s="2" t="s">
        <v>13602</v>
      </c>
    </row>
    <row r="3134" ht="15.75" customHeight="1">
      <c r="H3134" s="2" t="s">
        <v>16235</v>
      </c>
      <c r="I3134" s="2" t="s">
        <v>541</v>
      </c>
      <c r="J3134" s="2" t="s">
        <v>542</v>
      </c>
      <c r="K3134" s="2" t="s">
        <v>886</v>
      </c>
      <c r="L3134" s="2" t="s">
        <v>15911</v>
      </c>
      <c r="M3134" s="2" t="s">
        <v>16236</v>
      </c>
      <c r="N3134" s="2" t="s">
        <v>16237</v>
      </c>
      <c r="O3134" s="2" t="s">
        <v>16238</v>
      </c>
      <c r="P3134" s="2" t="s">
        <v>16239</v>
      </c>
    </row>
    <row r="3135" ht="15.75" customHeight="1">
      <c r="H3135" s="2" t="s">
        <v>16240</v>
      </c>
      <c r="I3135" s="2" t="s">
        <v>16241</v>
      </c>
      <c r="J3135" s="2" t="s">
        <v>16242</v>
      </c>
      <c r="K3135" s="2" t="s">
        <v>16243</v>
      </c>
      <c r="L3135" s="2" t="s">
        <v>15911</v>
      </c>
      <c r="M3135" s="2" t="s">
        <v>16244</v>
      </c>
      <c r="N3135" s="2" t="s">
        <v>16245</v>
      </c>
      <c r="O3135" s="2" t="s">
        <v>16246</v>
      </c>
      <c r="P3135" s="2" t="s">
        <v>16247</v>
      </c>
    </row>
    <row r="3136" ht="15.75" customHeight="1">
      <c r="F3136" s="2" t="s">
        <v>2597</v>
      </c>
      <c r="H3136" s="2" t="s">
        <v>16248</v>
      </c>
      <c r="I3136" s="2" t="s">
        <v>2624</v>
      </c>
      <c r="J3136" s="2" t="s">
        <v>2625</v>
      </c>
      <c r="K3136" s="2" t="s">
        <v>963</v>
      </c>
      <c r="L3136" s="2" t="s">
        <v>15911</v>
      </c>
      <c r="M3136" s="2" t="s">
        <v>16249</v>
      </c>
      <c r="N3136" s="2" t="s">
        <v>16250</v>
      </c>
      <c r="O3136" s="2" t="s">
        <v>16251</v>
      </c>
      <c r="P3136" s="2" t="s">
        <v>16252</v>
      </c>
    </row>
    <row r="3137" ht="15.75" customHeight="1">
      <c r="F3137" s="2" t="s">
        <v>548</v>
      </c>
      <c r="H3137" s="2" t="s">
        <v>16253</v>
      </c>
      <c r="I3137" s="2" t="s">
        <v>550</v>
      </c>
      <c r="J3137" s="2" t="s">
        <v>551</v>
      </c>
      <c r="K3137" s="2" t="s">
        <v>963</v>
      </c>
      <c r="L3137" s="2" t="s">
        <v>15911</v>
      </c>
      <c r="M3137" s="2" t="s">
        <v>16254</v>
      </c>
      <c r="N3137" s="2" t="s">
        <v>16255</v>
      </c>
      <c r="O3137" s="2" t="s">
        <v>16256</v>
      </c>
      <c r="P3137" s="2" t="s">
        <v>16257</v>
      </c>
    </row>
    <row r="3138" ht="15.75" customHeight="1">
      <c r="F3138" s="2" t="s">
        <v>556</v>
      </c>
      <c r="H3138" s="2" t="s">
        <v>16258</v>
      </c>
      <c r="I3138" s="2" t="s">
        <v>558</v>
      </c>
      <c r="J3138" s="2" t="s">
        <v>559</v>
      </c>
      <c r="K3138" s="2" t="s">
        <v>1362</v>
      </c>
      <c r="L3138" s="2" t="s">
        <v>15911</v>
      </c>
      <c r="M3138" s="2" t="s">
        <v>16259</v>
      </c>
      <c r="N3138" s="2" t="s">
        <v>16260</v>
      </c>
      <c r="O3138" s="2" t="s">
        <v>16261</v>
      </c>
      <c r="P3138" s="2" t="s">
        <v>16262</v>
      </c>
    </row>
    <row r="3139" ht="15.75" customHeight="1">
      <c r="H3139" s="2" t="s">
        <v>16263</v>
      </c>
      <c r="I3139" s="2" t="s">
        <v>16264</v>
      </c>
      <c r="J3139" s="2" t="s">
        <v>16265</v>
      </c>
      <c r="L3139" s="2" t="s">
        <v>15911</v>
      </c>
      <c r="M3139" s="2" t="s">
        <v>16266</v>
      </c>
      <c r="N3139" s="2" t="s">
        <v>16267</v>
      </c>
      <c r="O3139" s="2" t="s">
        <v>16268</v>
      </c>
      <c r="P3139" s="2" t="s">
        <v>16269</v>
      </c>
    </row>
    <row r="3140" ht="15.75" customHeight="1">
      <c r="H3140" s="2" t="s">
        <v>16270</v>
      </c>
      <c r="I3140" s="2" t="s">
        <v>8166</v>
      </c>
      <c r="J3140" s="2" t="s">
        <v>8167</v>
      </c>
      <c r="K3140" s="2" t="s">
        <v>1508</v>
      </c>
      <c r="L3140" s="2" t="s">
        <v>15911</v>
      </c>
      <c r="M3140" s="2" t="s">
        <v>16271</v>
      </c>
      <c r="N3140" s="2" t="s">
        <v>16272</v>
      </c>
      <c r="O3140" s="2" t="s">
        <v>16273</v>
      </c>
      <c r="P3140" s="2" t="s">
        <v>16274</v>
      </c>
    </row>
    <row r="3141" ht="15.75" customHeight="1">
      <c r="H3141" s="2" t="s">
        <v>16275</v>
      </c>
      <c r="I3141" s="2" t="s">
        <v>16276</v>
      </c>
      <c r="J3141" s="2" t="s">
        <v>16277</v>
      </c>
      <c r="K3141" s="2" t="s">
        <v>16278</v>
      </c>
      <c r="L3141" s="2" t="s">
        <v>15911</v>
      </c>
      <c r="M3141" s="2" t="s">
        <v>16279</v>
      </c>
      <c r="N3141" s="2" t="s">
        <v>16280</v>
      </c>
      <c r="O3141" s="2" t="s">
        <v>14239</v>
      </c>
      <c r="P3141" s="2" t="s">
        <v>869</v>
      </c>
    </row>
    <row r="3142" ht="15.75" customHeight="1">
      <c r="F3142" s="2" t="s">
        <v>598</v>
      </c>
      <c r="H3142" s="2" t="s">
        <v>16281</v>
      </c>
      <c r="I3142" s="2" t="s">
        <v>600</v>
      </c>
      <c r="J3142" s="2" t="s">
        <v>601</v>
      </c>
      <c r="K3142" s="2" t="s">
        <v>865</v>
      </c>
      <c r="L3142" s="2" t="s">
        <v>15911</v>
      </c>
      <c r="M3142" s="2" t="s">
        <v>16282</v>
      </c>
      <c r="N3142" s="2" t="s">
        <v>16283</v>
      </c>
      <c r="O3142" s="2" t="s">
        <v>16284</v>
      </c>
      <c r="P3142" s="2" t="s">
        <v>16285</v>
      </c>
    </row>
    <row r="3143" ht="15.75" customHeight="1">
      <c r="H3143" s="2" t="s">
        <v>16286</v>
      </c>
      <c r="I3143" s="2" t="s">
        <v>608</v>
      </c>
      <c r="J3143" s="2" t="s">
        <v>609</v>
      </c>
      <c r="K3143" s="2" t="s">
        <v>1508</v>
      </c>
      <c r="L3143" s="2" t="s">
        <v>16287</v>
      </c>
      <c r="M3143" s="2" t="s">
        <v>16288</v>
      </c>
      <c r="N3143" s="2" t="s">
        <v>16289</v>
      </c>
      <c r="O3143" s="2" t="s">
        <v>16290</v>
      </c>
      <c r="P3143" s="2" t="s">
        <v>16291</v>
      </c>
    </row>
    <row r="3144" ht="15.75" customHeight="1">
      <c r="H3144" s="2" t="s">
        <v>16292</v>
      </c>
      <c r="I3144" s="2" t="s">
        <v>8761</v>
      </c>
      <c r="J3144" s="2" t="s">
        <v>8762</v>
      </c>
      <c r="K3144" s="2" t="s">
        <v>2223</v>
      </c>
      <c r="L3144" s="2" t="s">
        <v>16293</v>
      </c>
      <c r="M3144" s="2" t="s">
        <v>16294</v>
      </c>
      <c r="N3144" s="2" t="s">
        <v>16295</v>
      </c>
      <c r="O3144" s="2" t="s">
        <v>16296</v>
      </c>
      <c r="P3144" s="2" t="s">
        <v>869</v>
      </c>
    </row>
    <row r="3145" ht="15.75" customHeight="1">
      <c r="F3145" s="2" t="s">
        <v>3079</v>
      </c>
      <c r="H3145" s="2" t="s">
        <v>16297</v>
      </c>
      <c r="I3145" s="2" t="s">
        <v>16298</v>
      </c>
      <c r="J3145" s="2" t="s">
        <v>16299</v>
      </c>
      <c r="K3145" s="2" t="s">
        <v>12513</v>
      </c>
      <c r="L3145" s="2" t="s">
        <v>15911</v>
      </c>
      <c r="M3145" s="2" t="s">
        <v>16300</v>
      </c>
      <c r="N3145" s="2" t="s">
        <v>16301</v>
      </c>
      <c r="O3145" s="2" t="s">
        <v>16302</v>
      </c>
      <c r="P3145" s="2" t="s">
        <v>16303</v>
      </c>
    </row>
    <row r="3146" ht="15.75" customHeight="1">
      <c r="F3146" s="2" t="s">
        <v>3129</v>
      </c>
      <c r="H3146" s="2" t="s">
        <v>16304</v>
      </c>
      <c r="I3146" s="2" t="s">
        <v>3146</v>
      </c>
      <c r="J3146" s="2" t="s">
        <v>3147</v>
      </c>
      <c r="K3146" s="2" t="s">
        <v>1288</v>
      </c>
      <c r="L3146" s="2" t="s">
        <v>15911</v>
      </c>
      <c r="M3146" s="2" t="s">
        <v>16305</v>
      </c>
      <c r="N3146" s="2" t="s">
        <v>16306</v>
      </c>
      <c r="O3146" s="2" t="s">
        <v>16307</v>
      </c>
      <c r="P3146" s="2" t="s">
        <v>16308</v>
      </c>
    </row>
    <row r="3147" ht="15.75" customHeight="1">
      <c r="F3147" s="2" t="s">
        <v>624</v>
      </c>
      <c r="H3147" s="2" t="s">
        <v>16309</v>
      </c>
      <c r="I3147" s="2" t="s">
        <v>12844</v>
      </c>
      <c r="J3147" s="2" t="s">
        <v>12845</v>
      </c>
      <c r="K3147" s="2" t="s">
        <v>874</v>
      </c>
      <c r="L3147" s="2" t="s">
        <v>15911</v>
      </c>
      <c r="M3147" s="2" t="s">
        <v>16310</v>
      </c>
      <c r="N3147" s="2" t="s">
        <v>16311</v>
      </c>
      <c r="O3147" s="2" t="s">
        <v>16312</v>
      </c>
      <c r="P3147" s="2" t="s">
        <v>16313</v>
      </c>
    </row>
    <row r="3148" ht="15.75" customHeight="1">
      <c r="H3148" s="2" t="s">
        <v>16314</v>
      </c>
      <c r="I3148" s="2" t="s">
        <v>626</v>
      </c>
      <c r="J3148" s="2" t="s">
        <v>627</v>
      </c>
      <c r="K3148" s="2" t="s">
        <v>2203</v>
      </c>
      <c r="L3148" s="2" t="s">
        <v>16315</v>
      </c>
      <c r="M3148" s="2" t="s">
        <v>16316</v>
      </c>
      <c r="N3148" s="2" t="s">
        <v>16317</v>
      </c>
      <c r="O3148" s="2" t="s">
        <v>16318</v>
      </c>
      <c r="P3148" s="2" t="s">
        <v>16319</v>
      </c>
    </row>
    <row r="3149" ht="15.75" customHeight="1">
      <c r="F3149" s="2" t="s">
        <v>634</v>
      </c>
      <c r="H3149" s="2" t="s">
        <v>16320</v>
      </c>
      <c r="I3149" s="2" t="s">
        <v>9141</v>
      </c>
      <c r="J3149" s="2" t="s">
        <v>9142</v>
      </c>
      <c r="K3149" s="2" t="s">
        <v>853</v>
      </c>
      <c r="L3149" s="2" t="s">
        <v>15911</v>
      </c>
      <c r="M3149" s="2" t="s">
        <v>16321</v>
      </c>
      <c r="N3149" s="2" t="s">
        <v>16322</v>
      </c>
      <c r="O3149" s="2" t="s">
        <v>16323</v>
      </c>
      <c r="P3149" s="2" t="s">
        <v>16324</v>
      </c>
    </row>
    <row r="3150" ht="15.75" customHeight="1">
      <c r="F3150" s="2" t="s">
        <v>651</v>
      </c>
      <c r="H3150" s="2" t="s">
        <v>16325</v>
      </c>
      <c r="I3150" s="2" t="s">
        <v>653</v>
      </c>
      <c r="J3150" s="2" t="s">
        <v>654</v>
      </c>
      <c r="K3150" s="2" t="s">
        <v>1508</v>
      </c>
      <c r="L3150" s="2" t="s">
        <v>15911</v>
      </c>
      <c r="M3150" s="2" t="s">
        <v>16326</v>
      </c>
      <c r="N3150" s="2" t="s">
        <v>16327</v>
      </c>
      <c r="O3150" s="2" t="s">
        <v>16328</v>
      </c>
      <c r="P3150" s="2" t="s">
        <v>16329</v>
      </c>
    </row>
    <row r="3151" ht="15.75" customHeight="1">
      <c r="H3151" s="2" t="s">
        <v>16330</v>
      </c>
      <c r="I3151" s="2" t="s">
        <v>16331</v>
      </c>
      <c r="J3151" s="2" t="s">
        <v>16332</v>
      </c>
      <c r="K3151" s="2" t="s">
        <v>1319</v>
      </c>
      <c r="L3151" s="2" t="s">
        <v>15911</v>
      </c>
      <c r="M3151" s="2" t="s">
        <v>16333</v>
      </c>
      <c r="N3151" s="2" t="s">
        <v>16334</v>
      </c>
      <c r="O3151" s="2" t="s">
        <v>16335</v>
      </c>
      <c r="P3151" s="2" t="s">
        <v>869</v>
      </c>
    </row>
    <row r="3152" ht="15.75" customHeight="1">
      <c r="F3152" s="2" t="s">
        <v>3577</v>
      </c>
      <c r="H3152" s="2" t="s">
        <v>16336</v>
      </c>
      <c r="I3152" s="2" t="s">
        <v>3601</v>
      </c>
      <c r="J3152" s="2" t="s">
        <v>3602</v>
      </c>
      <c r="K3152" s="2" t="s">
        <v>1128</v>
      </c>
      <c r="L3152" s="2" t="s">
        <v>15911</v>
      </c>
      <c r="M3152" s="2" t="s">
        <v>16337</v>
      </c>
      <c r="N3152" s="2" t="s">
        <v>16338</v>
      </c>
      <c r="O3152" s="2" t="s">
        <v>16339</v>
      </c>
      <c r="P3152" s="2" t="s">
        <v>869</v>
      </c>
    </row>
    <row r="3153" ht="15.75" customHeight="1">
      <c r="F3153" s="2" t="s">
        <v>660</v>
      </c>
      <c r="H3153" s="2" t="s">
        <v>16340</v>
      </c>
      <c r="I3153" s="2" t="s">
        <v>662</v>
      </c>
      <c r="J3153" s="2" t="s">
        <v>663</v>
      </c>
      <c r="K3153" s="2" t="s">
        <v>1567</v>
      </c>
      <c r="L3153" s="2" t="s">
        <v>15911</v>
      </c>
      <c r="M3153" s="2" t="s">
        <v>16341</v>
      </c>
      <c r="N3153" s="2" t="s">
        <v>16342</v>
      </c>
      <c r="O3153" s="2" t="s">
        <v>16343</v>
      </c>
      <c r="P3153" s="2" t="s">
        <v>16344</v>
      </c>
    </row>
    <row r="3154" ht="15.75" customHeight="1">
      <c r="H3154" s="2" t="s">
        <v>16345</v>
      </c>
      <c r="I3154" s="2" t="s">
        <v>670</v>
      </c>
      <c r="J3154" s="2" t="s">
        <v>671</v>
      </c>
      <c r="K3154" s="2" t="s">
        <v>1331</v>
      </c>
      <c r="L3154" s="2" t="s">
        <v>15911</v>
      </c>
      <c r="M3154" s="2" t="s">
        <v>16346</v>
      </c>
      <c r="N3154" s="2" t="s">
        <v>16347</v>
      </c>
      <c r="O3154" s="2" t="s">
        <v>16348</v>
      </c>
      <c r="P3154" s="2" t="s">
        <v>16349</v>
      </c>
    </row>
    <row r="3155" ht="15.75" customHeight="1">
      <c r="F3155" s="2" t="s">
        <v>3762</v>
      </c>
      <c r="H3155" s="2" t="s">
        <v>16350</v>
      </c>
      <c r="I3155" s="2" t="s">
        <v>3804</v>
      </c>
      <c r="J3155" s="2" t="s">
        <v>3805</v>
      </c>
      <c r="K3155" s="2" t="s">
        <v>2937</v>
      </c>
      <c r="L3155" s="2" t="s">
        <v>15911</v>
      </c>
      <c r="M3155" s="2" t="s">
        <v>16351</v>
      </c>
      <c r="N3155" s="2" t="s">
        <v>16352</v>
      </c>
      <c r="O3155" s="2" t="s">
        <v>16353</v>
      </c>
      <c r="P3155" s="2" t="s">
        <v>16354</v>
      </c>
    </row>
    <row r="3156" ht="15.75" customHeight="1">
      <c r="F3156" s="2" t="s">
        <v>677</v>
      </c>
      <c r="H3156" s="2" t="s">
        <v>16355</v>
      </c>
      <c r="I3156" s="2" t="s">
        <v>679</v>
      </c>
      <c r="J3156" s="2" t="s">
        <v>680</v>
      </c>
      <c r="K3156" s="2" t="s">
        <v>1157</v>
      </c>
      <c r="L3156" s="2" t="s">
        <v>15911</v>
      </c>
      <c r="M3156" s="2" t="s">
        <v>16356</v>
      </c>
      <c r="N3156" s="2" t="s">
        <v>16357</v>
      </c>
      <c r="O3156" s="2" t="s">
        <v>16358</v>
      </c>
      <c r="P3156" s="2" t="s">
        <v>16359</v>
      </c>
    </row>
    <row r="3157" ht="15.75" customHeight="1">
      <c r="F3157" s="2" t="s">
        <v>694</v>
      </c>
      <c r="H3157" s="2" t="s">
        <v>16360</v>
      </c>
      <c r="I3157" s="2" t="s">
        <v>696</v>
      </c>
      <c r="J3157" s="2" t="s">
        <v>697</v>
      </c>
      <c r="K3157" s="2" t="s">
        <v>1567</v>
      </c>
      <c r="L3157" s="2" t="s">
        <v>15911</v>
      </c>
      <c r="M3157" s="2" t="s">
        <v>16361</v>
      </c>
      <c r="N3157" s="2" t="s">
        <v>16362</v>
      </c>
      <c r="O3157" s="2" t="s">
        <v>16363</v>
      </c>
      <c r="P3157" s="2" t="s">
        <v>16364</v>
      </c>
    </row>
    <row r="3158" ht="15.75" customHeight="1">
      <c r="F3158" s="2" t="s">
        <v>703</v>
      </c>
      <c r="H3158" s="2" t="s">
        <v>16365</v>
      </c>
      <c r="I3158" s="2" t="s">
        <v>713</v>
      </c>
      <c r="J3158" s="2" t="s">
        <v>714</v>
      </c>
      <c r="K3158" s="2" t="s">
        <v>1567</v>
      </c>
      <c r="L3158" s="2" t="s">
        <v>16366</v>
      </c>
      <c r="M3158" s="2" t="s">
        <v>16367</v>
      </c>
      <c r="N3158" s="2" t="s">
        <v>16368</v>
      </c>
      <c r="O3158" s="2" t="s">
        <v>16369</v>
      </c>
      <c r="P3158" s="2" t="s">
        <v>16370</v>
      </c>
    </row>
    <row r="3159" ht="15.75" customHeight="1">
      <c r="H3159" s="2" t="s">
        <v>16371</v>
      </c>
      <c r="I3159" s="2" t="s">
        <v>14122</v>
      </c>
      <c r="J3159" s="2" t="s">
        <v>14123</v>
      </c>
      <c r="K3159" s="2" t="s">
        <v>924</v>
      </c>
      <c r="L3159" s="2" t="s">
        <v>15911</v>
      </c>
      <c r="M3159" s="2" t="s">
        <v>16372</v>
      </c>
      <c r="N3159" s="2" t="s">
        <v>16373</v>
      </c>
      <c r="O3159" s="2" t="s">
        <v>16374</v>
      </c>
      <c r="P3159" s="2" t="s">
        <v>16375</v>
      </c>
    </row>
    <row r="3160" ht="15.75" customHeight="1">
      <c r="H3160" s="2" t="s">
        <v>16376</v>
      </c>
      <c r="I3160" s="2" t="s">
        <v>14638</v>
      </c>
      <c r="J3160" s="2" t="s">
        <v>14639</v>
      </c>
      <c r="K3160" s="2" t="s">
        <v>15013</v>
      </c>
      <c r="L3160" s="2" t="s">
        <v>15911</v>
      </c>
      <c r="M3160" s="2" t="s">
        <v>16377</v>
      </c>
      <c r="N3160" s="2" t="s">
        <v>16378</v>
      </c>
      <c r="O3160" s="2" t="s">
        <v>16379</v>
      </c>
      <c r="P3160" s="2" t="s">
        <v>16380</v>
      </c>
    </row>
    <row r="3161" ht="15.75" customHeight="1">
      <c r="H3161" s="2" t="s">
        <v>16381</v>
      </c>
      <c r="I3161" s="2" t="s">
        <v>10251</v>
      </c>
      <c r="J3161" s="2" t="s">
        <v>10252</v>
      </c>
      <c r="K3161" s="2" t="s">
        <v>1418</v>
      </c>
      <c r="L3161" s="2" t="s">
        <v>15911</v>
      </c>
      <c r="M3161" s="2" t="s">
        <v>16382</v>
      </c>
      <c r="N3161" s="2" t="s">
        <v>16383</v>
      </c>
      <c r="O3161" s="2" t="s">
        <v>16384</v>
      </c>
      <c r="P3161" s="2" t="s">
        <v>869</v>
      </c>
    </row>
    <row r="3162" ht="15.75" customHeight="1">
      <c r="H3162" s="2" t="s">
        <v>16385</v>
      </c>
      <c r="I3162" s="2" t="s">
        <v>4065</v>
      </c>
      <c r="J3162" s="2" t="s">
        <v>4066</v>
      </c>
      <c r="K3162" s="2" t="s">
        <v>1433</v>
      </c>
      <c r="L3162" s="2" t="s">
        <v>15911</v>
      </c>
      <c r="M3162" s="2" t="s">
        <v>16386</v>
      </c>
      <c r="N3162" s="2" t="s">
        <v>16387</v>
      </c>
      <c r="O3162" s="2" t="s">
        <v>16388</v>
      </c>
      <c r="P3162" s="2" t="s">
        <v>16389</v>
      </c>
    </row>
    <row r="3163" ht="15.75" customHeight="1">
      <c r="F3163" s="2" t="s">
        <v>728</v>
      </c>
      <c r="H3163" s="2" t="s">
        <v>16390</v>
      </c>
      <c r="I3163" s="2" t="s">
        <v>10316</v>
      </c>
      <c r="J3163" s="2" t="s">
        <v>10317</v>
      </c>
      <c r="K3163" s="2" t="s">
        <v>958</v>
      </c>
      <c r="L3163" s="2" t="s">
        <v>15911</v>
      </c>
      <c r="M3163" s="2" t="s">
        <v>16391</v>
      </c>
      <c r="N3163" s="2" t="s">
        <v>16392</v>
      </c>
      <c r="O3163" s="2" t="s">
        <v>16393</v>
      </c>
      <c r="P3163" s="2" t="s">
        <v>16394</v>
      </c>
    </row>
    <row r="3164" ht="15.75" customHeight="1">
      <c r="H3164" s="2" t="s">
        <v>16395</v>
      </c>
      <c r="I3164" s="2" t="s">
        <v>730</v>
      </c>
      <c r="J3164" s="2" t="s">
        <v>731</v>
      </c>
      <c r="K3164" s="2" t="s">
        <v>886</v>
      </c>
      <c r="L3164" s="2" t="s">
        <v>15911</v>
      </c>
      <c r="M3164" s="2" t="s">
        <v>16396</v>
      </c>
      <c r="N3164" s="2" t="s">
        <v>16397</v>
      </c>
      <c r="O3164" s="2" t="s">
        <v>16398</v>
      </c>
      <c r="P3164" s="2" t="s">
        <v>16399</v>
      </c>
    </row>
    <row r="3165" ht="15.75" customHeight="1">
      <c r="H3165" s="2" t="s">
        <v>16400</v>
      </c>
      <c r="I3165" s="2" t="s">
        <v>4096</v>
      </c>
      <c r="J3165" s="2" t="s">
        <v>4097</v>
      </c>
      <c r="K3165" s="2" t="s">
        <v>896</v>
      </c>
      <c r="L3165" s="2" t="s">
        <v>15911</v>
      </c>
      <c r="M3165" s="2" t="s">
        <v>16401</v>
      </c>
      <c r="N3165" s="2" t="s">
        <v>16402</v>
      </c>
      <c r="O3165" s="2" t="s">
        <v>16403</v>
      </c>
      <c r="P3165" s="2" t="s">
        <v>16404</v>
      </c>
    </row>
    <row r="3166" ht="15.75" customHeight="1">
      <c r="F3166" s="2" t="s">
        <v>746</v>
      </c>
      <c r="H3166" s="2" t="s">
        <v>16405</v>
      </c>
      <c r="I3166" s="2" t="s">
        <v>4282</v>
      </c>
      <c r="J3166" s="2" t="s">
        <v>4283</v>
      </c>
      <c r="K3166" s="2" t="s">
        <v>886</v>
      </c>
      <c r="L3166" s="2" t="s">
        <v>15911</v>
      </c>
      <c r="M3166" s="2" t="s">
        <v>16406</v>
      </c>
      <c r="N3166" s="2" t="s">
        <v>16407</v>
      </c>
      <c r="O3166" s="2" t="s">
        <v>16408</v>
      </c>
      <c r="P3166" s="2" t="s">
        <v>16409</v>
      </c>
    </row>
    <row r="3167" ht="15.75" customHeight="1">
      <c r="F3167" s="2" t="s">
        <v>4353</v>
      </c>
      <c r="H3167" s="2" t="s">
        <v>16410</v>
      </c>
      <c r="I3167" s="2" t="s">
        <v>16411</v>
      </c>
      <c r="J3167" s="2" t="s">
        <v>16412</v>
      </c>
      <c r="K3167" s="2" t="s">
        <v>16413</v>
      </c>
      <c r="L3167" s="2" t="s">
        <v>15911</v>
      </c>
      <c r="M3167" s="2" t="s">
        <v>16414</v>
      </c>
      <c r="N3167" s="2" t="s">
        <v>16415</v>
      </c>
      <c r="O3167" s="2" t="s">
        <v>16335</v>
      </c>
      <c r="P3167" s="2" t="s">
        <v>869</v>
      </c>
    </row>
    <row r="3168" ht="15.75" customHeight="1">
      <c r="H3168" s="2" t="s">
        <v>16416</v>
      </c>
      <c r="I3168" s="2" t="s">
        <v>6072</v>
      </c>
      <c r="J3168" s="2" t="s">
        <v>6073</v>
      </c>
      <c r="K3168" s="2" t="s">
        <v>1433</v>
      </c>
      <c r="L3168" s="2" t="s">
        <v>15911</v>
      </c>
      <c r="M3168" s="2" t="s">
        <v>16417</v>
      </c>
      <c r="N3168" s="2" t="s">
        <v>16418</v>
      </c>
      <c r="O3168" s="2" t="s">
        <v>16419</v>
      </c>
      <c r="P3168" s="2" t="s">
        <v>16420</v>
      </c>
    </row>
    <row r="3169" ht="15.75" customHeight="1">
      <c r="F3169" s="2" t="s">
        <v>755</v>
      </c>
      <c r="H3169" s="2" t="s">
        <v>16421</v>
      </c>
      <c r="I3169" s="2" t="s">
        <v>16422</v>
      </c>
      <c r="J3169" s="2" t="s">
        <v>16423</v>
      </c>
      <c r="K3169" s="2" t="s">
        <v>1362</v>
      </c>
      <c r="L3169" s="2" t="s">
        <v>15911</v>
      </c>
      <c r="M3169" s="2" t="s">
        <v>16424</v>
      </c>
      <c r="N3169" s="2" t="s">
        <v>16425</v>
      </c>
      <c r="O3169" s="2" t="s">
        <v>16426</v>
      </c>
      <c r="P3169" s="2" t="s">
        <v>869</v>
      </c>
    </row>
    <row r="3170" ht="15.75" customHeight="1">
      <c r="H3170" s="2" t="s">
        <v>16427</v>
      </c>
      <c r="I3170" s="2" t="s">
        <v>757</v>
      </c>
      <c r="J3170" s="2" t="s">
        <v>758</v>
      </c>
      <c r="K3170" s="2" t="s">
        <v>4429</v>
      </c>
      <c r="L3170" s="2" t="s">
        <v>16428</v>
      </c>
      <c r="M3170" s="2" t="s">
        <v>16429</v>
      </c>
      <c r="N3170" s="2" t="s">
        <v>16430</v>
      </c>
      <c r="O3170" s="2" t="s">
        <v>16431</v>
      </c>
      <c r="P3170" s="2" t="s">
        <v>16432</v>
      </c>
    </row>
    <row r="3171" ht="15.75" customHeight="1">
      <c r="H3171" s="2" t="s">
        <v>16433</v>
      </c>
      <c r="I3171" s="2" t="s">
        <v>16434</v>
      </c>
      <c r="J3171" s="2" t="s">
        <v>16435</v>
      </c>
      <c r="L3171" s="2" t="s">
        <v>15911</v>
      </c>
      <c r="M3171" s="2" t="s">
        <v>16436</v>
      </c>
      <c r="N3171" s="2" t="s">
        <v>16437</v>
      </c>
      <c r="O3171" s="2" t="s">
        <v>16438</v>
      </c>
      <c r="P3171" s="2" t="s">
        <v>869</v>
      </c>
    </row>
    <row r="3172" ht="15.75" customHeight="1">
      <c r="F3172" s="2" t="s">
        <v>764</v>
      </c>
      <c r="H3172" s="2" t="s">
        <v>16439</v>
      </c>
      <c r="I3172" s="2" t="s">
        <v>766</v>
      </c>
      <c r="J3172" s="2" t="s">
        <v>767</v>
      </c>
      <c r="K3172" s="2" t="s">
        <v>1418</v>
      </c>
      <c r="L3172" s="2" t="s">
        <v>15911</v>
      </c>
      <c r="M3172" s="2" t="s">
        <v>16440</v>
      </c>
      <c r="N3172" s="2" t="s">
        <v>16441</v>
      </c>
      <c r="O3172" s="2" t="s">
        <v>16442</v>
      </c>
      <c r="P3172" s="2" t="s">
        <v>16443</v>
      </c>
    </row>
    <row r="3173" ht="15.75" customHeight="1">
      <c r="F3173" s="2" t="s">
        <v>773</v>
      </c>
      <c r="H3173" s="2" t="s">
        <v>16444</v>
      </c>
      <c r="I3173" s="2" t="s">
        <v>775</v>
      </c>
      <c r="J3173" s="2" t="s">
        <v>776</v>
      </c>
      <c r="K3173" s="2" t="s">
        <v>1145</v>
      </c>
      <c r="L3173" s="2" t="s">
        <v>16445</v>
      </c>
      <c r="M3173" s="2" t="s">
        <v>16446</v>
      </c>
      <c r="N3173" s="2" t="s">
        <v>16447</v>
      </c>
      <c r="O3173" s="2" t="s">
        <v>16448</v>
      </c>
      <c r="P3173" s="2" t="s">
        <v>16449</v>
      </c>
    </row>
    <row r="3174" ht="15.75" customHeight="1">
      <c r="F3174" s="2" t="s">
        <v>4802</v>
      </c>
      <c r="H3174" s="2" t="s">
        <v>16450</v>
      </c>
      <c r="I3174" s="2" t="s">
        <v>4819</v>
      </c>
      <c r="J3174" s="2" t="s">
        <v>4820</v>
      </c>
      <c r="K3174" s="2" t="s">
        <v>886</v>
      </c>
      <c r="L3174" s="2" t="s">
        <v>15911</v>
      </c>
      <c r="M3174" s="2" t="s">
        <v>16451</v>
      </c>
      <c r="N3174" s="2" t="s">
        <v>16452</v>
      </c>
      <c r="O3174" s="2" t="s">
        <v>16453</v>
      </c>
      <c r="P3174" s="2" t="s">
        <v>16454</v>
      </c>
    </row>
    <row r="3175" ht="15.75" customHeight="1">
      <c r="F3175" s="2" t="s">
        <v>782</v>
      </c>
      <c r="H3175" s="2" t="s">
        <v>16455</v>
      </c>
      <c r="I3175" s="2" t="s">
        <v>4860</v>
      </c>
      <c r="J3175" s="2" t="s">
        <v>4861</v>
      </c>
      <c r="K3175" s="2" t="s">
        <v>1362</v>
      </c>
      <c r="L3175" s="2" t="s">
        <v>15911</v>
      </c>
      <c r="M3175" s="2" t="s">
        <v>16456</v>
      </c>
      <c r="N3175" s="2" t="s">
        <v>16457</v>
      </c>
      <c r="O3175" s="2" t="s">
        <v>16458</v>
      </c>
      <c r="P3175" s="2" t="s">
        <v>16459</v>
      </c>
    </row>
    <row r="3176" ht="15.75" customHeight="1">
      <c r="F3176" s="2" t="s">
        <v>800</v>
      </c>
      <c r="H3176" s="2" t="s">
        <v>16460</v>
      </c>
      <c r="I3176" s="2" t="s">
        <v>4994</v>
      </c>
      <c r="J3176" s="2" t="s">
        <v>4995</v>
      </c>
      <c r="K3176" s="2" t="s">
        <v>1878</v>
      </c>
      <c r="L3176" s="2" t="s">
        <v>15911</v>
      </c>
      <c r="M3176" s="2" t="s">
        <v>16461</v>
      </c>
      <c r="N3176" s="2" t="s">
        <v>16462</v>
      </c>
      <c r="O3176" s="2" t="s">
        <v>16463</v>
      </c>
      <c r="P3176" s="2" t="s">
        <v>869</v>
      </c>
    </row>
    <row r="3177" ht="15.75" customHeight="1">
      <c r="H3177" s="2" t="s">
        <v>16464</v>
      </c>
      <c r="I3177" s="2" t="s">
        <v>5037</v>
      </c>
      <c r="J3177" s="2" t="s">
        <v>5038</v>
      </c>
      <c r="K3177" s="2" t="s">
        <v>2203</v>
      </c>
      <c r="L3177" s="2" t="s">
        <v>15911</v>
      </c>
      <c r="M3177" s="2" t="s">
        <v>16465</v>
      </c>
      <c r="N3177" s="2" t="s">
        <v>16466</v>
      </c>
      <c r="O3177" s="2" t="s">
        <v>16467</v>
      </c>
      <c r="P3177" s="2" t="s">
        <v>16468</v>
      </c>
    </row>
    <row r="3178" ht="15.75" customHeight="1">
      <c r="H3178" s="2" t="s">
        <v>16469</v>
      </c>
      <c r="I3178" s="2" t="s">
        <v>16470</v>
      </c>
      <c r="J3178" s="2" t="s">
        <v>16471</v>
      </c>
      <c r="K3178" s="2" t="s">
        <v>2269</v>
      </c>
      <c r="L3178" s="2" t="s">
        <v>15911</v>
      </c>
      <c r="M3178" s="2" t="s">
        <v>16472</v>
      </c>
      <c r="N3178" s="2" t="s">
        <v>16473</v>
      </c>
      <c r="O3178" s="2" t="s">
        <v>16474</v>
      </c>
      <c r="P3178" s="2" t="s">
        <v>16475</v>
      </c>
    </row>
    <row r="3179" ht="15.75" customHeight="1">
      <c r="H3179" s="2" t="s">
        <v>16476</v>
      </c>
      <c r="I3179" s="2" t="s">
        <v>5986</v>
      </c>
      <c r="J3179" s="2" t="s">
        <v>5987</v>
      </c>
      <c r="K3179" s="2" t="s">
        <v>5988</v>
      </c>
      <c r="L3179" s="2" t="s">
        <v>16477</v>
      </c>
      <c r="M3179" s="2" t="s">
        <v>16478</v>
      </c>
      <c r="N3179" s="2" t="s">
        <v>16479</v>
      </c>
      <c r="O3179" s="2" t="s">
        <v>16480</v>
      </c>
      <c r="P3179" s="2" t="s">
        <v>16481</v>
      </c>
    </row>
    <row r="3180" ht="15.75" customHeight="1">
      <c r="H3180" s="2" t="s">
        <v>16482</v>
      </c>
      <c r="I3180" s="2" t="s">
        <v>16483</v>
      </c>
      <c r="J3180" s="2" t="s">
        <v>16483</v>
      </c>
      <c r="K3180" s="2" t="s">
        <v>12160</v>
      </c>
    </row>
    <row r="3181" ht="15.75" customHeight="1">
      <c r="H3181" s="2" t="s">
        <v>16484</v>
      </c>
      <c r="I3181" s="2" t="s">
        <v>12458</v>
      </c>
      <c r="J3181" s="2" t="s">
        <v>12459</v>
      </c>
      <c r="K3181" s="2" t="s">
        <v>1698</v>
      </c>
      <c r="L3181" s="2" t="s">
        <v>15911</v>
      </c>
      <c r="M3181" s="2" t="s">
        <v>16485</v>
      </c>
      <c r="N3181" s="2" t="s">
        <v>16486</v>
      </c>
      <c r="O3181" s="2" t="s">
        <v>16487</v>
      </c>
      <c r="P3181" s="2" t="s">
        <v>16488</v>
      </c>
    </row>
    <row r="3182" ht="15.75" customHeight="1">
      <c r="F3182" s="2" t="s">
        <v>843</v>
      </c>
      <c r="H3182" s="2" t="s">
        <v>16489</v>
      </c>
      <c r="I3182" s="2" t="s">
        <v>845</v>
      </c>
      <c r="J3182" s="2" t="s">
        <v>846</v>
      </c>
      <c r="K3182" s="2" t="s">
        <v>1618</v>
      </c>
      <c r="L3182" s="2" t="s">
        <v>15911</v>
      </c>
      <c r="M3182" s="2" t="s">
        <v>16490</v>
      </c>
      <c r="N3182" s="2" t="s">
        <v>16491</v>
      </c>
      <c r="O3182" s="2" t="s">
        <v>16492</v>
      </c>
      <c r="P3182" s="2" t="s">
        <v>15252</v>
      </c>
    </row>
    <row r="3183" ht="15.75" customHeight="1">
      <c r="B3183" s="2" t="s">
        <v>16493</v>
      </c>
      <c r="C3183" s="2" t="s">
        <v>16494</v>
      </c>
      <c r="D3183" s="2" t="s">
        <v>16495</v>
      </c>
      <c r="F3183" s="2" t="s">
        <v>855</v>
      </c>
      <c r="H3183" s="2" t="s">
        <v>16496</v>
      </c>
      <c r="I3183" s="2" t="s">
        <v>6105</v>
      </c>
      <c r="J3183" s="2" t="s">
        <v>6106</v>
      </c>
      <c r="K3183" s="2" t="s">
        <v>861</v>
      </c>
      <c r="L3183" s="2" t="s">
        <v>16497</v>
      </c>
      <c r="M3183" s="2" t="s">
        <v>16498</v>
      </c>
      <c r="N3183" s="2" t="s">
        <v>16499</v>
      </c>
      <c r="O3183" s="2" t="s">
        <v>16500</v>
      </c>
      <c r="P3183" s="2" t="s">
        <v>16501</v>
      </c>
    </row>
    <row r="3184" ht="15.75" customHeight="1">
      <c r="H3184" s="2" t="s">
        <v>16502</v>
      </c>
      <c r="I3184" s="2" t="s">
        <v>5280</v>
      </c>
      <c r="J3184" s="2" t="s">
        <v>5281</v>
      </c>
      <c r="K3184" s="2" t="s">
        <v>1508</v>
      </c>
      <c r="L3184" s="2" t="s">
        <v>16497</v>
      </c>
      <c r="M3184" s="2" t="s">
        <v>16503</v>
      </c>
      <c r="N3184" s="2" t="s">
        <v>16504</v>
      </c>
      <c r="O3184" s="2" t="s">
        <v>16505</v>
      </c>
      <c r="P3184" s="2" t="s">
        <v>16506</v>
      </c>
    </row>
    <row r="3185" ht="15.75" customHeight="1">
      <c r="H3185" s="2" t="s">
        <v>16507</v>
      </c>
      <c r="I3185" s="2" t="s">
        <v>6180</v>
      </c>
      <c r="J3185" s="2" t="s">
        <v>6181</v>
      </c>
      <c r="K3185" s="2" t="s">
        <v>906</v>
      </c>
      <c r="L3185" s="2" t="s">
        <v>16497</v>
      </c>
      <c r="M3185" s="2" t="s">
        <v>16508</v>
      </c>
      <c r="N3185" s="2" t="s">
        <v>16509</v>
      </c>
      <c r="O3185" s="2" t="s">
        <v>16510</v>
      </c>
      <c r="P3185" s="2" t="s">
        <v>16511</v>
      </c>
    </row>
    <row r="3186" ht="15.75" customHeight="1">
      <c r="F3186" s="2" t="s">
        <v>927</v>
      </c>
      <c r="H3186" s="2" t="s">
        <v>16512</v>
      </c>
      <c r="I3186" s="2" t="s">
        <v>6234</v>
      </c>
      <c r="J3186" s="2" t="s">
        <v>6235</v>
      </c>
      <c r="K3186" s="2" t="s">
        <v>947</v>
      </c>
      <c r="L3186" s="2" t="s">
        <v>16497</v>
      </c>
      <c r="M3186" s="2" t="s">
        <v>16513</v>
      </c>
      <c r="N3186" s="2" t="s">
        <v>16514</v>
      </c>
      <c r="O3186" s="2" t="s">
        <v>16515</v>
      </c>
      <c r="P3186" s="2" t="s">
        <v>869</v>
      </c>
    </row>
    <row r="3187" ht="15.75" customHeight="1">
      <c r="F3187" s="2" t="s">
        <v>938</v>
      </c>
      <c r="H3187" s="2" t="s">
        <v>16516</v>
      </c>
      <c r="I3187" s="2" t="s">
        <v>945</v>
      </c>
      <c r="J3187" s="2" t="s">
        <v>946</v>
      </c>
      <c r="K3187" s="2" t="s">
        <v>947</v>
      </c>
      <c r="L3187" s="2" t="s">
        <v>16497</v>
      </c>
      <c r="M3187" s="2" t="s">
        <v>16517</v>
      </c>
      <c r="N3187" s="2" t="s">
        <v>16518</v>
      </c>
      <c r="O3187" s="2" t="s">
        <v>16519</v>
      </c>
      <c r="P3187" s="2" t="s">
        <v>16520</v>
      </c>
    </row>
    <row r="3188" ht="15.75" customHeight="1">
      <c r="F3188" s="2" t="s">
        <v>19</v>
      </c>
      <c r="H3188" s="2" t="s">
        <v>16521</v>
      </c>
      <c r="I3188" s="2" t="s">
        <v>21</v>
      </c>
      <c r="J3188" s="2" t="s">
        <v>22</v>
      </c>
      <c r="K3188" s="2" t="s">
        <v>865</v>
      </c>
      <c r="L3188" s="2" t="s">
        <v>16522</v>
      </c>
      <c r="M3188" s="2" t="s">
        <v>16523</v>
      </c>
      <c r="N3188" s="2" t="s">
        <v>16524</v>
      </c>
      <c r="O3188" s="2" t="s">
        <v>16525</v>
      </c>
      <c r="P3188" s="2" t="s">
        <v>16526</v>
      </c>
    </row>
    <row r="3189" ht="15.75" customHeight="1">
      <c r="H3189" s="2" t="s">
        <v>16527</v>
      </c>
      <c r="I3189" s="2" t="s">
        <v>16528</v>
      </c>
      <c r="J3189" s="2" t="s">
        <v>16529</v>
      </c>
      <c r="K3189" s="2" t="s">
        <v>16530</v>
      </c>
      <c r="L3189" s="2" t="s">
        <v>16497</v>
      </c>
      <c r="M3189" s="2" t="s">
        <v>16531</v>
      </c>
      <c r="N3189" s="2" t="s">
        <v>16532</v>
      </c>
      <c r="O3189" s="2" t="s">
        <v>16533</v>
      </c>
      <c r="P3189" s="2" t="s">
        <v>16534</v>
      </c>
    </row>
    <row r="3190" ht="15.75" customHeight="1">
      <c r="H3190" s="2" t="s">
        <v>16535</v>
      </c>
      <c r="I3190" s="2" t="s">
        <v>16536</v>
      </c>
      <c r="J3190" s="2" t="s">
        <v>16537</v>
      </c>
      <c r="K3190" s="2" t="s">
        <v>1193</v>
      </c>
      <c r="L3190" s="2" t="s">
        <v>16497</v>
      </c>
      <c r="M3190" s="2" t="s">
        <v>16538</v>
      </c>
      <c r="N3190" s="2" t="s">
        <v>16539</v>
      </c>
      <c r="O3190" s="2" t="s">
        <v>16540</v>
      </c>
      <c r="P3190" s="2" t="s">
        <v>16541</v>
      </c>
    </row>
    <row r="3191" ht="15.75" customHeight="1">
      <c r="F3191" s="2" t="s">
        <v>1052</v>
      </c>
      <c r="H3191" s="2" t="s">
        <v>16542</v>
      </c>
      <c r="I3191" s="2" t="s">
        <v>1054</v>
      </c>
      <c r="J3191" s="2" t="s">
        <v>1055</v>
      </c>
      <c r="K3191" s="2" t="s">
        <v>853</v>
      </c>
      <c r="L3191" s="2" t="s">
        <v>16497</v>
      </c>
      <c r="M3191" s="2" t="s">
        <v>16543</v>
      </c>
      <c r="N3191" s="2" t="s">
        <v>16544</v>
      </c>
      <c r="O3191" s="2" t="s">
        <v>16545</v>
      </c>
      <c r="P3191" s="2" t="s">
        <v>16546</v>
      </c>
    </row>
    <row r="3192" ht="15.75" customHeight="1">
      <c r="H3192" s="2" t="s">
        <v>16547</v>
      </c>
      <c r="I3192" s="2" t="s">
        <v>16548</v>
      </c>
      <c r="J3192" s="2" t="s">
        <v>16549</v>
      </c>
      <c r="K3192" s="2" t="s">
        <v>17</v>
      </c>
      <c r="L3192" s="2" t="s">
        <v>16497</v>
      </c>
      <c r="M3192" s="2" t="s">
        <v>16550</v>
      </c>
      <c r="N3192" s="2" t="s">
        <v>16551</v>
      </c>
      <c r="O3192" s="2" t="s">
        <v>16552</v>
      </c>
      <c r="P3192" s="2" t="s">
        <v>869</v>
      </c>
    </row>
    <row r="3193" ht="15.75" customHeight="1">
      <c r="H3193" s="2" t="s">
        <v>16553</v>
      </c>
      <c r="I3193" s="2" t="s">
        <v>16554</v>
      </c>
      <c r="J3193" s="2" t="s">
        <v>16555</v>
      </c>
      <c r="L3193" s="2" t="s">
        <v>16497</v>
      </c>
      <c r="M3193" s="2" t="s">
        <v>16556</v>
      </c>
      <c r="N3193" s="2" t="s">
        <v>16557</v>
      </c>
      <c r="O3193" s="2" t="s">
        <v>16558</v>
      </c>
      <c r="P3193" s="2" t="s">
        <v>869</v>
      </c>
    </row>
    <row r="3194" ht="15.75" customHeight="1">
      <c r="H3194" s="2" t="s">
        <v>16559</v>
      </c>
      <c r="I3194" s="2" t="s">
        <v>1090</v>
      </c>
      <c r="J3194" s="2" t="s">
        <v>1091</v>
      </c>
      <c r="L3194" s="2" t="s">
        <v>16497</v>
      </c>
      <c r="M3194" s="2" t="s">
        <v>16560</v>
      </c>
      <c r="N3194" s="2" t="s">
        <v>16561</v>
      </c>
      <c r="O3194" s="2" t="s">
        <v>16562</v>
      </c>
      <c r="P3194" s="2" t="s">
        <v>869</v>
      </c>
    </row>
    <row r="3195" ht="15.75" customHeight="1">
      <c r="F3195" s="2" t="s">
        <v>29</v>
      </c>
      <c r="H3195" s="2" t="s">
        <v>16563</v>
      </c>
      <c r="I3195" s="2" t="s">
        <v>31</v>
      </c>
      <c r="J3195" s="2" t="s">
        <v>32</v>
      </c>
      <c r="K3195" s="2" t="s">
        <v>874</v>
      </c>
      <c r="L3195" s="2" t="s">
        <v>16564</v>
      </c>
      <c r="M3195" s="2" t="s">
        <v>16565</v>
      </c>
      <c r="N3195" s="2" t="s">
        <v>16566</v>
      </c>
      <c r="O3195" s="2" t="s">
        <v>16567</v>
      </c>
      <c r="P3195" s="2" t="s">
        <v>16568</v>
      </c>
    </row>
    <row r="3196" ht="15.75" customHeight="1">
      <c r="H3196" s="2" t="s">
        <v>16569</v>
      </c>
      <c r="I3196" s="2" t="s">
        <v>16570</v>
      </c>
      <c r="J3196" s="2" t="s">
        <v>16571</v>
      </c>
      <c r="K3196" s="2" t="s">
        <v>958</v>
      </c>
      <c r="L3196" s="2" t="s">
        <v>16497</v>
      </c>
      <c r="M3196" s="2" t="s">
        <v>16572</v>
      </c>
      <c r="N3196" s="2" t="s">
        <v>16573</v>
      </c>
      <c r="O3196" s="2" t="s">
        <v>16574</v>
      </c>
      <c r="P3196" s="2" t="s">
        <v>16575</v>
      </c>
    </row>
    <row r="3197" ht="15.75" customHeight="1">
      <c r="H3197" s="2" t="s">
        <v>16576</v>
      </c>
      <c r="I3197" s="2" t="s">
        <v>16577</v>
      </c>
      <c r="J3197" s="2" t="s">
        <v>16578</v>
      </c>
      <c r="K3197" s="2" t="s">
        <v>283</v>
      </c>
      <c r="L3197" s="2" t="s">
        <v>16497</v>
      </c>
      <c r="M3197" s="2" t="s">
        <v>16579</v>
      </c>
      <c r="N3197" s="2" t="s">
        <v>16580</v>
      </c>
      <c r="O3197" s="2" t="s">
        <v>16581</v>
      </c>
      <c r="P3197" s="2" t="s">
        <v>16582</v>
      </c>
    </row>
    <row r="3198" ht="15.75" customHeight="1">
      <c r="H3198" s="2" t="s">
        <v>16583</v>
      </c>
      <c r="I3198" s="2" t="s">
        <v>16584</v>
      </c>
      <c r="J3198" s="2" t="s">
        <v>16585</v>
      </c>
      <c r="K3198" s="2" t="s">
        <v>16586</v>
      </c>
      <c r="L3198" s="2" t="s">
        <v>16497</v>
      </c>
      <c r="M3198" s="2" t="s">
        <v>16587</v>
      </c>
      <c r="N3198" s="2" t="s">
        <v>16588</v>
      </c>
      <c r="O3198" s="2" t="s">
        <v>16589</v>
      </c>
      <c r="P3198" s="2" t="s">
        <v>869</v>
      </c>
    </row>
    <row r="3199" ht="15.75" customHeight="1">
      <c r="H3199" s="2" t="s">
        <v>16590</v>
      </c>
      <c r="I3199" s="2" t="s">
        <v>16591</v>
      </c>
      <c r="J3199" s="2" t="s">
        <v>16592</v>
      </c>
      <c r="K3199" s="2" t="s">
        <v>16593</v>
      </c>
      <c r="L3199" s="2" t="s">
        <v>16497</v>
      </c>
      <c r="M3199" s="2" t="s">
        <v>16594</v>
      </c>
      <c r="N3199" s="2" t="s">
        <v>16595</v>
      </c>
      <c r="O3199" s="2" t="s">
        <v>16596</v>
      </c>
      <c r="P3199" s="2" t="s">
        <v>869</v>
      </c>
    </row>
    <row r="3200" ht="15.75" customHeight="1">
      <c r="H3200" s="2" t="s">
        <v>16597</v>
      </c>
      <c r="I3200" s="2" t="s">
        <v>16598</v>
      </c>
      <c r="J3200" s="2" t="s">
        <v>16599</v>
      </c>
      <c r="K3200" s="2" t="s">
        <v>4786</v>
      </c>
      <c r="L3200" s="2" t="s">
        <v>16497</v>
      </c>
      <c r="M3200" s="2" t="s">
        <v>16600</v>
      </c>
      <c r="N3200" s="2" t="s">
        <v>16601</v>
      </c>
      <c r="O3200" s="2" t="s">
        <v>16602</v>
      </c>
      <c r="P3200" s="2" t="s">
        <v>869</v>
      </c>
    </row>
    <row r="3201" ht="15.75" customHeight="1">
      <c r="H3201" s="2" t="s">
        <v>16603</v>
      </c>
      <c r="I3201" s="2" t="s">
        <v>16604</v>
      </c>
      <c r="J3201" s="2" t="s">
        <v>16605</v>
      </c>
      <c r="K3201" s="2" t="s">
        <v>16606</v>
      </c>
      <c r="L3201" s="2" t="s">
        <v>16497</v>
      </c>
      <c r="M3201" s="2" t="s">
        <v>16607</v>
      </c>
      <c r="N3201" s="2" t="s">
        <v>16608</v>
      </c>
      <c r="O3201" s="2" t="s">
        <v>16609</v>
      </c>
      <c r="P3201" s="2" t="s">
        <v>869</v>
      </c>
    </row>
    <row r="3202" ht="15.75" customHeight="1">
      <c r="H3202" s="2" t="s">
        <v>16610</v>
      </c>
      <c r="I3202" s="2" t="s">
        <v>16611</v>
      </c>
      <c r="J3202" s="2" t="s">
        <v>16612</v>
      </c>
      <c r="K3202" s="2" t="s">
        <v>1412</v>
      </c>
    </row>
    <row r="3203" ht="15.75" customHeight="1">
      <c r="F3203" s="2" t="s">
        <v>39</v>
      </c>
      <c r="H3203" s="2" t="s">
        <v>16613</v>
      </c>
      <c r="I3203" s="2" t="s">
        <v>5296</v>
      </c>
      <c r="J3203" s="2" t="s">
        <v>5297</v>
      </c>
      <c r="K3203" s="2" t="s">
        <v>5298</v>
      </c>
      <c r="L3203" s="2" t="s">
        <v>16497</v>
      </c>
      <c r="M3203" s="2" t="s">
        <v>16614</v>
      </c>
      <c r="N3203" s="2" t="s">
        <v>16615</v>
      </c>
      <c r="O3203" s="2" t="s">
        <v>16616</v>
      </c>
      <c r="P3203" s="2" t="s">
        <v>869</v>
      </c>
    </row>
    <row r="3204" ht="15.75" customHeight="1">
      <c r="H3204" s="2" t="s">
        <v>16617</v>
      </c>
      <c r="I3204" s="2" t="s">
        <v>41</v>
      </c>
      <c r="J3204" s="2" t="s">
        <v>42</v>
      </c>
      <c r="K3204" s="2" t="s">
        <v>853</v>
      </c>
      <c r="L3204" s="2" t="s">
        <v>16497</v>
      </c>
      <c r="M3204" s="2" t="s">
        <v>16618</v>
      </c>
      <c r="N3204" s="2" t="s">
        <v>16619</v>
      </c>
      <c r="O3204" s="2" t="s">
        <v>16620</v>
      </c>
      <c r="P3204" s="2" t="s">
        <v>16621</v>
      </c>
    </row>
    <row r="3205" ht="15.75" customHeight="1">
      <c r="H3205" s="2" t="s">
        <v>16622</v>
      </c>
      <c r="I3205" s="2" t="s">
        <v>1276</v>
      </c>
      <c r="J3205" s="2" t="s">
        <v>1277</v>
      </c>
      <c r="K3205" s="2" t="s">
        <v>280</v>
      </c>
      <c r="L3205" s="2" t="s">
        <v>16497</v>
      </c>
      <c r="M3205" s="2" t="s">
        <v>6651</v>
      </c>
      <c r="N3205" s="2" t="s">
        <v>16623</v>
      </c>
      <c r="O3205" s="2" t="s">
        <v>16624</v>
      </c>
      <c r="P3205" s="2" t="s">
        <v>16625</v>
      </c>
    </row>
    <row r="3206" ht="15.75" customHeight="1">
      <c r="H3206" s="2" t="s">
        <v>16626</v>
      </c>
      <c r="I3206" s="2" t="s">
        <v>49</v>
      </c>
      <c r="J3206" s="2" t="s">
        <v>50</v>
      </c>
      <c r="K3206" s="2" t="s">
        <v>1117</v>
      </c>
      <c r="L3206" s="2" t="s">
        <v>16497</v>
      </c>
      <c r="M3206" s="2" t="s">
        <v>16627</v>
      </c>
      <c r="N3206" s="2" t="s">
        <v>16628</v>
      </c>
      <c r="O3206" s="2" t="s">
        <v>16629</v>
      </c>
      <c r="P3206" s="2" t="s">
        <v>16630</v>
      </c>
    </row>
    <row r="3207" ht="15.75" customHeight="1">
      <c r="H3207" s="2" t="s">
        <v>16631</v>
      </c>
      <c r="I3207" s="2" t="s">
        <v>1306</v>
      </c>
      <c r="J3207" s="2" t="s">
        <v>1307</v>
      </c>
      <c r="L3207" s="2" t="s">
        <v>16497</v>
      </c>
      <c r="M3207" s="2" t="s">
        <v>16632</v>
      </c>
      <c r="N3207" s="2" t="s">
        <v>16633</v>
      </c>
      <c r="O3207" s="2" t="s">
        <v>16634</v>
      </c>
      <c r="P3207" s="2" t="s">
        <v>869</v>
      </c>
    </row>
    <row r="3208" ht="15.75" customHeight="1">
      <c r="H3208" s="2" t="s">
        <v>16635</v>
      </c>
      <c r="I3208" s="2" t="s">
        <v>1317</v>
      </c>
      <c r="J3208" s="2" t="s">
        <v>1318</v>
      </c>
      <c r="K3208" s="2" t="s">
        <v>1319</v>
      </c>
      <c r="L3208" s="2" t="s">
        <v>16497</v>
      </c>
      <c r="M3208" s="2" t="s">
        <v>16636</v>
      </c>
      <c r="N3208" s="2" t="s">
        <v>16637</v>
      </c>
      <c r="O3208" s="2" t="s">
        <v>16638</v>
      </c>
      <c r="P3208" s="2" t="s">
        <v>869</v>
      </c>
    </row>
    <row r="3209" ht="15.75" customHeight="1">
      <c r="F3209" s="2" t="s">
        <v>56</v>
      </c>
      <c r="H3209" s="2" t="s">
        <v>16639</v>
      </c>
      <c r="I3209" s="2" t="s">
        <v>58</v>
      </c>
      <c r="J3209" s="2" t="s">
        <v>59</v>
      </c>
      <c r="K3209" s="2" t="s">
        <v>1878</v>
      </c>
      <c r="L3209" s="2" t="s">
        <v>16497</v>
      </c>
      <c r="M3209" s="2" t="s">
        <v>16640</v>
      </c>
      <c r="N3209" s="2" t="s">
        <v>16641</v>
      </c>
      <c r="O3209" s="2" t="s">
        <v>16642</v>
      </c>
      <c r="P3209" s="2" t="s">
        <v>16643</v>
      </c>
    </row>
    <row r="3210" ht="15.75" customHeight="1">
      <c r="H3210" s="2" t="s">
        <v>16644</v>
      </c>
      <c r="I3210" s="2" t="s">
        <v>6831</v>
      </c>
      <c r="J3210" s="2" t="s">
        <v>6832</v>
      </c>
      <c r="K3210" s="2" t="s">
        <v>886</v>
      </c>
      <c r="L3210" s="2" t="s">
        <v>16497</v>
      </c>
      <c r="M3210" s="2" t="s">
        <v>16645</v>
      </c>
      <c r="N3210" s="2" t="s">
        <v>16646</v>
      </c>
      <c r="O3210" s="2" t="s">
        <v>16647</v>
      </c>
      <c r="P3210" s="2" t="s">
        <v>869</v>
      </c>
    </row>
    <row r="3211" ht="15.75" customHeight="1">
      <c r="H3211" s="2" t="s">
        <v>16648</v>
      </c>
      <c r="I3211" s="2" t="s">
        <v>1382</v>
      </c>
      <c r="J3211" s="2" t="s">
        <v>1383</v>
      </c>
      <c r="K3211" s="2" t="s">
        <v>1136</v>
      </c>
      <c r="L3211" s="2" t="s">
        <v>16497</v>
      </c>
      <c r="M3211" s="2" t="s">
        <v>16649</v>
      </c>
      <c r="N3211" s="2" t="s">
        <v>16650</v>
      </c>
      <c r="O3211" s="2" t="s">
        <v>16651</v>
      </c>
      <c r="P3211" s="2" t="s">
        <v>869</v>
      </c>
    </row>
    <row r="3212" ht="15.75" customHeight="1">
      <c r="H3212" s="2" t="s">
        <v>16652</v>
      </c>
      <c r="I3212" s="2" t="s">
        <v>16653</v>
      </c>
      <c r="J3212" s="2" t="s">
        <v>16654</v>
      </c>
      <c r="K3212" s="2" t="s">
        <v>1567</v>
      </c>
      <c r="L3212" s="2" t="s">
        <v>16497</v>
      </c>
      <c r="M3212" s="2" t="s">
        <v>16655</v>
      </c>
      <c r="N3212" s="2" t="s">
        <v>16656</v>
      </c>
      <c r="O3212" s="2" t="s">
        <v>16657</v>
      </c>
      <c r="P3212" s="2" t="s">
        <v>869</v>
      </c>
    </row>
    <row r="3213" ht="15.75" customHeight="1">
      <c r="H3213" s="2" t="s">
        <v>16658</v>
      </c>
      <c r="I3213" s="2" t="s">
        <v>16659</v>
      </c>
      <c r="J3213" s="2" t="s">
        <v>16660</v>
      </c>
      <c r="L3213" s="2" t="s">
        <v>16497</v>
      </c>
      <c r="M3213" s="2" t="s">
        <v>16661</v>
      </c>
      <c r="N3213" s="2" t="s">
        <v>16662</v>
      </c>
      <c r="O3213" s="2" t="s">
        <v>16663</v>
      </c>
      <c r="P3213" s="2" t="s">
        <v>869</v>
      </c>
    </row>
    <row r="3214" ht="15.75" customHeight="1">
      <c r="F3214" s="2" t="s">
        <v>65</v>
      </c>
      <c r="H3214" s="2" t="s">
        <v>16664</v>
      </c>
      <c r="I3214" s="2" t="s">
        <v>67</v>
      </c>
      <c r="J3214" s="2" t="s">
        <v>68</v>
      </c>
      <c r="K3214" s="2" t="s">
        <v>280</v>
      </c>
      <c r="L3214" s="2" t="s">
        <v>16665</v>
      </c>
      <c r="M3214" s="2" t="s">
        <v>16666</v>
      </c>
      <c r="N3214" s="2" t="s">
        <v>16667</v>
      </c>
      <c r="O3214" s="2" t="s">
        <v>16668</v>
      </c>
      <c r="P3214" s="2" t="s">
        <v>16669</v>
      </c>
    </row>
    <row r="3215" ht="15.75" customHeight="1">
      <c r="H3215" s="2" t="s">
        <v>16670</v>
      </c>
      <c r="I3215" s="2" t="s">
        <v>1496</v>
      </c>
      <c r="J3215" s="2" t="s">
        <v>1497</v>
      </c>
      <c r="K3215" s="2" t="s">
        <v>1136</v>
      </c>
      <c r="L3215" s="2" t="s">
        <v>16497</v>
      </c>
      <c r="M3215" s="2" t="s">
        <v>16671</v>
      </c>
      <c r="N3215" s="2" t="s">
        <v>16672</v>
      </c>
      <c r="O3215" s="2" t="s">
        <v>16673</v>
      </c>
      <c r="P3215" s="2" t="s">
        <v>16674</v>
      </c>
    </row>
    <row r="3216" ht="15.75" customHeight="1">
      <c r="H3216" s="2" t="s">
        <v>16675</v>
      </c>
      <c r="I3216" s="2" t="s">
        <v>1506</v>
      </c>
      <c r="J3216" s="2" t="s">
        <v>1507</v>
      </c>
      <c r="K3216" s="2" t="s">
        <v>1508</v>
      </c>
      <c r="L3216" s="2" t="s">
        <v>16497</v>
      </c>
      <c r="M3216" s="2" t="s">
        <v>16676</v>
      </c>
      <c r="N3216" s="2" t="s">
        <v>16677</v>
      </c>
      <c r="O3216" s="2" t="s">
        <v>16678</v>
      </c>
      <c r="P3216" s="2" t="s">
        <v>869</v>
      </c>
    </row>
    <row r="3217" ht="15.75" customHeight="1">
      <c r="F3217" s="2" t="s">
        <v>74</v>
      </c>
      <c r="H3217" s="2" t="s">
        <v>16679</v>
      </c>
      <c r="I3217" s="2" t="s">
        <v>76</v>
      </c>
      <c r="J3217" s="2" t="s">
        <v>77</v>
      </c>
      <c r="K3217" s="2" t="s">
        <v>947</v>
      </c>
      <c r="L3217" s="2" t="s">
        <v>16680</v>
      </c>
      <c r="M3217" s="2" t="s">
        <v>16681</v>
      </c>
      <c r="N3217" s="2" t="s">
        <v>16682</v>
      </c>
      <c r="O3217" s="2" t="s">
        <v>16683</v>
      </c>
      <c r="P3217" s="2" t="s">
        <v>16684</v>
      </c>
    </row>
    <row r="3218" ht="15.75" customHeight="1">
      <c r="H3218" s="2" t="s">
        <v>16685</v>
      </c>
      <c r="I3218" s="2" t="s">
        <v>85</v>
      </c>
      <c r="J3218" s="2" t="s">
        <v>86</v>
      </c>
      <c r="K3218" s="2" t="s">
        <v>1368</v>
      </c>
      <c r="L3218" s="2" t="s">
        <v>16686</v>
      </c>
      <c r="M3218" s="2" t="s">
        <v>16687</v>
      </c>
      <c r="N3218" s="2" t="s">
        <v>16688</v>
      </c>
      <c r="O3218" s="2" t="s">
        <v>16689</v>
      </c>
      <c r="P3218" s="2" t="s">
        <v>869</v>
      </c>
    </row>
    <row r="3219" ht="15.75" customHeight="1">
      <c r="H3219" s="2" t="s">
        <v>16690</v>
      </c>
      <c r="I3219" s="2" t="s">
        <v>6964</v>
      </c>
      <c r="J3219" s="2" t="s">
        <v>6965</v>
      </c>
      <c r="L3219" s="2" t="s">
        <v>16497</v>
      </c>
      <c r="M3219" s="2" t="s">
        <v>16691</v>
      </c>
      <c r="N3219" s="2" t="s">
        <v>16692</v>
      </c>
      <c r="O3219" s="2" t="s">
        <v>16693</v>
      </c>
      <c r="P3219" s="2" t="s">
        <v>869</v>
      </c>
    </row>
    <row r="3220" ht="15.75" customHeight="1">
      <c r="H3220" s="2" t="s">
        <v>16694</v>
      </c>
      <c r="I3220" s="2" t="s">
        <v>93</v>
      </c>
      <c r="J3220" s="2" t="s">
        <v>94</v>
      </c>
      <c r="L3220" s="2" t="s">
        <v>16497</v>
      </c>
      <c r="M3220" s="2" t="s">
        <v>16695</v>
      </c>
      <c r="N3220" s="2" t="s">
        <v>16696</v>
      </c>
      <c r="O3220" s="2" t="s">
        <v>16697</v>
      </c>
      <c r="P3220" s="2" t="s">
        <v>869</v>
      </c>
    </row>
    <row r="3221" ht="15.75" customHeight="1">
      <c r="H3221" s="2" t="s">
        <v>16698</v>
      </c>
      <c r="I3221" s="2" t="s">
        <v>15137</v>
      </c>
      <c r="J3221" s="2" t="s">
        <v>15138</v>
      </c>
      <c r="K3221" s="2" t="s">
        <v>1508</v>
      </c>
      <c r="L3221" s="2" t="s">
        <v>16497</v>
      </c>
      <c r="M3221" s="2" t="s">
        <v>16699</v>
      </c>
      <c r="N3221" s="2" t="s">
        <v>16700</v>
      </c>
      <c r="O3221" s="2" t="s">
        <v>16701</v>
      </c>
      <c r="P3221" s="2" t="s">
        <v>869</v>
      </c>
    </row>
    <row r="3222" ht="15.75" customHeight="1">
      <c r="H3222" s="2" t="s">
        <v>16702</v>
      </c>
      <c r="I3222" s="2" t="s">
        <v>101</v>
      </c>
      <c r="J3222" s="2" t="s">
        <v>102</v>
      </c>
      <c r="K3222" s="2" t="s">
        <v>900</v>
      </c>
      <c r="L3222" s="2" t="s">
        <v>16497</v>
      </c>
      <c r="M3222" s="2" t="s">
        <v>16703</v>
      </c>
      <c r="N3222" s="2" t="s">
        <v>16704</v>
      </c>
      <c r="O3222" s="2" t="s">
        <v>16705</v>
      </c>
      <c r="P3222" s="2" t="s">
        <v>869</v>
      </c>
    </row>
    <row r="3223" ht="15.75" customHeight="1">
      <c r="H3223" s="2" t="s">
        <v>16706</v>
      </c>
      <c r="I3223" s="2" t="s">
        <v>16707</v>
      </c>
      <c r="J3223" s="2" t="s">
        <v>16708</v>
      </c>
      <c r="K3223" s="2" t="s">
        <v>1145</v>
      </c>
      <c r="L3223" s="2" t="s">
        <v>16497</v>
      </c>
      <c r="M3223" s="2" t="s">
        <v>16709</v>
      </c>
      <c r="N3223" s="2" t="s">
        <v>16710</v>
      </c>
      <c r="O3223" s="2" t="s">
        <v>16711</v>
      </c>
      <c r="P3223" s="2" t="s">
        <v>869</v>
      </c>
    </row>
    <row r="3224" ht="15.75" customHeight="1">
      <c r="H3224" s="2" t="s">
        <v>16712</v>
      </c>
      <c r="I3224" s="2" t="s">
        <v>16713</v>
      </c>
      <c r="J3224" s="2" t="s">
        <v>16714</v>
      </c>
      <c r="K3224" s="2" t="s">
        <v>16715</v>
      </c>
      <c r="L3224" s="2" t="s">
        <v>16497</v>
      </c>
      <c r="M3224" s="2" t="s">
        <v>16716</v>
      </c>
      <c r="N3224" s="2" t="s">
        <v>16717</v>
      </c>
      <c r="O3224" s="2" t="s">
        <v>16718</v>
      </c>
      <c r="P3224" s="2" t="s">
        <v>869</v>
      </c>
    </row>
    <row r="3225" ht="15.75" customHeight="1">
      <c r="H3225" s="2" t="s">
        <v>16719</v>
      </c>
      <c r="I3225" s="2" t="s">
        <v>117</v>
      </c>
      <c r="J3225" s="2" t="s">
        <v>118</v>
      </c>
      <c r="K3225" s="2" t="s">
        <v>1424</v>
      </c>
      <c r="L3225" s="2" t="s">
        <v>16497</v>
      </c>
      <c r="M3225" s="2" t="s">
        <v>16720</v>
      </c>
      <c r="N3225" s="2" t="s">
        <v>16721</v>
      </c>
      <c r="O3225" s="2" t="s">
        <v>16722</v>
      </c>
      <c r="P3225" s="2" t="s">
        <v>869</v>
      </c>
    </row>
    <row r="3226" ht="15.75" customHeight="1">
      <c r="H3226" s="2" t="s">
        <v>16723</v>
      </c>
      <c r="I3226" s="2" t="s">
        <v>1573</v>
      </c>
      <c r="J3226" s="2" t="s">
        <v>1574</v>
      </c>
      <c r="K3226" s="2" t="s">
        <v>1157</v>
      </c>
      <c r="L3226" s="2" t="s">
        <v>16497</v>
      </c>
      <c r="M3226" s="2" t="s">
        <v>16724</v>
      </c>
      <c r="N3226" s="2" t="s">
        <v>16725</v>
      </c>
      <c r="O3226" s="2" t="s">
        <v>16726</v>
      </c>
      <c r="P3226" s="2" t="s">
        <v>869</v>
      </c>
    </row>
    <row r="3227" ht="15.75" customHeight="1">
      <c r="H3227" s="2" t="s">
        <v>16727</v>
      </c>
      <c r="I3227" s="2" t="s">
        <v>1000</v>
      </c>
      <c r="J3227" s="2" t="s">
        <v>1001</v>
      </c>
      <c r="K3227" s="2" t="s">
        <v>4429</v>
      </c>
      <c r="L3227" s="2" t="s">
        <v>16497</v>
      </c>
      <c r="M3227" s="2" t="s">
        <v>16728</v>
      </c>
      <c r="N3227" s="2" t="s">
        <v>16729</v>
      </c>
      <c r="O3227" s="2" t="s">
        <v>16730</v>
      </c>
      <c r="P3227" s="2" t="s">
        <v>869</v>
      </c>
    </row>
    <row r="3228" ht="15.75" customHeight="1">
      <c r="H3228" s="2" t="s">
        <v>16731</v>
      </c>
      <c r="I3228" s="2" t="s">
        <v>142</v>
      </c>
      <c r="J3228" s="2" t="s">
        <v>143</v>
      </c>
      <c r="K3228" s="2" t="s">
        <v>1205</v>
      </c>
      <c r="L3228" s="2" t="s">
        <v>16497</v>
      </c>
      <c r="M3228" s="2" t="s">
        <v>16732</v>
      </c>
      <c r="N3228" s="2" t="s">
        <v>16733</v>
      </c>
      <c r="O3228" s="2" t="s">
        <v>16734</v>
      </c>
      <c r="P3228" s="2" t="s">
        <v>16735</v>
      </c>
    </row>
    <row r="3229" ht="15.75" customHeight="1">
      <c r="H3229" s="2" t="s">
        <v>16736</v>
      </c>
      <c r="I3229" s="2" t="s">
        <v>7081</v>
      </c>
      <c r="J3229" s="2" t="s">
        <v>7082</v>
      </c>
      <c r="K3229" s="2" t="s">
        <v>1217</v>
      </c>
      <c r="L3229" s="2" t="s">
        <v>16497</v>
      </c>
      <c r="M3229" s="2" t="s">
        <v>16737</v>
      </c>
      <c r="N3229" s="2" t="s">
        <v>16738</v>
      </c>
      <c r="O3229" s="2" t="s">
        <v>16739</v>
      </c>
      <c r="P3229" s="2" t="s">
        <v>16740</v>
      </c>
    </row>
    <row r="3230" ht="15.75" customHeight="1">
      <c r="H3230" s="2" t="s">
        <v>16741</v>
      </c>
      <c r="I3230" s="2" t="s">
        <v>1663</v>
      </c>
      <c r="J3230" s="2" t="s">
        <v>1664</v>
      </c>
      <c r="L3230" s="2" t="s">
        <v>16497</v>
      </c>
      <c r="M3230" s="2" t="s">
        <v>16742</v>
      </c>
      <c r="N3230" s="2" t="s">
        <v>16743</v>
      </c>
      <c r="O3230" s="2" t="s">
        <v>16744</v>
      </c>
      <c r="P3230" s="2" t="s">
        <v>869</v>
      </c>
    </row>
    <row r="3231" ht="15.75" customHeight="1">
      <c r="H3231" s="2" t="s">
        <v>16745</v>
      </c>
      <c r="I3231" s="2" t="s">
        <v>159</v>
      </c>
      <c r="J3231" s="2" t="s">
        <v>160</v>
      </c>
      <c r="K3231" s="2" t="s">
        <v>1264</v>
      </c>
      <c r="L3231" s="2" t="s">
        <v>16497</v>
      </c>
      <c r="M3231" s="2" t="s">
        <v>16746</v>
      </c>
      <c r="N3231" s="2" t="s">
        <v>16747</v>
      </c>
      <c r="O3231" s="2" t="s">
        <v>16748</v>
      </c>
      <c r="P3231" s="2" t="s">
        <v>16749</v>
      </c>
    </row>
    <row r="3232" ht="15.75" customHeight="1">
      <c r="H3232" s="2" t="s">
        <v>16750</v>
      </c>
      <c r="I3232" s="2" t="s">
        <v>167</v>
      </c>
      <c r="J3232" s="2" t="s">
        <v>168</v>
      </c>
      <c r="K3232" s="2" t="s">
        <v>1692</v>
      </c>
      <c r="L3232" s="2" t="s">
        <v>16751</v>
      </c>
      <c r="M3232" s="2" t="s">
        <v>16752</v>
      </c>
      <c r="N3232" s="2" t="s">
        <v>16753</v>
      </c>
      <c r="O3232" s="2" t="s">
        <v>16754</v>
      </c>
      <c r="P3232" s="2" t="s">
        <v>16755</v>
      </c>
    </row>
    <row r="3233" ht="15.75" customHeight="1">
      <c r="H3233" s="2" t="s">
        <v>16756</v>
      </c>
      <c r="I3233" s="2" t="s">
        <v>2262</v>
      </c>
      <c r="J3233" s="2" t="s">
        <v>2263</v>
      </c>
      <c r="L3233" s="2" t="s">
        <v>16497</v>
      </c>
      <c r="M3233" s="2" t="s">
        <v>16757</v>
      </c>
      <c r="N3233" s="2" t="s">
        <v>16758</v>
      </c>
      <c r="O3233" s="2" t="s">
        <v>16759</v>
      </c>
      <c r="P3233" s="2" t="s">
        <v>869</v>
      </c>
    </row>
    <row r="3234" ht="15.75" customHeight="1">
      <c r="H3234" s="2" t="s">
        <v>16760</v>
      </c>
      <c r="I3234" s="2" t="s">
        <v>7129</v>
      </c>
      <c r="J3234" s="2" t="s">
        <v>7130</v>
      </c>
      <c r="K3234" s="2" t="s">
        <v>1704</v>
      </c>
      <c r="L3234" s="2" t="s">
        <v>16497</v>
      </c>
      <c r="M3234" s="2" t="s">
        <v>16761</v>
      </c>
      <c r="N3234" s="2" t="s">
        <v>16762</v>
      </c>
      <c r="O3234" s="2" t="s">
        <v>16763</v>
      </c>
      <c r="P3234" s="2" t="s">
        <v>869</v>
      </c>
    </row>
    <row r="3235" ht="15.75" customHeight="1">
      <c r="H3235" s="2" t="s">
        <v>16764</v>
      </c>
      <c r="I3235" s="2" t="s">
        <v>176</v>
      </c>
      <c r="J3235" s="2" t="s">
        <v>177</v>
      </c>
      <c r="K3235" s="2" t="s">
        <v>1708</v>
      </c>
      <c r="L3235" s="2" t="s">
        <v>16765</v>
      </c>
      <c r="M3235" s="2" t="s">
        <v>16766</v>
      </c>
      <c r="N3235" s="2" t="s">
        <v>16767</v>
      </c>
      <c r="O3235" s="2" t="s">
        <v>16768</v>
      </c>
      <c r="P3235" s="2" t="s">
        <v>16769</v>
      </c>
    </row>
    <row r="3236" ht="15.75" customHeight="1">
      <c r="H3236" s="2" t="s">
        <v>16770</v>
      </c>
      <c r="I3236" s="2" t="s">
        <v>193</v>
      </c>
      <c r="J3236" s="2" t="s">
        <v>194</v>
      </c>
      <c r="K3236" s="2" t="s">
        <v>2322</v>
      </c>
      <c r="L3236" s="2" t="s">
        <v>16497</v>
      </c>
      <c r="M3236" s="2" t="s">
        <v>16771</v>
      </c>
      <c r="N3236" s="2" t="s">
        <v>16772</v>
      </c>
      <c r="O3236" s="2" t="s">
        <v>16773</v>
      </c>
      <c r="P3236" s="2" t="s">
        <v>869</v>
      </c>
    </row>
    <row r="3237" ht="15.75" customHeight="1">
      <c r="H3237" s="2" t="s">
        <v>16774</v>
      </c>
      <c r="I3237" s="2" t="s">
        <v>16775</v>
      </c>
      <c r="J3237" s="2" t="s">
        <v>16776</v>
      </c>
      <c r="K3237" s="2" t="s">
        <v>16777</v>
      </c>
      <c r="L3237" s="2" t="s">
        <v>16497</v>
      </c>
      <c r="M3237" s="2" t="s">
        <v>16778</v>
      </c>
      <c r="N3237" s="2" t="s">
        <v>16779</v>
      </c>
      <c r="O3237" s="2" t="s">
        <v>16780</v>
      </c>
      <c r="P3237" s="2" t="s">
        <v>869</v>
      </c>
    </row>
    <row r="3238" ht="15.75" customHeight="1">
      <c r="H3238" s="2" t="s">
        <v>16781</v>
      </c>
      <c r="I3238" s="2" t="s">
        <v>16782</v>
      </c>
      <c r="J3238" s="2" t="s">
        <v>16783</v>
      </c>
      <c r="K3238" s="2" t="s">
        <v>2395</v>
      </c>
      <c r="L3238" s="2" t="s">
        <v>16497</v>
      </c>
      <c r="M3238" s="2" t="s">
        <v>16784</v>
      </c>
      <c r="N3238" s="2" t="s">
        <v>16785</v>
      </c>
      <c r="O3238" s="2" t="s">
        <v>16786</v>
      </c>
      <c r="P3238" s="2" t="s">
        <v>869</v>
      </c>
    </row>
    <row r="3239" ht="15.75" customHeight="1">
      <c r="H3239" s="2" t="s">
        <v>16787</v>
      </c>
      <c r="I3239" s="2" t="s">
        <v>5346</v>
      </c>
      <c r="J3239" s="2" t="s">
        <v>5347</v>
      </c>
      <c r="K3239" s="2" t="s">
        <v>5348</v>
      </c>
      <c r="L3239" s="2" t="s">
        <v>16497</v>
      </c>
      <c r="M3239" s="2" t="s">
        <v>16788</v>
      </c>
      <c r="N3239" s="2" t="s">
        <v>16789</v>
      </c>
      <c r="O3239" s="2" t="s">
        <v>16790</v>
      </c>
      <c r="P3239" s="2" t="s">
        <v>16791</v>
      </c>
    </row>
    <row r="3240" ht="15.75" customHeight="1">
      <c r="H3240" s="2" t="s">
        <v>16792</v>
      </c>
      <c r="I3240" s="2" t="s">
        <v>1766</v>
      </c>
      <c r="J3240" s="2" t="s">
        <v>1767</v>
      </c>
      <c r="K3240" s="2" t="s">
        <v>1768</v>
      </c>
      <c r="L3240" s="2" t="s">
        <v>16793</v>
      </c>
      <c r="M3240" s="2" t="s">
        <v>16794</v>
      </c>
      <c r="N3240" s="2" t="s">
        <v>16795</v>
      </c>
      <c r="O3240" s="2" t="s">
        <v>16796</v>
      </c>
      <c r="P3240" s="2" t="s">
        <v>16797</v>
      </c>
    </row>
    <row r="3241" ht="15.75" customHeight="1">
      <c r="H3241" s="2" t="s">
        <v>16798</v>
      </c>
      <c r="I3241" s="2" t="s">
        <v>1772</v>
      </c>
      <c r="J3241" s="2" t="s">
        <v>1773</v>
      </c>
      <c r="K3241" s="2" t="s">
        <v>1774</v>
      </c>
      <c r="L3241" s="2" t="s">
        <v>16497</v>
      </c>
      <c r="M3241" s="2" t="s">
        <v>16799</v>
      </c>
      <c r="N3241" s="2" t="s">
        <v>16800</v>
      </c>
      <c r="O3241" s="2" t="s">
        <v>16801</v>
      </c>
      <c r="P3241" s="2" t="s">
        <v>869</v>
      </c>
    </row>
    <row r="3242" ht="15.75" customHeight="1">
      <c r="H3242" s="2" t="s">
        <v>16802</v>
      </c>
      <c r="I3242" s="2" t="s">
        <v>1789</v>
      </c>
      <c r="J3242" s="2" t="s">
        <v>1790</v>
      </c>
      <c r="K3242" s="2" t="s">
        <v>1791</v>
      </c>
      <c r="L3242" s="2" t="s">
        <v>16497</v>
      </c>
      <c r="M3242" s="2" t="s">
        <v>16803</v>
      </c>
      <c r="N3242" s="2" t="s">
        <v>16804</v>
      </c>
      <c r="O3242" s="2" t="s">
        <v>16805</v>
      </c>
      <c r="P3242" s="2" t="s">
        <v>869</v>
      </c>
    </row>
    <row r="3243" ht="15.75" customHeight="1">
      <c r="H3243" s="2" t="s">
        <v>16806</v>
      </c>
      <c r="I3243" s="2" t="s">
        <v>241</v>
      </c>
      <c r="J3243" s="2" t="s">
        <v>242</v>
      </c>
      <c r="K3243" s="2" t="s">
        <v>16807</v>
      </c>
      <c r="L3243" s="2" t="s">
        <v>16497</v>
      </c>
      <c r="M3243" s="2" t="s">
        <v>16808</v>
      </c>
      <c r="N3243" s="2" t="s">
        <v>16809</v>
      </c>
      <c r="O3243" s="2" t="s">
        <v>16810</v>
      </c>
      <c r="P3243" s="2" t="s">
        <v>869</v>
      </c>
    </row>
    <row r="3244" ht="15.75" customHeight="1">
      <c r="H3244" s="2" t="s">
        <v>16811</v>
      </c>
      <c r="I3244" s="2" t="s">
        <v>249</v>
      </c>
      <c r="J3244" s="2" t="s">
        <v>250</v>
      </c>
      <c r="K3244" s="2" t="s">
        <v>1832</v>
      </c>
      <c r="L3244" s="2" t="s">
        <v>16497</v>
      </c>
      <c r="M3244" s="2" t="s">
        <v>16812</v>
      </c>
      <c r="N3244" s="2" t="s">
        <v>16813</v>
      </c>
      <c r="O3244" s="2" t="s">
        <v>16814</v>
      </c>
      <c r="P3244" s="2" t="s">
        <v>16815</v>
      </c>
    </row>
    <row r="3245" ht="15.75" customHeight="1">
      <c r="H3245" s="2" t="s">
        <v>16816</v>
      </c>
      <c r="I3245" s="2" t="s">
        <v>257</v>
      </c>
      <c r="J3245" s="2" t="s">
        <v>258</v>
      </c>
      <c r="K3245" s="2" t="s">
        <v>12196</v>
      </c>
      <c r="L3245" s="2" t="s">
        <v>16817</v>
      </c>
      <c r="M3245" s="2" t="s">
        <v>16818</v>
      </c>
      <c r="N3245" s="2" t="s">
        <v>16819</v>
      </c>
      <c r="O3245" s="2" t="s">
        <v>16820</v>
      </c>
      <c r="P3245" s="2" t="s">
        <v>16821</v>
      </c>
    </row>
    <row r="3246" ht="15.75" customHeight="1">
      <c r="F3246" s="2" t="s">
        <v>1854</v>
      </c>
      <c r="H3246" s="2" t="s">
        <v>16822</v>
      </c>
      <c r="I3246" s="2" t="s">
        <v>1871</v>
      </c>
      <c r="J3246" s="2" t="s">
        <v>1872</v>
      </c>
      <c r="K3246" s="2" t="s">
        <v>1061</v>
      </c>
      <c r="L3246" s="2" t="s">
        <v>16497</v>
      </c>
      <c r="M3246" s="2" t="s">
        <v>16823</v>
      </c>
      <c r="N3246" s="2" t="s">
        <v>16824</v>
      </c>
      <c r="O3246" s="2" t="s">
        <v>16825</v>
      </c>
      <c r="P3246" s="2" t="s">
        <v>16826</v>
      </c>
    </row>
    <row r="3247" ht="15.75" customHeight="1">
      <c r="H3247" s="2" t="s">
        <v>16827</v>
      </c>
      <c r="I3247" s="2" t="s">
        <v>16828</v>
      </c>
      <c r="J3247" s="2" t="s">
        <v>16829</v>
      </c>
      <c r="K3247" s="2" t="s">
        <v>1297</v>
      </c>
      <c r="L3247" s="2" t="s">
        <v>16497</v>
      </c>
      <c r="M3247" s="2" t="s">
        <v>16830</v>
      </c>
      <c r="N3247" s="2" t="s">
        <v>16831</v>
      </c>
      <c r="O3247" s="2" t="s">
        <v>16832</v>
      </c>
      <c r="P3247" s="2" t="s">
        <v>869</v>
      </c>
    </row>
    <row r="3248" ht="15.75" customHeight="1">
      <c r="F3248" s="2" t="s">
        <v>265</v>
      </c>
      <c r="H3248" s="2" t="s">
        <v>16833</v>
      </c>
      <c r="I3248" s="2" t="s">
        <v>7376</v>
      </c>
      <c r="J3248" s="2" t="s">
        <v>7377</v>
      </c>
      <c r="L3248" s="2" t="s">
        <v>16497</v>
      </c>
      <c r="M3248" s="2" t="s">
        <v>16834</v>
      </c>
      <c r="N3248" s="2" t="s">
        <v>16835</v>
      </c>
      <c r="O3248" s="2" t="s">
        <v>16836</v>
      </c>
      <c r="P3248" s="2" t="s">
        <v>869</v>
      </c>
    </row>
    <row r="3249" ht="15.75" customHeight="1">
      <c r="H3249" s="2" t="s">
        <v>16837</v>
      </c>
      <c r="I3249" s="2" t="s">
        <v>16838</v>
      </c>
      <c r="J3249" s="2" t="s">
        <v>16839</v>
      </c>
      <c r="K3249" s="2" t="s">
        <v>1007</v>
      </c>
      <c r="L3249" s="2" t="s">
        <v>16497</v>
      </c>
      <c r="M3249" s="2" t="s">
        <v>16840</v>
      </c>
      <c r="N3249" s="2" t="s">
        <v>16841</v>
      </c>
      <c r="O3249" s="2" t="s">
        <v>16842</v>
      </c>
      <c r="P3249" s="2" t="s">
        <v>869</v>
      </c>
    </row>
    <row r="3250" ht="15.75" customHeight="1">
      <c r="H3250" s="2" t="s">
        <v>16843</v>
      </c>
      <c r="I3250" s="2" t="s">
        <v>1940</v>
      </c>
      <c r="J3250" s="2" t="s">
        <v>1941</v>
      </c>
      <c r="K3250" s="2" t="s">
        <v>1136</v>
      </c>
      <c r="L3250" s="2" t="s">
        <v>16497</v>
      </c>
      <c r="M3250" s="2" t="s">
        <v>16844</v>
      </c>
      <c r="N3250" s="2" t="s">
        <v>16845</v>
      </c>
      <c r="O3250" s="2" t="s">
        <v>16846</v>
      </c>
      <c r="P3250" s="2" t="s">
        <v>869</v>
      </c>
    </row>
    <row r="3251" ht="15.75" customHeight="1">
      <c r="H3251" s="2" t="s">
        <v>16847</v>
      </c>
      <c r="I3251" s="2" t="s">
        <v>7440</v>
      </c>
      <c r="J3251" s="2" t="s">
        <v>7441</v>
      </c>
      <c r="K3251" s="2" t="s">
        <v>912</v>
      </c>
      <c r="L3251" s="2" t="s">
        <v>16497</v>
      </c>
      <c r="M3251" s="2" t="s">
        <v>16848</v>
      </c>
      <c r="N3251" s="2" t="s">
        <v>16849</v>
      </c>
      <c r="O3251" s="2" t="s">
        <v>16850</v>
      </c>
      <c r="P3251" s="2" t="s">
        <v>869</v>
      </c>
    </row>
    <row r="3252" ht="15.75" customHeight="1">
      <c r="H3252" s="2" t="s">
        <v>16851</v>
      </c>
      <c r="I3252" s="2" t="s">
        <v>267</v>
      </c>
      <c r="J3252" s="2" t="s">
        <v>268</v>
      </c>
      <c r="K3252" s="2" t="s">
        <v>1313</v>
      </c>
      <c r="L3252" s="2" t="s">
        <v>16852</v>
      </c>
      <c r="M3252" s="2" t="s">
        <v>16853</v>
      </c>
      <c r="N3252" s="2" t="s">
        <v>16854</v>
      </c>
      <c r="O3252" s="2" t="s">
        <v>16855</v>
      </c>
      <c r="P3252" s="2" t="s">
        <v>16856</v>
      </c>
    </row>
    <row r="3253" ht="15.75" customHeight="1">
      <c r="H3253" s="2" t="s">
        <v>16857</v>
      </c>
      <c r="I3253" s="2" t="s">
        <v>5378</v>
      </c>
      <c r="J3253" s="2" t="s">
        <v>5379</v>
      </c>
      <c r="K3253" s="2" t="s">
        <v>2551</v>
      </c>
      <c r="L3253" s="2" t="s">
        <v>16497</v>
      </c>
      <c r="M3253" s="2" t="s">
        <v>16858</v>
      </c>
      <c r="N3253" s="2" t="s">
        <v>16859</v>
      </c>
      <c r="O3253" s="2" t="s">
        <v>16860</v>
      </c>
      <c r="P3253" s="2" t="s">
        <v>869</v>
      </c>
    </row>
    <row r="3254" ht="15.75" customHeight="1">
      <c r="H3254" s="2" t="s">
        <v>16861</v>
      </c>
      <c r="I3254" s="2" t="s">
        <v>16862</v>
      </c>
      <c r="J3254" s="2" t="s">
        <v>16863</v>
      </c>
      <c r="K3254" s="2" t="s">
        <v>16864</v>
      </c>
      <c r="L3254" s="2" t="s">
        <v>16497</v>
      </c>
      <c r="M3254" s="2" t="s">
        <v>16865</v>
      </c>
      <c r="N3254" s="2" t="s">
        <v>16866</v>
      </c>
      <c r="O3254" s="2" t="s">
        <v>16867</v>
      </c>
      <c r="P3254" s="2" t="s">
        <v>869</v>
      </c>
    </row>
    <row r="3255" ht="15.75" customHeight="1">
      <c r="H3255" s="2" t="s">
        <v>16868</v>
      </c>
      <c r="I3255" s="2" t="s">
        <v>5388</v>
      </c>
      <c r="J3255" s="2" t="s">
        <v>5389</v>
      </c>
      <c r="K3255" s="2" t="s">
        <v>1187</v>
      </c>
      <c r="L3255" s="2" t="s">
        <v>16497</v>
      </c>
      <c r="M3255" s="2" t="s">
        <v>16869</v>
      </c>
      <c r="N3255" s="2" t="s">
        <v>16870</v>
      </c>
      <c r="O3255" s="2" t="s">
        <v>16871</v>
      </c>
      <c r="P3255" s="2" t="s">
        <v>869</v>
      </c>
    </row>
    <row r="3256" ht="15.75" customHeight="1">
      <c r="H3256" s="2" t="s">
        <v>16872</v>
      </c>
      <c r="I3256" s="2" t="s">
        <v>2001</v>
      </c>
      <c r="J3256" s="2" t="s">
        <v>2002</v>
      </c>
      <c r="K3256" s="2" t="s">
        <v>2003</v>
      </c>
      <c r="L3256" s="2" t="s">
        <v>16497</v>
      </c>
      <c r="M3256" s="2" t="s">
        <v>16873</v>
      </c>
      <c r="N3256" s="2" t="s">
        <v>16874</v>
      </c>
      <c r="O3256" s="2" t="s">
        <v>16875</v>
      </c>
      <c r="P3256" s="2" t="s">
        <v>16876</v>
      </c>
    </row>
    <row r="3257" ht="15.75" customHeight="1">
      <c r="H3257" s="2" t="s">
        <v>16877</v>
      </c>
      <c r="I3257" s="2" t="s">
        <v>16878</v>
      </c>
      <c r="J3257" s="2" t="s">
        <v>16879</v>
      </c>
      <c r="L3257" s="2" t="s">
        <v>16497</v>
      </c>
      <c r="M3257" s="2" t="s">
        <v>16880</v>
      </c>
      <c r="N3257" s="2" t="s">
        <v>16881</v>
      </c>
      <c r="O3257" s="2" t="s">
        <v>16882</v>
      </c>
      <c r="P3257" s="2" t="s">
        <v>869</v>
      </c>
    </row>
    <row r="3258" ht="15.75" customHeight="1">
      <c r="F3258" s="2" t="s">
        <v>274</v>
      </c>
      <c r="H3258" s="2" t="s">
        <v>16883</v>
      </c>
      <c r="I3258" s="2" t="s">
        <v>7653</v>
      </c>
      <c r="J3258" s="2" t="s">
        <v>7653</v>
      </c>
      <c r="K3258" s="2" t="s">
        <v>1061</v>
      </c>
    </row>
    <row r="3259" ht="15.75" customHeight="1">
      <c r="H3259" s="2" t="s">
        <v>16884</v>
      </c>
      <c r="I3259" s="2" t="s">
        <v>16885</v>
      </c>
      <c r="J3259" s="2" t="s">
        <v>16886</v>
      </c>
      <c r="K3259" s="2" t="s">
        <v>12214</v>
      </c>
    </row>
    <row r="3260" ht="15.75" customHeight="1">
      <c r="H3260" s="2" t="s">
        <v>16887</v>
      </c>
      <c r="I3260" s="2" t="s">
        <v>279</v>
      </c>
      <c r="J3260" s="2" t="s">
        <v>274</v>
      </c>
      <c r="K3260" s="2" t="s">
        <v>280</v>
      </c>
    </row>
    <row r="3261" ht="15.75" customHeight="1">
      <c r="H3261" s="2" t="s">
        <v>16888</v>
      </c>
      <c r="I3261" s="2" t="s">
        <v>7661</v>
      </c>
      <c r="J3261" s="2" t="s">
        <v>7661</v>
      </c>
      <c r="K3261" s="2" t="s">
        <v>1288</v>
      </c>
    </row>
    <row r="3262" ht="15.75" customHeight="1">
      <c r="H3262" s="2" t="s">
        <v>16889</v>
      </c>
      <c r="I3262" s="2" t="s">
        <v>16890</v>
      </c>
      <c r="J3262" s="2" t="s">
        <v>16891</v>
      </c>
      <c r="K3262" s="2" t="s">
        <v>12963</v>
      </c>
    </row>
    <row r="3263" ht="15.75" customHeight="1">
      <c r="H3263" s="2" t="s">
        <v>16892</v>
      </c>
      <c r="I3263" s="2" t="s">
        <v>282</v>
      </c>
      <c r="J3263" s="2" t="s">
        <v>282</v>
      </c>
      <c r="K3263" s="2" t="s">
        <v>283</v>
      </c>
    </row>
    <row r="3264" ht="15.75" customHeight="1">
      <c r="F3264" s="2" t="s">
        <v>284</v>
      </c>
      <c r="H3264" s="2" t="s">
        <v>16893</v>
      </c>
      <c r="I3264" s="2" t="s">
        <v>16894</v>
      </c>
      <c r="J3264" s="2" t="s">
        <v>16895</v>
      </c>
      <c r="K3264" s="2" t="s">
        <v>947</v>
      </c>
      <c r="L3264" s="2" t="s">
        <v>16497</v>
      </c>
      <c r="M3264" s="2" t="s">
        <v>16896</v>
      </c>
      <c r="N3264" s="2" t="s">
        <v>16897</v>
      </c>
      <c r="O3264" s="2" t="s">
        <v>16898</v>
      </c>
      <c r="P3264" s="2" t="s">
        <v>16899</v>
      </c>
    </row>
    <row r="3265" ht="15.75" customHeight="1">
      <c r="H3265" s="2" t="s">
        <v>16900</v>
      </c>
      <c r="I3265" s="2" t="s">
        <v>7694</v>
      </c>
      <c r="J3265" s="2" t="s">
        <v>7695</v>
      </c>
      <c r="K3265" s="2" t="s">
        <v>1467</v>
      </c>
      <c r="L3265" s="2" t="s">
        <v>16497</v>
      </c>
      <c r="M3265" s="2" t="s">
        <v>16901</v>
      </c>
      <c r="N3265" s="2" t="s">
        <v>16902</v>
      </c>
      <c r="O3265" s="2" t="s">
        <v>16903</v>
      </c>
      <c r="P3265" s="2" t="s">
        <v>16904</v>
      </c>
    </row>
    <row r="3266" ht="15.75" customHeight="1">
      <c r="H3266" s="2" t="s">
        <v>16905</v>
      </c>
      <c r="I3266" s="2" t="s">
        <v>16906</v>
      </c>
      <c r="J3266" s="2" t="s">
        <v>16907</v>
      </c>
      <c r="K3266" s="2" t="s">
        <v>12092</v>
      </c>
      <c r="L3266" s="2" t="s">
        <v>16497</v>
      </c>
      <c r="M3266" s="2" t="s">
        <v>16908</v>
      </c>
      <c r="N3266" s="2" t="s">
        <v>16909</v>
      </c>
      <c r="O3266" s="2" t="s">
        <v>16910</v>
      </c>
      <c r="P3266" s="2" t="s">
        <v>869</v>
      </c>
    </row>
    <row r="3267" ht="15.75" customHeight="1">
      <c r="H3267" s="2" t="s">
        <v>16911</v>
      </c>
      <c r="I3267" s="2" t="s">
        <v>5889</v>
      </c>
      <c r="J3267" s="2" t="s">
        <v>5890</v>
      </c>
      <c r="K3267" s="2" t="s">
        <v>1136</v>
      </c>
      <c r="L3267" s="2" t="s">
        <v>16912</v>
      </c>
      <c r="M3267" s="2" t="s">
        <v>16913</v>
      </c>
      <c r="N3267" s="2" t="s">
        <v>16914</v>
      </c>
      <c r="O3267" s="2" t="s">
        <v>16915</v>
      </c>
      <c r="P3267" s="2" t="s">
        <v>16916</v>
      </c>
    </row>
    <row r="3268" ht="15.75" customHeight="1">
      <c r="H3268" s="2" t="s">
        <v>16917</v>
      </c>
      <c r="I3268" s="2" t="s">
        <v>13211</v>
      </c>
      <c r="J3268" s="2" t="s">
        <v>13212</v>
      </c>
      <c r="L3268" s="2" t="s">
        <v>16497</v>
      </c>
      <c r="M3268" s="2" t="s">
        <v>16918</v>
      </c>
      <c r="N3268" s="2" t="s">
        <v>16919</v>
      </c>
      <c r="O3268" s="2" t="s">
        <v>16920</v>
      </c>
      <c r="P3268" s="2" t="s">
        <v>869</v>
      </c>
    </row>
    <row r="3269" ht="15.75" customHeight="1">
      <c r="H3269" s="2" t="s">
        <v>16921</v>
      </c>
      <c r="I3269" s="2" t="s">
        <v>16922</v>
      </c>
      <c r="J3269" s="2" t="s">
        <v>16923</v>
      </c>
      <c r="K3269" s="2" t="s">
        <v>1569</v>
      </c>
      <c r="L3269" s="2" t="s">
        <v>16924</v>
      </c>
      <c r="M3269" s="2" t="s">
        <v>16925</v>
      </c>
      <c r="N3269" s="2" t="s">
        <v>16926</v>
      </c>
      <c r="O3269" s="2" t="s">
        <v>16927</v>
      </c>
      <c r="P3269" s="2" t="s">
        <v>869</v>
      </c>
    </row>
    <row r="3270" ht="15.75" customHeight="1">
      <c r="H3270" s="2" t="s">
        <v>16928</v>
      </c>
      <c r="I3270" s="2" t="s">
        <v>11975</v>
      </c>
      <c r="J3270" s="2" t="s">
        <v>11976</v>
      </c>
      <c r="K3270" s="2" t="s">
        <v>970</v>
      </c>
      <c r="L3270" s="2" t="s">
        <v>16497</v>
      </c>
      <c r="M3270" s="2" t="s">
        <v>16929</v>
      </c>
      <c r="N3270" s="2" t="s">
        <v>16930</v>
      </c>
      <c r="O3270" s="2" t="s">
        <v>16931</v>
      </c>
      <c r="P3270" s="2" t="s">
        <v>16932</v>
      </c>
    </row>
    <row r="3271" ht="15.75" customHeight="1">
      <c r="H3271" s="2" t="s">
        <v>16933</v>
      </c>
      <c r="I3271" s="2" t="s">
        <v>2152</v>
      </c>
      <c r="J3271" s="2" t="s">
        <v>2153</v>
      </c>
      <c r="K3271" s="2" t="s">
        <v>1688</v>
      </c>
      <c r="L3271" s="2" t="s">
        <v>16934</v>
      </c>
      <c r="M3271" s="2" t="s">
        <v>16935</v>
      </c>
      <c r="N3271" s="2" t="s">
        <v>16936</v>
      </c>
      <c r="O3271" s="2" t="s">
        <v>16937</v>
      </c>
      <c r="P3271" s="2" t="s">
        <v>16938</v>
      </c>
    </row>
    <row r="3272" ht="15.75" customHeight="1">
      <c r="H3272" s="2" t="s">
        <v>16939</v>
      </c>
      <c r="I3272" s="2" t="s">
        <v>310</v>
      </c>
      <c r="J3272" s="2" t="s">
        <v>311</v>
      </c>
      <c r="K3272" s="2" t="s">
        <v>1567</v>
      </c>
      <c r="L3272" s="2" t="s">
        <v>16940</v>
      </c>
      <c r="M3272" s="2" t="s">
        <v>16941</v>
      </c>
      <c r="N3272" s="2" t="s">
        <v>16942</v>
      </c>
      <c r="O3272" s="2" t="s">
        <v>16943</v>
      </c>
      <c r="P3272" s="2" t="s">
        <v>16944</v>
      </c>
    </row>
    <row r="3273" ht="15.75" customHeight="1">
      <c r="H3273" s="2" t="s">
        <v>16945</v>
      </c>
      <c r="I3273" s="2" t="s">
        <v>7740</v>
      </c>
      <c r="J3273" s="2" t="s">
        <v>7741</v>
      </c>
      <c r="K3273" s="2" t="s">
        <v>1439</v>
      </c>
      <c r="L3273" s="2" t="s">
        <v>16497</v>
      </c>
      <c r="M3273" s="2" t="s">
        <v>16946</v>
      </c>
      <c r="N3273" s="2" t="s">
        <v>16947</v>
      </c>
      <c r="O3273" s="2" t="s">
        <v>16948</v>
      </c>
      <c r="P3273" s="2" t="s">
        <v>16949</v>
      </c>
    </row>
    <row r="3274" ht="15.75" customHeight="1">
      <c r="H3274" s="2" t="s">
        <v>16950</v>
      </c>
      <c r="I3274" s="2" t="s">
        <v>2175</v>
      </c>
      <c r="J3274" s="2" t="s">
        <v>2176</v>
      </c>
      <c r="K3274" s="2" t="s">
        <v>1406</v>
      </c>
      <c r="L3274" s="2" t="s">
        <v>16951</v>
      </c>
      <c r="M3274" s="2" t="s">
        <v>16952</v>
      </c>
      <c r="N3274" s="2" t="s">
        <v>16953</v>
      </c>
      <c r="O3274" s="2" t="s">
        <v>16954</v>
      </c>
      <c r="P3274" s="2" t="s">
        <v>16955</v>
      </c>
    </row>
    <row r="3275" ht="15.75" customHeight="1">
      <c r="H3275" s="2" t="s">
        <v>16956</v>
      </c>
      <c r="I3275" s="2" t="s">
        <v>16957</v>
      </c>
      <c r="J3275" s="2" t="s">
        <v>16958</v>
      </c>
      <c r="K3275" s="2" t="s">
        <v>1418</v>
      </c>
      <c r="L3275" s="2" t="s">
        <v>16959</v>
      </c>
      <c r="M3275" s="2" t="s">
        <v>16960</v>
      </c>
      <c r="N3275" s="2" t="s">
        <v>16961</v>
      </c>
      <c r="O3275" s="2" t="s">
        <v>16962</v>
      </c>
      <c r="P3275" s="2" t="s">
        <v>16963</v>
      </c>
    </row>
    <row r="3276" ht="15.75" customHeight="1">
      <c r="H3276" s="2" t="s">
        <v>16964</v>
      </c>
      <c r="I3276" s="2" t="s">
        <v>2195</v>
      </c>
      <c r="J3276" s="2" t="s">
        <v>2196</v>
      </c>
      <c r="K3276" s="2" t="s">
        <v>1624</v>
      </c>
      <c r="L3276" s="2" t="s">
        <v>16965</v>
      </c>
      <c r="M3276" s="2" t="s">
        <v>16966</v>
      </c>
      <c r="N3276" s="2" t="s">
        <v>16967</v>
      </c>
      <c r="O3276" s="2" t="s">
        <v>16968</v>
      </c>
      <c r="P3276" s="2" t="s">
        <v>16969</v>
      </c>
    </row>
    <row r="3277" ht="15.75" customHeight="1">
      <c r="H3277" s="2" t="s">
        <v>16970</v>
      </c>
      <c r="I3277" s="2" t="s">
        <v>12635</v>
      </c>
      <c r="J3277" s="2" t="s">
        <v>12636</v>
      </c>
      <c r="K3277" s="2" t="s">
        <v>2223</v>
      </c>
      <c r="L3277" s="2" t="s">
        <v>16497</v>
      </c>
      <c r="M3277" s="2" t="s">
        <v>16971</v>
      </c>
      <c r="N3277" s="2" t="s">
        <v>16972</v>
      </c>
      <c r="O3277" s="2" t="s">
        <v>16973</v>
      </c>
      <c r="P3277" s="2" t="s">
        <v>16974</v>
      </c>
    </row>
    <row r="3278" ht="15.75" customHeight="1">
      <c r="H3278" s="2" t="s">
        <v>16975</v>
      </c>
      <c r="I3278" s="2" t="s">
        <v>16976</v>
      </c>
      <c r="J3278" s="2" t="s">
        <v>16977</v>
      </c>
      <c r="L3278" s="2" t="s">
        <v>16497</v>
      </c>
      <c r="M3278" s="2" t="s">
        <v>16978</v>
      </c>
      <c r="N3278" s="2" t="s">
        <v>16979</v>
      </c>
      <c r="O3278" s="2" t="s">
        <v>16980</v>
      </c>
      <c r="P3278" s="2" t="s">
        <v>869</v>
      </c>
    </row>
    <row r="3279" ht="15.75" customHeight="1">
      <c r="H3279" s="2" t="s">
        <v>16981</v>
      </c>
      <c r="I3279" s="2" t="s">
        <v>16982</v>
      </c>
      <c r="J3279" s="2" t="s">
        <v>16983</v>
      </c>
      <c r="K3279" s="2" t="s">
        <v>1157</v>
      </c>
      <c r="L3279" s="2" t="s">
        <v>16984</v>
      </c>
      <c r="M3279" s="2" t="s">
        <v>16985</v>
      </c>
      <c r="N3279" s="2" t="s">
        <v>16986</v>
      </c>
      <c r="O3279" s="2" t="s">
        <v>16987</v>
      </c>
      <c r="P3279" s="2" t="s">
        <v>16988</v>
      </c>
    </row>
    <row r="3280" ht="15.75" customHeight="1">
      <c r="H3280" s="2" t="s">
        <v>16989</v>
      </c>
      <c r="I3280" s="2" t="s">
        <v>326</v>
      </c>
      <c r="J3280" s="2" t="s">
        <v>327</v>
      </c>
      <c r="K3280" s="2" t="s">
        <v>1331</v>
      </c>
      <c r="L3280" s="2" t="s">
        <v>16990</v>
      </c>
      <c r="M3280" s="2" t="s">
        <v>16991</v>
      </c>
      <c r="N3280" s="2" t="s">
        <v>16992</v>
      </c>
      <c r="O3280" s="2" t="s">
        <v>16993</v>
      </c>
      <c r="P3280" s="2" t="s">
        <v>16994</v>
      </c>
    </row>
    <row r="3281" ht="15.75" customHeight="1">
      <c r="H3281" s="2" t="s">
        <v>16995</v>
      </c>
      <c r="I3281" s="2" t="s">
        <v>16996</v>
      </c>
      <c r="J3281" s="2" t="s">
        <v>16997</v>
      </c>
      <c r="K3281" s="2" t="s">
        <v>4436</v>
      </c>
      <c r="L3281" s="2" t="s">
        <v>16497</v>
      </c>
      <c r="M3281" s="2" t="s">
        <v>16998</v>
      </c>
      <c r="N3281" s="2" t="s">
        <v>16999</v>
      </c>
      <c r="O3281" s="2" t="s">
        <v>17000</v>
      </c>
      <c r="P3281" s="2" t="s">
        <v>17001</v>
      </c>
    </row>
    <row r="3282" ht="15.75" customHeight="1">
      <c r="H3282" s="2" t="s">
        <v>17002</v>
      </c>
      <c r="I3282" s="2" t="s">
        <v>17003</v>
      </c>
      <c r="J3282" s="2" t="s">
        <v>17004</v>
      </c>
      <c r="K3282" s="2" t="s">
        <v>2514</v>
      </c>
      <c r="L3282" s="2" t="s">
        <v>17005</v>
      </c>
      <c r="M3282" s="2" t="s">
        <v>17006</v>
      </c>
      <c r="N3282" s="2" t="s">
        <v>17007</v>
      </c>
      <c r="O3282" s="2" t="s">
        <v>17008</v>
      </c>
      <c r="P3282" s="2" t="s">
        <v>17009</v>
      </c>
    </row>
    <row r="3283" ht="15.75" customHeight="1">
      <c r="H3283" s="2" t="s">
        <v>17010</v>
      </c>
      <c r="I3283" s="2" t="s">
        <v>15817</v>
      </c>
      <c r="J3283" s="2" t="s">
        <v>15818</v>
      </c>
      <c r="K3283" s="2" t="s">
        <v>3298</v>
      </c>
    </row>
    <row r="3284" ht="15.75" customHeight="1">
      <c r="H3284" s="2" t="s">
        <v>17011</v>
      </c>
      <c r="I3284" s="2" t="s">
        <v>352</v>
      </c>
      <c r="J3284" s="2" t="s">
        <v>353</v>
      </c>
      <c r="K3284" s="2" t="s">
        <v>2236</v>
      </c>
      <c r="L3284" s="2" t="s">
        <v>17012</v>
      </c>
      <c r="M3284" s="2" t="s">
        <v>17013</v>
      </c>
      <c r="N3284" s="2" t="s">
        <v>17014</v>
      </c>
      <c r="O3284" s="2" t="s">
        <v>17015</v>
      </c>
      <c r="P3284" s="2" t="s">
        <v>17016</v>
      </c>
    </row>
    <row r="3285" ht="15.75" customHeight="1">
      <c r="H3285" s="2" t="s">
        <v>17017</v>
      </c>
      <c r="I3285" s="2" t="s">
        <v>360</v>
      </c>
      <c r="J3285" s="2" t="s">
        <v>361</v>
      </c>
      <c r="K3285" s="2" t="s">
        <v>1264</v>
      </c>
      <c r="L3285" s="2" t="s">
        <v>16497</v>
      </c>
      <c r="M3285" s="2" t="s">
        <v>17018</v>
      </c>
      <c r="N3285" s="2" t="s">
        <v>17019</v>
      </c>
      <c r="O3285" s="2" t="s">
        <v>17020</v>
      </c>
      <c r="P3285" s="2" t="s">
        <v>17021</v>
      </c>
    </row>
    <row r="3286" ht="15.75" customHeight="1">
      <c r="H3286" s="2" t="s">
        <v>17022</v>
      </c>
      <c r="I3286" s="2" t="s">
        <v>17023</v>
      </c>
      <c r="J3286" s="2" t="s">
        <v>17024</v>
      </c>
      <c r="K3286" s="2" t="s">
        <v>17025</v>
      </c>
      <c r="L3286" s="2" t="s">
        <v>16497</v>
      </c>
      <c r="M3286" s="2" t="s">
        <v>17026</v>
      </c>
      <c r="N3286" s="2" t="s">
        <v>17027</v>
      </c>
      <c r="O3286" s="2" t="s">
        <v>17028</v>
      </c>
      <c r="P3286" s="2" t="s">
        <v>869</v>
      </c>
    </row>
    <row r="3287" ht="15.75" customHeight="1">
      <c r="H3287" s="2" t="s">
        <v>17029</v>
      </c>
      <c r="I3287" s="2" t="s">
        <v>409</v>
      </c>
      <c r="J3287" s="2" t="s">
        <v>410</v>
      </c>
      <c r="L3287" s="2" t="s">
        <v>16497</v>
      </c>
      <c r="M3287" s="2" t="s">
        <v>17030</v>
      </c>
      <c r="N3287" s="2" t="s">
        <v>17031</v>
      </c>
      <c r="O3287" s="2" t="s">
        <v>17032</v>
      </c>
      <c r="P3287" s="2" t="s">
        <v>869</v>
      </c>
    </row>
    <row r="3288" ht="15.75" customHeight="1">
      <c r="H3288" s="2" t="s">
        <v>17033</v>
      </c>
      <c r="I3288" s="2" t="s">
        <v>415</v>
      </c>
      <c r="J3288" s="2" t="s">
        <v>416</v>
      </c>
      <c r="K3288" s="2" t="s">
        <v>11991</v>
      </c>
      <c r="L3288" s="2" t="s">
        <v>17034</v>
      </c>
      <c r="M3288" s="2" t="s">
        <v>17035</v>
      </c>
      <c r="N3288" s="2" t="s">
        <v>17036</v>
      </c>
      <c r="O3288" s="2" t="s">
        <v>17037</v>
      </c>
      <c r="P3288" s="2" t="s">
        <v>17038</v>
      </c>
    </row>
    <row r="3289" ht="15.75" customHeight="1">
      <c r="H3289" s="2" t="s">
        <v>17039</v>
      </c>
      <c r="I3289" s="2" t="s">
        <v>5925</v>
      </c>
      <c r="J3289" s="2" t="s">
        <v>5926</v>
      </c>
      <c r="K3289" s="2" t="s">
        <v>5927</v>
      </c>
      <c r="L3289" s="2" t="s">
        <v>16497</v>
      </c>
      <c r="M3289" s="2" t="s">
        <v>17040</v>
      </c>
      <c r="N3289" s="2" t="s">
        <v>17041</v>
      </c>
      <c r="O3289" s="2" t="s">
        <v>17042</v>
      </c>
      <c r="P3289" s="2" t="s">
        <v>17043</v>
      </c>
    </row>
    <row r="3290" ht="15.75" customHeight="1">
      <c r="H3290" s="2" t="s">
        <v>17044</v>
      </c>
      <c r="I3290" s="2" t="s">
        <v>17045</v>
      </c>
      <c r="J3290" s="2" t="s">
        <v>17046</v>
      </c>
      <c r="K3290" s="2" t="s">
        <v>2062</v>
      </c>
      <c r="L3290" s="2" t="s">
        <v>16497</v>
      </c>
      <c r="M3290" s="2" t="s">
        <v>17047</v>
      </c>
      <c r="N3290" s="2" t="s">
        <v>17048</v>
      </c>
      <c r="O3290" s="2" t="s">
        <v>17049</v>
      </c>
      <c r="P3290" s="2" t="s">
        <v>17050</v>
      </c>
    </row>
    <row r="3291" ht="15.75" customHeight="1">
      <c r="H3291" s="2" t="s">
        <v>17051</v>
      </c>
      <c r="I3291" s="2" t="s">
        <v>13300</v>
      </c>
      <c r="J3291" s="2" t="s">
        <v>13301</v>
      </c>
      <c r="K3291" s="2" t="s">
        <v>13302</v>
      </c>
      <c r="L3291" s="2" t="s">
        <v>17052</v>
      </c>
      <c r="M3291" s="2" t="s">
        <v>17053</v>
      </c>
      <c r="N3291" s="2" t="s">
        <v>17054</v>
      </c>
      <c r="O3291" s="2" t="s">
        <v>17055</v>
      </c>
      <c r="P3291" s="2" t="s">
        <v>17056</v>
      </c>
    </row>
    <row r="3292" ht="15.75" customHeight="1">
      <c r="H3292" s="2" t="s">
        <v>17057</v>
      </c>
      <c r="I3292" s="2" t="s">
        <v>17058</v>
      </c>
      <c r="J3292" s="2" t="s">
        <v>17059</v>
      </c>
      <c r="K3292" s="2" t="s">
        <v>1247</v>
      </c>
      <c r="L3292" s="2" t="s">
        <v>17060</v>
      </c>
      <c r="M3292" s="2" t="s">
        <v>17061</v>
      </c>
      <c r="N3292" s="2" t="s">
        <v>17062</v>
      </c>
      <c r="O3292" s="2" t="s">
        <v>17063</v>
      </c>
      <c r="P3292" s="2" t="s">
        <v>17064</v>
      </c>
    </row>
    <row r="3293" ht="15.75" customHeight="1">
      <c r="H3293" s="2" t="s">
        <v>17065</v>
      </c>
      <c r="I3293" s="2" t="s">
        <v>432</v>
      </c>
      <c r="J3293" s="2" t="s">
        <v>433</v>
      </c>
      <c r="K3293" s="2" t="s">
        <v>2236</v>
      </c>
      <c r="L3293" s="2" t="s">
        <v>17066</v>
      </c>
      <c r="M3293" s="2" t="s">
        <v>17067</v>
      </c>
      <c r="N3293" s="2" t="s">
        <v>17068</v>
      </c>
      <c r="O3293" s="2" t="s">
        <v>17069</v>
      </c>
      <c r="P3293" s="2" t="s">
        <v>17070</v>
      </c>
    </row>
    <row r="3294" ht="15.75" customHeight="1">
      <c r="H3294" s="2" t="s">
        <v>17071</v>
      </c>
      <c r="I3294" s="2" t="s">
        <v>12278</v>
      </c>
      <c r="J3294" s="2" t="s">
        <v>12279</v>
      </c>
      <c r="K3294" s="2" t="s">
        <v>1704</v>
      </c>
      <c r="L3294" s="2" t="s">
        <v>16497</v>
      </c>
      <c r="M3294" s="2" t="s">
        <v>17072</v>
      </c>
      <c r="N3294" s="2" t="s">
        <v>17073</v>
      </c>
      <c r="O3294" s="2" t="s">
        <v>17074</v>
      </c>
      <c r="P3294" s="2" t="s">
        <v>17075</v>
      </c>
    </row>
    <row r="3295" ht="15.75" customHeight="1">
      <c r="H3295" s="2" t="s">
        <v>17076</v>
      </c>
      <c r="I3295" s="2" t="s">
        <v>440</v>
      </c>
      <c r="J3295" s="2" t="s">
        <v>441</v>
      </c>
      <c r="K3295" s="2" t="s">
        <v>2252</v>
      </c>
      <c r="L3295" s="2" t="s">
        <v>17077</v>
      </c>
      <c r="M3295" s="2" t="s">
        <v>17078</v>
      </c>
      <c r="N3295" s="2" t="s">
        <v>17079</v>
      </c>
      <c r="O3295" s="2" t="s">
        <v>17080</v>
      </c>
      <c r="P3295" s="2" t="s">
        <v>17081</v>
      </c>
    </row>
    <row r="3296" ht="15.75" customHeight="1">
      <c r="H3296" s="2" t="s">
        <v>17082</v>
      </c>
      <c r="I3296" s="2" t="s">
        <v>5495</v>
      </c>
      <c r="J3296" s="2" t="s">
        <v>5496</v>
      </c>
      <c r="K3296" s="2" t="s">
        <v>1676</v>
      </c>
      <c r="L3296" s="2" t="s">
        <v>16497</v>
      </c>
      <c r="M3296" s="2" t="s">
        <v>17083</v>
      </c>
      <c r="N3296" s="2" t="s">
        <v>17084</v>
      </c>
      <c r="O3296" s="2" t="s">
        <v>17085</v>
      </c>
      <c r="P3296" s="2" t="s">
        <v>17086</v>
      </c>
    </row>
    <row r="3297" ht="15.75" customHeight="1">
      <c r="H3297" s="2" t="s">
        <v>17087</v>
      </c>
      <c r="I3297" s="2" t="s">
        <v>449</v>
      </c>
      <c r="J3297" s="2" t="s">
        <v>450</v>
      </c>
      <c r="K3297" s="2" t="s">
        <v>5500</v>
      </c>
      <c r="L3297" s="2" t="s">
        <v>17088</v>
      </c>
      <c r="M3297" s="2" t="s">
        <v>17089</v>
      </c>
      <c r="N3297" s="2" t="s">
        <v>17090</v>
      </c>
      <c r="O3297" s="2" t="s">
        <v>17091</v>
      </c>
      <c r="P3297" s="2" t="s">
        <v>17092</v>
      </c>
    </row>
    <row r="3298" ht="15.75" customHeight="1">
      <c r="H3298" s="2" t="s">
        <v>17093</v>
      </c>
      <c r="I3298" s="2" t="s">
        <v>2303</v>
      </c>
      <c r="J3298" s="2" t="s">
        <v>2304</v>
      </c>
      <c r="K3298" s="2" t="s">
        <v>2305</v>
      </c>
      <c r="L3298" s="2" t="s">
        <v>17094</v>
      </c>
      <c r="M3298" s="2" t="s">
        <v>17095</v>
      </c>
      <c r="N3298" s="2" t="s">
        <v>17096</v>
      </c>
      <c r="O3298" s="2" t="s">
        <v>17097</v>
      </c>
      <c r="P3298" s="2" t="s">
        <v>17098</v>
      </c>
    </row>
    <row r="3299" ht="15.75" customHeight="1">
      <c r="H3299" s="2" t="s">
        <v>17099</v>
      </c>
      <c r="I3299" s="2" t="s">
        <v>2331</v>
      </c>
      <c r="J3299" s="2" t="s">
        <v>2332</v>
      </c>
      <c r="K3299" s="2" t="s">
        <v>1731</v>
      </c>
      <c r="L3299" s="2" t="s">
        <v>16497</v>
      </c>
      <c r="M3299" s="2" t="s">
        <v>17100</v>
      </c>
      <c r="N3299" s="2" t="s">
        <v>17101</v>
      </c>
      <c r="O3299" s="2" t="s">
        <v>17102</v>
      </c>
      <c r="P3299" s="2" t="s">
        <v>17103</v>
      </c>
    </row>
    <row r="3300" ht="15.75" customHeight="1">
      <c r="H3300" s="2" t="s">
        <v>17104</v>
      </c>
      <c r="I3300" s="2" t="s">
        <v>458</v>
      </c>
      <c r="J3300" s="2" t="s">
        <v>459</v>
      </c>
      <c r="K3300" s="2" t="s">
        <v>16166</v>
      </c>
      <c r="L3300" s="2" t="s">
        <v>17105</v>
      </c>
      <c r="M3300" s="2" t="s">
        <v>17106</v>
      </c>
      <c r="N3300" s="2" t="s">
        <v>17107</v>
      </c>
      <c r="O3300" s="2" t="s">
        <v>17108</v>
      </c>
      <c r="P3300" s="2" t="s">
        <v>17109</v>
      </c>
    </row>
    <row r="3301" ht="15.75" customHeight="1">
      <c r="H3301" s="2" t="s">
        <v>17110</v>
      </c>
      <c r="I3301" s="2" t="s">
        <v>2352</v>
      </c>
      <c r="J3301" s="2" t="s">
        <v>2353</v>
      </c>
      <c r="K3301" s="2" t="s">
        <v>2049</v>
      </c>
      <c r="L3301" s="2" t="s">
        <v>16497</v>
      </c>
      <c r="M3301" s="2" t="s">
        <v>17111</v>
      </c>
      <c r="N3301" s="2" t="s">
        <v>17112</v>
      </c>
      <c r="O3301" s="2" t="s">
        <v>17113</v>
      </c>
      <c r="P3301" s="2" t="s">
        <v>17114</v>
      </c>
    </row>
    <row r="3302" ht="15.75" customHeight="1">
      <c r="H3302" s="2" t="s">
        <v>17115</v>
      </c>
      <c r="I3302" s="2" t="s">
        <v>12291</v>
      </c>
      <c r="J3302" s="2" t="s">
        <v>12292</v>
      </c>
      <c r="K3302" s="2" t="s">
        <v>12293</v>
      </c>
      <c r="L3302" s="2" t="s">
        <v>17116</v>
      </c>
      <c r="M3302" s="2" t="s">
        <v>17117</v>
      </c>
      <c r="N3302" s="2" t="s">
        <v>17118</v>
      </c>
      <c r="O3302" s="2" t="s">
        <v>17119</v>
      </c>
      <c r="P3302" s="2" t="s">
        <v>17120</v>
      </c>
    </row>
    <row r="3303" ht="15.75" customHeight="1">
      <c r="H3303" s="2" t="s">
        <v>17121</v>
      </c>
      <c r="I3303" s="2" t="s">
        <v>2357</v>
      </c>
      <c r="J3303" s="2" t="s">
        <v>2358</v>
      </c>
      <c r="K3303" s="2" t="s">
        <v>2359</v>
      </c>
      <c r="L3303" s="2" t="s">
        <v>16497</v>
      </c>
      <c r="M3303" s="2" t="s">
        <v>17122</v>
      </c>
      <c r="N3303" s="2" t="s">
        <v>17123</v>
      </c>
      <c r="O3303" s="2" t="s">
        <v>17124</v>
      </c>
      <c r="P3303" s="2" t="s">
        <v>17125</v>
      </c>
    </row>
    <row r="3304" ht="15.75" customHeight="1">
      <c r="H3304" s="2" t="s">
        <v>17126</v>
      </c>
      <c r="I3304" s="2" t="s">
        <v>2399</v>
      </c>
      <c r="J3304" s="2" t="s">
        <v>2400</v>
      </c>
      <c r="K3304" s="2" t="s">
        <v>2401</v>
      </c>
      <c r="L3304" s="2" t="s">
        <v>17127</v>
      </c>
      <c r="M3304" s="2" t="s">
        <v>17128</v>
      </c>
      <c r="N3304" s="2" t="s">
        <v>17129</v>
      </c>
      <c r="O3304" s="2" t="s">
        <v>17130</v>
      </c>
      <c r="P3304" s="2" t="s">
        <v>17131</v>
      </c>
    </row>
    <row r="3305" ht="15.75" customHeight="1">
      <c r="H3305" s="2" t="s">
        <v>17132</v>
      </c>
      <c r="I3305" s="2" t="s">
        <v>2406</v>
      </c>
      <c r="J3305" s="2" t="s">
        <v>2407</v>
      </c>
      <c r="K3305" s="2" t="s">
        <v>2408</v>
      </c>
      <c r="L3305" s="2" t="s">
        <v>17133</v>
      </c>
      <c r="M3305" s="2" t="s">
        <v>17134</v>
      </c>
      <c r="N3305" s="2" t="s">
        <v>17135</v>
      </c>
      <c r="O3305" s="2" t="s">
        <v>17136</v>
      </c>
      <c r="P3305" s="2" t="s">
        <v>17137</v>
      </c>
    </row>
    <row r="3306" ht="15.75" customHeight="1">
      <c r="H3306" s="2" t="s">
        <v>17138</v>
      </c>
      <c r="I3306" s="2" t="s">
        <v>1501</v>
      </c>
      <c r="J3306" s="2" t="s">
        <v>1502</v>
      </c>
      <c r="K3306" s="2" t="s">
        <v>1768</v>
      </c>
      <c r="L3306" s="2" t="s">
        <v>17139</v>
      </c>
      <c r="M3306" s="2" t="s">
        <v>17140</v>
      </c>
      <c r="N3306" s="2" t="s">
        <v>17141</v>
      </c>
      <c r="O3306" s="2" t="s">
        <v>17142</v>
      </c>
      <c r="P3306" s="2" t="s">
        <v>17143</v>
      </c>
    </row>
    <row r="3307" ht="15.75" customHeight="1">
      <c r="H3307" s="2" t="s">
        <v>17144</v>
      </c>
      <c r="I3307" s="2" t="s">
        <v>510</v>
      </c>
      <c r="J3307" s="2" t="s">
        <v>511</v>
      </c>
      <c r="K3307" s="2" t="s">
        <v>2068</v>
      </c>
      <c r="L3307" s="2" t="s">
        <v>16497</v>
      </c>
      <c r="M3307" s="2" t="s">
        <v>17145</v>
      </c>
      <c r="N3307" s="2" t="s">
        <v>17146</v>
      </c>
      <c r="O3307" s="2" t="s">
        <v>17147</v>
      </c>
      <c r="P3307" s="2" t="s">
        <v>17148</v>
      </c>
    </row>
    <row r="3308" ht="15.75" customHeight="1">
      <c r="H3308" s="2" t="s">
        <v>17149</v>
      </c>
      <c r="I3308" s="2" t="s">
        <v>518</v>
      </c>
      <c r="J3308" s="2" t="s">
        <v>519</v>
      </c>
      <c r="K3308" s="2" t="s">
        <v>2452</v>
      </c>
      <c r="L3308" s="2" t="s">
        <v>17150</v>
      </c>
      <c r="M3308" s="2" t="s">
        <v>17151</v>
      </c>
      <c r="N3308" s="2" t="s">
        <v>17152</v>
      </c>
      <c r="O3308" s="2" t="s">
        <v>17153</v>
      </c>
      <c r="P3308" s="2" t="s">
        <v>17154</v>
      </c>
    </row>
    <row r="3309" ht="15.75" customHeight="1">
      <c r="H3309" s="2" t="s">
        <v>17155</v>
      </c>
      <c r="I3309" s="2" t="s">
        <v>17156</v>
      </c>
      <c r="J3309" s="2" t="s">
        <v>17157</v>
      </c>
      <c r="K3309" s="2" t="s">
        <v>1797</v>
      </c>
      <c r="L3309" s="2" t="s">
        <v>16497</v>
      </c>
      <c r="M3309" s="2" t="s">
        <v>17158</v>
      </c>
      <c r="N3309" s="2" t="s">
        <v>17159</v>
      </c>
      <c r="O3309" s="2" t="s">
        <v>17160</v>
      </c>
      <c r="P3309" s="2" t="s">
        <v>17161</v>
      </c>
    </row>
    <row r="3310" ht="15.75" customHeight="1">
      <c r="H3310" s="2" t="s">
        <v>17162</v>
      </c>
      <c r="I3310" s="2" t="s">
        <v>526</v>
      </c>
      <c r="J3310" s="2" t="s">
        <v>527</v>
      </c>
      <c r="K3310" s="2" t="s">
        <v>2316</v>
      </c>
      <c r="L3310" s="2" t="s">
        <v>17163</v>
      </c>
      <c r="M3310" s="2" t="s">
        <v>17164</v>
      </c>
      <c r="N3310" s="2" t="s">
        <v>17165</v>
      </c>
      <c r="O3310" s="2" t="s">
        <v>17166</v>
      </c>
      <c r="P3310" s="2" t="s">
        <v>17167</v>
      </c>
    </row>
    <row r="3311" ht="15.75" customHeight="1">
      <c r="H3311" s="2" t="s">
        <v>17168</v>
      </c>
      <c r="I3311" s="2" t="s">
        <v>835</v>
      </c>
      <c r="J3311" s="2" t="s">
        <v>836</v>
      </c>
      <c r="K3311" s="2" t="s">
        <v>5573</v>
      </c>
      <c r="L3311" s="2" t="s">
        <v>17169</v>
      </c>
      <c r="M3311" s="2" t="s">
        <v>17170</v>
      </c>
      <c r="N3311" s="2" t="s">
        <v>17171</v>
      </c>
      <c r="O3311" s="2" t="s">
        <v>17172</v>
      </c>
      <c r="P3311" s="2" t="s">
        <v>17173</v>
      </c>
    </row>
    <row r="3312" ht="15.75" customHeight="1">
      <c r="H3312" s="2" t="s">
        <v>17174</v>
      </c>
      <c r="I3312" s="2" t="s">
        <v>17175</v>
      </c>
      <c r="J3312" s="2" t="s">
        <v>17176</v>
      </c>
      <c r="L3312" s="2" t="s">
        <v>16497</v>
      </c>
      <c r="M3312" s="2" t="s">
        <v>17177</v>
      </c>
      <c r="N3312" s="2" t="s">
        <v>17178</v>
      </c>
      <c r="O3312" s="2" t="s">
        <v>17179</v>
      </c>
      <c r="P3312" s="2" t="s">
        <v>869</v>
      </c>
    </row>
    <row r="3313" ht="15.75" customHeight="1">
      <c r="H3313" s="2" t="s">
        <v>17180</v>
      </c>
      <c r="I3313" s="2" t="s">
        <v>2504</v>
      </c>
      <c r="J3313" s="2" t="s">
        <v>2505</v>
      </c>
      <c r="K3313" s="2" t="s">
        <v>1816</v>
      </c>
      <c r="L3313" s="2" t="s">
        <v>16497</v>
      </c>
      <c r="M3313" s="2" t="s">
        <v>17181</v>
      </c>
      <c r="N3313" s="2" t="s">
        <v>17182</v>
      </c>
      <c r="O3313" s="2" t="s">
        <v>17183</v>
      </c>
      <c r="P3313" s="2" t="s">
        <v>17184</v>
      </c>
    </row>
    <row r="3314" ht="15.75" customHeight="1">
      <c r="H3314" s="2" t="s">
        <v>17185</v>
      </c>
      <c r="I3314" s="2" t="s">
        <v>17186</v>
      </c>
      <c r="J3314" s="2" t="s">
        <v>17187</v>
      </c>
      <c r="K3314" s="2" t="s">
        <v>17188</v>
      </c>
      <c r="L3314" s="2" t="s">
        <v>16497</v>
      </c>
      <c r="M3314" s="2" t="s">
        <v>17189</v>
      </c>
      <c r="N3314" s="2" t="s">
        <v>17190</v>
      </c>
      <c r="O3314" s="2" t="s">
        <v>17191</v>
      </c>
      <c r="P3314" s="2" t="s">
        <v>869</v>
      </c>
    </row>
    <row r="3315" ht="15.75" customHeight="1">
      <c r="F3315" s="2" t="s">
        <v>534</v>
      </c>
      <c r="H3315" s="2" t="s">
        <v>17192</v>
      </c>
      <c r="I3315" s="2" t="s">
        <v>536</v>
      </c>
      <c r="J3315" s="2" t="s">
        <v>537</v>
      </c>
      <c r="K3315" s="2" t="s">
        <v>538</v>
      </c>
    </row>
    <row r="3316" ht="15.75" customHeight="1">
      <c r="F3316" s="2" t="s">
        <v>539</v>
      </c>
      <c r="H3316" s="2" t="s">
        <v>17193</v>
      </c>
      <c r="I3316" s="2" t="s">
        <v>2528</v>
      </c>
      <c r="J3316" s="2" t="s">
        <v>2529</v>
      </c>
      <c r="K3316" s="2" t="s">
        <v>1467</v>
      </c>
      <c r="L3316" s="2" t="s">
        <v>16497</v>
      </c>
      <c r="M3316" s="2" t="s">
        <v>17194</v>
      </c>
      <c r="N3316" s="2" t="s">
        <v>17195</v>
      </c>
      <c r="O3316" s="2" t="s">
        <v>17196</v>
      </c>
      <c r="P3316" s="2" t="s">
        <v>869</v>
      </c>
    </row>
    <row r="3317" ht="15.75" customHeight="1">
      <c r="H3317" s="2" t="s">
        <v>17197</v>
      </c>
      <c r="I3317" s="2" t="s">
        <v>541</v>
      </c>
      <c r="J3317" s="2" t="s">
        <v>542</v>
      </c>
      <c r="K3317" s="2" t="s">
        <v>886</v>
      </c>
      <c r="L3317" s="2" t="s">
        <v>17198</v>
      </c>
      <c r="M3317" s="2" t="s">
        <v>17199</v>
      </c>
      <c r="N3317" s="2" t="s">
        <v>17200</v>
      </c>
      <c r="O3317" s="2" t="s">
        <v>17201</v>
      </c>
      <c r="P3317" s="2" t="s">
        <v>869</v>
      </c>
    </row>
    <row r="3318" ht="15.75" customHeight="1">
      <c r="H3318" s="2" t="s">
        <v>17202</v>
      </c>
      <c r="I3318" s="2" t="s">
        <v>2583</v>
      </c>
      <c r="J3318" s="2" t="s">
        <v>2584</v>
      </c>
      <c r="L3318" s="2" t="s">
        <v>16497</v>
      </c>
      <c r="M3318" s="2" t="s">
        <v>17203</v>
      </c>
      <c r="N3318" s="2" t="s">
        <v>17204</v>
      </c>
      <c r="O3318" s="2" t="s">
        <v>17205</v>
      </c>
      <c r="P3318" s="2" t="s">
        <v>869</v>
      </c>
    </row>
    <row r="3319" ht="15.75" customHeight="1">
      <c r="F3319" s="2" t="s">
        <v>2597</v>
      </c>
      <c r="H3319" s="2" t="s">
        <v>17206</v>
      </c>
      <c r="I3319" s="2" t="s">
        <v>12771</v>
      </c>
      <c r="J3319" s="2" t="s">
        <v>12772</v>
      </c>
      <c r="K3319" s="2" t="s">
        <v>12822</v>
      </c>
      <c r="L3319" s="2" t="s">
        <v>16497</v>
      </c>
      <c r="M3319" s="2" t="s">
        <v>17207</v>
      </c>
      <c r="N3319" s="2" t="s">
        <v>17208</v>
      </c>
      <c r="O3319" s="2" t="s">
        <v>17209</v>
      </c>
      <c r="P3319" s="2" t="s">
        <v>869</v>
      </c>
    </row>
    <row r="3320" ht="15.75" customHeight="1">
      <c r="H3320" s="2" t="s">
        <v>17210</v>
      </c>
      <c r="I3320" s="2" t="s">
        <v>2624</v>
      </c>
      <c r="J3320" s="2" t="s">
        <v>2625</v>
      </c>
      <c r="K3320" s="2" t="s">
        <v>963</v>
      </c>
      <c r="L3320" s="2" t="s">
        <v>16497</v>
      </c>
      <c r="M3320" s="2" t="s">
        <v>17211</v>
      </c>
      <c r="N3320" s="2" t="s">
        <v>17212</v>
      </c>
      <c r="O3320" s="2" t="s">
        <v>17213</v>
      </c>
      <c r="P3320" s="2" t="s">
        <v>17214</v>
      </c>
    </row>
    <row r="3321" ht="15.75" customHeight="1">
      <c r="F3321" s="2" t="s">
        <v>548</v>
      </c>
      <c r="H3321" s="2" t="s">
        <v>17215</v>
      </c>
      <c r="I3321" s="2" t="s">
        <v>2663</v>
      </c>
      <c r="J3321" s="2" t="s">
        <v>2664</v>
      </c>
      <c r="K3321" s="2" t="s">
        <v>1878</v>
      </c>
      <c r="L3321" s="2" t="s">
        <v>16497</v>
      </c>
      <c r="M3321" s="2" t="s">
        <v>17216</v>
      </c>
      <c r="N3321" s="2" t="s">
        <v>17217</v>
      </c>
      <c r="O3321" s="2" t="s">
        <v>17218</v>
      </c>
      <c r="P3321" s="2" t="s">
        <v>869</v>
      </c>
    </row>
    <row r="3322" ht="15.75" customHeight="1">
      <c r="H3322" s="2" t="s">
        <v>17219</v>
      </c>
      <c r="I3322" s="2" t="s">
        <v>17220</v>
      </c>
      <c r="J3322" s="2" t="s">
        <v>17221</v>
      </c>
      <c r="L3322" s="2" t="s">
        <v>16497</v>
      </c>
      <c r="M3322" s="2" t="s">
        <v>17222</v>
      </c>
      <c r="N3322" s="2" t="s">
        <v>17223</v>
      </c>
      <c r="O3322" s="2" t="s">
        <v>17224</v>
      </c>
      <c r="P3322" s="2" t="s">
        <v>869</v>
      </c>
    </row>
    <row r="3323" ht="15.75" customHeight="1">
      <c r="H3323" s="2" t="s">
        <v>17225</v>
      </c>
      <c r="I3323" s="2" t="s">
        <v>8036</v>
      </c>
      <c r="J3323" s="2" t="s">
        <v>8037</v>
      </c>
      <c r="K3323" s="2" t="s">
        <v>874</v>
      </c>
      <c r="L3323" s="2" t="s">
        <v>16497</v>
      </c>
      <c r="M3323" s="2" t="s">
        <v>17226</v>
      </c>
      <c r="N3323" s="2" t="s">
        <v>17227</v>
      </c>
      <c r="O3323" s="2" t="s">
        <v>17228</v>
      </c>
      <c r="P3323" s="2" t="s">
        <v>869</v>
      </c>
    </row>
    <row r="3324" ht="15.75" customHeight="1">
      <c r="H3324" s="2" t="s">
        <v>17229</v>
      </c>
      <c r="I3324" s="2" t="s">
        <v>550</v>
      </c>
      <c r="J3324" s="2" t="s">
        <v>551</v>
      </c>
      <c r="K3324" s="2" t="s">
        <v>963</v>
      </c>
      <c r="L3324" s="2" t="s">
        <v>16497</v>
      </c>
      <c r="M3324" s="2" t="s">
        <v>17230</v>
      </c>
      <c r="N3324" s="2" t="s">
        <v>17231</v>
      </c>
      <c r="O3324" s="2" t="s">
        <v>17232</v>
      </c>
      <c r="P3324" s="2" t="s">
        <v>17233</v>
      </c>
    </row>
    <row r="3325" ht="15.75" customHeight="1">
      <c r="H3325" s="2" t="s">
        <v>17234</v>
      </c>
      <c r="I3325" s="2" t="s">
        <v>17235</v>
      </c>
      <c r="J3325" s="2" t="s">
        <v>17236</v>
      </c>
      <c r="K3325" s="2" t="s">
        <v>12424</v>
      </c>
      <c r="L3325" s="2" t="s">
        <v>16497</v>
      </c>
      <c r="M3325" s="2" t="s">
        <v>17237</v>
      </c>
      <c r="N3325" s="2" t="s">
        <v>17238</v>
      </c>
      <c r="O3325" s="2" t="s">
        <v>17239</v>
      </c>
      <c r="P3325" s="2" t="s">
        <v>869</v>
      </c>
    </row>
    <row r="3326" ht="15.75" customHeight="1">
      <c r="H3326" s="2" t="s">
        <v>17240</v>
      </c>
      <c r="I3326" s="2" t="s">
        <v>2681</v>
      </c>
      <c r="J3326" s="2" t="s">
        <v>2682</v>
      </c>
      <c r="K3326" s="2" t="s">
        <v>1424</v>
      </c>
      <c r="L3326" s="2" t="s">
        <v>16497</v>
      </c>
      <c r="M3326" s="2" t="s">
        <v>17241</v>
      </c>
      <c r="N3326" s="2" t="s">
        <v>17242</v>
      </c>
      <c r="O3326" s="2" t="s">
        <v>17243</v>
      </c>
      <c r="P3326" s="2" t="s">
        <v>869</v>
      </c>
    </row>
    <row r="3327" ht="15.75" customHeight="1">
      <c r="F3327" s="2" t="s">
        <v>2693</v>
      </c>
      <c r="H3327" s="2" t="s">
        <v>17244</v>
      </c>
      <c r="I3327" s="2" t="s">
        <v>2710</v>
      </c>
      <c r="J3327" s="2" t="s">
        <v>2711</v>
      </c>
      <c r="K3327" s="2" t="s">
        <v>963</v>
      </c>
      <c r="L3327" s="2" t="s">
        <v>16497</v>
      </c>
      <c r="M3327" s="2" t="s">
        <v>17245</v>
      </c>
      <c r="N3327" s="2" t="s">
        <v>17246</v>
      </c>
      <c r="O3327" s="2" t="s">
        <v>17247</v>
      </c>
      <c r="P3327" s="2" t="s">
        <v>869</v>
      </c>
    </row>
    <row r="3328" ht="15.75" customHeight="1">
      <c r="H3328" s="2" t="s">
        <v>17248</v>
      </c>
      <c r="I3328" s="2" t="s">
        <v>11431</v>
      </c>
      <c r="J3328" s="2" t="s">
        <v>11432</v>
      </c>
      <c r="K3328" s="2" t="s">
        <v>1297</v>
      </c>
      <c r="L3328" s="2" t="s">
        <v>16497</v>
      </c>
      <c r="M3328" s="2" t="s">
        <v>17249</v>
      </c>
      <c r="N3328" s="2" t="s">
        <v>17250</v>
      </c>
      <c r="O3328" s="2" t="s">
        <v>17251</v>
      </c>
      <c r="P3328" s="2" t="s">
        <v>869</v>
      </c>
    </row>
    <row r="3329" ht="15.75" customHeight="1">
      <c r="H3329" s="2" t="s">
        <v>17252</v>
      </c>
      <c r="I3329" s="2" t="s">
        <v>2746</v>
      </c>
      <c r="J3329" s="2" t="s">
        <v>2747</v>
      </c>
      <c r="K3329" s="2" t="s">
        <v>1569</v>
      </c>
      <c r="L3329" s="2" t="s">
        <v>16497</v>
      </c>
      <c r="M3329" s="2" t="s">
        <v>17253</v>
      </c>
      <c r="N3329" s="2" t="s">
        <v>17254</v>
      </c>
      <c r="O3329" s="2" t="s">
        <v>17255</v>
      </c>
      <c r="P3329" s="2" t="s">
        <v>17256</v>
      </c>
    </row>
    <row r="3330" ht="15.75" customHeight="1">
      <c r="F3330" s="2" t="s">
        <v>556</v>
      </c>
      <c r="H3330" s="2" t="s">
        <v>17257</v>
      </c>
      <c r="I3330" s="2" t="s">
        <v>558</v>
      </c>
      <c r="J3330" s="2" t="s">
        <v>559</v>
      </c>
      <c r="K3330" s="2" t="s">
        <v>1362</v>
      </c>
      <c r="L3330" s="2" t="s">
        <v>16497</v>
      </c>
      <c r="M3330" s="2" t="s">
        <v>17258</v>
      </c>
      <c r="N3330" s="2" t="s">
        <v>17259</v>
      </c>
      <c r="O3330" s="2" t="s">
        <v>17260</v>
      </c>
      <c r="P3330" s="2" t="s">
        <v>17261</v>
      </c>
    </row>
    <row r="3331" ht="15.75" customHeight="1">
      <c r="H3331" s="2" t="s">
        <v>17262</v>
      </c>
      <c r="I3331" s="2" t="s">
        <v>2769</v>
      </c>
      <c r="J3331" s="2" t="s">
        <v>2770</v>
      </c>
      <c r="L3331" s="2" t="s">
        <v>16497</v>
      </c>
      <c r="M3331" s="2" t="s">
        <v>17263</v>
      </c>
      <c r="N3331" s="2" t="s">
        <v>17264</v>
      </c>
      <c r="O3331" s="2" t="s">
        <v>17265</v>
      </c>
      <c r="P3331" s="2" t="s">
        <v>869</v>
      </c>
    </row>
    <row r="3332" ht="15.75" customHeight="1">
      <c r="H3332" s="2" t="s">
        <v>17266</v>
      </c>
      <c r="I3332" s="2" t="s">
        <v>12028</v>
      </c>
      <c r="J3332" s="2" t="s">
        <v>12029</v>
      </c>
      <c r="K3332" s="2" t="s">
        <v>996</v>
      </c>
      <c r="L3332" s="2" t="s">
        <v>16497</v>
      </c>
      <c r="M3332" s="2" t="s">
        <v>17267</v>
      </c>
      <c r="N3332" s="2" t="s">
        <v>17268</v>
      </c>
      <c r="O3332" s="2" t="s">
        <v>17269</v>
      </c>
      <c r="P3332" s="2" t="s">
        <v>869</v>
      </c>
    </row>
    <row r="3333" ht="15.75" customHeight="1">
      <c r="H3333" s="2" t="s">
        <v>17270</v>
      </c>
      <c r="I3333" s="2" t="s">
        <v>8166</v>
      </c>
      <c r="J3333" s="2" t="s">
        <v>8167</v>
      </c>
      <c r="L3333" s="2" t="s">
        <v>16497</v>
      </c>
      <c r="M3333" s="2" t="s">
        <v>17271</v>
      </c>
      <c r="N3333" s="2" t="s">
        <v>17272</v>
      </c>
      <c r="O3333" s="2" t="s">
        <v>17273</v>
      </c>
      <c r="P3333" s="2" t="s">
        <v>869</v>
      </c>
    </row>
    <row r="3334" ht="15.75" customHeight="1">
      <c r="H3334" s="2" t="s">
        <v>17274</v>
      </c>
      <c r="I3334" s="2" t="s">
        <v>17275</v>
      </c>
      <c r="J3334" s="2" t="s">
        <v>17276</v>
      </c>
      <c r="K3334" s="2" t="s">
        <v>906</v>
      </c>
      <c r="L3334" s="2" t="s">
        <v>16497</v>
      </c>
      <c r="M3334" s="2" t="s">
        <v>17277</v>
      </c>
      <c r="N3334" s="2" t="s">
        <v>17278</v>
      </c>
      <c r="O3334" s="2" t="s">
        <v>17279</v>
      </c>
      <c r="P3334" s="2" t="s">
        <v>869</v>
      </c>
    </row>
    <row r="3335" ht="15.75" customHeight="1">
      <c r="H3335" s="2" t="s">
        <v>17280</v>
      </c>
      <c r="I3335" s="2" t="s">
        <v>574</v>
      </c>
      <c r="J3335" s="2" t="s">
        <v>575</v>
      </c>
      <c r="K3335" s="2" t="s">
        <v>2223</v>
      </c>
      <c r="L3335" s="2" t="s">
        <v>16497</v>
      </c>
      <c r="M3335" s="2" t="s">
        <v>17281</v>
      </c>
      <c r="N3335" s="2" t="s">
        <v>17282</v>
      </c>
      <c r="O3335" s="2" t="s">
        <v>17283</v>
      </c>
      <c r="P3335" s="2" t="s">
        <v>869</v>
      </c>
    </row>
    <row r="3336" ht="15.75" customHeight="1">
      <c r="F3336" s="2" t="s">
        <v>2827</v>
      </c>
      <c r="H3336" s="2" t="s">
        <v>17284</v>
      </c>
      <c r="I3336" s="2" t="s">
        <v>2842</v>
      </c>
      <c r="J3336" s="2" t="s">
        <v>2843</v>
      </c>
      <c r="K3336" s="2" t="s">
        <v>874</v>
      </c>
      <c r="L3336" s="2" t="s">
        <v>16497</v>
      </c>
      <c r="M3336" s="2" t="s">
        <v>17285</v>
      </c>
      <c r="N3336" s="2" t="s">
        <v>17286</v>
      </c>
      <c r="O3336" s="2" t="s">
        <v>17287</v>
      </c>
      <c r="P3336" s="2" t="s">
        <v>17288</v>
      </c>
    </row>
    <row r="3337" ht="15.75" customHeight="1">
      <c r="F3337" s="2" t="s">
        <v>581</v>
      </c>
      <c r="H3337" s="2" t="s">
        <v>17289</v>
      </c>
      <c r="I3337" s="2" t="s">
        <v>583</v>
      </c>
      <c r="J3337" s="2" t="s">
        <v>584</v>
      </c>
      <c r="K3337" s="2" t="s">
        <v>880</v>
      </c>
      <c r="L3337" s="2" t="s">
        <v>16497</v>
      </c>
      <c r="M3337" s="2" t="s">
        <v>17290</v>
      </c>
      <c r="N3337" s="2" t="s">
        <v>17291</v>
      </c>
      <c r="O3337" s="2" t="s">
        <v>17292</v>
      </c>
      <c r="P3337" s="2" t="s">
        <v>17293</v>
      </c>
    </row>
    <row r="3338" ht="15.75" customHeight="1">
      <c r="H3338" s="2" t="s">
        <v>17294</v>
      </c>
      <c r="I3338" s="2" t="s">
        <v>17295</v>
      </c>
      <c r="J3338" s="2" t="s">
        <v>17296</v>
      </c>
      <c r="K3338" s="2" t="s">
        <v>12749</v>
      </c>
      <c r="L3338" s="2" t="s">
        <v>16497</v>
      </c>
      <c r="M3338" s="2" t="s">
        <v>17297</v>
      </c>
      <c r="N3338" s="2" t="s">
        <v>17298</v>
      </c>
      <c r="O3338" s="2" t="s">
        <v>17299</v>
      </c>
      <c r="P3338" s="2" t="s">
        <v>17300</v>
      </c>
    </row>
    <row r="3339" ht="15.75" customHeight="1">
      <c r="H3339" s="2" t="s">
        <v>17301</v>
      </c>
      <c r="I3339" s="2" t="s">
        <v>17302</v>
      </c>
      <c r="J3339" s="2" t="s">
        <v>17303</v>
      </c>
      <c r="K3339" s="2" t="s">
        <v>17304</v>
      </c>
      <c r="L3339" s="2" t="s">
        <v>16497</v>
      </c>
      <c r="M3339" s="2" t="s">
        <v>17305</v>
      </c>
      <c r="N3339" s="2" t="s">
        <v>17306</v>
      </c>
      <c r="O3339" s="2" t="s">
        <v>17307</v>
      </c>
      <c r="P3339" s="2" t="s">
        <v>17308</v>
      </c>
    </row>
    <row r="3340" ht="15.75" customHeight="1">
      <c r="F3340" s="2" t="s">
        <v>2902</v>
      </c>
      <c r="H3340" s="2" t="s">
        <v>17309</v>
      </c>
      <c r="I3340" s="2" t="s">
        <v>8512</v>
      </c>
      <c r="J3340" s="2" t="s">
        <v>8513</v>
      </c>
      <c r="K3340" s="2" t="s">
        <v>853</v>
      </c>
      <c r="L3340" s="2" t="s">
        <v>16497</v>
      </c>
      <c r="M3340" s="2" t="s">
        <v>17310</v>
      </c>
      <c r="N3340" s="2" t="s">
        <v>17311</v>
      </c>
      <c r="O3340" s="2" t="s">
        <v>17312</v>
      </c>
      <c r="P3340" s="2" t="s">
        <v>869</v>
      </c>
    </row>
    <row r="3341" ht="15.75" customHeight="1">
      <c r="H3341" s="2" t="s">
        <v>17313</v>
      </c>
      <c r="I3341" s="2" t="s">
        <v>2925</v>
      </c>
      <c r="J3341" s="2" t="s">
        <v>2926</v>
      </c>
      <c r="K3341" s="2" t="s">
        <v>896</v>
      </c>
      <c r="L3341" s="2" t="s">
        <v>16497</v>
      </c>
      <c r="M3341" s="2" t="s">
        <v>17314</v>
      </c>
      <c r="N3341" s="2" t="s">
        <v>17315</v>
      </c>
      <c r="O3341" s="2" t="s">
        <v>17316</v>
      </c>
      <c r="P3341" s="2" t="s">
        <v>17317</v>
      </c>
    </row>
    <row r="3342" ht="15.75" customHeight="1">
      <c r="H3342" s="2" t="s">
        <v>17318</v>
      </c>
      <c r="I3342" s="2" t="s">
        <v>8649</v>
      </c>
      <c r="J3342" s="2" t="s">
        <v>8650</v>
      </c>
      <c r="K3342" s="2" t="s">
        <v>1027</v>
      </c>
      <c r="L3342" s="2" t="s">
        <v>16497</v>
      </c>
      <c r="M3342" s="2" t="s">
        <v>17319</v>
      </c>
      <c r="N3342" s="2" t="s">
        <v>17320</v>
      </c>
      <c r="O3342" s="2" t="s">
        <v>17321</v>
      </c>
      <c r="P3342" s="2" t="s">
        <v>869</v>
      </c>
    </row>
    <row r="3343" ht="15.75" customHeight="1">
      <c r="F3343" s="2" t="s">
        <v>598</v>
      </c>
      <c r="H3343" s="2" t="s">
        <v>17322</v>
      </c>
      <c r="I3343" s="2" t="s">
        <v>600</v>
      </c>
      <c r="J3343" s="2" t="s">
        <v>601</v>
      </c>
      <c r="K3343" s="2" t="s">
        <v>865</v>
      </c>
      <c r="L3343" s="2" t="s">
        <v>17323</v>
      </c>
      <c r="M3343" s="2" t="s">
        <v>17324</v>
      </c>
      <c r="N3343" s="2" t="s">
        <v>17325</v>
      </c>
      <c r="O3343" s="2" t="s">
        <v>17326</v>
      </c>
      <c r="P3343" s="2" t="s">
        <v>17327</v>
      </c>
    </row>
    <row r="3344" ht="15.75" customHeight="1">
      <c r="H3344" s="2" t="s">
        <v>17328</v>
      </c>
      <c r="I3344" s="2" t="s">
        <v>8674</v>
      </c>
      <c r="J3344" s="2" t="s">
        <v>8675</v>
      </c>
      <c r="K3344" s="2" t="s">
        <v>996</v>
      </c>
      <c r="L3344" s="2" t="s">
        <v>16497</v>
      </c>
      <c r="M3344" s="2" t="s">
        <v>17329</v>
      </c>
      <c r="N3344" s="2" t="s">
        <v>17330</v>
      </c>
      <c r="O3344" s="2" t="s">
        <v>17331</v>
      </c>
      <c r="P3344" s="2" t="s">
        <v>869</v>
      </c>
    </row>
    <row r="3345" ht="15.75" customHeight="1">
      <c r="H3345" s="2" t="s">
        <v>17332</v>
      </c>
      <c r="I3345" s="2" t="s">
        <v>608</v>
      </c>
      <c r="J3345" s="2" t="s">
        <v>609</v>
      </c>
      <c r="K3345" s="2" t="s">
        <v>1508</v>
      </c>
      <c r="L3345" s="2" t="s">
        <v>17333</v>
      </c>
      <c r="M3345" s="2" t="s">
        <v>17334</v>
      </c>
      <c r="N3345" s="2" t="s">
        <v>17335</v>
      </c>
      <c r="O3345" s="2" t="s">
        <v>17336</v>
      </c>
      <c r="P3345" s="2" t="s">
        <v>17337</v>
      </c>
    </row>
    <row r="3346" ht="15.75" customHeight="1">
      <c r="H3346" s="2" t="s">
        <v>17338</v>
      </c>
      <c r="I3346" s="2" t="s">
        <v>3018</v>
      </c>
      <c r="J3346" s="2" t="s">
        <v>3019</v>
      </c>
      <c r="K3346" s="2" t="s">
        <v>1145</v>
      </c>
      <c r="L3346" s="2" t="s">
        <v>16497</v>
      </c>
      <c r="M3346" s="2" t="s">
        <v>17339</v>
      </c>
      <c r="N3346" s="2" t="s">
        <v>17340</v>
      </c>
      <c r="O3346" s="2" t="s">
        <v>17341</v>
      </c>
      <c r="P3346" s="2" t="s">
        <v>17342</v>
      </c>
    </row>
    <row r="3347" ht="15.75" customHeight="1">
      <c r="H3347" s="2" t="s">
        <v>17343</v>
      </c>
      <c r="I3347" s="2" t="s">
        <v>8761</v>
      </c>
      <c r="J3347" s="2" t="s">
        <v>8762</v>
      </c>
      <c r="K3347" s="2" t="s">
        <v>2223</v>
      </c>
      <c r="L3347" s="2" t="s">
        <v>17344</v>
      </c>
      <c r="M3347" s="2" t="s">
        <v>8764</v>
      </c>
      <c r="N3347" s="2" t="s">
        <v>17345</v>
      </c>
      <c r="O3347" s="2" t="s">
        <v>17346</v>
      </c>
      <c r="P3347" s="2" t="s">
        <v>17347</v>
      </c>
    </row>
    <row r="3348" ht="15.75" customHeight="1">
      <c r="F3348" s="2" t="s">
        <v>3062</v>
      </c>
      <c r="H3348" s="2" t="s">
        <v>17348</v>
      </c>
      <c r="I3348" s="2" t="s">
        <v>3064</v>
      </c>
      <c r="J3348" s="2" t="s">
        <v>3065</v>
      </c>
      <c r="K3348" s="2" t="s">
        <v>1878</v>
      </c>
      <c r="L3348" s="2" t="s">
        <v>16497</v>
      </c>
      <c r="M3348" s="2" t="s">
        <v>17349</v>
      </c>
      <c r="N3348" s="2" t="s">
        <v>17350</v>
      </c>
      <c r="O3348" s="2" t="s">
        <v>17351</v>
      </c>
      <c r="P3348" s="2" t="s">
        <v>17352</v>
      </c>
    </row>
    <row r="3349" ht="15.75" customHeight="1">
      <c r="F3349" s="2" t="s">
        <v>3079</v>
      </c>
      <c r="H3349" s="2" t="s">
        <v>17353</v>
      </c>
      <c r="I3349" s="2" t="s">
        <v>17354</v>
      </c>
      <c r="J3349" s="2" t="s">
        <v>17355</v>
      </c>
      <c r="K3349" s="2" t="s">
        <v>6095</v>
      </c>
      <c r="L3349" s="2" t="s">
        <v>16497</v>
      </c>
      <c r="M3349" s="2" t="s">
        <v>17356</v>
      </c>
      <c r="N3349" s="2" t="s">
        <v>17357</v>
      </c>
      <c r="O3349" s="2" t="s">
        <v>17358</v>
      </c>
      <c r="P3349" s="2" t="s">
        <v>869</v>
      </c>
    </row>
    <row r="3350" ht="15.75" customHeight="1">
      <c r="H3350" s="2" t="s">
        <v>17359</v>
      </c>
      <c r="I3350" s="2" t="s">
        <v>3101</v>
      </c>
      <c r="J3350" s="2" t="s">
        <v>3102</v>
      </c>
      <c r="K3350" s="2" t="s">
        <v>966</v>
      </c>
      <c r="L3350" s="2" t="s">
        <v>16497</v>
      </c>
      <c r="M3350" s="2" t="s">
        <v>17360</v>
      </c>
      <c r="N3350" s="2" t="s">
        <v>17361</v>
      </c>
      <c r="O3350" s="2" t="s">
        <v>17362</v>
      </c>
      <c r="P3350" s="2" t="s">
        <v>17363</v>
      </c>
    </row>
    <row r="3351" ht="15.75" customHeight="1">
      <c r="H3351" s="2" t="s">
        <v>17364</v>
      </c>
      <c r="I3351" s="2" t="s">
        <v>3110</v>
      </c>
      <c r="J3351" s="2" t="s">
        <v>3111</v>
      </c>
      <c r="K3351" s="2" t="s">
        <v>1551</v>
      </c>
      <c r="L3351" s="2" t="s">
        <v>16497</v>
      </c>
      <c r="M3351" s="2" t="s">
        <v>17365</v>
      </c>
      <c r="N3351" s="2" t="s">
        <v>17366</v>
      </c>
      <c r="O3351" s="2" t="s">
        <v>17367</v>
      </c>
      <c r="P3351" s="2" t="s">
        <v>17368</v>
      </c>
    </row>
    <row r="3352" ht="15.75" customHeight="1">
      <c r="H3352" s="2" t="s">
        <v>17369</v>
      </c>
      <c r="I3352" s="2" t="s">
        <v>3120</v>
      </c>
      <c r="J3352" s="2" t="s">
        <v>3121</v>
      </c>
      <c r="K3352" s="2" t="s">
        <v>2937</v>
      </c>
      <c r="L3352" s="2" t="s">
        <v>16497</v>
      </c>
      <c r="M3352" s="2" t="s">
        <v>17370</v>
      </c>
      <c r="N3352" s="2" t="s">
        <v>17371</v>
      </c>
      <c r="O3352" s="2" t="s">
        <v>17372</v>
      </c>
      <c r="P3352" s="2" t="s">
        <v>869</v>
      </c>
    </row>
    <row r="3353" ht="15.75" customHeight="1">
      <c r="F3353" s="2" t="s">
        <v>3129</v>
      </c>
      <c r="H3353" s="2" t="s">
        <v>17373</v>
      </c>
      <c r="I3353" s="2" t="s">
        <v>3146</v>
      </c>
      <c r="J3353" s="2" t="s">
        <v>3147</v>
      </c>
      <c r="K3353" s="2" t="s">
        <v>1288</v>
      </c>
      <c r="L3353" s="2" t="s">
        <v>16497</v>
      </c>
      <c r="M3353" s="2" t="s">
        <v>17374</v>
      </c>
      <c r="N3353" s="2" t="s">
        <v>17375</v>
      </c>
      <c r="O3353" s="2" t="s">
        <v>17376</v>
      </c>
      <c r="P3353" s="2" t="s">
        <v>869</v>
      </c>
    </row>
    <row r="3354" ht="15.75" customHeight="1">
      <c r="F3354" s="2" t="s">
        <v>3170</v>
      </c>
      <c r="H3354" s="2" t="s">
        <v>17377</v>
      </c>
      <c r="I3354" s="2" t="s">
        <v>3172</v>
      </c>
      <c r="J3354" s="2" t="s">
        <v>3173</v>
      </c>
      <c r="K3354" s="2" t="s">
        <v>861</v>
      </c>
      <c r="L3354" s="2" t="s">
        <v>16497</v>
      </c>
      <c r="M3354" s="2" t="s">
        <v>17378</v>
      </c>
      <c r="N3354" s="2" t="s">
        <v>17379</v>
      </c>
      <c r="O3354" s="2" t="s">
        <v>17380</v>
      </c>
      <c r="P3354" s="2" t="s">
        <v>17381</v>
      </c>
    </row>
    <row r="3355" ht="15.75" customHeight="1">
      <c r="F3355" s="2" t="s">
        <v>624</v>
      </c>
      <c r="H3355" s="2" t="s">
        <v>17382</v>
      </c>
      <c r="I3355" s="2" t="s">
        <v>3221</v>
      </c>
      <c r="J3355" s="2" t="s">
        <v>3222</v>
      </c>
      <c r="K3355" s="2" t="s">
        <v>890</v>
      </c>
      <c r="L3355" s="2" t="s">
        <v>16497</v>
      </c>
      <c r="M3355" s="2" t="s">
        <v>17383</v>
      </c>
      <c r="N3355" s="2" t="s">
        <v>17384</v>
      </c>
      <c r="O3355" s="2" t="s">
        <v>17385</v>
      </c>
      <c r="P3355" s="2" t="s">
        <v>869</v>
      </c>
    </row>
    <row r="3356" ht="15.75" customHeight="1">
      <c r="H3356" s="2" t="s">
        <v>17386</v>
      </c>
      <c r="I3356" s="2" t="s">
        <v>17387</v>
      </c>
      <c r="J3356" s="2" t="s">
        <v>17388</v>
      </c>
      <c r="K3356" s="2" t="s">
        <v>17389</v>
      </c>
      <c r="L3356" s="2" t="s">
        <v>16497</v>
      </c>
      <c r="M3356" s="2" t="s">
        <v>17390</v>
      </c>
      <c r="N3356" s="2" t="s">
        <v>17391</v>
      </c>
      <c r="O3356" s="2" t="s">
        <v>17392</v>
      </c>
      <c r="P3356" s="2" t="s">
        <v>869</v>
      </c>
    </row>
    <row r="3357" ht="15.75" customHeight="1">
      <c r="H3357" s="2" t="s">
        <v>17393</v>
      </c>
      <c r="I3357" s="2" t="s">
        <v>12050</v>
      </c>
      <c r="J3357" s="2" t="s">
        <v>12051</v>
      </c>
      <c r="K3357" s="2" t="s">
        <v>17304</v>
      </c>
      <c r="L3357" s="2" t="s">
        <v>16497</v>
      </c>
      <c r="M3357" s="2" t="s">
        <v>17394</v>
      </c>
      <c r="N3357" s="2" t="s">
        <v>17395</v>
      </c>
      <c r="O3357" s="2" t="s">
        <v>17396</v>
      </c>
      <c r="P3357" s="2" t="s">
        <v>17397</v>
      </c>
    </row>
    <row r="3358" ht="15.75" customHeight="1">
      <c r="H3358" s="2" t="s">
        <v>17398</v>
      </c>
      <c r="I3358" s="2" t="s">
        <v>626</v>
      </c>
      <c r="J3358" s="2" t="s">
        <v>627</v>
      </c>
      <c r="K3358" s="2" t="s">
        <v>2203</v>
      </c>
      <c r="L3358" s="2" t="s">
        <v>17399</v>
      </c>
      <c r="M3358" s="2" t="s">
        <v>17400</v>
      </c>
      <c r="N3358" s="2" t="s">
        <v>17401</v>
      </c>
      <c r="O3358" s="2" t="s">
        <v>17402</v>
      </c>
      <c r="P3358" s="2" t="s">
        <v>17403</v>
      </c>
    </row>
    <row r="3359" ht="15.75" customHeight="1">
      <c r="H3359" s="2" t="s">
        <v>17404</v>
      </c>
      <c r="I3359" s="2" t="s">
        <v>9107</v>
      </c>
      <c r="J3359" s="2" t="s">
        <v>9108</v>
      </c>
      <c r="K3359" s="2" t="s">
        <v>1443</v>
      </c>
      <c r="L3359" s="2" t="s">
        <v>16497</v>
      </c>
      <c r="M3359" s="2" t="s">
        <v>17405</v>
      </c>
      <c r="N3359" s="2" t="s">
        <v>17406</v>
      </c>
      <c r="O3359" s="2" t="s">
        <v>17407</v>
      </c>
      <c r="P3359" s="2" t="s">
        <v>17408</v>
      </c>
    </row>
    <row r="3360" ht="15.75" customHeight="1">
      <c r="F3360" s="2" t="s">
        <v>634</v>
      </c>
      <c r="H3360" s="2" t="s">
        <v>17409</v>
      </c>
      <c r="I3360" s="2" t="s">
        <v>5634</v>
      </c>
      <c r="J3360" s="2" t="s">
        <v>5635</v>
      </c>
      <c r="K3360" s="2" t="s">
        <v>1061</v>
      </c>
      <c r="L3360" s="2" t="s">
        <v>16497</v>
      </c>
      <c r="M3360" s="2" t="s">
        <v>17410</v>
      </c>
      <c r="N3360" s="2" t="s">
        <v>17411</v>
      </c>
      <c r="O3360" s="2" t="s">
        <v>17412</v>
      </c>
      <c r="P3360" s="2" t="s">
        <v>869</v>
      </c>
    </row>
    <row r="3361" ht="15.75" customHeight="1">
      <c r="H3361" s="2" t="s">
        <v>17413</v>
      </c>
      <c r="I3361" s="2" t="s">
        <v>9201</v>
      </c>
      <c r="J3361" s="2" t="s">
        <v>9202</v>
      </c>
      <c r="L3361" s="2" t="s">
        <v>16497</v>
      </c>
      <c r="M3361" s="2" t="s">
        <v>17414</v>
      </c>
      <c r="N3361" s="2" t="s">
        <v>17415</v>
      </c>
      <c r="O3361" s="2" t="s">
        <v>17416</v>
      </c>
      <c r="P3361" s="2" t="s">
        <v>869</v>
      </c>
    </row>
    <row r="3362" ht="15.75" customHeight="1">
      <c r="H3362" s="2" t="s">
        <v>17417</v>
      </c>
      <c r="I3362" s="2" t="s">
        <v>3357</v>
      </c>
      <c r="J3362" s="2" t="s">
        <v>3358</v>
      </c>
      <c r="K3362" s="2" t="s">
        <v>886</v>
      </c>
      <c r="L3362" s="2" t="s">
        <v>16497</v>
      </c>
      <c r="M3362" s="2" t="s">
        <v>17418</v>
      </c>
      <c r="N3362" s="2" t="s">
        <v>17419</v>
      </c>
      <c r="O3362" s="2" t="s">
        <v>17420</v>
      </c>
      <c r="P3362" s="2" t="s">
        <v>17421</v>
      </c>
    </row>
    <row r="3363" ht="15.75" customHeight="1">
      <c r="F3363" s="2" t="s">
        <v>3384</v>
      </c>
      <c r="H3363" s="2" t="s">
        <v>17422</v>
      </c>
      <c r="I3363" s="2" t="s">
        <v>3391</v>
      </c>
      <c r="J3363" s="2" t="s">
        <v>3392</v>
      </c>
      <c r="L3363" s="2" t="s">
        <v>16497</v>
      </c>
      <c r="M3363" s="2" t="s">
        <v>17423</v>
      </c>
      <c r="N3363" s="2" t="s">
        <v>17424</v>
      </c>
      <c r="O3363" s="2" t="s">
        <v>17425</v>
      </c>
      <c r="P3363" s="2" t="s">
        <v>869</v>
      </c>
    </row>
    <row r="3364" ht="15.75" customHeight="1">
      <c r="H3364" s="2" t="s">
        <v>17426</v>
      </c>
      <c r="I3364" s="2" t="s">
        <v>3401</v>
      </c>
      <c r="J3364" s="2" t="s">
        <v>3402</v>
      </c>
      <c r="K3364" s="2" t="s">
        <v>1288</v>
      </c>
      <c r="L3364" s="2" t="s">
        <v>16497</v>
      </c>
      <c r="M3364" s="2" t="s">
        <v>17427</v>
      </c>
      <c r="N3364" s="2" t="s">
        <v>17428</v>
      </c>
      <c r="O3364" s="2" t="s">
        <v>17429</v>
      </c>
      <c r="P3364" s="2" t="s">
        <v>869</v>
      </c>
    </row>
    <row r="3365" ht="15.75" customHeight="1">
      <c r="H3365" s="2" t="s">
        <v>17430</v>
      </c>
      <c r="I3365" s="2" t="s">
        <v>17431</v>
      </c>
      <c r="J3365" s="2" t="s">
        <v>17432</v>
      </c>
      <c r="L3365" s="2" t="s">
        <v>16497</v>
      </c>
      <c r="M3365" s="2" t="s">
        <v>17433</v>
      </c>
      <c r="N3365" s="2" t="s">
        <v>17434</v>
      </c>
      <c r="O3365" s="2" t="s">
        <v>17435</v>
      </c>
      <c r="P3365" s="2" t="s">
        <v>869</v>
      </c>
    </row>
    <row r="3366" ht="15.75" customHeight="1">
      <c r="F3366" s="2" t="s">
        <v>651</v>
      </c>
      <c r="H3366" s="2" t="s">
        <v>17436</v>
      </c>
      <c r="I3366" s="2" t="s">
        <v>3462</v>
      </c>
      <c r="J3366" s="2" t="s">
        <v>3463</v>
      </c>
      <c r="K3366" s="2" t="s">
        <v>1136</v>
      </c>
      <c r="L3366" s="2" t="s">
        <v>16497</v>
      </c>
      <c r="M3366" s="2" t="s">
        <v>17437</v>
      </c>
      <c r="N3366" s="2" t="s">
        <v>17438</v>
      </c>
      <c r="O3366" s="2" t="s">
        <v>17439</v>
      </c>
      <c r="P3366" s="2" t="s">
        <v>17440</v>
      </c>
    </row>
    <row r="3367" ht="15.75" customHeight="1">
      <c r="H3367" s="2" t="s">
        <v>17441</v>
      </c>
      <c r="I3367" s="2" t="s">
        <v>653</v>
      </c>
      <c r="J3367" s="2" t="s">
        <v>654</v>
      </c>
      <c r="K3367" s="2" t="s">
        <v>1508</v>
      </c>
      <c r="L3367" s="2" t="s">
        <v>17442</v>
      </c>
      <c r="M3367" s="2" t="s">
        <v>17443</v>
      </c>
      <c r="N3367" s="2" t="s">
        <v>17444</v>
      </c>
      <c r="O3367" s="2" t="s">
        <v>17445</v>
      </c>
      <c r="P3367" s="2" t="s">
        <v>17446</v>
      </c>
    </row>
    <row r="3368" ht="15.75" customHeight="1">
      <c r="H3368" s="2" t="s">
        <v>17447</v>
      </c>
      <c r="I3368" s="2" t="s">
        <v>16331</v>
      </c>
      <c r="J3368" s="2" t="s">
        <v>16332</v>
      </c>
      <c r="K3368" s="2" t="s">
        <v>1319</v>
      </c>
      <c r="L3368" s="2" t="s">
        <v>16497</v>
      </c>
      <c r="M3368" s="2" t="s">
        <v>17448</v>
      </c>
      <c r="N3368" s="2" t="s">
        <v>17449</v>
      </c>
      <c r="O3368" s="2" t="s">
        <v>17450</v>
      </c>
      <c r="P3368" s="2" t="s">
        <v>869</v>
      </c>
    </row>
    <row r="3369" ht="15.75" customHeight="1">
      <c r="F3369" s="2" t="s">
        <v>3521</v>
      </c>
      <c r="H3369" s="2" t="s">
        <v>17451</v>
      </c>
      <c r="I3369" s="2" t="s">
        <v>12397</v>
      </c>
      <c r="J3369" s="2" t="s">
        <v>12398</v>
      </c>
      <c r="L3369" s="2" t="s">
        <v>16497</v>
      </c>
      <c r="M3369" s="2" t="s">
        <v>17452</v>
      </c>
      <c r="N3369" s="2" t="s">
        <v>17453</v>
      </c>
      <c r="O3369" s="2" t="s">
        <v>17454</v>
      </c>
      <c r="P3369" s="2" t="s">
        <v>869</v>
      </c>
    </row>
    <row r="3370" ht="15.75" customHeight="1">
      <c r="H3370" s="2" t="s">
        <v>17455</v>
      </c>
      <c r="I3370" s="2" t="s">
        <v>3538</v>
      </c>
      <c r="J3370" s="2" t="s">
        <v>3539</v>
      </c>
      <c r="K3370" s="2" t="s">
        <v>970</v>
      </c>
      <c r="L3370" s="2" t="s">
        <v>16497</v>
      </c>
      <c r="M3370" s="2" t="s">
        <v>17456</v>
      </c>
      <c r="N3370" s="2" t="s">
        <v>17457</v>
      </c>
      <c r="O3370" s="2" t="s">
        <v>17458</v>
      </c>
      <c r="P3370" s="2" t="s">
        <v>869</v>
      </c>
    </row>
    <row r="3371" ht="15.75" customHeight="1">
      <c r="H3371" s="2" t="s">
        <v>17459</v>
      </c>
      <c r="I3371" s="2" t="s">
        <v>3553</v>
      </c>
      <c r="J3371" s="2" t="s">
        <v>3554</v>
      </c>
      <c r="K3371" s="2" t="s">
        <v>900</v>
      </c>
      <c r="L3371" s="2" t="s">
        <v>16497</v>
      </c>
      <c r="M3371" s="2" t="s">
        <v>17460</v>
      </c>
      <c r="N3371" s="2" t="s">
        <v>17461</v>
      </c>
      <c r="O3371" s="2" t="s">
        <v>17462</v>
      </c>
      <c r="P3371" s="2" t="s">
        <v>17463</v>
      </c>
    </row>
    <row r="3372" ht="15.75" customHeight="1">
      <c r="H3372" s="2" t="s">
        <v>17464</v>
      </c>
      <c r="I3372" s="2" t="s">
        <v>3558</v>
      </c>
      <c r="J3372" s="2" t="s">
        <v>3559</v>
      </c>
      <c r="K3372" s="2" t="s">
        <v>906</v>
      </c>
      <c r="L3372" s="2" t="s">
        <v>16497</v>
      </c>
      <c r="M3372" s="2" t="s">
        <v>17465</v>
      </c>
      <c r="N3372" s="2" t="s">
        <v>17466</v>
      </c>
      <c r="O3372" s="2" t="s">
        <v>17467</v>
      </c>
      <c r="P3372" s="2" t="s">
        <v>17468</v>
      </c>
    </row>
    <row r="3373" ht="15.75" customHeight="1">
      <c r="F3373" s="2" t="s">
        <v>3567</v>
      </c>
      <c r="H3373" s="2" t="s">
        <v>17469</v>
      </c>
      <c r="I3373" s="2" t="s">
        <v>3569</v>
      </c>
      <c r="J3373" s="2" t="s">
        <v>3570</v>
      </c>
      <c r="K3373" s="2" t="s">
        <v>1368</v>
      </c>
      <c r="L3373" s="2" t="s">
        <v>16497</v>
      </c>
      <c r="M3373" s="2" t="s">
        <v>17470</v>
      </c>
      <c r="N3373" s="2" t="s">
        <v>17471</v>
      </c>
      <c r="O3373" s="2" t="s">
        <v>17472</v>
      </c>
      <c r="P3373" s="2" t="s">
        <v>869</v>
      </c>
    </row>
    <row r="3374" ht="15.75" customHeight="1">
      <c r="H3374" s="2" t="s">
        <v>17473</v>
      </c>
      <c r="I3374" s="2" t="s">
        <v>17474</v>
      </c>
      <c r="J3374" s="2" t="s">
        <v>17475</v>
      </c>
      <c r="K3374" s="2" t="s">
        <v>17476</v>
      </c>
      <c r="L3374" s="2" t="s">
        <v>16497</v>
      </c>
      <c r="M3374" s="2" t="s">
        <v>17477</v>
      </c>
      <c r="N3374" s="2" t="s">
        <v>17478</v>
      </c>
      <c r="O3374" s="2" t="s">
        <v>17479</v>
      </c>
      <c r="P3374" s="2" t="s">
        <v>869</v>
      </c>
    </row>
    <row r="3375" ht="15.75" customHeight="1">
      <c r="F3375" s="2" t="s">
        <v>3577</v>
      </c>
      <c r="H3375" s="2" t="s">
        <v>17480</v>
      </c>
      <c r="I3375" s="2" t="s">
        <v>17481</v>
      </c>
      <c r="J3375" s="2" t="s">
        <v>17482</v>
      </c>
      <c r="K3375" s="2" t="s">
        <v>15946</v>
      </c>
      <c r="L3375" s="2" t="s">
        <v>16497</v>
      </c>
      <c r="M3375" s="2" t="s">
        <v>17483</v>
      </c>
      <c r="N3375" s="2" t="s">
        <v>17484</v>
      </c>
      <c r="O3375" s="2" t="s">
        <v>17485</v>
      </c>
      <c r="P3375" s="2" t="s">
        <v>17486</v>
      </c>
    </row>
    <row r="3376" ht="15.75" customHeight="1">
      <c r="H3376" s="2" t="s">
        <v>17487</v>
      </c>
      <c r="I3376" s="2" t="s">
        <v>3593</v>
      </c>
      <c r="J3376" s="2" t="s">
        <v>3594</v>
      </c>
      <c r="K3376" s="2" t="s">
        <v>1288</v>
      </c>
      <c r="L3376" s="2" t="s">
        <v>16497</v>
      </c>
      <c r="M3376" s="2" t="s">
        <v>17488</v>
      </c>
      <c r="N3376" s="2" t="s">
        <v>17489</v>
      </c>
      <c r="O3376" s="2" t="s">
        <v>17490</v>
      </c>
      <c r="P3376" s="2" t="s">
        <v>17491</v>
      </c>
    </row>
    <row r="3377" ht="15.75" customHeight="1">
      <c r="H3377" s="2" t="s">
        <v>17492</v>
      </c>
      <c r="I3377" s="2" t="s">
        <v>3601</v>
      </c>
      <c r="J3377" s="2" t="s">
        <v>3602</v>
      </c>
      <c r="K3377" s="2" t="s">
        <v>1128</v>
      </c>
      <c r="L3377" s="2" t="s">
        <v>16497</v>
      </c>
      <c r="M3377" s="2" t="s">
        <v>17493</v>
      </c>
      <c r="N3377" s="2" t="s">
        <v>17494</v>
      </c>
      <c r="O3377" s="2" t="s">
        <v>17495</v>
      </c>
      <c r="P3377" s="2" t="s">
        <v>17496</v>
      </c>
    </row>
    <row r="3378" ht="15.75" customHeight="1">
      <c r="F3378" s="2" t="s">
        <v>3605</v>
      </c>
      <c r="H3378" s="2" t="s">
        <v>17497</v>
      </c>
      <c r="I3378" s="2" t="s">
        <v>3622</v>
      </c>
      <c r="J3378" s="2" t="s">
        <v>3623</v>
      </c>
      <c r="K3378" s="2" t="s">
        <v>996</v>
      </c>
      <c r="L3378" s="2" t="s">
        <v>16497</v>
      </c>
      <c r="M3378" s="2" t="s">
        <v>17498</v>
      </c>
      <c r="N3378" s="2" t="s">
        <v>17499</v>
      </c>
      <c r="O3378" s="2" t="s">
        <v>17500</v>
      </c>
      <c r="P3378" s="2" t="s">
        <v>17501</v>
      </c>
    </row>
    <row r="3379" ht="15.75" customHeight="1">
      <c r="F3379" s="2" t="s">
        <v>3629</v>
      </c>
      <c r="H3379" s="2" t="s">
        <v>17502</v>
      </c>
      <c r="I3379" s="2" t="s">
        <v>3661</v>
      </c>
      <c r="J3379" s="2" t="s">
        <v>3662</v>
      </c>
      <c r="K3379" s="2" t="s">
        <v>880</v>
      </c>
      <c r="L3379" s="2" t="s">
        <v>16497</v>
      </c>
      <c r="M3379" s="2" t="s">
        <v>17503</v>
      </c>
      <c r="N3379" s="2" t="s">
        <v>17504</v>
      </c>
      <c r="O3379" s="2" t="s">
        <v>17505</v>
      </c>
      <c r="P3379" s="2" t="s">
        <v>17506</v>
      </c>
    </row>
    <row r="3380" ht="15.75" customHeight="1">
      <c r="F3380" s="2" t="s">
        <v>3685</v>
      </c>
      <c r="H3380" s="2" t="s">
        <v>17507</v>
      </c>
      <c r="I3380" s="2" t="s">
        <v>3697</v>
      </c>
      <c r="J3380" s="2" t="s">
        <v>3698</v>
      </c>
      <c r="K3380" s="2" t="s">
        <v>874</v>
      </c>
      <c r="L3380" s="2" t="s">
        <v>16497</v>
      </c>
      <c r="M3380" s="2" t="s">
        <v>17508</v>
      </c>
      <c r="N3380" s="2" t="s">
        <v>17509</v>
      </c>
      <c r="O3380" s="2" t="s">
        <v>17510</v>
      </c>
      <c r="P3380" s="2" t="s">
        <v>17511</v>
      </c>
    </row>
    <row r="3381" ht="15.75" customHeight="1">
      <c r="F3381" s="2" t="s">
        <v>660</v>
      </c>
      <c r="H3381" s="2" t="s">
        <v>17512</v>
      </c>
      <c r="I3381" s="2" t="s">
        <v>9751</v>
      </c>
      <c r="J3381" s="2" t="s">
        <v>9752</v>
      </c>
      <c r="K3381" s="2" t="s">
        <v>853</v>
      </c>
      <c r="L3381" s="2" t="s">
        <v>16497</v>
      </c>
      <c r="M3381" s="2" t="s">
        <v>17513</v>
      </c>
      <c r="N3381" s="2" t="s">
        <v>17514</v>
      </c>
      <c r="O3381" s="2" t="s">
        <v>17515</v>
      </c>
      <c r="P3381" s="2" t="s">
        <v>17516</v>
      </c>
    </row>
    <row r="3382" ht="15.75" customHeight="1">
      <c r="H3382" s="2" t="s">
        <v>17517</v>
      </c>
      <c r="I3382" s="2" t="s">
        <v>3727</v>
      </c>
      <c r="J3382" s="2" t="s">
        <v>3728</v>
      </c>
      <c r="K3382" s="2" t="s">
        <v>1508</v>
      </c>
      <c r="L3382" s="2" t="s">
        <v>16497</v>
      </c>
      <c r="M3382" s="2" t="s">
        <v>17518</v>
      </c>
      <c r="N3382" s="2" t="s">
        <v>17519</v>
      </c>
      <c r="O3382" s="2" t="s">
        <v>17520</v>
      </c>
      <c r="P3382" s="2" t="s">
        <v>17521</v>
      </c>
    </row>
    <row r="3383" ht="15.75" customHeight="1">
      <c r="H3383" s="2" t="s">
        <v>17522</v>
      </c>
      <c r="I3383" s="2" t="s">
        <v>662</v>
      </c>
      <c r="J3383" s="2" t="s">
        <v>663</v>
      </c>
      <c r="K3383" s="2" t="s">
        <v>1567</v>
      </c>
      <c r="L3383" s="2" t="s">
        <v>16497</v>
      </c>
      <c r="M3383" s="2" t="s">
        <v>17523</v>
      </c>
      <c r="N3383" s="2" t="s">
        <v>17524</v>
      </c>
      <c r="O3383" s="2" t="s">
        <v>17525</v>
      </c>
      <c r="P3383" s="2" t="s">
        <v>17526</v>
      </c>
    </row>
    <row r="3384" ht="15.75" customHeight="1">
      <c r="H3384" s="2" t="s">
        <v>17527</v>
      </c>
      <c r="I3384" s="2" t="s">
        <v>670</v>
      </c>
      <c r="J3384" s="2" t="s">
        <v>671</v>
      </c>
      <c r="K3384" s="2" t="s">
        <v>1331</v>
      </c>
      <c r="L3384" s="2" t="s">
        <v>16497</v>
      </c>
      <c r="M3384" s="2" t="s">
        <v>17528</v>
      </c>
      <c r="N3384" s="2" t="s">
        <v>17529</v>
      </c>
      <c r="O3384" s="2" t="s">
        <v>17530</v>
      </c>
      <c r="P3384" s="2" t="s">
        <v>17531</v>
      </c>
    </row>
    <row r="3385" ht="15.75" customHeight="1">
      <c r="F3385" s="2" t="s">
        <v>3762</v>
      </c>
      <c r="H3385" s="2" t="s">
        <v>17532</v>
      </c>
      <c r="I3385" s="2" t="s">
        <v>3809</v>
      </c>
      <c r="J3385" s="2" t="s">
        <v>3810</v>
      </c>
      <c r="K3385" s="2" t="s">
        <v>906</v>
      </c>
      <c r="L3385" s="2" t="s">
        <v>16497</v>
      </c>
      <c r="M3385" s="2" t="s">
        <v>17533</v>
      </c>
      <c r="N3385" s="2" t="s">
        <v>17534</v>
      </c>
      <c r="O3385" s="2" t="s">
        <v>17535</v>
      </c>
      <c r="P3385" s="2" t="s">
        <v>17536</v>
      </c>
    </row>
    <row r="3386" ht="15.75" customHeight="1">
      <c r="H3386" s="2" t="s">
        <v>17537</v>
      </c>
      <c r="I3386" s="2" t="s">
        <v>3826</v>
      </c>
      <c r="J3386" s="2" t="s">
        <v>3827</v>
      </c>
      <c r="K3386" s="2" t="s">
        <v>2551</v>
      </c>
      <c r="L3386" s="2" t="s">
        <v>16497</v>
      </c>
      <c r="M3386" s="2" t="s">
        <v>17538</v>
      </c>
      <c r="N3386" s="2" t="s">
        <v>17539</v>
      </c>
      <c r="O3386" s="2" t="s">
        <v>17540</v>
      </c>
      <c r="P3386" s="2" t="s">
        <v>17541</v>
      </c>
    </row>
    <row r="3387" ht="15.75" customHeight="1">
      <c r="F3387" s="2" t="s">
        <v>677</v>
      </c>
      <c r="H3387" s="2" t="s">
        <v>17542</v>
      </c>
      <c r="I3387" s="2" t="s">
        <v>8130</v>
      </c>
      <c r="J3387" s="2" t="s">
        <v>8131</v>
      </c>
      <c r="K3387" s="2" t="s">
        <v>1508</v>
      </c>
      <c r="L3387" s="2" t="s">
        <v>16497</v>
      </c>
      <c r="M3387" s="2" t="s">
        <v>17543</v>
      </c>
      <c r="N3387" s="2" t="s">
        <v>17544</v>
      </c>
      <c r="O3387" s="2" t="s">
        <v>17545</v>
      </c>
      <c r="P3387" s="2" t="s">
        <v>869</v>
      </c>
    </row>
    <row r="3388" ht="15.75" customHeight="1">
      <c r="H3388" s="2" t="s">
        <v>17546</v>
      </c>
      <c r="I3388" s="2" t="s">
        <v>12885</v>
      </c>
      <c r="J3388" s="2" t="s">
        <v>12886</v>
      </c>
      <c r="K3388" s="2" t="s">
        <v>16210</v>
      </c>
      <c r="L3388" s="2" t="s">
        <v>16497</v>
      </c>
      <c r="M3388" s="2" t="s">
        <v>17547</v>
      </c>
      <c r="N3388" s="2" t="s">
        <v>17548</v>
      </c>
      <c r="O3388" s="2" t="s">
        <v>17549</v>
      </c>
      <c r="P3388" s="2" t="s">
        <v>869</v>
      </c>
    </row>
    <row r="3389" ht="15.75" customHeight="1">
      <c r="H3389" s="2" t="s">
        <v>17550</v>
      </c>
      <c r="I3389" s="2" t="s">
        <v>679</v>
      </c>
      <c r="J3389" s="2" t="s">
        <v>680</v>
      </c>
      <c r="K3389" s="2" t="s">
        <v>1157</v>
      </c>
      <c r="L3389" s="2" t="s">
        <v>17551</v>
      </c>
      <c r="M3389" s="2" t="s">
        <v>17552</v>
      </c>
      <c r="N3389" s="2" t="s">
        <v>17553</v>
      </c>
      <c r="O3389" s="2" t="s">
        <v>17554</v>
      </c>
      <c r="P3389" s="2" t="s">
        <v>17555</v>
      </c>
    </row>
    <row r="3390" ht="15.75" customHeight="1">
      <c r="H3390" s="2" t="s">
        <v>17556</v>
      </c>
      <c r="I3390" s="2" t="s">
        <v>3912</v>
      </c>
      <c r="J3390" s="2" t="s">
        <v>3913</v>
      </c>
      <c r="L3390" s="2" t="s">
        <v>16497</v>
      </c>
      <c r="M3390" s="2" t="s">
        <v>17557</v>
      </c>
      <c r="N3390" s="2" t="s">
        <v>17558</v>
      </c>
      <c r="O3390" s="2" t="s">
        <v>17559</v>
      </c>
      <c r="P3390" s="2" t="s">
        <v>17560</v>
      </c>
    </row>
    <row r="3391" ht="15.75" customHeight="1">
      <c r="F3391" s="2" t="s">
        <v>694</v>
      </c>
      <c r="H3391" s="2" t="s">
        <v>17561</v>
      </c>
      <c r="I3391" s="2" t="s">
        <v>5650</v>
      </c>
      <c r="J3391" s="2" t="s">
        <v>5651</v>
      </c>
      <c r="K3391" s="2" t="s">
        <v>1145</v>
      </c>
      <c r="L3391" s="2" t="s">
        <v>16497</v>
      </c>
      <c r="M3391" s="2" t="s">
        <v>17562</v>
      </c>
      <c r="N3391" s="2" t="s">
        <v>17563</v>
      </c>
      <c r="O3391" s="2" t="s">
        <v>17564</v>
      </c>
      <c r="P3391" s="2" t="s">
        <v>869</v>
      </c>
    </row>
    <row r="3392" ht="15.75" customHeight="1">
      <c r="H3392" s="2" t="s">
        <v>17565</v>
      </c>
      <c r="I3392" s="2" t="s">
        <v>696</v>
      </c>
      <c r="J3392" s="2" t="s">
        <v>697</v>
      </c>
      <c r="K3392" s="2" t="s">
        <v>1567</v>
      </c>
      <c r="L3392" s="2" t="s">
        <v>16497</v>
      </c>
      <c r="M3392" s="2" t="s">
        <v>17566</v>
      </c>
      <c r="N3392" s="2" t="s">
        <v>17567</v>
      </c>
      <c r="O3392" s="2" t="s">
        <v>17568</v>
      </c>
      <c r="P3392" s="2" t="s">
        <v>869</v>
      </c>
    </row>
    <row r="3393" ht="15.75" customHeight="1">
      <c r="H3393" s="2" t="s">
        <v>17569</v>
      </c>
      <c r="I3393" s="2" t="s">
        <v>17570</v>
      </c>
      <c r="J3393" s="2" t="s">
        <v>17571</v>
      </c>
      <c r="K3393" s="2" t="s">
        <v>2737</v>
      </c>
      <c r="L3393" s="2" t="s">
        <v>16497</v>
      </c>
      <c r="M3393" s="2" t="s">
        <v>17572</v>
      </c>
      <c r="N3393" s="2" t="s">
        <v>17573</v>
      </c>
      <c r="O3393" s="2" t="s">
        <v>17574</v>
      </c>
      <c r="P3393" s="2" t="s">
        <v>869</v>
      </c>
    </row>
    <row r="3394" ht="15.75" customHeight="1">
      <c r="H3394" s="2" t="s">
        <v>17575</v>
      </c>
      <c r="I3394" s="2" t="s">
        <v>3968</v>
      </c>
      <c r="J3394" s="2" t="s">
        <v>3969</v>
      </c>
      <c r="L3394" s="2" t="s">
        <v>16497</v>
      </c>
      <c r="M3394" s="2" t="s">
        <v>17576</v>
      </c>
      <c r="N3394" s="2" t="s">
        <v>17577</v>
      </c>
      <c r="O3394" s="2" t="s">
        <v>17578</v>
      </c>
      <c r="P3394" s="2" t="s">
        <v>869</v>
      </c>
    </row>
    <row r="3395" ht="15.75" customHeight="1">
      <c r="F3395" s="2" t="s">
        <v>3972</v>
      </c>
      <c r="H3395" s="2" t="s">
        <v>17579</v>
      </c>
      <c r="I3395" s="2" t="s">
        <v>4001</v>
      </c>
      <c r="J3395" s="2" t="s">
        <v>4002</v>
      </c>
      <c r="K3395" s="2" t="s">
        <v>966</v>
      </c>
      <c r="L3395" s="2" t="s">
        <v>16497</v>
      </c>
      <c r="M3395" s="2" t="s">
        <v>17580</v>
      </c>
      <c r="N3395" s="2" t="s">
        <v>17581</v>
      </c>
      <c r="O3395" s="2" t="s">
        <v>17582</v>
      </c>
      <c r="P3395" s="2" t="s">
        <v>17583</v>
      </c>
    </row>
    <row r="3396" ht="15.75" customHeight="1">
      <c r="F3396" s="2" t="s">
        <v>703</v>
      </c>
      <c r="H3396" s="2" t="s">
        <v>17584</v>
      </c>
      <c r="I3396" s="2" t="s">
        <v>4011</v>
      </c>
      <c r="J3396" s="2" t="s">
        <v>4012</v>
      </c>
      <c r="L3396" s="2" t="s">
        <v>16497</v>
      </c>
      <c r="M3396" s="2" t="s">
        <v>17585</v>
      </c>
      <c r="N3396" s="2" t="s">
        <v>17586</v>
      </c>
      <c r="O3396" s="2" t="s">
        <v>17587</v>
      </c>
      <c r="P3396" s="2" t="s">
        <v>869</v>
      </c>
    </row>
    <row r="3397" ht="15.75" customHeight="1">
      <c r="H3397" s="2" t="s">
        <v>17588</v>
      </c>
      <c r="I3397" s="2" t="s">
        <v>705</v>
      </c>
      <c r="J3397" s="2" t="s">
        <v>706</v>
      </c>
      <c r="K3397" s="2" t="s">
        <v>1362</v>
      </c>
      <c r="L3397" s="2" t="s">
        <v>16497</v>
      </c>
      <c r="M3397" s="2" t="s">
        <v>17589</v>
      </c>
      <c r="N3397" s="2" t="s">
        <v>17590</v>
      </c>
      <c r="O3397" s="2" t="s">
        <v>17591</v>
      </c>
      <c r="P3397" s="2" t="s">
        <v>869</v>
      </c>
    </row>
    <row r="3398" ht="15.75" customHeight="1">
      <c r="H3398" s="2" t="s">
        <v>17592</v>
      </c>
      <c r="I3398" s="2" t="s">
        <v>17593</v>
      </c>
      <c r="J3398" s="2" t="s">
        <v>17594</v>
      </c>
      <c r="L3398" s="2" t="s">
        <v>16497</v>
      </c>
      <c r="M3398" s="2" t="s">
        <v>17595</v>
      </c>
      <c r="N3398" s="2" t="s">
        <v>17596</v>
      </c>
      <c r="O3398" s="2" t="s">
        <v>17597</v>
      </c>
      <c r="P3398" s="2" t="s">
        <v>869</v>
      </c>
    </row>
    <row r="3399" ht="15.75" customHeight="1">
      <c r="H3399" s="2" t="s">
        <v>17598</v>
      </c>
      <c r="I3399" s="2" t="s">
        <v>17599</v>
      </c>
      <c r="J3399" s="2" t="s">
        <v>17600</v>
      </c>
      <c r="K3399" s="2" t="s">
        <v>1007</v>
      </c>
      <c r="L3399" s="2" t="s">
        <v>16497</v>
      </c>
      <c r="M3399" s="2" t="s">
        <v>17601</v>
      </c>
      <c r="N3399" s="2" t="s">
        <v>17602</v>
      </c>
      <c r="O3399" s="2" t="s">
        <v>17603</v>
      </c>
      <c r="P3399" s="2" t="s">
        <v>17604</v>
      </c>
    </row>
    <row r="3400" ht="15.75" customHeight="1">
      <c r="H3400" s="2" t="s">
        <v>17605</v>
      </c>
      <c r="I3400" s="2" t="s">
        <v>713</v>
      </c>
      <c r="J3400" s="2" t="s">
        <v>714</v>
      </c>
      <c r="K3400" s="2" t="s">
        <v>1567</v>
      </c>
      <c r="L3400" s="2" t="s">
        <v>17606</v>
      </c>
      <c r="M3400" s="2" t="s">
        <v>17607</v>
      </c>
      <c r="N3400" s="2" t="s">
        <v>17608</v>
      </c>
      <c r="O3400" s="2" t="s">
        <v>17609</v>
      </c>
      <c r="P3400" s="2" t="s">
        <v>17610</v>
      </c>
    </row>
    <row r="3401" ht="15.75" customHeight="1">
      <c r="H3401" s="2" t="s">
        <v>17611</v>
      </c>
      <c r="I3401" s="2" t="s">
        <v>14122</v>
      </c>
      <c r="J3401" s="2" t="s">
        <v>14123</v>
      </c>
      <c r="L3401" s="2" t="s">
        <v>16497</v>
      </c>
      <c r="M3401" s="2" t="s">
        <v>17612</v>
      </c>
      <c r="N3401" s="2" t="s">
        <v>17613</v>
      </c>
      <c r="O3401" s="2" t="s">
        <v>17614</v>
      </c>
      <c r="P3401" s="2" t="s">
        <v>869</v>
      </c>
    </row>
    <row r="3402" ht="15.75" customHeight="1">
      <c r="H3402" s="2" t="s">
        <v>17615</v>
      </c>
      <c r="I3402" s="2" t="s">
        <v>17616</v>
      </c>
      <c r="J3402" s="2" t="s">
        <v>17617</v>
      </c>
      <c r="K3402" s="2" t="s">
        <v>16210</v>
      </c>
      <c r="L3402" s="2" t="s">
        <v>16497</v>
      </c>
      <c r="M3402" s="2" t="s">
        <v>17618</v>
      </c>
      <c r="N3402" s="2" t="s">
        <v>17619</v>
      </c>
      <c r="O3402" s="2" t="s">
        <v>17620</v>
      </c>
      <c r="P3402" s="2" t="s">
        <v>869</v>
      </c>
    </row>
    <row r="3403" ht="15.75" customHeight="1">
      <c r="F3403" s="2" t="s">
        <v>728</v>
      </c>
      <c r="H3403" s="2" t="s">
        <v>17621</v>
      </c>
      <c r="I3403" s="2" t="s">
        <v>730</v>
      </c>
      <c r="J3403" s="2" t="s">
        <v>731</v>
      </c>
      <c r="K3403" s="2" t="s">
        <v>886</v>
      </c>
      <c r="L3403" s="2" t="s">
        <v>17622</v>
      </c>
      <c r="M3403" s="2" t="s">
        <v>17623</v>
      </c>
      <c r="N3403" s="2" t="s">
        <v>17624</v>
      </c>
      <c r="O3403" s="2" t="s">
        <v>17625</v>
      </c>
      <c r="P3403" s="2" t="s">
        <v>17626</v>
      </c>
    </row>
    <row r="3404" ht="15.75" customHeight="1">
      <c r="H3404" s="2" t="s">
        <v>17627</v>
      </c>
      <c r="I3404" s="2" t="s">
        <v>4096</v>
      </c>
      <c r="J3404" s="2" t="s">
        <v>4097</v>
      </c>
      <c r="K3404" s="2" t="s">
        <v>896</v>
      </c>
      <c r="L3404" s="2" t="s">
        <v>17628</v>
      </c>
      <c r="M3404" s="2" t="s">
        <v>17629</v>
      </c>
      <c r="N3404" s="2" t="s">
        <v>17630</v>
      </c>
      <c r="O3404" s="2" t="s">
        <v>17631</v>
      </c>
      <c r="P3404" s="2" t="s">
        <v>17632</v>
      </c>
    </row>
    <row r="3405" ht="15.75" customHeight="1">
      <c r="H3405" s="2" t="s">
        <v>17633</v>
      </c>
      <c r="I3405" s="2" t="s">
        <v>10363</v>
      </c>
      <c r="J3405" s="2" t="s">
        <v>10364</v>
      </c>
      <c r="K3405" s="2" t="s">
        <v>283</v>
      </c>
      <c r="L3405" s="2" t="s">
        <v>16497</v>
      </c>
      <c r="M3405" s="2" t="s">
        <v>17634</v>
      </c>
      <c r="N3405" s="2" t="s">
        <v>17635</v>
      </c>
      <c r="O3405" s="2" t="s">
        <v>17636</v>
      </c>
      <c r="P3405" s="2" t="s">
        <v>869</v>
      </c>
    </row>
    <row r="3406" ht="15.75" customHeight="1">
      <c r="F3406" s="2" t="s">
        <v>4115</v>
      </c>
      <c r="H3406" s="2" t="s">
        <v>17637</v>
      </c>
      <c r="I3406" s="2" t="s">
        <v>17638</v>
      </c>
      <c r="J3406" s="2" t="s">
        <v>17639</v>
      </c>
      <c r="K3406" s="2" t="s">
        <v>1878</v>
      </c>
      <c r="L3406" s="2" t="s">
        <v>16497</v>
      </c>
      <c r="M3406" s="2" t="s">
        <v>17640</v>
      </c>
      <c r="N3406" s="2" t="s">
        <v>17641</v>
      </c>
      <c r="O3406" s="2" t="s">
        <v>17642</v>
      </c>
      <c r="P3406" s="2" t="s">
        <v>869</v>
      </c>
    </row>
    <row r="3407" ht="15.75" customHeight="1">
      <c r="H3407" s="2" t="s">
        <v>17643</v>
      </c>
      <c r="I3407" s="2" t="s">
        <v>4147</v>
      </c>
      <c r="J3407" s="2" t="s">
        <v>4148</v>
      </c>
      <c r="K3407" s="2" t="s">
        <v>1145</v>
      </c>
      <c r="L3407" s="2" t="s">
        <v>16497</v>
      </c>
      <c r="M3407" s="2" t="s">
        <v>17644</v>
      </c>
      <c r="N3407" s="2" t="s">
        <v>17645</v>
      </c>
      <c r="O3407" s="2" t="s">
        <v>17646</v>
      </c>
      <c r="P3407" s="2" t="s">
        <v>17647</v>
      </c>
    </row>
    <row r="3408" ht="15.75" customHeight="1">
      <c r="F3408" s="2" t="s">
        <v>4180</v>
      </c>
      <c r="H3408" s="2" t="s">
        <v>17648</v>
      </c>
      <c r="I3408" s="2" t="s">
        <v>4215</v>
      </c>
      <c r="J3408" s="2" t="s">
        <v>4216</v>
      </c>
      <c r="K3408" s="2" t="s">
        <v>970</v>
      </c>
      <c r="L3408" s="2" t="s">
        <v>16497</v>
      </c>
      <c r="M3408" s="2" t="s">
        <v>17649</v>
      </c>
      <c r="N3408" s="2" t="s">
        <v>17650</v>
      </c>
      <c r="O3408" s="2" t="s">
        <v>17651</v>
      </c>
      <c r="P3408" s="2" t="s">
        <v>869</v>
      </c>
    </row>
    <row r="3409" ht="15.75" customHeight="1">
      <c r="F3409" s="2" t="s">
        <v>737</v>
      </c>
      <c r="H3409" s="2" t="s">
        <v>17652</v>
      </c>
      <c r="I3409" s="2" t="s">
        <v>17653</v>
      </c>
      <c r="J3409" s="2" t="s">
        <v>17654</v>
      </c>
      <c r="K3409" s="2" t="s">
        <v>1368</v>
      </c>
      <c r="L3409" s="2" t="s">
        <v>16497</v>
      </c>
      <c r="M3409" s="2" t="s">
        <v>17655</v>
      </c>
      <c r="N3409" s="2" t="s">
        <v>17656</v>
      </c>
      <c r="O3409" s="2" t="s">
        <v>17657</v>
      </c>
      <c r="P3409" s="2" t="s">
        <v>869</v>
      </c>
    </row>
    <row r="3410" ht="15.75" customHeight="1">
      <c r="H3410" s="2" t="s">
        <v>17658</v>
      </c>
      <c r="I3410" s="2" t="s">
        <v>4237</v>
      </c>
      <c r="J3410" s="2" t="s">
        <v>4238</v>
      </c>
      <c r="K3410" s="2" t="s">
        <v>970</v>
      </c>
      <c r="L3410" s="2" t="s">
        <v>16497</v>
      </c>
      <c r="M3410" s="2" t="s">
        <v>17659</v>
      </c>
      <c r="N3410" s="2" t="s">
        <v>17660</v>
      </c>
      <c r="O3410" s="2" t="s">
        <v>17661</v>
      </c>
      <c r="P3410" s="2" t="s">
        <v>869</v>
      </c>
    </row>
    <row r="3411" ht="15.75" customHeight="1">
      <c r="H3411" s="2" t="s">
        <v>17662</v>
      </c>
      <c r="I3411" s="2" t="s">
        <v>739</v>
      </c>
      <c r="J3411" s="2" t="s">
        <v>740</v>
      </c>
      <c r="K3411" s="2" t="s">
        <v>1551</v>
      </c>
      <c r="L3411" s="2" t="s">
        <v>17663</v>
      </c>
      <c r="M3411" s="2" t="s">
        <v>17664</v>
      </c>
      <c r="N3411" s="2" t="s">
        <v>17665</v>
      </c>
      <c r="O3411" s="2" t="s">
        <v>17666</v>
      </c>
      <c r="P3411" s="2" t="s">
        <v>17667</v>
      </c>
    </row>
    <row r="3412" ht="15.75" customHeight="1">
      <c r="F3412" s="2" t="s">
        <v>746</v>
      </c>
      <c r="H3412" s="2" t="s">
        <v>17668</v>
      </c>
      <c r="I3412" s="2" t="s">
        <v>17669</v>
      </c>
      <c r="J3412" s="2" t="s">
        <v>17670</v>
      </c>
      <c r="K3412" s="2" t="s">
        <v>1362</v>
      </c>
      <c r="L3412" s="2" t="s">
        <v>16497</v>
      </c>
      <c r="M3412" s="2" t="s">
        <v>17671</v>
      </c>
      <c r="N3412" s="2" t="s">
        <v>17672</v>
      </c>
      <c r="O3412" s="2" t="s">
        <v>17673</v>
      </c>
      <c r="P3412" s="2" t="s">
        <v>17674</v>
      </c>
    </row>
    <row r="3413" ht="15.75" customHeight="1">
      <c r="H3413" s="2" t="s">
        <v>17675</v>
      </c>
      <c r="I3413" s="2" t="s">
        <v>4260</v>
      </c>
      <c r="J3413" s="2" t="s">
        <v>4261</v>
      </c>
      <c r="K3413" s="2" t="s">
        <v>280</v>
      </c>
      <c r="L3413" s="2" t="s">
        <v>16497</v>
      </c>
      <c r="M3413" s="2" t="s">
        <v>17676</v>
      </c>
      <c r="N3413" s="2" t="s">
        <v>17677</v>
      </c>
      <c r="O3413" s="2" t="s">
        <v>17678</v>
      </c>
      <c r="P3413" s="2" t="s">
        <v>17679</v>
      </c>
    </row>
    <row r="3414" ht="15.75" customHeight="1">
      <c r="H3414" s="2" t="s">
        <v>17680</v>
      </c>
      <c r="I3414" s="2" t="s">
        <v>17681</v>
      </c>
      <c r="J3414" s="2" t="s">
        <v>17682</v>
      </c>
      <c r="K3414" s="2" t="s">
        <v>17683</v>
      </c>
      <c r="L3414" s="2" t="s">
        <v>16497</v>
      </c>
      <c r="M3414" s="2" t="s">
        <v>17684</v>
      </c>
      <c r="N3414" s="2" t="s">
        <v>17685</v>
      </c>
      <c r="O3414" s="2" t="s">
        <v>17686</v>
      </c>
      <c r="P3414" s="2" t="s">
        <v>869</v>
      </c>
    </row>
    <row r="3415" ht="15.75" customHeight="1">
      <c r="H3415" s="2" t="s">
        <v>17687</v>
      </c>
      <c r="I3415" s="2" t="s">
        <v>4277</v>
      </c>
      <c r="J3415" s="2" t="s">
        <v>4278</v>
      </c>
      <c r="K3415" s="2" t="s">
        <v>1297</v>
      </c>
      <c r="L3415" s="2" t="s">
        <v>16497</v>
      </c>
      <c r="M3415" s="2" t="s">
        <v>17688</v>
      </c>
      <c r="N3415" s="2" t="s">
        <v>17689</v>
      </c>
      <c r="O3415" s="2" t="s">
        <v>17690</v>
      </c>
      <c r="P3415" s="2" t="s">
        <v>869</v>
      </c>
    </row>
    <row r="3416" ht="15.75" customHeight="1">
      <c r="H3416" s="2" t="s">
        <v>17691</v>
      </c>
      <c r="I3416" s="2" t="s">
        <v>4282</v>
      </c>
      <c r="J3416" s="2" t="s">
        <v>4283</v>
      </c>
      <c r="K3416" s="2" t="s">
        <v>886</v>
      </c>
      <c r="L3416" s="2" t="s">
        <v>17692</v>
      </c>
      <c r="M3416" s="2" t="s">
        <v>17693</v>
      </c>
      <c r="N3416" s="2" t="s">
        <v>17694</v>
      </c>
      <c r="O3416" s="2" t="s">
        <v>17695</v>
      </c>
      <c r="P3416" s="2" t="s">
        <v>17696</v>
      </c>
    </row>
    <row r="3417" ht="15.75" customHeight="1">
      <c r="H3417" s="2" t="s">
        <v>17697</v>
      </c>
      <c r="I3417" s="2" t="s">
        <v>4323</v>
      </c>
      <c r="J3417" s="2" t="s">
        <v>4324</v>
      </c>
      <c r="K3417" s="2" t="s">
        <v>1325</v>
      </c>
      <c r="L3417" s="2" t="s">
        <v>16497</v>
      </c>
      <c r="M3417" s="2" t="s">
        <v>17698</v>
      </c>
      <c r="N3417" s="2" t="s">
        <v>17699</v>
      </c>
      <c r="O3417" s="2" t="s">
        <v>17700</v>
      </c>
      <c r="P3417" s="2" t="s">
        <v>869</v>
      </c>
    </row>
    <row r="3418" ht="15.75" customHeight="1">
      <c r="H3418" s="2" t="s">
        <v>17701</v>
      </c>
      <c r="I3418" s="2" t="s">
        <v>10637</v>
      </c>
      <c r="J3418" s="2" t="s">
        <v>10638</v>
      </c>
      <c r="K3418" s="2" t="s">
        <v>1443</v>
      </c>
      <c r="L3418" s="2" t="s">
        <v>16497</v>
      </c>
      <c r="M3418" s="2" t="s">
        <v>17702</v>
      </c>
      <c r="N3418" s="2" t="s">
        <v>17703</v>
      </c>
      <c r="O3418" s="2" t="s">
        <v>17704</v>
      </c>
      <c r="P3418" s="2" t="s">
        <v>869</v>
      </c>
    </row>
    <row r="3419" ht="15.75" customHeight="1">
      <c r="H3419" s="2" t="s">
        <v>17705</v>
      </c>
      <c r="I3419" s="2" t="s">
        <v>4344</v>
      </c>
      <c r="J3419" s="2" t="s">
        <v>4345</v>
      </c>
      <c r="L3419" s="2" t="s">
        <v>16497</v>
      </c>
      <c r="M3419" s="2" t="s">
        <v>17706</v>
      </c>
      <c r="N3419" s="2" t="s">
        <v>17707</v>
      </c>
      <c r="O3419" s="2" t="s">
        <v>17708</v>
      </c>
      <c r="P3419" s="2" t="s">
        <v>869</v>
      </c>
    </row>
    <row r="3420" ht="15.75" customHeight="1">
      <c r="H3420" s="2" t="s">
        <v>17709</v>
      </c>
      <c r="I3420" s="2" t="s">
        <v>17710</v>
      </c>
      <c r="J3420" s="2" t="s">
        <v>17711</v>
      </c>
      <c r="L3420" s="2" t="s">
        <v>16497</v>
      </c>
      <c r="M3420" s="2" t="s">
        <v>17712</v>
      </c>
      <c r="N3420" s="2" t="s">
        <v>17713</v>
      </c>
      <c r="O3420" s="2" t="s">
        <v>17714</v>
      </c>
      <c r="P3420" s="2" t="s">
        <v>869</v>
      </c>
    </row>
    <row r="3421" ht="15.75" customHeight="1">
      <c r="F3421" s="2" t="s">
        <v>4353</v>
      </c>
      <c r="H3421" s="2" t="s">
        <v>17715</v>
      </c>
      <c r="I3421" s="2" t="s">
        <v>4395</v>
      </c>
      <c r="J3421" s="2" t="s">
        <v>4396</v>
      </c>
      <c r="K3421" s="2" t="s">
        <v>1141</v>
      </c>
      <c r="L3421" s="2" t="s">
        <v>16497</v>
      </c>
      <c r="M3421" s="2" t="s">
        <v>17716</v>
      </c>
      <c r="N3421" s="2" t="s">
        <v>17717</v>
      </c>
      <c r="O3421" s="2" t="s">
        <v>17718</v>
      </c>
      <c r="P3421" s="2" t="s">
        <v>869</v>
      </c>
    </row>
    <row r="3422" ht="15.75" customHeight="1">
      <c r="H3422" s="2" t="s">
        <v>17719</v>
      </c>
      <c r="I3422" s="2" t="s">
        <v>14185</v>
      </c>
      <c r="J3422" s="2" t="s">
        <v>14186</v>
      </c>
      <c r="K3422" s="2" t="s">
        <v>1406</v>
      </c>
      <c r="L3422" s="2" t="s">
        <v>16497</v>
      </c>
      <c r="M3422" s="2" t="s">
        <v>17720</v>
      </c>
      <c r="N3422" s="2" t="s">
        <v>17721</v>
      </c>
      <c r="O3422" s="2" t="s">
        <v>17722</v>
      </c>
      <c r="P3422" s="2" t="s">
        <v>17723</v>
      </c>
    </row>
    <row r="3423" ht="15.75" customHeight="1">
      <c r="H3423" s="2" t="s">
        <v>17724</v>
      </c>
      <c r="I3423" s="2" t="s">
        <v>6072</v>
      </c>
      <c r="J3423" s="2" t="s">
        <v>6073</v>
      </c>
      <c r="K3423" s="2" t="s">
        <v>1433</v>
      </c>
      <c r="L3423" s="2" t="s">
        <v>17725</v>
      </c>
      <c r="M3423" s="2" t="s">
        <v>17726</v>
      </c>
      <c r="N3423" s="2" t="s">
        <v>17727</v>
      </c>
      <c r="O3423" s="2" t="s">
        <v>17728</v>
      </c>
      <c r="P3423" s="2" t="s">
        <v>17729</v>
      </c>
    </row>
    <row r="3424" ht="15.75" customHeight="1">
      <c r="H3424" s="2" t="s">
        <v>17730</v>
      </c>
      <c r="I3424" s="2" t="s">
        <v>17731</v>
      </c>
      <c r="J3424" s="2" t="s">
        <v>17732</v>
      </c>
      <c r="K3424" s="2" t="s">
        <v>1439</v>
      </c>
      <c r="L3424" s="2" t="s">
        <v>16497</v>
      </c>
      <c r="M3424" s="2" t="s">
        <v>17733</v>
      </c>
      <c r="N3424" s="2" t="s">
        <v>17734</v>
      </c>
      <c r="O3424" s="2" t="s">
        <v>17735</v>
      </c>
      <c r="P3424" s="2" t="s">
        <v>869</v>
      </c>
    </row>
    <row r="3425" ht="15.75" customHeight="1">
      <c r="H3425" s="2" t="s">
        <v>17736</v>
      </c>
      <c r="I3425" s="2" t="s">
        <v>17737</v>
      </c>
      <c r="J3425" s="2" t="s">
        <v>17738</v>
      </c>
      <c r="K3425" s="2" t="s">
        <v>1199</v>
      </c>
      <c r="L3425" s="2" t="s">
        <v>16497</v>
      </c>
      <c r="M3425" s="2" t="s">
        <v>17739</v>
      </c>
      <c r="N3425" s="2" t="s">
        <v>17740</v>
      </c>
      <c r="O3425" s="2" t="s">
        <v>17741</v>
      </c>
      <c r="P3425" s="2" t="s">
        <v>869</v>
      </c>
    </row>
    <row r="3426" ht="15.75" customHeight="1">
      <c r="F3426" s="2" t="s">
        <v>4462</v>
      </c>
      <c r="H3426" s="2" t="s">
        <v>17742</v>
      </c>
      <c r="I3426" s="2" t="s">
        <v>4477</v>
      </c>
      <c r="J3426" s="2" t="s">
        <v>4478</v>
      </c>
      <c r="K3426" s="2" t="s">
        <v>996</v>
      </c>
      <c r="L3426" s="2" t="s">
        <v>16497</v>
      </c>
      <c r="M3426" s="2" t="s">
        <v>17743</v>
      </c>
      <c r="N3426" s="2" t="s">
        <v>17744</v>
      </c>
      <c r="O3426" s="2" t="s">
        <v>17745</v>
      </c>
      <c r="P3426" s="2" t="s">
        <v>869</v>
      </c>
    </row>
    <row r="3427" ht="15.75" customHeight="1">
      <c r="F3427" s="2" t="s">
        <v>4491</v>
      </c>
      <c r="H3427" s="2" t="s">
        <v>17746</v>
      </c>
      <c r="I3427" s="2" t="s">
        <v>10786</v>
      </c>
      <c r="J3427" s="2" t="s">
        <v>10787</v>
      </c>
      <c r="K3427" s="2" t="s">
        <v>1145</v>
      </c>
      <c r="L3427" s="2" t="s">
        <v>16497</v>
      </c>
      <c r="M3427" s="2" t="s">
        <v>17747</v>
      </c>
      <c r="N3427" s="2" t="s">
        <v>17748</v>
      </c>
      <c r="O3427" s="2" t="s">
        <v>17749</v>
      </c>
      <c r="P3427" s="2" t="s">
        <v>17750</v>
      </c>
    </row>
    <row r="3428" ht="15.75" customHeight="1">
      <c r="F3428" s="2" t="s">
        <v>4544</v>
      </c>
      <c r="H3428" s="2" t="s">
        <v>17751</v>
      </c>
      <c r="I3428" s="2" t="s">
        <v>4546</v>
      </c>
      <c r="J3428" s="2" t="s">
        <v>4547</v>
      </c>
      <c r="K3428" s="2" t="s">
        <v>947</v>
      </c>
      <c r="L3428" s="2" t="s">
        <v>16497</v>
      </c>
      <c r="M3428" s="2" t="s">
        <v>17752</v>
      </c>
      <c r="N3428" s="2" t="s">
        <v>17753</v>
      </c>
      <c r="O3428" s="2" t="s">
        <v>17754</v>
      </c>
      <c r="P3428" s="2" t="s">
        <v>17755</v>
      </c>
    </row>
    <row r="3429" ht="15.75" customHeight="1">
      <c r="H3429" s="2" t="s">
        <v>17756</v>
      </c>
      <c r="I3429" s="2" t="s">
        <v>17757</v>
      </c>
      <c r="J3429" s="2" t="s">
        <v>17758</v>
      </c>
      <c r="K3429" s="2" t="s">
        <v>880</v>
      </c>
      <c r="L3429" s="2" t="s">
        <v>16497</v>
      </c>
      <c r="M3429" s="2" t="s">
        <v>17759</v>
      </c>
      <c r="N3429" s="2" t="s">
        <v>17760</v>
      </c>
      <c r="O3429" s="2" t="s">
        <v>17761</v>
      </c>
      <c r="P3429" s="2" t="s">
        <v>869</v>
      </c>
    </row>
    <row r="3430" ht="15.75" customHeight="1">
      <c r="H3430" s="2" t="s">
        <v>17762</v>
      </c>
      <c r="I3430" s="2" t="s">
        <v>10908</v>
      </c>
      <c r="J3430" s="2" t="s">
        <v>10909</v>
      </c>
      <c r="K3430" s="2" t="s">
        <v>1128</v>
      </c>
      <c r="L3430" s="2" t="s">
        <v>16497</v>
      </c>
      <c r="M3430" s="2" t="s">
        <v>17763</v>
      </c>
      <c r="N3430" s="2" t="s">
        <v>17764</v>
      </c>
      <c r="O3430" s="2" t="s">
        <v>17765</v>
      </c>
      <c r="P3430" s="2" t="s">
        <v>869</v>
      </c>
    </row>
    <row r="3431" ht="15.75" customHeight="1">
      <c r="F3431" s="2" t="s">
        <v>4576</v>
      </c>
      <c r="H3431" s="2" t="s">
        <v>17766</v>
      </c>
      <c r="I3431" s="2" t="s">
        <v>4589</v>
      </c>
      <c r="J3431" s="2" t="s">
        <v>4590</v>
      </c>
      <c r="K3431" s="2" t="s">
        <v>970</v>
      </c>
      <c r="L3431" s="2" t="s">
        <v>16497</v>
      </c>
      <c r="M3431" s="2" t="s">
        <v>17767</v>
      </c>
      <c r="N3431" s="2" t="s">
        <v>17768</v>
      </c>
      <c r="O3431" s="2" t="s">
        <v>17769</v>
      </c>
      <c r="P3431" s="2" t="s">
        <v>869</v>
      </c>
    </row>
    <row r="3432" ht="15.75" customHeight="1">
      <c r="F3432" s="2" t="s">
        <v>755</v>
      </c>
      <c r="H3432" s="2" t="s">
        <v>17770</v>
      </c>
      <c r="I3432" s="2" t="s">
        <v>16422</v>
      </c>
      <c r="J3432" s="2" t="s">
        <v>16423</v>
      </c>
      <c r="K3432" s="2" t="s">
        <v>1362</v>
      </c>
      <c r="L3432" s="2" t="s">
        <v>16497</v>
      </c>
      <c r="M3432" s="2" t="s">
        <v>17771</v>
      </c>
      <c r="N3432" s="2" t="s">
        <v>17772</v>
      </c>
      <c r="O3432" s="2" t="s">
        <v>17773</v>
      </c>
      <c r="P3432" s="2" t="s">
        <v>869</v>
      </c>
    </row>
    <row r="3433" ht="15.75" customHeight="1">
      <c r="H3433" s="2" t="s">
        <v>17774</v>
      </c>
      <c r="I3433" s="2" t="s">
        <v>17775</v>
      </c>
      <c r="J3433" s="2" t="s">
        <v>17776</v>
      </c>
      <c r="K3433" s="2" t="s">
        <v>17777</v>
      </c>
      <c r="L3433" s="2" t="s">
        <v>16497</v>
      </c>
      <c r="M3433" s="2" t="s">
        <v>17778</v>
      </c>
      <c r="N3433" s="2" t="s">
        <v>17779</v>
      </c>
      <c r="O3433" s="2" t="s">
        <v>17780</v>
      </c>
      <c r="P3433" s="2" t="s">
        <v>869</v>
      </c>
    </row>
    <row r="3434" ht="15.75" customHeight="1">
      <c r="H3434" s="2" t="s">
        <v>17781</v>
      </c>
      <c r="I3434" s="2" t="s">
        <v>757</v>
      </c>
      <c r="J3434" s="2" t="s">
        <v>758</v>
      </c>
      <c r="K3434" s="2" t="s">
        <v>4429</v>
      </c>
      <c r="L3434" s="2" t="s">
        <v>17782</v>
      </c>
      <c r="M3434" s="2" t="s">
        <v>17783</v>
      </c>
      <c r="N3434" s="2" t="s">
        <v>17784</v>
      </c>
      <c r="O3434" s="2" t="s">
        <v>17785</v>
      </c>
      <c r="P3434" s="2" t="s">
        <v>17786</v>
      </c>
    </row>
    <row r="3435" ht="15.75" customHeight="1">
      <c r="H3435" s="2" t="s">
        <v>17787</v>
      </c>
      <c r="I3435" s="2" t="s">
        <v>4655</v>
      </c>
      <c r="J3435" s="2" t="s">
        <v>4656</v>
      </c>
      <c r="K3435" s="2" t="s">
        <v>2223</v>
      </c>
      <c r="L3435" s="2" t="s">
        <v>16497</v>
      </c>
      <c r="M3435" s="2" t="s">
        <v>17788</v>
      </c>
      <c r="N3435" s="2" t="s">
        <v>17789</v>
      </c>
      <c r="O3435" s="2" t="s">
        <v>17790</v>
      </c>
      <c r="P3435" s="2" t="s">
        <v>869</v>
      </c>
    </row>
    <row r="3436" ht="15.75" customHeight="1">
      <c r="F3436" s="2" t="s">
        <v>4677</v>
      </c>
      <c r="H3436" s="2" t="s">
        <v>17791</v>
      </c>
      <c r="I3436" s="2" t="s">
        <v>4694</v>
      </c>
      <c r="J3436" s="2" t="s">
        <v>4695</v>
      </c>
      <c r="K3436" s="2" t="s">
        <v>963</v>
      </c>
      <c r="L3436" s="2" t="s">
        <v>16497</v>
      </c>
      <c r="M3436" s="2" t="s">
        <v>4696</v>
      </c>
      <c r="N3436" s="2" t="s">
        <v>17792</v>
      </c>
      <c r="O3436" s="2" t="s">
        <v>17793</v>
      </c>
      <c r="P3436" s="2" t="s">
        <v>17794</v>
      </c>
    </row>
    <row r="3437" ht="15.75" customHeight="1">
      <c r="F3437" s="2" t="s">
        <v>764</v>
      </c>
      <c r="H3437" s="2" t="s">
        <v>17795</v>
      </c>
      <c r="I3437" s="2" t="s">
        <v>17796</v>
      </c>
      <c r="J3437" s="2" t="s">
        <v>17797</v>
      </c>
      <c r="L3437" s="2" t="s">
        <v>16497</v>
      </c>
      <c r="M3437" s="2" t="s">
        <v>17798</v>
      </c>
      <c r="N3437" s="2" t="s">
        <v>17799</v>
      </c>
      <c r="O3437" s="2" t="s">
        <v>17800</v>
      </c>
      <c r="P3437" s="2" t="s">
        <v>869</v>
      </c>
    </row>
    <row r="3438" ht="15.75" customHeight="1">
      <c r="H3438" s="2" t="s">
        <v>17801</v>
      </c>
      <c r="I3438" s="2" t="s">
        <v>766</v>
      </c>
      <c r="J3438" s="2" t="s">
        <v>767</v>
      </c>
      <c r="K3438" s="2" t="s">
        <v>1418</v>
      </c>
      <c r="L3438" s="2" t="s">
        <v>16497</v>
      </c>
      <c r="M3438" s="2" t="s">
        <v>17802</v>
      </c>
      <c r="N3438" s="2" t="s">
        <v>17803</v>
      </c>
      <c r="O3438" s="2" t="s">
        <v>17804</v>
      </c>
      <c r="P3438" s="2" t="s">
        <v>869</v>
      </c>
    </row>
    <row r="3439" ht="15.75" customHeight="1">
      <c r="F3439" s="2" t="s">
        <v>773</v>
      </c>
      <c r="H3439" s="2" t="s">
        <v>17805</v>
      </c>
      <c r="I3439" s="2" t="s">
        <v>11126</v>
      </c>
      <c r="J3439" s="2" t="s">
        <v>11127</v>
      </c>
      <c r="K3439" s="2" t="s">
        <v>1297</v>
      </c>
      <c r="L3439" s="2" t="s">
        <v>16497</v>
      </c>
      <c r="M3439" s="2" t="s">
        <v>17806</v>
      </c>
      <c r="N3439" s="2" t="s">
        <v>17807</v>
      </c>
      <c r="O3439" s="2" t="s">
        <v>17808</v>
      </c>
      <c r="P3439" s="2" t="s">
        <v>17809</v>
      </c>
    </row>
    <row r="3440" ht="15.75" customHeight="1">
      <c r="H3440" s="2" t="s">
        <v>17810</v>
      </c>
      <c r="I3440" s="2" t="s">
        <v>3110</v>
      </c>
      <c r="J3440" s="2" t="s">
        <v>3111</v>
      </c>
      <c r="K3440" s="2" t="s">
        <v>880</v>
      </c>
      <c r="L3440" s="2" t="s">
        <v>16497</v>
      </c>
      <c r="M3440" s="2" t="s">
        <v>11133</v>
      </c>
      <c r="N3440" s="2" t="s">
        <v>17811</v>
      </c>
      <c r="O3440" s="2" t="s">
        <v>17812</v>
      </c>
      <c r="P3440" s="2" t="s">
        <v>17813</v>
      </c>
    </row>
    <row r="3441" ht="15.75" customHeight="1">
      <c r="H3441" s="2" t="s">
        <v>17814</v>
      </c>
      <c r="I3441" s="2" t="s">
        <v>775</v>
      </c>
      <c r="J3441" s="2" t="s">
        <v>776</v>
      </c>
      <c r="K3441" s="2" t="s">
        <v>1145</v>
      </c>
      <c r="L3441" s="2" t="s">
        <v>16497</v>
      </c>
      <c r="M3441" s="2" t="s">
        <v>17815</v>
      </c>
      <c r="N3441" s="2" t="s">
        <v>17816</v>
      </c>
      <c r="O3441" s="2" t="s">
        <v>17817</v>
      </c>
      <c r="P3441" s="2" t="s">
        <v>17818</v>
      </c>
    </row>
    <row r="3442" ht="15.75" customHeight="1">
      <c r="H3442" s="2" t="s">
        <v>17819</v>
      </c>
      <c r="I3442" s="2" t="s">
        <v>4798</v>
      </c>
      <c r="J3442" s="2" t="s">
        <v>4799</v>
      </c>
      <c r="L3442" s="2" t="s">
        <v>16497</v>
      </c>
      <c r="M3442" s="2" t="s">
        <v>17820</v>
      </c>
      <c r="N3442" s="2" t="s">
        <v>17821</v>
      </c>
      <c r="O3442" s="2" t="s">
        <v>17822</v>
      </c>
      <c r="P3442" s="2" t="s">
        <v>869</v>
      </c>
    </row>
    <row r="3443" ht="15.75" customHeight="1">
      <c r="F3443" s="2" t="s">
        <v>4802</v>
      </c>
      <c r="H3443" s="2" t="s">
        <v>17823</v>
      </c>
      <c r="I3443" s="2" t="s">
        <v>4804</v>
      </c>
      <c r="J3443" s="2" t="s">
        <v>4805</v>
      </c>
      <c r="K3443" s="2" t="s">
        <v>1061</v>
      </c>
      <c r="L3443" s="2" t="s">
        <v>16497</v>
      </c>
      <c r="M3443" s="2" t="s">
        <v>17824</v>
      </c>
      <c r="N3443" s="2" t="s">
        <v>17825</v>
      </c>
      <c r="O3443" s="2" t="s">
        <v>17826</v>
      </c>
      <c r="P3443" s="2" t="s">
        <v>17827</v>
      </c>
    </row>
    <row r="3444" ht="15.75" customHeight="1">
      <c r="H3444" s="2" t="s">
        <v>17828</v>
      </c>
      <c r="I3444" s="2" t="s">
        <v>4819</v>
      </c>
      <c r="J3444" s="2" t="s">
        <v>4820</v>
      </c>
      <c r="K3444" s="2" t="s">
        <v>886</v>
      </c>
      <c r="L3444" s="2" t="s">
        <v>16497</v>
      </c>
      <c r="M3444" s="2" t="s">
        <v>17829</v>
      </c>
      <c r="N3444" s="2" t="s">
        <v>17830</v>
      </c>
      <c r="O3444" s="2" t="s">
        <v>17831</v>
      </c>
      <c r="P3444" s="2" t="s">
        <v>17832</v>
      </c>
    </row>
    <row r="3445" ht="15.75" customHeight="1">
      <c r="F3445" s="2" t="s">
        <v>4825</v>
      </c>
      <c r="H3445" s="2" t="s">
        <v>17833</v>
      </c>
      <c r="I3445" s="2" t="s">
        <v>1215</v>
      </c>
      <c r="J3445" s="2" t="s">
        <v>1216</v>
      </c>
      <c r="K3445" s="2" t="s">
        <v>996</v>
      </c>
      <c r="L3445" s="2" t="s">
        <v>16497</v>
      </c>
      <c r="M3445" s="2" t="s">
        <v>17834</v>
      </c>
      <c r="N3445" s="2" t="s">
        <v>17835</v>
      </c>
      <c r="O3445" s="2" t="s">
        <v>17836</v>
      </c>
      <c r="P3445" s="2" t="s">
        <v>17837</v>
      </c>
    </row>
    <row r="3446" ht="15.75" customHeight="1">
      <c r="F3446" s="2" t="s">
        <v>782</v>
      </c>
      <c r="H3446" s="2" t="s">
        <v>17838</v>
      </c>
      <c r="I3446" s="2" t="s">
        <v>4860</v>
      </c>
      <c r="J3446" s="2" t="s">
        <v>4861</v>
      </c>
      <c r="K3446" s="2" t="s">
        <v>1362</v>
      </c>
      <c r="L3446" s="2" t="s">
        <v>16497</v>
      </c>
      <c r="M3446" s="2" t="s">
        <v>17839</v>
      </c>
      <c r="N3446" s="2" t="s">
        <v>17840</v>
      </c>
      <c r="O3446" s="2" t="s">
        <v>17841</v>
      </c>
      <c r="P3446" s="2" t="s">
        <v>17842</v>
      </c>
    </row>
    <row r="3447" ht="15.75" customHeight="1">
      <c r="H3447" s="2" t="s">
        <v>17843</v>
      </c>
      <c r="I3447" s="2" t="s">
        <v>13459</v>
      </c>
      <c r="J3447" s="2" t="s">
        <v>13460</v>
      </c>
      <c r="K3447" s="2" t="s">
        <v>1169</v>
      </c>
      <c r="L3447" s="2" t="s">
        <v>16497</v>
      </c>
      <c r="M3447" s="2" t="s">
        <v>17844</v>
      </c>
      <c r="N3447" s="2" t="s">
        <v>17845</v>
      </c>
      <c r="O3447" s="2" t="s">
        <v>17846</v>
      </c>
      <c r="P3447" s="2" t="s">
        <v>869</v>
      </c>
    </row>
    <row r="3448" ht="15.75" customHeight="1">
      <c r="H3448" s="2" t="s">
        <v>17847</v>
      </c>
      <c r="I3448" s="2" t="s">
        <v>784</v>
      </c>
      <c r="J3448" s="2" t="s">
        <v>785</v>
      </c>
      <c r="K3448" s="2" t="s">
        <v>2171</v>
      </c>
      <c r="L3448" s="2" t="s">
        <v>16497</v>
      </c>
      <c r="M3448" s="2" t="s">
        <v>17848</v>
      </c>
      <c r="N3448" s="2" t="s">
        <v>17849</v>
      </c>
      <c r="O3448" s="2" t="s">
        <v>17850</v>
      </c>
      <c r="P3448" s="2" t="s">
        <v>17851</v>
      </c>
    </row>
    <row r="3449" ht="15.75" customHeight="1">
      <c r="H3449" s="2" t="s">
        <v>17852</v>
      </c>
      <c r="I3449" s="2" t="s">
        <v>4946</v>
      </c>
      <c r="J3449" s="2" t="s">
        <v>4947</v>
      </c>
      <c r="K3449" s="2" t="s">
        <v>1049</v>
      </c>
      <c r="L3449" s="2" t="s">
        <v>16497</v>
      </c>
      <c r="M3449" s="2" t="s">
        <v>17853</v>
      </c>
      <c r="N3449" s="2" t="s">
        <v>17854</v>
      </c>
      <c r="O3449" s="2" t="s">
        <v>17855</v>
      </c>
      <c r="P3449" s="2" t="s">
        <v>869</v>
      </c>
    </row>
    <row r="3450" ht="15.75" customHeight="1">
      <c r="F3450" s="2" t="s">
        <v>791</v>
      </c>
      <c r="H3450" s="2" t="s">
        <v>17856</v>
      </c>
      <c r="I3450" s="2" t="s">
        <v>793</v>
      </c>
      <c r="J3450" s="2" t="s">
        <v>794</v>
      </c>
      <c r="K3450" s="2" t="s">
        <v>1362</v>
      </c>
      <c r="L3450" s="2" t="s">
        <v>16497</v>
      </c>
      <c r="M3450" s="2" t="s">
        <v>17857</v>
      </c>
      <c r="N3450" s="2" t="s">
        <v>17858</v>
      </c>
      <c r="O3450" s="2" t="s">
        <v>17859</v>
      </c>
      <c r="P3450" s="2" t="s">
        <v>17860</v>
      </c>
    </row>
    <row r="3451" ht="15.75" customHeight="1">
      <c r="H3451" s="2" t="s">
        <v>17861</v>
      </c>
      <c r="I3451" s="2" t="s">
        <v>7306</v>
      </c>
      <c r="J3451" s="2" t="s">
        <v>7307</v>
      </c>
      <c r="K3451" s="2" t="s">
        <v>958</v>
      </c>
      <c r="L3451" s="2" t="s">
        <v>16497</v>
      </c>
      <c r="M3451" s="2" t="s">
        <v>17862</v>
      </c>
      <c r="N3451" s="2" t="s">
        <v>17863</v>
      </c>
      <c r="O3451" s="2" t="s">
        <v>17864</v>
      </c>
      <c r="P3451" s="2" t="s">
        <v>17865</v>
      </c>
    </row>
    <row r="3452" ht="15.75" customHeight="1">
      <c r="H3452" s="2" t="s">
        <v>17866</v>
      </c>
      <c r="I3452" s="2" t="s">
        <v>4969</v>
      </c>
      <c r="J3452" s="2" t="s">
        <v>4970</v>
      </c>
      <c r="K3452" s="2" t="s">
        <v>918</v>
      </c>
      <c r="L3452" s="2" t="s">
        <v>17867</v>
      </c>
      <c r="M3452" s="2" t="s">
        <v>17868</v>
      </c>
      <c r="N3452" s="2" t="s">
        <v>17869</v>
      </c>
      <c r="O3452" s="2" t="s">
        <v>17870</v>
      </c>
      <c r="P3452" s="2" t="s">
        <v>17871</v>
      </c>
    </row>
    <row r="3453" ht="15.75" customHeight="1">
      <c r="F3453" s="2" t="s">
        <v>800</v>
      </c>
      <c r="H3453" s="2" t="s">
        <v>17872</v>
      </c>
      <c r="I3453" s="2" t="s">
        <v>5722</v>
      </c>
      <c r="J3453" s="2" t="s">
        <v>5723</v>
      </c>
      <c r="K3453" s="2" t="s">
        <v>859</v>
      </c>
      <c r="L3453" s="2" t="s">
        <v>16497</v>
      </c>
      <c r="M3453" s="2" t="s">
        <v>17873</v>
      </c>
      <c r="N3453" s="2" t="s">
        <v>17874</v>
      </c>
      <c r="O3453" s="2" t="s">
        <v>17875</v>
      </c>
      <c r="P3453" s="2" t="s">
        <v>17876</v>
      </c>
    </row>
    <row r="3454" ht="15.75" customHeight="1">
      <c r="H3454" s="2" t="s">
        <v>17877</v>
      </c>
      <c r="I3454" s="2" t="s">
        <v>4994</v>
      </c>
      <c r="J3454" s="2" t="s">
        <v>4995</v>
      </c>
      <c r="K3454" s="2" t="s">
        <v>1878</v>
      </c>
      <c r="L3454" s="2" t="s">
        <v>16497</v>
      </c>
      <c r="M3454" s="2" t="s">
        <v>17878</v>
      </c>
      <c r="N3454" s="2" t="s">
        <v>17879</v>
      </c>
      <c r="O3454" s="2" t="s">
        <v>17880</v>
      </c>
      <c r="P3454" s="2" t="s">
        <v>17881</v>
      </c>
    </row>
    <row r="3455" ht="15.75" customHeight="1">
      <c r="H3455" s="2" t="s">
        <v>17882</v>
      </c>
      <c r="I3455" s="2" t="s">
        <v>11561</v>
      </c>
      <c r="J3455" s="2" t="s">
        <v>11562</v>
      </c>
      <c r="K3455" s="2" t="s">
        <v>1117</v>
      </c>
      <c r="L3455" s="2" t="s">
        <v>16497</v>
      </c>
      <c r="M3455" s="2" t="s">
        <v>17883</v>
      </c>
      <c r="N3455" s="2" t="s">
        <v>17884</v>
      </c>
      <c r="O3455" s="2" t="s">
        <v>17885</v>
      </c>
      <c r="P3455" s="2" t="s">
        <v>17886</v>
      </c>
    </row>
    <row r="3456" ht="15.75" customHeight="1">
      <c r="H3456" s="2" t="s">
        <v>17887</v>
      </c>
      <c r="I3456" s="2" t="s">
        <v>17888</v>
      </c>
      <c r="J3456" s="2" t="s">
        <v>17889</v>
      </c>
      <c r="K3456" s="2" t="s">
        <v>12802</v>
      </c>
      <c r="L3456" s="2" t="s">
        <v>16497</v>
      </c>
      <c r="M3456" s="2" t="s">
        <v>17890</v>
      </c>
      <c r="N3456" s="2" t="s">
        <v>17891</v>
      </c>
      <c r="O3456" s="2" t="s">
        <v>17892</v>
      </c>
      <c r="P3456" s="2" t="s">
        <v>17893</v>
      </c>
    </row>
    <row r="3457" ht="15.75" customHeight="1">
      <c r="H3457" s="2" t="s">
        <v>17894</v>
      </c>
      <c r="I3457" s="2" t="s">
        <v>5037</v>
      </c>
      <c r="J3457" s="2" t="s">
        <v>5038</v>
      </c>
      <c r="K3457" s="2" t="s">
        <v>2203</v>
      </c>
      <c r="L3457" s="2" t="s">
        <v>16497</v>
      </c>
      <c r="M3457" s="2" t="s">
        <v>17895</v>
      </c>
      <c r="N3457" s="2" t="s">
        <v>17896</v>
      </c>
      <c r="O3457" s="2" t="s">
        <v>17897</v>
      </c>
      <c r="P3457" s="2" t="s">
        <v>17898</v>
      </c>
    </row>
    <row r="3458" ht="15.75" customHeight="1">
      <c r="H3458" s="2" t="s">
        <v>17899</v>
      </c>
      <c r="I3458" s="2" t="s">
        <v>5047</v>
      </c>
      <c r="J3458" s="2" t="s">
        <v>5048</v>
      </c>
      <c r="L3458" s="2" t="s">
        <v>16497</v>
      </c>
      <c r="M3458" s="2" t="s">
        <v>17900</v>
      </c>
      <c r="N3458" s="2" t="s">
        <v>17901</v>
      </c>
      <c r="O3458" s="2" t="s">
        <v>17902</v>
      </c>
      <c r="P3458" s="2" t="s">
        <v>869</v>
      </c>
    </row>
    <row r="3459" ht="15.75" customHeight="1">
      <c r="H3459" s="2" t="s">
        <v>17903</v>
      </c>
      <c r="I3459" s="2" t="s">
        <v>11637</v>
      </c>
      <c r="J3459" s="2" t="s">
        <v>11638</v>
      </c>
      <c r="K3459" s="2" t="s">
        <v>1443</v>
      </c>
      <c r="L3459" s="2" t="s">
        <v>16497</v>
      </c>
      <c r="M3459" s="2" t="s">
        <v>17904</v>
      </c>
      <c r="N3459" s="2" t="s">
        <v>17905</v>
      </c>
      <c r="O3459" s="2" t="s">
        <v>17906</v>
      </c>
      <c r="P3459" s="2" t="s">
        <v>17907</v>
      </c>
    </row>
    <row r="3460" ht="15.75" customHeight="1">
      <c r="H3460" s="2" t="s">
        <v>17908</v>
      </c>
      <c r="I3460" s="2" t="s">
        <v>5093</v>
      </c>
      <c r="J3460" s="2" t="s">
        <v>5094</v>
      </c>
      <c r="K3460" s="2" t="s">
        <v>3309</v>
      </c>
      <c r="L3460" s="2" t="s">
        <v>16497</v>
      </c>
      <c r="M3460" s="2" t="s">
        <v>17909</v>
      </c>
      <c r="N3460" s="2" t="s">
        <v>17910</v>
      </c>
      <c r="O3460" s="2" t="s">
        <v>17911</v>
      </c>
      <c r="P3460" s="2" t="s">
        <v>869</v>
      </c>
    </row>
    <row r="3461" ht="15.75" customHeight="1">
      <c r="H3461" s="2" t="s">
        <v>17912</v>
      </c>
      <c r="I3461" s="2" t="s">
        <v>5986</v>
      </c>
      <c r="J3461" s="2" t="s">
        <v>5987</v>
      </c>
      <c r="K3461" s="2" t="s">
        <v>5988</v>
      </c>
      <c r="L3461" s="2" t="s">
        <v>17913</v>
      </c>
      <c r="M3461" s="2" t="s">
        <v>17914</v>
      </c>
      <c r="N3461" s="2" t="s">
        <v>17915</v>
      </c>
      <c r="O3461" s="2" t="s">
        <v>17916</v>
      </c>
      <c r="P3461" s="2" t="s">
        <v>17917</v>
      </c>
    </row>
    <row r="3462" ht="15.75" customHeight="1">
      <c r="H3462" s="2" t="s">
        <v>17918</v>
      </c>
      <c r="I3462" s="2" t="s">
        <v>5140</v>
      </c>
      <c r="J3462" s="2" t="s">
        <v>5141</v>
      </c>
      <c r="K3462" s="2" t="s">
        <v>5142</v>
      </c>
      <c r="L3462" s="2" t="s">
        <v>16497</v>
      </c>
      <c r="M3462" s="2" t="s">
        <v>17919</v>
      </c>
      <c r="N3462" s="2" t="s">
        <v>17920</v>
      </c>
      <c r="O3462" s="2" t="s">
        <v>17921</v>
      </c>
      <c r="P3462" s="2" t="s">
        <v>17922</v>
      </c>
    </row>
    <row r="3463" ht="15.75" customHeight="1">
      <c r="F3463" s="2" t="s">
        <v>843</v>
      </c>
      <c r="H3463" s="2" t="s">
        <v>17923</v>
      </c>
      <c r="I3463" s="2" t="s">
        <v>11767</v>
      </c>
      <c r="J3463" s="2" t="s">
        <v>11768</v>
      </c>
      <c r="K3463" s="2" t="s">
        <v>17924</v>
      </c>
      <c r="L3463" s="2" t="s">
        <v>16497</v>
      </c>
      <c r="M3463" s="2" t="s">
        <v>17925</v>
      </c>
      <c r="N3463" s="2" t="s">
        <v>17926</v>
      </c>
      <c r="O3463" s="2" t="s">
        <v>17927</v>
      </c>
      <c r="P3463" s="2" t="s">
        <v>869</v>
      </c>
    </row>
    <row r="3464" ht="15.75" customHeight="1">
      <c r="H3464" s="2" t="s">
        <v>17928</v>
      </c>
      <c r="I3464" s="2" t="s">
        <v>5202</v>
      </c>
      <c r="J3464" s="2" t="s">
        <v>5203</v>
      </c>
      <c r="K3464" s="2" t="s">
        <v>1424</v>
      </c>
      <c r="L3464" s="2" t="s">
        <v>16497</v>
      </c>
      <c r="M3464" s="2" t="s">
        <v>17929</v>
      </c>
      <c r="N3464" s="2" t="s">
        <v>17930</v>
      </c>
      <c r="O3464" s="2" t="s">
        <v>17931</v>
      </c>
      <c r="P3464" s="2" t="s">
        <v>869</v>
      </c>
    </row>
    <row r="3465" ht="15.75" customHeight="1">
      <c r="H3465" s="2" t="s">
        <v>17932</v>
      </c>
      <c r="I3465" s="2" t="s">
        <v>845</v>
      </c>
      <c r="J3465" s="2" t="s">
        <v>846</v>
      </c>
      <c r="K3465" s="2" t="s">
        <v>1618</v>
      </c>
      <c r="L3465" s="2" t="s">
        <v>16497</v>
      </c>
      <c r="M3465" s="2" t="s">
        <v>17933</v>
      </c>
      <c r="N3465" s="2" t="s">
        <v>17934</v>
      </c>
      <c r="O3465" s="2" t="s">
        <v>17935</v>
      </c>
      <c r="P3465" s="2" t="s">
        <v>17936</v>
      </c>
    </row>
    <row r="3466" ht="15.75" customHeight="1">
      <c r="F3466" s="2" t="s">
        <v>5257</v>
      </c>
      <c r="H3466" s="2" t="s">
        <v>17937</v>
      </c>
      <c r="I3466" s="2" t="s">
        <v>5272</v>
      </c>
      <c r="J3466" s="2" t="s">
        <v>5273</v>
      </c>
      <c r="K3466" s="2" t="s">
        <v>900</v>
      </c>
      <c r="L3466" s="2" t="s">
        <v>16497</v>
      </c>
      <c r="M3466" s="2" t="s">
        <v>17938</v>
      </c>
      <c r="N3466" s="2" t="s">
        <v>17939</v>
      </c>
      <c r="O3466" s="2" t="s">
        <v>17940</v>
      </c>
      <c r="P3466" s="2" t="s">
        <v>17941</v>
      </c>
    </row>
    <row r="3467" ht="15.75" customHeight="1">
      <c r="B3467" s="2" t="s">
        <v>17942</v>
      </c>
      <c r="C3467" s="2" t="s">
        <v>1569</v>
      </c>
      <c r="D3467" s="2" t="s">
        <v>17943</v>
      </c>
      <c r="F3467" s="2" t="s">
        <v>19</v>
      </c>
      <c r="H3467" s="2" t="s">
        <v>17944</v>
      </c>
      <c r="I3467" s="2" t="s">
        <v>21</v>
      </c>
      <c r="J3467" s="2" t="s">
        <v>22</v>
      </c>
      <c r="K3467" s="2" t="s">
        <v>865</v>
      </c>
      <c r="L3467" s="2" t="s">
        <v>17945</v>
      </c>
      <c r="M3467" s="2" t="s">
        <v>17946</v>
      </c>
      <c r="N3467" s="2" t="s">
        <v>17947</v>
      </c>
      <c r="O3467" s="2" t="s">
        <v>17948</v>
      </c>
      <c r="P3467" s="2" t="s">
        <v>869</v>
      </c>
    </row>
    <row r="3468" ht="15.75" customHeight="1">
      <c r="F3468" s="2" t="s">
        <v>29</v>
      </c>
      <c r="H3468" s="2" t="s">
        <v>17949</v>
      </c>
      <c r="I3468" s="2" t="s">
        <v>31</v>
      </c>
      <c r="J3468" s="2" t="s">
        <v>32</v>
      </c>
      <c r="K3468" s="2" t="s">
        <v>874</v>
      </c>
      <c r="L3468" s="2" t="s">
        <v>17945</v>
      </c>
      <c r="M3468" s="2" t="s">
        <v>17950</v>
      </c>
      <c r="N3468" s="2" t="s">
        <v>17951</v>
      </c>
      <c r="O3468" s="2" t="s">
        <v>17952</v>
      </c>
      <c r="P3468" s="2" t="s">
        <v>869</v>
      </c>
    </row>
    <row r="3469" ht="15.75" customHeight="1">
      <c r="H3469" s="2" t="s">
        <v>17953</v>
      </c>
      <c r="I3469" s="2" t="s">
        <v>12983</v>
      </c>
      <c r="J3469" s="2" t="s">
        <v>12984</v>
      </c>
      <c r="K3469" s="2" t="s">
        <v>1217</v>
      </c>
      <c r="L3469" s="2" t="s">
        <v>17945</v>
      </c>
      <c r="M3469" s="2" t="s">
        <v>17954</v>
      </c>
      <c r="N3469" s="2" t="s">
        <v>17955</v>
      </c>
      <c r="O3469" s="2" t="s">
        <v>17956</v>
      </c>
      <c r="P3469" s="2" t="s">
        <v>869</v>
      </c>
    </row>
    <row r="3470" ht="15.75" customHeight="1">
      <c r="F3470" s="2" t="s">
        <v>65</v>
      </c>
      <c r="H3470" s="2" t="s">
        <v>17957</v>
      </c>
      <c r="I3470" s="2" t="s">
        <v>12501</v>
      </c>
      <c r="J3470" s="2" t="s">
        <v>12502</v>
      </c>
      <c r="K3470" s="2" t="s">
        <v>5692</v>
      </c>
      <c r="L3470" s="2" t="s">
        <v>17945</v>
      </c>
      <c r="M3470" s="2" t="s">
        <v>17958</v>
      </c>
      <c r="N3470" s="2" t="s">
        <v>17959</v>
      </c>
      <c r="O3470" s="2" t="s">
        <v>17960</v>
      </c>
      <c r="P3470" s="2" t="s">
        <v>869</v>
      </c>
    </row>
    <row r="3471" ht="15.75" customHeight="1">
      <c r="F3471" s="2" t="s">
        <v>74</v>
      </c>
      <c r="H3471" s="2" t="s">
        <v>17961</v>
      </c>
      <c r="I3471" s="2" t="s">
        <v>76</v>
      </c>
      <c r="J3471" s="2" t="s">
        <v>77</v>
      </c>
      <c r="K3471" s="2" t="s">
        <v>947</v>
      </c>
      <c r="L3471" s="2" t="s">
        <v>17962</v>
      </c>
      <c r="M3471" s="2" t="s">
        <v>17963</v>
      </c>
      <c r="N3471" s="2" t="s">
        <v>17964</v>
      </c>
      <c r="O3471" s="2" t="s">
        <v>17965</v>
      </c>
      <c r="P3471" s="2" t="s">
        <v>17966</v>
      </c>
    </row>
    <row r="3472" ht="15.75" customHeight="1">
      <c r="H3472" s="2" t="s">
        <v>17967</v>
      </c>
      <c r="I3472" s="2" t="s">
        <v>17968</v>
      </c>
      <c r="J3472" s="2" t="s">
        <v>17969</v>
      </c>
      <c r="K3472" s="2" t="s">
        <v>1368</v>
      </c>
      <c r="L3472" s="2" t="s">
        <v>17945</v>
      </c>
      <c r="M3472" s="2" t="s">
        <v>17970</v>
      </c>
      <c r="N3472" s="2" t="s">
        <v>17971</v>
      </c>
      <c r="O3472" s="2" t="s">
        <v>17972</v>
      </c>
      <c r="P3472" s="2" t="s">
        <v>869</v>
      </c>
    </row>
    <row r="3473" ht="15.75" customHeight="1">
      <c r="H3473" s="2" t="s">
        <v>17973</v>
      </c>
      <c r="I3473" s="2" t="s">
        <v>1546</v>
      </c>
      <c r="J3473" s="2" t="s">
        <v>1547</v>
      </c>
      <c r="K3473" s="2" t="s">
        <v>970</v>
      </c>
      <c r="L3473" s="2" t="s">
        <v>17945</v>
      </c>
      <c r="M3473" s="2" t="s">
        <v>17974</v>
      </c>
      <c r="N3473" s="2" t="s">
        <v>17975</v>
      </c>
      <c r="O3473" s="2" t="s">
        <v>17976</v>
      </c>
      <c r="P3473" s="2" t="s">
        <v>869</v>
      </c>
    </row>
    <row r="3474" ht="15.75" customHeight="1">
      <c r="H3474" s="2" t="s">
        <v>17977</v>
      </c>
      <c r="I3474" s="2" t="s">
        <v>12134</v>
      </c>
      <c r="J3474" s="2" t="s">
        <v>12135</v>
      </c>
      <c r="K3474" s="2" t="s">
        <v>1551</v>
      </c>
      <c r="L3474" s="2" t="s">
        <v>17945</v>
      </c>
      <c r="M3474" s="2" t="s">
        <v>17978</v>
      </c>
      <c r="N3474" s="2" t="s">
        <v>17979</v>
      </c>
      <c r="O3474" s="2" t="s">
        <v>17980</v>
      </c>
      <c r="P3474" s="2" t="s">
        <v>869</v>
      </c>
    </row>
    <row r="3475" ht="15.75" customHeight="1">
      <c r="H3475" s="2" t="s">
        <v>17981</v>
      </c>
      <c r="I3475" s="2" t="s">
        <v>12139</v>
      </c>
      <c r="J3475" s="2" t="s">
        <v>12140</v>
      </c>
      <c r="K3475" s="2" t="s">
        <v>1141</v>
      </c>
      <c r="L3475" s="2" t="s">
        <v>17982</v>
      </c>
      <c r="M3475" s="2" t="s">
        <v>17983</v>
      </c>
      <c r="N3475" s="2" t="s">
        <v>17984</v>
      </c>
      <c r="O3475" s="2" t="s">
        <v>17985</v>
      </c>
      <c r="P3475" s="2" t="s">
        <v>17986</v>
      </c>
    </row>
    <row r="3476" ht="15.75" customHeight="1">
      <c r="H3476" s="2" t="s">
        <v>17987</v>
      </c>
      <c r="I3476" s="2" t="s">
        <v>142</v>
      </c>
      <c r="J3476" s="2" t="s">
        <v>143</v>
      </c>
      <c r="K3476" s="2" t="s">
        <v>1205</v>
      </c>
      <c r="L3476" s="2" t="s">
        <v>17945</v>
      </c>
      <c r="M3476" s="2" t="s">
        <v>17988</v>
      </c>
      <c r="N3476" s="2" t="s">
        <v>17989</v>
      </c>
      <c r="O3476" s="2" t="s">
        <v>17990</v>
      </c>
      <c r="P3476" s="2" t="s">
        <v>869</v>
      </c>
    </row>
    <row r="3477" ht="15.75" customHeight="1">
      <c r="H3477" s="2" t="s">
        <v>17991</v>
      </c>
      <c r="I3477" s="2" t="s">
        <v>167</v>
      </c>
      <c r="J3477" s="2" t="s">
        <v>168</v>
      </c>
      <c r="K3477" s="2" t="s">
        <v>5927</v>
      </c>
      <c r="L3477" s="2" t="s">
        <v>17992</v>
      </c>
      <c r="M3477" s="2" t="s">
        <v>17993</v>
      </c>
      <c r="N3477" s="2" t="s">
        <v>17994</v>
      </c>
      <c r="O3477" s="2" t="s">
        <v>17995</v>
      </c>
      <c r="P3477" s="2" t="s">
        <v>869</v>
      </c>
    </row>
    <row r="3478" ht="15.75" customHeight="1">
      <c r="H3478" s="2" t="s">
        <v>17996</v>
      </c>
      <c r="I3478" s="2" t="s">
        <v>2262</v>
      </c>
      <c r="J3478" s="2" t="s">
        <v>2263</v>
      </c>
      <c r="K3478" s="2" t="s">
        <v>12460</v>
      </c>
      <c r="L3478" s="2" t="s">
        <v>17945</v>
      </c>
      <c r="M3478" s="2" t="s">
        <v>17997</v>
      </c>
      <c r="N3478" s="2" t="s">
        <v>17998</v>
      </c>
      <c r="O3478" s="2" t="s">
        <v>17999</v>
      </c>
      <c r="P3478" s="2" t="s">
        <v>869</v>
      </c>
    </row>
    <row r="3479" ht="15.75" customHeight="1">
      <c r="H3479" s="2" t="s">
        <v>18000</v>
      </c>
      <c r="I3479" s="2" t="s">
        <v>176</v>
      </c>
      <c r="J3479" s="2" t="s">
        <v>177</v>
      </c>
      <c r="K3479" s="2" t="s">
        <v>1708</v>
      </c>
      <c r="L3479" s="2" t="s">
        <v>18001</v>
      </c>
      <c r="M3479" s="2" t="s">
        <v>18002</v>
      </c>
      <c r="N3479" s="2" t="s">
        <v>18003</v>
      </c>
      <c r="O3479" s="2" t="s">
        <v>18004</v>
      </c>
      <c r="P3479" s="2" t="s">
        <v>869</v>
      </c>
    </row>
    <row r="3480" ht="15.75" customHeight="1">
      <c r="H3480" s="2" t="s">
        <v>18005</v>
      </c>
      <c r="I3480" s="2" t="s">
        <v>193</v>
      </c>
      <c r="J3480" s="2" t="s">
        <v>194</v>
      </c>
      <c r="L3480" s="2" t="s">
        <v>17945</v>
      </c>
      <c r="M3480" s="2" t="s">
        <v>18006</v>
      </c>
      <c r="N3480" s="2" t="s">
        <v>18007</v>
      </c>
      <c r="O3480" s="2" t="s">
        <v>18008</v>
      </c>
      <c r="P3480" s="2" t="s">
        <v>869</v>
      </c>
    </row>
    <row r="3481" ht="15.75" customHeight="1">
      <c r="H3481" s="2" t="s">
        <v>18009</v>
      </c>
      <c r="I3481" s="2" t="s">
        <v>18010</v>
      </c>
      <c r="J3481" s="2" t="s">
        <v>18011</v>
      </c>
      <c r="K3481" s="2" t="s">
        <v>18012</v>
      </c>
      <c r="L3481" s="2" t="s">
        <v>17945</v>
      </c>
      <c r="M3481" s="2" t="s">
        <v>18013</v>
      </c>
      <c r="N3481" s="2" t="s">
        <v>18014</v>
      </c>
      <c r="O3481" s="2" t="s">
        <v>18015</v>
      </c>
      <c r="P3481" s="2" t="s">
        <v>869</v>
      </c>
    </row>
    <row r="3482" ht="15.75" customHeight="1">
      <c r="F3482" s="2" t="s">
        <v>265</v>
      </c>
      <c r="H3482" s="2" t="s">
        <v>18016</v>
      </c>
      <c r="I3482" s="2" t="s">
        <v>5370</v>
      </c>
      <c r="J3482" s="2" t="s">
        <v>5371</v>
      </c>
      <c r="L3482" s="2" t="s">
        <v>17945</v>
      </c>
      <c r="M3482" s="2" t="s">
        <v>18017</v>
      </c>
      <c r="N3482" s="2" t="s">
        <v>18018</v>
      </c>
      <c r="O3482" s="2" t="s">
        <v>18019</v>
      </c>
      <c r="P3482" s="2" t="s">
        <v>869</v>
      </c>
    </row>
    <row r="3483" ht="15.75" customHeight="1">
      <c r="H3483" s="2" t="s">
        <v>18020</v>
      </c>
      <c r="I3483" s="2" t="s">
        <v>7405</v>
      </c>
      <c r="J3483" s="2" t="s">
        <v>7406</v>
      </c>
      <c r="L3483" s="2" t="s">
        <v>17945</v>
      </c>
      <c r="M3483" s="2" t="s">
        <v>18021</v>
      </c>
      <c r="N3483" s="2" t="s">
        <v>18022</v>
      </c>
      <c r="O3483" s="2" t="s">
        <v>18023</v>
      </c>
      <c r="P3483" s="2" t="s">
        <v>869</v>
      </c>
    </row>
    <row r="3484" ht="15.75" customHeight="1">
      <c r="H3484" s="2" t="s">
        <v>18024</v>
      </c>
      <c r="I3484" s="2" t="s">
        <v>267</v>
      </c>
      <c r="J3484" s="2" t="s">
        <v>268</v>
      </c>
      <c r="K3484" s="2" t="s">
        <v>1313</v>
      </c>
      <c r="L3484" s="2" t="s">
        <v>17945</v>
      </c>
      <c r="M3484" s="2" t="s">
        <v>18025</v>
      </c>
      <c r="N3484" s="2" t="s">
        <v>18026</v>
      </c>
      <c r="O3484" s="2" t="s">
        <v>18027</v>
      </c>
      <c r="P3484" s="2" t="s">
        <v>869</v>
      </c>
    </row>
    <row r="3485" ht="15.75" customHeight="1">
      <c r="H3485" s="2" t="s">
        <v>18028</v>
      </c>
      <c r="I3485" s="2" t="s">
        <v>5388</v>
      </c>
      <c r="J3485" s="2" t="s">
        <v>5389</v>
      </c>
      <c r="L3485" s="2" t="s">
        <v>17945</v>
      </c>
      <c r="M3485" s="2" t="s">
        <v>18029</v>
      </c>
      <c r="N3485" s="2" t="s">
        <v>18030</v>
      </c>
      <c r="O3485" s="2" t="s">
        <v>18031</v>
      </c>
      <c r="P3485" s="2" t="s">
        <v>869</v>
      </c>
    </row>
    <row r="3486" ht="15.75" customHeight="1">
      <c r="H3486" s="2" t="s">
        <v>18032</v>
      </c>
      <c r="I3486" s="2" t="s">
        <v>2001</v>
      </c>
      <c r="J3486" s="2" t="s">
        <v>2002</v>
      </c>
      <c r="K3486" s="2" t="s">
        <v>2003</v>
      </c>
      <c r="L3486" s="2" t="s">
        <v>17945</v>
      </c>
      <c r="M3486" s="2" t="s">
        <v>18033</v>
      </c>
      <c r="N3486" s="2" t="s">
        <v>18034</v>
      </c>
      <c r="O3486" s="2" t="s">
        <v>18035</v>
      </c>
      <c r="P3486" s="2" t="s">
        <v>869</v>
      </c>
    </row>
    <row r="3487" ht="15.75" customHeight="1">
      <c r="H3487" s="2" t="s">
        <v>18036</v>
      </c>
      <c r="I3487" s="2" t="s">
        <v>7614</v>
      </c>
      <c r="J3487" s="2" t="s">
        <v>7615</v>
      </c>
      <c r="L3487" s="2" t="s">
        <v>17945</v>
      </c>
      <c r="M3487" s="2" t="s">
        <v>18037</v>
      </c>
      <c r="N3487" s="2" t="s">
        <v>18038</v>
      </c>
      <c r="O3487" s="2" t="s">
        <v>18039</v>
      </c>
      <c r="P3487" s="2" t="s">
        <v>869</v>
      </c>
    </row>
    <row r="3488" ht="15.75" customHeight="1">
      <c r="F3488" s="2" t="s">
        <v>284</v>
      </c>
      <c r="H3488" s="2" t="s">
        <v>18040</v>
      </c>
      <c r="I3488" s="2" t="s">
        <v>18041</v>
      </c>
      <c r="J3488" s="2" t="s">
        <v>18042</v>
      </c>
      <c r="K3488" s="2" t="s">
        <v>947</v>
      </c>
      <c r="L3488" s="2" t="s">
        <v>17945</v>
      </c>
      <c r="M3488" s="2" t="s">
        <v>18043</v>
      </c>
      <c r="N3488" s="2" t="s">
        <v>18044</v>
      </c>
      <c r="O3488" s="2" t="s">
        <v>18045</v>
      </c>
      <c r="P3488" s="2" t="s">
        <v>869</v>
      </c>
    </row>
    <row r="3489" ht="15.75" customHeight="1">
      <c r="H3489" s="2" t="s">
        <v>18046</v>
      </c>
      <c r="I3489" s="2" t="s">
        <v>6023</v>
      </c>
      <c r="J3489" s="2" t="s">
        <v>6024</v>
      </c>
      <c r="K3489" s="2" t="s">
        <v>1362</v>
      </c>
      <c r="L3489" s="2" t="s">
        <v>17945</v>
      </c>
      <c r="M3489" s="2" t="s">
        <v>18047</v>
      </c>
      <c r="N3489" s="2" t="s">
        <v>18048</v>
      </c>
      <c r="O3489" s="2" t="s">
        <v>18049</v>
      </c>
      <c r="P3489" s="2" t="s">
        <v>869</v>
      </c>
    </row>
    <row r="3490" ht="15.75" customHeight="1">
      <c r="H3490" s="2" t="s">
        <v>18050</v>
      </c>
      <c r="I3490" s="2" t="s">
        <v>286</v>
      </c>
      <c r="J3490" s="2" t="s">
        <v>287</v>
      </c>
      <c r="K3490" s="2" t="s">
        <v>1117</v>
      </c>
      <c r="L3490" s="2" t="s">
        <v>18051</v>
      </c>
      <c r="M3490" s="2" t="s">
        <v>18052</v>
      </c>
      <c r="N3490" s="2" t="s">
        <v>18053</v>
      </c>
      <c r="O3490" s="2" t="s">
        <v>18054</v>
      </c>
      <c r="P3490" s="2" t="s">
        <v>869</v>
      </c>
    </row>
    <row r="3491" ht="15.75" customHeight="1">
      <c r="H3491" s="2" t="s">
        <v>18055</v>
      </c>
      <c r="I3491" s="2" t="s">
        <v>18056</v>
      </c>
      <c r="J3491" s="2" t="s">
        <v>18057</v>
      </c>
      <c r="K3491" s="2" t="s">
        <v>1551</v>
      </c>
      <c r="L3491" s="2" t="s">
        <v>17945</v>
      </c>
      <c r="M3491" s="2" t="s">
        <v>18058</v>
      </c>
      <c r="N3491" s="2" t="s">
        <v>18059</v>
      </c>
      <c r="O3491" s="2" t="s">
        <v>18060</v>
      </c>
      <c r="P3491" s="2" t="s">
        <v>869</v>
      </c>
    </row>
    <row r="3492" ht="15.75" customHeight="1">
      <c r="H3492" s="2" t="s">
        <v>18061</v>
      </c>
      <c r="I3492" s="2" t="s">
        <v>12227</v>
      </c>
      <c r="J3492" s="2" t="s">
        <v>12228</v>
      </c>
      <c r="L3492" s="2" t="s">
        <v>17945</v>
      </c>
      <c r="M3492" s="2" t="s">
        <v>18062</v>
      </c>
      <c r="N3492" s="2" t="s">
        <v>18063</v>
      </c>
      <c r="O3492" s="2" t="s">
        <v>18064</v>
      </c>
      <c r="P3492" s="2" t="s">
        <v>18065</v>
      </c>
    </row>
    <row r="3493" ht="15.75" customHeight="1">
      <c r="H3493" s="2" t="s">
        <v>18066</v>
      </c>
      <c r="I3493" s="2" t="s">
        <v>310</v>
      </c>
      <c r="J3493" s="2" t="s">
        <v>311</v>
      </c>
      <c r="K3493" s="2" t="s">
        <v>1567</v>
      </c>
      <c r="L3493" s="2" t="s">
        <v>18067</v>
      </c>
      <c r="M3493" s="2" t="s">
        <v>18068</v>
      </c>
      <c r="N3493" s="2" t="s">
        <v>18069</v>
      </c>
      <c r="O3493" s="2" t="s">
        <v>18070</v>
      </c>
      <c r="P3493" s="2" t="s">
        <v>869</v>
      </c>
    </row>
    <row r="3494" ht="15.75" customHeight="1">
      <c r="H3494" s="2" t="s">
        <v>18071</v>
      </c>
      <c r="I3494" s="2" t="s">
        <v>5903</v>
      </c>
      <c r="J3494" s="2" t="s">
        <v>5904</v>
      </c>
      <c r="K3494" s="2" t="s">
        <v>1163</v>
      </c>
      <c r="L3494" s="2" t="s">
        <v>18072</v>
      </c>
      <c r="M3494" s="2" t="s">
        <v>18073</v>
      </c>
      <c r="N3494" s="2" t="s">
        <v>18074</v>
      </c>
      <c r="O3494" s="2" t="s">
        <v>18075</v>
      </c>
      <c r="P3494" s="2" t="s">
        <v>869</v>
      </c>
    </row>
    <row r="3495" ht="15.75" customHeight="1">
      <c r="H3495" s="2" t="s">
        <v>18076</v>
      </c>
      <c r="I3495" s="2" t="s">
        <v>5421</v>
      </c>
      <c r="J3495" s="2" t="s">
        <v>5422</v>
      </c>
      <c r="K3495" s="2" t="s">
        <v>1169</v>
      </c>
      <c r="L3495" s="2" t="s">
        <v>18077</v>
      </c>
      <c r="M3495" s="2" t="s">
        <v>18078</v>
      </c>
      <c r="N3495" s="2" t="s">
        <v>18079</v>
      </c>
      <c r="O3495" s="2" t="s">
        <v>18080</v>
      </c>
      <c r="P3495" s="2" t="s">
        <v>869</v>
      </c>
    </row>
    <row r="3496" ht="15.75" customHeight="1">
      <c r="H3496" s="2" t="s">
        <v>18081</v>
      </c>
      <c r="I3496" s="2" t="s">
        <v>2195</v>
      </c>
      <c r="J3496" s="2" t="s">
        <v>2196</v>
      </c>
      <c r="K3496" s="2" t="s">
        <v>1624</v>
      </c>
      <c r="L3496" s="2" t="s">
        <v>18082</v>
      </c>
      <c r="M3496" s="2" t="s">
        <v>18083</v>
      </c>
      <c r="N3496" s="2" t="s">
        <v>18084</v>
      </c>
      <c r="O3496" s="2" t="s">
        <v>18085</v>
      </c>
      <c r="P3496" s="2" t="s">
        <v>869</v>
      </c>
    </row>
    <row r="3497" ht="15.75" customHeight="1">
      <c r="H3497" s="2" t="s">
        <v>18086</v>
      </c>
      <c r="I3497" s="2" t="s">
        <v>326</v>
      </c>
      <c r="J3497" s="2" t="s">
        <v>327</v>
      </c>
      <c r="K3497" s="2" t="s">
        <v>1331</v>
      </c>
      <c r="L3497" s="2" t="s">
        <v>18087</v>
      </c>
      <c r="M3497" s="2" t="s">
        <v>18088</v>
      </c>
      <c r="N3497" s="2" t="s">
        <v>18089</v>
      </c>
      <c r="O3497" s="2" t="s">
        <v>18090</v>
      </c>
      <c r="P3497" s="2" t="s">
        <v>869</v>
      </c>
    </row>
    <row r="3498" ht="15.75" customHeight="1">
      <c r="H3498" s="2" t="s">
        <v>18091</v>
      </c>
      <c r="I3498" s="2" t="s">
        <v>352</v>
      </c>
      <c r="J3498" s="2" t="s">
        <v>353</v>
      </c>
      <c r="K3498" s="2" t="s">
        <v>2236</v>
      </c>
      <c r="L3498" s="2" t="s">
        <v>17945</v>
      </c>
      <c r="M3498" s="2" t="s">
        <v>18092</v>
      </c>
      <c r="N3498" s="2" t="s">
        <v>18093</v>
      </c>
      <c r="O3498" s="2" t="s">
        <v>18094</v>
      </c>
      <c r="P3498" s="2" t="s">
        <v>18095</v>
      </c>
    </row>
    <row r="3499" ht="15.75" customHeight="1">
      <c r="H3499" s="2" t="s">
        <v>18096</v>
      </c>
      <c r="I3499" s="2" t="s">
        <v>18097</v>
      </c>
      <c r="J3499" s="2" t="s">
        <v>18098</v>
      </c>
      <c r="K3499" s="2" t="s">
        <v>12365</v>
      </c>
      <c r="L3499" s="2" t="s">
        <v>17945</v>
      </c>
      <c r="M3499" s="2" t="s">
        <v>18099</v>
      </c>
      <c r="N3499" s="2" t="s">
        <v>18100</v>
      </c>
      <c r="O3499" s="2" t="s">
        <v>18101</v>
      </c>
      <c r="P3499" s="2" t="s">
        <v>18102</v>
      </c>
    </row>
    <row r="3500" ht="15.75" customHeight="1">
      <c r="H3500" s="2" t="s">
        <v>18103</v>
      </c>
      <c r="I3500" s="2" t="s">
        <v>393</v>
      </c>
      <c r="J3500" s="2" t="s">
        <v>394</v>
      </c>
      <c r="L3500" s="2" t="s">
        <v>17945</v>
      </c>
      <c r="M3500" s="2" t="s">
        <v>18104</v>
      </c>
      <c r="N3500" s="2" t="s">
        <v>18105</v>
      </c>
      <c r="O3500" s="2" t="s">
        <v>18106</v>
      </c>
      <c r="P3500" s="2" t="s">
        <v>869</v>
      </c>
    </row>
    <row r="3501" ht="15.75" customHeight="1">
      <c r="H3501" s="2" t="s">
        <v>18107</v>
      </c>
      <c r="I3501" s="2" t="s">
        <v>12252</v>
      </c>
      <c r="J3501" s="2" t="s">
        <v>12253</v>
      </c>
      <c r="L3501" s="2" t="s">
        <v>17945</v>
      </c>
      <c r="M3501" s="2" t="s">
        <v>18108</v>
      </c>
      <c r="N3501" s="2" t="s">
        <v>18109</v>
      </c>
      <c r="O3501" s="2" t="s">
        <v>18110</v>
      </c>
      <c r="P3501" s="2" t="s">
        <v>869</v>
      </c>
    </row>
    <row r="3502" ht="15.75" customHeight="1">
      <c r="H3502" s="2" t="s">
        <v>18111</v>
      </c>
      <c r="I3502" s="2" t="s">
        <v>424</v>
      </c>
      <c r="J3502" s="2" t="s">
        <v>425</v>
      </c>
      <c r="K3502" s="2" t="s">
        <v>2282</v>
      </c>
      <c r="L3502" s="2" t="s">
        <v>17945</v>
      </c>
      <c r="M3502" s="2" t="s">
        <v>18112</v>
      </c>
      <c r="N3502" s="2" t="s">
        <v>18113</v>
      </c>
      <c r="O3502" s="2" t="s">
        <v>18114</v>
      </c>
      <c r="P3502" s="2" t="s">
        <v>869</v>
      </c>
    </row>
    <row r="3503" ht="15.75" customHeight="1">
      <c r="H3503" s="2" t="s">
        <v>18115</v>
      </c>
      <c r="I3503" s="2" t="s">
        <v>17058</v>
      </c>
      <c r="J3503" s="2" t="s">
        <v>17059</v>
      </c>
      <c r="L3503" s="2" t="s">
        <v>17945</v>
      </c>
      <c r="M3503" s="2" t="s">
        <v>18116</v>
      </c>
      <c r="N3503" s="2" t="s">
        <v>18117</v>
      </c>
      <c r="O3503" s="2" t="s">
        <v>18118</v>
      </c>
      <c r="P3503" s="2" t="s">
        <v>18119</v>
      </c>
    </row>
    <row r="3504" ht="15.75" customHeight="1">
      <c r="H3504" s="2" t="s">
        <v>18120</v>
      </c>
      <c r="I3504" s="2" t="s">
        <v>432</v>
      </c>
      <c r="J3504" s="2" t="s">
        <v>433</v>
      </c>
      <c r="K3504" s="2" t="s">
        <v>2236</v>
      </c>
      <c r="L3504" s="2" t="s">
        <v>18121</v>
      </c>
      <c r="M3504" s="2" t="s">
        <v>18122</v>
      </c>
      <c r="N3504" s="2" t="s">
        <v>18123</v>
      </c>
      <c r="O3504" s="2" t="s">
        <v>18124</v>
      </c>
      <c r="P3504" s="2" t="s">
        <v>18125</v>
      </c>
    </row>
    <row r="3505" ht="15.75" customHeight="1">
      <c r="H3505" s="2" t="s">
        <v>18126</v>
      </c>
      <c r="I3505" s="2" t="s">
        <v>440</v>
      </c>
      <c r="J3505" s="2" t="s">
        <v>441</v>
      </c>
      <c r="K3505" s="2" t="s">
        <v>2252</v>
      </c>
      <c r="L3505" s="2" t="s">
        <v>18127</v>
      </c>
      <c r="M3505" s="2" t="s">
        <v>18128</v>
      </c>
      <c r="N3505" s="2" t="s">
        <v>18129</v>
      </c>
      <c r="O3505" s="2" t="s">
        <v>18130</v>
      </c>
      <c r="P3505" s="2" t="s">
        <v>869</v>
      </c>
    </row>
    <row r="3506" ht="15.75" customHeight="1">
      <c r="H3506" s="2" t="s">
        <v>18131</v>
      </c>
      <c r="I3506" s="2" t="s">
        <v>449</v>
      </c>
      <c r="J3506" s="2" t="s">
        <v>450</v>
      </c>
      <c r="K3506" s="2" t="s">
        <v>5500</v>
      </c>
      <c r="L3506" s="2" t="s">
        <v>18132</v>
      </c>
      <c r="M3506" s="2" t="s">
        <v>5912</v>
      </c>
      <c r="N3506" s="2" t="s">
        <v>18133</v>
      </c>
      <c r="O3506" s="2" t="s">
        <v>18134</v>
      </c>
      <c r="P3506" s="2" t="s">
        <v>869</v>
      </c>
    </row>
    <row r="3507" ht="15.75" customHeight="1">
      <c r="H3507" s="2" t="s">
        <v>18135</v>
      </c>
      <c r="I3507" s="2" t="s">
        <v>662</v>
      </c>
      <c r="J3507" s="2" t="s">
        <v>663</v>
      </c>
      <c r="K3507" s="2" t="s">
        <v>2309</v>
      </c>
      <c r="L3507" s="2" t="s">
        <v>18136</v>
      </c>
      <c r="M3507" s="2" t="s">
        <v>18137</v>
      </c>
      <c r="N3507" s="2" t="s">
        <v>18138</v>
      </c>
      <c r="O3507" s="2" t="s">
        <v>18139</v>
      </c>
      <c r="P3507" s="2" t="s">
        <v>869</v>
      </c>
    </row>
    <row r="3508" ht="15.75" customHeight="1">
      <c r="H3508" s="2" t="s">
        <v>18140</v>
      </c>
      <c r="I3508" s="2" t="s">
        <v>13823</v>
      </c>
      <c r="J3508" s="2" t="s">
        <v>13824</v>
      </c>
      <c r="K3508" s="2" t="s">
        <v>18141</v>
      </c>
      <c r="L3508" s="2" t="s">
        <v>18142</v>
      </c>
      <c r="M3508" s="2" t="s">
        <v>18143</v>
      </c>
      <c r="N3508" s="2" t="s">
        <v>18144</v>
      </c>
      <c r="O3508" s="2" t="s">
        <v>18145</v>
      </c>
      <c r="P3508" s="2" t="s">
        <v>869</v>
      </c>
    </row>
    <row r="3509" ht="15.75" customHeight="1">
      <c r="H3509" s="2" t="s">
        <v>18146</v>
      </c>
      <c r="I3509" s="2" t="s">
        <v>5541</v>
      </c>
      <c r="J3509" s="2" t="s">
        <v>5542</v>
      </c>
      <c r="L3509" s="2" t="s">
        <v>17945</v>
      </c>
      <c r="M3509" s="2" t="s">
        <v>18147</v>
      </c>
      <c r="N3509" s="2" t="s">
        <v>18148</v>
      </c>
      <c r="O3509" s="2" t="s">
        <v>18149</v>
      </c>
      <c r="P3509" s="2" t="s">
        <v>869</v>
      </c>
    </row>
    <row r="3510" ht="15.75" customHeight="1">
      <c r="H3510" s="2" t="s">
        <v>18150</v>
      </c>
      <c r="I3510" s="2" t="s">
        <v>18151</v>
      </c>
      <c r="J3510" s="2" t="s">
        <v>18152</v>
      </c>
      <c r="K3510" s="2" t="s">
        <v>18153</v>
      </c>
      <c r="L3510" s="2" t="s">
        <v>17945</v>
      </c>
      <c r="M3510" s="2" t="s">
        <v>18154</v>
      </c>
      <c r="N3510" s="2" t="s">
        <v>18155</v>
      </c>
      <c r="O3510" s="2" t="s">
        <v>18156</v>
      </c>
      <c r="P3510" s="2" t="s">
        <v>869</v>
      </c>
    </row>
    <row r="3511" ht="15.75" customHeight="1">
      <c r="H3511" s="2" t="s">
        <v>18157</v>
      </c>
      <c r="I3511" s="2" t="s">
        <v>13849</v>
      </c>
      <c r="J3511" s="2" t="s">
        <v>13850</v>
      </c>
      <c r="K3511" s="2" t="s">
        <v>12160</v>
      </c>
      <c r="L3511" s="2" t="s">
        <v>17945</v>
      </c>
      <c r="M3511" s="2" t="s">
        <v>18158</v>
      </c>
      <c r="N3511" s="2" t="s">
        <v>18159</v>
      </c>
      <c r="O3511" s="2" t="s">
        <v>18160</v>
      </c>
      <c r="P3511" s="2" t="s">
        <v>869</v>
      </c>
    </row>
    <row r="3512" ht="15.75" customHeight="1">
      <c r="H3512" s="2" t="s">
        <v>18161</v>
      </c>
      <c r="I3512" s="2" t="s">
        <v>510</v>
      </c>
      <c r="J3512" s="2" t="s">
        <v>511</v>
      </c>
      <c r="K3512" s="2" t="s">
        <v>2068</v>
      </c>
      <c r="L3512" s="2" t="s">
        <v>17945</v>
      </c>
      <c r="M3512" s="2" t="s">
        <v>18162</v>
      </c>
      <c r="N3512" s="2" t="s">
        <v>18163</v>
      </c>
      <c r="O3512" s="2" t="s">
        <v>18164</v>
      </c>
      <c r="P3512" s="2" t="s">
        <v>869</v>
      </c>
    </row>
    <row r="3513" ht="15.75" customHeight="1">
      <c r="H3513" s="2" t="s">
        <v>18165</v>
      </c>
      <c r="I3513" s="2" t="s">
        <v>2435</v>
      </c>
      <c r="J3513" s="2" t="s">
        <v>2436</v>
      </c>
      <c r="K3513" s="2" t="s">
        <v>1785</v>
      </c>
      <c r="L3513" s="2" t="s">
        <v>18166</v>
      </c>
      <c r="M3513" s="2" t="s">
        <v>18167</v>
      </c>
      <c r="N3513" s="2" t="s">
        <v>18168</v>
      </c>
      <c r="O3513" s="2" t="s">
        <v>18169</v>
      </c>
      <c r="P3513" s="2" t="s">
        <v>18170</v>
      </c>
    </row>
    <row r="3514" ht="15.75" customHeight="1">
      <c r="H3514" s="2" t="s">
        <v>18171</v>
      </c>
      <c r="I3514" s="2" t="s">
        <v>14560</v>
      </c>
      <c r="J3514" s="2" t="s">
        <v>14561</v>
      </c>
      <c r="K3514" s="2" t="s">
        <v>14562</v>
      </c>
      <c r="L3514" s="2" t="s">
        <v>18172</v>
      </c>
      <c r="M3514" s="2" t="s">
        <v>18173</v>
      </c>
      <c r="N3514" s="2" t="s">
        <v>18174</v>
      </c>
      <c r="O3514" s="2" t="s">
        <v>18175</v>
      </c>
      <c r="P3514" s="2" t="s">
        <v>869</v>
      </c>
    </row>
    <row r="3515" ht="15.75" customHeight="1">
      <c r="H3515" s="2" t="s">
        <v>18176</v>
      </c>
      <c r="I3515" s="2" t="s">
        <v>526</v>
      </c>
      <c r="J3515" s="2" t="s">
        <v>527</v>
      </c>
      <c r="K3515" s="2" t="s">
        <v>2316</v>
      </c>
      <c r="L3515" s="2" t="s">
        <v>18177</v>
      </c>
      <c r="M3515" s="2" t="s">
        <v>18178</v>
      </c>
      <c r="N3515" s="2" t="s">
        <v>18179</v>
      </c>
      <c r="O3515" s="2" t="s">
        <v>18180</v>
      </c>
      <c r="P3515" s="2" t="s">
        <v>869</v>
      </c>
    </row>
    <row r="3516" ht="15.75" customHeight="1">
      <c r="F3516" s="2" t="s">
        <v>534</v>
      </c>
      <c r="H3516" s="2" t="s">
        <v>18181</v>
      </c>
      <c r="I3516" s="2" t="s">
        <v>536</v>
      </c>
      <c r="J3516" s="2" t="s">
        <v>537</v>
      </c>
      <c r="K3516" s="2" t="s">
        <v>538</v>
      </c>
    </row>
    <row r="3517" ht="15.75" customHeight="1">
      <c r="F3517" s="2" t="s">
        <v>539</v>
      </c>
      <c r="H3517" s="2" t="s">
        <v>18182</v>
      </c>
      <c r="I3517" s="2" t="s">
        <v>541</v>
      </c>
      <c r="J3517" s="2" t="s">
        <v>542</v>
      </c>
      <c r="K3517" s="2" t="s">
        <v>886</v>
      </c>
      <c r="L3517" s="2" t="s">
        <v>17945</v>
      </c>
      <c r="M3517" s="2" t="s">
        <v>18183</v>
      </c>
      <c r="N3517" s="2" t="s">
        <v>18184</v>
      </c>
      <c r="O3517" s="2" t="s">
        <v>18185</v>
      </c>
      <c r="P3517" s="2" t="s">
        <v>869</v>
      </c>
    </row>
    <row r="3518" ht="15.75" customHeight="1">
      <c r="H3518" s="2" t="s">
        <v>18186</v>
      </c>
      <c r="I3518" s="2" t="s">
        <v>2583</v>
      </c>
      <c r="J3518" s="2" t="s">
        <v>2584</v>
      </c>
      <c r="K3518" s="2" t="s">
        <v>2585</v>
      </c>
      <c r="L3518" s="2" t="s">
        <v>17945</v>
      </c>
      <c r="M3518" s="2" t="s">
        <v>18187</v>
      </c>
      <c r="N3518" s="2" t="s">
        <v>18188</v>
      </c>
      <c r="O3518" s="2" t="s">
        <v>18189</v>
      </c>
      <c r="P3518" s="2" t="s">
        <v>869</v>
      </c>
    </row>
    <row r="3519" ht="15.75" customHeight="1">
      <c r="F3519" s="2" t="s">
        <v>548</v>
      </c>
      <c r="H3519" s="2" t="s">
        <v>18190</v>
      </c>
      <c r="I3519" s="2" t="s">
        <v>550</v>
      </c>
      <c r="J3519" s="2" t="s">
        <v>551</v>
      </c>
      <c r="K3519" s="2" t="s">
        <v>963</v>
      </c>
      <c r="L3519" s="2" t="s">
        <v>17945</v>
      </c>
      <c r="M3519" s="2" t="s">
        <v>18191</v>
      </c>
      <c r="N3519" s="2" t="s">
        <v>18192</v>
      </c>
      <c r="O3519" s="2" t="s">
        <v>18193</v>
      </c>
      <c r="P3519" s="2" t="s">
        <v>869</v>
      </c>
    </row>
    <row r="3520" ht="15.75" customHeight="1">
      <c r="F3520" s="2" t="s">
        <v>556</v>
      </c>
      <c r="H3520" s="2" t="s">
        <v>18194</v>
      </c>
      <c r="I3520" s="2" t="s">
        <v>566</v>
      </c>
      <c r="J3520" s="2" t="s">
        <v>567</v>
      </c>
      <c r="L3520" s="2" t="s">
        <v>17945</v>
      </c>
      <c r="M3520" s="2" t="s">
        <v>18195</v>
      </c>
      <c r="N3520" s="2" t="s">
        <v>18196</v>
      </c>
      <c r="O3520" s="2" t="s">
        <v>18197</v>
      </c>
      <c r="P3520" s="2" t="s">
        <v>18198</v>
      </c>
    </row>
    <row r="3521" ht="15.75" customHeight="1">
      <c r="H3521" s="2" t="s">
        <v>18199</v>
      </c>
      <c r="I3521" s="2" t="s">
        <v>12028</v>
      </c>
      <c r="J3521" s="2" t="s">
        <v>12029</v>
      </c>
      <c r="K3521" s="2" t="s">
        <v>996</v>
      </c>
      <c r="L3521" s="2" t="s">
        <v>17945</v>
      </c>
      <c r="M3521" s="2" t="s">
        <v>18200</v>
      </c>
      <c r="N3521" s="2" t="s">
        <v>18201</v>
      </c>
      <c r="O3521" s="2" t="s">
        <v>869</v>
      </c>
      <c r="P3521" s="2" t="s">
        <v>870</v>
      </c>
    </row>
    <row r="3522" ht="15.75" customHeight="1">
      <c r="H3522" s="2" t="s">
        <v>18202</v>
      </c>
      <c r="I3522" s="2" t="s">
        <v>8166</v>
      </c>
      <c r="J3522" s="2" t="s">
        <v>8167</v>
      </c>
      <c r="K3522" s="2" t="s">
        <v>1508</v>
      </c>
      <c r="L3522" s="2" t="s">
        <v>17945</v>
      </c>
      <c r="M3522" s="2" t="s">
        <v>18203</v>
      </c>
      <c r="N3522" s="2" t="s">
        <v>18204</v>
      </c>
      <c r="O3522" s="2" t="s">
        <v>18205</v>
      </c>
      <c r="P3522" s="2" t="s">
        <v>869</v>
      </c>
    </row>
    <row r="3523" ht="15.75" customHeight="1">
      <c r="H3523" s="2" t="s">
        <v>18206</v>
      </c>
      <c r="I3523" s="2" t="s">
        <v>12033</v>
      </c>
      <c r="J3523" s="2" t="s">
        <v>12034</v>
      </c>
      <c r="K3523" s="2" t="s">
        <v>2937</v>
      </c>
      <c r="L3523" s="2" t="s">
        <v>17945</v>
      </c>
      <c r="M3523" s="2" t="s">
        <v>18207</v>
      </c>
      <c r="N3523" s="2" t="s">
        <v>18208</v>
      </c>
      <c r="O3523" s="2" t="s">
        <v>18209</v>
      </c>
      <c r="P3523" s="2" t="s">
        <v>869</v>
      </c>
    </row>
    <row r="3524" ht="15.75" customHeight="1">
      <c r="H3524" s="2" t="s">
        <v>18210</v>
      </c>
      <c r="I3524" s="2" t="s">
        <v>574</v>
      </c>
      <c r="J3524" s="2" t="s">
        <v>575</v>
      </c>
      <c r="K3524" s="2" t="s">
        <v>2223</v>
      </c>
      <c r="L3524" s="2" t="s">
        <v>17945</v>
      </c>
      <c r="M3524" s="2" t="s">
        <v>18211</v>
      </c>
      <c r="N3524" s="2" t="s">
        <v>18212</v>
      </c>
      <c r="O3524" s="2" t="s">
        <v>18213</v>
      </c>
      <c r="P3524" s="2" t="s">
        <v>869</v>
      </c>
    </row>
    <row r="3525" ht="15.75" customHeight="1">
      <c r="F3525" s="2" t="s">
        <v>598</v>
      </c>
      <c r="H3525" s="2" t="s">
        <v>18214</v>
      </c>
      <c r="I3525" s="2" t="s">
        <v>608</v>
      </c>
      <c r="J3525" s="2" t="s">
        <v>609</v>
      </c>
      <c r="K3525" s="2" t="s">
        <v>1508</v>
      </c>
      <c r="L3525" s="2" t="s">
        <v>17945</v>
      </c>
      <c r="M3525" s="2" t="s">
        <v>18215</v>
      </c>
      <c r="N3525" s="2" t="s">
        <v>18216</v>
      </c>
      <c r="O3525" s="2" t="s">
        <v>18217</v>
      </c>
      <c r="P3525" s="2" t="s">
        <v>869</v>
      </c>
    </row>
    <row r="3526" ht="15.75" customHeight="1">
      <c r="F3526" s="2" t="s">
        <v>651</v>
      </c>
      <c r="H3526" s="2" t="s">
        <v>18218</v>
      </c>
      <c r="I3526" s="2" t="s">
        <v>653</v>
      </c>
      <c r="J3526" s="2" t="s">
        <v>654</v>
      </c>
      <c r="K3526" s="2" t="s">
        <v>1508</v>
      </c>
      <c r="L3526" s="2" t="s">
        <v>17945</v>
      </c>
      <c r="M3526" s="2" t="s">
        <v>18219</v>
      </c>
      <c r="N3526" s="2" t="s">
        <v>18220</v>
      </c>
      <c r="O3526" s="2" t="s">
        <v>18221</v>
      </c>
      <c r="P3526" s="2" t="s">
        <v>869</v>
      </c>
    </row>
    <row r="3527" ht="15.75" customHeight="1">
      <c r="F3527" s="2" t="s">
        <v>3577</v>
      </c>
      <c r="H3527" s="2" t="s">
        <v>18222</v>
      </c>
      <c r="I3527" s="2" t="s">
        <v>12867</v>
      </c>
      <c r="J3527" s="2" t="s">
        <v>12868</v>
      </c>
      <c r="K3527" s="2" t="s">
        <v>18223</v>
      </c>
      <c r="L3527" s="2" t="s">
        <v>17945</v>
      </c>
      <c r="M3527" s="2" t="s">
        <v>18224</v>
      </c>
      <c r="N3527" s="2" t="s">
        <v>18225</v>
      </c>
      <c r="O3527" s="2" t="s">
        <v>18226</v>
      </c>
      <c r="P3527" s="2" t="s">
        <v>869</v>
      </c>
    </row>
    <row r="3528" ht="15.75" customHeight="1">
      <c r="F3528" s="2" t="s">
        <v>3762</v>
      </c>
      <c r="H3528" s="2" t="s">
        <v>18227</v>
      </c>
      <c r="I3528" s="2" t="s">
        <v>3764</v>
      </c>
      <c r="J3528" s="2" t="s">
        <v>3765</v>
      </c>
      <c r="K3528" s="2" t="s">
        <v>853</v>
      </c>
      <c r="L3528" s="2" t="s">
        <v>17945</v>
      </c>
      <c r="M3528" s="2" t="s">
        <v>18228</v>
      </c>
      <c r="N3528" s="2" t="s">
        <v>18229</v>
      </c>
      <c r="O3528" s="2" t="s">
        <v>18230</v>
      </c>
      <c r="P3528" s="2" t="s">
        <v>869</v>
      </c>
    </row>
    <row r="3529" ht="15.75" customHeight="1">
      <c r="H3529" s="2" t="s">
        <v>18231</v>
      </c>
      <c r="I3529" s="2" t="s">
        <v>18232</v>
      </c>
      <c r="J3529" s="2" t="s">
        <v>18233</v>
      </c>
      <c r="L3529" s="2" t="s">
        <v>17945</v>
      </c>
      <c r="M3529" s="2" t="s">
        <v>18234</v>
      </c>
      <c r="N3529" s="2" t="s">
        <v>18235</v>
      </c>
      <c r="O3529" s="2" t="s">
        <v>18236</v>
      </c>
      <c r="P3529" s="2" t="s">
        <v>869</v>
      </c>
    </row>
    <row r="3530" ht="15.75" customHeight="1">
      <c r="H3530" s="2" t="s">
        <v>18237</v>
      </c>
      <c r="I3530" s="2" t="s">
        <v>18238</v>
      </c>
      <c r="J3530" s="2" t="s">
        <v>18239</v>
      </c>
      <c r="K3530" s="2" t="s">
        <v>18240</v>
      </c>
      <c r="L3530" s="2" t="s">
        <v>17945</v>
      </c>
      <c r="M3530" s="2" t="s">
        <v>18241</v>
      </c>
      <c r="N3530" s="2" t="s">
        <v>18242</v>
      </c>
      <c r="O3530" s="2" t="s">
        <v>18243</v>
      </c>
      <c r="P3530" s="2" t="s">
        <v>869</v>
      </c>
    </row>
    <row r="3531" ht="15.75" customHeight="1">
      <c r="H3531" s="2" t="s">
        <v>18244</v>
      </c>
      <c r="I3531" s="2" t="s">
        <v>18245</v>
      </c>
      <c r="J3531" s="2" t="s">
        <v>18246</v>
      </c>
      <c r="L3531" s="2" t="s">
        <v>17945</v>
      </c>
      <c r="M3531" s="2" t="s">
        <v>18247</v>
      </c>
      <c r="N3531" s="2" t="s">
        <v>18248</v>
      </c>
      <c r="O3531" s="2" t="s">
        <v>18249</v>
      </c>
      <c r="P3531" s="2" t="s">
        <v>869</v>
      </c>
    </row>
    <row r="3532" ht="15.75" customHeight="1">
      <c r="F3532" s="2" t="s">
        <v>677</v>
      </c>
      <c r="H3532" s="2" t="s">
        <v>18250</v>
      </c>
      <c r="I3532" s="2" t="s">
        <v>679</v>
      </c>
      <c r="J3532" s="2" t="s">
        <v>680</v>
      </c>
      <c r="K3532" s="2" t="s">
        <v>1157</v>
      </c>
      <c r="L3532" s="2" t="s">
        <v>17945</v>
      </c>
      <c r="M3532" s="2" t="s">
        <v>18251</v>
      </c>
      <c r="N3532" s="2" t="s">
        <v>18252</v>
      </c>
      <c r="O3532" s="2" t="s">
        <v>18253</v>
      </c>
      <c r="P3532" s="2" t="s">
        <v>18254</v>
      </c>
    </row>
    <row r="3533" ht="15.75" customHeight="1">
      <c r="F3533" s="2" t="s">
        <v>694</v>
      </c>
      <c r="H3533" s="2" t="s">
        <v>18255</v>
      </c>
      <c r="I3533" s="2" t="s">
        <v>18256</v>
      </c>
      <c r="J3533" s="2" t="s">
        <v>18257</v>
      </c>
      <c r="K3533" s="2" t="s">
        <v>1145</v>
      </c>
      <c r="L3533" s="2" t="s">
        <v>17945</v>
      </c>
      <c r="M3533" s="2" t="s">
        <v>18258</v>
      </c>
      <c r="N3533" s="2" t="s">
        <v>18259</v>
      </c>
      <c r="O3533" s="2" t="s">
        <v>18260</v>
      </c>
      <c r="P3533" s="2" t="s">
        <v>869</v>
      </c>
    </row>
    <row r="3534" ht="15.75" customHeight="1">
      <c r="H3534" s="2" t="s">
        <v>18261</v>
      </c>
      <c r="I3534" s="2" t="s">
        <v>696</v>
      </c>
      <c r="J3534" s="2" t="s">
        <v>697</v>
      </c>
      <c r="K3534" s="2" t="s">
        <v>1567</v>
      </c>
      <c r="L3534" s="2" t="s">
        <v>18262</v>
      </c>
      <c r="M3534" s="2" t="s">
        <v>18263</v>
      </c>
      <c r="N3534" s="2" t="s">
        <v>18264</v>
      </c>
      <c r="O3534" s="2" t="s">
        <v>18265</v>
      </c>
      <c r="P3534" s="2" t="s">
        <v>869</v>
      </c>
    </row>
    <row r="3535" ht="15.75" customHeight="1">
      <c r="F3535" s="2" t="s">
        <v>703</v>
      </c>
      <c r="H3535" s="2" t="s">
        <v>18266</v>
      </c>
      <c r="I3535" s="2" t="s">
        <v>705</v>
      </c>
      <c r="J3535" s="2" t="s">
        <v>706</v>
      </c>
      <c r="L3535" s="2" t="s">
        <v>17945</v>
      </c>
      <c r="M3535" s="2" t="s">
        <v>18267</v>
      </c>
      <c r="N3535" s="2" t="s">
        <v>18268</v>
      </c>
      <c r="O3535" s="2" t="s">
        <v>18269</v>
      </c>
      <c r="P3535" s="2" t="s">
        <v>869</v>
      </c>
    </row>
    <row r="3536" ht="15.75" customHeight="1">
      <c r="H3536" s="2" t="s">
        <v>18270</v>
      </c>
      <c r="I3536" s="2" t="s">
        <v>17599</v>
      </c>
      <c r="J3536" s="2" t="s">
        <v>17600</v>
      </c>
      <c r="L3536" s="2" t="s">
        <v>17945</v>
      </c>
      <c r="M3536" s="2" t="s">
        <v>18271</v>
      </c>
      <c r="N3536" s="2" t="s">
        <v>18272</v>
      </c>
      <c r="O3536" s="2" t="s">
        <v>18273</v>
      </c>
      <c r="P3536" s="2" t="s">
        <v>869</v>
      </c>
    </row>
    <row r="3537" ht="15.75" customHeight="1">
      <c r="H3537" s="2" t="s">
        <v>18274</v>
      </c>
      <c r="I3537" s="2" t="s">
        <v>713</v>
      </c>
      <c r="J3537" s="2" t="s">
        <v>714</v>
      </c>
      <c r="K3537" s="2" t="s">
        <v>1567</v>
      </c>
      <c r="L3537" s="2" t="s">
        <v>18275</v>
      </c>
      <c r="M3537" s="2" t="s">
        <v>18276</v>
      </c>
      <c r="N3537" s="2" t="s">
        <v>18277</v>
      </c>
      <c r="O3537" s="2" t="s">
        <v>18278</v>
      </c>
      <c r="P3537" s="2" t="s">
        <v>869</v>
      </c>
    </row>
    <row r="3538" ht="15.75" customHeight="1">
      <c r="H3538" s="2" t="s">
        <v>18279</v>
      </c>
      <c r="I3538" s="2" t="s">
        <v>10251</v>
      </c>
      <c r="J3538" s="2" t="s">
        <v>10252</v>
      </c>
      <c r="L3538" s="2" t="s">
        <v>17945</v>
      </c>
      <c r="M3538" s="2" t="s">
        <v>18280</v>
      </c>
      <c r="N3538" s="2" t="s">
        <v>18281</v>
      </c>
      <c r="O3538" s="2" t="s">
        <v>18282</v>
      </c>
      <c r="P3538" s="2" t="s">
        <v>869</v>
      </c>
    </row>
    <row r="3539" ht="15.75" customHeight="1">
      <c r="H3539" s="2" t="s">
        <v>18283</v>
      </c>
      <c r="I3539" s="2" t="s">
        <v>18284</v>
      </c>
      <c r="J3539" s="2" t="s">
        <v>18285</v>
      </c>
      <c r="K3539" s="2" t="s">
        <v>18286</v>
      </c>
      <c r="L3539" s="2" t="s">
        <v>17945</v>
      </c>
      <c r="M3539" s="2" t="s">
        <v>18287</v>
      </c>
      <c r="N3539" s="2" t="s">
        <v>18288</v>
      </c>
      <c r="O3539" s="2" t="s">
        <v>18289</v>
      </c>
      <c r="P3539" s="2" t="s">
        <v>869</v>
      </c>
    </row>
    <row r="3540" ht="15.75" customHeight="1">
      <c r="H3540" s="2" t="s">
        <v>18290</v>
      </c>
      <c r="I3540" s="2" t="s">
        <v>4065</v>
      </c>
      <c r="J3540" s="2" t="s">
        <v>4066</v>
      </c>
      <c r="L3540" s="2" t="s">
        <v>17945</v>
      </c>
      <c r="M3540" s="2" t="s">
        <v>18291</v>
      </c>
      <c r="N3540" s="2" t="s">
        <v>18292</v>
      </c>
      <c r="O3540" s="2" t="s">
        <v>18293</v>
      </c>
      <c r="P3540" s="2" t="s">
        <v>869</v>
      </c>
    </row>
    <row r="3541" ht="15.75" customHeight="1">
      <c r="F3541" s="2" t="s">
        <v>746</v>
      </c>
      <c r="H3541" s="2" t="s">
        <v>18294</v>
      </c>
      <c r="I3541" s="2" t="s">
        <v>4260</v>
      </c>
      <c r="J3541" s="2" t="s">
        <v>4261</v>
      </c>
      <c r="K3541" s="2" t="s">
        <v>280</v>
      </c>
      <c r="L3541" s="2" t="s">
        <v>17945</v>
      </c>
      <c r="M3541" s="2" t="s">
        <v>18295</v>
      </c>
      <c r="N3541" s="2" t="s">
        <v>18296</v>
      </c>
      <c r="O3541" s="2" t="s">
        <v>18297</v>
      </c>
      <c r="P3541" s="2" t="s">
        <v>869</v>
      </c>
    </row>
    <row r="3542" ht="15.75" customHeight="1">
      <c r="H3542" s="2" t="s">
        <v>18298</v>
      </c>
      <c r="I3542" s="2" t="s">
        <v>4282</v>
      </c>
      <c r="J3542" s="2" t="s">
        <v>4283</v>
      </c>
      <c r="L3542" s="2" t="s">
        <v>17945</v>
      </c>
      <c r="M3542" s="2" t="s">
        <v>18299</v>
      </c>
      <c r="N3542" s="2" t="s">
        <v>18300</v>
      </c>
      <c r="O3542" s="2" t="s">
        <v>18301</v>
      </c>
      <c r="P3542" s="2" t="s">
        <v>18302</v>
      </c>
    </row>
    <row r="3543" ht="15.75" customHeight="1">
      <c r="F3543" s="2" t="s">
        <v>4353</v>
      </c>
      <c r="H3543" s="2" t="s">
        <v>18303</v>
      </c>
      <c r="I3543" s="2" t="s">
        <v>6072</v>
      </c>
      <c r="J3543" s="2" t="s">
        <v>6073</v>
      </c>
      <c r="K3543" s="2" t="s">
        <v>1433</v>
      </c>
      <c r="L3543" s="2" t="s">
        <v>17945</v>
      </c>
      <c r="M3543" s="2" t="s">
        <v>18304</v>
      </c>
      <c r="N3543" s="2" t="s">
        <v>18305</v>
      </c>
      <c r="O3543" s="2" t="s">
        <v>18306</v>
      </c>
      <c r="P3543" s="2" t="s">
        <v>869</v>
      </c>
    </row>
    <row r="3544" ht="15.75" customHeight="1">
      <c r="F3544" s="2" t="s">
        <v>755</v>
      </c>
      <c r="H3544" s="2" t="s">
        <v>18307</v>
      </c>
      <c r="I3544" s="2" t="s">
        <v>757</v>
      </c>
      <c r="J3544" s="2" t="s">
        <v>758</v>
      </c>
      <c r="K3544" s="2" t="s">
        <v>4429</v>
      </c>
      <c r="L3544" s="2" t="s">
        <v>18308</v>
      </c>
      <c r="M3544" s="2" t="s">
        <v>18309</v>
      </c>
      <c r="N3544" s="2" t="s">
        <v>18310</v>
      </c>
      <c r="O3544" s="2" t="s">
        <v>18311</v>
      </c>
      <c r="P3544" s="2" t="s">
        <v>869</v>
      </c>
    </row>
    <row r="3545" ht="15.75" customHeight="1">
      <c r="F3545" s="2" t="s">
        <v>764</v>
      </c>
      <c r="H3545" s="2" t="s">
        <v>18312</v>
      </c>
      <c r="I3545" s="2" t="s">
        <v>766</v>
      </c>
      <c r="J3545" s="2" t="s">
        <v>767</v>
      </c>
      <c r="K3545" s="2" t="s">
        <v>1418</v>
      </c>
      <c r="L3545" s="2" t="s">
        <v>17945</v>
      </c>
      <c r="M3545" s="2" t="s">
        <v>18313</v>
      </c>
      <c r="N3545" s="2" t="s">
        <v>18314</v>
      </c>
      <c r="O3545" s="2" t="s">
        <v>18315</v>
      </c>
      <c r="P3545" s="2" t="s">
        <v>869</v>
      </c>
    </row>
    <row r="3546" ht="15.75" customHeight="1">
      <c r="F3546" s="2" t="s">
        <v>782</v>
      </c>
      <c r="H3546" s="2" t="s">
        <v>18316</v>
      </c>
      <c r="I3546" s="2" t="s">
        <v>18317</v>
      </c>
      <c r="J3546" s="2" t="s">
        <v>18318</v>
      </c>
      <c r="K3546" s="2" t="s">
        <v>1145</v>
      </c>
      <c r="L3546" s="2" t="s">
        <v>17945</v>
      </c>
      <c r="M3546" s="2" t="s">
        <v>18319</v>
      </c>
      <c r="N3546" s="2" t="s">
        <v>18320</v>
      </c>
      <c r="O3546" s="2" t="s">
        <v>18321</v>
      </c>
      <c r="P3546" s="2" t="s">
        <v>869</v>
      </c>
    </row>
    <row r="3547" ht="15.75" customHeight="1">
      <c r="H3547" s="2" t="s">
        <v>18322</v>
      </c>
      <c r="I3547" s="2" t="s">
        <v>784</v>
      </c>
      <c r="J3547" s="2" t="s">
        <v>785</v>
      </c>
      <c r="K3547" s="2" t="s">
        <v>2171</v>
      </c>
      <c r="L3547" s="2" t="s">
        <v>17945</v>
      </c>
      <c r="M3547" s="2" t="s">
        <v>18323</v>
      </c>
      <c r="N3547" s="2" t="s">
        <v>18324</v>
      </c>
      <c r="O3547" s="2" t="s">
        <v>18325</v>
      </c>
      <c r="P3547" s="2" t="s">
        <v>869</v>
      </c>
    </row>
    <row r="3548" ht="15.75" customHeight="1">
      <c r="F3548" s="2" t="s">
        <v>800</v>
      </c>
      <c r="H3548" s="2" t="s">
        <v>18326</v>
      </c>
      <c r="I3548" s="2" t="s">
        <v>4994</v>
      </c>
      <c r="J3548" s="2" t="s">
        <v>4995</v>
      </c>
      <c r="K3548" s="2" t="s">
        <v>1878</v>
      </c>
      <c r="L3548" s="2" t="s">
        <v>17945</v>
      </c>
      <c r="M3548" s="2" t="s">
        <v>18327</v>
      </c>
      <c r="N3548" s="2" t="s">
        <v>18328</v>
      </c>
      <c r="O3548" s="2" t="s">
        <v>18329</v>
      </c>
      <c r="P3548" s="2" t="s">
        <v>869</v>
      </c>
    </row>
    <row r="3549" ht="15.75" customHeight="1">
      <c r="H3549" s="2" t="s">
        <v>18330</v>
      </c>
      <c r="I3549" s="2" t="s">
        <v>5037</v>
      </c>
      <c r="J3549" s="2" t="s">
        <v>5038</v>
      </c>
      <c r="K3549" s="2" t="s">
        <v>2203</v>
      </c>
      <c r="L3549" s="2" t="s">
        <v>17945</v>
      </c>
      <c r="M3549" s="2" t="s">
        <v>18331</v>
      </c>
      <c r="N3549" s="2" t="s">
        <v>18332</v>
      </c>
      <c r="O3549" s="2" t="s">
        <v>18333</v>
      </c>
      <c r="P3549" s="2" t="s">
        <v>869</v>
      </c>
    </row>
    <row r="3550" ht="15.75" customHeight="1">
      <c r="H3550" s="2" t="s">
        <v>18334</v>
      </c>
      <c r="I3550" s="2" t="s">
        <v>5986</v>
      </c>
      <c r="J3550" s="2" t="s">
        <v>5987</v>
      </c>
      <c r="K3550" s="2" t="s">
        <v>5988</v>
      </c>
      <c r="L3550" s="2" t="s">
        <v>17945</v>
      </c>
      <c r="M3550" s="2" t="s">
        <v>18335</v>
      </c>
      <c r="N3550" s="2" t="s">
        <v>18336</v>
      </c>
      <c r="O3550" s="2" t="s">
        <v>18337</v>
      </c>
      <c r="P3550" s="2" t="s">
        <v>869</v>
      </c>
    </row>
    <row r="3551" ht="15.75" customHeight="1">
      <c r="F3551" s="2" t="s">
        <v>5257</v>
      </c>
      <c r="H3551" s="2" t="s">
        <v>18338</v>
      </c>
      <c r="I3551" s="2" t="s">
        <v>5272</v>
      </c>
      <c r="J3551" s="2" t="s">
        <v>5273</v>
      </c>
      <c r="K3551" s="2" t="s">
        <v>900</v>
      </c>
      <c r="L3551" s="2" t="s">
        <v>17945</v>
      </c>
      <c r="M3551" s="2" t="s">
        <v>18339</v>
      </c>
      <c r="N3551" s="2" t="s">
        <v>18340</v>
      </c>
      <c r="O3551" s="2" t="s">
        <v>18341</v>
      </c>
      <c r="P3551" s="2" t="s">
        <v>869</v>
      </c>
    </row>
    <row r="3552" ht="15.75" customHeight="1">
      <c r="B3552" s="2" t="s">
        <v>18342</v>
      </c>
      <c r="C3552" s="2" t="s">
        <v>12725</v>
      </c>
      <c r="D3552" s="2" t="s">
        <v>18343</v>
      </c>
      <c r="F3552" s="2" t="s">
        <v>855</v>
      </c>
      <c r="H3552" s="2" t="s">
        <v>18344</v>
      </c>
      <c r="I3552" s="2" t="s">
        <v>6105</v>
      </c>
      <c r="J3552" s="2" t="s">
        <v>6106</v>
      </c>
      <c r="K3552" s="2" t="s">
        <v>853</v>
      </c>
      <c r="L3552" s="2" t="s">
        <v>18345</v>
      </c>
      <c r="M3552" s="2" t="s">
        <v>18346</v>
      </c>
      <c r="N3552" s="2" t="s">
        <v>18347</v>
      </c>
      <c r="O3552" s="2" t="s">
        <v>869</v>
      </c>
      <c r="P3552" s="2" t="s">
        <v>870</v>
      </c>
    </row>
    <row r="3553" ht="15.75" customHeight="1">
      <c r="H3553" s="2" t="s">
        <v>18348</v>
      </c>
      <c r="I3553" s="2" t="s">
        <v>18349</v>
      </c>
      <c r="J3553" s="2" t="s">
        <v>18350</v>
      </c>
      <c r="K3553" s="2" t="s">
        <v>1288</v>
      </c>
      <c r="L3553" s="2" t="s">
        <v>18345</v>
      </c>
      <c r="M3553" s="2" t="s">
        <v>18351</v>
      </c>
      <c r="N3553" s="2" t="s">
        <v>18352</v>
      </c>
      <c r="O3553" s="2" t="s">
        <v>869</v>
      </c>
      <c r="P3553" s="2" t="s">
        <v>870</v>
      </c>
    </row>
    <row r="3554" ht="15.75" customHeight="1">
      <c r="H3554" s="2" t="s">
        <v>18353</v>
      </c>
      <c r="I3554" s="2" t="s">
        <v>18354</v>
      </c>
      <c r="J3554" s="2" t="s">
        <v>18355</v>
      </c>
      <c r="K3554" s="2" t="s">
        <v>1117</v>
      </c>
      <c r="L3554" s="2" t="s">
        <v>18345</v>
      </c>
      <c r="M3554" s="2" t="s">
        <v>18356</v>
      </c>
      <c r="N3554" s="2" t="s">
        <v>18357</v>
      </c>
      <c r="O3554" s="2" t="s">
        <v>869</v>
      </c>
      <c r="P3554" s="2" t="s">
        <v>870</v>
      </c>
    </row>
    <row r="3555" ht="15.75" customHeight="1">
      <c r="H3555" s="2" t="s">
        <v>18358</v>
      </c>
      <c r="I3555" s="2" t="s">
        <v>18359</v>
      </c>
      <c r="J3555" s="2" t="s">
        <v>18360</v>
      </c>
      <c r="K3555" s="2" t="s">
        <v>1007</v>
      </c>
      <c r="L3555" s="2" t="s">
        <v>18345</v>
      </c>
      <c r="M3555" s="2" t="s">
        <v>18361</v>
      </c>
      <c r="N3555" s="2" t="s">
        <v>18362</v>
      </c>
      <c r="O3555" s="2" t="s">
        <v>869</v>
      </c>
      <c r="P3555" s="2" t="s">
        <v>870</v>
      </c>
    </row>
    <row r="3556" ht="15.75" customHeight="1">
      <c r="H3556" s="2" t="s">
        <v>18363</v>
      </c>
      <c r="I3556" s="2" t="s">
        <v>18364</v>
      </c>
      <c r="J3556" s="2" t="s">
        <v>18365</v>
      </c>
      <c r="K3556" s="2" t="s">
        <v>2937</v>
      </c>
      <c r="L3556" s="2" t="s">
        <v>18345</v>
      </c>
      <c r="M3556" s="2" t="s">
        <v>18366</v>
      </c>
      <c r="N3556" s="2" t="s">
        <v>18367</v>
      </c>
      <c r="O3556" s="2" t="s">
        <v>869</v>
      </c>
      <c r="P3556" s="2" t="s">
        <v>870</v>
      </c>
    </row>
    <row r="3557" ht="15.75" customHeight="1">
      <c r="H3557" s="2" t="s">
        <v>18368</v>
      </c>
      <c r="I3557" s="2" t="s">
        <v>18369</v>
      </c>
      <c r="J3557" s="2" t="s">
        <v>18370</v>
      </c>
      <c r="K3557" s="2" t="s">
        <v>1313</v>
      </c>
      <c r="L3557" s="2" t="s">
        <v>18345</v>
      </c>
      <c r="M3557" s="2" t="s">
        <v>18371</v>
      </c>
      <c r="N3557" s="2" t="s">
        <v>18372</v>
      </c>
      <c r="O3557" s="2" t="s">
        <v>869</v>
      </c>
      <c r="P3557" s="2" t="s">
        <v>870</v>
      </c>
    </row>
    <row r="3558" ht="15.75" customHeight="1">
      <c r="H3558" s="2" t="s">
        <v>18373</v>
      </c>
      <c r="I3558" s="2" t="s">
        <v>18374</v>
      </c>
      <c r="J3558" s="2" t="s">
        <v>18375</v>
      </c>
      <c r="K3558" s="2" t="s">
        <v>1567</v>
      </c>
      <c r="L3558" s="2" t="s">
        <v>18345</v>
      </c>
      <c r="M3558" s="2" t="s">
        <v>18376</v>
      </c>
      <c r="N3558" s="2" t="s">
        <v>18377</v>
      </c>
      <c r="O3558" s="2" t="s">
        <v>869</v>
      </c>
      <c r="P3558" s="2" t="s">
        <v>870</v>
      </c>
    </row>
    <row r="3559" ht="15.75" customHeight="1">
      <c r="H3559" s="2" t="s">
        <v>18378</v>
      </c>
      <c r="I3559" s="2" t="s">
        <v>6192</v>
      </c>
      <c r="J3559" s="2" t="s">
        <v>6193</v>
      </c>
      <c r="K3559" s="2" t="s">
        <v>1141</v>
      </c>
      <c r="L3559" s="2" t="s">
        <v>18345</v>
      </c>
      <c r="M3559" s="2" t="s">
        <v>18379</v>
      </c>
      <c r="N3559" s="2" t="s">
        <v>18380</v>
      </c>
      <c r="O3559" s="2" t="s">
        <v>869</v>
      </c>
      <c r="P3559" s="2" t="s">
        <v>870</v>
      </c>
    </row>
    <row r="3560" ht="15.75" customHeight="1">
      <c r="H3560" s="2" t="s">
        <v>18381</v>
      </c>
      <c r="I3560" s="2" t="s">
        <v>18382</v>
      </c>
      <c r="J3560" s="2" t="s">
        <v>18383</v>
      </c>
      <c r="K3560" s="2" t="s">
        <v>1569</v>
      </c>
      <c r="L3560" s="2" t="s">
        <v>18345</v>
      </c>
      <c r="M3560" s="2" t="s">
        <v>18384</v>
      </c>
      <c r="N3560" s="2" t="s">
        <v>18385</v>
      </c>
      <c r="O3560" s="2" t="s">
        <v>869</v>
      </c>
      <c r="P3560" s="2" t="s">
        <v>870</v>
      </c>
    </row>
    <row r="3561" ht="15.75" customHeight="1">
      <c r="F3561" s="2" t="s">
        <v>927</v>
      </c>
      <c r="H3561" s="2" t="s">
        <v>18386</v>
      </c>
      <c r="I3561" s="2" t="s">
        <v>6234</v>
      </c>
      <c r="J3561" s="2" t="s">
        <v>6235</v>
      </c>
      <c r="K3561" s="2" t="s">
        <v>947</v>
      </c>
      <c r="L3561" s="2" t="s">
        <v>18345</v>
      </c>
      <c r="M3561" s="2" t="s">
        <v>18387</v>
      </c>
      <c r="N3561" s="2" t="s">
        <v>18388</v>
      </c>
      <c r="O3561" s="2" t="s">
        <v>869</v>
      </c>
      <c r="P3561" s="2" t="s">
        <v>870</v>
      </c>
    </row>
    <row r="3562" ht="15.75" customHeight="1">
      <c r="H3562" s="2" t="s">
        <v>18389</v>
      </c>
      <c r="I3562" s="2" t="s">
        <v>6240</v>
      </c>
      <c r="J3562" s="2" t="s">
        <v>6241</v>
      </c>
      <c r="K3562" s="2" t="s">
        <v>1061</v>
      </c>
      <c r="L3562" s="2" t="s">
        <v>18345</v>
      </c>
      <c r="M3562" s="2" t="s">
        <v>18390</v>
      </c>
      <c r="N3562" s="2" t="s">
        <v>18391</v>
      </c>
      <c r="O3562" s="2" t="s">
        <v>869</v>
      </c>
      <c r="P3562" s="2" t="s">
        <v>870</v>
      </c>
    </row>
    <row r="3563" ht="15.75" customHeight="1">
      <c r="H3563" s="2" t="s">
        <v>18392</v>
      </c>
      <c r="I3563" s="2" t="s">
        <v>18393</v>
      </c>
      <c r="J3563" s="2" t="s">
        <v>18394</v>
      </c>
      <c r="K3563" s="2" t="s">
        <v>1362</v>
      </c>
      <c r="L3563" s="2" t="s">
        <v>18345</v>
      </c>
      <c r="M3563" s="2" t="s">
        <v>18395</v>
      </c>
      <c r="N3563" s="2" t="s">
        <v>18396</v>
      </c>
      <c r="O3563" s="2" t="s">
        <v>869</v>
      </c>
      <c r="P3563" s="2" t="s">
        <v>870</v>
      </c>
    </row>
    <row r="3564" ht="15.75" customHeight="1">
      <c r="F3564" s="2" t="s">
        <v>938</v>
      </c>
      <c r="H3564" s="2" t="s">
        <v>18397</v>
      </c>
      <c r="I3564" s="2" t="s">
        <v>940</v>
      </c>
      <c r="J3564" s="2" t="s">
        <v>941</v>
      </c>
      <c r="K3564" s="2" t="s">
        <v>859</v>
      </c>
      <c r="L3564" s="2" t="s">
        <v>18345</v>
      </c>
      <c r="M3564" s="2" t="s">
        <v>18398</v>
      </c>
      <c r="N3564" s="2" t="s">
        <v>18399</v>
      </c>
      <c r="O3564" s="2" t="s">
        <v>869</v>
      </c>
      <c r="P3564" s="2" t="s">
        <v>870</v>
      </c>
    </row>
    <row r="3565" ht="15.75" customHeight="1">
      <c r="H3565" s="2" t="s">
        <v>18400</v>
      </c>
      <c r="I3565" s="2" t="s">
        <v>945</v>
      </c>
      <c r="J3565" s="2" t="s">
        <v>946</v>
      </c>
      <c r="K3565" s="2" t="s">
        <v>1061</v>
      </c>
      <c r="L3565" s="2" t="s">
        <v>18345</v>
      </c>
      <c r="M3565" s="2" t="s">
        <v>18401</v>
      </c>
      <c r="N3565" s="2" t="s">
        <v>18402</v>
      </c>
      <c r="O3565" s="2" t="s">
        <v>869</v>
      </c>
      <c r="P3565" s="2" t="s">
        <v>870</v>
      </c>
    </row>
    <row r="3566" ht="15.75" customHeight="1">
      <c r="F3566" s="2" t="s">
        <v>19</v>
      </c>
      <c r="H3566" s="2" t="s">
        <v>18403</v>
      </c>
      <c r="I3566" s="2" t="s">
        <v>6362</v>
      </c>
      <c r="J3566" s="2" t="s">
        <v>6363</v>
      </c>
      <c r="L3566" s="2" t="s">
        <v>18345</v>
      </c>
      <c r="M3566" s="2" t="s">
        <v>18404</v>
      </c>
      <c r="N3566" s="2" t="s">
        <v>18405</v>
      </c>
      <c r="O3566" s="2" t="s">
        <v>869</v>
      </c>
      <c r="P3566" s="2" t="s">
        <v>870</v>
      </c>
    </row>
    <row r="3567" ht="15.75" customHeight="1">
      <c r="H3567" s="2" t="s">
        <v>18406</v>
      </c>
      <c r="I3567" s="2" t="s">
        <v>18407</v>
      </c>
      <c r="J3567" s="2" t="s">
        <v>18408</v>
      </c>
      <c r="K3567" s="2" t="s">
        <v>853</v>
      </c>
      <c r="L3567" s="2" t="s">
        <v>18345</v>
      </c>
      <c r="M3567" s="2" t="s">
        <v>18409</v>
      </c>
      <c r="N3567" s="2" t="s">
        <v>18410</v>
      </c>
      <c r="O3567" s="2" t="s">
        <v>869</v>
      </c>
      <c r="P3567" s="2" t="s">
        <v>870</v>
      </c>
    </row>
    <row r="3568" ht="15.75" customHeight="1">
      <c r="H3568" s="2" t="s">
        <v>18411</v>
      </c>
      <c r="I3568" s="2" t="s">
        <v>6380</v>
      </c>
      <c r="J3568" s="2" t="s">
        <v>6381</v>
      </c>
      <c r="K3568" s="2" t="s">
        <v>1362</v>
      </c>
      <c r="L3568" s="2" t="s">
        <v>18345</v>
      </c>
      <c r="M3568" s="2" t="s">
        <v>18412</v>
      </c>
      <c r="N3568" s="2" t="s">
        <v>18413</v>
      </c>
      <c r="O3568" s="2" t="s">
        <v>869</v>
      </c>
      <c r="P3568" s="2" t="s">
        <v>870</v>
      </c>
    </row>
    <row r="3569" ht="15.75" customHeight="1">
      <c r="H3569" s="2" t="s">
        <v>18414</v>
      </c>
      <c r="I3569" s="2" t="s">
        <v>21</v>
      </c>
      <c r="J3569" s="2" t="s">
        <v>22</v>
      </c>
      <c r="K3569" s="2" t="s">
        <v>1467</v>
      </c>
      <c r="L3569" s="2" t="s">
        <v>18415</v>
      </c>
      <c r="M3569" s="2" t="s">
        <v>18416</v>
      </c>
      <c r="N3569" s="2" t="s">
        <v>18417</v>
      </c>
      <c r="O3569" s="2" t="s">
        <v>869</v>
      </c>
      <c r="P3569" s="2" t="s">
        <v>870</v>
      </c>
    </row>
    <row r="3570" ht="15.75" customHeight="1">
      <c r="H3570" s="2" t="s">
        <v>18418</v>
      </c>
      <c r="I3570" s="2" t="s">
        <v>18419</v>
      </c>
      <c r="J3570" s="2" t="s">
        <v>18420</v>
      </c>
      <c r="K3570" s="2" t="s">
        <v>1406</v>
      </c>
      <c r="L3570" s="2" t="s">
        <v>18345</v>
      </c>
      <c r="M3570" s="2" t="s">
        <v>18421</v>
      </c>
      <c r="N3570" s="2" t="s">
        <v>18422</v>
      </c>
      <c r="O3570" s="2" t="s">
        <v>869</v>
      </c>
      <c r="P3570" s="2" t="s">
        <v>870</v>
      </c>
    </row>
    <row r="3571" ht="15.75" customHeight="1">
      <c r="H3571" s="2" t="s">
        <v>18423</v>
      </c>
      <c r="I3571" s="2" t="s">
        <v>18424</v>
      </c>
      <c r="J3571" s="2" t="s">
        <v>18425</v>
      </c>
      <c r="K3571" s="2" t="s">
        <v>1288</v>
      </c>
      <c r="L3571" s="2" t="s">
        <v>18345</v>
      </c>
      <c r="M3571" s="2" t="s">
        <v>18426</v>
      </c>
      <c r="N3571" s="2" t="s">
        <v>18427</v>
      </c>
      <c r="O3571" s="2" t="s">
        <v>869</v>
      </c>
      <c r="P3571" s="2" t="s">
        <v>870</v>
      </c>
    </row>
    <row r="3572" ht="15.75" customHeight="1">
      <c r="H3572" s="2" t="s">
        <v>18428</v>
      </c>
      <c r="I3572" s="2" t="s">
        <v>18429</v>
      </c>
      <c r="J3572" s="2" t="s">
        <v>18430</v>
      </c>
      <c r="K3572" s="2" t="s">
        <v>958</v>
      </c>
      <c r="L3572" s="2" t="s">
        <v>18345</v>
      </c>
      <c r="M3572" s="2" t="s">
        <v>18431</v>
      </c>
      <c r="N3572" s="2" t="s">
        <v>869</v>
      </c>
      <c r="O3572" s="2" t="s">
        <v>870</v>
      </c>
    </row>
    <row r="3573" ht="15.75" customHeight="1">
      <c r="H3573" s="2" t="s">
        <v>18432</v>
      </c>
      <c r="I3573" s="2" t="s">
        <v>1000</v>
      </c>
      <c r="J3573" s="2" t="s">
        <v>1001</v>
      </c>
      <c r="K3573" s="2" t="s">
        <v>890</v>
      </c>
      <c r="L3573" s="2" t="s">
        <v>18345</v>
      </c>
      <c r="M3573" s="2" t="s">
        <v>18433</v>
      </c>
      <c r="N3573" s="2" t="s">
        <v>18434</v>
      </c>
      <c r="O3573" s="2" t="s">
        <v>869</v>
      </c>
      <c r="P3573" s="2" t="s">
        <v>870</v>
      </c>
    </row>
    <row r="3574" ht="15.75" customHeight="1">
      <c r="H3574" s="2" t="s">
        <v>18435</v>
      </c>
      <c r="I3574" s="2" t="s">
        <v>18436</v>
      </c>
      <c r="J3574" s="2" t="s">
        <v>18437</v>
      </c>
      <c r="L3574" s="2" t="s">
        <v>18345</v>
      </c>
      <c r="M3574" s="2" t="s">
        <v>18438</v>
      </c>
      <c r="N3574" s="2" t="s">
        <v>18439</v>
      </c>
      <c r="O3574" s="2" t="s">
        <v>869</v>
      </c>
      <c r="P3574" s="2" t="s">
        <v>870</v>
      </c>
    </row>
    <row r="3575" ht="15.75" customHeight="1">
      <c r="H3575" s="2" t="s">
        <v>18440</v>
      </c>
      <c r="I3575" s="2" t="s">
        <v>18441</v>
      </c>
      <c r="J3575" s="2" t="s">
        <v>18442</v>
      </c>
      <c r="K3575" s="2" t="s">
        <v>912</v>
      </c>
      <c r="L3575" s="2" t="s">
        <v>18345</v>
      </c>
      <c r="M3575" s="2" t="s">
        <v>18443</v>
      </c>
      <c r="N3575" s="2" t="s">
        <v>18444</v>
      </c>
      <c r="O3575" s="2" t="s">
        <v>869</v>
      </c>
      <c r="P3575" s="2" t="s">
        <v>870</v>
      </c>
    </row>
    <row r="3576" ht="15.75" customHeight="1">
      <c r="H3576" s="2" t="s">
        <v>18445</v>
      </c>
      <c r="I3576" s="2" t="s">
        <v>18446</v>
      </c>
      <c r="J3576" s="2" t="s">
        <v>18447</v>
      </c>
      <c r="K3576" s="2" t="s">
        <v>4429</v>
      </c>
      <c r="L3576" s="2" t="s">
        <v>18345</v>
      </c>
      <c r="M3576" s="2" t="s">
        <v>18448</v>
      </c>
      <c r="N3576" s="2" t="s">
        <v>18449</v>
      </c>
      <c r="O3576" s="2" t="s">
        <v>869</v>
      </c>
      <c r="P3576" s="2" t="s">
        <v>870</v>
      </c>
    </row>
    <row r="3577" ht="15.75" customHeight="1">
      <c r="H3577" s="2" t="s">
        <v>18450</v>
      </c>
      <c r="I3577" s="2" t="s">
        <v>1016</v>
      </c>
      <c r="J3577" s="2" t="s">
        <v>1017</v>
      </c>
      <c r="K3577" s="2" t="s">
        <v>1141</v>
      </c>
      <c r="L3577" s="2" t="s">
        <v>18345</v>
      </c>
      <c r="M3577" s="2" t="s">
        <v>18451</v>
      </c>
      <c r="N3577" s="2" t="s">
        <v>18452</v>
      </c>
      <c r="O3577" s="2" t="s">
        <v>869</v>
      </c>
      <c r="P3577" s="2" t="s">
        <v>870</v>
      </c>
    </row>
    <row r="3578" ht="15.75" customHeight="1">
      <c r="H3578" s="2" t="s">
        <v>18453</v>
      </c>
      <c r="I3578" s="2" t="s">
        <v>4528</v>
      </c>
      <c r="J3578" s="2" t="s">
        <v>4529</v>
      </c>
      <c r="K3578" s="2" t="s">
        <v>2203</v>
      </c>
      <c r="L3578" s="2" t="s">
        <v>18345</v>
      </c>
      <c r="M3578" s="2" t="s">
        <v>18454</v>
      </c>
      <c r="N3578" s="2" t="s">
        <v>18455</v>
      </c>
      <c r="O3578" s="2" t="s">
        <v>869</v>
      </c>
      <c r="P3578" s="2" t="s">
        <v>870</v>
      </c>
    </row>
    <row r="3579" ht="15.75" customHeight="1">
      <c r="H3579" s="2" t="s">
        <v>18456</v>
      </c>
      <c r="I3579" s="2" t="s">
        <v>18457</v>
      </c>
      <c r="J3579" s="2" t="s">
        <v>18458</v>
      </c>
      <c r="K3579" s="2" t="s">
        <v>1325</v>
      </c>
      <c r="L3579" s="2" t="s">
        <v>18345</v>
      </c>
      <c r="M3579" s="2" t="s">
        <v>18459</v>
      </c>
      <c r="N3579" s="2" t="s">
        <v>18460</v>
      </c>
      <c r="O3579" s="2" t="s">
        <v>869</v>
      </c>
      <c r="P3579" s="2" t="s">
        <v>870</v>
      </c>
    </row>
    <row r="3580" ht="15.75" customHeight="1">
      <c r="H3580" s="2" t="s">
        <v>18461</v>
      </c>
      <c r="I3580" s="2" t="s">
        <v>18462</v>
      </c>
      <c r="J3580" s="2" t="s">
        <v>18463</v>
      </c>
      <c r="K3580" s="2" t="s">
        <v>2223</v>
      </c>
      <c r="L3580" s="2" t="s">
        <v>18345</v>
      </c>
      <c r="M3580" s="2" t="s">
        <v>18464</v>
      </c>
      <c r="N3580" s="2" t="s">
        <v>18465</v>
      </c>
      <c r="O3580" s="2" t="s">
        <v>869</v>
      </c>
      <c r="P3580" s="2" t="s">
        <v>870</v>
      </c>
    </row>
    <row r="3581" ht="15.75" customHeight="1">
      <c r="H3581" s="2" t="s">
        <v>18466</v>
      </c>
      <c r="I3581" s="2" t="s">
        <v>18467</v>
      </c>
      <c r="J3581" s="2" t="s">
        <v>18468</v>
      </c>
      <c r="K3581" s="2" t="s">
        <v>1593</v>
      </c>
      <c r="L3581" s="2" t="s">
        <v>18345</v>
      </c>
      <c r="M3581" s="2" t="s">
        <v>18469</v>
      </c>
      <c r="N3581" s="2" t="s">
        <v>18470</v>
      </c>
      <c r="O3581" s="2" t="s">
        <v>869</v>
      </c>
      <c r="P3581" s="2" t="s">
        <v>870</v>
      </c>
    </row>
    <row r="3582" ht="15.75" customHeight="1">
      <c r="H3582" s="2" t="s">
        <v>18471</v>
      </c>
      <c r="I3582" s="2" t="s">
        <v>18472</v>
      </c>
      <c r="J3582" s="2" t="s">
        <v>18473</v>
      </c>
      <c r="K3582" s="2" t="s">
        <v>1181</v>
      </c>
      <c r="L3582" s="2" t="s">
        <v>18345</v>
      </c>
      <c r="M3582" s="2" t="s">
        <v>18474</v>
      </c>
      <c r="N3582" s="2" t="s">
        <v>18475</v>
      </c>
      <c r="O3582" s="2" t="s">
        <v>869</v>
      </c>
      <c r="P3582" s="2" t="s">
        <v>870</v>
      </c>
    </row>
    <row r="3583" ht="15.75" customHeight="1">
      <c r="H3583" s="2" t="s">
        <v>18476</v>
      </c>
      <c r="I3583" s="2" t="s">
        <v>16536</v>
      </c>
      <c r="J3583" s="2" t="s">
        <v>16537</v>
      </c>
      <c r="K3583" s="2" t="s">
        <v>1193</v>
      </c>
      <c r="L3583" s="2" t="s">
        <v>18345</v>
      </c>
      <c r="M3583" s="2" t="s">
        <v>18477</v>
      </c>
      <c r="N3583" s="2" t="s">
        <v>18478</v>
      </c>
      <c r="O3583" s="2" t="s">
        <v>869</v>
      </c>
      <c r="P3583" s="2" t="s">
        <v>870</v>
      </c>
    </row>
    <row r="3584" ht="15.75" customHeight="1">
      <c r="F3584" s="2" t="s">
        <v>1052</v>
      </c>
      <c r="H3584" s="2" t="s">
        <v>18479</v>
      </c>
      <c r="I3584" s="2" t="s">
        <v>18480</v>
      </c>
      <c r="J3584" s="2" t="s">
        <v>18481</v>
      </c>
      <c r="K3584" s="2" t="s">
        <v>859</v>
      </c>
      <c r="L3584" s="2" t="s">
        <v>18345</v>
      </c>
      <c r="M3584" s="2" t="s">
        <v>18482</v>
      </c>
      <c r="N3584" s="2" t="s">
        <v>18483</v>
      </c>
      <c r="O3584" s="2" t="s">
        <v>869</v>
      </c>
      <c r="P3584" s="2" t="s">
        <v>870</v>
      </c>
    </row>
    <row r="3585" ht="15.75" customHeight="1">
      <c r="H3585" s="2" t="s">
        <v>18484</v>
      </c>
      <c r="I3585" s="2" t="s">
        <v>1054</v>
      </c>
      <c r="J3585" s="2" t="s">
        <v>1055</v>
      </c>
      <c r="K3585" s="2" t="s">
        <v>947</v>
      </c>
      <c r="L3585" s="2" t="s">
        <v>18345</v>
      </c>
      <c r="M3585" s="2" t="s">
        <v>1056</v>
      </c>
      <c r="N3585" s="2" t="s">
        <v>18485</v>
      </c>
      <c r="O3585" s="2" t="s">
        <v>869</v>
      </c>
      <c r="P3585" s="2" t="s">
        <v>870</v>
      </c>
    </row>
    <row r="3586" ht="15.75" customHeight="1">
      <c r="H3586" s="2" t="s">
        <v>18486</v>
      </c>
      <c r="I3586" s="2" t="s">
        <v>1059</v>
      </c>
      <c r="J3586" s="2" t="s">
        <v>1060</v>
      </c>
      <c r="K3586" s="2" t="s">
        <v>1061</v>
      </c>
      <c r="L3586" s="2" t="s">
        <v>18345</v>
      </c>
      <c r="M3586" s="2" t="s">
        <v>1062</v>
      </c>
      <c r="N3586" s="2" t="s">
        <v>18487</v>
      </c>
      <c r="O3586" s="2" t="s">
        <v>869</v>
      </c>
      <c r="P3586" s="2" t="s">
        <v>870</v>
      </c>
    </row>
    <row r="3587" ht="15.75" customHeight="1">
      <c r="H3587" s="2" t="s">
        <v>18488</v>
      </c>
      <c r="I3587" s="2" t="s">
        <v>16554</v>
      </c>
      <c r="J3587" s="2" t="s">
        <v>16555</v>
      </c>
      <c r="K3587" s="2" t="s">
        <v>1362</v>
      </c>
      <c r="L3587" s="2" t="s">
        <v>18345</v>
      </c>
      <c r="M3587" s="2" t="s">
        <v>18489</v>
      </c>
      <c r="N3587" s="2" t="s">
        <v>18490</v>
      </c>
      <c r="O3587" s="2" t="s">
        <v>869</v>
      </c>
      <c r="P3587" s="2" t="s">
        <v>870</v>
      </c>
    </row>
    <row r="3588" ht="15.75" customHeight="1">
      <c r="H3588" s="2" t="s">
        <v>18491</v>
      </c>
      <c r="I3588" s="2" t="s">
        <v>18492</v>
      </c>
      <c r="J3588" s="2" t="s">
        <v>18493</v>
      </c>
      <c r="K3588" s="2" t="s">
        <v>1467</v>
      </c>
      <c r="L3588" s="2" t="s">
        <v>18345</v>
      </c>
      <c r="M3588" s="2" t="s">
        <v>18494</v>
      </c>
      <c r="N3588" s="2" t="s">
        <v>18495</v>
      </c>
      <c r="O3588" s="2" t="s">
        <v>869</v>
      </c>
      <c r="P3588" s="2" t="s">
        <v>870</v>
      </c>
    </row>
    <row r="3589" ht="15.75" customHeight="1">
      <c r="H3589" s="2" t="s">
        <v>18496</v>
      </c>
      <c r="I3589" s="2" t="s">
        <v>18497</v>
      </c>
      <c r="J3589" s="2" t="s">
        <v>18498</v>
      </c>
      <c r="K3589" s="2" t="s">
        <v>966</v>
      </c>
      <c r="L3589" s="2" t="s">
        <v>18345</v>
      </c>
      <c r="M3589" s="2" t="s">
        <v>18499</v>
      </c>
      <c r="N3589" s="2" t="s">
        <v>18500</v>
      </c>
      <c r="O3589" s="2" t="s">
        <v>869</v>
      </c>
      <c r="P3589" s="2" t="s">
        <v>870</v>
      </c>
    </row>
    <row r="3590" ht="15.75" customHeight="1">
      <c r="H3590" s="2" t="s">
        <v>18501</v>
      </c>
      <c r="I3590" s="2" t="s">
        <v>1090</v>
      </c>
      <c r="J3590" s="2" t="s">
        <v>1091</v>
      </c>
      <c r="L3590" s="2" t="s">
        <v>18345</v>
      </c>
      <c r="M3590" s="2" t="s">
        <v>18502</v>
      </c>
      <c r="N3590" s="2" t="s">
        <v>18503</v>
      </c>
      <c r="O3590" s="2" t="s">
        <v>869</v>
      </c>
      <c r="P3590" s="2" t="s">
        <v>870</v>
      </c>
    </row>
    <row r="3591" ht="15.75" customHeight="1">
      <c r="H3591" s="2" t="s">
        <v>18504</v>
      </c>
      <c r="I3591" s="2" t="s">
        <v>18505</v>
      </c>
      <c r="J3591" s="2" t="s">
        <v>18506</v>
      </c>
      <c r="K3591" s="2" t="s">
        <v>283</v>
      </c>
    </row>
    <row r="3592" ht="15.75" customHeight="1">
      <c r="F3592" s="2" t="s">
        <v>29</v>
      </c>
      <c r="H3592" s="2" t="s">
        <v>18507</v>
      </c>
      <c r="I3592" s="2" t="s">
        <v>18508</v>
      </c>
      <c r="J3592" s="2" t="s">
        <v>18509</v>
      </c>
      <c r="K3592" s="2" t="s">
        <v>859</v>
      </c>
      <c r="L3592" s="2" t="s">
        <v>18345</v>
      </c>
      <c r="M3592" s="2" t="s">
        <v>18510</v>
      </c>
      <c r="N3592" s="2" t="s">
        <v>18511</v>
      </c>
      <c r="O3592" s="2" t="s">
        <v>869</v>
      </c>
      <c r="P3592" s="2" t="s">
        <v>870</v>
      </c>
    </row>
    <row r="3593" ht="15.75" customHeight="1">
      <c r="H3593" s="2" t="s">
        <v>18512</v>
      </c>
      <c r="I3593" s="2" t="s">
        <v>31</v>
      </c>
      <c r="J3593" s="2" t="s">
        <v>32</v>
      </c>
      <c r="K3593" s="2" t="s">
        <v>1368</v>
      </c>
      <c r="L3593" s="2" t="s">
        <v>18513</v>
      </c>
      <c r="M3593" s="2" t="s">
        <v>18514</v>
      </c>
      <c r="N3593" s="2" t="s">
        <v>18515</v>
      </c>
      <c r="O3593" s="2" t="s">
        <v>869</v>
      </c>
      <c r="P3593" s="2" t="s">
        <v>870</v>
      </c>
    </row>
    <row r="3594" ht="15.75" customHeight="1">
      <c r="H3594" s="2" t="s">
        <v>18516</v>
      </c>
      <c r="I3594" s="2" t="s">
        <v>18517</v>
      </c>
      <c r="J3594" s="2" t="s">
        <v>18518</v>
      </c>
      <c r="K3594" s="2" t="s">
        <v>963</v>
      </c>
      <c r="L3594" s="2" t="s">
        <v>18345</v>
      </c>
      <c r="M3594" s="2" t="s">
        <v>18519</v>
      </c>
      <c r="N3594" s="2" t="s">
        <v>18520</v>
      </c>
      <c r="O3594" s="2" t="s">
        <v>869</v>
      </c>
      <c r="P3594" s="2" t="s">
        <v>870</v>
      </c>
    </row>
    <row r="3595" ht="15.75" customHeight="1">
      <c r="H3595" s="2" t="s">
        <v>18521</v>
      </c>
      <c r="I3595" s="2" t="s">
        <v>4875</v>
      </c>
      <c r="J3595" s="2" t="s">
        <v>4876</v>
      </c>
      <c r="K3595" s="2" t="s">
        <v>886</v>
      </c>
      <c r="L3595" s="2" t="s">
        <v>18345</v>
      </c>
      <c r="M3595" s="2" t="s">
        <v>18522</v>
      </c>
      <c r="N3595" s="2" t="s">
        <v>18523</v>
      </c>
      <c r="O3595" s="2" t="s">
        <v>869</v>
      </c>
      <c r="P3595" s="2" t="s">
        <v>870</v>
      </c>
    </row>
    <row r="3596" ht="15.75" customHeight="1">
      <c r="H3596" s="2" t="s">
        <v>18524</v>
      </c>
      <c r="I3596" s="2" t="s">
        <v>18525</v>
      </c>
      <c r="J3596" s="2" t="s">
        <v>18526</v>
      </c>
      <c r="K3596" s="2" t="s">
        <v>890</v>
      </c>
      <c r="L3596" s="2" t="s">
        <v>18345</v>
      </c>
      <c r="M3596" s="2" t="s">
        <v>18527</v>
      </c>
      <c r="N3596" s="2" t="s">
        <v>18528</v>
      </c>
      <c r="O3596" s="2" t="s">
        <v>869</v>
      </c>
      <c r="P3596" s="2" t="s">
        <v>870</v>
      </c>
    </row>
    <row r="3597" ht="15.75" customHeight="1">
      <c r="H3597" s="2" t="s">
        <v>18529</v>
      </c>
      <c r="I3597" s="2" t="s">
        <v>18530</v>
      </c>
      <c r="J3597" s="2" t="s">
        <v>18531</v>
      </c>
      <c r="K3597" s="2" t="s">
        <v>970</v>
      </c>
      <c r="L3597" s="2" t="s">
        <v>18345</v>
      </c>
      <c r="M3597" s="2" t="s">
        <v>18532</v>
      </c>
      <c r="N3597" s="2" t="s">
        <v>18533</v>
      </c>
      <c r="O3597" s="2" t="s">
        <v>869</v>
      </c>
      <c r="P3597" s="2" t="s">
        <v>870</v>
      </c>
    </row>
    <row r="3598" ht="15.75" customHeight="1">
      <c r="H3598" s="2" t="s">
        <v>18534</v>
      </c>
      <c r="I3598" s="2" t="s">
        <v>18535</v>
      </c>
      <c r="J3598" s="2" t="s">
        <v>18536</v>
      </c>
      <c r="K3598" s="2" t="s">
        <v>2937</v>
      </c>
      <c r="L3598" s="2" t="s">
        <v>18345</v>
      </c>
      <c r="M3598" s="2" t="s">
        <v>18537</v>
      </c>
      <c r="N3598" s="2" t="s">
        <v>18538</v>
      </c>
      <c r="O3598" s="2" t="s">
        <v>869</v>
      </c>
      <c r="P3598" s="2" t="s">
        <v>870</v>
      </c>
    </row>
    <row r="3599" ht="15.75" customHeight="1">
      <c r="H3599" s="2" t="s">
        <v>18539</v>
      </c>
      <c r="I3599" s="2" t="s">
        <v>18540</v>
      </c>
      <c r="J3599" s="2" t="s">
        <v>18541</v>
      </c>
      <c r="K3599" s="2" t="s">
        <v>918</v>
      </c>
      <c r="L3599" s="2" t="s">
        <v>18345</v>
      </c>
      <c r="M3599" s="2" t="s">
        <v>18542</v>
      </c>
      <c r="N3599" s="2" t="s">
        <v>18543</v>
      </c>
      <c r="O3599" s="2" t="s">
        <v>869</v>
      </c>
      <c r="P3599" s="2" t="s">
        <v>870</v>
      </c>
    </row>
    <row r="3600" ht="15.75" customHeight="1">
      <c r="H3600" s="2" t="s">
        <v>18544</v>
      </c>
      <c r="I3600" s="2" t="s">
        <v>18545</v>
      </c>
      <c r="J3600" s="2" t="s">
        <v>18546</v>
      </c>
      <c r="K3600" s="2" t="s">
        <v>1325</v>
      </c>
      <c r="L3600" s="2" t="s">
        <v>18345</v>
      </c>
      <c r="M3600" s="2" t="s">
        <v>18547</v>
      </c>
      <c r="N3600" s="2" t="s">
        <v>18548</v>
      </c>
      <c r="O3600" s="2" t="s">
        <v>869</v>
      </c>
      <c r="P3600" s="2" t="s">
        <v>870</v>
      </c>
    </row>
    <row r="3601" ht="15.75" customHeight="1">
      <c r="H3601" s="2" t="s">
        <v>18549</v>
      </c>
      <c r="I3601" s="2" t="s">
        <v>18550</v>
      </c>
      <c r="J3601" s="2" t="s">
        <v>18551</v>
      </c>
      <c r="K3601" s="2" t="s">
        <v>1593</v>
      </c>
      <c r="L3601" s="2" t="s">
        <v>18345</v>
      </c>
      <c r="M3601" s="2" t="s">
        <v>18552</v>
      </c>
      <c r="N3601" s="2" t="s">
        <v>18553</v>
      </c>
      <c r="O3601" s="2" t="s">
        <v>869</v>
      </c>
      <c r="P3601" s="2" t="s">
        <v>870</v>
      </c>
    </row>
    <row r="3602" ht="15.75" customHeight="1">
      <c r="H3602" s="2" t="s">
        <v>18554</v>
      </c>
      <c r="I3602" s="2" t="s">
        <v>18555</v>
      </c>
      <c r="J3602" s="2" t="s">
        <v>18556</v>
      </c>
      <c r="K3602" s="2" t="s">
        <v>1981</v>
      </c>
      <c r="L3602" s="2" t="s">
        <v>18345</v>
      </c>
      <c r="M3602" s="2" t="s">
        <v>18557</v>
      </c>
      <c r="N3602" s="2" t="s">
        <v>18558</v>
      </c>
      <c r="O3602" s="2" t="s">
        <v>869</v>
      </c>
      <c r="P3602" s="2" t="s">
        <v>870</v>
      </c>
    </row>
    <row r="3603" ht="15.75" customHeight="1">
      <c r="H3603" s="2" t="s">
        <v>18559</v>
      </c>
      <c r="I3603" s="2" t="s">
        <v>15301</v>
      </c>
      <c r="J3603" s="2" t="s">
        <v>15302</v>
      </c>
      <c r="K3603" s="2" t="s">
        <v>1975</v>
      </c>
      <c r="L3603" s="2" t="s">
        <v>18345</v>
      </c>
      <c r="M3603" s="2" t="s">
        <v>18560</v>
      </c>
      <c r="N3603" s="2" t="s">
        <v>18561</v>
      </c>
      <c r="O3603" s="2" t="s">
        <v>869</v>
      </c>
      <c r="P3603" s="2" t="s">
        <v>870</v>
      </c>
    </row>
    <row r="3604" ht="15.75" customHeight="1">
      <c r="H3604" s="2" t="s">
        <v>18562</v>
      </c>
      <c r="I3604" s="2" t="s">
        <v>18563</v>
      </c>
      <c r="J3604" s="2" t="s">
        <v>18564</v>
      </c>
      <c r="K3604" s="2" t="s">
        <v>2594</v>
      </c>
      <c r="L3604" s="2" t="s">
        <v>18345</v>
      </c>
      <c r="M3604" s="2" t="s">
        <v>18565</v>
      </c>
      <c r="N3604" s="2" t="s">
        <v>18566</v>
      </c>
      <c r="O3604" s="2" t="s">
        <v>869</v>
      </c>
      <c r="P3604" s="2" t="s">
        <v>870</v>
      </c>
    </row>
    <row r="3605" ht="15.75" customHeight="1">
      <c r="H3605" s="2" t="s">
        <v>18567</v>
      </c>
      <c r="I3605" s="2" t="s">
        <v>18568</v>
      </c>
      <c r="J3605" s="2" t="s">
        <v>18569</v>
      </c>
      <c r="K3605" s="2" t="s">
        <v>1205</v>
      </c>
      <c r="L3605" s="2" t="s">
        <v>18345</v>
      </c>
      <c r="M3605" s="2" t="s">
        <v>18570</v>
      </c>
      <c r="N3605" s="2" t="s">
        <v>18571</v>
      </c>
      <c r="O3605" s="2" t="s">
        <v>869</v>
      </c>
      <c r="P3605" s="2" t="s">
        <v>870</v>
      </c>
    </row>
    <row r="3606" ht="15.75" customHeight="1">
      <c r="H3606" s="2" t="s">
        <v>18572</v>
      </c>
      <c r="I3606" s="2" t="s">
        <v>1215</v>
      </c>
      <c r="J3606" s="2" t="s">
        <v>1216</v>
      </c>
      <c r="K3606" s="2" t="s">
        <v>1217</v>
      </c>
      <c r="L3606" s="2" t="s">
        <v>18345</v>
      </c>
      <c r="M3606" s="2" t="s">
        <v>1218</v>
      </c>
      <c r="N3606" s="2" t="s">
        <v>18573</v>
      </c>
      <c r="O3606" s="2" t="s">
        <v>869</v>
      </c>
      <c r="P3606" s="2" t="s">
        <v>870</v>
      </c>
    </row>
    <row r="3607" ht="15.75" customHeight="1">
      <c r="H3607" s="2" t="s">
        <v>18574</v>
      </c>
      <c r="I3607" s="2" t="s">
        <v>1506</v>
      </c>
      <c r="J3607" s="2" t="s">
        <v>1507</v>
      </c>
      <c r="K3607" s="2" t="s">
        <v>1637</v>
      </c>
      <c r="L3607" s="2" t="s">
        <v>18345</v>
      </c>
      <c r="M3607" s="2" t="s">
        <v>18575</v>
      </c>
      <c r="N3607" s="2" t="s">
        <v>18576</v>
      </c>
      <c r="O3607" s="2" t="s">
        <v>869</v>
      </c>
      <c r="P3607" s="2" t="s">
        <v>870</v>
      </c>
    </row>
    <row r="3608" ht="15.75" customHeight="1">
      <c r="H3608" s="2" t="s">
        <v>18577</v>
      </c>
      <c r="I3608" s="2" t="s">
        <v>18578</v>
      </c>
      <c r="J3608" s="2" t="s">
        <v>18579</v>
      </c>
      <c r="K3608" s="2" t="s">
        <v>2236</v>
      </c>
      <c r="L3608" s="2" t="s">
        <v>18345</v>
      </c>
      <c r="M3608" s="2" t="s">
        <v>18580</v>
      </c>
      <c r="N3608" s="2" t="s">
        <v>18581</v>
      </c>
      <c r="O3608" s="2" t="s">
        <v>869</v>
      </c>
      <c r="P3608" s="2" t="s">
        <v>870</v>
      </c>
    </row>
    <row r="3609" ht="15.75" customHeight="1">
      <c r="F3609" s="2" t="s">
        <v>39</v>
      </c>
      <c r="H3609" s="2" t="s">
        <v>18582</v>
      </c>
      <c r="I3609" s="2" t="s">
        <v>18583</v>
      </c>
      <c r="J3609" s="2" t="s">
        <v>18584</v>
      </c>
      <c r="K3609" s="2" t="s">
        <v>859</v>
      </c>
      <c r="L3609" s="2" t="s">
        <v>18345</v>
      </c>
      <c r="M3609" s="2" t="s">
        <v>18585</v>
      </c>
      <c r="N3609" s="2" t="s">
        <v>18586</v>
      </c>
      <c r="O3609" s="2" t="s">
        <v>869</v>
      </c>
      <c r="P3609" s="2" t="s">
        <v>870</v>
      </c>
    </row>
    <row r="3610" ht="15.75" customHeight="1">
      <c r="H3610" s="2" t="s">
        <v>18587</v>
      </c>
      <c r="I3610" s="2" t="s">
        <v>18588</v>
      </c>
      <c r="J3610" s="2" t="s">
        <v>18589</v>
      </c>
      <c r="K3610" s="2" t="s">
        <v>861</v>
      </c>
      <c r="L3610" s="2" t="s">
        <v>18345</v>
      </c>
      <c r="M3610" s="2" t="s">
        <v>18590</v>
      </c>
      <c r="N3610" s="2" t="s">
        <v>18591</v>
      </c>
      <c r="O3610" s="2" t="s">
        <v>869</v>
      </c>
      <c r="P3610" s="2" t="s">
        <v>870</v>
      </c>
    </row>
    <row r="3611" ht="15.75" customHeight="1">
      <c r="H3611" s="2" t="s">
        <v>18592</v>
      </c>
      <c r="I3611" s="2" t="s">
        <v>41</v>
      </c>
      <c r="J3611" s="2" t="s">
        <v>42</v>
      </c>
      <c r="K3611" s="2" t="s">
        <v>853</v>
      </c>
      <c r="L3611" s="2" t="s">
        <v>18345</v>
      </c>
      <c r="M3611" s="2" t="s">
        <v>18593</v>
      </c>
      <c r="N3611" s="2" t="s">
        <v>18594</v>
      </c>
      <c r="O3611" s="2" t="s">
        <v>869</v>
      </c>
      <c r="P3611" s="2" t="s">
        <v>870</v>
      </c>
    </row>
    <row r="3612" ht="15.75" customHeight="1">
      <c r="H3612" s="2" t="s">
        <v>18595</v>
      </c>
      <c r="I3612" s="2" t="s">
        <v>18596</v>
      </c>
      <c r="J3612" s="2" t="s">
        <v>18597</v>
      </c>
      <c r="K3612" s="2" t="s">
        <v>280</v>
      </c>
      <c r="L3612" s="2" t="s">
        <v>18345</v>
      </c>
      <c r="M3612" s="2" t="s">
        <v>18598</v>
      </c>
      <c r="N3612" s="2" t="s">
        <v>18599</v>
      </c>
      <c r="O3612" s="2" t="s">
        <v>869</v>
      </c>
      <c r="P3612" s="2" t="s">
        <v>870</v>
      </c>
    </row>
    <row r="3613" ht="15.75" customHeight="1">
      <c r="H3613" s="2" t="s">
        <v>18600</v>
      </c>
      <c r="I3613" s="2" t="s">
        <v>18601</v>
      </c>
      <c r="J3613" s="2" t="s">
        <v>18602</v>
      </c>
      <c r="K3613" s="2" t="s">
        <v>1878</v>
      </c>
      <c r="L3613" s="2" t="s">
        <v>18345</v>
      </c>
      <c r="M3613" s="2" t="s">
        <v>18603</v>
      </c>
      <c r="N3613" s="2" t="s">
        <v>18604</v>
      </c>
      <c r="O3613" s="2" t="s">
        <v>869</v>
      </c>
      <c r="P3613" s="2" t="s">
        <v>870</v>
      </c>
    </row>
    <row r="3614" ht="15.75" customHeight="1">
      <c r="H3614" s="2" t="s">
        <v>18605</v>
      </c>
      <c r="I3614" s="2" t="s">
        <v>18606</v>
      </c>
      <c r="J3614" s="2" t="s">
        <v>18607</v>
      </c>
      <c r="K3614" s="2" t="s">
        <v>1467</v>
      </c>
      <c r="L3614" s="2" t="s">
        <v>18345</v>
      </c>
      <c r="M3614" s="2" t="s">
        <v>18608</v>
      </c>
      <c r="N3614" s="2" t="s">
        <v>18609</v>
      </c>
      <c r="O3614" s="2" t="s">
        <v>869</v>
      </c>
      <c r="P3614" s="2" t="s">
        <v>870</v>
      </c>
    </row>
    <row r="3615" ht="15.75" customHeight="1">
      <c r="H3615" s="2" t="s">
        <v>18610</v>
      </c>
      <c r="I3615" s="2" t="s">
        <v>18611</v>
      </c>
      <c r="J3615" s="2" t="s">
        <v>18612</v>
      </c>
      <c r="K3615" s="2" t="s">
        <v>874</v>
      </c>
      <c r="L3615" s="2" t="s">
        <v>18345</v>
      </c>
      <c r="M3615" s="2" t="s">
        <v>18613</v>
      </c>
      <c r="N3615" s="2" t="s">
        <v>18614</v>
      </c>
      <c r="O3615" s="2" t="s">
        <v>869</v>
      </c>
      <c r="P3615" s="2" t="s">
        <v>870</v>
      </c>
    </row>
    <row r="3616" ht="15.75" customHeight="1">
      <c r="H3616" s="2" t="s">
        <v>18615</v>
      </c>
      <c r="I3616" s="2" t="s">
        <v>49</v>
      </c>
      <c r="J3616" s="2" t="s">
        <v>50</v>
      </c>
      <c r="K3616" s="2" t="s">
        <v>1368</v>
      </c>
      <c r="L3616" s="2" t="s">
        <v>18345</v>
      </c>
      <c r="M3616" s="2" t="s">
        <v>18616</v>
      </c>
      <c r="N3616" s="2" t="s">
        <v>18617</v>
      </c>
      <c r="O3616" s="2" t="s">
        <v>869</v>
      </c>
      <c r="P3616" s="2" t="s">
        <v>870</v>
      </c>
    </row>
    <row r="3617" ht="15.75" customHeight="1">
      <c r="H3617" s="2" t="s">
        <v>18618</v>
      </c>
      <c r="I3617" s="2" t="s">
        <v>18619</v>
      </c>
      <c r="J3617" s="2" t="s">
        <v>18620</v>
      </c>
      <c r="K3617" s="2" t="s">
        <v>1061</v>
      </c>
      <c r="L3617" s="2" t="s">
        <v>18345</v>
      </c>
      <c r="M3617" s="2" t="s">
        <v>18616</v>
      </c>
      <c r="N3617" s="2" t="s">
        <v>18621</v>
      </c>
      <c r="O3617" s="2" t="s">
        <v>869</v>
      </c>
      <c r="P3617" s="2" t="s">
        <v>870</v>
      </c>
    </row>
    <row r="3618" ht="15.75" customHeight="1">
      <c r="H3618" s="2" t="s">
        <v>18622</v>
      </c>
      <c r="I3618" s="2" t="s">
        <v>18623</v>
      </c>
      <c r="J3618" s="2" t="s">
        <v>18624</v>
      </c>
      <c r="K3618" s="2" t="s">
        <v>13037</v>
      </c>
      <c r="L3618" s="2" t="s">
        <v>18345</v>
      </c>
      <c r="M3618" s="2" t="s">
        <v>18625</v>
      </c>
      <c r="N3618" s="2" t="s">
        <v>18626</v>
      </c>
      <c r="O3618" s="2" t="s">
        <v>869</v>
      </c>
      <c r="P3618" s="2" t="s">
        <v>870</v>
      </c>
    </row>
    <row r="3619" ht="15.75" customHeight="1">
      <c r="H3619" s="2" t="s">
        <v>18627</v>
      </c>
      <c r="I3619" s="2" t="s">
        <v>18628</v>
      </c>
      <c r="J3619" s="2" t="s">
        <v>18629</v>
      </c>
      <c r="K3619" s="2" t="s">
        <v>890</v>
      </c>
      <c r="L3619" s="2" t="s">
        <v>18345</v>
      </c>
      <c r="M3619" s="2" t="s">
        <v>18630</v>
      </c>
      <c r="N3619" s="2" t="s">
        <v>18631</v>
      </c>
      <c r="O3619" s="2" t="s">
        <v>869</v>
      </c>
      <c r="P3619" s="2" t="s">
        <v>870</v>
      </c>
    </row>
    <row r="3620" ht="15.75" customHeight="1">
      <c r="H3620" s="2" t="s">
        <v>18632</v>
      </c>
      <c r="I3620" s="2" t="s">
        <v>1306</v>
      </c>
      <c r="J3620" s="2" t="s">
        <v>1307</v>
      </c>
      <c r="K3620" s="2" t="s">
        <v>906</v>
      </c>
      <c r="L3620" s="2" t="s">
        <v>18345</v>
      </c>
      <c r="M3620" s="2" t="s">
        <v>18633</v>
      </c>
      <c r="N3620" s="2" t="s">
        <v>18634</v>
      </c>
      <c r="O3620" s="2" t="s">
        <v>869</v>
      </c>
      <c r="P3620" s="2" t="s">
        <v>870</v>
      </c>
    </row>
    <row r="3621" ht="15.75" customHeight="1">
      <c r="H3621" s="2" t="s">
        <v>18635</v>
      </c>
      <c r="I3621" s="2" t="s">
        <v>18636</v>
      </c>
      <c r="J3621" s="2" t="s">
        <v>18637</v>
      </c>
      <c r="L3621" s="2" t="s">
        <v>18345</v>
      </c>
      <c r="M3621" s="2" t="s">
        <v>18638</v>
      </c>
      <c r="N3621" s="2" t="s">
        <v>18639</v>
      </c>
      <c r="O3621" s="2" t="s">
        <v>869</v>
      </c>
      <c r="P3621" s="2" t="s">
        <v>870</v>
      </c>
    </row>
    <row r="3622" ht="15.75" customHeight="1">
      <c r="H3622" s="2" t="s">
        <v>18640</v>
      </c>
      <c r="I3622" s="2" t="s">
        <v>18641</v>
      </c>
      <c r="J3622" s="2" t="s">
        <v>18642</v>
      </c>
      <c r="K3622" s="2" t="s">
        <v>912</v>
      </c>
      <c r="L3622" s="2" t="s">
        <v>18345</v>
      </c>
      <c r="M3622" s="2" t="s">
        <v>18643</v>
      </c>
      <c r="N3622" s="2" t="s">
        <v>18644</v>
      </c>
      <c r="O3622" s="2" t="s">
        <v>869</v>
      </c>
      <c r="P3622" s="2" t="s">
        <v>870</v>
      </c>
    </row>
    <row r="3623" ht="15.75" customHeight="1">
      <c r="H3623" s="2" t="s">
        <v>18645</v>
      </c>
      <c r="I3623" s="2" t="s">
        <v>11832</v>
      </c>
      <c r="J3623" s="2" t="s">
        <v>11833</v>
      </c>
      <c r="K3623" s="2" t="s">
        <v>1406</v>
      </c>
      <c r="L3623" s="2" t="s">
        <v>18345</v>
      </c>
      <c r="M3623" s="2" t="s">
        <v>18646</v>
      </c>
      <c r="N3623" s="2" t="s">
        <v>18647</v>
      </c>
      <c r="O3623" s="2" t="s">
        <v>869</v>
      </c>
      <c r="P3623" s="2" t="s">
        <v>870</v>
      </c>
    </row>
    <row r="3624" ht="15.75" customHeight="1">
      <c r="H3624" s="2" t="s">
        <v>18648</v>
      </c>
      <c r="I3624" s="2" t="s">
        <v>1317</v>
      </c>
      <c r="J3624" s="2" t="s">
        <v>1318</v>
      </c>
      <c r="K3624" s="2" t="s">
        <v>1319</v>
      </c>
      <c r="L3624" s="2" t="s">
        <v>18345</v>
      </c>
      <c r="M3624" s="2" t="s">
        <v>1320</v>
      </c>
      <c r="N3624" s="2" t="s">
        <v>18649</v>
      </c>
      <c r="O3624" s="2" t="s">
        <v>869</v>
      </c>
      <c r="P3624" s="2" t="s">
        <v>870</v>
      </c>
    </row>
    <row r="3625" ht="15.75" customHeight="1">
      <c r="H3625" s="2" t="s">
        <v>18650</v>
      </c>
      <c r="I3625" s="2" t="s">
        <v>18651</v>
      </c>
      <c r="J3625" s="2" t="s">
        <v>18652</v>
      </c>
      <c r="K3625" s="2" t="s">
        <v>1418</v>
      </c>
      <c r="L3625" s="2" t="s">
        <v>18345</v>
      </c>
      <c r="M3625" s="2" t="s">
        <v>18653</v>
      </c>
      <c r="N3625" s="2" t="s">
        <v>18654</v>
      </c>
      <c r="O3625" s="2" t="s">
        <v>869</v>
      </c>
      <c r="P3625" s="2" t="s">
        <v>870</v>
      </c>
    </row>
    <row r="3626" ht="15.75" customHeight="1">
      <c r="H3626" s="2" t="s">
        <v>18655</v>
      </c>
      <c r="I3626" s="2" t="s">
        <v>18656</v>
      </c>
      <c r="J3626" s="2" t="s">
        <v>18657</v>
      </c>
      <c r="L3626" s="2" t="s">
        <v>18345</v>
      </c>
      <c r="M3626" s="2" t="s">
        <v>18658</v>
      </c>
      <c r="N3626" s="2" t="s">
        <v>18659</v>
      </c>
      <c r="O3626" s="2" t="s">
        <v>869</v>
      </c>
      <c r="P3626" s="2" t="s">
        <v>870</v>
      </c>
    </row>
    <row r="3627" ht="15.75" customHeight="1">
      <c r="H3627" s="2" t="s">
        <v>18660</v>
      </c>
      <c r="I3627" s="2" t="s">
        <v>18661</v>
      </c>
      <c r="J3627" s="2" t="s">
        <v>18662</v>
      </c>
      <c r="K3627" s="2" t="s">
        <v>2223</v>
      </c>
      <c r="L3627" s="2" t="s">
        <v>18345</v>
      </c>
      <c r="M3627" s="2" t="s">
        <v>18663</v>
      </c>
      <c r="N3627" s="2" t="s">
        <v>18664</v>
      </c>
      <c r="O3627" s="2" t="s">
        <v>869</v>
      </c>
      <c r="P3627" s="2" t="s">
        <v>870</v>
      </c>
    </row>
    <row r="3628" ht="15.75" customHeight="1">
      <c r="H3628" s="2" t="s">
        <v>18665</v>
      </c>
      <c r="I3628" s="2" t="s">
        <v>18666</v>
      </c>
      <c r="J3628" s="2" t="s">
        <v>18667</v>
      </c>
      <c r="K3628" s="2" t="s">
        <v>1157</v>
      </c>
      <c r="L3628" s="2" t="s">
        <v>18345</v>
      </c>
      <c r="M3628" s="2" t="s">
        <v>18668</v>
      </c>
      <c r="N3628" s="2" t="s">
        <v>18669</v>
      </c>
      <c r="O3628" s="2" t="s">
        <v>869</v>
      </c>
      <c r="P3628" s="2" t="s">
        <v>870</v>
      </c>
    </row>
    <row r="3629" ht="15.75" customHeight="1">
      <c r="H3629" s="2" t="s">
        <v>18670</v>
      </c>
      <c r="I3629" s="2" t="s">
        <v>4065</v>
      </c>
      <c r="J3629" s="2" t="s">
        <v>4066</v>
      </c>
      <c r="K3629" s="2" t="s">
        <v>2171</v>
      </c>
      <c r="L3629" s="2" t="s">
        <v>18345</v>
      </c>
      <c r="M3629" s="2" t="s">
        <v>18671</v>
      </c>
      <c r="N3629" s="2" t="s">
        <v>18672</v>
      </c>
      <c r="O3629" s="2" t="s">
        <v>869</v>
      </c>
      <c r="P3629" s="2" t="s">
        <v>870</v>
      </c>
    </row>
    <row r="3630" ht="15.75" customHeight="1">
      <c r="H3630" s="2" t="s">
        <v>18673</v>
      </c>
      <c r="I3630" s="2" t="s">
        <v>18674</v>
      </c>
      <c r="J3630" s="2" t="s">
        <v>18675</v>
      </c>
      <c r="K3630" s="2" t="s">
        <v>1169</v>
      </c>
      <c r="L3630" s="2" t="s">
        <v>18345</v>
      </c>
      <c r="M3630" s="2" t="s">
        <v>18676</v>
      </c>
      <c r="N3630" s="2" t="s">
        <v>18677</v>
      </c>
      <c r="O3630" s="2" t="s">
        <v>869</v>
      </c>
      <c r="P3630" s="2" t="s">
        <v>870</v>
      </c>
    </row>
    <row r="3631" ht="15.75" customHeight="1">
      <c r="H3631" s="2" t="s">
        <v>18678</v>
      </c>
      <c r="I3631" s="2" t="s">
        <v>18679</v>
      </c>
      <c r="J3631" s="2" t="s">
        <v>18680</v>
      </c>
      <c r="K3631" s="2" t="s">
        <v>4429</v>
      </c>
    </row>
    <row r="3632" ht="15.75" customHeight="1">
      <c r="F3632" s="2" t="s">
        <v>56</v>
      </c>
      <c r="H3632" s="2" t="s">
        <v>18681</v>
      </c>
      <c r="I3632" s="2" t="s">
        <v>18682</v>
      </c>
      <c r="J3632" s="2" t="s">
        <v>18683</v>
      </c>
      <c r="L3632" s="2" t="s">
        <v>18345</v>
      </c>
      <c r="M3632" s="2" t="s">
        <v>18684</v>
      </c>
      <c r="N3632" s="2" t="s">
        <v>18685</v>
      </c>
      <c r="O3632" s="2" t="s">
        <v>869</v>
      </c>
      <c r="P3632" s="2" t="s">
        <v>870</v>
      </c>
    </row>
    <row r="3633" ht="15.75" customHeight="1">
      <c r="H3633" s="2" t="s">
        <v>18686</v>
      </c>
      <c r="I3633" s="2" t="s">
        <v>18687</v>
      </c>
      <c r="J3633" s="2" t="s">
        <v>18688</v>
      </c>
      <c r="K3633" s="2" t="s">
        <v>280</v>
      </c>
      <c r="L3633" s="2" t="s">
        <v>18345</v>
      </c>
      <c r="M3633" s="2" t="s">
        <v>18689</v>
      </c>
      <c r="N3633" s="2" t="s">
        <v>18690</v>
      </c>
      <c r="O3633" s="2" t="s">
        <v>869</v>
      </c>
      <c r="P3633" s="2" t="s">
        <v>870</v>
      </c>
    </row>
    <row r="3634" ht="15.75" customHeight="1">
      <c r="H3634" s="2" t="s">
        <v>18691</v>
      </c>
      <c r="I3634" s="2" t="s">
        <v>18692</v>
      </c>
      <c r="J3634" s="2" t="s">
        <v>18693</v>
      </c>
      <c r="K3634" s="2" t="s">
        <v>1467</v>
      </c>
      <c r="L3634" s="2" t="s">
        <v>18345</v>
      </c>
      <c r="M3634" s="2" t="s">
        <v>18694</v>
      </c>
      <c r="N3634" s="2" t="s">
        <v>18695</v>
      </c>
      <c r="O3634" s="2" t="s">
        <v>869</v>
      </c>
      <c r="P3634" s="2" t="s">
        <v>870</v>
      </c>
    </row>
    <row r="3635" ht="15.75" customHeight="1">
      <c r="H3635" s="2" t="s">
        <v>18696</v>
      </c>
      <c r="I3635" s="2" t="s">
        <v>18697</v>
      </c>
      <c r="J3635" s="2" t="s">
        <v>18698</v>
      </c>
      <c r="K3635" s="2" t="s">
        <v>1288</v>
      </c>
      <c r="L3635" s="2" t="s">
        <v>18345</v>
      </c>
      <c r="M3635" s="2" t="s">
        <v>18699</v>
      </c>
      <c r="N3635" s="2" t="s">
        <v>18700</v>
      </c>
      <c r="O3635" s="2" t="s">
        <v>869</v>
      </c>
      <c r="P3635" s="2" t="s">
        <v>870</v>
      </c>
    </row>
    <row r="3636" ht="15.75" customHeight="1">
      <c r="H3636" s="2" t="s">
        <v>18701</v>
      </c>
      <c r="I3636" s="2" t="s">
        <v>6831</v>
      </c>
      <c r="J3636" s="2" t="s">
        <v>6832</v>
      </c>
      <c r="K3636" s="2" t="s">
        <v>886</v>
      </c>
      <c r="L3636" s="2" t="s">
        <v>18345</v>
      </c>
      <c r="M3636" s="2" t="s">
        <v>18702</v>
      </c>
      <c r="N3636" s="2" t="s">
        <v>18703</v>
      </c>
      <c r="O3636" s="2" t="s">
        <v>869</v>
      </c>
      <c r="P3636" s="2" t="s">
        <v>870</v>
      </c>
    </row>
    <row r="3637" ht="15.75" customHeight="1">
      <c r="H3637" s="2" t="s">
        <v>18704</v>
      </c>
      <c r="I3637" s="2" t="s">
        <v>18705</v>
      </c>
      <c r="J3637" s="2" t="s">
        <v>18706</v>
      </c>
      <c r="K3637" s="2" t="s">
        <v>970</v>
      </c>
      <c r="L3637" s="2" t="s">
        <v>18345</v>
      </c>
      <c r="M3637" s="2" t="s">
        <v>18707</v>
      </c>
      <c r="N3637" s="2" t="s">
        <v>18708</v>
      </c>
      <c r="O3637" s="2" t="s">
        <v>869</v>
      </c>
      <c r="P3637" s="2" t="s">
        <v>870</v>
      </c>
    </row>
    <row r="3638" ht="15.75" customHeight="1">
      <c r="H3638" s="2" t="s">
        <v>18709</v>
      </c>
      <c r="I3638" s="2" t="s">
        <v>1382</v>
      </c>
      <c r="J3638" s="2" t="s">
        <v>1383</v>
      </c>
      <c r="K3638" s="2" t="s">
        <v>1136</v>
      </c>
      <c r="L3638" s="2" t="s">
        <v>18345</v>
      </c>
      <c r="M3638" s="2" t="s">
        <v>18710</v>
      </c>
      <c r="N3638" s="2" t="s">
        <v>18711</v>
      </c>
      <c r="O3638" s="2" t="s">
        <v>869</v>
      </c>
      <c r="P3638" s="2" t="s">
        <v>870</v>
      </c>
    </row>
    <row r="3639" ht="15.75" customHeight="1">
      <c r="H3639" s="2" t="s">
        <v>18712</v>
      </c>
      <c r="I3639" s="2" t="s">
        <v>1387</v>
      </c>
      <c r="J3639" s="2" t="s">
        <v>1388</v>
      </c>
      <c r="K3639" s="2" t="s">
        <v>283</v>
      </c>
      <c r="L3639" s="2" t="s">
        <v>18345</v>
      </c>
      <c r="M3639" s="2" t="s">
        <v>18713</v>
      </c>
      <c r="N3639" s="2" t="s">
        <v>18714</v>
      </c>
      <c r="O3639" s="2" t="s">
        <v>869</v>
      </c>
      <c r="P3639" s="2" t="s">
        <v>870</v>
      </c>
    </row>
    <row r="3640" ht="15.75" customHeight="1">
      <c r="H3640" s="2" t="s">
        <v>18715</v>
      </c>
      <c r="I3640" s="2" t="s">
        <v>18716</v>
      </c>
      <c r="J3640" s="2" t="s">
        <v>18717</v>
      </c>
      <c r="K3640" s="2" t="s">
        <v>900</v>
      </c>
      <c r="L3640" s="2" t="s">
        <v>18345</v>
      </c>
      <c r="M3640" s="2" t="s">
        <v>18718</v>
      </c>
      <c r="N3640" s="2" t="s">
        <v>18719</v>
      </c>
      <c r="O3640" s="2" t="s">
        <v>869</v>
      </c>
      <c r="P3640" s="2" t="s">
        <v>870</v>
      </c>
    </row>
    <row r="3641" ht="15.75" customHeight="1">
      <c r="H3641" s="2" t="s">
        <v>18720</v>
      </c>
      <c r="I3641" s="2" t="s">
        <v>16653</v>
      </c>
      <c r="J3641" s="2" t="s">
        <v>16654</v>
      </c>
      <c r="K3641" s="2" t="s">
        <v>1567</v>
      </c>
      <c r="L3641" s="2" t="s">
        <v>18345</v>
      </c>
      <c r="M3641" s="2" t="s">
        <v>18721</v>
      </c>
      <c r="N3641" s="2" t="s">
        <v>18722</v>
      </c>
      <c r="O3641" s="2" t="s">
        <v>869</v>
      </c>
      <c r="P3641" s="2" t="s">
        <v>870</v>
      </c>
    </row>
    <row r="3642" ht="15.75" customHeight="1">
      <c r="H3642" s="2" t="s">
        <v>18723</v>
      </c>
      <c r="I3642" s="2" t="s">
        <v>18724</v>
      </c>
      <c r="J3642" s="2" t="s">
        <v>18725</v>
      </c>
      <c r="K3642" s="2" t="s">
        <v>1569</v>
      </c>
      <c r="L3642" s="2" t="s">
        <v>18345</v>
      </c>
      <c r="M3642" s="2" t="s">
        <v>18726</v>
      </c>
      <c r="N3642" s="2" t="s">
        <v>18727</v>
      </c>
      <c r="O3642" s="2" t="s">
        <v>869</v>
      </c>
      <c r="P3642" s="2" t="s">
        <v>870</v>
      </c>
    </row>
    <row r="3643" ht="15.75" customHeight="1">
      <c r="H3643" s="2" t="s">
        <v>18728</v>
      </c>
      <c r="I3643" s="2" t="s">
        <v>4528</v>
      </c>
      <c r="J3643" s="2" t="s">
        <v>4529</v>
      </c>
      <c r="K3643" s="2" t="s">
        <v>1424</v>
      </c>
      <c r="L3643" s="2" t="s">
        <v>18345</v>
      </c>
      <c r="M3643" s="2" t="s">
        <v>1444</v>
      </c>
      <c r="N3643" s="2" t="s">
        <v>18729</v>
      </c>
      <c r="O3643" s="2" t="s">
        <v>869</v>
      </c>
      <c r="P3643" s="2" t="s">
        <v>870</v>
      </c>
    </row>
    <row r="3644" ht="15.75" customHeight="1">
      <c r="H3644" s="2" t="s">
        <v>18730</v>
      </c>
      <c r="I3644" s="2" t="s">
        <v>18731</v>
      </c>
      <c r="J3644" s="2" t="s">
        <v>18732</v>
      </c>
      <c r="K3644" s="2" t="s">
        <v>1151</v>
      </c>
      <c r="L3644" s="2" t="s">
        <v>18345</v>
      </c>
      <c r="M3644" s="2" t="s">
        <v>18733</v>
      </c>
      <c r="N3644" s="2" t="s">
        <v>18734</v>
      </c>
      <c r="O3644" s="2" t="s">
        <v>869</v>
      </c>
      <c r="P3644" s="2" t="s">
        <v>870</v>
      </c>
    </row>
    <row r="3645" ht="15.75" customHeight="1">
      <c r="H3645" s="2" t="s">
        <v>18735</v>
      </c>
      <c r="I3645" s="2" t="s">
        <v>18736</v>
      </c>
      <c r="J3645" s="2" t="s">
        <v>18737</v>
      </c>
      <c r="K3645" s="2" t="s">
        <v>1163</v>
      </c>
      <c r="L3645" s="2" t="s">
        <v>18345</v>
      </c>
      <c r="M3645" s="2" t="s">
        <v>18738</v>
      </c>
      <c r="N3645" s="2" t="s">
        <v>18739</v>
      </c>
      <c r="O3645" s="2" t="s">
        <v>869</v>
      </c>
      <c r="P3645" s="2" t="s">
        <v>870</v>
      </c>
    </row>
    <row r="3646" ht="15.75" customHeight="1">
      <c r="H3646" s="2" t="s">
        <v>18740</v>
      </c>
      <c r="I3646" s="2" t="s">
        <v>18741</v>
      </c>
      <c r="J3646" s="2" t="s">
        <v>18742</v>
      </c>
      <c r="K3646" s="2" t="s">
        <v>1169</v>
      </c>
      <c r="L3646" s="2" t="s">
        <v>18345</v>
      </c>
      <c r="M3646" s="2" t="s">
        <v>18743</v>
      </c>
      <c r="N3646" s="2" t="s">
        <v>18744</v>
      </c>
      <c r="O3646" s="2" t="s">
        <v>869</v>
      </c>
      <c r="P3646" s="2" t="s">
        <v>870</v>
      </c>
    </row>
    <row r="3647" ht="15.75" customHeight="1">
      <c r="H3647" s="2" t="s">
        <v>18745</v>
      </c>
      <c r="I3647" s="2" t="s">
        <v>18746</v>
      </c>
      <c r="J3647" s="2" t="s">
        <v>18747</v>
      </c>
      <c r="K3647" s="2" t="s">
        <v>1187</v>
      </c>
      <c r="L3647" s="2" t="s">
        <v>18345</v>
      </c>
      <c r="M3647" s="2" t="s">
        <v>18748</v>
      </c>
      <c r="N3647" s="2" t="s">
        <v>18749</v>
      </c>
      <c r="O3647" s="2" t="s">
        <v>869</v>
      </c>
      <c r="P3647" s="2" t="s">
        <v>870</v>
      </c>
    </row>
    <row r="3648" ht="15.75" customHeight="1">
      <c r="H3648" s="2" t="s">
        <v>18750</v>
      </c>
      <c r="I3648" s="2" t="s">
        <v>8481</v>
      </c>
      <c r="J3648" s="2" t="s">
        <v>8482</v>
      </c>
      <c r="L3648" s="2" t="s">
        <v>18345</v>
      </c>
      <c r="M3648" s="2" t="s">
        <v>18751</v>
      </c>
      <c r="N3648" s="2" t="s">
        <v>18752</v>
      </c>
      <c r="O3648" s="2" t="s">
        <v>869</v>
      </c>
      <c r="P3648" s="2" t="s">
        <v>870</v>
      </c>
    </row>
    <row r="3649" ht="15.75" customHeight="1">
      <c r="F3649" s="2" t="s">
        <v>65</v>
      </c>
      <c r="H3649" s="2" t="s">
        <v>18753</v>
      </c>
      <c r="I3649" s="2" t="s">
        <v>67</v>
      </c>
      <c r="J3649" s="2" t="s">
        <v>68</v>
      </c>
      <c r="K3649" s="2" t="s">
        <v>280</v>
      </c>
      <c r="L3649" s="2" t="s">
        <v>18345</v>
      </c>
      <c r="M3649" s="2" t="s">
        <v>18754</v>
      </c>
      <c r="N3649" s="2" t="s">
        <v>18755</v>
      </c>
      <c r="O3649" s="2" t="s">
        <v>869</v>
      </c>
      <c r="P3649" s="2" t="s">
        <v>870</v>
      </c>
    </row>
    <row r="3650" ht="15.75" customHeight="1">
      <c r="H3650" s="2" t="s">
        <v>18756</v>
      </c>
      <c r="I3650" s="2" t="s">
        <v>18757</v>
      </c>
      <c r="J3650" s="2" t="s">
        <v>18758</v>
      </c>
      <c r="K3650" s="2" t="s">
        <v>865</v>
      </c>
      <c r="L3650" s="2" t="s">
        <v>18345</v>
      </c>
      <c r="M3650" s="2" t="s">
        <v>18759</v>
      </c>
      <c r="N3650" s="2" t="s">
        <v>18760</v>
      </c>
      <c r="O3650" s="2" t="s">
        <v>869</v>
      </c>
      <c r="P3650" s="2" t="s">
        <v>870</v>
      </c>
    </row>
    <row r="3651" ht="15.75" customHeight="1">
      <c r="H3651" s="2" t="s">
        <v>18761</v>
      </c>
      <c r="I3651" s="2" t="s">
        <v>18762</v>
      </c>
      <c r="J3651" s="2" t="s">
        <v>18763</v>
      </c>
      <c r="K3651" s="2" t="s">
        <v>874</v>
      </c>
      <c r="L3651" s="2" t="s">
        <v>18345</v>
      </c>
      <c r="M3651" s="2" t="s">
        <v>18764</v>
      </c>
      <c r="N3651" s="2" t="s">
        <v>18765</v>
      </c>
      <c r="O3651" s="2" t="s">
        <v>869</v>
      </c>
      <c r="P3651" s="2" t="s">
        <v>870</v>
      </c>
    </row>
    <row r="3652" ht="15.75" customHeight="1">
      <c r="H3652" s="2" t="s">
        <v>18766</v>
      </c>
      <c r="I3652" s="2" t="s">
        <v>18767</v>
      </c>
      <c r="J3652" s="2" t="s">
        <v>18768</v>
      </c>
      <c r="K3652" s="2" t="s">
        <v>963</v>
      </c>
      <c r="L3652" s="2" t="s">
        <v>18345</v>
      </c>
      <c r="M3652" s="2" t="s">
        <v>18769</v>
      </c>
      <c r="N3652" s="2" t="s">
        <v>18770</v>
      </c>
      <c r="O3652" s="2" t="s">
        <v>869</v>
      </c>
      <c r="P3652" s="2" t="s">
        <v>870</v>
      </c>
    </row>
    <row r="3653" ht="15.75" customHeight="1">
      <c r="H3653" s="2" t="s">
        <v>18771</v>
      </c>
      <c r="I3653" s="2" t="s">
        <v>18772</v>
      </c>
      <c r="J3653" s="2" t="s">
        <v>18773</v>
      </c>
      <c r="K3653" s="2" t="s">
        <v>886</v>
      </c>
      <c r="L3653" s="2" t="s">
        <v>18345</v>
      </c>
      <c r="M3653" s="2" t="s">
        <v>18774</v>
      </c>
      <c r="N3653" s="2" t="s">
        <v>18775</v>
      </c>
      <c r="O3653" s="2" t="s">
        <v>869</v>
      </c>
      <c r="P3653" s="2" t="s">
        <v>870</v>
      </c>
    </row>
    <row r="3654" ht="15.75" customHeight="1">
      <c r="H3654" s="2" t="s">
        <v>18776</v>
      </c>
      <c r="I3654" s="2" t="s">
        <v>18777</v>
      </c>
      <c r="J3654" s="2" t="s">
        <v>18778</v>
      </c>
      <c r="K3654" s="2" t="s">
        <v>970</v>
      </c>
      <c r="L3654" s="2" t="s">
        <v>18345</v>
      </c>
      <c r="M3654" s="2" t="s">
        <v>18779</v>
      </c>
      <c r="N3654" s="2" t="s">
        <v>18780</v>
      </c>
      <c r="O3654" s="2" t="s">
        <v>869</v>
      </c>
      <c r="P3654" s="2" t="s">
        <v>870</v>
      </c>
    </row>
    <row r="3655" ht="15.75" customHeight="1">
      <c r="H3655" s="2" t="s">
        <v>18781</v>
      </c>
      <c r="I3655" s="2" t="s">
        <v>18782</v>
      </c>
      <c r="J3655" s="2" t="s">
        <v>18783</v>
      </c>
      <c r="K3655" s="2" t="s">
        <v>896</v>
      </c>
      <c r="L3655" s="2" t="s">
        <v>18345</v>
      </c>
      <c r="M3655" s="2" t="s">
        <v>18784</v>
      </c>
      <c r="N3655" s="2" t="s">
        <v>18785</v>
      </c>
      <c r="O3655" s="2" t="s">
        <v>869</v>
      </c>
      <c r="P3655" s="2" t="s">
        <v>870</v>
      </c>
    </row>
    <row r="3656" ht="15.75" customHeight="1">
      <c r="H3656" s="2" t="s">
        <v>18786</v>
      </c>
      <c r="I3656" s="2" t="s">
        <v>1496</v>
      </c>
      <c r="J3656" s="2" t="s">
        <v>1497</v>
      </c>
      <c r="K3656" s="2" t="s">
        <v>1136</v>
      </c>
      <c r="L3656" s="2" t="s">
        <v>18345</v>
      </c>
      <c r="M3656" s="2" t="s">
        <v>18787</v>
      </c>
      <c r="N3656" s="2" t="s">
        <v>18788</v>
      </c>
      <c r="O3656" s="2" t="s">
        <v>869</v>
      </c>
      <c r="P3656" s="2" t="s">
        <v>870</v>
      </c>
    </row>
    <row r="3657" ht="15.75" customHeight="1">
      <c r="H3657" s="2" t="s">
        <v>18789</v>
      </c>
      <c r="I3657" s="2" t="s">
        <v>1506</v>
      </c>
      <c r="J3657" s="2" t="s">
        <v>1507</v>
      </c>
      <c r="K3657" s="2" t="s">
        <v>1508</v>
      </c>
      <c r="L3657" s="2" t="s">
        <v>18345</v>
      </c>
      <c r="M3657" s="2" t="s">
        <v>1509</v>
      </c>
      <c r="N3657" s="2" t="s">
        <v>18790</v>
      </c>
      <c r="O3657" s="2" t="s">
        <v>869</v>
      </c>
      <c r="P3657" s="2" t="s">
        <v>870</v>
      </c>
    </row>
    <row r="3658" ht="15.75" customHeight="1">
      <c r="F3658" s="2" t="s">
        <v>74</v>
      </c>
      <c r="H3658" s="2" t="s">
        <v>18791</v>
      </c>
      <c r="I3658" s="2" t="s">
        <v>18792</v>
      </c>
      <c r="J3658" s="2" t="s">
        <v>18793</v>
      </c>
      <c r="K3658" s="2" t="s">
        <v>1878</v>
      </c>
      <c r="L3658" s="2" t="s">
        <v>18345</v>
      </c>
      <c r="M3658" s="2" t="s">
        <v>18794</v>
      </c>
      <c r="N3658" s="2" t="s">
        <v>18795</v>
      </c>
      <c r="O3658" s="2" t="s">
        <v>869</v>
      </c>
      <c r="P3658" s="2" t="s">
        <v>870</v>
      </c>
    </row>
    <row r="3659" ht="15.75" customHeight="1">
      <c r="H3659" s="2" t="s">
        <v>18796</v>
      </c>
      <c r="I3659" s="2" t="s">
        <v>18797</v>
      </c>
      <c r="J3659" s="2" t="s">
        <v>18798</v>
      </c>
      <c r="K3659" s="2" t="s">
        <v>874</v>
      </c>
      <c r="L3659" s="2" t="s">
        <v>18345</v>
      </c>
      <c r="M3659" s="2" t="s">
        <v>18799</v>
      </c>
      <c r="N3659" s="2" t="s">
        <v>18800</v>
      </c>
      <c r="O3659" s="2" t="s">
        <v>869</v>
      </c>
      <c r="P3659" s="2" t="s">
        <v>870</v>
      </c>
    </row>
    <row r="3660" ht="15.75" customHeight="1">
      <c r="H3660" s="2" t="s">
        <v>18801</v>
      </c>
      <c r="I3660" s="2" t="s">
        <v>1535</v>
      </c>
      <c r="J3660" s="2" t="s">
        <v>1536</v>
      </c>
      <c r="K3660" s="2" t="s">
        <v>880</v>
      </c>
      <c r="L3660" s="2" t="s">
        <v>18802</v>
      </c>
      <c r="M3660" s="2" t="s">
        <v>18803</v>
      </c>
      <c r="N3660" s="2" t="s">
        <v>18804</v>
      </c>
      <c r="O3660" s="2" t="s">
        <v>869</v>
      </c>
      <c r="P3660" s="2" t="s">
        <v>870</v>
      </c>
    </row>
    <row r="3661" ht="15.75" customHeight="1">
      <c r="H3661" s="2" t="s">
        <v>18805</v>
      </c>
      <c r="I3661" s="2" t="s">
        <v>18806</v>
      </c>
      <c r="J3661" s="2" t="s">
        <v>18807</v>
      </c>
      <c r="K3661" s="2" t="s">
        <v>966</v>
      </c>
      <c r="L3661" s="2" t="s">
        <v>18345</v>
      </c>
      <c r="M3661" s="2" t="s">
        <v>18808</v>
      </c>
      <c r="N3661" s="2" t="s">
        <v>18809</v>
      </c>
      <c r="O3661" s="2" t="s">
        <v>869</v>
      </c>
      <c r="P3661" s="2" t="s">
        <v>870</v>
      </c>
    </row>
    <row r="3662" ht="15.75" customHeight="1">
      <c r="H3662" s="2" t="s">
        <v>18810</v>
      </c>
      <c r="I3662" s="2" t="s">
        <v>18811</v>
      </c>
      <c r="J3662" s="2" t="s">
        <v>18812</v>
      </c>
      <c r="K3662" s="2" t="s">
        <v>890</v>
      </c>
      <c r="L3662" s="2" t="s">
        <v>18345</v>
      </c>
      <c r="M3662" s="2" t="s">
        <v>18813</v>
      </c>
      <c r="N3662" s="2" t="s">
        <v>18814</v>
      </c>
      <c r="O3662" s="2" t="s">
        <v>869</v>
      </c>
      <c r="P3662" s="2" t="s">
        <v>870</v>
      </c>
    </row>
    <row r="3663" ht="15.75" customHeight="1">
      <c r="H3663" s="2" t="s">
        <v>18815</v>
      </c>
      <c r="I3663" s="2" t="s">
        <v>18816</v>
      </c>
      <c r="J3663" s="2" t="s">
        <v>18817</v>
      </c>
      <c r="K3663" s="2" t="s">
        <v>2305</v>
      </c>
      <c r="L3663" s="2" t="s">
        <v>18345</v>
      </c>
      <c r="M3663" s="2" t="s">
        <v>18818</v>
      </c>
      <c r="N3663" s="2" t="s">
        <v>18819</v>
      </c>
      <c r="O3663" s="2" t="s">
        <v>869</v>
      </c>
      <c r="P3663" s="2" t="s">
        <v>870</v>
      </c>
    </row>
    <row r="3664" ht="15.75" customHeight="1">
      <c r="H3664" s="2" t="s">
        <v>18820</v>
      </c>
      <c r="I3664" s="2" t="s">
        <v>18821</v>
      </c>
      <c r="J3664" s="2" t="s">
        <v>18822</v>
      </c>
      <c r="K3664" s="2" t="s">
        <v>896</v>
      </c>
      <c r="L3664" s="2" t="s">
        <v>18345</v>
      </c>
      <c r="M3664" s="2" t="s">
        <v>18823</v>
      </c>
      <c r="N3664" s="2" t="s">
        <v>18824</v>
      </c>
      <c r="O3664" s="2" t="s">
        <v>869</v>
      </c>
      <c r="P3664" s="2" t="s">
        <v>870</v>
      </c>
    </row>
    <row r="3665" ht="15.75" customHeight="1">
      <c r="H3665" s="2" t="s">
        <v>18825</v>
      </c>
      <c r="I3665" s="2" t="s">
        <v>18826</v>
      </c>
      <c r="J3665" s="2" t="s">
        <v>18827</v>
      </c>
      <c r="K3665" s="2" t="s">
        <v>906</v>
      </c>
      <c r="L3665" s="2" t="s">
        <v>18345</v>
      </c>
      <c r="M3665" s="2" t="s">
        <v>18828</v>
      </c>
      <c r="N3665" s="2" t="s">
        <v>18829</v>
      </c>
      <c r="O3665" s="2" t="s">
        <v>869</v>
      </c>
      <c r="P3665" s="2" t="s">
        <v>870</v>
      </c>
    </row>
    <row r="3666" ht="15.75" customHeight="1">
      <c r="H3666" s="2" t="s">
        <v>18830</v>
      </c>
      <c r="I3666" s="2" t="s">
        <v>18831</v>
      </c>
      <c r="J3666" s="2" t="s">
        <v>18832</v>
      </c>
      <c r="K3666" s="2" t="s">
        <v>1007</v>
      </c>
      <c r="L3666" s="2" t="s">
        <v>18345</v>
      </c>
      <c r="M3666" s="2" t="s">
        <v>18833</v>
      </c>
      <c r="N3666" s="2" t="s">
        <v>18834</v>
      </c>
      <c r="O3666" s="2" t="s">
        <v>869</v>
      </c>
      <c r="P3666" s="2" t="s">
        <v>870</v>
      </c>
    </row>
    <row r="3667" ht="15.75" customHeight="1">
      <c r="H3667" s="2" t="s">
        <v>18835</v>
      </c>
      <c r="I3667" s="2" t="s">
        <v>7016</v>
      </c>
      <c r="J3667" s="2" t="s">
        <v>7017</v>
      </c>
      <c r="K3667" s="2" t="s">
        <v>1406</v>
      </c>
      <c r="L3667" s="2" t="s">
        <v>18345</v>
      </c>
      <c r="M3667" s="2" t="s">
        <v>18836</v>
      </c>
      <c r="N3667" s="2" t="s">
        <v>18837</v>
      </c>
      <c r="O3667" s="2" t="s">
        <v>869</v>
      </c>
      <c r="P3667" s="2" t="s">
        <v>870</v>
      </c>
    </row>
    <row r="3668" ht="15.75" customHeight="1">
      <c r="H3668" s="2" t="s">
        <v>18838</v>
      </c>
      <c r="I3668" s="2" t="s">
        <v>18839</v>
      </c>
      <c r="J3668" s="2" t="s">
        <v>18840</v>
      </c>
      <c r="K3668" s="2" t="s">
        <v>1418</v>
      </c>
      <c r="L3668" s="2" t="s">
        <v>18345</v>
      </c>
      <c r="M3668" s="2" t="s">
        <v>18841</v>
      </c>
      <c r="N3668" s="2" t="s">
        <v>18842</v>
      </c>
      <c r="O3668" s="2" t="s">
        <v>869</v>
      </c>
      <c r="P3668" s="2" t="s">
        <v>870</v>
      </c>
    </row>
    <row r="3669" ht="15.75" customHeight="1">
      <c r="H3669" s="2" t="s">
        <v>18843</v>
      </c>
      <c r="I3669" s="2" t="s">
        <v>1573</v>
      </c>
      <c r="J3669" s="2" t="s">
        <v>1574</v>
      </c>
      <c r="K3669" s="2" t="s">
        <v>1157</v>
      </c>
      <c r="L3669" s="2" t="s">
        <v>18345</v>
      </c>
      <c r="M3669" s="2" t="s">
        <v>18844</v>
      </c>
      <c r="N3669" s="2" t="s">
        <v>18845</v>
      </c>
      <c r="O3669" s="2" t="s">
        <v>869</v>
      </c>
      <c r="P3669" s="2" t="s">
        <v>870</v>
      </c>
    </row>
    <row r="3670" ht="15.75" customHeight="1">
      <c r="H3670" s="2" t="s">
        <v>18846</v>
      </c>
      <c r="I3670" s="2" t="s">
        <v>1000</v>
      </c>
      <c r="J3670" s="2" t="s">
        <v>1001</v>
      </c>
      <c r="K3670" s="2" t="s">
        <v>1331</v>
      </c>
      <c r="L3670" s="2" t="s">
        <v>18345</v>
      </c>
      <c r="M3670" s="2" t="s">
        <v>18847</v>
      </c>
      <c r="N3670" s="2" t="s">
        <v>18848</v>
      </c>
      <c r="O3670" s="2" t="s">
        <v>869</v>
      </c>
      <c r="P3670" s="2" t="s">
        <v>870</v>
      </c>
    </row>
    <row r="3671" ht="15.75" customHeight="1">
      <c r="H3671" s="2" t="s">
        <v>18849</v>
      </c>
      <c r="I3671" s="2" t="s">
        <v>18850</v>
      </c>
      <c r="J3671" s="2" t="s">
        <v>18851</v>
      </c>
      <c r="K3671" s="2" t="s">
        <v>4436</v>
      </c>
      <c r="L3671" s="2" t="s">
        <v>18345</v>
      </c>
      <c r="M3671" s="2" t="s">
        <v>18852</v>
      </c>
      <c r="N3671" s="2" t="s">
        <v>18853</v>
      </c>
      <c r="O3671" s="2" t="s">
        <v>869</v>
      </c>
      <c r="P3671" s="2" t="s">
        <v>870</v>
      </c>
    </row>
    <row r="3672" ht="15.75" customHeight="1">
      <c r="H3672" s="2" t="s">
        <v>18854</v>
      </c>
      <c r="I3672" s="2" t="s">
        <v>18855</v>
      </c>
      <c r="J3672" s="2" t="s">
        <v>18856</v>
      </c>
      <c r="K3672" s="2" t="s">
        <v>1325</v>
      </c>
      <c r="L3672" s="2" t="s">
        <v>18345</v>
      </c>
      <c r="M3672" s="2" t="s">
        <v>18857</v>
      </c>
      <c r="N3672" s="2" t="s">
        <v>18858</v>
      </c>
      <c r="O3672" s="2" t="s">
        <v>869</v>
      </c>
      <c r="P3672" s="2" t="s">
        <v>870</v>
      </c>
    </row>
    <row r="3673" ht="15.75" customHeight="1">
      <c r="H3673" s="2" t="s">
        <v>18859</v>
      </c>
      <c r="I3673" s="2" t="s">
        <v>18860</v>
      </c>
      <c r="J3673" s="2" t="s">
        <v>18861</v>
      </c>
      <c r="K3673" s="2" t="s">
        <v>1211</v>
      </c>
      <c r="L3673" s="2" t="s">
        <v>18862</v>
      </c>
      <c r="M3673" s="2" t="s">
        <v>18863</v>
      </c>
      <c r="N3673" s="2" t="s">
        <v>18864</v>
      </c>
      <c r="O3673" s="2" t="s">
        <v>869</v>
      </c>
      <c r="P3673" s="2" t="s">
        <v>870</v>
      </c>
    </row>
    <row r="3674" ht="15.75" customHeight="1">
      <c r="H3674" s="2" t="s">
        <v>18865</v>
      </c>
      <c r="I3674" s="2" t="s">
        <v>18866</v>
      </c>
      <c r="J3674" s="2" t="s">
        <v>18867</v>
      </c>
      <c r="K3674" s="2" t="s">
        <v>18286</v>
      </c>
      <c r="L3674" s="2" t="s">
        <v>18345</v>
      </c>
      <c r="M3674" s="2" t="s">
        <v>18868</v>
      </c>
      <c r="N3674" s="2" t="s">
        <v>18869</v>
      </c>
      <c r="O3674" s="2" t="s">
        <v>869</v>
      </c>
      <c r="P3674" s="2" t="s">
        <v>870</v>
      </c>
    </row>
    <row r="3675" ht="15.75" customHeight="1">
      <c r="H3675" s="2" t="s">
        <v>18870</v>
      </c>
      <c r="I3675" s="2" t="s">
        <v>1606</v>
      </c>
      <c r="J3675" s="2" t="s">
        <v>1607</v>
      </c>
      <c r="K3675" s="2" t="s">
        <v>12764</v>
      </c>
      <c r="L3675" s="2" t="s">
        <v>18345</v>
      </c>
      <c r="M3675" s="2" t="s">
        <v>18871</v>
      </c>
      <c r="N3675" s="2" t="s">
        <v>18872</v>
      </c>
      <c r="O3675" s="2" t="s">
        <v>869</v>
      </c>
      <c r="P3675" s="2" t="s">
        <v>870</v>
      </c>
    </row>
    <row r="3676" ht="15.75" customHeight="1">
      <c r="H3676" s="2" t="s">
        <v>18873</v>
      </c>
      <c r="I3676" s="2" t="s">
        <v>1611</v>
      </c>
      <c r="J3676" s="2" t="s">
        <v>1612</v>
      </c>
      <c r="K3676" s="2" t="s">
        <v>1443</v>
      </c>
      <c r="L3676" s="2" t="s">
        <v>18345</v>
      </c>
      <c r="M3676" s="2" t="s">
        <v>18874</v>
      </c>
      <c r="N3676" s="2" t="s">
        <v>18875</v>
      </c>
      <c r="O3676" s="2" t="s">
        <v>869</v>
      </c>
      <c r="P3676" s="2" t="s">
        <v>870</v>
      </c>
    </row>
    <row r="3677" ht="15.75" customHeight="1">
      <c r="H3677" s="2" t="s">
        <v>18876</v>
      </c>
      <c r="I3677" s="2" t="s">
        <v>18877</v>
      </c>
      <c r="J3677" s="2" t="s">
        <v>18878</v>
      </c>
      <c r="K3677" s="2" t="s">
        <v>18879</v>
      </c>
      <c r="L3677" s="2" t="s">
        <v>18345</v>
      </c>
      <c r="M3677" s="2" t="s">
        <v>18880</v>
      </c>
      <c r="N3677" s="2" t="s">
        <v>18881</v>
      </c>
      <c r="O3677" s="2" t="s">
        <v>869</v>
      </c>
      <c r="P3677" s="2" t="s">
        <v>870</v>
      </c>
    </row>
    <row r="3678" ht="15.75" customHeight="1">
      <c r="H3678" s="2" t="s">
        <v>18882</v>
      </c>
      <c r="I3678" s="2" t="s">
        <v>18883</v>
      </c>
      <c r="J3678" s="2" t="s">
        <v>18884</v>
      </c>
      <c r="K3678" s="2" t="s">
        <v>1761</v>
      </c>
      <c r="L3678" s="2" t="s">
        <v>18345</v>
      </c>
      <c r="M3678" s="2" t="s">
        <v>18885</v>
      </c>
      <c r="N3678" s="2" t="s">
        <v>18886</v>
      </c>
      <c r="O3678" s="2" t="s">
        <v>869</v>
      </c>
      <c r="P3678" s="2" t="s">
        <v>870</v>
      </c>
    </row>
    <row r="3679" ht="15.75" customHeight="1">
      <c r="H3679" s="2" t="s">
        <v>18887</v>
      </c>
      <c r="I3679" s="2" t="s">
        <v>8241</v>
      </c>
      <c r="J3679" s="2" t="s">
        <v>8242</v>
      </c>
      <c r="K3679" s="2" t="s">
        <v>2585</v>
      </c>
      <c r="L3679" s="2" t="s">
        <v>18345</v>
      </c>
      <c r="M3679" s="2" t="s">
        <v>18888</v>
      </c>
      <c r="N3679" s="2" t="s">
        <v>18889</v>
      </c>
      <c r="O3679" s="2" t="s">
        <v>869</v>
      </c>
      <c r="P3679" s="2" t="s">
        <v>870</v>
      </c>
    </row>
    <row r="3680" ht="15.75" customHeight="1">
      <c r="H3680" s="2" t="s">
        <v>18890</v>
      </c>
      <c r="I3680" s="2" t="s">
        <v>18891</v>
      </c>
      <c r="J3680" s="2" t="s">
        <v>18892</v>
      </c>
      <c r="K3680" s="2" t="s">
        <v>1193</v>
      </c>
      <c r="L3680" s="2" t="s">
        <v>18345</v>
      </c>
      <c r="M3680" s="2" t="s">
        <v>18893</v>
      </c>
      <c r="N3680" s="2" t="s">
        <v>18894</v>
      </c>
      <c r="O3680" s="2" t="s">
        <v>869</v>
      </c>
      <c r="P3680" s="2" t="s">
        <v>870</v>
      </c>
    </row>
    <row r="3681" ht="15.75" customHeight="1">
      <c r="H3681" s="2" t="s">
        <v>18895</v>
      </c>
      <c r="I3681" s="2" t="s">
        <v>18896</v>
      </c>
      <c r="J3681" s="2" t="s">
        <v>18897</v>
      </c>
      <c r="K3681" s="2" t="s">
        <v>1618</v>
      </c>
      <c r="L3681" s="2" t="s">
        <v>18345</v>
      </c>
      <c r="M3681" s="2" t="s">
        <v>18898</v>
      </c>
      <c r="N3681" s="2" t="s">
        <v>18899</v>
      </c>
      <c r="O3681" s="2" t="s">
        <v>869</v>
      </c>
      <c r="P3681" s="2" t="s">
        <v>870</v>
      </c>
    </row>
    <row r="3682" ht="15.75" customHeight="1">
      <c r="H3682" s="2" t="s">
        <v>18900</v>
      </c>
      <c r="I3682" s="2" t="s">
        <v>18901</v>
      </c>
      <c r="J3682" s="2" t="s">
        <v>18902</v>
      </c>
      <c r="K3682" s="2" t="s">
        <v>2223</v>
      </c>
      <c r="L3682" s="2" t="s">
        <v>18345</v>
      </c>
      <c r="M3682" s="2" t="s">
        <v>18903</v>
      </c>
      <c r="N3682" s="2" t="s">
        <v>18904</v>
      </c>
      <c r="O3682" s="2" t="s">
        <v>869</v>
      </c>
      <c r="P3682" s="2" t="s">
        <v>870</v>
      </c>
    </row>
    <row r="3683" ht="15.75" customHeight="1">
      <c r="H3683" s="2" t="s">
        <v>18905</v>
      </c>
      <c r="I3683" s="2" t="s">
        <v>142</v>
      </c>
      <c r="J3683" s="2" t="s">
        <v>143</v>
      </c>
      <c r="K3683" s="2" t="s">
        <v>1205</v>
      </c>
      <c r="L3683" s="2" t="s">
        <v>18345</v>
      </c>
      <c r="M3683" s="2" t="s">
        <v>18906</v>
      </c>
      <c r="N3683" s="2" t="s">
        <v>18907</v>
      </c>
      <c r="O3683" s="2" t="s">
        <v>869</v>
      </c>
      <c r="P3683" s="2" t="s">
        <v>870</v>
      </c>
    </row>
    <row r="3684" ht="15.75" customHeight="1">
      <c r="H3684" s="2" t="s">
        <v>18908</v>
      </c>
      <c r="I3684" s="2" t="s">
        <v>7075</v>
      </c>
      <c r="J3684" s="2" t="s">
        <v>7076</v>
      </c>
      <c r="K3684" s="2" t="s">
        <v>5101</v>
      </c>
      <c r="L3684" s="2" t="s">
        <v>18345</v>
      </c>
      <c r="M3684" s="2" t="s">
        <v>18909</v>
      </c>
      <c r="N3684" s="2" t="s">
        <v>18910</v>
      </c>
      <c r="O3684" s="2" t="s">
        <v>869</v>
      </c>
      <c r="P3684" s="2" t="s">
        <v>870</v>
      </c>
    </row>
    <row r="3685" ht="15.75" customHeight="1">
      <c r="H3685" s="2" t="s">
        <v>18911</v>
      </c>
      <c r="I3685" s="2" t="s">
        <v>18912</v>
      </c>
      <c r="J3685" s="2" t="s">
        <v>18913</v>
      </c>
      <c r="K3685" s="2" t="s">
        <v>1992</v>
      </c>
      <c r="L3685" s="2" t="s">
        <v>18345</v>
      </c>
      <c r="M3685" s="2" t="s">
        <v>18914</v>
      </c>
      <c r="N3685" s="2" t="s">
        <v>18915</v>
      </c>
      <c r="O3685" s="2" t="s">
        <v>869</v>
      </c>
      <c r="P3685" s="2" t="s">
        <v>870</v>
      </c>
    </row>
    <row r="3686" ht="15.75" customHeight="1">
      <c r="H3686" s="2" t="s">
        <v>18916</v>
      </c>
      <c r="I3686" s="2" t="s">
        <v>18917</v>
      </c>
      <c r="J3686" s="2" t="s">
        <v>18918</v>
      </c>
      <c r="K3686" s="2" t="s">
        <v>2278</v>
      </c>
      <c r="L3686" s="2" t="s">
        <v>18345</v>
      </c>
      <c r="M3686" s="2" t="s">
        <v>18919</v>
      </c>
      <c r="N3686" s="2" t="s">
        <v>18920</v>
      </c>
      <c r="O3686" s="2" t="s">
        <v>869</v>
      </c>
      <c r="P3686" s="2" t="s">
        <v>870</v>
      </c>
    </row>
    <row r="3687" ht="15.75" customHeight="1">
      <c r="H3687" s="2" t="s">
        <v>18921</v>
      </c>
      <c r="I3687" s="2" t="s">
        <v>7081</v>
      </c>
      <c r="J3687" s="2" t="s">
        <v>7082</v>
      </c>
      <c r="K3687" s="2" t="s">
        <v>1217</v>
      </c>
      <c r="L3687" s="2" t="s">
        <v>18345</v>
      </c>
      <c r="M3687" s="2" t="s">
        <v>18922</v>
      </c>
      <c r="N3687" s="2" t="s">
        <v>18923</v>
      </c>
      <c r="O3687" s="2" t="s">
        <v>869</v>
      </c>
      <c r="P3687" s="2" t="s">
        <v>870</v>
      </c>
    </row>
    <row r="3688" ht="15.75" customHeight="1">
      <c r="H3688" s="2" t="s">
        <v>18924</v>
      </c>
      <c r="I3688" s="2" t="s">
        <v>1635</v>
      </c>
      <c r="J3688" s="2" t="s">
        <v>1636</v>
      </c>
      <c r="K3688" s="2" t="s">
        <v>1637</v>
      </c>
      <c r="L3688" s="2" t="s">
        <v>18345</v>
      </c>
      <c r="M3688" s="2" t="s">
        <v>18925</v>
      </c>
      <c r="N3688" s="2" t="s">
        <v>18926</v>
      </c>
      <c r="O3688" s="2" t="s">
        <v>869</v>
      </c>
      <c r="P3688" s="2" t="s">
        <v>870</v>
      </c>
    </row>
    <row r="3689" ht="15.75" customHeight="1">
      <c r="H3689" s="2" t="s">
        <v>18927</v>
      </c>
      <c r="I3689" s="2" t="s">
        <v>13140</v>
      </c>
      <c r="J3689" s="2" t="s">
        <v>13141</v>
      </c>
      <c r="K3689" s="2" t="s">
        <v>1654</v>
      </c>
      <c r="L3689" s="2" t="s">
        <v>18345</v>
      </c>
      <c r="M3689" s="2" t="s">
        <v>18928</v>
      </c>
      <c r="N3689" s="2" t="s">
        <v>18929</v>
      </c>
      <c r="O3689" s="2" t="s">
        <v>869</v>
      </c>
      <c r="P3689" s="2" t="s">
        <v>870</v>
      </c>
    </row>
    <row r="3690" ht="15.75" customHeight="1">
      <c r="H3690" s="2" t="s">
        <v>18930</v>
      </c>
      <c r="I3690" s="2" t="s">
        <v>159</v>
      </c>
      <c r="J3690" s="2" t="s">
        <v>160</v>
      </c>
      <c r="K3690" s="2" t="s">
        <v>1264</v>
      </c>
      <c r="L3690" s="2" t="s">
        <v>18345</v>
      </c>
      <c r="M3690" s="2" t="s">
        <v>18931</v>
      </c>
      <c r="N3690" s="2" t="s">
        <v>18932</v>
      </c>
      <c r="O3690" s="2" t="s">
        <v>869</v>
      </c>
      <c r="P3690" s="2" t="s">
        <v>870</v>
      </c>
    </row>
    <row r="3691" ht="15.75" customHeight="1">
      <c r="H3691" s="2" t="s">
        <v>18933</v>
      </c>
      <c r="I3691" s="2" t="s">
        <v>18934</v>
      </c>
      <c r="J3691" s="2" t="s">
        <v>18935</v>
      </c>
      <c r="K3691" s="2" t="s">
        <v>1247</v>
      </c>
    </row>
    <row r="3692" ht="15.75" customHeight="1">
      <c r="H3692" s="2" t="s">
        <v>18936</v>
      </c>
      <c r="I3692" s="2" t="s">
        <v>18937</v>
      </c>
      <c r="J3692" s="2" t="s">
        <v>18938</v>
      </c>
      <c r="K3692" s="2" t="s">
        <v>5988</v>
      </c>
      <c r="L3692" s="2" t="s">
        <v>18345</v>
      </c>
      <c r="M3692" s="2" t="s">
        <v>18939</v>
      </c>
      <c r="N3692" s="2" t="s">
        <v>18940</v>
      </c>
      <c r="O3692" s="2" t="s">
        <v>869</v>
      </c>
      <c r="P3692" s="2" t="s">
        <v>870</v>
      </c>
    </row>
    <row r="3693" ht="15.75" customHeight="1">
      <c r="H3693" s="2" t="s">
        <v>18941</v>
      </c>
      <c r="I3693" s="2" t="s">
        <v>11934</v>
      </c>
      <c r="J3693" s="2" t="s">
        <v>11935</v>
      </c>
      <c r="K3693" s="2" t="s">
        <v>2359</v>
      </c>
      <c r="L3693" s="2" t="s">
        <v>18345</v>
      </c>
      <c r="M3693" s="2" t="s">
        <v>18942</v>
      </c>
      <c r="N3693" s="2" t="s">
        <v>18943</v>
      </c>
      <c r="O3693" s="2" t="s">
        <v>869</v>
      </c>
      <c r="P3693" s="2" t="s">
        <v>870</v>
      </c>
    </row>
    <row r="3694" ht="15.75" customHeight="1">
      <c r="H3694" s="2" t="s">
        <v>18944</v>
      </c>
      <c r="I3694" s="2" t="s">
        <v>167</v>
      </c>
      <c r="J3694" s="2" t="s">
        <v>168</v>
      </c>
      <c r="K3694" s="2" t="s">
        <v>1692</v>
      </c>
      <c r="L3694" s="2" t="s">
        <v>18345</v>
      </c>
      <c r="M3694" s="2" t="s">
        <v>18945</v>
      </c>
      <c r="N3694" s="2" t="s">
        <v>18946</v>
      </c>
      <c r="O3694" s="2" t="s">
        <v>869</v>
      </c>
      <c r="P3694" s="2" t="s">
        <v>870</v>
      </c>
    </row>
    <row r="3695" ht="15.75" customHeight="1">
      <c r="H3695" s="2" t="s">
        <v>18947</v>
      </c>
      <c r="I3695" s="2" t="s">
        <v>2262</v>
      </c>
      <c r="J3695" s="2" t="s">
        <v>2263</v>
      </c>
      <c r="K3695" s="2" t="s">
        <v>12460</v>
      </c>
      <c r="L3695" s="2" t="s">
        <v>18345</v>
      </c>
      <c r="M3695" s="2" t="s">
        <v>18948</v>
      </c>
      <c r="N3695" s="2" t="s">
        <v>18949</v>
      </c>
      <c r="O3695" s="2" t="s">
        <v>869</v>
      </c>
      <c r="P3695" s="2" t="s">
        <v>870</v>
      </c>
    </row>
    <row r="3696" ht="15.75" customHeight="1">
      <c r="H3696" s="2" t="s">
        <v>18950</v>
      </c>
      <c r="I3696" s="2" t="s">
        <v>18951</v>
      </c>
      <c r="J3696" s="2" t="s">
        <v>18952</v>
      </c>
      <c r="K3696" s="2" t="s">
        <v>18953</v>
      </c>
      <c r="L3696" s="2" t="s">
        <v>18345</v>
      </c>
      <c r="M3696" s="2" t="s">
        <v>18954</v>
      </c>
      <c r="N3696" s="2" t="s">
        <v>18955</v>
      </c>
      <c r="O3696" s="2" t="s">
        <v>869</v>
      </c>
      <c r="P3696" s="2" t="s">
        <v>870</v>
      </c>
    </row>
    <row r="3697" ht="15.75" customHeight="1">
      <c r="H3697" s="2" t="s">
        <v>18956</v>
      </c>
      <c r="I3697" s="2" t="s">
        <v>18957</v>
      </c>
      <c r="J3697" s="2" t="s">
        <v>18958</v>
      </c>
      <c r="K3697" s="2" t="s">
        <v>2288</v>
      </c>
      <c r="L3697" s="2" t="s">
        <v>18345</v>
      </c>
      <c r="M3697" s="2" t="s">
        <v>18959</v>
      </c>
      <c r="N3697" s="2" t="s">
        <v>18960</v>
      </c>
      <c r="O3697" s="2" t="s">
        <v>869</v>
      </c>
      <c r="P3697" s="2" t="s">
        <v>870</v>
      </c>
    </row>
    <row r="3698" ht="15.75" customHeight="1">
      <c r="H3698" s="2" t="s">
        <v>18961</v>
      </c>
      <c r="I3698" s="2" t="s">
        <v>18962</v>
      </c>
      <c r="J3698" s="2" t="s">
        <v>18963</v>
      </c>
      <c r="K3698" s="2" t="s">
        <v>12273</v>
      </c>
      <c r="L3698" s="2" t="s">
        <v>18345</v>
      </c>
      <c r="M3698" s="2" t="s">
        <v>18964</v>
      </c>
      <c r="N3698" s="2" t="s">
        <v>18965</v>
      </c>
      <c r="O3698" s="2" t="s">
        <v>869</v>
      </c>
      <c r="P3698" s="2" t="s">
        <v>870</v>
      </c>
    </row>
    <row r="3699" ht="15.75" customHeight="1">
      <c r="H3699" s="2" t="s">
        <v>18966</v>
      </c>
      <c r="I3699" s="2" t="s">
        <v>18967</v>
      </c>
      <c r="J3699" s="2" t="s">
        <v>18968</v>
      </c>
      <c r="K3699" s="2" t="s">
        <v>2068</v>
      </c>
      <c r="L3699" s="2" t="s">
        <v>18345</v>
      </c>
      <c r="M3699" s="2" t="s">
        <v>18969</v>
      </c>
      <c r="N3699" s="2" t="s">
        <v>18970</v>
      </c>
      <c r="O3699" s="2" t="s">
        <v>869</v>
      </c>
      <c r="P3699" s="2" t="s">
        <v>870</v>
      </c>
    </row>
    <row r="3700" ht="15.75" customHeight="1">
      <c r="H3700" s="2" t="s">
        <v>18971</v>
      </c>
      <c r="I3700" s="2" t="s">
        <v>12536</v>
      </c>
      <c r="J3700" s="2" t="s">
        <v>12537</v>
      </c>
      <c r="K3700" s="2" t="s">
        <v>5142</v>
      </c>
      <c r="L3700" s="2" t="s">
        <v>18345</v>
      </c>
      <c r="M3700" s="2" t="s">
        <v>18972</v>
      </c>
      <c r="N3700" s="2" t="s">
        <v>18973</v>
      </c>
      <c r="O3700" s="2" t="s">
        <v>869</v>
      </c>
      <c r="P3700" s="2" t="s">
        <v>870</v>
      </c>
    </row>
    <row r="3701" ht="15.75" customHeight="1">
      <c r="H3701" s="2" t="s">
        <v>18974</v>
      </c>
      <c r="I3701" s="2" t="s">
        <v>176</v>
      </c>
      <c r="J3701" s="2" t="s">
        <v>177</v>
      </c>
      <c r="K3701" s="2" t="s">
        <v>2452</v>
      </c>
      <c r="L3701" s="2" t="s">
        <v>18975</v>
      </c>
      <c r="M3701" s="2" t="s">
        <v>18976</v>
      </c>
      <c r="N3701" s="2" t="s">
        <v>18977</v>
      </c>
      <c r="O3701" s="2" t="s">
        <v>869</v>
      </c>
      <c r="P3701" s="2" t="s">
        <v>870</v>
      </c>
    </row>
    <row r="3702" ht="15.75" customHeight="1">
      <c r="H3702" s="2" t="s">
        <v>18978</v>
      </c>
      <c r="I3702" s="2" t="s">
        <v>7146</v>
      </c>
      <c r="J3702" s="2" t="s">
        <v>7147</v>
      </c>
      <c r="K3702" s="2" t="s">
        <v>18979</v>
      </c>
      <c r="L3702" s="2" t="s">
        <v>18345</v>
      </c>
      <c r="M3702" s="2" t="s">
        <v>18980</v>
      </c>
      <c r="N3702" s="2" t="s">
        <v>18981</v>
      </c>
      <c r="O3702" s="2" t="s">
        <v>869</v>
      </c>
      <c r="P3702" s="2" t="s">
        <v>870</v>
      </c>
    </row>
    <row r="3703" ht="15.75" customHeight="1">
      <c r="H3703" s="2" t="s">
        <v>18982</v>
      </c>
      <c r="I3703" s="2" t="s">
        <v>1716</v>
      </c>
      <c r="J3703" s="2" t="s">
        <v>1717</v>
      </c>
      <c r="K3703" s="2" t="s">
        <v>1718</v>
      </c>
      <c r="L3703" s="2" t="s">
        <v>18983</v>
      </c>
      <c r="M3703" s="2" t="s">
        <v>18984</v>
      </c>
      <c r="N3703" s="2" t="s">
        <v>18985</v>
      </c>
      <c r="O3703" s="2" t="s">
        <v>869</v>
      </c>
      <c r="P3703" s="2" t="s">
        <v>870</v>
      </c>
    </row>
    <row r="3704" ht="15.75" customHeight="1">
      <c r="H3704" s="2" t="s">
        <v>18986</v>
      </c>
      <c r="I3704" s="2" t="s">
        <v>193</v>
      </c>
      <c r="J3704" s="2" t="s">
        <v>194</v>
      </c>
      <c r="K3704" s="2" t="s">
        <v>2322</v>
      </c>
      <c r="L3704" s="2" t="s">
        <v>18345</v>
      </c>
      <c r="M3704" s="2" t="s">
        <v>18987</v>
      </c>
      <c r="N3704" s="2" t="s">
        <v>18988</v>
      </c>
      <c r="O3704" s="2" t="s">
        <v>869</v>
      </c>
      <c r="P3704" s="2" t="s">
        <v>870</v>
      </c>
    </row>
    <row r="3705" ht="15.75" customHeight="1">
      <c r="H3705" s="2" t="s">
        <v>18989</v>
      </c>
      <c r="I3705" s="2" t="s">
        <v>18990</v>
      </c>
      <c r="J3705" s="2" t="s">
        <v>18991</v>
      </c>
      <c r="K3705" s="2" t="s">
        <v>18992</v>
      </c>
      <c r="L3705" s="2" t="s">
        <v>18345</v>
      </c>
      <c r="M3705" s="2" t="s">
        <v>18993</v>
      </c>
      <c r="N3705" s="2" t="s">
        <v>18994</v>
      </c>
      <c r="O3705" s="2" t="s">
        <v>869</v>
      </c>
      <c r="P3705" s="2" t="s">
        <v>870</v>
      </c>
    </row>
    <row r="3706" ht="15.75" customHeight="1">
      <c r="H3706" s="2" t="s">
        <v>18995</v>
      </c>
      <c r="I3706" s="2" t="s">
        <v>18996</v>
      </c>
      <c r="J3706" s="2" t="s">
        <v>18997</v>
      </c>
      <c r="K3706" s="2" t="s">
        <v>16183</v>
      </c>
      <c r="L3706" s="2" t="s">
        <v>18345</v>
      </c>
      <c r="M3706" s="2" t="s">
        <v>18998</v>
      </c>
      <c r="N3706" s="2" t="s">
        <v>18999</v>
      </c>
      <c r="O3706" s="2" t="s">
        <v>869</v>
      </c>
      <c r="P3706" s="2" t="s">
        <v>870</v>
      </c>
    </row>
    <row r="3707" ht="15.75" customHeight="1">
      <c r="H3707" s="2" t="s">
        <v>19000</v>
      </c>
      <c r="I3707" s="2" t="s">
        <v>2298</v>
      </c>
      <c r="J3707" s="2" t="s">
        <v>2299</v>
      </c>
      <c r="K3707" s="2" t="s">
        <v>19001</v>
      </c>
      <c r="L3707" s="2" t="s">
        <v>18345</v>
      </c>
      <c r="M3707" s="2" t="s">
        <v>19002</v>
      </c>
      <c r="N3707" s="2" t="s">
        <v>19003</v>
      </c>
      <c r="O3707" s="2" t="s">
        <v>869</v>
      </c>
      <c r="P3707" s="2" t="s">
        <v>870</v>
      </c>
    </row>
    <row r="3708" ht="15.75" customHeight="1">
      <c r="H3708" s="2" t="s">
        <v>19004</v>
      </c>
      <c r="I3708" s="2" t="s">
        <v>5341</v>
      </c>
      <c r="J3708" s="2" t="s">
        <v>5342</v>
      </c>
      <c r="K3708" s="2" t="s">
        <v>12548</v>
      </c>
      <c r="L3708" s="2" t="s">
        <v>18345</v>
      </c>
      <c r="M3708" s="2" t="s">
        <v>19005</v>
      </c>
      <c r="N3708" s="2" t="s">
        <v>19006</v>
      </c>
      <c r="O3708" s="2" t="s">
        <v>869</v>
      </c>
      <c r="P3708" s="2" t="s">
        <v>870</v>
      </c>
    </row>
    <row r="3709" ht="15.75" customHeight="1">
      <c r="H3709" s="2" t="s">
        <v>19007</v>
      </c>
      <c r="I3709" s="2" t="s">
        <v>1753</v>
      </c>
      <c r="J3709" s="2" t="s">
        <v>1754</v>
      </c>
      <c r="K3709" s="2" t="s">
        <v>1755</v>
      </c>
      <c r="L3709" s="2" t="s">
        <v>18345</v>
      </c>
      <c r="M3709" s="2" t="s">
        <v>19008</v>
      </c>
      <c r="N3709" s="2" t="s">
        <v>19009</v>
      </c>
      <c r="O3709" s="2" t="s">
        <v>869</v>
      </c>
      <c r="P3709" s="2" t="s">
        <v>870</v>
      </c>
    </row>
    <row r="3710" ht="15.75" customHeight="1">
      <c r="H3710" s="2" t="s">
        <v>19010</v>
      </c>
      <c r="I3710" s="2" t="s">
        <v>19011</v>
      </c>
      <c r="J3710" s="2" t="s">
        <v>19012</v>
      </c>
      <c r="K3710" s="2" t="s">
        <v>2473</v>
      </c>
      <c r="L3710" s="2" t="s">
        <v>18345</v>
      </c>
      <c r="M3710" s="2" t="s">
        <v>19013</v>
      </c>
      <c r="N3710" s="2" t="s">
        <v>19014</v>
      </c>
      <c r="O3710" s="2" t="s">
        <v>869</v>
      </c>
      <c r="P3710" s="2" t="s">
        <v>870</v>
      </c>
    </row>
    <row r="3711" ht="15.75" customHeight="1">
      <c r="H3711" s="2" t="s">
        <v>19015</v>
      </c>
      <c r="I3711" s="2" t="s">
        <v>1766</v>
      </c>
      <c r="J3711" s="2" t="s">
        <v>1767</v>
      </c>
      <c r="K3711" s="2" t="s">
        <v>1768</v>
      </c>
      <c r="L3711" s="2" t="s">
        <v>18345</v>
      </c>
      <c r="M3711" s="2" t="s">
        <v>19016</v>
      </c>
      <c r="N3711" s="2" t="s">
        <v>19017</v>
      </c>
      <c r="O3711" s="2" t="s">
        <v>869</v>
      </c>
      <c r="P3711" s="2" t="s">
        <v>870</v>
      </c>
    </row>
    <row r="3712" ht="15.75" customHeight="1">
      <c r="H3712" s="2" t="s">
        <v>19018</v>
      </c>
      <c r="I3712" s="2" t="s">
        <v>19019</v>
      </c>
      <c r="J3712" s="2" t="s">
        <v>19020</v>
      </c>
      <c r="K3712" s="2" t="s">
        <v>19021</v>
      </c>
      <c r="L3712" s="2" t="s">
        <v>18345</v>
      </c>
      <c r="M3712" s="2" t="s">
        <v>19022</v>
      </c>
      <c r="N3712" s="2" t="s">
        <v>19023</v>
      </c>
      <c r="O3712" s="2" t="s">
        <v>869</v>
      </c>
      <c r="P3712" s="2" t="s">
        <v>870</v>
      </c>
    </row>
    <row r="3713" ht="15.75" customHeight="1">
      <c r="H3713" s="2" t="s">
        <v>19024</v>
      </c>
      <c r="I3713" s="2" t="s">
        <v>1772</v>
      </c>
      <c r="J3713" s="2" t="s">
        <v>1773</v>
      </c>
      <c r="K3713" s="2" t="s">
        <v>1774</v>
      </c>
      <c r="L3713" s="2" t="s">
        <v>18345</v>
      </c>
      <c r="M3713" s="2" t="s">
        <v>1775</v>
      </c>
      <c r="N3713" s="2" t="s">
        <v>19025</v>
      </c>
      <c r="O3713" s="2" t="s">
        <v>869</v>
      </c>
      <c r="P3713" s="2" t="s">
        <v>870</v>
      </c>
    </row>
    <row r="3714" ht="15.75" customHeight="1">
      <c r="H3714" s="2" t="s">
        <v>19026</v>
      </c>
      <c r="I3714" s="2" t="s">
        <v>19027</v>
      </c>
      <c r="J3714" s="2" t="s">
        <v>19027</v>
      </c>
      <c r="K3714" s="2" t="s">
        <v>19028</v>
      </c>
    </row>
    <row r="3715" ht="15.75" customHeight="1">
      <c r="H3715" s="2" t="s">
        <v>19029</v>
      </c>
      <c r="I3715" s="2" t="s">
        <v>19030</v>
      </c>
      <c r="J3715" s="2" t="s">
        <v>19031</v>
      </c>
      <c r="K3715" s="2" t="s">
        <v>1797</v>
      </c>
      <c r="L3715" s="2" t="s">
        <v>18345</v>
      </c>
      <c r="M3715" s="2" t="s">
        <v>19032</v>
      </c>
      <c r="N3715" s="2" t="s">
        <v>19033</v>
      </c>
      <c r="O3715" s="2" t="s">
        <v>869</v>
      </c>
      <c r="P3715" s="2" t="s">
        <v>870</v>
      </c>
    </row>
    <row r="3716" ht="15.75" customHeight="1">
      <c r="H3716" s="2" t="s">
        <v>19034</v>
      </c>
      <c r="I3716" s="2" t="s">
        <v>19035</v>
      </c>
      <c r="J3716" s="2" t="s">
        <v>19036</v>
      </c>
      <c r="K3716" s="2" t="s">
        <v>1801</v>
      </c>
      <c r="L3716" s="2" t="s">
        <v>18345</v>
      </c>
      <c r="M3716" s="2" t="s">
        <v>19037</v>
      </c>
      <c r="N3716" s="2" t="s">
        <v>19038</v>
      </c>
      <c r="O3716" s="2" t="s">
        <v>869</v>
      </c>
      <c r="P3716" s="2" t="s">
        <v>870</v>
      </c>
    </row>
    <row r="3717" ht="15.75" customHeight="1">
      <c r="H3717" s="2" t="s">
        <v>19039</v>
      </c>
      <c r="I3717" s="2" t="s">
        <v>19040</v>
      </c>
      <c r="J3717" s="2" t="s">
        <v>19041</v>
      </c>
      <c r="K3717" s="2" t="s">
        <v>19042</v>
      </c>
      <c r="L3717" s="2" t="s">
        <v>19043</v>
      </c>
      <c r="M3717" s="2" t="s">
        <v>19044</v>
      </c>
      <c r="N3717" s="2" t="s">
        <v>19045</v>
      </c>
      <c r="O3717" s="2" t="s">
        <v>869</v>
      </c>
      <c r="P3717" s="2" t="s">
        <v>870</v>
      </c>
    </row>
    <row r="3718" ht="15.75" customHeight="1">
      <c r="H3718" s="2" t="s">
        <v>19046</v>
      </c>
      <c r="I3718" s="2" t="s">
        <v>19047</v>
      </c>
      <c r="J3718" s="2" t="s">
        <v>19048</v>
      </c>
      <c r="K3718" s="2" t="s">
        <v>5573</v>
      </c>
      <c r="L3718" s="2" t="s">
        <v>18345</v>
      </c>
      <c r="M3718" s="2" t="s">
        <v>19049</v>
      </c>
      <c r="N3718" s="2" t="s">
        <v>19050</v>
      </c>
      <c r="O3718" s="2" t="s">
        <v>869</v>
      </c>
      <c r="P3718" s="2" t="s">
        <v>870</v>
      </c>
    </row>
    <row r="3719" ht="15.75" customHeight="1">
      <c r="H3719" s="2" t="s">
        <v>19051</v>
      </c>
      <c r="I3719" s="2" t="s">
        <v>19052</v>
      </c>
      <c r="J3719" s="2" t="s">
        <v>19053</v>
      </c>
      <c r="K3719" s="2" t="s">
        <v>19054</v>
      </c>
      <c r="L3719" s="2" t="s">
        <v>18345</v>
      </c>
      <c r="M3719" s="2" t="s">
        <v>19055</v>
      </c>
      <c r="N3719" s="2" t="s">
        <v>19056</v>
      </c>
      <c r="O3719" s="2" t="s">
        <v>869</v>
      </c>
      <c r="P3719" s="2" t="s">
        <v>870</v>
      </c>
    </row>
    <row r="3720" ht="15.75" customHeight="1">
      <c r="H3720" s="2" t="s">
        <v>19057</v>
      </c>
      <c r="I3720" s="2" t="s">
        <v>7241</v>
      </c>
      <c r="J3720" s="2" t="s">
        <v>7242</v>
      </c>
      <c r="K3720" s="2" t="s">
        <v>19058</v>
      </c>
      <c r="L3720" s="2" t="s">
        <v>18345</v>
      </c>
      <c r="M3720" s="2" t="s">
        <v>19059</v>
      </c>
      <c r="N3720" s="2" t="s">
        <v>19060</v>
      </c>
      <c r="O3720" s="2" t="s">
        <v>869</v>
      </c>
      <c r="P3720" s="2" t="s">
        <v>870</v>
      </c>
    </row>
    <row r="3721" ht="15.75" customHeight="1">
      <c r="H3721" s="2" t="s">
        <v>19061</v>
      </c>
      <c r="I3721" s="2" t="s">
        <v>19062</v>
      </c>
      <c r="J3721" s="2" t="s">
        <v>19063</v>
      </c>
      <c r="K3721" s="2" t="s">
        <v>19064</v>
      </c>
      <c r="L3721" s="2" t="s">
        <v>18345</v>
      </c>
      <c r="M3721" s="2" t="s">
        <v>19065</v>
      </c>
      <c r="N3721" s="2" t="s">
        <v>19066</v>
      </c>
      <c r="O3721" s="2" t="s">
        <v>869</v>
      </c>
      <c r="P3721" s="2" t="s">
        <v>870</v>
      </c>
    </row>
    <row r="3722" ht="15.75" customHeight="1">
      <c r="H3722" s="2" t="s">
        <v>19067</v>
      </c>
      <c r="I3722" s="2" t="s">
        <v>249</v>
      </c>
      <c r="J3722" s="2" t="s">
        <v>250</v>
      </c>
      <c r="K3722" s="2" t="s">
        <v>1832</v>
      </c>
      <c r="L3722" s="2" t="s">
        <v>18345</v>
      </c>
      <c r="M3722" s="2" t="s">
        <v>19068</v>
      </c>
      <c r="N3722" s="2" t="s">
        <v>19069</v>
      </c>
      <c r="O3722" s="2" t="s">
        <v>869</v>
      </c>
      <c r="P3722" s="2" t="s">
        <v>870</v>
      </c>
    </row>
    <row r="3723" ht="15.75" customHeight="1">
      <c r="H3723" s="2" t="s">
        <v>19070</v>
      </c>
      <c r="I3723" s="2" t="s">
        <v>19071</v>
      </c>
      <c r="J3723" s="2" t="s">
        <v>19072</v>
      </c>
      <c r="K3723" s="2" t="s">
        <v>19073</v>
      </c>
      <c r="L3723" s="2" t="s">
        <v>19074</v>
      </c>
      <c r="M3723" s="2" t="s">
        <v>19075</v>
      </c>
      <c r="N3723" s="2" t="s">
        <v>19076</v>
      </c>
      <c r="O3723" s="2" t="s">
        <v>869</v>
      </c>
      <c r="P3723" s="2" t="s">
        <v>870</v>
      </c>
    </row>
    <row r="3724" ht="15.75" customHeight="1">
      <c r="H3724" s="2" t="s">
        <v>19077</v>
      </c>
      <c r="I3724" s="2" t="s">
        <v>1848</v>
      </c>
      <c r="J3724" s="2" t="s">
        <v>1849</v>
      </c>
      <c r="K3724" s="2" t="s">
        <v>1850</v>
      </c>
      <c r="L3724" s="2" t="s">
        <v>18345</v>
      </c>
      <c r="M3724" s="2" t="s">
        <v>19078</v>
      </c>
      <c r="N3724" s="2" t="s">
        <v>19079</v>
      </c>
      <c r="O3724" s="2" t="s">
        <v>869</v>
      </c>
      <c r="P3724" s="2" t="s">
        <v>870</v>
      </c>
    </row>
    <row r="3725" ht="15.75" customHeight="1">
      <c r="H3725" s="2" t="s">
        <v>19080</v>
      </c>
      <c r="I3725" s="2" t="s">
        <v>19081</v>
      </c>
      <c r="J3725" s="2" t="s">
        <v>19082</v>
      </c>
      <c r="K3725" s="2" t="s">
        <v>16000</v>
      </c>
      <c r="L3725" s="2" t="s">
        <v>18345</v>
      </c>
      <c r="M3725" s="2" t="s">
        <v>19083</v>
      </c>
      <c r="N3725" s="2" t="s">
        <v>19084</v>
      </c>
      <c r="O3725" s="2" t="s">
        <v>869</v>
      </c>
      <c r="P3725" s="2" t="s">
        <v>870</v>
      </c>
    </row>
    <row r="3726" ht="15.75" customHeight="1">
      <c r="F3726" s="2" t="s">
        <v>1854</v>
      </c>
      <c r="H3726" s="2" t="s">
        <v>19085</v>
      </c>
      <c r="I3726" s="2" t="s">
        <v>1856</v>
      </c>
      <c r="J3726" s="2" t="s">
        <v>1857</v>
      </c>
      <c r="K3726" s="2" t="s">
        <v>859</v>
      </c>
      <c r="L3726" s="2" t="s">
        <v>18345</v>
      </c>
      <c r="M3726" s="2" t="s">
        <v>19086</v>
      </c>
      <c r="N3726" s="2" t="s">
        <v>19087</v>
      </c>
      <c r="O3726" s="2" t="s">
        <v>869</v>
      </c>
      <c r="P3726" s="2" t="s">
        <v>870</v>
      </c>
    </row>
    <row r="3727" ht="15.75" customHeight="1">
      <c r="H3727" s="2" t="s">
        <v>19088</v>
      </c>
      <c r="I3727" s="2" t="s">
        <v>1871</v>
      </c>
      <c r="J3727" s="2" t="s">
        <v>1872</v>
      </c>
      <c r="K3727" s="2" t="s">
        <v>280</v>
      </c>
      <c r="L3727" s="2" t="s">
        <v>18345</v>
      </c>
      <c r="M3727" s="2" t="s">
        <v>7285</v>
      </c>
      <c r="N3727" s="2" t="s">
        <v>19089</v>
      </c>
      <c r="O3727" s="2" t="s">
        <v>869</v>
      </c>
      <c r="P3727" s="2" t="s">
        <v>870</v>
      </c>
    </row>
    <row r="3728" ht="15.75" customHeight="1">
      <c r="H3728" s="2" t="s">
        <v>19090</v>
      </c>
      <c r="I3728" s="2" t="s">
        <v>1876</v>
      </c>
      <c r="J3728" s="2" t="s">
        <v>1877</v>
      </c>
      <c r="K3728" s="2" t="s">
        <v>1878</v>
      </c>
      <c r="L3728" s="2" t="s">
        <v>18345</v>
      </c>
      <c r="M3728" s="2" t="s">
        <v>19091</v>
      </c>
      <c r="N3728" s="2" t="s">
        <v>19092</v>
      </c>
      <c r="O3728" s="2" t="s">
        <v>869</v>
      </c>
      <c r="P3728" s="2" t="s">
        <v>870</v>
      </c>
    </row>
    <row r="3729" ht="15.75" customHeight="1">
      <c r="H3729" s="2" t="s">
        <v>19093</v>
      </c>
      <c r="I3729" s="2" t="s">
        <v>19094</v>
      </c>
      <c r="J3729" s="2" t="s">
        <v>19095</v>
      </c>
      <c r="K3729" s="2" t="s">
        <v>1368</v>
      </c>
      <c r="L3729" s="2" t="s">
        <v>18345</v>
      </c>
      <c r="M3729" s="2" t="s">
        <v>19096</v>
      </c>
      <c r="N3729" s="2" t="s">
        <v>19097</v>
      </c>
      <c r="O3729" s="2" t="s">
        <v>869</v>
      </c>
      <c r="P3729" s="2" t="s">
        <v>870</v>
      </c>
    </row>
    <row r="3730" ht="15.75" customHeight="1">
      <c r="H3730" s="2" t="s">
        <v>19098</v>
      </c>
      <c r="I3730" s="2" t="s">
        <v>1887</v>
      </c>
      <c r="J3730" s="2" t="s">
        <v>1888</v>
      </c>
      <c r="K3730" s="2" t="s">
        <v>1297</v>
      </c>
      <c r="L3730" s="2" t="s">
        <v>18345</v>
      </c>
      <c r="M3730" s="2" t="s">
        <v>19099</v>
      </c>
      <c r="N3730" s="2" t="s">
        <v>19100</v>
      </c>
      <c r="O3730" s="2" t="s">
        <v>869</v>
      </c>
      <c r="P3730" s="2" t="s">
        <v>870</v>
      </c>
    </row>
    <row r="3731" ht="15.75" customHeight="1">
      <c r="H3731" s="2" t="s">
        <v>19101</v>
      </c>
      <c r="I3731" s="2" t="s">
        <v>19102</v>
      </c>
      <c r="J3731" s="2" t="s">
        <v>19103</v>
      </c>
      <c r="K3731" s="2" t="s">
        <v>886</v>
      </c>
      <c r="L3731" s="2" t="s">
        <v>18345</v>
      </c>
      <c r="M3731" s="2" t="s">
        <v>19104</v>
      </c>
      <c r="N3731" s="2" t="s">
        <v>19105</v>
      </c>
      <c r="O3731" s="2" t="s">
        <v>869</v>
      </c>
      <c r="P3731" s="2" t="s">
        <v>870</v>
      </c>
    </row>
    <row r="3732" ht="15.75" customHeight="1">
      <c r="H3732" s="2" t="s">
        <v>19106</v>
      </c>
      <c r="I3732" s="2" t="s">
        <v>3048</v>
      </c>
      <c r="J3732" s="2" t="s">
        <v>3049</v>
      </c>
      <c r="K3732" s="2" t="s">
        <v>1362</v>
      </c>
      <c r="L3732" s="2" t="s">
        <v>18345</v>
      </c>
      <c r="M3732" s="2" t="s">
        <v>7285</v>
      </c>
      <c r="N3732" s="2" t="s">
        <v>19107</v>
      </c>
      <c r="O3732" s="2" t="s">
        <v>869</v>
      </c>
      <c r="P3732" s="2" t="s">
        <v>870</v>
      </c>
    </row>
    <row r="3733" ht="15.75" customHeight="1">
      <c r="F3733" s="2" t="s">
        <v>265</v>
      </c>
      <c r="H3733" s="2" t="s">
        <v>19108</v>
      </c>
      <c r="I3733" s="2" t="s">
        <v>19109</v>
      </c>
      <c r="J3733" s="2" t="s">
        <v>19110</v>
      </c>
      <c r="K3733" s="2" t="s">
        <v>859</v>
      </c>
      <c r="L3733" s="2" t="s">
        <v>18345</v>
      </c>
      <c r="M3733" s="2" t="s">
        <v>19111</v>
      </c>
      <c r="N3733" s="2" t="s">
        <v>19112</v>
      </c>
      <c r="O3733" s="2" t="s">
        <v>869</v>
      </c>
      <c r="P3733" s="2" t="s">
        <v>870</v>
      </c>
    </row>
    <row r="3734" ht="15.75" customHeight="1">
      <c r="H3734" s="2" t="s">
        <v>19113</v>
      </c>
      <c r="I3734" s="2" t="s">
        <v>19114</v>
      </c>
      <c r="J3734" s="2" t="s">
        <v>19115</v>
      </c>
      <c r="K3734" s="2" t="s">
        <v>853</v>
      </c>
      <c r="L3734" s="2" t="s">
        <v>18345</v>
      </c>
      <c r="M3734" s="2" t="s">
        <v>19116</v>
      </c>
      <c r="N3734" s="2" t="s">
        <v>19117</v>
      </c>
      <c r="O3734" s="2" t="s">
        <v>869</v>
      </c>
      <c r="P3734" s="2" t="s">
        <v>870</v>
      </c>
    </row>
    <row r="3735" ht="15.75" customHeight="1">
      <c r="H3735" s="2" t="s">
        <v>19118</v>
      </c>
      <c r="I3735" s="2" t="s">
        <v>19119</v>
      </c>
      <c r="J3735" s="2" t="s">
        <v>19120</v>
      </c>
      <c r="K3735" s="2" t="s">
        <v>1467</v>
      </c>
      <c r="L3735" s="2" t="s">
        <v>18345</v>
      </c>
      <c r="M3735" s="2" t="s">
        <v>19121</v>
      </c>
      <c r="N3735" s="2" t="s">
        <v>19122</v>
      </c>
      <c r="O3735" s="2" t="s">
        <v>869</v>
      </c>
      <c r="P3735" s="2" t="s">
        <v>870</v>
      </c>
    </row>
    <row r="3736" ht="15.75" customHeight="1">
      <c r="H3736" s="2" t="s">
        <v>19123</v>
      </c>
      <c r="I3736" s="2" t="s">
        <v>5370</v>
      </c>
      <c r="J3736" s="2" t="s">
        <v>5371</v>
      </c>
      <c r="K3736" s="2" t="s">
        <v>958</v>
      </c>
      <c r="L3736" s="2" t="s">
        <v>18345</v>
      </c>
      <c r="M3736" s="2" t="s">
        <v>19124</v>
      </c>
      <c r="N3736" s="2" t="s">
        <v>19125</v>
      </c>
      <c r="O3736" s="2" t="s">
        <v>869</v>
      </c>
      <c r="P3736" s="2" t="s">
        <v>870</v>
      </c>
    </row>
    <row r="3737" ht="15.75" customHeight="1">
      <c r="H3737" s="2" t="s">
        <v>19126</v>
      </c>
      <c r="I3737" s="2" t="s">
        <v>19127</v>
      </c>
      <c r="J3737" s="2" t="s">
        <v>19128</v>
      </c>
      <c r="K3737" s="2" t="s">
        <v>963</v>
      </c>
      <c r="L3737" s="2" t="s">
        <v>18345</v>
      </c>
      <c r="M3737" s="2" t="s">
        <v>19129</v>
      </c>
      <c r="N3737" s="2" t="s">
        <v>19130</v>
      </c>
      <c r="O3737" s="2" t="s">
        <v>869</v>
      </c>
      <c r="P3737" s="2" t="s">
        <v>870</v>
      </c>
    </row>
    <row r="3738" ht="15.75" customHeight="1">
      <c r="H3738" s="2" t="s">
        <v>19131</v>
      </c>
      <c r="I3738" s="2" t="s">
        <v>19132</v>
      </c>
      <c r="J3738" s="2" t="s">
        <v>19133</v>
      </c>
      <c r="L3738" s="2" t="s">
        <v>18345</v>
      </c>
      <c r="M3738" s="2" t="s">
        <v>19134</v>
      </c>
      <c r="N3738" s="2" t="s">
        <v>19135</v>
      </c>
      <c r="O3738" s="2" t="s">
        <v>869</v>
      </c>
      <c r="P3738" s="2" t="s">
        <v>870</v>
      </c>
    </row>
    <row r="3739" ht="15.75" customHeight="1">
      <c r="H3739" s="2" t="s">
        <v>19136</v>
      </c>
      <c r="I3739" s="2" t="s">
        <v>19137</v>
      </c>
      <c r="J3739" s="2" t="s">
        <v>19138</v>
      </c>
      <c r="K3739" s="2" t="s">
        <v>1297</v>
      </c>
      <c r="L3739" s="2" t="s">
        <v>18345</v>
      </c>
      <c r="M3739" s="2" t="s">
        <v>19139</v>
      </c>
      <c r="N3739" s="2" t="s">
        <v>19140</v>
      </c>
      <c r="O3739" s="2" t="s">
        <v>869</v>
      </c>
      <c r="P3739" s="2" t="s">
        <v>870</v>
      </c>
    </row>
    <row r="3740" ht="15.75" customHeight="1">
      <c r="H3740" s="2" t="s">
        <v>19141</v>
      </c>
      <c r="I3740" s="2" t="s">
        <v>19142</v>
      </c>
      <c r="J3740" s="2" t="s">
        <v>19143</v>
      </c>
      <c r="K3740" s="2" t="s">
        <v>1551</v>
      </c>
      <c r="L3740" s="2" t="s">
        <v>18345</v>
      </c>
      <c r="M3740" s="2" t="s">
        <v>19144</v>
      </c>
      <c r="N3740" s="2" t="s">
        <v>19145</v>
      </c>
      <c r="O3740" s="2" t="s">
        <v>869</v>
      </c>
      <c r="P3740" s="2" t="s">
        <v>870</v>
      </c>
    </row>
    <row r="3741" ht="15.75" customHeight="1">
      <c r="H3741" s="2" t="s">
        <v>19146</v>
      </c>
      <c r="I3741" s="2" t="s">
        <v>19147</v>
      </c>
      <c r="J3741" s="2" t="s">
        <v>19148</v>
      </c>
      <c r="K3741" s="2" t="s">
        <v>1007</v>
      </c>
      <c r="L3741" s="2" t="s">
        <v>18345</v>
      </c>
      <c r="M3741" s="2" t="s">
        <v>19149</v>
      </c>
      <c r="N3741" s="2" t="s">
        <v>19150</v>
      </c>
      <c r="O3741" s="2" t="s">
        <v>869</v>
      </c>
      <c r="P3741" s="2" t="s">
        <v>870</v>
      </c>
    </row>
    <row r="3742" ht="15.75" customHeight="1">
      <c r="H3742" s="2" t="s">
        <v>19151</v>
      </c>
      <c r="I3742" s="2" t="s">
        <v>19152</v>
      </c>
      <c r="J3742" s="2" t="s">
        <v>19153</v>
      </c>
      <c r="K3742" s="2" t="s">
        <v>283</v>
      </c>
      <c r="L3742" s="2" t="s">
        <v>18345</v>
      </c>
      <c r="M3742" s="2" t="s">
        <v>1942</v>
      </c>
      <c r="N3742" s="2" t="s">
        <v>19154</v>
      </c>
      <c r="O3742" s="2" t="s">
        <v>869</v>
      </c>
      <c r="P3742" s="2" t="s">
        <v>870</v>
      </c>
    </row>
    <row r="3743" ht="15.75" customHeight="1">
      <c r="H3743" s="2" t="s">
        <v>19155</v>
      </c>
      <c r="I3743" s="2" t="s">
        <v>7440</v>
      </c>
      <c r="J3743" s="2" t="s">
        <v>7441</v>
      </c>
      <c r="K3743" s="2" t="s">
        <v>912</v>
      </c>
      <c r="L3743" s="2" t="s">
        <v>18345</v>
      </c>
      <c r="M3743" s="2" t="s">
        <v>19156</v>
      </c>
      <c r="N3743" s="2" t="s">
        <v>19157</v>
      </c>
      <c r="O3743" s="2" t="s">
        <v>869</v>
      </c>
      <c r="P3743" s="2" t="s">
        <v>870</v>
      </c>
    </row>
    <row r="3744" ht="15.75" customHeight="1">
      <c r="H3744" s="2" t="s">
        <v>19158</v>
      </c>
      <c r="I3744" s="2" t="s">
        <v>1000</v>
      </c>
      <c r="J3744" s="2" t="s">
        <v>1001</v>
      </c>
      <c r="K3744" s="2" t="s">
        <v>900</v>
      </c>
      <c r="L3744" s="2" t="s">
        <v>18345</v>
      </c>
      <c r="M3744" s="2" t="s">
        <v>19159</v>
      </c>
      <c r="N3744" s="2" t="s">
        <v>19160</v>
      </c>
      <c r="O3744" s="2" t="s">
        <v>869</v>
      </c>
      <c r="P3744" s="2" t="s">
        <v>870</v>
      </c>
    </row>
    <row r="3745" ht="15.75" customHeight="1">
      <c r="H3745" s="2" t="s">
        <v>19161</v>
      </c>
      <c r="I3745" s="2" t="s">
        <v>267</v>
      </c>
      <c r="J3745" s="2" t="s">
        <v>268</v>
      </c>
      <c r="K3745" s="2" t="s">
        <v>924</v>
      </c>
      <c r="L3745" s="2" t="s">
        <v>19162</v>
      </c>
      <c r="M3745" s="2" t="s">
        <v>19163</v>
      </c>
      <c r="N3745" s="2" t="s">
        <v>19164</v>
      </c>
      <c r="O3745" s="2" t="s">
        <v>869</v>
      </c>
      <c r="P3745" s="2" t="s">
        <v>870</v>
      </c>
    </row>
    <row r="3746" ht="15.75" customHeight="1">
      <c r="H3746" s="2" t="s">
        <v>19165</v>
      </c>
      <c r="I3746" s="2" t="s">
        <v>19166</v>
      </c>
      <c r="J3746" s="2" t="s">
        <v>19167</v>
      </c>
      <c r="K3746" s="2" t="s">
        <v>1567</v>
      </c>
      <c r="L3746" s="2" t="s">
        <v>18345</v>
      </c>
      <c r="M3746" s="2" t="s">
        <v>19168</v>
      </c>
      <c r="N3746" s="2" t="s">
        <v>19169</v>
      </c>
      <c r="O3746" s="2" t="s">
        <v>869</v>
      </c>
      <c r="P3746" s="2" t="s">
        <v>870</v>
      </c>
    </row>
    <row r="3747" ht="15.75" customHeight="1">
      <c r="H3747" s="2" t="s">
        <v>19170</v>
      </c>
      <c r="I3747" s="2" t="s">
        <v>19171</v>
      </c>
      <c r="J3747" s="2" t="s">
        <v>19172</v>
      </c>
      <c r="K3747" s="2" t="s">
        <v>2737</v>
      </c>
      <c r="L3747" s="2" t="s">
        <v>18345</v>
      </c>
      <c r="M3747" s="2" t="s">
        <v>19173</v>
      </c>
      <c r="N3747" s="2" t="s">
        <v>19174</v>
      </c>
      <c r="O3747" s="2" t="s">
        <v>869</v>
      </c>
      <c r="P3747" s="2" t="s">
        <v>870</v>
      </c>
    </row>
    <row r="3748" ht="15.75" customHeight="1">
      <c r="H3748" s="2" t="s">
        <v>19175</v>
      </c>
      <c r="I3748" s="2" t="s">
        <v>19176</v>
      </c>
      <c r="J3748" s="2" t="s">
        <v>19177</v>
      </c>
      <c r="K3748" s="2" t="s">
        <v>1569</v>
      </c>
      <c r="L3748" s="2" t="s">
        <v>18345</v>
      </c>
      <c r="M3748" s="2" t="s">
        <v>19178</v>
      </c>
      <c r="N3748" s="2" t="s">
        <v>19179</v>
      </c>
      <c r="O3748" s="2" t="s">
        <v>869</v>
      </c>
      <c r="P3748" s="2" t="s">
        <v>870</v>
      </c>
    </row>
    <row r="3749" ht="15.75" customHeight="1">
      <c r="H3749" s="2" t="s">
        <v>19180</v>
      </c>
      <c r="I3749" s="2" t="s">
        <v>19181</v>
      </c>
      <c r="J3749" s="2" t="s">
        <v>19182</v>
      </c>
      <c r="L3749" s="2" t="s">
        <v>18345</v>
      </c>
      <c r="M3749" s="2" t="s">
        <v>19183</v>
      </c>
      <c r="N3749" s="2" t="s">
        <v>19184</v>
      </c>
      <c r="O3749" s="2" t="s">
        <v>869</v>
      </c>
      <c r="P3749" s="2" t="s">
        <v>870</v>
      </c>
    </row>
    <row r="3750" ht="15.75" customHeight="1">
      <c r="H3750" s="2" t="s">
        <v>19185</v>
      </c>
      <c r="I3750" s="2" t="s">
        <v>5378</v>
      </c>
      <c r="J3750" s="2" t="s">
        <v>5379</v>
      </c>
      <c r="K3750" s="2" t="s">
        <v>2551</v>
      </c>
      <c r="L3750" s="2" t="s">
        <v>18345</v>
      </c>
      <c r="M3750" s="2" t="s">
        <v>19186</v>
      </c>
      <c r="N3750" s="2" t="s">
        <v>19187</v>
      </c>
      <c r="O3750" s="2" t="s">
        <v>869</v>
      </c>
      <c r="P3750" s="2" t="s">
        <v>870</v>
      </c>
    </row>
    <row r="3751" ht="15.75" customHeight="1">
      <c r="H3751" s="2" t="s">
        <v>19188</v>
      </c>
      <c r="I3751" s="2" t="s">
        <v>1950</v>
      </c>
      <c r="J3751" s="2" t="s">
        <v>1951</v>
      </c>
      <c r="K3751" s="2" t="s">
        <v>1952</v>
      </c>
      <c r="L3751" s="2" t="s">
        <v>18345</v>
      </c>
      <c r="M3751" s="2" t="s">
        <v>19189</v>
      </c>
      <c r="N3751" s="2" t="s">
        <v>19190</v>
      </c>
      <c r="O3751" s="2" t="s">
        <v>869</v>
      </c>
      <c r="P3751" s="2" t="s">
        <v>870</v>
      </c>
    </row>
    <row r="3752" ht="15.75" customHeight="1">
      <c r="H3752" s="2" t="s">
        <v>19191</v>
      </c>
      <c r="I3752" s="2" t="s">
        <v>19192</v>
      </c>
      <c r="J3752" s="2" t="s">
        <v>19193</v>
      </c>
      <c r="K3752" s="2" t="s">
        <v>2223</v>
      </c>
      <c r="L3752" s="2" t="s">
        <v>18345</v>
      </c>
      <c r="M3752" s="2" t="s">
        <v>19194</v>
      </c>
      <c r="N3752" s="2" t="s">
        <v>19195</v>
      </c>
      <c r="O3752" s="2" t="s">
        <v>869</v>
      </c>
      <c r="P3752" s="2" t="s">
        <v>870</v>
      </c>
    </row>
    <row r="3753" ht="15.75" customHeight="1">
      <c r="H3753" s="2" t="s">
        <v>19196</v>
      </c>
      <c r="I3753" s="2" t="s">
        <v>19197</v>
      </c>
      <c r="J3753" s="2" t="s">
        <v>19198</v>
      </c>
      <c r="K3753" s="2" t="s">
        <v>1157</v>
      </c>
      <c r="L3753" s="2" t="s">
        <v>18345</v>
      </c>
      <c r="M3753" s="2" t="s">
        <v>19199</v>
      </c>
      <c r="N3753" s="2" t="s">
        <v>19200</v>
      </c>
      <c r="O3753" s="2" t="s">
        <v>869</v>
      </c>
      <c r="P3753" s="2" t="s">
        <v>870</v>
      </c>
    </row>
    <row r="3754" ht="15.75" customHeight="1">
      <c r="H3754" s="2" t="s">
        <v>19201</v>
      </c>
      <c r="I3754" s="2" t="s">
        <v>19202</v>
      </c>
      <c r="J3754" s="2" t="s">
        <v>19203</v>
      </c>
      <c r="K3754" s="2" t="s">
        <v>2171</v>
      </c>
      <c r="L3754" s="2" t="s">
        <v>18345</v>
      </c>
      <c r="M3754" s="2" t="s">
        <v>19204</v>
      </c>
      <c r="N3754" s="2" t="s">
        <v>19205</v>
      </c>
      <c r="O3754" s="2" t="s">
        <v>869</v>
      </c>
      <c r="P3754" s="2" t="s">
        <v>870</v>
      </c>
    </row>
    <row r="3755" ht="15.75" customHeight="1">
      <c r="H3755" s="2" t="s">
        <v>19206</v>
      </c>
      <c r="I3755" s="2" t="s">
        <v>19207</v>
      </c>
      <c r="J3755" s="2" t="s">
        <v>19208</v>
      </c>
      <c r="L3755" s="2" t="s">
        <v>18345</v>
      </c>
      <c r="M3755" s="2" t="s">
        <v>19209</v>
      </c>
      <c r="N3755" s="2" t="s">
        <v>19210</v>
      </c>
      <c r="O3755" s="2" t="s">
        <v>869</v>
      </c>
      <c r="P3755" s="2" t="s">
        <v>870</v>
      </c>
    </row>
    <row r="3756" ht="15.75" customHeight="1">
      <c r="H3756" s="2" t="s">
        <v>19211</v>
      </c>
      <c r="I3756" s="2" t="s">
        <v>19212</v>
      </c>
      <c r="J3756" s="2" t="s">
        <v>19213</v>
      </c>
      <c r="K3756" s="2" t="s">
        <v>4429</v>
      </c>
      <c r="L3756" s="2" t="s">
        <v>18345</v>
      </c>
      <c r="M3756" s="2" t="s">
        <v>19214</v>
      </c>
      <c r="N3756" s="2" t="s">
        <v>19215</v>
      </c>
      <c r="O3756" s="2" t="s">
        <v>869</v>
      </c>
      <c r="P3756" s="2" t="s">
        <v>870</v>
      </c>
    </row>
    <row r="3757" ht="15.75" customHeight="1">
      <c r="H3757" s="2" t="s">
        <v>19216</v>
      </c>
      <c r="I3757" s="2" t="s">
        <v>19217</v>
      </c>
      <c r="J3757" s="2" t="s">
        <v>19218</v>
      </c>
      <c r="K3757" s="2" t="s">
        <v>1439</v>
      </c>
      <c r="L3757" s="2" t="s">
        <v>18345</v>
      </c>
      <c r="M3757" s="2" t="s">
        <v>19168</v>
      </c>
      <c r="N3757" s="2" t="s">
        <v>19219</v>
      </c>
      <c r="O3757" s="2" t="s">
        <v>869</v>
      </c>
      <c r="P3757" s="2" t="s">
        <v>870</v>
      </c>
    </row>
    <row r="3758" ht="15.75" customHeight="1">
      <c r="H3758" s="2" t="s">
        <v>19220</v>
      </c>
      <c r="I3758" s="2" t="s">
        <v>19221</v>
      </c>
      <c r="J3758" s="2" t="s">
        <v>19222</v>
      </c>
      <c r="K3758" s="2" t="s">
        <v>3298</v>
      </c>
      <c r="L3758" s="2" t="s">
        <v>18345</v>
      </c>
      <c r="M3758" s="2" t="s">
        <v>19223</v>
      </c>
      <c r="N3758" s="2" t="s">
        <v>19224</v>
      </c>
      <c r="O3758" s="2" t="s">
        <v>869</v>
      </c>
      <c r="P3758" s="2" t="s">
        <v>870</v>
      </c>
    </row>
    <row r="3759" ht="15.75" customHeight="1">
      <c r="H3759" s="2" t="s">
        <v>19225</v>
      </c>
      <c r="I3759" s="2" t="s">
        <v>19226</v>
      </c>
      <c r="J3759" s="2" t="s">
        <v>19227</v>
      </c>
      <c r="K3759" s="2" t="s">
        <v>2585</v>
      </c>
      <c r="L3759" s="2" t="s">
        <v>18345</v>
      </c>
      <c r="M3759" s="2" t="s">
        <v>19228</v>
      </c>
      <c r="N3759" s="2" t="s">
        <v>19229</v>
      </c>
      <c r="O3759" s="2" t="s">
        <v>869</v>
      </c>
      <c r="P3759" s="2" t="s">
        <v>870</v>
      </c>
    </row>
    <row r="3760" ht="15.75" customHeight="1">
      <c r="H3760" s="2" t="s">
        <v>19230</v>
      </c>
      <c r="I3760" s="2" t="s">
        <v>1963</v>
      </c>
      <c r="J3760" s="2" t="s">
        <v>1964</v>
      </c>
      <c r="K3760" s="2" t="s">
        <v>1049</v>
      </c>
      <c r="L3760" s="2" t="s">
        <v>18345</v>
      </c>
      <c r="M3760" s="2" t="s">
        <v>1965</v>
      </c>
      <c r="N3760" s="2" t="s">
        <v>19231</v>
      </c>
      <c r="O3760" s="2" t="s">
        <v>869</v>
      </c>
      <c r="P3760" s="2" t="s">
        <v>870</v>
      </c>
    </row>
    <row r="3761" ht="15.75" customHeight="1">
      <c r="H3761" s="2" t="s">
        <v>19232</v>
      </c>
      <c r="I3761" s="2" t="s">
        <v>19233</v>
      </c>
      <c r="J3761" s="2" t="s">
        <v>19234</v>
      </c>
      <c r="K3761" s="2" t="s">
        <v>1624</v>
      </c>
      <c r="L3761" s="2" t="s">
        <v>18345</v>
      </c>
      <c r="M3761" s="2" t="s">
        <v>19235</v>
      </c>
      <c r="N3761" s="2" t="s">
        <v>19236</v>
      </c>
      <c r="O3761" s="2" t="s">
        <v>869</v>
      </c>
      <c r="P3761" s="2" t="s">
        <v>870</v>
      </c>
    </row>
    <row r="3762" ht="15.75" customHeight="1">
      <c r="H3762" s="2" t="s">
        <v>19237</v>
      </c>
      <c r="I3762" s="2" t="s">
        <v>19238</v>
      </c>
      <c r="J3762" s="2" t="s">
        <v>19239</v>
      </c>
      <c r="K3762" s="2" t="s">
        <v>5089</v>
      </c>
      <c r="L3762" s="2" t="s">
        <v>18345</v>
      </c>
      <c r="M3762" s="2" t="s">
        <v>19240</v>
      </c>
      <c r="N3762" s="2" t="s">
        <v>19241</v>
      </c>
      <c r="O3762" s="2" t="s">
        <v>869</v>
      </c>
      <c r="P3762" s="2" t="s">
        <v>870</v>
      </c>
    </row>
    <row r="3763" ht="15.75" customHeight="1">
      <c r="H3763" s="2" t="s">
        <v>19242</v>
      </c>
      <c r="I3763" s="2" t="s">
        <v>19243</v>
      </c>
      <c r="J3763" s="2" t="s">
        <v>19244</v>
      </c>
      <c r="K3763" s="2" t="s">
        <v>3309</v>
      </c>
      <c r="L3763" s="2" t="s">
        <v>18345</v>
      </c>
      <c r="M3763" s="2" t="s">
        <v>19245</v>
      </c>
      <c r="N3763" s="2" t="s">
        <v>19246</v>
      </c>
      <c r="O3763" s="2" t="s">
        <v>869</v>
      </c>
      <c r="P3763" s="2" t="s">
        <v>870</v>
      </c>
    </row>
    <row r="3764" ht="15.75" customHeight="1">
      <c r="H3764" s="2" t="s">
        <v>19247</v>
      </c>
      <c r="I3764" s="2" t="s">
        <v>2001</v>
      </c>
      <c r="J3764" s="2" t="s">
        <v>2002</v>
      </c>
      <c r="K3764" s="2" t="s">
        <v>2003</v>
      </c>
      <c r="L3764" s="2" t="s">
        <v>18345</v>
      </c>
      <c r="M3764" s="2" t="s">
        <v>19248</v>
      </c>
      <c r="N3764" s="2" t="s">
        <v>19249</v>
      </c>
      <c r="O3764" s="2" t="s">
        <v>869</v>
      </c>
      <c r="P3764" s="2" t="s">
        <v>870</v>
      </c>
    </row>
    <row r="3765" ht="15.75" customHeight="1">
      <c r="H3765" s="2" t="s">
        <v>19250</v>
      </c>
      <c r="I3765" s="2" t="s">
        <v>19251</v>
      </c>
      <c r="J3765" s="2" t="s">
        <v>19252</v>
      </c>
      <c r="K3765" s="2" t="s">
        <v>2236</v>
      </c>
      <c r="L3765" s="2" t="s">
        <v>18345</v>
      </c>
      <c r="M3765" s="2" t="s">
        <v>19253</v>
      </c>
      <c r="N3765" s="2" t="s">
        <v>19254</v>
      </c>
      <c r="O3765" s="2" t="s">
        <v>869</v>
      </c>
      <c r="P3765" s="2" t="s">
        <v>870</v>
      </c>
    </row>
    <row r="3766" ht="15.75" customHeight="1">
      <c r="H3766" s="2" t="s">
        <v>19255</v>
      </c>
      <c r="I3766" s="2" t="s">
        <v>19256</v>
      </c>
      <c r="J3766" s="2" t="s">
        <v>19257</v>
      </c>
      <c r="K3766" s="2" t="s">
        <v>1264</v>
      </c>
      <c r="L3766" s="2" t="s">
        <v>18345</v>
      </c>
      <c r="M3766" s="2" t="s">
        <v>19258</v>
      </c>
      <c r="N3766" s="2" t="s">
        <v>19259</v>
      </c>
      <c r="O3766" s="2" t="s">
        <v>869</v>
      </c>
      <c r="P3766" s="2" t="s">
        <v>870</v>
      </c>
    </row>
    <row r="3767" ht="15.75" customHeight="1">
      <c r="H3767" s="2" t="s">
        <v>19260</v>
      </c>
      <c r="I3767" s="2" t="s">
        <v>5392</v>
      </c>
      <c r="J3767" s="2" t="s">
        <v>5393</v>
      </c>
      <c r="K3767" s="2" t="s">
        <v>1672</v>
      </c>
      <c r="L3767" s="2" t="s">
        <v>18345</v>
      </c>
      <c r="M3767" s="2" t="s">
        <v>19261</v>
      </c>
      <c r="N3767" s="2" t="s">
        <v>19262</v>
      </c>
      <c r="O3767" s="2" t="s">
        <v>869</v>
      </c>
      <c r="P3767" s="2" t="s">
        <v>870</v>
      </c>
    </row>
    <row r="3768" ht="15.75" customHeight="1">
      <c r="H3768" s="2" t="s">
        <v>19263</v>
      </c>
      <c r="I3768" s="2" t="s">
        <v>19264</v>
      </c>
      <c r="J3768" s="2" t="s">
        <v>19265</v>
      </c>
      <c r="K3768" s="2" t="s">
        <v>2269</v>
      </c>
      <c r="L3768" s="2" t="s">
        <v>18345</v>
      </c>
      <c r="M3768" s="2" t="s">
        <v>19266</v>
      </c>
      <c r="N3768" s="2" t="s">
        <v>19267</v>
      </c>
      <c r="O3768" s="2" t="s">
        <v>869</v>
      </c>
      <c r="P3768" s="2" t="s">
        <v>870</v>
      </c>
    </row>
    <row r="3769" ht="15.75" customHeight="1">
      <c r="H3769" s="2" t="s">
        <v>19268</v>
      </c>
      <c r="I3769" s="2" t="s">
        <v>19269</v>
      </c>
      <c r="J3769" s="2" t="s">
        <v>19270</v>
      </c>
      <c r="K3769" s="2" t="s">
        <v>1692</v>
      </c>
      <c r="L3769" s="2" t="s">
        <v>18345</v>
      </c>
      <c r="M3769" s="2" t="s">
        <v>19271</v>
      </c>
      <c r="N3769" s="2" t="s">
        <v>19272</v>
      </c>
      <c r="O3769" s="2" t="s">
        <v>869</v>
      </c>
      <c r="P3769" s="2" t="s">
        <v>870</v>
      </c>
    </row>
    <row r="3770" ht="15.75" customHeight="1">
      <c r="H3770" s="2" t="s">
        <v>19273</v>
      </c>
      <c r="I3770" s="2" t="s">
        <v>19274</v>
      </c>
      <c r="J3770" s="2" t="s">
        <v>19275</v>
      </c>
      <c r="K3770" s="2" t="s">
        <v>5927</v>
      </c>
      <c r="L3770" s="2" t="s">
        <v>18345</v>
      </c>
      <c r="M3770" s="2" t="s">
        <v>19276</v>
      </c>
      <c r="N3770" s="2" t="s">
        <v>19277</v>
      </c>
      <c r="O3770" s="2" t="s">
        <v>869</v>
      </c>
      <c r="P3770" s="2" t="s">
        <v>870</v>
      </c>
    </row>
    <row r="3771" ht="15.75" customHeight="1">
      <c r="H3771" s="2" t="s">
        <v>19278</v>
      </c>
      <c r="I3771" s="2" t="s">
        <v>19279</v>
      </c>
      <c r="J3771" s="2" t="s">
        <v>19280</v>
      </c>
      <c r="K3771" s="2" t="s">
        <v>12454</v>
      </c>
      <c r="L3771" s="2" t="s">
        <v>18345</v>
      </c>
      <c r="M3771" s="2" t="s">
        <v>19281</v>
      </c>
      <c r="N3771" s="2" t="s">
        <v>19282</v>
      </c>
      <c r="O3771" s="2" t="s">
        <v>869</v>
      </c>
      <c r="P3771" s="2" t="s">
        <v>870</v>
      </c>
    </row>
    <row r="3772" ht="15.75" customHeight="1">
      <c r="H3772" s="2" t="s">
        <v>19283</v>
      </c>
      <c r="I3772" s="2" t="s">
        <v>19284</v>
      </c>
      <c r="J3772" s="2" t="s">
        <v>19285</v>
      </c>
      <c r="K3772" s="2" t="s">
        <v>19286</v>
      </c>
      <c r="L3772" s="2" t="s">
        <v>18345</v>
      </c>
      <c r="M3772" s="2" t="s">
        <v>19287</v>
      </c>
      <c r="N3772" s="2" t="s">
        <v>19288</v>
      </c>
      <c r="O3772" s="2" t="s">
        <v>869</v>
      </c>
      <c r="P3772" s="2" t="s">
        <v>870</v>
      </c>
    </row>
    <row r="3773" ht="15.75" customHeight="1">
      <c r="H3773" s="2" t="s">
        <v>19289</v>
      </c>
      <c r="I3773" s="2" t="s">
        <v>19290</v>
      </c>
      <c r="J3773" s="2" t="s">
        <v>19291</v>
      </c>
      <c r="K3773" s="2" t="s">
        <v>13302</v>
      </c>
      <c r="L3773" s="2" t="s">
        <v>18345</v>
      </c>
      <c r="M3773" s="2" t="s">
        <v>19292</v>
      </c>
      <c r="N3773" s="2" t="s">
        <v>19293</v>
      </c>
      <c r="O3773" s="2" t="s">
        <v>869</v>
      </c>
      <c r="P3773" s="2" t="s">
        <v>870</v>
      </c>
    </row>
    <row r="3774" ht="15.75" customHeight="1">
      <c r="H3774" s="2" t="s">
        <v>19294</v>
      </c>
      <c r="I3774" s="2" t="s">
        <v>19295</v>
      </c>
      <c r="J3774" s="2" t="s">
        <v>19296</v>
      </c>
      <c r="L3774" s="2" t="s">
        <v>18345</v>
      </c>
      <c r="M3774" s="2" t="s">
        <v>19297</v>
      </c>
      <c r="N3774" s="2" t="s">
        <v>869</v>
      </c>
      <c r="O3774" s="2" t="s">
        <v>870</v>
      </c>
    </row>
    <row r="3775" ht="15.75" customHeight="1">
      <c r="H3775" s="2" t="s">
        <v>19298</v>
      </c>
      <c r="I3775" s="2" t="s">
        <v>19299</v>
      </c>
      <c r="J3775" s="2" t="s">
        <v>19300</v>
      </c>
      <c r="K3775" s="2" t="s">
        <v>12273</v>
      </c>
      <c r="L3775" s="2" t="s">
        <v>18345</v>
      </c>
      <c r="M3775" s="2" t="s">
        <v>19301</v>
      </c>
      <c r="N3775" s="2" t="s">
        <v>19302</v>
      </c>
      <c r="O3775" s="2" t="s">
        <v>869</v>
      </c>
      <c r="P3775" s="2" t="s">
        <v>870</v>
      </c>
    </row>
    <row r="3776" ht="15.75" customHeight="1">
      <c r="F3776" s="2" t="s">
        <v>274</v>
      </c>
      <c r="H3776" s="2" t="s">
        <v>19303</v>
      </c>
      <c r="I3776" s="2" t="s">
        <v>276</v>
      </c>
      <c r="J3776" s="2" t="s">
        <v>276</v>
      </c>
      <c r="K3776" s="2" t="s">
        <v>277</v>
      </c>
    </row>
    <row r="3777" ht="15.75" customHeight="1">
      <c r="H3777" s="2" t="s">
        <v>19304</v>
      </c>
      <c r="I3777" s="2" t="s">
        <v>19305</v>
      </c>
      <c r="J3777" s="2" t="s">
        <v>19306</v>
      </c>
      <c r="K3777" s="2" t="s">
        <v>1878</v>
      </c>
    </row>
    <row r="3778" ht="15.75" customHeight="1">
      <c r="H3778" s="2" t="s">
        <v>19307</v>
      </c>
      <c r="I3778" s="2" t="s">
        <v>7676</v>
      </c>
      <c r="J3778" s="2" t="s">
        <v>7676</v>
      </c>
      <c r="K3778" s="2" t="s">
        <v>886</v>
      </c>
    </row>
    <row r="3779" ht="15.75" customHeight="1">
      <c r="H3779" s="2" t="s">
        <v>19308</v>
      </c>
      <c r="I3779" s="2" t="s">
        <v>7681</v>
      </c>
      <c r="J3779" s="2" t="s">
        <v>7681</v>
      </c>
      <c r="K3779" s="2" t="s">
        <v>1007</v>
      </c>
    </row>
    <row r="3780" ht="15.75" customHeight="1">
      <c r="H3780" s="2" t="s">
        <v>19309</v>
      </c>
      <c r="I3780" s="2" t="s">
        <v>7683</v>
      </c>
      <c r="J3780" s="2" t="s">
        <v>7683</v>
      </c>
      <c r="K3780" s="2" t="s">
        <v>896</v>
      </c>
    </row>
    <row r="3781" ht="15.75" customHeight="1">
      <c r="H3781" s="2" t="s">
        <v>19310</v>
      </c>
      <c r="I3781" s="2" t="s">
        <v>282</v>
      </c>
      <c r="J3781" s="2" t="s">
        <v>282</v>
      </c>
      <c r="K3781" s="2" t="s">
        <v>283</v>
      </c>
    </row>
    <row r="3782" ht="15.75" customHeight="1">
      <c r="F3782" s="2" t="s">
        <v>284</v>
      </c>
      <c r="H3782" s="2" t="s">
        <v>19311</v>
      </c>
      <c r="I3782" s="2" t="s">
        <v>19312</v>
      </c>
      <c r="J3782" s="2" t="s">
        <v>19313</v>
      </c>
      <c r="K3782" s="2" t="s">
        <v>859</v>
      </c>
      <c r="L3782" s="2" t="s">
        <v>18345</v>
      </c>
      <c r="M3782" s="2" t="s">
        <v>19314</v>
      </c>
      <c r="N3782" s="2" t="s">
        <v>19315</v>
      </c>
      <c r="O3782" s="2" t="s">
        <v>869</v>
      </c>
      <c r="P3782" s="2" t="s">
        <v>870</v>
      </c>
    </row>
    <row r="3783" ht="15.75" customHeight="1">
      <c r="H3783" s="2" t="s">
        <v>19316</v>
      </c>
      <c r="I3783" s="2" t="s">
        <v>19317</v>
      </c>
      <c r="J3783" s="2" t="s">
        <v>19318</v>
      </c>
      <c r="K3783" s="2" t="s">
        <v>861</v>
      </c>
      <c r="L3783" s="2" t="s">
        <v>18345</v>
      </c>
      <c r="M3783" s="2" t="s">
        <v>19319</v>
      </c>
      <c r="N3783" s="2" t="s">
        <v>19320</v>
      </c>
      <c r="O3783" s="2" t="s">
        <v>869</v>
      </c>
      <c r="P3783" s="2" t="s">
        <v>870</v>
      </c>
    </row>
    <row r="3784" ht="15.75" customHeight="1">
      <c r="H3784" s="2" t="s">
        <v>19321</v>
      </c>
      <c r="I3784" s="2" t="s">
        <v>19322</v>
      </c>
      <c r="J3784" s="2" t="s">
        <v>19323</v>
      </c>
      <c r="K3784" s="2" t="s">
        <v>1362</v>
      </c>
      <c r="L3784" s="2" t="s">
        <v>18345</v>
      </c>
      <c r="M3784" s="2" t="s">
        <v>19324</v>
      </c>
      <c r="N3784" s="2" t="s">
        <v>19325</v>
      </c>
      <c r="O3784" s="2" t="s">
        <v>869</v>
      </c>
      <c r="P3784" s="2" t="s">
        <v>870</v>
      </c>
    </row>
    <row r="3785" ht="15.75" customHeight="1">
      <c r="H3785" s="2" t="s">
        <v>19326</v>
      </c>
      <c r="I3785" s="2" t="s">
        <v>16894</v>
      </c>
      <c r="J3785" s="2" t="s">
        <v>16895</v>
      </c>
      <c r="K3785" s="2" t="s">
        <v>947</v>
      </c>
      <c r="L3785" s="2" t="s">
        <v>18345</v>
      </c>
      <c r="M3785" s="2" t="s">
        <v>19327</v>
      </c>
      <c r="N3785" s="2" t="s">
        <v>19328</v>
      </c>
      <c r="O3785" s="2" t="s">
        <v>869</v>
      </c>
      <c r="P3785" s="2" t="s">
        <v>870</v>
      </c>
    </row>
    <row r="3786" ht="15.75" customHeight="1">
      <c r="H3786" s="2" t="s">
        <v>19329</v>
      </c>
      <c r="I3786" s="2" t="s">
        <v>19330</v>
      </c>
      <c r="J3786" s="2" t="s">
        <v>19331</v>
      </c>
      <c r="K3786" s="2" t="s">
        <v>1567</v>
      </c>
      <c r="L3786" s="2" t="s">
        <v>18345</v>
      </c>
      <c r="M3786" s="2" t="s">
        <v>19332</v>
      </c>
      <c r="N3786" s="2" t="s">
        <v>19333</v>
      </c>
      <c r="O3786" s="2" t="s">
        <v>869</v>
      </c>
      <c r="P3786" s="2" t="s">
        <v>870</v>
      </c>
    </row>
    <row r="3787" ht="15.75" customHeight="1">
      <c r="H3787" s="2" t="s">
        <v>19334</v>
      </c>
      <c r="I3787" s="2" t="s">
        <v>19335</v>
      </c>
      <c r="J3787" s="2" t="s">
        <v>19336</v>
      </c>
      <c r="K3787" s="2" t="s">
        <v>1878</v>
      </c>
      <c r="L3787" s="2" t="s">
        <v>18345</v>
      </c>
      <c r="M3787" s="2" t="s">
        <v>19337</v>
      </c>
      <c r="N3787" s="2" t="s">
        <v>19338</v>
      </c>
      <c r="O3787" s="2" t="s">
        <v>869</v>
      </c>
      <c r="P3787" s="2" t="s">
        <v>870</v>
      </c>
    </row>
    <row r="3788" ht="15.75" customHeight="1">
      <c r="H3788" s="2" t="s">
        <v>19339</v>
      </c>
      <c r="I3788" s="2" t="s">
        <v>19340</v>
      </c>
      <c r="J3788" s="2" t="s">
        <v>19341</v>
      </c>
      <c r="L3788" s="2" t="s">
        <v>18345</v>
      </c>
      <c r="M3788" s="2" t="s">
        <v>19342</v>
      </c>
      <c r="N3788" s="2" t="s">
        <v>19343</v>
      </c>
      <c r="O3788" s="2" t="s">
        <v>869</v>
      </c>
      <c r="P3788" s="2" t="s">
        <v>870</v>
      </c>
    </row>
    <row r="3789" ht="15.75" customHeight="1">
      <c r="H3789" s="2" t="s">
        <v>19344</v>
      </c>
      <c r="I3789" s="2" t="s">
        <v>7694</v>
      </c>
      <c r="J3789" s="2" t="s">
        <v>7695</v>
      </c>
      <c r="K3789" s="2" t="s">
        <v>1467</v>
      </c>
      <c r="L3789" s="2" t="s">
        <v>18345</v>
      </c>
      <c r="M3789" s="2" t="s">
        <v>19345</v>
      </c>
      <c r="N3789" s="2" t="s">
        <v>19346</v>
      </c>
      <c r="O3789" s="2" t="s">
        <v>869</v>
      </c>
      <c r="P3789" s="2" t="s">
        <v>870</v>
      </c>
    </row>
    <row r="3790" ht="15.75" customHeight="1">
      <c r="H3790" s="2" t="s">
        <v>19347</v>
      </c>
      <c r="I3790" s="2" t="s">
        <v>19348</v>
      </c>
      <c r="J3790" s="2" t="s">
        <v>19349</v>
      </c>
      <c r="L3790" s="2" t="s">
        <v>18345</v>
      </c>
      <c r="M3790" s="2" t="s">
        <v>19350</v>
      </c>
      <c r="N3790" s="2" t="s">
        <v>19351</v>
      </c>
      <c r="O3790" s="2" t="s">
        <v>869</v>
      </c>
      <c r="P3790" s="2" t="s">
        <v>870</v>
      </c>
    </row>
    <row r="3791" ht="15.75" customHeight="1">
      <c r="H3791" s="2" t="s">
        <v>19352</v>
      </c>
      <c r="I3791" s="2" t="s">
        <v>286</v>
      </c>
      <c r="J3791" s="2" t="s">
        <v>287</v>
      </c>
      <c r="K3791" s="2" t="s">
        <v>1117</v>
      </c>
      <c r="L3791" s="2" t="s">
        <v>18345</v>
      </c>
      <c r="M3791" s="2" t="s">
        <v>19353</v>
      </c>
      <c r="N3791" s="2" t="s">
        <v>19354</v>
      </c>
      <c r="O3791" s="2" t="s">
        <v>869</v>
      </c>
      <c r="P3791" s="2" t="s">
        <v>870</v>
      </c>
    </row>
    <row r="3792" ht="15.75" customHeight="1">
      <c r="H3792" s="2" t="s">
        <v>19355</v>
      </c>
      <c r="I3792" s="2" t="s">
        <v>19356</v>
      </c>
      <c r="J3792" s="2" t="s">
        <v>19357</v>
      </c>
      <c r="K3792" s="2" t="s">
        <v>896</v>
      </c>
      <c r="L3792" s="2" t="s">
        <v>18345</v>
      </c>
      <c r="M3792" s="2" t="s">
        <v>19358</v>
      </c>
      <c r="N3792" s="2" t="s">
        <v>19359</v>
      </c>
      <c r="O3792" s="2" t="s">
        <v>869</v>
      </c>
      <c r="P3792" s="2" t="s">
        <v>870</v>
      </c>
    </row>
    <row r="3793" ht="15.75" customHeight="1">
      <c r="H3793" s="2" t="s">
        <v>19360</v>
      </c>
      <c r="I3793" s="2" t="s">
        <v>19361</v>
      </c>
      <c r="J3793" s="2" t="s">
        <v>19362</v>
      </c>
      <c r="K3793" s="2" t="s">
        <v>1136</v>
      </c>
      <c r="L3793" s="2" t="s">
        <v>18345</v>
      </c>
      <c r="M3793" s="2" t="s">
        <v>19363</v>
      </c>
      <c r="N3793" s="2" t="s">
        <v>19364</v>
      </c>
      <c r="O3793" s="2" t="s">
        <v>869</v>
      </c>
      <c r="P3793" s="2" t="s">
        <v>870</v>
      </c>
    </row>
    <row r="3794" ht="15.75" customHeight="1">
      <c r="H3794" s="2" t="s">
        <v>19365</v>
      </c>
      <c r="I3794" s="2" t="s">
        <v>19366</v>
      </c>
      <c r="J3794" s="2" t="s">
        <v>19367</v>
      </c>
      <c r="K3794" s="2" t="s">
        <v>886</v>
      </c>
      <c r="L3794" s="2" t="s">
        <v>18345</v>
      </c>
      <c r="M3794" s="2" t="s">
        <v>19368</v>
      </c>
      <c r="N3794" s="2" t="s">
        <v>19369</v>
      </c>
      <c r="O3794" s="2" t="s">
        <v>869</v>
      </c>
      <c r="P3794" s="2" t="s">
        <v>870</v>
      </c>
    </row>
    <row r="3795" ht="15.75" customHeight="1">
      <c r="H3795" s="2" t="s">
        <v>19370</v>
      </c>
      <c r="I3795" s="2" t="s">
        <v>19371</v>
      </c>
      <c r="J3795" s="2" t="s">
        <v>19372</v>
      </c>
      <c r="K3795" s="2" t="s">
        <v>2737</v>
      </c>
      <c r="L3795" s="2" t="s">
        <v>18345</v>
      </c>
      <c r="M3795" s="2" t="s">
        <v>19373</v>
      </c>
      <c r="N3795" s="2" t="s">
        <v>19374</v>
      </c>
      <c r="O3795" s="2" t="s">
        <v>869</v>
      </c>
      <c r="P3795" s="2" t="s">
        <v>870</v>
      </c>
    </row>
    <row r="3796" ht="15.75" customHeight="1">
      <c r="H3796" s="2" t="s">
        <v>19375</v>
      </c>
      <c r="I3796" s="2" t="s">
        <v>19376</v>
      </c>
      <c r="J3796" s="2" t="s">
        <v>19377</v>
      </c>
      <c r="K3796" s="2" t="s">
        <v>924</v>
      </c>
      <c r="L3796" s="2" t="s">
        <v>18345</v>
      </c>
      <c r="M3796" s="2" t="s">
        <v>19378</v>
      </c>
      <c r="N3796" s="2" t="s">
        <v>19379</v>
      </c>
      <c r="O3796" s="2" t="s">
        <v>869</v>
      </c>
      <c r="P3796" s="2" t="s">
        <v>870</v>
      </c>
    </row>
    <row r="3797" ht="15.75" customHeight="1">
      <c r="H3797" s="2" t="s">
        <v>19380</v>
      </c>
      <c r="I3797" s="2" t="s">
        <v>12227</v>
      </c>
      <c r="J3797" s="2" t="s">
        <v>12228</v>
      </c>
      <c r="K3797" s="2" t="s">
        <v>283</v>
      </c>
      <c r="L3797" s="2" t="s">
        <v>18345</v>
      </c>
      <c r="M3797" s="2" t="s">
        <v>19381</v>
      </c>
      <c r="N3797" s="2" t="s">
        <v>19382</v>
      </c>
      <c r="O3797" s="2" t="s">
        <v>869</v>
      </c>
      <c r="P3797" s="2" t="s">
        <v>870</v>
      </c>
    </row>
    <row r="3798" ht="15.75" customHeight="1">
      <c r="H3798" s="2" t="s">
        <v>19383</v>
      </c>
      <c r="I3798" s="2" t="s">
        <v>19384</v>
      </c>
      <c r="J3798" s="2" t="s">
        <v>19385</v>
      </c>
      <c r="K3798" s="2" t="s">
        <v>912</v>
      </c>
      <c r="L3798" s="2" t="s">
        <v>18345</v>
      </c>
      <c r="M3798" s="2" t="s">
        <v>19386</v>
      </c>
      <c r="N3798" s="2" t="s">
        <v>19387</v>
      </c>
      <c r="O3798" s="2" t="s">
        <v>869</v>
      </c>
      <c r="P3798" s="2" t="s">
        <v>870</v>
      </c>
    </row>
    <row r="3799" ht="15.75" customHeight="1">
      <c r="H3799" s="2" t="s">
        <v>19388</v>
      </c>
      <c r="I3799" s="2" t="s">
        <v>19389</v>
      </c>
      <c r="J3799" s="2" t="s">
        <v>19390</v>
      </c>
      <c r="K3799" s="2" t="s">
        <v>1975</v>
      </c>
      <c r="L3799" s="2" t="s">
        <v>19391</v>
      </c>
      <c r="M3799" s="2" t="s">
        <v>19392</v>
      </c>
      <c r="N3799" s="2" t="s">
        <v>19393</v>
      </c>
      <c r="O3799" s="2" t="s">
        <v>869</v>
      </c>
      <c r="P3799" s="2" t="s">
        <v>870</v>
      </c>
    </row>
    <row r="3800" ht="15.75" customHeight="1">
      <c r="H3800" s="2" t="s">
        <v>19394</v>
      </c>
      <c r="I3800" s="2" t="s">
        <v>2152</v>
      </c>
      <c r="J3800" s="2" t="s">
        <v>2153</v>
      </c>
      <c r="K3800" s="2" t="s">
        <v>1688</v>
      </c>
      <c r="L3800" s="2" t="s">
        <v>19395</v>
      </c>
      <c r="M3800" s="2" t="s">
        <v>19396</v>
      </c>
      <c r="N3800" s="2" t="s">
        <v>19397</v>
      </c>
      <c r="O3800" s="2" t="s">
        <v>869</v>
      </c>
      <c r="P3800" s="2" t="s">
        <v>870</v>
      </c>
    </row>
    <row r="3801" ht="15.75" customHeight="1">
      <c r="H3801" s="2" t="s">
        <v>19398</v>
      </c>
      <c r="I3801" s="2" t="s">
        <v>19399</v>
      </c>
      <c r="J3801" s="2" t="s">
        <v>19400</v>
      </c>
      <c r="K3801" s="2" t="s">
        <v>1157</v>
      </c>
      <c r="L3801" s="2" t="s">
        <v>18345</v>
      </c>
      <c r="M3801" s="2" t="s">
        <v>19401</v>
      </c>
      <c r="N3801" s="2" t="s">
        <v>19402</v>
      </c>
      <c r="O3801" s="2" t="s">
        <v>869</v>
      </c>
      <c r="P3801" s="2" t="s">
        <v>870</v>
      </c>
    </row>
    <row r="3802" ht="15.75" customHeight="1">
      <c r="H3802" s="2" t="s">
        <v>19403</v>
      </c>
      <c r="I3802" s="2" t="s">
        <v>19404</v>
      </c>
      <c r="J3802" s="2" t="s">
        <v>19405</v>
      </c>
      <c r="K3802" s="2" t="s">
        <v>1038</v>
      </c>
      <c r="L3802" s="2" t="s">
        <v>18345</v>
      </c>
      <c r="M3802" s="2" t="s">
        <v>19406</v>
      </c>
      <c r="N3802" s="2" t="s">
        <v>19407</v>
      </c>
      <c r="O3802" s="2" t="s">
        <v>869</v>
      </c>
      <c r="P3802" s="2" t="s">
        <v>870</v>
      </c>
    </row>
    <row r="3803" ht="15.75" customHeight="1">
      <c r="H3803" s="2" t="s">
        <v>19408</v>
      </c>
      <c r="I3803" s="2" t="s">
        <v>2162</v>
      </c>
      <c r="J3803" s="2" t="s">
        <v>2163</v>
      </c>
      <c r="K3803" s="2" t="s">
        <v>1313</v>
      </c>
      <c r="L3803" s="2" t="s">
        <v>18345</v>
      </c>
      <c r="M3803" s="2" t="s">
        <v>19409</v>
      </c>
      <c r="N3803" s="2" t="s">
        <v>19410</v>
      </c>
      <c r="O3803" s="2" t="s">
        <v>869</v>
      </c>
      <c r="P3803" s="2" t="s">
        <v>870</v>
      </c>
    </row>
    <row r="3804" ht="15.75" customHeight="1">
      <c r="H3804" s="2" t="s">
        <v>19411</v>
      </c>
      <c r="I3804" s="2" t="s">
        <v>310</v>
      </c>
      <c r="J3804" s="2" t="s">
        <v>311</v>
      </c>
      <c r="K3804" s="2" t="s">
        <v>1567</v>
      </c>
      <c r="L3804" s="2" t="s">
        <v>18345</v>
      </c>
      <c r="M3804" s="2" t="s">
        <v>19412</v>
      </c>
      <c r="N3804" s="2" t="s">
        <v>19413</v>
      </c>
      <c r="O3804" s="2" t="s">
        <v>869</v>
      </c>
      <c r="P3804" s="2" t="s">
        <v>870</v>
      </c>
    </row>
    <row r="3805" ht="15.75" customHeight="1">
      <c r="H3805" s="2" t="s">
        <v>19414</v>
      </c>
      <c r="I3805" s="2" t="s">
        <v>5421</v>
      </c>
      <c r="J3805" s="2" t="s">
        <v>5422</v>
      </c>
      <c r="K3805" s="2" t="s">
        <v>4429</v>
      </c>
      <c r="L3805" s="2" t="s">
        <v>19415</v>
      </c>
      <c r="M3805" s="2" t="s">
        <v>19416</v>
      </c>
      <c r="N3805" s="2" t="s">
        <v>19417</v>
      </c>
      <c r="O3805" s="2" t="s">
        <v>869</v>
      </c>
      <c r="P3805" s="2" t="s">
        <v>870</v>
      </c>
    </row>
    <row r="3806" ht="15.75" customHeight="1">
      <c r="H3806" s="2" t="s">
        <v>19418</v>
      </c>
      <c r="I3806" s="2" t="s">
        <v>19419</v>
      </c>
      <c r="J3806" s="2" t="s">
        <v>19420</v>
      </c>
      <c r="K3806" s="2" t="s">
        <v>1181</v>
      </c>
      <c r="L3806" s="2" t="s">
        <v>18345</v>
      </c>
      <c r="M3806" s="2" t="s">
        <v>19421</v>
      </c>
      <c r="N3806" s="2" t="s">
        <v>19422</v>
      </c>
      <c r="O3806" s="2" t="s">
        <v>869</v>
      </c>
      <c r="P3806" s="2" t="s">
        <v>870</v>
      </c>
    </row>
    <row r="3807" ht="15.75" customHeight="1">
      <c r="H3807" s="2" t="s">
        <v>19423</v>
      </c>
      <c r="I3807" s="2" t="s">
        <v>2175</v>
      </c>
      <c r="J3807" s="2" t="s">
        <v>2176</v>
      </c>
      <c r="K3807" s="2" t="s">
        <v>1319</v>
      </c>
      <c r="L3807" s="2" t="s">
        <v>19424</v>
      </c>
      <c r="M3807" s="2" t="s">
        <v>19425</v>
      </c>
      <c r="N3807" s="2" t="s">
        <v>19426</v>
      </c>
      <c r="O3807" s="2" t="s">
        <v>869</v>
      </c>
      <c r="P3807" s="2" t="s">
        <v>870</v>
      </c>
    </row>
    <row r="3808" ht="15.75" customHeight="1">
      <c r="H3808" s="2" t="s">
        <v>19427</v>
      </c>
      <c r="I3808" s="2" t="s">
        <v>14472</v>
      </c>
      <c r="J3808" s="2" t="s">
        <v>14473</v>
      </c>
      <c r="K3808" s="2" t="s">
        <v>3298</v>
      </c>
      <c r="L3808" s="2" t="s">
        <v>18345</v>
      </c>
      <c r="M3808" s="2" t="s">
        <v>19428</v>
      </c>
      <c r="N3808" s="2" t="s">
        <v>19429</v>
      </c>
      <c r="O3808" s="2" t="s">
        <v>869</v>
      </c>
      <c r="P3808" s="2" t="s">
        <v>870</v>
      </c>
    </row>
    <row r="3809" ht="15.75" customHeight="1">
      <c r="H3809" s="2" t="s">
        <v>19430</v>
      </c>
      <c r="I3809" s="2" t="s">
        <v>19431</v>
      </c>
      <c r="J3809" s="2" t="s">
        <v>19432</v>
      </c>
      <c r="K3809" s="2" t="s">
        <v>2585</v>
      </c>
      <c r="L3809" s="2" t="s">
        <v>18345</v>
      </c>
      <c r="M3809" s="2" t="s">
        <v>19433</v>
      </c>
      <c r="N3809" s="2" t="s">
        <v>19434</v>
      </c>
      <c r="O3809" s="2" t="s">
        <v>869</v>
      </c>
      <c r="P3809" s="2" t="s">
        <v>870</v>
      </c>
    </row>
    <row r="3810" ht="15.75" customHeight="1">
      <c r="H3810" s="2" t="s">
        <v>19435</v>
      </c>
      <c r="I3810" s="2" t="s">
        <v>2180</v>
      </c>
      <c r="J3810" s="2" t="s">
        <v>2181</v>
      </c>
      <c r="K3810" s="2" t="s">
        <v>1049</v>
      </c>
      <c r="L3810" s="2" t="s">
        <v>18345</v>
      </c>
      <c r="M3810" s="2" t="s">
        <v>19436</v>
      </c>
      <c r="N3810" s="2" t="s">
        <v>19437</v>
      </c>
      <c r="O3810" s="2" t="s">
        <v>869</v>
      </c>
      <c r="P3810" s="2" t="s">
        <v>870</v>
      </c>
    </row>
    <row r="3811" ht="15.75" customHeight="1">
      <c r="H3811" s="2" t="s">
        <v>19438</v>
      </c>
      <c r="I3811" s="2" t="s">
        <v>16957</v>
      </c>
      <c r="J3811" s="2" t="s">
        <v>16958</v>
      </c>
      <c r="K3811" s="2" t="s">
        <v>1424</v>
      </c>
      <c r="L3811" s="2" t="s">
        <v>19439</v>
      </c>
      <c r="M3811" s="2" t="s">
        <v>19440</v>
      </c>
      <c r="N3811" s="2" t="s">
        <v>19441</v>
      </c>
      <c r="O3811" s="2" t="s">
        <v>869</v>
      </c>
      <c r="P3811" s="2" t="s">
        <v>870</v>
      </c>
    </row>
    <row r="3812" ht="15.75" customHeight="1">
      <c r="H3812" s="2" t="s">
        <v>19442</v>
      </c>
      <c r="I3812" s="2" t="s">
        <v>8130</v>
      </c>
      <c r="J3812" s="2" t="s">
        <v>8131</v>
      </c>
      <c r="K3812" s="2" t="s">
        <v>1981</v>
      </c>
      <c r="L3812" s="2" t="s">
        <v>18345</v>
      </c>
      <c r="M3812" s="2" t="s">
        <v>19443</v>
      </c>
      <c r="N3812" s="2" t="s">
        <v>19444</v>
      </c>
      <c r="O3812" s="2" t="s">
        <v>869</v>
      </c>
      <c r="P3812" s="2" t="s">
        <v>870</v>
      </c>
    </row>
    <row r="3813" ht="15.75" customHeight="1">
      <c r="H3813" s="2" t="s">
        <v>19445</v>
      </c>
      <c r="I3813" s="2" t="s">
        <v>19446</v>
      </c>
      <c r="J3813" s="2" t="s">
        <v>19447</v>
      </c>
      <c r="L3813" s="2" t="s">
        <v>18345</v>
      </c>
      <c r="M3813" s="2" t="s">
        <v>19448</v>
      </c>
      <c r="N3813" s="2" t="s">
        <v>19449</v>
      </c>
      <c r="O3813" s="2" t="s">
        <v>869</v>
      </c>
      <c r="P3813" s="2" t="s">
        <v>870</v>
      </c>
    </row>
    <row r="3814" ht="15.75" customHeight="1">
      <c r="H3814" s="2" t="s">
        <v>19450</v>
      </c>
      <c r="I3814" s="2" t="s">
        <v>19451</v>
      </c>
      <c r="J3814" s="2" t="s">
        <v>19452</v>
      </c>
      <c r="K3814" s="2" t="s">
        <v>1593</v>
      </c>
      <c r="L3814" s="2" t="s">
        <v>18345</v>
      </c>
      <c r="M3814" s="2" t="s">
        <v>19453</v>
      </c>
      <c r="N3814" s="2" t="s">
        <v>19454</v>
      </c>
      <c r="O3814" s="2" t="s">
        <v>869</v>
      </c>
      <c r="P3814" s="2" t="s">
        <v>870</v>
      </c>
    </row>
    <row r="3815" ht="15.75" customHeight="1">
      <c r="H3815" s="2" t="s">
        <v>19455</v>
      </c>
      <c r="I3815" s="2" t="s">
        <v>16976</v>
      </c>
      <c r="J3815" s="2" t="s">
        <v>16977</v>
      </c>
      <c r="K3815" s="2" t="s">
        <v>1205</v>
      </c>
      <c r="L3815" s="2" t="s">
        <v>19456</v>
      </c>
      <c r="M3815" s="2" t="s">
        <v>19457</v>
      </c>
      <c r="N3815" s="2" t="s">
        <v>19458</v>
      </c>
      <c r="O3815" s="2" t="s">
        <v>869</v>
      </c>
      <c r="P3815" s="2" t="s">
        <v>870</v>
      </c>
    </row>
    <row r="3816" ht="15.75" customHeight="1">
      <c r="H3816" s="2" t="s">
        <v>19459</v>
      </c>
      <c r="I3816" s="2" t="s">
        <v>2207</v>
      </c>
      <c r="J3816" s="2" t="s">
        <v>2208</v>
      </c>
      <c r="K3816" s="2" t="s">
        <v>1027</v>
      </c>
      <c r="L3816" s="2" t="s">
        <v>18345</v>
      </c>
      <c r="M3816" s="2" t="s">
        <v>19460</v>
      </c>
      <c r="N3816" s="2" t="s">
        <v>19461</v>
      </c>
      <c r="O3816" s="2" t="s">
        <v>869</v>
      </c>
      <c r="P3816" s="2" t="s">
        <v>870</v>
      </c>
    </row>
    <row r="3817" ht="15.75" customHeight="1">
      <c r="H3817" s="2" t="s">
        <v>19462</v>
      </c>
      <c r="I3817" s="2" t="s">
        <v>19463</v>
      </c>
      <c r="J3817" s="2" t="s">
        <v>19464</v>
      </c>
      <c r="K3817" s="2" t="s">
        <v>1157</v>
      </c>
      <c r="L3817" s="2" t="s">
        <v>18345</v>
      </c>
      <c r="M3817" s="2" t="s">
        <v>19465</v>
      </c>
      <c r="N3817" s="2" t="s">
        <v>19466</v>
      </c>
      <c r="O3817" s="2" t="s">
        <v>869</v>
      </c>
      <c r="P3817" s="2" t="s">
        <v>870</v>
      </c>
    </row>
    <row r="3818" ht="15.75" customHeight="1">
      <c r="H3818" s="2" t="s">
        <v>19467</v>
      </c>
      <c r="I3818" s="2" t="s">
        <v>19468</v>
      </c>
      <c r="J3818" s="2" t="s">
        <v>19469</v>
      </c>
      <c r="K3818" s="2" t="s">
        <v>1433</v>
      </c>
      <c r="L3818" s="2" t="s">
        <v>18345</v>
      </c>
      <c r="M3818" s="2" t="s">
        <v>19470</v>
      </c>
      <c r="N3818" s="2" t="s">
        <v>19471</v>
      </c>
      <c r="O3818" s="2" t="s">
        <v>869</v>
      </c>
      <c r="P3818" s="2" t="s">
        <v>870</v>
      </c>
    </row>
    <row r="3819" ht="15.75" customHeight="1">
      <c r="H3819" s="2" t="s">
        <v>19472</v>
      </c>
      <c r="I3819" s="2" t="s">
        <v>19473</v>
      </c>
      <c r="J3819" s="2" t="s">
        <v>19474</v>
      </c>
      <c r="K3819" s="2" t="s">
        <v>1631</v>
      </c>
      <c r="L3819" s="2" t="s">
        <v>18345</v>
      </c>
      <c r="M3819" s="2" t="s">
        <v>19475</v>
      </c>
      <c r="N3819" s="2" t="s">
        <v>19476</v>
      </c>
      <c r="O3819" s="2" t="s">
        <v>869</v>
      </c>
      <c r="P3819" s="2" t="s">
        <v>870</v>
      </c>
    </row>
    <row r="3820" ht="15.75" customHeight="1">
      <c r="H3820" s="2" t="s">
        <v>19477</v>
      </c>
      <c r="I3820" s="2" t="s">
        <v>5431</v>
      </c>
      <c r="J3820" s="2" t="s">
        <v>5432</v>
      </c>
      <c r="K3820" s="2" t="s">
        <v>1175</v>
      </c>
      <c r="L3820" s="2" t="s">
        <v>18345</v>
      </c>
      <c r="M3820" s="2" t="s">
        <v>19478</v>
      </c>
      <c r="N3820" s="2" t="s">
        <v>19479</v>
      </c>
      <c r="O3820" s="2" t="s">
        <v>869</v>
      </c>
      <c r="P3820" s="2" t="s">
        <v>870</v>
      </c>
    </row>
    <row r="3821" ht="15.75" customHeight="1">
      <c r="H3821" s="2" t="s">
        <v>19480</v>
      </c>
      <c r="I3821" s="2" t="s">
        <v>19481</v>
      </c>
      <c r="J3821" s="2" t="s">
        <v>19482</v>
      </c>
      <c r="K3821" s="2" t="s">
        <v>2009</v>
      </c>
      <c r="L3821" s="2" t="s">
        <v>18345</v>
      </c>
      <c r="M3821" s="2" t="s">
        <v>19483</v>
      </c>
      <c r="N3821" s="2" t="s">
        <v>19484</v>
      </c>
      <c r="O3821" s="2" t="s">
        <v>869</v>
      </c>
      <c r="P3821" s="2" t="s">
        <v>870</v>
      </c>
    </row>
    <row r="3822" ht="15.75" customHeight="1">
      <c r="H3822" s="2" t="s">
        <v>19485</v>
      </c>
      <c r="I3822" s="2" t="s">
        <v>335</v>
      </c>
      <c r="J3822" s="2" t="s">
        <v>336</v>
      </c>
      <c r="K3822" s="2" t="s">
        <v>1211</v>
      </c>
      <c r="L3822" s="2" t="s">
        <v>19486</v>
      </c>
      <c r="M3822" s="2" t="s">
        <v>19487</v>
      </c>
      <c r="N3822" s="2" t="s">
        <v>19488</v>
      </c>
      <c r="O3822" s="2" t="s">
        <v>869</v>
      </c>
      <c r="P3822" s="2" t="s">
        <v>870</v>
      </c>
    </row>
    <row r="3823" ht="15.75" customHeight="1">
      <c r="H3823" s="2" t="s">
        <v>19489</v>
      </c>
      <c r="I3823" s="2" t="s">
        <v>19490</v>
      </c>
      <c r="J3823" s="2" t="s">
        <v>19491</v>
      </c>
      <c r="K3823" s="2" t="s">
        <v>1654</v>
      </c>
      <c r="L3823" s="2" t="s">
        <v>18345</v>
      </c>
      <c r="M3823" s="2" t="s">
        <v>19492</v>
      </c>
      <c r="N3823" s="2" t="s">
        <v>19493</v>
      </c>
      <c r="O3823" s="2" t="s">
        <v>869</v>
      </c>
      <c r="P3823" s="2" t="s">
        <v>870</v>
      </c>
    </row>
    <row r="3824" ht="15.75" customHeight="1">
      <c r="H3824" s="2" t="s">
        <v>19494</v>
      </c>
      <c r="I3824" s="2" t="s">
        <v>19495</v>
      </c>
      <c r="J3824" s="2" t="s">
        <v>19496</v>
      </c>
      <c r="K3824" s="2" t="s">
        <v>1241</v>
      </c>
      <c r="L3824" s="2" t="s">
        <v>18345</v>
      </c>
      <c r="M3824" s="2" t="s">
        <v>19497</v>
      </c>
      <c r="N3824" s="2" t="s">
        <v>19498</v>
      </c>
      <c r="O3824" s="2" t="s">
        <v>869</v>
      </c>
      <c r="P3824" s="2" t="s">
        <v>870</v>
      </c>
    </row>
    <row r="3825" ht="15.75" customHeight="1">
      <c r="H3825" s="2" t="s">
        <v>19499</v>
      </c>
      <c r="I3825" s="2" t="s">
        <v>19500</v>
      </c>
      <c r="J3825" s="2" t="s">
        <v>19501</v>
      </c>
      <c r="L3825" s="2" t="s">
        <v>18345</v>
      </c>
      <c r="M3825" s="2" t="s">
        <v>19502</v>
      </c>
      <c r="N3825" s="2" t="s">
        <v>19503</v>
      </c>
      <c r="O3825" s="2" t="s">
        <v>869</v>
      </c>
      <c r="P3825" s="2" t="s">
        <v>870</v>
      </c>
    </row>
    <row r="3826" ht="15.75" customHeight="1">
      <c r="H3826" s="2" t="s">
        <v>19504</v>
      </c>
      <c r="I3826" s="2" t="s">
        <v>19505</v>
      </c>
      <c r="J3826" s="2" t="s">
        <v>19506</v>
      </c>
      <c r="K3826" s="2" t="s">
        <v>1251</v>
      </c>
      <c r="L3826" s="2" t="s">
        <v>19507</v>
      </c>
      <c r="M3826" s="2" t="s">
        <v>19508</v>
      </c>
      <c r="N3826" s="2" t="s">
        <v>19509</v>
      </c>
      <c r="O3826" s="2" t="s">
        <v>869</v>
      </c>
      <c r="P3826" s="2" t="s">
        <v>870</v>
      </c>
    </row>
    <row r="3827" ht="15.75" customHeight="1">
      <c r="H3827" s="2" t="s">
        <v>19510</v>
      </c>
      <c r="I3827" s="2" t="s">
        <v>7756</v>
      </c>
      <c r="J3827" s="2" t="s">
        <v>7757</v>
      </c>
      <c r="K3827" s="2" t="s">
        <v>2031</v>
      </c>
      <c r="L3827" s="2" t="s">
        <v>18345</v>
      </c>
      <c r="M3827" s="2" t="s">
        <v>19511</v>
      </c>
      <c r="N3827" s="2" t="s">
        <v>19512</v>
      </c>
      <c r="O3827" s="2" t="s">
        <v>869</v>
      </c>
      <c r="P3827" s="2" t="s">
        <v>870</v>
      </c>
    </row>
    <row r="3828" ht="15.75" customHeight="1">
      <c r="H3828" s="2" t="s">
        <v>19513</v>
      </c>
      <c r="I3828" s="2" t="s">
        <v>19514</v>
      </c>
      <c r="J3828" s="2" t="s">
        <v>19515</v>
      </c>
      <c r="K3828" s="2" t="s">
        <v>1688</v>
      </c>
      <c r="L3828" s="2" t="s">
        <v>18345</v>
      </c>
      <c r="M3828" s="2" t="s">
        <v>19516</v>
      </c>
      <c r="N3828" s="2" t="s">
        <v>19517</v>
      </c>
      <c r="O3828" s="2" t="s">
        <v>869</v>
      </c>
      <c r="P3828" s="2" t="s">
        <v>870</v>
      </c>
    </row>
    <row r="3829" ht="15.75" customHeight="1">
      <c r="H3829" s="2" t="s">
        <v>19518</v>
      </c>
      <c r="I3829" s="2" t="s">
        <v>19519</v>
      </c>
      <c r="J3829" s="2" t="s">
        <v>19520</v>
      </c>
      <c r="K3829" s="2" t="s">
        <v>2359</v>
      </c>
      <c r="L3829" s="2" t="s">
        <v>18345</v>
      </c>
      <c r="M3829" s="2" t="s">
        <v>19521</v>
      </c>
      <c r="N3829" s="2" t="s">
        <v>19522</v>
      </c>
      <c r="O3829" s="2" t="s">
        <v>869</v>
      </c>
      <c r="P3829" s="2" t="s">
        <v>870</v>
      </c>
    </row>
    <row r="3830" ht="15.75" customHeight="1">
      <c r="H3830" s="2" t="s">
        <v>19523</v>
      </c>
      <c r="I3830" s="2" t="s">
        <v>415</v>
      </c>
      <c r="J3830" s="2" t="s">
        <v>416</v>
      </c>
      <c r="K3830" s="2" t="s">
        <v>5101</v>
      </c>
      <c r="L3830" s="2" t="s">
        <v>19524</v>
      </c>
      <c r="M3830" s="2" t="s">
        <v>19525</v>
      </c>
      <c r="N3830" s="2" t="s">
        <v>19526</v>
      </c>
      <c r="O3830" s="2" t="s">
        <v>869</v>
      </c>
      <c r="P3830" s="2" t="s">
        <v>870</v>
      </c>
    </row>
    <row r="3831" ht="15.75" customHeight="1">
      <c r="H3831" s="2" t="s">
        <v>19527</v>
      </c>
      <c r="I3831" s="2" t="s">
        <v>19528</v>
      </c>
      <c r="J3831" s="2" t="s">
        <v>19529</v>
      </c>
      <c r="K3831" s="2" t="s">
        <v>3309</v>
      </c>
      <c r="L3831" s="2" t="s">
        <v>19530</v>
      </c>
      <c r="M3831" s="2" t="s">
        <v>19531</v>
      </c>
      <c r="N3831" s="2" t="s">
        <v>19532</v>
      </c>
      <c r="O3831" s="2" t="s">
        <v>869</v>
      </c>
      <c r="P3831" s="2" t="s">
        <v>870</v>
      </c>
    </row>
    <row r="3832" ht="15.75" customHeight="1">
      <c r="H3832" s="2" t="s">
        <v>19533</v>
      </c>
      <c r="I3832" s="2" t="s">
        <v>19534</v>
      </c>
      <c r="J3832" s="2" t="s">
        <v>19535</v>
      </c>
      <c r="K3832" s="2" t="s">
        <v>5927</v>
      </c>
      <c r="L3832" s="2" t="s">
        <v>18345</v>
      </c>
      <c r="M3832" s="2" t="s">
        <v>19536</v>
      </c>
      <c r="N3832" s="2" t="s">
        <v>19537</v>
      </c>
      <c r="O3832" s="2" t="s">
        <v>869</v>
      </c>
      <c r="P3832" s="2" t="s">
        <v>870</v>
      </c>
    </row>
    <row r="3833" ht="15.75" customHeight="1">
      <c r="H3833" s="2" t="s">
        <v>19538</v>
      </c>
      <c r="I3833" s="2" t="s">
        <v>19539</v>
      </c>
      <c r="J3833" s="2" t="s">
        <v>19540</v>
      </c>
      <c r="K3833" s="2" t="s">
        <v>19286</v>
      </c>
      <c r="L3833" s="2" t="s">
        <v>18345</v>
      </c>
      <c r="M3833" s="2" t="s">
        <v>19541</v>
      </c>
      <c r="N3833" s="2" t="s">
        <v>19542</v>
      </c>
      <c r="O3833" s="2" t="s">
        <v>869</v>
      </c>
      <c r="P3833" s="2" t="s">
        <v>870</v>
      </c>
    </row>
    <row r="3834" ht="15.75" customHeight="1">
      <c r="H3834" s="2" t="s">
        <v>19543</v>
      </c>
      <c r="I3834" s="2" t="s">
        <v>13300</v>
      </c>
      <c r="J3834" s="2" t="s">
        <v>13301</v>
      </c>
      <c r="K3834" s="2" t="s">
        <v>13302</v>
      </c>
      <c r="L3834" s="2" t="s">
        <v>19544</v>
      </c>
      <c r="M3834" s="2" t="s">
        <v>19545</v>
      </c>
      <c r="N3834" s="2" t="s">
        <v>19546</v>
      </c>
      <c r="O3834" s="2" t="s">
        <v>869</v>
      </c>
      <c r="P3834" s="2" t="s">
        <v>870</v>
      </c>
    </row>
    <row r="3835" ht="15.75" customHeight="1">
      <c r="H3835" s="2" t="s">
        <v>19547</v>
      </c>
      <c r="I3835" s="2" t="s">
        <v>5487</v>
      </c>
      <c r="J3835" s="2" t="s">
        <v>5488</v>
      </c>
      <c r="K3835" s="2" t="s">
        <v>1251</v>
      </c>
      <c r="L3835" s="2" t="s">
        <v>18345</v>
      </c>
      <c r="M3835" s="2" t="s">
        <v>19548</v>
      </c>
      <c r="N3835" s="2" t="s">
        <v>19549</v>
      </c>
      <c r="O3835" s="2" t="s">
        <v>869</v>
      </c>
      <c r="P3835" s="2" t="s">
        <v>870</v>
      </c>
    </row>
    <row r="3836" ht="15.75" customHeight="1">
      <c r="H3836" s="2" t="s">
        <v>19550</v>
      </c>
      <c r="I3836" s="2" t="s">
        <v>17058</v>
      </c>
      <c r="J3836" s="2" t="s">
        <v>17059</v>
      </c>
      <c r="K3836" s="2" t="s">
        <v>1247</v>
      </c>
      <c r="L3836" s="2" t="s">
        <v>18345</v>
      </c>
      <c r="M3836" s="2" t="s">
        <v>19551</v>
      </c>
      <c r="N3836" s="2" t="s">
        <v>19552</v>
      </c>
      <c r="O3836" s="2" t="s">
        <v>869</v>
      </c>
      <c r="P3836" s="2" t="s">
        <v>870</v>
      </c>
    </row>
    <row r="3837" ht="15.75" customHeight="1">
      <c r="H3837" s="2" t="s">
        <v>19553</v>
      </c>
      <c r="I3837" s="2" t="s">
        <v>19554</v>
      </c>
      <c r="J3837" s="2" t="s">
        <v>19555</v>
      </c>
      <c r="K3837" s="2" t="s">
        <v>13335</v>
      </c>
      <c r="L3837" s="2" t="s">
        <v>18345</v>
      </c>
      <c r="M3837" s="2" t="s">
        <v>19556</v>
      </c>
      <c r="N3837" s="2" t="s">
        <v>19557</v>
      </c>
      <c r="O3837" s="2" t="s">
        <v>869</v>
      </c>
      <c r="P3837" s="2" t="s">
        <v>870</v>
      </c>
    </row>
    <row r="3838" ht="15.75" customHeight="1">
      <c r="H3838" s="2" t="s">
        <v>19558</v>
      </c>
      <c r="I3838" s="2" t="s">
        <v>12278</v>
      </c>
      <c r="J3838" s="2" t="s">
        <v>12279</v>
      </c>
      <c r="K3838" s="2" t="s">
        <v>1704</v>
      </c>
      <c r="L3838" s="2" t="s">
        <v>19559</v>
      </c>
      <c r="M3838" s="2" t="s">
        <v>19560</v>
      </c>
      <c r="N3838" s="2" t="s">
        <v>19561</v>
      </c>
      <c r="O3838" s="2" t="s">
        <v>869</v>
      </c>
      <c r="P3838" s="2" t="s">
        <v>870</v>
      </c>
    </row>
    <row r="3839" ht="15.75" customHeight="1">
      <c r="H3839" s="2" t="s">
        <v>19562</v>
      </c>
      <c r="I3839" s="2" t="s">
        <v>440</v>
      </c>
      <c r="J3839" s="2" t="s">
        <v>441</v>
      </c>
      <c r="K3839" s="2" t="s">
        <v>1264</v>
      </c>
      <c r="L3839" s="2" t="s">
        <v>18345</v>
      </c>
      <c r="M3839" s="2" t="s">
        <v>19563</v>
      </c>
      <c r="N3839" s="2" t="s">
        <v>19564</v>
      </c>
      <c r="O3839" s="2" t="s">
        <v>869</v>
      </c>
      <c r="P3839" s="2" t="s">
        <v>870</v>
      </c>
    </row>
    <row r="3840" ht="15.75" customHeight="1">
      <c r="H3840" s="2" t="s">
        <v>19565</v>
      </c>
      <c r="I3840" s="2" t="s">
        <v>2298</v>
      </c>
      <c r="J3840" s="2" t="s">
        <v>2299</v>
      </c>
      <c r="K3840" s="2" t="s">
        <v>2037</v>
      </c>
      <c r="L3840" s="2" t="s">
        <v>19566</v>
      </c>
      <c r="M3840" s="2" t="s">
        <v>19567</v>
      </c>
      <c r="N3840" s="2" t="s">
        <v>19568</v>
      </c>
      <c r="O3840" s="2" t="s">
        <v>869</v>
      </c>
      <c r="P3840" s="2" t="s">
        <v>870</v>
      </c>
    </row>
    <row r="3841" ht="15.75" customHeight="1">
      <c r="H3841" s="2" t="s">
        <v>19569</v>
      </c>
      <c r="I3841" s="2" t="s">
        <v>19570</v>
      </c>
      <c r="J3841" s="2" t="s">
        <v>19571</v>
      </c>
      <c r="K3841" s="2" t="s">
        <v>2431</v>
      </c>
      <c r="L3841" s="2" t="s">
        <v>18345</v>
      </c>
      <c r="M3841" s="2" t="s">
        <v>19572</v>
      </c>
      <c r="N3841" s="2" t="s">
        <v>19573</v>
      </c>
      <c r="O3841" s="2" t="s">
        <v>869</v>
      </c>
      <c r="P3841" s="2" t="s">
        <v>870</v>
      </c>
    </row>
    <row r="3842" ht="15.75" customHeight="1">
      <c r="H3842" s="2" t="s">
        <v>19574</v>
      </c>
      <c r="I3842" s="2" t="s">
        <v>449</v>
      </c>
      <c r="J3842" s="2" t="s">
        <v>450</v>
      </c>
      <c r="K3842" s="2" t="s">
        <v>1708</v>
      </c>
      <c r="L3842" s="2" t="s">
        <v>19575</v>
      </c>
      <c r="M3842" s="2" t="s">
        <v>19576</v>
      </c>
      <c r="N3842" s="2" t="s">
        <v>19577</v>
      </c>
      <c r="O3842" s="2" t="s">
        <v>869</v>
      </c>
      <c r="P3842" s="2" t="s">
        <v>870</v>
      </c>
    </row>
    <row r="3843" ht="15.75" customHeight="1">
      <c r="H3843" s="2" t="s">
        <v>19578</v>
      </c>
      <c r="I3843" s="2" t="s">
        <v>19579</v>
      </c>
      <c r="J3843" s="2" t="s">
        <v>19580</v>
      </c>
      <c r="K3843" s="2" t="s">
        <v>2305</v>
      </c>
      <c r="L3843" s="2" t="s">
        <v>18345</v>
      </c>
      <c r="M3843" s="2" t="s">
        <v>19581</v>
      </c>
      <c r="N3843" s="2" t="s">
        <v>19582</v>
      </c>
      <c r="O3843" s="2" t="s">
        <v>869</v>
      </c>
      <c r="P3843" s="2" t="s">
        <v>870</v>
      </c>
    </row>
    <row r="3844" ht="15.75" customHeight="1">
      <c r="H3844" s="2" t="s">
        <v>19583</v>
      </c>
      <c r="I3844" s="2" t="s">
        <v>19584</v>
      </c>
      <c r="J3844" s="2" t="s">
        <v>19585</v>
      </c>
      <c r="K3844" s="2" t="s">
        <v>18979</v>
      </c>
      <c r="L3844" s="2" t="s">
        <v>18345</v>
      </c>
      <c r="M3844" s="2" t="s">
        <v>19586</v>
      </c>
      <c r="N3844" s="2" t="s">
        <v>19587</v>
      </c>
      <c r="O3844" s="2" t="s">
        <v>869</v>
      </c>
      <c r="P3844" s="2" t="s">
        <v>870</v>
      </c>
    </row>
    <row r="3845" ht="15.75" customHeight="1">
      <c r="H3845" s="2" t="s">
        <v>19588</v>
      </c>
      <c r="I3845" s="2" t="s">
        <v>19589</v>
      </c>
      <c r="J3845" s="2" t="s">
        <v>19590</v>
      </c>
      <c r="K3845" s="2" t="s">
        <v>1725</v>
      </c>
      <c r="L3845" s="2" t="s">
        <v>18345</v>
      </c>
      <c r="M3845" s="2" t="s">
        <v>19591</v>
      </c>
      <c r="N3845" s="2" t="s">
        <v>19592</v>
      </c>
      <c r="O3845" s="2" t="s">
        <v>869</v>
      </c>
      <c r="P3845" s="2" t="s">
        <v>870</v>
      </c>
    </row>
    <row r="3846" ht="15.75" customHeight="1">
      <c r="H3846" s="2" t="s">
        <v>19593</v>
      </c>
      <c r="I3846" s="2" t="s">
        <v>19594</v>
      </c>
      <c r="J3846" s="2" t="s">
        <v>19595</v>
      </c>
      <c r="K3846" s="2" t="s">
        <v>2316</v>
      </c>
      <c r="L3846" s="2" t="s">
        <v>18345</v>
      </c>
      <c r="M3846" s="2" t="s">
        <v>19596</v>
      </c>
      <c r="N3846" s="2" t="s">
        <v>19597</v>
      </c>
      <c r="O3846" s="2" t="s">
        <v>869</v>
      </c>
      <c r="P3846" s="2" t="s">
        <v>870</v>
      </c>
    </row>
    <row r="3847" ht="15.75" customHeight="1">
      <c r="H3847" s="2" t="s">
        <v>19598</v>
      </c>
      <c r="I3847" s="2" t="s">
        <v>2331</v>
      </c>
      <c r="J3847" s="2" t="s">
        <v>2332</v>
      </c>
      <c r="K3847" s="2" t="s">
        <v>1731</v>
      </c>
      <c r="L3847" s="2" t="s">
        <v>18345</v>
      </c>
      <c r="M3847" s="2" t="s">
        <v>19599</v>
      </c>
      <c r="N3847" s="2" t="s">
        <v>19600</v>
      </c>
      <c r="O3847" s="2" t="s">
        <v>869</v>
      </c>
      <c r="P3847" s="2" t="s">
        <v>870</v>
      </c>
    </row>
    <row r="3848" ht="15.75" customHeight="1">
      <c r="H3848" s="2" t="s">
        <v>19601</v>
      </c>
      <c r="I3848" s="2" t="s">
        <v>458</v>
      </c>
      <c r="J3848" s="2" t="s">
        <v>459</v>
      </c>
      <c r="K3848" s="2" t="s">
        <v>7164</v>
      </c>
      <c r="L3848" s="2" t="s">
        <v>19602</v>
      </c>
      <c r="M3848" s="2" t="s">
        <v>19603</v>
      </c>
      <c r="N3848" s="2" t="s">
        <v>19604</v>
      </c>
      <c r="O3848" s="2" t="s">
        <v>869</v>
      </c>
      <c r="P3848" s="2" t="s">
        <v>870</v>
      </c>
    </row>
    <row r="3849" ht="15.75" customHeight="1">
      <c r="H3849" s="2" t="s">
        <v>19605</v>
      </c>
      <c r="I3849" s="2" t="s">
        <v>14887</v>
      </c>
      <c r="J3849" s="2" t="s">
        <v>14888</v>
      </c>
      <c r="K3849" s="2" t="s">
        <v>5126</v>
      </c>
      <c r="L3849" s="2" t="s">
        <v>18345</v>
      </c>
      <c r="M3849" s="2" t="s">
        <v>19606</v>
      </c>
      <c r="N3849" s="2" t="s">
        <v>19607</v>
      </c>
      <c r="O3849" s="2" t="s">
        <v>869</v>
      </c>
      <c r="P3849" s="2" t="s">
        <v>870</v>
      </c>
    </row>
    <row r="3850" ht="15.75" customHeight="1">
      <c r="H3850" s="2" t="s">
        <v>19608</v>
      </c>
      <c r="I3850" s="2" t="s">
        <v>19609</v>
      </c>
      <c r="J3850" s="2" t="s">
        <v>19610</v>
      </c>
      <c r="K3850" s="2" t="s">
        <v>1602</v>
      </c>
      <c r="L3850" s="2" t="s">
        <v>18345</v>
      </c>
      <c r="M3850" s="2" t="s">
        <v>19611</v>
      </c>
      <c r="N3850" s="2" t="s">
        <v>19612</v>
      </c>
      <c r="O3850" s="2" t="s">
        <v>869</v>
      </c>
      <c r="P3850" s="2" t="s">
        <v>870</v>
      </c>
    </row>
    <row r="3851" ht="15.75" customHeight="1">
      <c r="H3851" s="2" t="s">
        <v>19613</v>
      </c>
      <c r="I3851" s="2" t="s">
        <v>19614</v>
      </c>
      <c r="J3851" s="2" t="s">
        <v>19615</v>
      </c>
      <c r="K3851" s="2" t="s">
        <v>19616</v>
      </c>
      <c r="L3851" s="2" t="s">
        <v>18345</v>
      </c>
      <c r="M3851" s="2" t="s">
        <v>19617</v>
      </c>
      <c r="N3851" s="2" t="s">
        <v>19618</v>
      </c>
      <c r="O3851" s="2" t="s">
        <v>869</v>
      </c>
      <c r="P3851" s="2" t="s">
        <v>870</v>
      </c>
    </row>
    <row r="3852" ht="15.75" customHeight="1">
      <c r="H3852" s="2" t="s">
        <v>19619</v>
      </c>
      <c r="I3852" s="2" t="s">
        <v>19620</v>
      </c>
      <c r="J3852" s="2" t="s">
        <v>19621</v>
      </c>
      <c r="K3852" s="2" t="s">
        <v>12548</v>
      </c>
      <c r="L3852" s="2" t="s">
        <v>18345</v>
      </c>
      <c r="M3852" s="2" t="s">
        <v>19622</v>
      </c>
      <c r="N3852" s="2" t="s">
        <v>19623</v>
      </c>
      <c r="O3852" s="2" t="s">
        <v>869</v>
      </c>
      <c r="P3852" s="2" t="s">
        <v>870</v>
      </c>
    </row>
    <row r="3853" ht="15.75" customHeight="1">
      <c r="H3853" s="2" t="s">
        <v>19624</v>
      </c>
      <c r="I3853" s="2" t="s">
        <v>2369</v>
      </c>
      <c r="J3853" s="2" t="s">
        <v>2370</v>
      </c>
      <c r="K3853" s="2" t="s">
        <v>2371</v>
      </c>
      <c r="L3853" s="2" t="s">
        <v>19625</v>
      </c>
      <c r="M3853" s="2" t="s">
        <v>19626</v>
      </c>
      <c r="N3853" s="2" t="s">
        <v>19627</v>
      </c>
      <c r="O3853" s="2" t="s">
        <v>869</v>
      </c>
      <c r="P3853" s="2" t="s">
        <v>870</v>
      </c>
    </row>
    <row r="3854" ht="15.75" customHeight="1">
      <c r="H3854" s="2" t="s">
        <v>19628</v>
      </c>
      <c r="I3854" s="2" t="s">
        <v>2380</v>
      </c>
      <c r="J3854" s="2" t="s">
        <v>2381</v>
      </c>
      <c r="K3854" s="2" t="s">
        <v>2382</v>
      </c>
      <c r="L3854" s="2" t="s">
        <v>18345</v>
      </c>
      <c r="M3854" s="2" t="s">
        <v>19629</v>
      </c>
      <c r="N3854" s="2" t="s">
        <v>19630</v>
      </c>
      <c r="O3854" s="2" t="s">
        <v>869</v>
      </c>
      <c r="P3854" s="2" t="s">
        <v>870</v>
      </c>
    </row>
    <row r="3855" ht="15.75" customHeight="1">
      <c r="H3855" s="2" t="s">
        <v>19631</v>
      </c>
      <c r="I3855" s="2" t="s">
        <v>19632</v>
      </c>
      <c r="J3855" s="2" t="s">
        <v>19633</v>
      </c>
      <c r="K3855" s="2" t="s">
        <v>13302</v>
      </c>
      <c r="L3855" s="2" t="s">
        <v>18345</v>
      </c>
      <c r="M3855" s="2" t="s">
        <v>19634</v>
      </c>
      <c r="N3855" s="2" t="s">
        <v>19635</v>
      </c>
      <c r="O3855" s="2" t="s">
        <v>869</v>
      </c>
      <c r="P3855" s="2" t="s">
        <v>870</v>
      </c>
    </row>
    <row r="3856" ht="15.75" customHeight="1">
      <c r="H3856" s="2" t="s">
        <v>19636</v>
      </c>
      <c r="I3856" s="2" t="s">
        <v>19637</v>
      </c>
      <c r="J3856" s="2" t="s">
        <v>19638</v>
      </c>
      <c r="K3856" s="2" t="s">
        <v>19639</v>
      </c>
      <c r="L3856" s="2" t="s">
        <v>18345</v>
      </c>
      <c r="M3856" s="2" t="s">
        <v>19640</v>
      </c>
      <c r="N3856" s="2" t="s">
        <v>19641</v>
      </c>
      <c r="O3856" s="2" t="s">
        <v>869</v>
      </c>
      <c r="P3856" s="2" t="s">
        <v>870</v>
      </c>
    </row>
    <row r="3857" ht="15.75" customHeight="1">
      <c r="H3857" s="2" t="s">
        <v>19642</v>
      </c>
      <c r="I3857" s="2" t="s">
        <v>19643</v>
      </c>
      <c r="J3857" s="2" t="s">
        <v>19644</v>
      </c>
      <c r="K3857" s="2" t="s">
        <v>19286</v>
      </c>
      <c r="L3857" s="2" t="s">
        <v>18345</v>
      </c>
      <c r="M3857" s="2" t="s">
        <v>19645</v>
      </c>
      <c r="N3857" s="2" t="s">
        <v>19646</v>
      </c>
      <c r="O3857" s="2" t="s">
        <v>869</v>
      </c>
      <c r="P3857" s="2" t="s">
        <v>870</v>
      </c>
    </row>
    <row r="3858" ht="15.75" customHeight="1">
      <c r="H3858" s="2" t="s">
        <v>19647</v>
      </c>
      <c r="I3858" s="2" t="s">
        <v>2393</v>
      </c>
      <c r="J3858" s="2" t="s">
        <v>2394</v>
      </c>
      <c r="K3858" s="2" t="s">
        <v>1761</v>
      </c>
      <c r="L3858" s="2" t="s">
        <v>19648</v>
      </c>
      <c r="M3858" s="2" t="s">
        <v>19649</v>
      </c>
      <c r="N3858" s="2" t="s">
        <v>19650</v>
      </c>
      <c r="O3858" s="2" t="s">
        <v>869</v>
      </c>
      <c r="P3858" s="2" t="s">
        <v>870</v>
      </c>
    </row>
    <row r="3859" ht="15.75" customHeight="1">
      <c r="H3859" s="2" t="s">
        <v>19651</v>
      </c>
      <c r="I3859" s="2" t="s">
        <v>2399</v>
      </c>
      <c r="J3859" s="2" t="s">
        <v>2400</v>
      </c>
      <c r="K3859" s="2" t="s">
        <v>19652</v>
      </c>
      <c r="L3859" s="2" t="s">
        <v>19653</v>
      </c>
      <c r="M3859" s="2" t="s">
        <v>19654</v>
      </c>
      <c r="N3859" s="2" t="s">
        <v>19655</v>
      </c>
      <c r="O3859" s="2" t="s">
        <v>869</v>
      </c>
      <c r="P3859" s="2" t="s">
        <v>870</v>
      </c>
    </row>
    <row r="3860" ht="15.75" customHeight="1">
      <c r="H3860" s="2" t="s">
        <v>19656</v>
      </c>
      <c r="I3860" s="2" t="s">
        <v>2406</v>
      </c>
      <c r="J3860" s="2" t="s">
        <v>2407</v>
      </c>
      <c r="K3860" s="2" t="s">
        <v>2408</v>
      </c>
      <c r="L3860" s="2" t="s">
        <v>18345</v>
      </c>
      <c r="M3860" s="2" t="s">
        <v>19657</v>
      </c>
      <c r="N3860" s="2" t="s">
        <v>19658</v>
      </c>
      <c r="O3860" s="2" t="s">
        <v>869</v>
      </c>
      <c r="P3860" s="2" t="s">
        <v>870</v>
      </c>
    </row>
    <row r="3861" ht="15.75" customHeight="1">
      <c r="H3861" s="2" t="s">
        <v>19659</v>
      </c>
      <c r="I3861" s="2" t="s">
        <v>19660</v>
      </c>
      <c r="J3861" s="2" t="s">
        <v>19661</v>
      </c>
      <c r="K3861" s="2" t="s">
        <v>2282</v>
      </c>
      <c r="L3861" s="2" t="s">
        <v>18345</v>
      </c>
      <c r="M3861" s="2" t="s">
        <v>19662</v>
      </c>
      <c r="N3861" s="2" t="s">
        <v>19663</v>
      </c>
      <c r="O3861" s="2" t="s">
        <v>869</v>
      </c>
      <c r="P3861" s="2" t="s">
        <v>870</v>
      </c>
    </row>
    <row r="3862" ht="15.75" customHeight="1">
      <c r="H3862" s="2" t="s">
        <v>19664</v>
      </c>
      <c r="I3862" s="2" t="s">
        <v>19665</v>
      </c>
      <c r="J3862" s="2" t="s">
        <v>19666</v>
      </c>
      <c r="K3862" s="2" t="s">
        <v>5927</v>
      </c>
      <c r="L3862" s="2" t="s">
        <v>18345</v>
      </c>
      <c r="M3862" s="2" t="s">
        <v>19667</v>
      </c>
      <c r="N3862" s="2" t="s">
        <v>19668</v>
      </c>
      <c r="O3862" s="2" t="s">
        <v>869</v>
      </c>
      <c r="P3862" s="2" t="s">
        <v>870</v>
      </c>
    </row>
    <row r="3863" ht="15.75" customHeight="1">
      <c r="H3863" s="2" t="s">
        <v>19669</v>
      </c>
      <c r="I3863" s="2" t="s">
        <v>12318</v>
      </c>
      <c r="J3863" s="2" t="s">
        <v>12319</v>
      </c>
      <c r="K3863" s="2" t="s">
        <v>12320</v>
      </c>
      <c r="L3863" s="2" t="s">
        <v>18345</v>
      </c>
      <c r="M3863" s="2" t="s">
        <v>19670</v>
      </c>
      <c r="N3863" s="2" t="s">
        <v>19671</v>
      </c>
      <c r="O3863" s="2" t="s">
        <v>869</v>
      </c>
      <c r="P3863" s="2" t="s">
        <v>870</v>
      </c>
    </row>
    <row r="3864" ht="15.75" customHeight="1">
      <c r="H3864" s="2" t="s">
        <v>19672</v>
      </c>
      <c r="I3864" s="2" t="s">
        <v>19673</v>
      </c>
      <c r="J3864" s="2" t="s">
        <v>19674</v>
      </c>
      <c r="K3864" s="2" t="s">
        <v>1593</v>
      </c>
      <c r="L3864" s="2" t="s">
        <v>18345</v>
      </c>
      <c r="M3864" s="2" t="s">
        <v>19675</v>
      </c>
      <c r="N3864" s="2" t="s">
        <v>19676</v>
      </c>
      <c r="O3864" s="2" t="s">
        <v>869</v>
      </c>
      <c r="P3864" s="2" t="s">
        <v>870</v>
      </c>
    </row>
    <row r="3865" ht="15.75" customHeight="1">
      <c r="H3865" s="2" t="s">
        <v>19677</v>
      </c>
      <c r="I3865" s="2" t="s">
        <v>1501</v>
      </c>
      <c r="J3865" s="2" t="s">
        <v>1502</v>
      </c>
      <c r="K3865" s="2" t="s">
        <v>1768</v>
      </c>
      <c r="L3865" s="2" t="s">
        <v>18345</v>
      </c>
      <c r="M3865" s="2" t="s">
        <v>19678</v>
      </c>
      <c r="N3865" s="2" t="s">
        <v>19679</v>
      </c>
      <c r="O3865" s="2" t="s">
        <v>869</v>
      </c>
      <c r="P3865" s="2" t="s">
        <v>870</v>
      </c>
    </row>
    <row r="3866" ht="15.75" customHeight="1">
      <c r="H3866" s="2" t="s">
        <v>19680</v>
      </c>
      <c r="I3866" s="2" t="s">
        <v>19681</v>
      </c>
      <c r="J3866" s="2" t="s">
        <v>19682</v>
      </c>
      <c r="K3866" s="2" t="s">
        <v>14394</v>
      </c>
      <c r="L3866" s="2" t="s">
        <v>18345</v>
      </c>
      <c r="M3866" s="2" t="s">
        <v>19683</v>
      </c>
      <c r="N3866" s="2" t="s">
        <v>19684</v>
      </c>
      <c r="O3866" s="2" t="s">
        <v>869</v>
      </c>
      <c r="P3866" s="2" t="s">
        <v>870</v>
      </c>
    </row>
    <row r="3867" ht="15.75" customHeight="1">
      <c r="H3867" s="2" t="s">
        <v>19685</v>
      </c>
      <c r="I3867" s="2" t="s">
        <v>2421</v>
      </c>
      <c r="J3867" s="2" t="s">
        <v>2422</v>
      </c>
      <c r="K3867" s="2" t="s">
        <v>12273</v>
      </c>
      <c r="L3867" s="2" t="s">
        <v>18345</v>
      </c>
      <c r="M3867" s="2" t="s">
        <v>19686</v>
      </c>
      <c r="N3867" s="2" t="s">
        <v>19687</v>
      </c>
      <c r="O3867" s="2" t="s">
        <v>869</v>
      </c>
      <c r="P3867" s="2" t="s">
        <v>870</v>
      </c>
    </row>
    <row r="3868" ht="15.75" customHeight="1">
      <c r="H3868" s="2" t="s">
        <v>19688</v>
      </c>
      <c r="I3868" s="2" t="s">
        <v>510</v>
      </c>
      <c r="J3868" s="2" t="s">
        <v>511</v>
      </c>
      <c r="K3868" s="2" t="s">
        <v>2068</v>
      </c>
      <c r="L3868" s="2" t="s">
        <v>18345</v>
      </c>
      <c r="M3868" s="2" t="s">
        <v>19689</v>
      </c>
      <c r="N3868" s="2" t="s">
        <v>19690</v>
      </c>
      <c r="O3868" s="2" t="s">
        <v>869</v>
      </c>
      <c r="P3868" s="2" t="s">
        <v>870</v>
      </c>
    </row>
    <row r="3869" ht="15.75" customHeight="1">
      <c r="H3869" s="2" t="s">
        <v>19691</v>
      </c>
      <c r="I3869" s="2" t="s">
        <v>2435</v>
      </c>
      <c r="J3869" s="2" t="s">
        <v>2436</v>
      </c>
      <c r="K3869" s="2" t="s">
        <v>19692</v>
      </c>
      <c r="L3869" s="2" t="s">
        <v>19693</v>
      </c>
      <c r="M3869" s="2" t="s">
        <v>19694</v>
      </c>
      <c r="N3869" s="2" t="s">
        <v>19695</v>
      </c>
      <c r="O3869" s="2" t="s">
        <v>869</v>
      </c>
      <c r="P3869" s="2" t="s">
        <v>870</v>
      </c>
    </row>
    <row r="3870" ht="15.75" customHeight="1">
      <c r="H3870" s="2" t="s">
        <v>19696</v>
      </c>
      <c r="I3870" s="2" t="s">
        <v>19697</v>
      </c>
      <c r="J3870" s="2" t="s">
        <v>19698</v>
      </c>
      <c r="K3870" s="2" t="s">
        <v>5500</v>
      </c>
      <c r="L3870" s="2" t="s">
        <v>18345</v>
      </c>
      <c r="M3870" s="2" t="s">
        <v>19699</v>
      </c>
      <c r="N3870" s="2" t="s">
        <v>19700</v>
      </c>
      <c r="O3870" s="2" t="s">
        <v>869</v>
      </c>
      <c r="P3870" s="2" t="s">
        <v>870</v>
      </c>
    </row>
    <row r="3871" ht="15.75" customHeight="1">
      <c r="H3871" s="2" t="s">
        <v>19701</v>
      </c>
      <c r="I3871" s="2" t="s">
        <v>518</v>
      </c>
      <c r="J3871" s="2" t="s">
        <v>519</v>
      </c>
      <c r="K3871" s="2" t="s">
        <v>2452</v>
      </c>
      <c r="L3871" s="2" t="s">
        <v>18345</v>
      </c>
      <c r="M3871" s="2" t="s">
        <v>19702</v>
      </c>
      <c r="N3871" s="2" t="s">
        <v>19703</v>
      </c>
      <c r="O3871" s="2" t="s">
        <v>869</v>
      </c>
      <c r="P3871" s="2" t="s">
        <v>870</v>
      </c>
    </row>
    <row r="3872" ht="15.75" customHeight="1">
      <c r="H3872" s="2" t="s">
        <v>19704</v>
      </c>
      <c r="I3872" s="2" t="s">
        <v>17156</v>
      </c>
      <c r="J3872" s="2" t="s">
        <v>17157</v>
      </c>
      <c r="K3872" s="2" t="s">
        <v>1797</v>
      </c>
      <c r="L3872" s="2" t="s">
        <v>18345</v>
      </c>
      <c r="M3872" s="2" t="s">
        <v>19705</v>
      </c>
      <c r="N3872" s="2" t="s">
        <v>19706</v>
      </c>
      <c r="O3872" s="2" t="s">
        <v>869</v>
      </c>
      <c r="P3872" s="2" t="s">
        <v>870</v>
      </c>
    </row>
    <row r="3873" ht="15.75" customHeight="1">
      <c r="H3873" s="2" t="s">
        <v>19707</v>
      </c>
      <c r="I3873" s="2" t="s">
        <v>14560</v>
      </c>
      <c r="J3873" s="2" t="s">
        <v>14561</v>
      </c>
      <c r="K3873" s="2" t="s">
        <v>14562</v>
      </c>
      <c r="L3873" s="2" t="s">
        <v>18345</v>
      </c>
      <c r="M3873" s="2" t="s">
        <v>19708</v>
      </c>
      <c r="N3873" s="2" t="s">
        <v>19709</v>
      </c>
      <c r="O3873" s="2" t="s">
        <v>869</v>
      </c>
      <c r="P3873" s="2" t="s">
        <v>870</v>
      </c>
    </row>
    <row r="3874" ht="15.75" customHeight="1">
      <c r="H3874" s="2" t="s">
        <v>19710</v>
      </c>
      <c r="I3874" s="2" t="s">
        <v>19711</v>
      </c>
      <c r="J3874" s="2" t="s">
        <v>19712</v>
      </c>
      <c r="K3874" s="2" t="s">
        <v>2479</v>
      </c>
      <c r="L3874" s="2" t="s">
        <v>18345</v>
      </c>
      <c r="M3874" s="2" t="s">
        <v>19713</v>
      </c>
      <c r="N3874" s="2" t="s">
        <v>19714</v>
      </c>
      <c r="O3874" s="2" t="s">
        <v>869</v>
      </c>
      <c r="P3874" s="2" t="s">
        <v>870</v>
      </c>
    </row>
    <row r="3875" ht="15.75" customHeight="1">
      <c r="H3875" s="2" t="s">
        <v>19715</v>
      </c>
      <c r="I3875" s="2" t="s">
        <v>2483</v>
      </c>
      <c r="J3875" s="2" t="s">
        <v>2484</v>
      </c>
      <c r="K3875" s="2" t="s">
        <v>2485</v>
      </c>
      <c r="L3875" s="2" t="s">
        <v>18345</v>
      </c>
      <c r="M3875" s="2" t="s">
        <v>19716</v>
      </c>
      <c r="N3875" s="2" t="s">
        <v>19717</v>
      </c>
      <c r="O3875" s="2" t="s">
        <v>869</v>
      </c>
      <c r="P3875" s="2" t="s">
        <v>870</v>
      </c>
    </row>
    <row r="3876" ht="15.75" customHeight="1">
      <c r="H3876" s="2" t="s">
        <v>19718</v>
      </c>
      <c r="I3876" s="2" t="s">
        <v>19719</v>
      </c>
      <c r="J3876" s="2" t="s">
        <v>19720</v>
      </c>
      <c r="K3876" s="2" t="s">
        <v>19042</v>
      </c>
      <c r="L3876" s="2" t="s">
        <v>18345</v>
      </c>
      <c r="M3876" s="2" t="s">
        <v>19721</v>
      </c>
      <c r="N3876" s="2" t="s">
        <v>19722</v>
      </c>
      <c r="O3876" s="2" t="s">
        <v>869</v>
      </c>
      <c r="P3876" s="2" t="s">
        <v>870</v>
      </c>
    </row>
    <row r="3877" ht="15.75" customHeight="1">
      <c r="H3877" s="2" t="s">
        <v>19723</v>
      </c>
      <c r="I3877" s="2" t="s">
        <v>15495</v>
      </c>
      <c r="J3877" s="2" t="s">
        <v>15496</v>
      </c>
      <c r="K3877" s="2" t="s">
        <v>1801</v>
      </c>
      <c r="L3877" s="2" t="s">
        <v>19724</v>
      </c>
      <c r="M3877" s="2" t="s">
        <v>19725</v>
      </c>
      <c r="N3877" s="2" t="s">
        <v>19726</v>
      </c>
      <c r="O3877" s="2" t="s">
        <v>869</v>
      </c>
      <c r="P3877" s="2" t="s">
        <v>870</v>
      </c>
    </row>
    <row r="3878" ht="15.75" customHeight="1">
      <c r="H3878" s="2" t="s">
        <v>19727</v>
      </c>
      <c r="I3878" s="2" t="s">
        <v>19728</v>
      </c>
      <c r="J3878" s="2" t="s">
        <v>19729</v>
      </c>
      <c r="K3878" s="2" t="s">
        <v>1725</v>
      </c>
      <c r="L3878" s="2" t="s">
        <v>18345</v>
      </c>
      <c r="M3878" s="2" t="s">
        <v>19730</v>
      </c>
      <c r="N3878" s="2" t="s">
        <v>19731</v>
      </c>
      <c r="O3878" s="2" t="s">
        <v>869</v>
      </c>
      <c r="P3878" s="2" t="s">
        <v>870</v>
      </c>
    </row>
    <row r="3879" ht="15.75" customHeight="1">
      <c r="H3879" s="2" t="s">
        <v>19732</v>
      </c>
      <c r="I3879" s="2" t="s">
        <v>19733</v>
      </c>
      <c r="J3879" s="2" t="s">
        <v>19734</v>
      </c>
      <c r="K3879" s="2" t="s">
        <v>19735</v>
      </c>
      <c r="L3879" s="2" t="s">
        <v>18345</v>
      </c>
      <c r="M3879" s="2" t="s">
        <v>19736</v>
      </c>
      <c r="N3879" s="2" t="s">
        <v>19737</v>
      </c>
      <c r="O3879" s="2" t="s">
        <v>869</v>
      </c>
      <c r="P3879" s="2" t="s">
        <v>870</v>
      </c>
    </row>
    <row r="3880" ht="15.75" customHeight="1">
      <c r="H3880" s="2" t="s">
        <v>19738</v>
      </c>
      <c r="I3880" s="2" t="s">
        <v>2489</v>
      </c>
      <c r="J3880" s="2" t="s">
        <v>2490</v>
      </c>
      <c r="K3880" s="2" t="s">
        <v>1731</v>
      </c>
      <c r="L3880" s="2" t="s">
        <v>19739</v>
      </c>
      <c r="M3880" s="2" t="s">
        <v>19740</v>
      </c>
      <c r="N3880" s="2" t="s">
        <v>19741</v>
      </c>
      <c r="O3880" s="2" t="s">
        <v>869</v>
      </c>
      <c r="P3880" s="2" t="s">
        <v>870</v>
      </c>
    </row>
    <row r="3881" ht="15.75" customHeight="1">
      <c r="H3881" s="2" t="s">
        <v>19742</v>
      </c>
      <c r="I3881" s="2" t="s">
        <v>13902</v>
      </c>
      <c r="J3881" s="2" t="s">
        <v>13903</v>
      </c>
      <c r="K3881" s="2" t="s">
        <v>5520</v>
      </c>
      <c r="L3881" s="2" t="s">
        <v>18345</v>
      </c>
      <c r="M3881" s="2" t="s">
        <v>19743</v>
      </c>
      <c r="N3881" s="2" t="s">
        <v>19744</v>
      </c>
      <c r="O3881" s="2" t="s">
        <v>869</v>
      </c>
      <c r="P3881" s="2" t="s">
        <v>870</v>
      </c>
    </row>
    <row r="3882" ht="15.75" customHeight="1">
      <c r="H3882" s="2" t="s">
        <v>19745</v>
      </c>
      <c r="I3882" s="2" t="s">
        <v>19746</v>
      </c>
      <c r="J3882" s="2" t="s">
        <v>19747</v>
      </c>
      <c r="K3882" s="2" t="s">
        <v>19748</v>
      </c>
      <c r="L3882" s="2" t="s">
        <v>18345</v>
      </c>
      <c r="M3882" s="2" t="s">
        <v>19749</v>
      </c>
      <c r="N3882" s="2" t="s">
        <v>19750</v>
      </c>
      <c r="O3882" s="2" t="s">
        <v>869</v>
      </c>
      <c r="P3882" s="2" t="s">
        <v>870</v>
      </c>
    </row>
    <row r="3883" ht="15.75" customHeight="1">
      <c r="H3883" s="2" t="s">
        <v>19751</v>
      </c>
      <c r="I3883" s="2" t="s">
        <v>19752</v>
      </c>
      <c r="J3883" s="2" t="s">
        <v>19753</v>
      </c>
      <c r="K3883" s="2" t="s">
        <v>1828</v>
      </c>
      <c r="L3883" s="2" t="s">
        <v>18345</v>
      </c>
      <c r="M3883" s="2" t="s">
        <v>19754</v>
      </c>
      <c r="N3883" s="2" t="s">
        <v>19755</v>
      </c>
      <c r="O3883" s="2" t="s">
        <v>869</v>
      </c>
      <c r="P3883" s="2" t="s">
        <v>870</v>
      </c>
    </row>
    <row r="3884" ht="15.75" customHeight="1">
      <c r="H3884" s="2" t="s">
        <v>19756</v>
      </c>
      <c r="I3884" s="2" t="s">
        <v>19757</v>
      </c>
      <c r="J3884" s="2" t="s">
        <v>19758</v>
      </c>
      <c r="K3884" s="2" t="s">
        <v>19759</v>
      </c>
      <c r="L3884" s="2" t="s">
        <v>18345</v>
      </c>
      <c r="M3884" s="2" t="s">
        <v>19760</v>
      </c>
      <c r="N3884" s="2" t="s">
        <v>19761</v>
      </c>
      <c r="O3884" s="2" t="s">
        <v>869</v>
      </c>
      <c r="P3884" s="2" t="s">
        <v>870</v>
      </c>
    </row>
    <row r="3885" ht="15.75" customHeight="1">
      <c r="H3885" s="2" t="s">
        <v>19762</v>
      </c>
      <c r="I3885" s="2" t="s">
        <v>2504</v>
      </c>
      <c r="J3885" s="2" t="s">
        <v>2505</v>
      </c>
      <c r="K3885" s="2" t="s">
        <v>1816</v>
      </c>
      <c r="L3885" s="2" t="s">
        <v>18345</v>
      </c>
      <c r="M3885" s="2" t="s">
        <v>19763</v>
      </c>
      <c r="N3885" s="2" t="s">
        <v>19764</v>
      </c>
      <c r="O3885" s="2" t="s">
        <v>869</v>
      </c>
      <c r="P3885" s="2" t="s">
        <v>870</v>
      </c>
    </row>
    <row r="3886" ht="15.75" customHeight="1">
      <c r="F3886" s="2" t="s">
        <v>534</v>
      </c>
      <c r="H3886" s="2" t="s">
        <v>19765</v>
      </c>
      <c r="I3886" s="2" t="s">
        <v>19766</v>
      </c>
      <c r="J3886" s="2" t="s">
        <v>19767</v>
      </c>
      <c r="K3886" s="2" t="s">
        <v>1187</v>
      </c>
    </row>
    <row r="3887" ht="15.75" customHeight="1">
      <c r="H3887" s="2" t="s">
        <v>19768</v>
      </c>
      <c r="I3887" s="2" t="s">
        <v>2512</v>
      </c>
      <c r="J3887" s="2" t="s">
        <v>2513</v>
      </c>
      <c r="K3887" s="2" t="s">
        <v>2514</v>
      </c>
    </row>
    <row r="3888" ht="15.75" customHeight="1">
      <c r="H3888" s="2" t="s">
        <v>19769</v>
      </c>
      <c r="I3888" s="2" t="s">
        <v>536</v>
      </c>
      <c r="J3888" s="2" t="s">
        <v>537</v>
      </c>
      <c r="K3888" s="2" t="s">
        <v>538</v>
      </c>
    </row>
    <row r="3889" ht="15.75" customHeight="1">
      <c r="H3889" s="2" t="s">
        <v>19770</v>
      </c>
      <c r="I3889" s="2" t="s">
        <v>19771</v>
      </c>
      <c r="J3889" s="2" t="s">
        <v>19772</v>
      </c>
      <c r="K3889" s="2" t="s">
        <v>1810</v>
      </c>
    </row>
    <row r="3890" ht="15.75" customHeight="1">
      <c r="F3890" s="2" t="s">
        <v>539</v>
      </c>
      <c r="H3890" s="2" t="s">
        <v>19773</v>
      </c>
      <c r="I3890" s="2" t="s">
        <v>19774</v>
      </c>
      <c r="J3890" s="2" t="s">
        <v>19775</v>
      </c>
      <c r="L3890" s="2" t="s">
        <v>18345</v>
      </c>
      <c r="M3890" s="2" t="s">
        <v>19776</v>
      </c>
      <c r="N3890" s="2" t="s">
        <v>19777</v>
      </c>
      <c r="O3890" s="2" t="s">
        <v>869</v>
      </c>
      <c r="P3890" s="2" t="s">
        <v>870</v>
      </c>
    </row>
    <row r="3891" ht="15.75" customHeight="1">
      <c r="H3891" s="2" t="s">
        <v>19778</v>
      </c>
      <c r="I3891" s="2" t="s">
        <v>19779</v>
      </c>
      <c r="J3891" s="2" t="s">
        <v>19780</v>
      </c>
      <c r="K3891" s="2" t="s">
        <v>853</v>
      </c>
      <c r="L3891" s="2" t="s">
        <v>18345</v>
      </c>
      <c r="M3891" s="2" t="s">
        <v>19781</v>
      </c>
      <c r="N3891" s="2" t="s">
        <v>19782</v>
      </c>
      <c r="O3891" s="2" t="s">
        <v>869</v>
      </c>
      <c r="P3891" s="2" t="s">
        <v>870</v>
      </c>
    </row>
    <row r="3892" ht="15.75" customHeight="1">
      <c r="H3892" s="2" t="s">
        <v>19783</v>
      </c>
      <c r="I3892" s="2" t="s">
        <v>19784</v>
      </c>
      <c r="J3892" s="2" t="s">
        <v>19785</v>
      </c>
      <c r="K3892" s="2" t="s">
        <v>1061</v>
      </c>
      <c r="L3892" s="2" t="s">
        <v>18345</v>
      </c>
      <c r="M3892" s="2" t="s">
        <v>19786</v>
      </c>
      <c r="N3892" s="2" t="s">
        <v>19787</v>
      </c>
      <c r="O3892" s="2" t="s">
        <v>869</v>
      </c>
      <c r="P3892" s="2" t="s">
        <v>870</v>
      </c>
    </row>
    <row r="3893" ht="15.75" customHeight="1">
      <c r="H3893" s="2" t="s">
        <v>19788</v>
      </c>
      <c r="I3893" s="2" t="s">
        <v>2528</v>
      </c>
      <c r="J3893" s="2" t="s">
        <v>2529</v>
      </c>
      <c r="K3893" s="2" t="s">
        <v>1467</v>
      </c>
      <c r="L3893" s="2" t="s">
        <v>18345</v>
      </c>
      <c r="M3893" s="2" t="s">
        <v>19789</v>
      </c>
      <c r="N3893" s="2" t="s">
        <v>19790</v>
      </c>
      <c r="O3893" s="2" t="s">
        <v>869</v>
      </c>
      <c r="P3893" s="2" t="s">
        <v>870</v>
      </c>
    </row>
    <row r="3894" ht="15.75" customHeight="1">
      <c r="H3894" s="2" t="s">
        <v>19791</v>
      </c>
      <c r="I3894" s="2" t="s">
        <v>19792</v>
      </c>
      <c r="J3894" s="2" t="s">
        <v>19793</v>
      </c>
      <c r="K3894" s="2" t="s">
        <v>963</v>
      </c>
      <c r="L3894" s="2" t="s">
        <v>18345</v>
      </c>
      <c r="M3894" s="2" t="s">
        <v>19794</v>
      </c>
      <c r="N3894" s="2" t="s">
        <v>19795</v>
      </c>
      <c r="O3894" s="2" t="s">
        <v>869</v>
      </c>
      <c r="P3894" s="2" t="s">
        <v>870</v>
      </c>
    </row>
    <row r="3895" ht="15.75" customHeight="1">
      <c r="H3895" s="2" t="s">
        <v>19796</v>
      </c>
      <c r="I3895" s="2" t="s">
        <v>19797</v>
      </c>
      <c r="J3895" s="2" t="s">
        <v>19798</v>
      </c>
      <c r="K3895" s="2" t="s">
        <v>3298</v>
      </c>
      <c r="L3895" s="2" t="s">
        <v>18345</v>
      </c>
      <c r="M3895" s="2" t="s">
        <v>19799</v>
      </c>
      <c r="N3895" s="2" t="s">
        <v>19800</v>
      </c>
      <c r="O3895" s="2" t="s">
        <v>869</v>
      </c>
      <c r="P3895" s="2" t="s">
        <v>870</v>
      </c>
    </row>
    <row r="3896" ht="15.75" customHeight="1">
      <c r="H3896" s="2" t="s">
        <v>19801</v>
      </c>
      <c r="I3896" s="2" t="s">
        <v>541</v>
      </c>
      <c r="J3896" s="2" t="s">
        <v>542</v>
      </c>
      <c r="K3896" s="2" t="s">
        <v>890</v>
      </c>
      <c r="L3896" s="2" t="s">
        <v>19802</v>
      </c>
      <c r="M3896" s="2" t="s">
        <v>19803</v>
      </c>
      <c r="N3896" s="2" t="s">
        <v>19804</v>
      </c>
      <c r="O3896" s="2" t="s">
        <v>869</v>
      </c>
      <c r="P3896" s="2" t="s">
        <v>870</v>
      </c>
    </row>
    <row r="3897" ht="15.75" customHeight="1">
      <c r="H3897" s="2" t="s">
        <v>19805</v>
      </c>
      <c r="I3897" s="2" t="s">
        <v>19806</v>
      </c>
      <c r="J3897" s="2" t="s">
        <v>19807</v>
      </c>
      <c r="K3897" s="2" t="s">
        <v>970</v>
      </c>
      <c r="L3897" s="2" t="s">
        <v>18345</v>
      </c>
      <c r="M3897" s="2" t="s">
        <v>19808</v>
      </c>
      <c r="N3897" s="2" t="s">
        <v>19809</v>
      </c>
      <c r="O3897" s="2" t="s">
        <v>869</v>
      </c>
      <c r="P3897" s="2" t="s">
        <v>870</v>
      </c>
    </row>
    <row r="3898" ht="15.75" customHeight="1">
      <c r="H3898" s="2" t="s">
        <v>19810</v>
      </c>
      <c r="I3898" s="2" t="s">
        <v>19811</v>
      </c>
      <c r="J3898" s="2" t="s">
        <v>19812</v>
      </c>
      <c r="K3898" s="2" t="s">
        <v>1169</v>
      </c>
      <c r="L3898" s="2" t="s">
        <v>18345</v>
      </c>
      <c r="M3898" s="2" t="s">
        <v>19813</v>
      </c>
      <c r="N3898" s="2" t="s">
        <v>19814</v>
      </c>
      <c r="O3898" s="2" t="s">
        <v>869</v>
      </c>
      <c r="P3898" s="2" t="s">
        <v>870</v>
      </c>
    </row>
    <row r="3899" ht="15.75" customHeight="1">
      <c r="H3899" s="2" t="s">
        <v>19815</v>
      </c>
      <c r="I3899" s="2" t="s">
        <v>19816</v>
      </c>
      <c r="J3899" s="2" t="s">
        <v>19817</v>
      </c>
      <c r="K3899" s="2" t="s">
        <v>1181</v>
      </c>
      <c r="L3899" s="2" t="s">
        <v>18345</v>
      </c>
      <c r="M3899" s="2" t="s">
        <v>19818</v>
      </c>
      <c r="N3899" s="2" t="s">
        <v>19819</v>
      </c>
      <c r="O3899" s="2" t="s">
        <v>869</v>
      </c>
      <c r="P3899" s="2" t="s">
        <v>870</v>
      </c>
    </row>
    <row r="3900" ht="15.75" customHeight="1">
      <c r="H3900" s="2" t="s">
        <v>19820</v>
      </c>
      <c r="I3900" s="2" t="s">
        <v>19821</v>
      </c>
      <c r="J3900" s="2" t="s">
        <v>19822</v>
      </c>
      <c r="K3900" s="2" t="s">
        <v>906</v>
      </c>
      <c r="L3900" s="2" t="s">
        <v>18345</v>
      </c>
      <c r="M3900" s="2" t="s">
        <v>19823</v>
      </c>
      <c r="N3900" s="2" t="s">
        <v>19824</v>
      </c>
      <c r="O3900" s="2" t="s">
        <v>869</v>
      </c>
      <c r="P3900" s="2" t="s">
        <v>870</v>
      </c>
    </row>
    <row r="3901" ht="15.75" customHeight="1">
      <c r="H3901" s="2" t="s">
        <v>19825</v>
      </c>
      <c r="I3901" s="2" t="s">
        <v>19826</v>
      </c>
      <c r="J3901" s="2" t="s">
        <v>19826</v>
      </c>
      <c r="K3901" s="2" t="s">
        <v>1952</v>
      </c>
    </row>
    <row r="3902" ht="15.75" customHeight="1">
      <c r="H3902" s="2" t="s">
        <v>19827</v>
      </c>
      <c r="I3902" s="2" t="s">
        <v>19828</v>
      </c>
      <c r="J3902" s="2" t="s">
        <v>19829</v>
      </c>
      <c r="K3902" s="2" t="s">
        <v>1151</v>
      </c>
      <c r="L3902" s="2" t="s">
        <v>18345</v>
      </c>
      <c r="M3902" s="2" t="s">
        <v>19830</v>
      </c>
      <c r="N3902" s="2" t="s">
        <v>19831</v>
      </c>
      <c r="O3902" s="2" t="s">
        <v>869</v>
      </c>
      <c r="P3902" s="2" t="s">
        <v>870</v>
      </c>
    </row>
    <row r="3903" ht="15.75" customHeight="1">
      <c r="H3903" s="2" t="s">
        <v>19832</v>
      </c>
      <c r="I3903" s="2" t="s">
        <v>2564</v>
      </c>
      <c r="J3903" s="2" t="s">
        <v>2565</v>
      </c>
      <c r="K3903" s="2" t="s">
        <v>1038</v>
      </c>
      <c r="L3903" s="2" t="s">
        <v>18345</v>
      </c>
      <c r="M3903" s="2" t="s">
        <v>2566</v>
      </c>
      <c r="N3903" s="2" t="s">
        <v>19833</v>
      </c>
      <c r="O3903" s="2" t="s">
        <v>869</v>
      </c>
      <c r="P3903" s="2" t="s">
        <v>870</v>
      </c>
    </row>
    <row r="3904" ht="15.75" customHeight="1">
      <c r="H3904" s="2" t="s">
        <v>19834</v>
      </c>
      <c r="I3904" s="2" t="s">
        <v>2573</v>
      </c>
      <c r="J3904" s="2" t="s">
        <v>2574</v>
      </c>
      <c r="K3904" s="2" t="s">
        <v>4429</v>
      </c>
      <c r="L3904" s="2" t="s">
        <v>18345</v>
      </c>
      <c r="M3904" s="2" t="s">
        <v>19835</v>
      </c>
      <c r="N3904" s="2" t="s">
        <v>19836</v>
      </c>
      <c r="O3904" s="2" t="s">
        <v>869</v>
      </c>
      <c r="P3904" s="2" t="s">
        <v>870</v>
      </c>
    </row>
    <row r="3905" ht="15.75" customHeight="1">
      <c r="H3905" s="2" t="s">
        <v>19837</v>
      </c>
      <c r="I3905" s="2" t="s">
        <v>2583</v>
      </c>
      <c r="J3905" s="2" t="s">
        <v>2584</v>
      </c>
      <c r="K3905" s="2" t="s">
        <v>2585</v>
      </c>
      <c r="L3905" s="2" t="s">
        <v>18345</v>
      </c>
      <c r="M3905" s="2" t="s">
        <v>19838</v>
      </c>
      <c r="N3905" s="2" t="s">
        <v>19839</v>
      </c>
      <c r="O3905" s="2" t="s">
        <v>869</v>
      </c>
      <c r="P3905" s="2" t="s">
        <v>870</v>
      </c>
    </row>
    <row r="3906" ht="15.75" customHeight="1">
      <c r="F3906" s="2" t="s">
        <v>2597</v>
      </c>
      <c r="H3906" s="2" t="s">
        <v>19840</v>
      </c>
      <c r="I3906" s="2" t="s">
        <v>2604</v>
      </c>
      <c r="J3906" s="2" t="s">
        <v>2605</v>
      </c>
      <c r="K3906" s="2" t="s">
        <v>865</v>
      </c>
      <c r="L3906" s="2" t="s">
        <v>18345</v>
      </c>
      <c r="M3906" s="2" t="s">
        <v>19841</v>
      </c>
      <c r="N3906" s="2" t="s">
        <v>19842</v>
      </c>
      <c r="O3906" s="2" t="s">
        <v>869</v>
      </c>
      <c r="P3906" s="2" t="s">
        <v>870</v>
      </c>
    </row>
    <row r="3907" ht="15.75" customHeight="1">
      <c r="H3907" s="2" t="s">
        <v>19843</v>
      </c>
      <c r="I3907" s="2" t="s">
        <v>2609</v>
      </c>
      <c r="J3907" s="2" t="s">
        <v>2610</v>
      </c>
      <c r="K3907" s="2" t="s">
        <v>1569</v>
      </c>
      <c r="L3907" s="2" t="s">
        <v>18345</v>
      </c>
      <c r="M3907" s="2" t="s">
        <v>2611</v>
      </c>
      <c r="N3907" s="2" t="s">
        <v>19844</v>
      </c>
      <c r="O3907" s="2" t="s">
        <v>869</v>
      </c>
      <c r="P3907" s="2" t="s">
        <v>870</v>
      </c>
    </row>
    <row r="3908" ht="15.75" customHeight="1">
      <c r="H3908" s="2" t="s">
        <v>19845</v>
      </c>
      <c r="I3908" s="2" t="s">
        <v>2624</v>
      </c>
      <c r="J3908" s="2" t="s">
        <v>2625</v>
      </c>
      <c r="K3908" s="2" t="s">
        <v>996</v>
      </c>
      <c r="L3908" s="2" t="s">
        <v>19846</v>
      </c>
      <c r="M3908" s="2" t="s">
        <v>19847</v>
      </c>
      <c r="N3908" s="2" t="s">
        <v>19848</v>
      </c>
      <c r="O3908" s="2" t="s">
        <v>869</v>
      </c>
      <c r="P3908" s="2" t="s">
        <v>870</v>
      </c>
    </row>
    <row r="3909" ht="15.75" customHeight="1">
      <c r="H3909" s="2" t="s">
        <v>19849</v>
      </c>
      <c r="I3909" s="2" t="s">
        <v>19850</v>
      </c>
      <c r="J3909" s="2" t="s">
        <v>19851</v>
      </c>
      <c r="K3909" s="2" t="s">
        <v>880</v>
      </c>
      <c r="L3909" s="2" t="s">
        <v>18345</v>
      </c>
      <c r="M3909" s="2" t="s">
        <v>19852</v>
      </c>
      <c r="N3909" s="2" t="s">
        <v>19853</v>
      </c>
      <c r="O3909" s="2" t="s">
        <v>869</v>
      </c>
      <c r="P3909" s="2" t="s">
        <v>870</v>
      </c>
    </row>
    <row r="3910" ht="15.75" customHeight="1">
      <c r="H3910" s="2" t="s">
        <v>19854</v>
      </c>
      <c r="I3910" s="2" t="s">
        <v>19855</v>
      </c>
      <c r="J3910" s="2" t="s">
        <v>19856</v>
      </c>
      <c r="K3910" s="2" t="s">
        <v>896</v>
      </c>
      <c r="L3910" s="2" t="s">
        <v>18345</v>
      </c>
      <c r="M3910" s="2" t="s">
        <v>19857</v>
      </c>
      <c r="N3910" s="2" t="s">
        <v>19858</v>
      </c>
      <c r="O3910" s="2" t="s">
        <v>869</v>
      </c>
      <c r="P3910" s="2" t="s">
        <v>870</v>
      </c>
    </row>
    <row r="3911" ht="15.75" customHeight="1">
      <c r="H3911" s="2" t="s">
        <v>19859</v>
      </c>
      <c r="I3911" s="2" t="s">
        <v>257</v>
      </c>
      <c r="J3911" s="2" t="s">
        <v>258</v>
      </c>
      <c r="K3911" s="2" t="s">
        <v>1412</v>
      </c>
      <c r="L3911" s="2" t="s">
        <v>18345</v>
      </c>
      <c r="M3911" s="2" t="s">
        <v>19860</v>
      </c>
      <c r="N3911" s="2" t="s">
        <v>19861</v>
      </c>
      <c r="O3911" s="2" t="s">
        <v>869</v>
      </c>
      <c r="P3911" s="2" t="s">
        <v>870</v>
      </c>
    </row>
    <row r="3912" ht="15.75" customHeight="1">
      <c r="H3912" s="2" t="s">
        <v>19862</v>
      </c>
      <c r="I3912" s="2" t="s">
        <v>19863</v>
      </c>
      <c r="J3912" s="2" t="s">
        <v>19864</v>
      </c>
      <c r="K3912" s="2" t="s">
        <v>1424</v>
      </c>
      <c r="L3912" s="2" t="s">
        <v>18345</v>
      </c>
      <c r="M3912" s="2" t="s">
        <v>19865</v>
      </c>
      <c r="N3912" s="2" t="s">
        <v>19866</v>
      </c>
      <c r="O3912" s="2" t="s">
        <v>869</v>
      </c>
      <c r="P3912" s="2" t="s">
        <v>870</v>
      </c>
    </row>
    <row r="3913" ht="15.75" customHeight="1">
      <c r="F3913" s="2" t="s">
        <v>548</v>
      </c>
      <c r="H3913" s="2" t="s">
        <v>19867</v>
      </c>
      <c r="I3913" s="2" t="s">
        <v>19868</v>
      </c>
      <c r="J3913" s="2" t="s">
        <v>19869</v>
      </c>
      <c r="K3913" s="2" t="s">
        <v>277</v>
      </c>
      <c r="L3913" s="2" t="s">
        <v>18345</v>
      </c>
      <c r="M3913" s="2" t="s">
        <v>19870</v>
      </c>
      <c r="N3913" s="2" t="s">
        <v>19871</v>
      </c>
      <c r="O3913" s="2" t="s">
        <v>869</v>
      </c>
      <c r="P3913" s="2" t="s">
        <v>870</v>
      </c>
    </row>
    <row r="3914" ht="15.75" customHeight="1">
      <c r="H3914" s="2" t="s">
        <v>19872</v>
      </c>
      <c r="I3914" s="2" t="s">
        <v>2663</v>
      </c>
      <c r="J3914" s="2" t="s">
        <v>2664</v>
      </c>
      <c r="K3914" s="2" t="s">
        <v>1878</v>
      </c>
      <c r="L3914" s="2" t="s">
        <v>18345</v>
      </c>
      <c r="M3914" s="2" t="s">
        <v>19873</v>
      </c>
      <c r="N3914" s="2" t="s">
        <v>19874</v>
      </c>
      <c r="O3914" s="2" t="s">
        <v>869</v>
      </c>
      <c r="P3914" s="2" t="s">
        <v>870</v>
      </c>
    </row>
    <row r="3915" ht="15.75" customHeight="1">
      <c r="H3915" s="2" t="s">
        <v>19875</v>
      </c>
      <c r="I3915" s="2" t="s">
        <v>17220</v>
      </c>
      <c r="J3915" s="2" t="s">
        <v>17221</v>
      </c>
      <c r="K3915" s="2" t="s">
        <v>1467</v>
      </c>
      <c r="L3915" s="2" t="s">
        <v>18345</v>
      </c>
      <c r="M3915" s="2" t="s">
        <v>19876</v>
      </c>
      <c r="N3915" s="2" t="s">
        <v>19877</v>
      </c>
      <c r="O3915" s="2" t="s">
        <v>869</v>
      </c>
      <c r="P3915" s="2" t="s">
        <v>870</v>
      </c>
    </row>
    <row r="3916" ht="15.75" customHeight="1">
      <c r="H3916" s="2" t="s">
        <v>19878</v>
      </c>
      <c r="I3916" s="2" t="s">
        <v>8036</v>
      </c>
      <c r="J3916" s="2" t="s">
        <v>8037</v>
      </c>
      <c r="K3916" s="2" t="s">
        <v>874</v>
      </c>
      <c r="L3916" s="2" t="s">
        <v>18345</v>
      </c>
      <c r="M3916" s="2" t="s">
        <v>19879</v>
      </c>
      <c r="N3916" s="2" t="s">
        <v>19880</v>
      </c>
      <c r="O3916" s="2" t="s">
        <v>869</v>
      </c>
      <c r="P3916" s="2" t="s">
        <v>870</v>
      </c>
    </row>
    <row r="3917" ht="15.75" customHeight="1">
      <c r="H3917" s="2" t="s">
        <v>19881</v>
      </c>
      <c r="I3917" s="2" t="s">
        <v>19882</v>
      </c>
      <c r="J3917" s="2" t="s">
        <v>19883</v>
      </c>
      <c r="K3917" s="2" t="s">
        <v>1117</v>
      </c>
      <c r="L3917" s="2" t="s">
        <v>18345</v>
      </c>
      <c r="M3917" s="2" t="s">
        <v>19884</v>
      </c>
      <c r="N3917" s="2" t="s">
        <v>19885</v>
      </c>
      <c r="O3917" s="2" t="s">
        <v>869</v>
      </c>
      <c r="P3917" s="2" t="s">
        <v>870</v>
      </c>
    </row>
    <row r="3918" ht="15.75" customHeight="1">
      <c r="H3918" s="2" t="s">
        <v>19886</v>
      </c>
      <c r="I3918" s="2" t="s">
        <v>550</v>
      </c>
      <c r="J3918" s="2" t="s">
        <v>551</v>
      </c>
      <c r="K3918" s="2" t="s">
        <v>1297</v>
      </c>
      <c r="L3918" s="2" t="s">
        <v>18345</v>
      </c>
      <c r="M3918" s="2" t="s">
        <v>19887</v>
      </c>
      <c r="N3918" s="2" t="s">
        <v>19888</v>
      </c>
      <c r="O3918" s="2" t="s">
        <v>869</v>
      </c>
      <c r="P3918" s="2" t="s">
        <v>870</v>
      </c>
    </row>
    <row r="3919" ht="15.75" customHeight="1">
      <c r="H3919" s="2" t="s">
        <v>19889</v>
      </c>
      <c r="I3919" s="2" t="s">
        <v>8055</v>
      </c>
      <c r="J3919" s="2" t="s">
        <v>8056</v>
      </c>
      <c r="K3919" s="2" t="s">
        <v>880</v>
      </c>
      <c r="L3919" s="2" t="s">
        <v>18345</v>
      </c>
      <c r="M3919" s="2" t="s">
        <v>19890</v>
      </c>
      <c r="N3919" s="2" t="s">
        <v>19891</v>
      </c>
      <c r="O3919" s="2" t="s">
        <v>869</v>
      </c>
      <c r="P3919" s="2" t="s">
        <v>870</v>
      </c>
    </row>
    <row r="3920" ht="15.75" customHeight="1">
      <c r="H3920" s="2" t="s">
        <v>19892</v>
      </c>
      <c r="I3920" s="2" t="s">
        <v>19893</v>
      </c>
      <c r="J3920" s="2" t="s">
        <v>19894</v>
      </c>
      <c r="K3920" s="2" t="s">
        <v>890</v>
      </c>
      <c r="L3920" s="2" t="s">
        <v>18345</v>
      </c>
      <c r="M3920" s="2" t="s">
        <v>19895</v>
      </c>
      <c r="N3920" s="2" t="s">
        <v>19896</v>
      </c>
      <c r="O3920" s="2" t="s">
        <v>869</v>
      </c>
      <c r="P3920" s="2" t="s">
        <v>870</v>
      </c>
    </row>
    <row r="3921" ht="15.75" customHeight="1">
      <c r="H3921" s="2" t="s">
        <v>19897</v>
      </c>
      <c r="I3921" s="2" t="s">
        <v>19898</v>
      </c>
      <c r="J3921" s="2" t="s">
        <v>19899</v>
      </c>
      <c r="K3921" s="2" t="s">
        <v>912</v>
      </c>
      <c r="L3921" s="2" t="s">
        <v>18345</v>
      </c>
      <c r="M3921" s="2" t="s">
        <v>19900</v>
      </c>
      <c r="N3921" s="2" t="s">
        <v>19901</v>
      </c>
      <c r="O3921" s="2" t="s">
        <v>869</v>
      </c>
      <c r="P3921" s="2" t="s">
        <v>870</v>
      </c>
    </row>
    <row r="3922" ht="15.75" customHeight="1">
      <c r="H3922" s="2" t="s">
        <v>19902</v>
      </c>
      <c r="I3922" s="2" t="s">
        <v>19903</v>
      </c>
      <c r="J3922" s="2" t="s">
        <v>19904</v>
      </c>
      <c r="K3922" s="2" t="s">
        <v>1145</v>
      </c>
      <c r="L3922" s="2" t="s">
        <v>18345</v>
      </c>
      <c r="M3922" s="2" t="s">
        <v>19905</v>
      </c>
      <c r="N3922" s="2" t="s">
        <v>19906</v>
      </c>
      <c r="O3922" s="2" t="s">
        <v>869</v>
      </c>
      <c r="P3922" s="2" t="s">
        <v>870</v>
      </c>
    </row>
    <row r="3923" ht="15.75" customHeight="1">
      <c r="H3923" s="2" t="s">
        <v>19907</v>
      </c>
      <c r="I3923" s="2" t="s">
        <v>19908</v>
      </c>
      <c r="J3923" s="2" t="s">
        <v>19909</v>
      </c>
      <c r="K3923" s="2" t="s">
        <v>918</v>
      </c>
      <c r="L3923" s="2" t="s">
        <v>18345</v>
      </c>
      <c r="M3923" s="2" t="s">
        <v>19910</v>
      </c>
      <c r="N3923" s="2" t="s">
        <v>19911</v>
      </c>
      <c r="O3923" s="2" t="s">
        <v>869</v>
      </c>
      <c r="P3923" s="2" t="s">
        <v>870</v>
      </c>
    </row>
    <row r="3924" ht="15.75" customHeight="1">
      <c r="H3924" s="2" t="s">
        <v>19912</v>
      </c>
      <c r="I3924" s="2" t="s">
        <v>1404</v>
      </c>
      <c r="J3924" s="2" t="s">
        <v>1405</v>
      </c>
      <c r="K3924" s="2" t="s">
        <v>1313</v>
      </c>
      <c r="L3924" s="2" t="s">
        <v>18345</v>
      </c>
      <c r="M3924" s="2" t="s">
        <v>19913</v>
      </c>
      <c r="N3924" s="2" t="s">
        <v>19914</v>
      </c>
      <c r="O3924" s="2" t="s">
        <v>869</v>
      </c>
      <c r="P3924" s="2" t="s">
        <v>870</v>
      </c>
    </row>
    <row r="3925" ht="15.75" customHeight="1">
      <c r="H3925" s="2" t="s">
        <v>19915</v>
      </c>
      <c r="I3925" s="2" t="s">
        <v>19916</v>
      </c>
      <c r="J3925" s="2" t="s">
        <v>19917</v>
      </c>
      <c r="K3925" s="2" t="s">
        <v>1141</v>
      </c>
      <c r="L3925" s="2" t="s">
        <v>18345</v>
      </c>
      <c r="M3925" s="2" t="s">
        <v>19918</v>
      </c>
      <c r="N3925" s="2" t="s">
        <v>19919</v>
      </c>
      <c r="O3925" s="2" t="s">
        <v>869</v>
      </c>
      <c r="P3925" s="2" t="s">
        <v>870</v>
      </c>
    </row>
    <row r="3926" ht="15.75" customHeight="1">
      <c r="H3926" s="2" t="s">
        <v>19920</v>
      </c>
      <c r="I3926" s="2" t="s">
        <v>8101</v>
      </c>
      <c r="J3926" s="2" t="s">
        <v>8102</v>
      </c>
      <c r="K3926" s="2" t="s">
        <v>924</v>
      </c>
      <c r="L3926" s="2" t="s">
        <v>18345</v>
      </c>
      <c r="M3926" s="2" t="s">
        <v>19921</v>
      </c>
      <c r="N3926" s="2" t="s">
        <v>19922</v>
      </c>
      <c r="O3926" s="2" t="s">
        <v>869</v>
      </c>
      <c r="P3926" s="2" t="s">
        <v>870</v>
      </c>
    </row>
    <row r="3927" ht="15.75" customHeight="1">
      <c r="H3927" s="2" t="s">
        <v>19923</v>
      </c>
      <c r="I3927" s="2" t="s">
        <v>8859</v>
      </c>
      <c r="J3927" s="2" t="s">
        <v>8860</v>
      </c>
      <c r="K3927" s="2" t="s">
        <v>1569</v>
      </c>
      <c r="L3927" s="2" t="s">
        <v>18345</v>
      </c>
      <c r="M3927" s="2" t="s">
        <v>19924</v>
      </c>
      <c r="N3927" s="2" t="s">
        <v>19925</v>
      </c>
      <c r="O3927" s="2" t="s">
        <v>869</v>
      </c>
      <c r="P3927" s="2" t="s">
        <v>870</v>
      </c>
    </row>
    <row r="3928" ht="15.75" customHeight="1">
      <c r="H3928" s="2" t="s">
        <v>19926</v>
      </c>
      <c r="I3928" s="2" t="s">
        <v>2681</v>
      </c>
      <c r="J3928" s="2" t="s">
        <v>2682</v>
      </c>
      <c r="K3928" s="2" t="s">
        <v>1424</v>
      </c>
      <c r="L3928" s="2" t="s">
        <v>18345</v>
      </c>
      <c r="M3928" s="2" t="s">
        <v>19927</v>
      </c>
      <c r="N3928" s="2" t="s">
        <v>19928</v>
      </c>
      <c r="O3928" s="2" t="s">
        <v>869</v>
      </c>
      <c r="P3928" s="2" t="s">
        <v>870</v>
      </c>
    </row>
    <row r="3929" ht="15.75" customHeight="1">
      <c r="F3929" s="2" t="s">
        <v>2693</v>
      </c>
      <c r="H3929" s="2" t="s">
        <v>19929</v>
      </c>
      <c r="I3929" s="2" t="s">
        <v>19930</v>
      </c>
      <c r="J3929" s="2" t="s">
        <v>19931</v>
      </c>
      <c r="K3929" s="2" t="s">
        <v>853</v>
      </c>
      <c r="L3929" s="2" t="s">
        <v>18345</v>
      </c>
      <c r="M3929" s="2" t="s">
        <v>19932</v>
      </c>
      <c r="N3929" s="2" t="s">
        <v>19933</v>
      </c>
      <c r="O3929" s="2" t="s">
        <v>869</v>
      </c>
      <c r="P3929" s="2" t="s">
        <v>870</v>
      </c>
    </row>
    <row r="3930" ht="15.75" customHeight="1">
      <c r="H3930" s="2" t="s">
        <v>19934</v>
      </c>
      <c r="I3930" s="2" t="s">
        <v>19935</v>
      </c>
      <c r="J3930" s="2" t="s">
        <v>19936</v>
      </c>
      <c r="K3930" s="2" t="s">
        <v>280</v>
      </c>
      <c r="L3930" s="2" t="s">
        <v>18345</v>
      </c>
      <c r="M3930" s="2" t="s">
        <v>19937</v>
      </c>
      <c r="N3930" s="2" t="s">
        <v>19938</v>
      </c>
      <c r="O3930" s="2" t="s">
        <v>869</v>
      </c>
      <c r="P3930" s="2" t="s">
        <v>870</v>
      </c>
    </row>
    <row r="3931" ht="15.75" customHeight="1">
      <c r="H3931" s="2" t="s">
        <v>19939</v>
      </c>
      <c r="I3931" s="2" t="s">
        <v>2710</v>
      </c>
      <c r="J3931" s="2" t="s">
        <v>2711</v>
      </c>
      <c r="K3931" s="2" t="s">
        <v>996</v>
      </c>
      <c r="L3931" s="2" t="s">
        <v>18345</v>
      </c>
      <c r="M3931" s="2" t="s">
        <v>19940</v>
      </c>
      <c r="N3931" s="2" t="s">
        <v>19941</v>
      </c>
      <c r="O3931" s="2" t="s">
        <v>869</v>
      </c>
      <c r="P3931" s="2" t="s">
        <v>870</v>
      </c>
    </row>
    <row r="3932" ht="15.75" customHeight="1">
      <c r="H3932" s="2" t="s">
        <v>19942</v>
      </c>
      <c r="I3932" s="2" t="s">
        <v>11431</v>
      </c>
      <c r="J3932" s="2" t="s">
        <v>11432</v>
      </c>
      <c r="K3932" s="2" t="s">
        <v>1297</v>
      </c>
      <c r="L3932" s="2" t="s">
        <v>18345</v>
      </c>
      <c r="M3932" s="2" t="s">
        <v>19943</v>
      </c>
      <c r="N3932" s="2" t="s">
        <v>19944</v>
      </c>
      <c r="O3932" s="2" t="s">
        <v>869</v>
      </c>
      <c r="P3932" s="2" t="s">
        <v>870</v>
      </c>
    </row>
    <row r="3933" ht="15.75" customHeight="1">
      <c r="H3933" s="2" t="s">
        <v>19945</v>
      </c>
      <c r="I3933" s="2" t="s">
        <v>19946</v>
      </c>
      <c r="J3933" s="2" t="s">
        <v>19947</v>
      </c>
      <c r="K3933" s="2" t="s">
        <v>880</v>
      </c>
      <c r="L3933" s="2" t="s">
        <v>18345</v>
      </c>
      <c r="M3933" s="2" t="s">
        <v>19948</v>
      </c>
      <c r="N3933" s="2" t="s">
        <v>19949</v>
      </c>
      <c r="O3933" s="2" t="s">
        <v>869</v>
      </c>
      <c r="P3933" s="2" t="s">
        <v>870</v>
      </c>
    </row>
    <row r="3934" ht="15.75" customHeight="1">
      <c r="H3934" s="2" t="s">
        <v>19950</v>
      </c>
      <c r="I3934" s="2" t="s">
        <v>4035</v>
      </c>
      <c r="J3934" s="2" t="s">
        <v>4036</v>
      </c>
      <c r="L3934" s="2" t="s">
        <v>18345</v>
      </c>
      <c r="M3934" s="2" t="s">
        <v>19951</v>
      </c>
      <c r="N3934" s="2" t="s">
        <v>19952</v>
      </c>
      <c r="O3934" s="2" t="s">
        <v>869</v>
      </c>
      <c r="P3934" s="2" t="s">
        <v>870</v>
      </c>
    </row>
    <row r="3935" ht="15.75" customHeight="1">
      <c r="H3935" s="2" t="s">
        <v>19953</v>
      </c>
      <c r="I3935" s="2" t="s">
        <v>19954</v>
      </c>
      <c r="J3935" s="2" t="s">
        <v>19955</v>
      </c>
      <c r="K3935" s="2" t="s">
        <v>1508</v>
      </c>
      <c r="L3935" s="2" t="s">
        <v>18345</v>
      </c>
      <c r="M3935" s="2" t="s">
        <v>2748</v>
      </c>
      <c r="N3935" s="2" t="s">
        <v>19956</v>
      </c>
      <c r="O3935" s="2" t="s">
        <v>869</v>
      </c>
      <c r="P3935" s="2" t="s">
        <v>870</v>
      </c>
    </row>
    <row r="3936" ht="15.75" customHeight="1">
      <c r="H3936" s="2" t="s">
        <v>19957</v>
      </c>
      <c r="I3936" s="2" t="s">
        <v>19958</v>
      </c>
      <c r="J3936" s="2" t="s">
        <v>19959</v>
      </c>
      <c r="K3936" s="2" t="s">
        <v>1145</v>
      </c>
      <c r="L3936" s="2" t="s">
        <v>18345</v>
      </c>
      <c r="M3936" s="2" t="s">
        <v>19960</v>
      </c>
      <c r="N3936" s="2" t="s">
        <v>19961</v>
      </c>
      <c r="O3936" s="2" t="s">
        <v>869</v>
      </c>
      <c r="P3936" s="2" t="s">
        <v>870</v>
      </c>
    </row>
    <row r="3937" ht="15.75" customHeight="1">
      <c r="H3937" s="2" t="s">
        <v>19962</v>
      </c>
      <c r="I3937" s="2" t="s">
        <v>19963</v>
      </c>
      <c r="J3937" s="2" t="s">
        <v>19964</v>
      </c>
      <c r="K3937" s="2" t="s">
        <v>1406</v>
      </c>
      <c r="L3937" s="2" t="s">
        <v>18345</v>
      </c>
      <c r="M3937" s="2" t="s">
        <v>19965</v>
      </c>
      <c r="N3937" s="2" t="s">
        <v>19966</v>
      </c>
      <c r="O3937" s="2" t="s">
        <v>869</v>
      </c>
      <c r="P3937" s="2" t="s">
        <v>870</v>
      </c>
    </row>
    <row r="3938" ht="15.75" customHeight="1">
      <c r="F3938" s="2" t="s">
        <v>556</v>
      </c>
      <c r="H3938" s="2" t="s">
        <v>19967</v>
      </c>
      <c r="I3938" s="2" t="s">
        <v>19968</v>
      </c>
      <c r="J3938" s="2" t="s">
        <v>19969</v>
      </c>
      <c r="K3938" s="2" t="s">
        <v>1567</v>
      </c>
      <c r="L3938" s="2" t="s">
        <v>18345</v>
      </c>
      <c r="M3938" s="2" t="s">
        <v>19970</v>
      </c>
      <c r="N3938" s="2" t="s">
        <v>19971</v>
      </c>
      <c r="O3938" s="2" t="s">
        <v>869</v>
      </c>
      <c r="P3938" s="2" t="s">
        <v>870</v>
      </c>
    </row>
    <row r="3939" ht="15.75" customHeight="1">
      <c r="H3939" s="2" t="s">
        <v>19972</v>
      </c>
      <c r="I3939" s="2" t="s">
        <v>2769</v>
      </c>
      <c r="J3939" s="2" t="s">
        <v>2770</v>
      </c>
      <c r="K3939" s="2" t="s">
        <v>963</v>
      </c>
      <c r="L3939" s="2" t="s">
        <v>18345</v>
      </c>
      <c r="M3939" s="2" t="s">
        <v>19973</v>
      </c>
      <c r="N3939" s="2" t="s">
        <v>19974</v>
      </c>
      <c r="O3939" s="2" t="s">
        <v>869</v>
      </c>
      <c r="P3939" s="2" t="s">
        <v>870</v>
      </c>
    </row>
    <row r="3940" ht="15.75" customHeight="1">
      <c r="H3940" s="2" t="s">
        <v>19975</v>
      </c>
      <c r="I3940" s="2" t="s">
        <v>2784</v>
      </c>
      <c r="J3940" s="2" t="s">
        <v>2785</v>
      </c>
      <c r="K3940" s="2" t="s">
        <v>1551</v>
      </c>
      <c r="L3940" s="2" t="s">
        <v>18345</v>
      </c>
      <c r="M3940" s="2" t="s">
        <v>19976</v>
      </c>
      <c r="N3940" s="2" t="s">
        <v>19977</v>
      </c>
      <c r="O3940" s="2" t="s">
        <v>869</v>
      </c>
      <c r="P3940" s="2" t="s">
        <v>870</v>
      </c>
    </row>
    <row r="3941" ht="15.75" customHeight="1">
      <c r="H3941" s="2" t="s">
        <v>19978</v>
      </c>
      <c r="I3941" s="2" t="s">
        <v>19979</v>
      </c>
      <c r="J3941" s="2" t="s">
        <v>19980</v>
      </c>
      <c r="K3941" s="2" t="s">
        <v>1145</v>
      </c>
      <c r="L3941" s="2" t="s">
        <v>18345</v>
      </c>
      <c r="M3941" s="2" t="s">
        <v>19981</v>
      </c>
      <c r="N3941" s="2" t="s">
        <v>19982</v>
      </c>
      <c r="O3941" s="2" t="s">
        <v>869</v>
      </c>
      <c r="P3941" s="2" t="s">
        <v>870</v>
      </c>
    </row>
    <row r="3942" ht="15.75" customHeight="1">
      <c r="H3942" s="2" t="s">
        <v>19983</v>
      </c>
      <c r="I3942" s="2" t="s">
        <v>19984</v>
      </c>
      <c r="J3942" s="2" t="s">
        <v>19985</v>
      </c>
      <c r="K3942" s="2" t="s">
        <v>2737</v>
      </c>
      <c r="L3942" s="2" t="s">
        <v>18345</v>
      </c>
      <c r="M3942" s="2" t="s">
        <v>19986</v>
      </c>
      <c r="N3942" s="2" t="s">
        <v>19987</v>
      </c>
      <c r="O3942" s="2" t="s">
        <v>869</v>
      </c>
      <c r="P3942" s="2" t="s">
        <v>870</v>
      </c>
    </row>
    <row r="3943" ht="15.75" customHeight="1">
      <c r="H3943" s="2" t="s">
        <v>19988</v>
      </c>
      <c r="I3943" s="2" t="s">
        <v>574</v>
      </c>
      <c r="J3943" s="2" t="s">
        <v>575</v>
      </c>
      <c r="K3943" s="2" t="s">
        <v>2223</v>
      </c>
      <c r="L3943" s="2" t="s">
        <v>18345</v>
      </c>
      <c r="M3943" s="2" t="s">
        <v>19989</v>
      </c>
      <c r="N3943" s="2" t="s">
        <v>19990</v>
      </c>
      <c r="O3943" s="2" t="s">
        <v>869</v>
      </c>
      <c r="P3943" s="2" t="s">
        <v>870</v>
      </c>
    </row>
    <row r="3944" ht="15.75" customHeight="1">
      <c r="F3944" s="2" t="s">
        <v>2827</v>
      </c>
      <c r="H3944" s="2" t="s">
        <v>19991</v>
      </c>
      <c r="I3944" s="2" t="s">
        <v>2842</v>
      </c>
      <c r="J3944" s="2" t="s">
        <v>2843</v>
      </c>
      <c r="K3944" s="2" t="s">
        <v>1288</v>
      </c>
      <c r="L3944" s="2" t="s">
        <v>18345</v>
      </c>
      <c r="M3944" s="2" t="s">
        <v>19992</v>
      </c>
      <c r="N3944" s="2" t="s">
        <v>19993</v>
      </c>
      <c r="O3944" s="2" t="s">
        <v>869</v>
      </c>
      <c r="P3944" s="2" t="s">
        <v>870</v>
      </c>
    </row>
    <row r="3945" ht="15.75" customHeight="1">
      <c r="H3945" s="2" t="s">
        <v>19994</v>
      </c>
      <c r="I3945" s="2" t="s">
        <v>2862</v>
      </c>
      <c r="J3945" s="2" t="s">
        <v>2863</v>
      </c>
      <c r="K3945" s="2" t="s">
        <v>886</v>
      </c>
      <c r="L3945" s="2" t="s">
        <v>18345</v>
      </c>
      <c r="M3945" s="2" t="s">
        <v>2864</v>
      </c>
      <c r="N3945" s="2" t="s">
        <v>19995</v>
      </c>
      <c r="O3945" s="2" t="s">
        <v>869</v>
      </c>
      <c r="P3945" s="2" t="s">
        <v>870</v>
      </c>
    </row>
    <row r="3946" ht="15.75" customHeight="1">
      <c r="H3946" s="2" t="s">
        <v>19996</v>
      </c>
      <c r="I3946" s="2" t="s">
        <v>2867</v>
      </c>
      <c r="J3946" s="2" t="s">
        <v>2868</v>
      </c>
      <c r="L3946" s="2" t="s">
        <v>18345</v>
      </c>
      <c r="M3946" s="2" t="s">
        <v>19997</v>
      </c>
      <c r="N3946" s="2" t="s">
        <v>19998</v>
      </c>
      <c r="O3946" s="2" t="s">
        <v>869</v>
      </c>
      <c r="P3946" s="2" t="s">
        <v>870</v>
      </c>
    </row>
    <row r="3947" ht="15.75" customHeight="1">
      <c r="H3947" s="2" t="s">
        <v>19999</v>
      </c>
      <c r="I3947" s="2" t="s">
        <v>20000</v>
      </c>
      <c r="J3947" s="2" t="s">
        <v>20001</v>
      </c>
      <c r="K3947" s="2" t="s">
        <v>283</v>
      </c>
      <c r="L3947" s="2" t="s">
        <v>18345</v>
      </c>
      <c r="M3947" s="2" t="s">
        <v>20002</v>
      </c>
      <c r="N3947" s="2" t="s">
        <v>20003</v>
      </c>
      <c r="O3947" s="2" t="s">
        <v>869</v>
      </c>
      <c r="P3947" s="2" t="s">
        <v>870</v>
      </c>
    </row>
    <row r="3948" ht="15.75" customHeight="1">
      <c r="H3948" s="2" t="s">
        <v>20004</v>
      </c>
      <c r="I3948" s="2" t="s">
        <v>20005</v>
      </c>
      <c r="J3948" s="2" t="s">
        <v>20006</v>
      </c>
      <c r="K3948" s="2" t="s">
        <v>912</v>
      </c>
      <c r="L3948" s="2" t="s">
        <v>18345</v>
      </c>
      <c r="M3948" s="2" t="s">
        <v>20007</v>
      </c>
      <c r="N3948" s="2" t="s">
        <v>20008</v>
      </c>
      <c r="O3948" s="2" t="s">
        <v>869</v>
      </c>
      <c r="P3948" s="2" t="s">
        <v>870</v>
      </c>
    </row>
    <row r="3949" ht="15.75" customHeight="1">
      <c r="H3949" s="2" t="s">
        <v>20009</v>
      </c>
      <c r="I3949" s="2" t="s">
        <v>2880</v>
      </c>
      <c r="J3949" s="2" t="s">
        <v>2881</v>
      </c>
      <c r="K3949" s="2" t="s">
        <v>1145</v>
      </c>
      <c r="L3949" s="2" t="s">
        <v>18345</v>
      </c>
      <c r="M3949" s="2" t="s">
        <v>2882</v>
      </c>
      <c r="N3949" s="2" t="s">
        <v>20010</v>
      </c>
      <c r="O3949" s="2" t="s">
        <v>869</v>
      </c>
      <c r="P3949" s="2" t="s">
        <v>870</v>
      </c>
    </row>
    <row r="3950" ht="15.75" customHeight="1">
      <c r="F3950" s="2" t="s">
        <v>581</v>
      </c>
      <c r="H3950" s="2" t="s">
        <v>20011</v>
      </c>
      <c r="I3950" s="2" t="s">
        <v>8343</v>
      </c>
      <c r="J3950" s="2" t="s">
        <v>8344</v>
      </c>
      <c r="K3950" s="2" t="s">
        <v>947</v>
      </c>
      <c r="L3950" s="2" t="s">
        <v>18345</v>
      </c>
      <c r="M3950" s="2" t="s">
        <v>20012</v>
      </c>
      <c r="N3950" s="2" t="s">
        <v>20013</v>
      </c>
      <c r="O3950" s="2" t="s">
        <v>869</v>
      </c>
      <c r="P3950" s="2" t="s">
        <v>870</v>
      </c>
    </row>
    <row r="3951" ht="15.75" customHeight="1">
      <c r="H3951" s="2" t="s">
        <v>20014</v>
      </c>
      <c r="I3951" s="2" t="s">
        <v>20015</v>
      </c>
      <c r="J3951" s="2" t="s">
        <v>20016</v>
      </c>
      <c r="K3951" s="2" t="s">
        <v>1362</v>
      </c>
      <c r="L3951" s="2" t="s">
        <v>18345</v>
      </c>
      <c r="M3951" s="2" t="s">
        <v>20017</v>
      </c>
      <c r="N3951" s="2" t="s">
        <v>20018</v>
      </c>
      <c r="O3951" s="2" t="s">
        <v>869</v>
      </c>
      <c r="P3951" s="2" t="s">
        <v>870</v>
      </c>
    </row>
    <row r="3952" ht="15.75" customHeight="1">
      <c r="H3952" s="2" t="s">
        <v>20019</v>
      </c>
      <c r="I3952" s="2" t="s">
        <v>20020</v>
      </c>
      <c r="J3952" s="2" t="s">
        <v>20021</v>
      </c>
      <c r="K3952" s="2" t="s">
        <v>280</v>
      </c>
      <c r="L3952" s="2" t="s">
        <v>18345</v>
      </c>
      <c r="M3952" s="2" t="s">
        <v>20022</v>
      </c>
      <c r="N3952" s="2" t="s">
        <v>20023</v>
      </c>
      <c r="O3952" s="2" t="s">
        <v>869</v>
      </c>
      <c r="P3952" s="2" t="s">
        <v>870</v>
      </c>
    </row>
    <row r="3953" ht="15.75" customHeight="1">
      <c r="H3953" s="2" t="s">
        <v>20024</v>
      </c>
      <c r="I3953" s="2" t="s">
        <v>8361</v>
      </c>
      <c r="J3953" s="2" t="s">
        <v>8362</v>
      </c>
      <c r="K3953" s="2" t="s">
        <v>1467</v>
      </c>
      <c r="L3953" s="2" t="s">
        <v>18345</v>
      </c>
      <c r="M3953" s="2" t="s">
        <v>20025</v>
      </c>
      <c r="N3953" s="2" t="s">
        <v>20026</v>
      </c>
      <c r="O3953" s="2" t="s">
        <v>869</v>
      </c>
      <c r="P3953" s="2" t="s">
        <v>870</v>
      </c>
    </row>
    <row r="3954" ht="15.75" customHeight="1">
      <c r="H3954" s="2" t="s">
        <v>20027</v>
      </c>
      <c r="I3954" s="2" t="s">
        <v>8373</v>
      </c>
      <c r="J3954" s="2" t="s">
        <v>8374</v>
      </c>
      <c r="K3954" s="2" t="s">
        <v>996</v>
      </c>
      <c r="L3954" s="2" t="s">
        <v>18345</v>
      </c>
      <c r="M3954" s="2" t="s">
        <v>20028</v>
      </c>
      <c r="N3954" s="2" t="s">
        <v>20029</v>
      </c>
      <c r="O3954" s="2" t="s">
        <v>869</v>
      </c>
      <c r="P3954" s="2" t="s">
        <v>870</v>
      </c>
    </row>
    <row r="3955" ht="15.75" customHeight="1">
      <c r="H3955" s="2" t="s">
        <v>20030</v>
      </c>
      <c r="I3955" s="2" t="s">
        <v>583</v>
      </c>
      <c r="J3955" s="2" t="s">
        <v>584</v>
      </c>
      <c r="K3955" s="2" t="s">
        <v>966</v>
      </c>
      <c r="L3955" s="2" t="s">
        <v>18345</v>
      </c>
      <c r="M3955" s="2" t="s">
        <v>20031</v>
      </c>
      <c r="N3955" s="2" t="s">
        <v>20032</v>
      </c>
      <c r="O3955" s="2" t="s">
        <v>869</v>
      </c>
      <c r="P3955" s="2" t="s">
        <v>870</v>
      </c>
    </row>
    <row r="3956" ht="15.75" customHeight="1">
      <c r="H3956" s="2" t="s">
        <v>20033</v>
      </c>
      <c r="I3956" s="2" t="s">
        <v>591</v>
      </c>
      <c r="J3956" s="2" t="s">
        <v>592</v>
      </c>
      <c r="K3956" s="2" t="s">
        <v>1136</v>
      </c>
      <c r="L3956" s="2" t="s">
        <v>18345</v>
      </c>
      <c r="M3956" s="2" t="s">
        <v>20034</v>
      </c>
      <c r="N3956" s="2" t="s">
        <v>20035</v>
      </c>
      <c r="O3956" s="2" t="s">
        <v>869</v>
      </c>
      <c r="P3956" s="2" t="s">
        <v>870</v>
      </c>
    </row>
    <row r="3957" ht="15.75" customHeight="1">
      <c r="H3957" s="2" t="s">
        <v>20036</v>
      </c>
      <c r="I3957" s="2" t="s">
        <v>20037</v>
      </c>
      <c r="J3957" s="2" t="s">
        <v>20038</v>
      </c>
      <c r="K3957" s="2" t="s">
        <v>1508</v>
      </c>
      <c r="L3957" s="2" t="s">
        <v>18345</v>
      </c>
      <c r="M3957" s="2" t="s">
        <v>20039</v>
      </c>
      <c r="N3957" s="2" t="s">
        <v>20040</v>
      </c>
      <c r="O3957" s="2" t="s">
        <v>869</v>
      </c>
      <c r="P3957" s="2" t="s">
        <v>870</v>
      </c>
    </row>
    <row r="3958" ht="15.75" customHeight="1">
      <c r="H3958" s="2" t="s">
        <v>20041</v>
      </c>
      <c r="I3958" s="2" t="s">
        <v>20042</v>
      </c>
      <c r="J3958" s="2" t="s">
        <v>20043</v>
      </c>
      <c r="K3958" s="2" t="s">
        <v>906</v>
      </c>
      <c r="L3958" s="2" t="s">
        <v>18345</v>
      </c>
      <c r="M3958" s="2" t="s">
        <v>20044</v>
      </c>
      <c r="N3958" s="2" t="s">
        <v>20045</v>
      </c>
      <c r="O3958" s="2" t="s">
        <v>869</v>
      </c>
      <c r="P3958" s="2" t="s">
        <v>870</v>
      </c>
    </row>
    <row r="3959" ht="15.75" customHeight="1">
      <c r="H3959" s="2" t="s">
        <v>20046</v>
      </c>
      <c r="I3959" s="2" t="s">
        <v>2895</v>
      </c>
      <c r="J3959" s="2" t="s">
        <v>2896</v>
      </c>
      <c r="K3959" s="2" t="s">
        <v>1145</v>
      </c>
      <c r="L3959" s="2" t="s">
        <v>18345</v>
      </c>
      <c r="M3959" s="2" t="s">
        <v>20047</v>
      </c>
      <c r="N3959" s="2" t="s">
        <v>20048</v>
      </c>
      <c r="O3959" s="2" t="s">
        <v>869</v>
      </c>
      <c r="P3959" s="2" t="s">
        <v>870</v>
      </c>
    </row>
    <row r="3960" ht="15.75" customHeight="1">
      <c r="H3960" s="2" t="s">
        <v>20049</v>
      </c>
      <c r="I3960" s="2" t="s">
        <v>20050</v>
      </c>
      <c r="J3960" s="2" t="s">
        <v>20051</v>
      </c>
      <c r="K3960" s="2" t="s">
        <v>1141</v>
      </c>
      <c r="L3960" s="2" t="s">
        <v>18345</v>
      </c>
      <c r="M3960" s="2" t="s">
        <v>20052</v>
      </c>
      <c r="N3960" s="2" t="s">
        <v>20053</v>
      </c>
      <c r="O3960" s="2" t="s">
        <v>869</v>
      </c>
      <c r="P3960" s="2" t="s">
        <v>870</v>
      </c>
    </row>
    <row r="3961" ht="15.75" customHeight="1">
      <c r="H3961" s="2" t="s">
        <v>20054</v>
      </c>
      <c r="I3961" s="2" t="s">
        <v>20055</v>
      </c>
      <c r="J3961" s="2" t="s">
        <v>20056</v>
      </c>
      <c r="K3961" s="2" t="s">
        <v>1412</v>
      </c>
      <c r="L3961" s="2" t="s">
        <v>18345</v>
      </c>
      <c r="M3961" s="2" t="s">
        <v>20057</v>
      </c>
      <c r="N3961" s="2" t="s">
        <v>20058</v>
      </c>
      <c r="O3961" s="2" t="s">
        <v>869</v>
      </c>
      <c r="P3961" s="2" t="s">
        <v>870</v>
      </c>
    </row>
    <row r="3962" ht="15.75" customHeight="1">
      <c r="F3962" s="2" t="s">
        <v>2902</v>
      </c>
      <c r="H3962" s="2" t="s">
        <v>20059</v>
      </c>
      <c r="I3962" s="2" t="s">
        <v>20060</v>
      </c>
      <c r="J3962" s="2" t="s">
        <v>20061</v>
      </c>
      <c r="K3962" s="2" t="s">
        <v>947</v>
      </c>
      <c r="L3962" s="2" t="s">
        <v>18345</v>
      </c>
      <c r="M3962" s="2" t="s">
        <v>20062</v>
      </c>
      <c r="N3962" s="2" t="s">
        <v>20063</v>
      </c>
      <c r="O3962" s="2" t="s">
        <v>869</v>
      </c>
      <c r="P3962" s="2" t="s">
        <v>870</v>
      </c>
    </row>
    <row r="3963" ht="15.75" customHeight="1">
      <c r="H3963" s="2" t="s">
        <v>20064</v>
      </c>
      <c r="I3963" s="2" t="s">
        <v>20065</v>
      </c>
      <c r="J3963" s="2" t="s">
        <v>20066</v>
      </c>
      <c r="K3963" s="2" t="s">
        <v>1061</v>
      </c>
      <c r="L3963" s="2" t="s">
        <v>18345</v>
      </c>
      <c r="M3963" s="2" t="s">
        <v>8582</v>
      </c>
      <c r="N3963" s="2" t="s">
        <v>20067</v>
      </c>
      <c r="O3963" s="2" t="s">
        <v>869</v>
      </c>
      <c r="P3963" s="2" t="s">
        <v>870</v>
      </c>
    </row>
    <row r="3964" ht="15.75" customHeight="1">
      <c r="H3964" s="2" t="s">
        <v>20068</v>
      </c>
      <c r="I3964" s="2" t="s">
        <v>20069</v>
      </c>
      <c r="J3964" s="2" t="s">
        <v>20070</v>
      </c>
      <c r="K3964" s="2" t="s">
        <v>1368</v>
      </c>
      <c r="L3964" s="2" t="s">
        <v>18345</v>
      </c>
      <c r="M3964" s="2" t="s">
        <v>20071</v>
      </c>
      <c r="N3964" s="2" t="s">
        <v>20072</v>
      </c>
      <c r="O3964" s="2" t="s">
        <v>869</v>
      </c>
      <c r="P3964" s="2" t="s">
        <v>870</v>
      </c>
    </row>
    <row r="3965" ht="15.75" customHeight="1">
      <c r="H3965" s="2" t="s">
        <v>20073</v>
      </c>
      <c r="I3965" s="2" t="s">
        <v>20074</v>
      </c>
      <c r="J3965" s="2" t="s">
        <v>20075</v>
      </c>
      <c r="K3965" s="2" t="s">
        <v>996</v>
      </c>
      <c r="L3965" s="2" t="s">
        <v>18345</v>
      </c>
      <c r="M3965" s="2" t="s">
        <v>20076</v>
      </c>
      <c r="N3965" s="2" t="s">
        <v>20077</v>
      </c>
      <c r="O3965" s="2" t="s">
        <v>869</v>
      </c>
      <c r="P3965" s="2" t="s">
        <v>870</v>
      </c>
    </row>
    <row r="3966" ht="15.75" customHeight="1">
      <c r="H3966" s="2" t="s">
        <v>20078</v>
      </c>
      <c r="I3966" s="2" t="s">
        <v>20079</v>
      </c>
      <c r="J3966" s="2" t="s">
        <v>20080</v>
      </c>
      <c r="K3966" s="2" t="s">
        <v>966</v>
      </c>
    </row>
    <row r="3967" ht="15.75" customHeight="1">
      <c r="H3967" s="2" t="s">
        <v>20081</v>
      </c>
      <c r="I3967" s="2" t="s">
        <v>352</v>
      </c>
      <c r="J3967" s="2" t="s">
        <v>353</v>
      </c>
      <c r="K3967" s="2" t="s">
        <v>1128</v>
      </c>
      <c r="L3967" s="2" t="s">
        <v>18345</v>
      </c>
      <c r="M3967" s="2" t="s">
        <v>20082</v>
      </c>
      <c r="N3967" s="2" t="s">
        <v>20083</v>
      </c>
      <c r="O3967" s="2" t="s">
        <v>869</v>
      </c>
      <c r="P3967" s="2" t="s">
        <v>870</v>
      </c>
    </row>
    <row r="3968" ht="15.75" customHeight="1">
      <c r="H3968" s="2" t="s">
        <v>20084</v>
      </c>
      <c r="I3968" s="2" t="s">
        <v>2925</v>
      </c>
      <c r="J3968" s="2" t="s">
        <v>2926</v>
      </c>
      <c r="K3968" s="2" t="s">
        <v>283</v>
      </c>
      <c r="L3968" s="2" t="s">
        <v>18345</v>
      </c>
      <c r="M3968" s="2" t="s">
        <v>20085</v>
      </c>
      <c r="N3968" s="2" t="s">
        <v>20086</v>
      </c>
      <c r="O3968" s="2" t="s">
        <v>869</v>
      </c>
      <c r="P3968" s="2" t="s">
        <v>870</v>
      </c>
    </row>
    <row r="3969" ht="15.75" customHeight="1">
      <c r="H3969" s="2" t="s">
        <v>20087</v>
      </c>
      <c r="I3969" s="2" t="s">
        <v>20088</v>
      </c>
      <c r="J3969" s="2" t="s">
        <v>20089</v>
      </c>
      <c r="K3969" s="2" t="s">
        <v>2937</v>
      </c>
      <c r="L3969" s="2" t="s">
        <v>18345</v>
      </c>
      <c r="M3969" s="2" t="s">
        <v>20090</v>
      </c>
      <c r="N3969" s="2" t="s">
        <v>20091</v>
      </c>
      <c r="O3969" s="2" t="s">
        <v>869</v>
      </c>
      <c r="P3969" s="2" t="s">
        <v>870</v>
      </c>
    </row>
    <row r="3970" ht="15.75" customHeight="1">
      <c r="H3970" s="2" t="s">
        <v>20092</v>
      </c>
      <c r="I3970" s="2" t="s">
        <v>20093</v>
      </c>
      <c r="J3970" s="2" t="s">
        <v>20094</v>
      </c>
      <c r="K3970" s="2" t="s">
        <v>906</v>
      </c>
    </row>
    <row r="3971" ht="15.75" customHeight="1">
      <c r="H3971" s="2" t="s">
        <v>20095</v>
      </c>
      <c r="I3971" s="2" t="s">
        <v>8591</v>
      </c>
      <c r="J3971" s="2" t="s">
        <v>8592</v>
      </c>
      <c r="L3971" s="2" t="s">
        <v>18345</v>
      </c>
      <c r="M3971" s="2" t="s">
        <v>20096</v>
      </c>
      <c r="N3971" s="2" t="s">
        <v>20097</v>
      </c>
      <c r="O3971" s="2" t="s">
        <v>869</v>
      </c>
      <c r="P3971" s="2" t="s">
        <v>870</v>
      </c>
    </row>
    <row r="3972" ht="15.75" customHeight="1">
      <c r="H3972" s="2" t="s">
        <v>20098</v>
      </c>
      <c r="I3972" s="2" t="s">
        <v>8608</v>
      </c>
      <c r="J3972" s="2" t="s">
        <v>8609</v>
      </c>
      <c r="K3972" s="2" t="s">
        <v>1569</v>
      </c>
      <c r="L3972" s="2" t="s">
        <v>18345</v>
      </c>
      <c r="M3972" s="2" t="s">
        <v>20099</v>
      </c>
      <c r="N3972" s="2" t="s">
        <v>20100</v>
      </c>
      <c r="O3972" s="2" t="s">
        <v>869</v>
      </c>
      <c r="P3972" s="2" t="s">
        <v>870</v>
      </c>
    </row>
    <row r="3973" ht="15.75" customHeight="1">
      <c r="H3973" s="2" t="s">
        <v>20101</v>
      </c>
      <c r="I3973" s="2" t="s">
        <v>2956</v>
      </c>
      <c r="J3973" s="2" t="s">
        <v>2957</v>
      </c>
      <c r="K3973" s="2" t="s">
        <v>1424</v>
      </c>
      <c r="L3973" s="2" t="s">
        <v>18345</v>
      </c>
      <c r="M3973" s="2" t="s">
        <v>20102</v>
      </c>
      <c r="N3973" s="2" t="s">
        <v>20103</v>
      </c>
      <c r="O3973" s="2" t="s">
        <v>869</v>
      </c>
      <c r="P3973" s="2" t="s">
        <v>870</v>
      </c>
    </row>
    <row r="3974" ht="15.75" customHeight="1">
      <c r="H3974" s="2" t="s">
        <v>20104</v>
      </c>
      <c r="I3974" s="2" t="s">
        <v>257</v>
      </c>
      <c r="J3974" s="2" t="s">
        <v>258</v>
      </c>
      <c r="K3974" s="2" t="s">
        <v>1593</v>
      </c>
      <c r="L3974" s="2" t="s">
        <v>18345</v>
      </c>
      <c r="M3974" s="2" t="s">
        <v>8576</v>
      </c>
      <c r="N3974" s="2" t="s">
        <v>20105</v>
      </c>
      <c r="O3974" s="2" t="s">
        <v>869</v>
      </c>
      <c r="P3974" s="2" t="s">
        <v>870</v>
      </c>
    </row>
    <row r="3975" ht="15.75" customHeight="1">
      <c r="H3975" s="2" t="s">
        <v>20106</v>
      </c>
      <c r="I3975" s="2" t="s">
        <v>20107</v>
      </c>
      <c r="J3975" s="2" t="s">
        <v>20108</v>
      </c>
      <c r="L3975" s="2" t="s">
        <v>18345</v>
      </c>
      <c r="M3975" s="2" t="s">
        <v>20109</v>
      </c>
      <c r="N3975" s="2" t="s">
        <v>20110</v>
      </c>
      <c r="O3975" s="2" t="s">
        <v>869</v>
      </c>
      <c r="P3975" s="2" t="s">
        <v>870</v>
      </c>
    </row>
    <row r="3976" ht="15.75" customHeight="1">
      <c r="F3976" s="2" t="s">
        <v>598</v>
      </c>
      <c r="H3976" s="2" t="s">
        <v>20111</v>
      </c>
      <c r="I3976" s="2" t="s">
        <v>20112</v>
      </c>
      <c r="J3976" s="2" t="s">
        <v>20113</v>
      </c>
      <c r="K3976" s="2" t="s">
        <v>277</v>
      </c>
      <c r="L3976" s="2" t="s">
        <v>18345</v>
      </c>
      <c r="M3976" s="2" t="s">
        <v>20114</v>
      </c>
      <c r="N3976" s="2" t="s">
        <v>20115</v>
      </c>
      <c r="O3976" s="2" t="s">
        <v>869</v>
      </c>
      <c r="P3976" s="2" t="s">
        <v>870</v>
      </c>
    </row>
    <row r="3977" ht="15.75" customHeight="1">
      <c r="H3977" s="2" t="s">
        <v>20116</v>
      </c>
      <c r="I3977" s="2" t="s">
        <v>600</v>
      </c>
      <c r="J3977" s="2" t="s">
        <v>601</v>
      </c>
      <c r="K3977" s="2" t="s">
        <v>865</v>
      </c>
      <c r="L3977" s="2" t="s">
        <v>18345</v>
      </c>
      <c r="M3977" s="2" t="s">
        <v>20117</v>
      </c>
      <c r="N3977" s="2" t="s">
        <v>20118</v>
      </c>
      <c r="O3977" s="2" t="s">
        <v>869</v>
      </c>
      <c r="P3977" s="2" t="s">
        <v>870</v>
      </c>
    </row>
    <row r="3978" ht="15.75" customHeight="1">
      <c r="H3978" s="2" t="s">
        <v>20119</v>
      </c>
      <c r="I3978" s="2" t="s">
        <v>20120</v>
      </c>
      <c r="J3978" s="2" t="s">
        <v>20121</v>
      </c>
      <c r="K3978" s="2" t="s">
        <v>1117</v>
      </c>
      <c r="L3978" s="2" t="s">
        <v>18345</v>
      </c>
      <c r="M3978" s="2" t="s">
        <v>20122</v>
      </c>
      <c r="N3978" s="2" t="s">
        <v>20123</v>
      </c>
      <c r="O3978" s="2" t="s">
        <v>869</v>
      </c>
      <c r="P3978" s="2" t="s">
        <v>870</v>
      </c>
    </row>
    <row r="3979" ht="15.75" customHeight="1">
      <c r="H3979" s="2" t="s">
        <v>20124</v>
      </c>
      <c r="I3979" s="2" t="s">
        <v>20125</v>
      </c>
      <c r="J3979" s="2" t="s">
        <v>20126</v>
      </c>
      <c r="K3979" s="2" t="s">
        <v>958</v>
      </c>
      <c r="L3979" s="2" t="s">
        <v>18345</v>
      </c>
      <c r="M3979" s="2" t="s">
        <v>20127</v>
      </c>
      <c r="N3979" s="2" t="s">
        <v>20128</v>
      </c>
      <c r="O3979" s="2" t="s">
        <v>869</v>
      </c>
      <c r="P3979" s="2" t="s">
        <v>870</v>
      </c>
    </row>
    <row r="3980" ht="15.75" customHeight="1">
      <c r="H3980" s="2" t="s">
        <v>20129</v>
      </c>
      <c r="I3980" s="2" t="s">
        <v>4390</v>
      </c>
      <c r="J3980" s="2" t="s">
        <v>4391</v>
      </c>
      <c r="K3980" s="2" t="s">
        <v>1551</v>
      </c>
      <c r="L3980" s="2" t="s">
        <v>18345</v>
      </c>
      <c r="M3980" s="2" t="s">
        <v>20130</v>
      </c>
      <c r="N3980" s="2" t="s">
        <v>20131</v>
      </c>
      <c r="O3980" s="2" t="s">
        <v>869</v>
      </c>
      <c r="P3980" s="2" t="s">
        <v>870</v>
      </c>
    </row>
    <row r="3981" ht="15.75" customHeight="1">
      <c r="H3981" s="2" t="s">
        <v>20132</v>
      </c>
      <c r="I3981" s="2" t="s">
        <v>3018</v>
      </c>
      <c r="J3981" s="2" t="s">
        <v>3019</v>
      </c>
      <c r="K3981" s="2" t="s">
        <v>1145</v>
      </c>
      <c r="L3981" s="2" t="s">
        <v>18345</v>
      </c>
      <c r="M3981" s="2" t="s">
        <v>3020</v>
      </c>
      <c r="N3981" s="2" t="s">
        <v>20133</v>
      </c>
      <c r="O3981" s="2" t="s">
        <v>869</v>
      </c>
      <c r="P3981" s="2" t="s">
        <v>870</v>
      </c>
    </row>
    <row r="3982" ht="15.75" customHeight="1">
      <c r="H3982" s="2" t="s">
        <v>20134</v>
      </c>
      <c r="I3982" s="2" t="s">
        <v>3033</v>
      </c>
      <c r="J3982" s="2" t="s">
        <v>3034</v>
      </c>
      <c r="K3982" s="2" t="s">
        <v>1141</v>
      </c>
      <c r="L3982" s="2" t="s">
        <v>18345</v>
      </c>
      <c r="M3982" s="2" t="s">
        <v>3035</v>
      </c>
      <c r="N3982" s="2" t="s">
        <v>20135</v>
      </c>
      <c r="O3982" s="2" t="s">
        <v>869</v>
      </c>
      <c r="P3982" s="2" t="s">
        <v>870</v>
      </c>
    </row>
    <row r="3983" ht="15.75" customHeight="1">
      <c r="H3983" s="2" t="s">
        <v>20136</v>
      </c>
      <c r="I3983" s="2" t="s">
        <v>20137</v>
      </c>
      <c r="J3983" s="2" t="s">
        <v>20138</v>
      </c>
      <c r="K3983" s="2" t="s">
        <v>1406</v>
      </c>
      <c r="L3983" s="2" t="s">
        <v>18345</v>
      </c>
      <c r="M3983" s="2" t="s">
        <v>20139</v>
      </c>
      <c r="N3983" s="2" t="s">
        <v>20140</v>
      </c>
      <c r="O3983" s="2" t="s">
        <v>869</v>
      </c>
      <c r="P3983" s="2" t="s">
        <v>870</v>
      </c>
    </row>
    <row r="3984" ht="15.75" customHeight="1">
      <c r="H3984" s="2" t="s">
        <v>20141</v>
      </c>
      <c r="I3984" s="2" t="s">
        <v>20142</v>
      </c>
      <c r="J3984" s="2" t="s">
        <v>20143</v>
      </c>
      <c r="K3984" s="2" t="s">
        <v>1418</v>
      </c>
      <c r="L3984" s="2" t="s">
        <v>18345</v>
      </c>
      <c r="M3984" s="2" t="s">
        <v>20144</v>
      </c>
      <c r="N3984" s="2" t="s">
        <v>20145</v>
      </c>
      <c r="O3984" s="2" t="s">
        <v>869</v>
      </c>
      <c r="P3984" s="2" t="s">
        <v>870</v>
      </c>
    </row>
    <row r="3985" ht="15.75" customHeight="1">
      <c r="H3985" s="2" t="s">
        <v>20146</v>
      </c>
      <c r="I3985" s="2" t="s">
        <v>20147</v>
      </c>
      <c r="J3985" s="2" t="s">
        <v>20148</v>
      </c>
      <c r="K3985" s="2" t="s">
        <v>2551</v>
      </c>
      <c r="L3985" s="2" t="s">
        <v>20149</v>
      </c>
      <c r="M3985" s="2" t="s">
        <v>20150</v>
      </c>
      <c r="N3985" s="2" t="s">
        <v>20151</v>
      </c>
      <c r="O3985" s="2" t="s">
        <v>869</v>
      </c>
      <c r="P3985" s="2" t="s">
        <v>870</v>
      </c>
    </row>
    <row r="3986" ht="15.75" customHeight="1">
      <c r="H3986" s="2" t="s">
        <v>20152</v>
      </c>
      <c r="I3986" s="2" t="s">
        <v>20153</v>
      </c>
      <c r="J3986" s="2" t="s">
        <v>20154</v>
      </c>
      <c r="K3986" s="2" t="s">
        <v>1952</v>
      </c>
      <c r="L3986" s="2" t="s">
        <v>18345</v>
      </c>
      <c r="M3986" s="2" t="s">
        <v>20155</v>
      </c>
      <c r="N3986" s="2" t="s">
        <v>20156</v>
      </c>
      <c r="O3986" s="2" t="s">
        <v>869</v>
      </c>
      <c r="P3986" s="2" t="s">
        <v>870</v>
      </c>
    </row>
    <row r="3987" ht="15.75" customHeight="1">
      <c r="H3987" s="2" t="s">
        <v>20157</v>
      </c>
      <c r="I3987" s="2" t="s">
        <v>20158</v>
      </c>
      <c r="J3987" s="2" t="s">
        <v>20159</v>
      </c>
      <c r="K3987" s="2" t="s">
        <v>1151</v>
      </c>
      <c r="L3987" s="2" t="s">
        <v>18345</v>
      </c>
      <c r="M3987" s="2" t="s">
        <v>20160</v>
      </c>
      <c r="N3987" s="2" t="s">
        <v>20161</v>
      </c>
      <c r="O3987" s="2" t="s">
        <v>869</v>
      </c>
      <c r="P3987" s="2" t="s">
        <v>870</v>
      </c>
    </row>
    <row r="3988" ht="15.75" customHeight="1">
      <c r="H3988" s="2" t="s">
        <v>20162</v>
      </c>
      <c r="I3988" s="2" t="s">
        <v>8761</v>
      </c>
      <c r="J3988" s="2" t="s">
        <v>8762</v>
      </c>
      <c r="K3988" s="2" t="s">
        <v>2223</v>
      </c>
      <c r="L3988" s="2" t="s">
        <v>20163</v>
      </c>
      <c r="M3988" s="2" t="s">
        <v>20164</v>
      </c>
      <c r="N3988" s="2" t="s">
        <v>20165</v>
      </c>
      <c r="O3988" s="2" t="s">
        <v>869</v>
      </c>
      <c r="P3988" s="2" t="s">
        <v>870</v>
      </c>
    </row>
    <row r="3989" ht="15.75" customHeight="1">
      <c r="H3989" s="2" t="s">
        <v>20166</v>
      </c>
      <c r="I3989" s="2" t="s">
        <v>12458</v>
      </c>
      <c r="J3989" s="2" t="s">
        <v>12459</v>
      </c>
      <c r="K3989" s="2" t="s">
        <v>1618</v>
      </c>
      <c r="L3989" s="2" t="s">
        <v>18345</v>
      </c>
      <c r="M3989" s="2" t="s">
        <v>20167</v>
      </c>
      <c r="N3989" s="2" t="s">
        <v>20168</v>
      </c>
      <c r="O3989" s="2" t="s">
        <v>869</v>
      </c>
      <c r="P3989" s="2" t="s">
        <v>870</v>
      </c>
    </row>
    <row r="3990" ht="15.75" customHeight="1">
      <c r="F3990" s="2" t="s">
        <v>3062</v>
      </c>
      <c r="H3990" s="2" t="s">
        <v>20169</v>
      </c>
      <c r="I3990" s="2" t="s">
        <v>3064</v>
      </c>
      <c r="J3990" s="2" t="s">
        <v>3065</v>
      </c>
      <c r="K3990" s="2" t="s">
        <v>1878</v>
      </c>
      <c r="L3990" s="2" t="s">
        <v>18345</v>
      </c>
      <c r="M3990" s="2" t="s">
        <v>20170</v>
      </c>
      <c r="N3990" s="2" t="s">
        <v>20171</v>
      </c>
      <c r="O3990" s="2" t="s">
        <v>869</v>
      </c>
      <c r="P3990" s="2" t="s">
        <v>870</v>
      </c>
    </row>
    <row r="3991" ht="15.75" customHeight="1">
      <c r="H3991" s="2" t="s">
        <v>20172</v>
      </c>
      <c r="I3991" s="2" t="s">
        <v>257</v>
      </c>
      <c r="J3991" s="2" t="s">
        <v>258</v>
      </c>
      <c r="K3991" s="2" t="s">
        <v>966</v>
      </c>
      <c r="L3991" s="2" t="s">
        <v>18345</v>
      </c>
      <c r="M3991" s="2" t="s">
        <v>20173</v>
      </c>
      <c r="N3991" s="2" t="s">
        <v>20174</v>
      </c>
      <c r="O3991" s="2" t="s">
        <v>869</v>
      </c>
      <c r="P3991" s="2" t="s">
        <v>870</v>
      </c>
    </row>
    <row r="3992" ht="15.75" customHeight="1">
      <c r="F3992" s="2" t="s">
        <v>3079</v>
      </c>
      <c r="H3992" s="2" t="s">
        <v>20175</v>
      </c>
      <c r="I3992" s="2" t="s">
        <v>20176</v>
      </c>
      <c r="J3992" s="2" t="s">
        <v>20177</v>
      </c>
      <c r="K3992" s="2" t="s">
        <v>1467</v>
      </c>
      <c r="L3992" s="2" t="s">
        <v>18345</v>
      </c>
      <c r="M3992" s="2" t="s">
        <v>20178</v>
      </c>
      <c r="N3992" s="2" t="s">
        <v>20179</v>
      </c>
      <c r="O3992" s="2" t="s">
        <v>869</v>
      </c>
      <c r="P3992" s="2" t="s">
        <v>870</v>
      </c>
    </row>
    <row r="3993" ht="15.75" customHeight="1">
      <c r="H3993" s="2" t="s">
        <v>20180</v>
      </c>
      <c r="I3993" s="2" t="s">
        <v>20181</v>
      </c>
      <c r="J3993" s="2" t="s">
        <v>20182</v>
      </c>
      <c r="K3993" s="2" t="s">
        <v>1362</v>
      </c>
      <c r="L3993" s="2" t="s">
        <v>18345</v>
      </c>
      <c r="M3993" s="2" t="s">
        <v>20183</v>
      </c>
      <c r="N3993" s="2" t="s">
        <v>20184</v>
      </c>
      <c r="O3993" s="2" t="s">
        <v>869</v>
      </c>
      <c r="P3993" s="2" t="s">
        <v>870</v>
      </c>
    </row>
    <row r="3994" ht="15.75" customHeight="1">
      <c r="H3994" s="2" t="s">
        <v>20185</v>
      </c>
      <c r="I3994" s="2" t="s">
        <v>20186</v>
      </c>
      <c r="J3994" s="2" t="s">
        <v>20187</v>
      </c>
      <c r="K3994" s="2" t="s">
        <v>280</v>
      </c>
      <c r="L3994" s="2" t="s">
        <v>18345</v>
      </c>
      <c r="M3994" s="2" t="s">
        <v>20188</v>
      </c>
      <c r="N3994" s="2" t="s">
        <v>20189</v>
      </c>
      <c r="O3994" s="2" t="s">
        <v>869</v>
      </c>
      <c r="P3994" s="2" t="s">
        <v>870</v>
      </c>
    </row>
    <row r="3995" ht="15.75" customHeight="1">
      <c r="H3995" s="2" t="s">
        <v>20190</v>
      </c>
      <c r="I3995" s="2" t="s">
        <v>20191</v>
      </c>
      <c r="J3995" s="2" t="s">
        <v>20192</v>
      </c>
      <c r="K3995" s="2" t="s">
        <v>874</v>
      </c>
      <c r="L3995" s="2" t="s">
        <v>18345</v>
      </c>
      <c r="M3995" s="2" t="s">
        <v>20193</v>
      </c>
      <c r="N3995" s="2" t="s">
        <v>20194</v>
      </c>
      <c r="O3995" s="2" t="s">
        <v>869</v>
      </c>
      <c r="P3995" s="2" t="s">
        <v>870</v>
      </c>
    </row>
    <row r="3996" ht="15.75" customHeight="1">
      <c r="H3996" s="2" t="s">
        <v>20195</v>
      </c>
      <c r="I3996" s="2" t="s">
        <v>20196</v>
      </c>
      <c r="J3996" s="2" t="s">
        <v>20197</v>
      </c>
      <c r="K3996" s="2" t="s">
        <v>958</v>
      </c>
      <c r="L3996" s="2" t="s">
        <v>18345</v>
      </c>
      <c r="M3996" s="2" t="s">
        <v>20198</v>
      </c>
      <c r="N3996" s="2" t="s">
        <v>20199</v>
      </c>
      <c r="O3996" s="2" t="s">
        <v>869</v>
      </c>
      <c r="P3996" s="2" t="s">
        <v>870</v>
      </c>
    </row>
    <row r="3997" ht="15.75" customHeight="1">
      <c r="H3997" s="2" t="s">
        <v>20200</v>
      </c>
      <c r="I3997" s="2" t="s">
        <v>20201</v>
      </c>
      <c r="J3997" s="2" t="s">
        <v>20202</v>
      </c>
      <c r="K3997" s="2" t="s">
        <v>963</v>
      </c>
      <c r="L3997" s="2" t="s">
        <v>18345</v>
      </c>
      <c r="M3997" s="2" t="s">
        <v>20203</v>
      </c>
      <c r="N3997" s="2" t="s">
        <v>20204</v>
      </c>
      <c r="O3997" s="2" t="s">
        <v>869</v>
      </c>
      <c r="P3997" s="2" t="s">
        <v>870</v>
      </c>
    </row>
    <row r="3998" ht="15.75" customHeight="1">
      <c r="H3998" s="2" t="s">
        <v>20205</v>
      </c>
      <c r="I3998" s="2" t="s">
        <v>3101</v>
      </c>
      <c r="J3998" s="2" t="s">
        <v>3102</v>
      </c>
      <c r="K3998" s="2" t="s">
        <v>966</v>
      </c>
      <c r="L3998" s="2" t="s">
        <v>18345</v>
      </c>
      <c r="M3998" s="2" t="s">
        <v>20206</v>
      </c>
      <c r="N3998" s="2" t="s">
        <v>20207</v>
      </c>
      <c r="O3998" s="2" t="s">
        <v>869</v>
      </c>
      <c r="P3998" s="2" t="s">
        <v>870</v>
      </c>
    </row>
    <row r="3999" ht="15.75" customHeight="1">
      <c r="H3999" s="2" t="s">
        <v>20208</v>
      </c>
      <c r="I3999" s="2" t="s">
        <v>20209</v>
      </c>
      <c r="J3999" s="2" t="s">
        <v>20210</v>
      </c>
      <c r="K3999" s="2" t="s">
        <v>890</v>
      </c>
      <c r="L3999" s="2" t="s">
        <v>18345</v>
      </c>
      <c r="M3999" s="2" t="s">
        <v>20211</v>
      </c>
      <c r="N3999" s="2" t="s">
        <v>20212</v>
      </c>
      <c r="O3999" s="2" t="s">
        <v>869</v>
      </c>
      <c r="P3999" s="2" t="s">
        <v>870</v>
      </c>
    </row>
    <row r="4000" ht="15.75" customHeight="1">
      <c r="H4000" s="2" t="s">
        <v>20213</v>
      </c>
      <c r="I4000" s="2" t="s">
        <v>3110</v>
      </c>
      <c r="J4000" s="2" t="s">
        <v>3111</v>
      </c>
      <c r="K4000" s="2" t="s">
        <v>1551</v>
      </c>
      <c r="L4000" s="2" t="s">
        <v>18345</v>
      </c>
      <c r="M4000" s="2" t="s">
        <v>20214</v>
      </c>
      <c r="N4000" s="2" t="s">
        <v>20133</v>
      </c>
      <c r="O4000" s="2" t="s">
        <v>869</v>
      </c>
      <c r="P4000" s="2" t="s">
        <v>870</v>
      </c>
    </row>
    <row r="4001" ht="15.75" customHeight="1">
      <c r="H4001" s="2" t="s">
        <v>20215</v>
      </c>
      <c r="I4001" s="2" t="s">
        <v>20216</v>
      </c>
      <c r="J4001" s="2" t="s">
        <v>20217</v>
      </c>
      <c r="K4001" s="2" t="s">
        <v>283</v>
      </c>
      <c r="L4001" s="2" t="s">
        <v>18345</v>
      </c>
      <c r="M4001" s="2" t="s">
        <v>20218</v>
      </c>
      <c r="N4001" s="2" t="s">
        <v>20219</v>
      </c>
      <c r="O4001" s="2" t="s">
        <v>869</v>
      </c>
      <c r="P4001" s="2" t="s">
        <v>870</v>
      </c>
    </row>
    <row r="4002" ht="15.75" customHeight="1">
      <c r="H4002" s="2" t="s">
        <v>20220</v>
      </c>
      <c r="I4002" s="2" t="s">
        <v>3120</v>
      </c>
      <c r="J4002" s="2" t="s">
        <v>3121</v>
      </c>
      <c r="K4002" s="2" t="s">
        <v>2937</v>
      </c>
      <c r="L4002" s="2" t="s">
        <v>18345</v>
      </c>
      <c r="M4002" s="2" t="s">
        <v>20221</v>
      </c>
      <c r="N4002" s="2" t="s">
        <v>20222</v>
      </c>
      <c r="O4002" s="2" t="s">
        <v>869</v>
      </c>
      <c r="P4002" s="2" t="s">
        <v>870</v>
      </c>
    </row>
    <row r="4003" ht="15.75" customHeight="1">
      <c r="H4003" s="2" t="s">
        <v>20223</v>
      </c>
      <c r="I4003" s="2" t="s">
        <v>8951</v>
      </c>
      <c r="J4003" s="2" t="s">
        <v>8952</v>
      </c>
      <c r="L4003" s="2" t="s">
        <v>18345</v>
      </c>
      <c r="M4003" s="2" t="s">
        <v>8954</v>
      </c>
      <c r="N4003" s="2" t="s">
        <v>20224</v>
      </c>
      <c r="O4003" s="2" t="s">
        <v>869</v>
      </c>
      <c r="P4003" s="2" t="s">
        <v>870</v>
      </c>
    </row>
    <row r="4004" ht="15.75" customHeight="1">
      <c r="H4004" s="2" t="s">
        <v>20225</v>
      </c>
      <c r="I4004" s="2" t="s">
        <v>8957</v>
      </c>
      <c r="J4004" s="2" t="s">
        <v>8958</v>
      </c>
      <c r="K4004" s="2" t="s">
        <v>1567</v>
      </c>
      <c r="L4004" s="2" t="s">
        <v>18345</v>
      </c>
      <c r="M4004" s="2" t="s">
        <v>20226</v>
      </c>
      <c r="N4004" s="2" t="s">
        <v>20227</v>
      </c>
      <c r="O4004" s="2" t="s">
        <v>869</v>
      </c>
      <c r="P4004" s="2" t="s">
        <v>870</v>
      </c>
    </row>
    <row r="4005" ht="15.75" customHeight="1">
      <c r="F4005" s="2" t="s">
        <v>3129</v>
      </c>
      <c r="H4005" s="2" t="s">
        <v>20228</v>
      </c>
      <c r="I4005" s="2" t="s">
        <v>20229</v>
      </c>
      <c r="J4005" s="2" t="s">
        <v>20230</v>
      </c>
      <c r="K4005" s="2" t="s">
        <v>874</v>
      </c>
      <c r="L4005" s="2" t="s">
        <v>18345</v>
      </c>
      <c r="M4005" s="2" t="s">
        <v>20231</v>
      </c>
      <c r="N4005" s="2" t="s">
        <v>20232</v>
      </c>
      <c r="O4005" s="2" t="s">
        <v>869</v>
      </c>
      <c r="P4005" s="2" t="s">
        <v>870</v>
      </c>
    </row>
    <row r="4006" ht="15.75" customHeight="1">
      <c r="H4006" s="2" t="s">
        <v>20233</v>
      </c>
      <c r="I4006" s="2" t="s">
        <v>3146</v>
      </c>
      <c r="J4006" s="2" t="s">
        <v>3147</v>
      </c>
      <c r="K4006" s="2" t="s">
        <v>1288</v>
      </c>
      <c r="L4006" s="2" t="s">
        <v>18345</v>
      </c>
      <c r="M4006" s="2" t="s">
        <v>20234</v>
      </c>
      <c r="N4006" s="2" t="s">
        <v>20235</v>
      </c>
      <c r="O4006" s="2" t="s">
        <v>869</v>
      </c>
      <c r="P4006" s="2" t="s">
        <v>870</v>
      </c>
    </row>
    <row r="4007" ht="15.75" customHeight="1">
      <c r="H4007" s="2" t="s">
        <v>20236</v>
      </c>
      <c r="I4007" s="2" t="s">
        <v>3166</v>
      </c>
      <c r="J4007" s="2" t="s">
        <v>3167</v>
      </c>
      <c r="K4007" s="2" t="s">
        <v>886</v>
      </c>
      <c r="L4007" s="2" t="s">
        <v>18345</v>
      </c>
      <c r="M4007" s="2" t="s">
        <v>3168</v>
      </c>
      <c r="N4007" s="2" t="s">
        <v>20237</v>
      </c>
      <c r="O4007" s="2" t="s">
        <v>869</v>
      </c>
      <c r="P4007" s="2" t="s">
        <v>870</v>
      </c>
    </row>
    <row r="4008" ht="15.75" customHeight="1">
      <c r="H4008" s="2" t="s">
        <v>20238</v>
      </c>
      <c r="I4008" s="2" t="s">
        <v>20239</v>
      </c>
      <c r="J4008" s="2" t="s">
        <v>20240</v>
      </c>
      <c r="K4008" s="2" t="s">
        <v>1007</v>
      </c>
      <c r="L4008" s="2" t="s">
        <v>18345</v>
      </c>
      <c r="M4008" s="2" t="s">
        <v>20241</v>
      </c>
      <c r="N4008" s="2" t="s">
        <v>20242</v>
      </c>
      <c r="O4008" s="2" t="s">
        <v>869</v>
      </c>
      <c r="P4008" s="2" t="s">
        <v>870</v>
      </c>
    </row>
    <row r="4009" ht="15.75" customHeight="1">
      <c r="F4009" s="2" t="s">
        <v>3170</v>
      </c>
      <c r="H4009" s="2" t="s">
        <v>20243</v>
      </c>
      <c r="I4009" s="2" t="s">
        <v>3172</v>
      </c>
      <c r="J4009" s="2" t="s">
        <v>3173</v>
      </c>
      <c r="K4009" s="2" t="s">
        <v>853</v>
      </c>
      <c r="L4009" s="2" t="s">
        <v>18345</v>
      </c>
      <c r="M4009" s="2" t="s">
        <v>20244</v>
      </c>
      <c r="N4009" s="2" t="s">
        <v>20245</v>
      </c>
      <c r="O4009" s="2" t="s">
        <v>869</v>
      </c>
      <c r="P4009" s="2" t="s">
        <v>870</v>
      </c>
    </row>
    <row r="4010" ht="15.75" customHeight="1">
      <c r="F4010" s="2" t="s">
        <v>624</v>
      </c>
      <c r="H4010" s="2" t="s">
        <v>20246</v>
      </c>
      <c r="I4010" s="2" t="s">
        <v>4699</v>
      </c>
      <c r="J4010" s="2" t="s">
        <v>4700</v>
      </c>
      <c r="K4010" s="2" t="s">
        <v>859</v>
      </c>
      <c r="L4010" s="2" t="s">
        <v>18345</v>
      </c>
      <c r="M4010" s="2" t="s">
        <v>20247</v>
      </c>
      <c r="N4010" s="2" t="s">
        <v>20248</v>
      </c>
      <c r="O4010" s="2" t="s">
        <v>869</v>
      </c>
      <c r="P4010" s="2" t="s">
        <v>870</v>
      </c>
    </row>
    <row r="4011" ht="15.75" customHeight="1">
      <c r="H4011" s="2" t="s">
        <v>20249</v>
      </c>
      <c r="I4011" s="2" t="s">
        <v>20250</v>
      </c>
      <c r="J4011" s="2" t="s">
        <v>20251</v>
      </c>
      <c r="K4011" s="2" t="s">
        <v>1117</v>
      </c>
      <c r="L4011" s="2" t="s">
        <v>18345</v>
      </c>
      <c r="M4011" s="2" t="s">
        <v>20252</v>
      </c>
      <c r="N4011" s="2" t="s">
        <v>20253</v>
      </c>
      <c r="O4011" s="2" t="s">
        <v>869</v>
      </c>
      <c r="P4011" s="2" t="s">
        <v>870</v>
      </c>
    </row>
    <row r="4012" ht="15.75" customHeight="1">
      <c r="H4012" s="2" t="s">
        <v>20254</v>
      </c>
      <c r="I4012" s="2" t="s">
        <v>3221</v>
      </c>
      <c r="J4012" s="2" t="s">
        <v>3222</v>
      </c>
      <c r="K4012" s="2" t="s">
        <v>890</v>
      </c>
      <c r="L4012" s="2" t="s">
        <v>18345</v>
      </c>
      <c r="M4012" s="2" t="s">
        <v>20255</v>
      </c>
      <c r="N4012" s="2" t="s">
        <v>20256</v>
      </c>
      <c r="O4012" s="2" t="s">
        <v>869</v>
      </c>
      <c r="P4012" s="2" t="s">
        <v>870</v>
      </c>
    </row>
    <row r="4013" ht="15.75" customHeight="1">
      <c r="H4013" s="2" t="s">
        <v>20257</v>
      </c>
      <c r="I4013" s="2" t="s">
        <v>5625</v>
      </c>
      <c r="J4013" s="2" t="s">
        <v>5626</v>
      </c>
      <c r="K4013" s="2" t="s">
        <v>1136</v>
      </c>
      <c r="L4013" s="2" t="s">
        <v>18345</v>
      </c>
      <c r="M4013" s="2" t="s">
        <v>20258</v>
      </c>
      <c r="N4013" s="2" t="s">
        <v>20259</v>
      </c>
      <c r="O4013" s="2" t="s">
        <v>869</v>
      </c>
      <c r="P4013" s="2" t="s">
        <v>870</v>
      </c>
    </row>
    <row r="4014" ht="15.75" customHeight="1">
      <c r="H4014" s="2" t="s">
        <v>20260</v>
      </c>
      <c r="I4014" s="2" t="s">
        <v>20261</v>
      </c>
      <c r="J4014" s="2" t="s">
        <v>20262</v>
      </c>
      <c r="K4014" s="2" t="s">
        <v>900</v>
      </c>
      <c r="L4014" s="2" t="s">
        <v>18345</v>
      </c>
      <c r="M4014" s="2" t="s">
        <v>20263</v>
      </c>
      <c r="N4014" s="2" t="s">
        <v>20264</v>
      </c>
      <c r="O4014" s="2" t="s">
        <v>869</v>
      </c>
      <c r="P4014" s="2" t="s">
        <v>870</v>
      </c>
    </row>
    <row r="4015" ht="15.75" customHeight="1">
      <c r="H4015" s="2" t="s">
        <v>20265</v>
      </c>
      <c r="I4015" s="2" t="s">
        <v>20266</v>
      </c>
      <c r="J4015" s="2" t="s">
        <v>20267</v>
      </c>
      <c r="K4015" s="2" t="s">
        <v>2937</v>
      </c>
      <c r="L4015" s="2" t="s">
        <v>18345</v>
      </c>
      <c r="M4015" s="2" t="s">
        <v>20268</v>
      </c>
      <c r="N4015" s="2" t="s">
        <v>20269</v>
      </c>
      <c r="O4015" s="2" t="s">
        <v>869</v>
      </c>
      <c r="P4015" s="2" t="s">
        <v>870</v>
      </c>
    </row>
    <row r="4016" ht="15.75" customHeight="1">
      <c r="H4016" s="2" t="s">
        <v>20270</v>
      </c>
      <c r="I4016" s="2" t="s">
        <v>20271</v>
      </c>
      <c r="J4016" s="2" t="s">
        <v>20272</v>
      </c>
      <c r="K4016" s="2" t="s">
        <v>1569</v>
      </c>
      <c r="L4016" s="2" t="s">
        <v>18345</v>
      </c>
      <c r="M4016" s="2" t="s">
        <v>20273</v>
      </c>
      <c r="N4016" s="2" t="s">
        <v>20274</v>
      </c>
      <c r="O4016" s="2" t="s">
        <v>869</v>
      </c>
      <c r="P4016" s="2" t="s">
        <v>870</v>
      </c>
    </row>
    <row r="4017" ht="15.75" customHeight="1">
      <c r="H4017" s="2" t="s">
        <v>20275</v>
      </c>
      <c r="I4017" s="2" t="s">
        <v>20276</v>
      </c>
      <c r="J4017" s="2" t="s">
        <v>20277</v>
      </c>
      <c r="K4017" s="2" t="s">
        <v>1567</v>
      </c>
      <c r="L4017" s="2" t="s">
        <v>20278</v>
      </c>
      <c r="M4017" s="2" t="s">
        <v>20279</v>
      </c>
      <c r="N4017" s="2" t="s">
        <v>20280</v>
      </c>
      <c r="O4017" s="2" t="s">
        <v>869</v>
      </c>
      <c r="P4017" s="2" t="s">
        <v>870</v>
      </c>
    </row>
    <row r="4018" ht="15.75" customHeight="1">
      <c r="H4018" s="2" t="s">
        <v>20281</v>
      </c>
      <c r="I4018" s="2" t="s">
        <v>3256</v>
      </c>
      <c r="J4018" s="2" t="s">
        <v>3257</v>
      </c>
      <c r="K4018" s="2" t="s">
        <v>1418</v>
      </c>
      <c r="L4018" s="2" t="s">
        <v>18345</v>
      </c>
      <c r="M4018" s="2" t="s">
        <v>3258</v>
      </c>
      <c r="N4018" s="2" t="s">
        <v>20282</v>
      </c>
      <c r="O4018" s="2" t="s">
        <v>869</v>
      </c>
      <c r="P4018" s="2" t="s">
        <v>870</v>
      </c>
    </row>
    <row r="4019" ht="15.75" customHeight="1">
      <c r="H4019" s="2" t="s">
        <v>20283</v>
      </c>
      <c r="I4019" s="2" t="s">
        <v>20284</v>
      </c>
      <c r="J4019" s="2" t="s">
        <v>20285</v>
      </c>
      <c r="K4019" s="2" t="s">
        <v>1952</v>
      </c>
      <c r="L4019" s="2" t="s">
        <v>20286</v>
      </c>
      <c r="M4019" s="2" t="s">
        <v>20287</v>
      </c>
      <c r="N4019" s="2" t="s">
        <v>20288</v>
      </c>
      <c r="O4019" s="2" t="s">
        <v>869</v>
      </c>
      <c r="P4019" s="2" t="s">
        <v>870</v>
      </c>
    </row>
    <row r="4020" ht="15.75" customHeight="1">
      <c r="H4020" s="2" t="s">
        <v>20289</v>
      </c>
      <c r="I4020" s="2" t="s">
        <v>3261</v>
      </c>
      <c r="J4020" s="2" t="s">
        <v>3262</v>
      </c>
      <c r="K4020" s="2" t="s">
        <v>1424</v>
      </c>
      <c r="L4020" s="2" t="s">
        <v>18345</v>
      </c>
      <c r="M4020" s="2" t="s">
        <v>20290</v>
      </c>
      <c r="N4020" s="2" t="s">
        <v>20291</v>
      </c>
      <c r="O4020" s="2" t="s">
        <v>869</v>
      </c>
      <c r="P4020" s="2" t="s">
        <v>870</v>
      </c>
    </row>
    <row r="4021" ht="15.75" customHeight="1">
      <c r="H4021" s="2" t="s">
        <v>20292</v>
      </c>
      <c r="I4021" s="2" t="s">
        <v>626</v>
      </c>
      <c r="J4021" s="2" t="s">
        <v>627</v>
      </c>
      <c r="K4021" s="2" t="s">
        <v>1157</v>
      </c>
      <c r="L4021" s="2" t="s">
        <v>18345</v>
      </c>
      <c r="M4021" s="2" t="s">
        <v>20293</v>
      </c>
      <c r="N4021" s="2" t="s">
        <v>20294</v>
      </c>
      <c r="O4021" s="2" t="s">
        <v>869</v>
      </c>
      <c r="P4021" s="2" t="s">
        <v>870</v>
      </c>
    </row>
    <row r="4022" ht="15.75" customHeight="1">
      <c r="H4022" s="2" t="s">
        <v>20295</v>
      </c>
      <c r="I4022" s="2" t="s">
        <v>20296</v>
      </c>
      <c r="J4022" s="2" t="s">
        <v>20297</v>
      </c>
      <c r="K4022" s="2" t="s">
        <v>1325</v>
      </c>
    </row>
    <row r="4023" ht="15.75" customHeight="1">
      <c r="H4023" s="2" t="s">
        <v>20298</v>
      </c>
      <c r="I4023" s="2" t="s">
        <v>20299</v>
      </c>
      <c r="J4023" s="2" t="s">
        <v>20300</v>
      </c>
      <c r="K4023" s="2" t="s">
        <v>2737</v>
      </c>
      <c r="L4023" s="2" t="s">
        <v>18345</v>
      </c>
      <c r="M4023" s="2" t="s">
        <v>20301</v>
      </c>
      <c r="N4023" s="2" t="s">
        <v>20302</v>
      </c>
      <c r="O4023" s="2" t="s">
        <v>869</v>
      </c>
      <c r="P4023" s="2" t="s">
        <v>870</v>
      </c>
    </row>
    <row r="4024" ht="15.75" customHeight="1">
      <c r="H4024" s="2" t="s">
        <v>20303</v>
      </c>
      <c r="I4024" s="2" t="s">
        <v>20304</v>
      </c>
      <c r="J4024" s="2" t="s">
        <v>20305</v>
      </c>
      <c r="K4024" s="2" t="s">
        <v>2171</v>
      </c>
      <c r="L4024" s="2" t="s">
        <v>18345</v>
      </c>
      <c r="M4024" s="2" t="s">
        <v>20306</v>
      </c>
      <c r="N4024" s="2" t="s">
        <v>20307</v>
      </c>
      <c r="O4024" s="2" t="s">
        <v>869</v>
      </c>
      <c r="P4024" s="2" t="s">
        <v>870</v>
      </c>
    </row>
    <row r="4025" ht="15.75" customHeight="1">
      <c r="H4025" s="2" t="s">
        <v>20308</v>
      </c>
      <c r="I4025" s="2" t="s">
        <v>20309</v>
      </c>
      <c r="J4025" s="2" t="s">
        <v>20310</v>
      </c>
      <c r="K4025" s="2" t="s">
        <v>1181</v>
      </c>
      <c r="L4025" s="2" t="s">
        <v>18345</v>
      </c>
      <c r="M4025" s="2" t="s">
        <v>20247</v>
      </c>
      <c r="N4025" s="2" t="s">
        <v>20311</v>
      </c>
      <c r="O4025" s="2" t="s">
        <v>869</v>
      </c>
      <c r="P4025" s="2" t="s">
        <v>870</v>
      </c>
    </row>
    <row r="4026" ht="15.75" customHeight="1">
      <c r="H4026" s="2" t="s">
        <v>20312</v>
      </c>
      <c r="I4026" s="2" t="s">
        <v>9107</v>
      </c>
      <c r="J4026" s="2" t="s">
        <v>9108</v>
      </c>
      <c r="K4026" s="2" t="s">
        <v>1443</v>
      </c>
      <c r="L4026" s="2" t="s">
        <v>18345</v>
      </c>
      <c r="M4026" s="2" t="s">
        <v>20313</v>
      </c>
      <c r="N4026" s="2" t="s">
        <v>20314</v>
      </c>
      <c r="O4026" s="2" t="s">
        <v>869</v>
      </c>
      <c r="P4026" s="2" t="s">
        <v>870</v>
      </c>
    </row>
    <row r="4027" ht="15.75" customHeight="1">
      <c r="H4027" s="2" t="s">
        <v>20315</v>
      </c>
      <c r="I4027" s="2" t="s">
        <v>20316</v>
      </c>
      <c r="J4027" s="2" t="s">
        <v>20317</v>
      </c>
      <c r="K4027" s="2" t="s">
        <v>1193</v>
      </c>
      <c r="L4027" s="2" t="s">
        <v>18345</v>
      </c>
      <c r="M4027" s="2" t="s">
        <v>20318</v>
      </c>
      <c r="N4027" s="2" t="s">
        <v>20319</v>
      </c>
      <c r="O4027" s="2" t="s">
        <v>869</v>
      </c>
      <c r="P4027" s="2" t="s">
        <v>870</v>
      </c>
    </row>
    <row r="4028" ht="15.75" customHeight="1">
      <c r="H4028" s="2" t="s">
        <v>20320</v>
      </c>
      <c r="I4028" s="2" t="s">
        <v>20321</v>
      </c>
      <c r="J4028" s="2" t="s">
        <v>20322</v>
      </c>
      <c r="K4028" s="2" t="s">
        <v>1049</v>
      </c>
      <c r="L4028" s="2" t="s">
        <v>18345</v>
      </c>
      <c r="M4028" s="2" t="s">
        <v>20323</v>
      </c>
      <c r="N4028" s="2" t="s">
        <v>20324</v>
      </c>
      <c r="O4028" s="2" t="s">
        <v>869</v>
      </c>
      <c r="P4028" s="2" t="s">
        <v>870</v>
      </c>
    </row>
    <row r="4029" ht="15.75" customHeight="1">
      <c r="H4029" s="2" t="s">
        <v>20325</v>
      </c>
      <c r="I4029" s="2" t="s">
        <v>20326</v>
      </c>
      <c r="J4029" s="2" t="s">
        <v>20327</v>
      </c>
      <c r="K4029" s="2" t="s">
        <v>1199</v>
      </c>
      <c r="L4029" s="2" t="s">
        <v>18345</v>
      </c>
      <c r="M4029" s="2" t="s">
        <v>20328</v>
      </c>
      <c r="N4029" s="2" t="s">
        <v>20329</v>
      </c>
      <c r="O4029" s="2" t="s">
        <v>869</v>
      </c>
      <c r="P4029" s="2" t="s">
        <v>870</v>
      </c>
    </row>
    <row r="4030" ht="15.75" customHeight="1">
      <c r="H4030" s="2" t="s">
        <v>20330</v>
      </c>
      <c r="I4030" s="2" t="s">
        <v>20331</v>
      </c>
      <c r="J4030" s="2" t="s">
        <v>20332</v>
      </c>
      <c r="K4030" s="2" t="s">
        <v>11991</v>
      </c>
      <c r="L4030" s="2" t="s">
        <v>18345</v>
      </c>
      <c r="M4030" s="2" t="s">
        <v>20333</v>
      </c>
      <c r="N4030" s="2" t="s">
        <v>20334</v>
      </c>
      <c r="O4030" s="2" t="s">
        <v>869</v>
      </c>
      <c r="P4030" s="2" t="s">
        <v>870</v>
      </c>
    </row>
    <row r="4031" ht="15.75" customHeight="1">
      <c r="H4031" s="2" t="s">
        <v>20335</v>
      </c>
      <c r="I4031" s="2" t="s">
        <v>20336</v>
      </c>
      <c r="J4031" s="2" t="s">
        <v>20337</v>
      </c>
      <c r="K4031" s="2" t="s">
        <v>5089</v>
      </c>
      <c r="L4031" s="2" t="s">
        <v>18345</v>
      </c>
      <c r="M4031" s="2" t="s">
        <v>20338</v>
      </c>
      <c r="N4031" s="2" t="s">
        <v>20339</v>
      </c>
      <c r="O4031" s="2" t="s">
        <v>869</v>
      </c>
      <c r="P4031" s="2" t="s">
        <v>870</v>
      </c>
    </row>
    <row r="4032" ht="15.75" customHeight="1">
      <c r="F4032" s="2" t="s">
        <v>634</v>
      </c>
      <c r="H4032" s="2" t="s">
        <v>20340</v>
      </c>
      <c r="I4032" s="2" t="s">
        <v>9141</v>
      </c>
      <c r="J4032" s="2" t="s">
        <v>9142</v>
      </c>
      <c r="K4032" s="2" t="s">
        <v>853</v>
      </c>
      <c r="L4032" s="2" t="s">
        <v>18345</v>
      </c>
      <c r="M4032" s="2" t="s">
        <v>20341</v>
      </c>
      <c r="N4032" s="2" t="s">
        <v>20342</v>
      </c>
      <c r="O4032" s="2" t="s">
        <v>869</v>
      </c>
      <c r="P4032" s="2" t="s">
        <v>870</v>
      </c>
    </row>
    <row r="4033" ht="15.75" customHeight="1">
      <c r="H4033" s="2" t="s">
        <v>20343</v>
      </c>
      <c r="I4033" s="2" t="s">
        <v>20344</v>
      </c>
      <c r="J4033" s="2" t="s">
        <v>20345</v>
      </c>
      <c r="K4033" s="2" t="s">
        <v>947</v>
      </c>
      <c r="L4033" s="2" t="s">
        <v>18345</v>
      </c>
      <c r="M4033" s="2" t="s">
        <v>20346</v>
      </c>
      <c r="N4033" s="2" t="s">
        <v>20347</v>
      </c>
      <c r="O4033" s="2" t="s">
        <v>869</v>
      </c>
      <c r="P4033" s="2" t="s">
        <v>870</v>
      </c>
    </row>
    <row r="4034" ht="15.75" customHeight="1">
      <c r="H4034" s="2" t="s">
        <v>20348</v>
      </c>
      <c r="I4034" s="2" t="s">
        <v>644</v>
      </c>
      <c r="J4034" s="2" t="s">
        <v>645</v>
      </c>
      <c r="K4034" s="2" t="s">
        <v>1362</v>
      </c>
      <c r="L4034" s="2" t="s">
        <v>18345</v>
      </c>
      <c r="M4034" s="2" t="s">
        <v>20349</v>
      </c>
      <c r="N4034" s="2" t="s">
        <v>20350</v>
      </c>
      <c r="O4034" s="2" t="s">
        <v>869</v>
      </c>
      <c r="P4034" s="2" t="s">
        <v>870</v>
      </c>
    </row>
    <row r="4035" ht="15.75" customHeight="1">
      <c r="H4035" s="2" t="s">
        <v>20351</v>
      </c>
      <c r="I4035" s="2" t="s">
        <v>20352</v>
      </c>
      <c r="J4035" s="2" t="s">
        <v>20353</v>
      </c>
      <c r="L4035" s="2" t="s">
        <v>18345</v>
      </c>
      <c r="M4035" s="2" t="s">
        <v>20354</v>
      </c>
      <c r="N4035" s="2" t="s">
        <v>20355</v>
      </c>
      <c r="O4035" s="2" t="s">
        <v>869</v>
      </c>
      <c r="P4035" s="2" t="s">
        <v>870</v>
      </c>
    </row>
    <row r="4036" ht="15.75" customHeight="1">
      <c r="H4036" s="2" t="s">
        <v>20356</v>
      </c>
      <c r="I4036" s="2" t="s">
        <v>20357</v>
      </c>
      <c r="J4036" s="2" t="s">
        <v>20358</v>
      </c>
      <c r="L4036" s="2" t="s">
        <v>18345</v>
      </c>
      <c r="M4036" s="2" t="s">
        <v>20359</v>
      </c>
      <c r="N4036" s="2" t="s">
        <v>20360</v>
      </c>
      <c r="O4036" s="2" t="s">
        <v>869</v>
      </c>
      <c r="P4036" s="2" t="s">
        <v>870</v>
      </c>
    </row>
    <row r="4037" ht="15.75" customHeight="1">
      <c r="H4037" s="2" t="s">
        <v>20361</v>
      </c>
      <c r="I4037" s="2" t="s">
        <v>9185</v>
      </c>
      <c r="J4037" s="2" t="s">
        <v>9186</v>
      </c>
      <c r="K4037" s="2" t="s">
        <v>1117</v>
      </c>
      <c r="L4037" s="2" t="s">
        <v>18345</v>
      </c>
      <c r="M4037" s="2" t="s">
        <v>20362</v>
      </c>
      <c r="N4037" s="2" t="s">
        <v>20363</v>
      </c>
      <c r="O4037" s="2" t="s">
        <v>869</v>
      </c>
      <c r="P4037" s="2" t="s">
        <v>870</v>
      </c>
    </row>
    <row r="4038" ht="15.75" customHeight="1">
      <c r="H4038" s="2" t="s">
        <v>20364</v>
      </c>
      <c r="I4038" s="2" t="s">
        <v>9201</v>
      </c>
      <c r="J4038" s="2" t="s">
        <v>9202</v>
      </c>
      <c r="K4038" s="2" t="s">
        <v>1297</v>
      </c>
      <c r="L4038" s="2" t="s">
        <v>18345</v>
      </c>
      <c r="M4038" s="2" t="s">
        <v>20365</v>
      </c>
      <c r="N4038" s="2" t="s">
        <v>20366</v>
      </c>
      <c r="O4038" s="2" t="s">
        <v>869</v>
      </c>
      <c r="P4038" s="2" t="s">
        <v>870</v>
      </c>
    </row>
    <row r="4039" ht="15.75" customHeight="1">
      <c r="H4039" s="2" t="s">
        <v>20367</v>
      </c>
      <c r="I4039" s="2" t="s">
        <v>20368</v>
      </c>
      <c r="J4039" s="2" t="s">
        <v>20369</v>
      </c>
      <c r="K4039" s="2" t="s">
        <v>966</v>
      </c>
      <c r="L4039" s="2" t="s">
        <v>18345</v>
      </c>
      <c r="M4039" s="2" t="s">
        <v>20370</v>
      </c>
      <c r="N4039" s="2" t="s">
        <v>20371</v>
      </c>
      <c r="O4039" s="2" t="s">
        <v>869</v>
      </c>
      <c r="P4039" s="2" t="s">
        <v>870</v>
      </c>
    </row>
    <row r="4040" ht="15.75" customHeight="1">
      <c r="H4040" s="2" t="s">
        <v>20372</v>
      </c>
      <c r="I4040" s="2" t="s">
        <v>3357</v>
      </c>
      <c r="J4040" s="2" t="s">
        <v>3358</v>
      </c>
      <c r="K4040" s="2" t="s">
        <v>890</v>
      </c>
      <c r="L4040" s="2" t="s">
        <v>18345</v>
      </c>
      <c r="M4040" s="2" t="s">
        <v>3359</v>
      </c>
      <c r="N4040" s="2" t="s">
        <v>20373</v>
      </c>
      <c r="O4040" s="2" t="s">
        <v>869</v>
      </c>
      <c r="P4040" s="2" t="s">
        <v>870</v>
      </c>
    </row>
    <row r="4041" ht="15.75" customHeight="1">
      <c r="H4041" s="2" t="s">
        <v>20374</v>
      </c>
      <c r="I4041" s="2" t="s">
        <v>3362</v>
      </c>
      <c r="J4041" s="2" t="s">
        <v>3363</v>
      </c>
      <c r="K4041" s="2" t="s">
        <v>970</v>
      </c>
      <c r="L4041" s="2" t="s">
        <v>18345</v>
      </c>
      <c r="M4041" s="2" t="s">
        <v>20375</v>
      </c>
      <c r="N4041" s="2" t="s">
        <v>20376</v>
      </c>
      <c r="O4041" s="2" t="s">
        <v>869</v>
      </c>
      <c r="P4041" s="2" t="s">
        <v>870</v>
      </c>
    </row>
    <row r="4042" ht="15.75" customHeight="1">
      <c r="H4042" s="2" t="s">
        <v>20377</v>
      </c>
      <c r="I4042" s="2" t="s">
        <v>20378</v>
      </c>
      <c r="J4042" s="2" t="s">
        <v>20379</v>
      </c>
      <c r="K4042" s="2" t="s">
        <v>1551</v>
      </c>
      <c r="L4042" s="2" t="s">
        <v>18345</v>
      </c>
      <c r="M4042" s="2" t="s">
        <v>20380</v>
      </c>
      <c r="N4042" s="2" t="s">
        <v>20381</v>
      </c>
      <c r="O4042" s="2" t="s">
        <v>869</v>
      </c>
      <c r="P4042" s="2" t="s">
        <v>870</v>
      </c>
    </row>
    <row r="4043" ht="15.75" customHeight="1">
      <c r="H4043" s="2" t="s">
        <v>20382</v>
      </c>
      <c r="I4043" s="2" t="s">
        <v>20383</v>
      </c>
      <c r="J4043" s="2" t="s">
        <v>20384</v>
      </c>
      <c r="K4043" s="2" t="s">
        <v>1007</v>
      </c>
      <c r="L4043" s="2" t="s">
        <v>18345</v>
      </c>
      <c r="M4043" s="2" t="s">
        <v>20385</v>
      </c>
      <c r="N4043" s="2" t="s">
        <v>20386</v>
      </c>
      <c r="O4043" s="2" t="s">
        <v>869</v>
      </c>
      <c r="P4043" s="2" t="s">
        <v>870</v>
      </c>
    </row>
    <row r="4044" ht="15.75" customHeight="1">
      <c r="H4044" s="2" t="s">
        <v>20387</v>
      </c>
      <c r="I4044" s="2" t="s">
        <v>20388</v>
      </c>
      <c r="J4044" s="2" t="s">
        <v>20389</v>
      </c>
      <c r="K4044" s="2" t="s">
        <v>1508</v>
      </c>
      <c r="L4044" s="2" t="s">
        <v>18345</v>
      </c>
      <c r="M4044" s="2" t="s">
        <v>20390</v>
      </c>
      <c r="N4044" s="2" t="s">
        <v>20391</v>
      </c>
      <c r="O4044" s="2" t="s">
        <v>869</v>
      </c>
      <c r="P4044" s="2" t="s">
        <v>870</v>
      </c>
    </row>
    <row r="4045" ht="15.75" customHeight="1">
      <c r="H4045" s="2" t="s">
        <v>20392</v>
      </c>
      <c r="I4045" s="2" t="s">
        <v>9253</v>
      </c>
      <c r="J4045" s="2" t="s">
        <v>9254</v>
      </c>
      <c r="K4045" s="2" t="s">
        <v>1145</v>
      </c>
      <c r="L4045" s="2" t="s">
        <v>18345</v>
      </c>
      <c r="M4045" s="2" t="s">
        <v>9256</v>
      </c>
      <c r="N4045" s="2" t="s">
        <v>20393</v>
      </c>
      <c r="O4045" s="2" t="s">
        <v>869</v>
      </c>
      <c r="P4045" s="2" t="s">
        <v>870</v>
      </c>
    </row>
    <row r="4046" ht="15.75" customHeight="1">
      <c r="F4046" s="2" t="s">
        <v>3384</v>
      </c>
      <c r="H4046" s="2" t="s">
        <v>20394</v>
      </c>
      <c r="I4046" s="2" t="s">
        <v>3391</v>
      </c>
      <c r="J4046" s="2" t="s">
        <v>3392</v>
      </c>
      <c r="K4046" s="2" t="s">
        <v>853</v>
      </c>
      <c r="L4046" s="2" t="s">
        <v>18345</v>
      </c>
      <c r="M4046" s="2" t="s">
        <v>20395</v>
      </c>
      <c r="N4046" s="2" t="s">
        <v>20396</v>
      </c>
      <c r="O4046" s="2" t="s">
        <v>869</v>
      </c>
      <c r="P4046" s="2" t="s">
        <v>870</v>
      </c>
    </row>
    <row r="4047" ht="15.75" customHeight="1">
      <c r="H4047" s="2" t="s">
        <v>20397</v>
      </c>
      <c r="I4047" s="2" t="s">
        <v>1629</v>
      </c>
      <c r="J4047" s="2" t="s">
        <v>1630</v>
      </c>
      <c r="L4047" s="2" t="s">
        <v>18345</v>
      </c>
      <c r="M4047" s="2" t="s">
        <v>20398</v>
      </c>
      <c r="N4047" s="2" t="s">
        <v>869</v>
      </c>
      <c r="O4047" s="2" t="s">
        <v>870</v>
      </c>
    </row>
    <row r="4048" ht="15.75" customHeight="1">
      <c r="H4048" s="2" t="s">
        <v>20399</v>
      </c>
      <c r="I4048" s="2" t="s">
        <v>3401</v>
      </c>
      <c r="J4048" s="2" t="s">
        <v>3402</v>
      </c>
      <c r="K4048" s="2" t="s">
        <v>1288</v>
      </c>
      <c r="L4048" s="2" t="s">
        <v>18345</v>
      </c>
      <c r="M4048" s="2" t="s">
        <v>3403</v>
      </c>
      <c r="N4048" s="2" t="s">
        <v>20400</v>
      </c>
      <c r="O4048" s="2" t="s">
        <v>869</v>
      </c>
      <c r="P4048" s="2" t="s">
        <v>870</v>
      </c>
    </row>
    <row r="4049" ht="15.75" customHeight="1">
      <c r="H4049" s="2" t="s">
        <v>20401</v>
      </c>
      <c r="I4049" s="2" t="s">
        <v>3406</v>
      </c>
      <c r="J4049" s="2" t="s">
        <v>3407</v>
      </c>
      <c r="K4049" s="2" t="s">
        <v>1368</v>
      </c>
      <c r="L4049" s="2" t="s">
        <v>18345</v>
      </c>
      <c r="M4049" s="2" t="s">
        <v>20402</v>
      </c>
      <c r="N4049" s="2" t="s">
        <v>20403</v>
      </c>
      <c r="O4049" s="2" t="s">
        <v>869</v>
      </c>
      <c r="P4049" s="2" t="s">
        <v>870</v>
      </c>
    </row>
    <row r="4050" ht="15.75" customHeight="1">
      <c r="H4050" s="2" t="s">
        <v>20404</v>
      </c>
      <c r="I4050" s="2" t="s">
        <v>4918</v>
      </c>
      <c r="J4050" s="2" t="s">
        <v>4919</v>
      </c>
      <c r="K4050" s="2" t="s">
        <v>996</v>
      </c>
      <c r="L4050" s="2" t="s">
        <v>18345</v>
      </c>
      <c r="M4050" s="2" t="s">
        <v>20405</v>
      </c>
      <c r="N4050" s="2" t="s">
        <v>20406</v>
      </c>
      <c r="O4050" s="2" t="s">
        <v>869</v>
      </c>
      <c r="P4050" s="2" t="s">
        <v>870</v>
      </c>
    </row>
    <row r="4051" ht="15.75" customHeight="1">
      <c r="H4051" s="2" t="s">
        <v>20407</v>
      </c>
      <c r="I4051" s="2" t="s">
        <v>20408</v>
      </c>
      <c r="J4051" s="2" t="s">
        <v>20409</v>
      </c>
      <c r="K4051" s="2" t="s">
        <v>277</v>
      </c>
      <c r="L4051" s="2" t="s">
        <v>18345</v>
      </c>
      <c r="M4051" s="2" t="s">
        <v>20410</v>
      </c>
      <c r="N4051" s="2" t="s">
        <v>20411</v>
      </c>
      <c r="O4051" s="2" t="s">
        <v>869</v>
      </c>
      <c r="P4051" s="2" t="s">
        <v>870</v>
      </c>
    </row>
    <row r="4052" ht="15.75" customHeight="1">
      <c r="H4052" s="2" t="s">
        <v>20412</v>
      </c>
      <c r="I4052" s="2" t="s">
        <v>3419</v>
      </c>
      <c r="J4052" s="2" t="s">
        <v>3420</v>
      </c>
      <c r="K4052" s="2" t="s">
        <v>890</v>
      </c>
      <c r="L4052" s="2" t="s">
        <v>18345</v>
      </c>
      <c r="M4052" s="2" t="s">
        <v>20413</v>
      </c>
      <c r="N4052" s="2" t="s">
        <v>20414</v>
      </c>
      <c r="O4052" s="2" t="s">
        <v>869</v>
      </c>
      <c r="P4052" s="2" t="s">
        <v>870</v>
      </c>
    </row>
    <row r="4053" ht="15.75" customHeight="1">
      <c r="F4053" s="2" t="s">
        <v>651</v>
      </c>
      <c r="H4053" s="2" t="s">
        <v>20415</v>
      </c>
      <c r="I4053" s="2" t="s">
        <v>3424</v>
      </c>
      <c r="J4053" s="2" t="s">
        <v>3425</v>
      </c>
      <c r="K4053" s="2" t="s">
        <v>861</v>
      </c>
      <c r="L4053" s="2" t="s">
        <v>18345</v>
      </c>
      <c r="M4053" s="2" t="s">
        <v>20416</v>
      </c>
      <c r="N4053" s="2" t="s">
        <v>20417</v>
      </c>
      <c r="O4053" s="2" t="s">
        <v>869</v>
      </c>
      <c r="P4053" s="2" t="s">
        <v>870</v>
      </c>
    </row>
    <row r="4054" ht="15.75" customHeight="1">
      <c r="H4054" s="2" t="s">
        <v>20418</v>
      </c>
      <c r="I4054" s="2" t="s">
        <v>20419</v>
      </c>
      <c r="J4054" s="2" t="s">
        <v>20420</v>
      </c>
      <c r="K4054" s="2" t="s">
        <v>947</v>
      </c>
      <c r="L4054" s="2" t="s">
        <v>18345</v>
      </c>
      <c r="M4054" s="2" t="s">
        <v>20421</v>
      </c>
      <c r="N4054" s="2" t="s">
        <v>20422</v>
      </c>
      <c r="O4054" s="2" t="s">
        <v>869</v>
      </c>
      <c r="P4054" s="2" t="s">
        <v>870</v>
      </c>
    </row>
    <row r="4055" ht="15.75" customHeight="1">
      <c r="H4055" s="2" t="s">
        <v>20423</v>
      </c>
      <c r="I4055" s="2" t="s">
        <v>20424</v>
      </c>
      <c r="J4055" s="2" t="s">
        <v>20425</v>
      </c>
      <c r="K4055" s="2" t="s">
        <v>280</v>
      </c>
      <c r="L4055" s="2" t="s">
        <v>18345</v>
      </c>
      <c r="M4055" s="2" t="s">
        <v>20426</v>
      </c>
      <c r="N4055" s="2" t="s">
        <v>20427</v>
      </c>
      <c r="O4055" s="2" t="s">
        <v>869</v>
      </c>
      <c r="P4055" s="2" t="s">
        <v>870</v>
      </c>
    </row>
    <row r="4056" ht="15.75" customHeight="1">
      <c r="H4056" s="2" t="s">
        <v>20428</v>
      </c>
      <c r="I4056" s="2" t="s">
        <v>3439</v>
      </c>
      <c r="J4056" s="2" t="s">
        <v>3440</v>
      </c>
      <c r="K4056" s="2" t="s">
        <v>865</v>
      </c>
      <c r="L4056" s="2" t="s">
        <v>18345</v>
      </c>
      <c r="M4056" s="2" t="s">
        <v>3441</v>
      </c>
      <c r="N4056" s="2" t="s">
        <v>20429</v>
      </c>
      <c r="O4056" s="2" t="s">
        <v>869</v>
      </c>
      <c r="P4056" s="2" t="s">
        <v>870</v>
      </c>
    </row>
    <row r="4057" ht="15.75" customHeight="1">
      <c r="H4057" s="2" t="s">
        <v>20430</v>
      </c>
      <c r="I4057" s="2" t="s">
        <v>20431</v>
      </c>
      <c r="J4057" s="2" t="s">
        <v>20432</v>
      </c>
      <c r="K4057" s="2" t="s">
        <v>1467</v>
      </c>
      <c r="L4057" s="2" t="s">
        <v>18345</v>
      </c>
      <c r="M4057" s="2" t="s">
        <v>20433</v>
      </c>
      <c r="N4057" s="2" t="s">
        <v>20434</v>
      </c>
      <c r="O4057" s="2" t="s">
        <v>869</v>
      </c>
      <c r="P4057" s="2" t="s">
        <v>870</v>
      </c>
    </row>
    <row r="4058" ht="15.75" customHeight="1">
      <c r="H4058" s="2" t="s">
        <v>20435</v>
      </c>
      <c r="I4058" s="2" t="s">
        <v>9303</v>
      </c>
      <c r="J4058" s="2" t="s">
        <v>9304</v>
      </c>
      <c r="K4058" s="2" t="s">
        <v>1117</v>
      </c>
      <c r="L4058" s="2" t="s">
        <v>18345</v>
      </c>
      <c r="M4058" s="2" t="s">
        <v>20436</v>
      </c>
      <c r="N4058" s="2" t="s">
        <v>20437</v>
      </c>
      <c r="O4058" s="2" t="s">
        <v>869</v>
      </c>
      <c r="P4058" s="2" t="s">
        <v>870</v>
      </c>
    </row>
    <row r="4059" ht="15.75" customHeight="1">
      <c r="H4059" s="2" t="s">
        <v>20438</v>
      </c>
      <c r="I4059" s="2" t="s">
        <v>20439</v>
      </c>
      <c r="J4059" s="2" t="s">
        <v>20440</v>
      </c>
      <c r="K4059" s="2" t="s">
        <v>12513</v>
      </c>
      <c r="L4059" s="2" t="s">
        <v>18345</v>
      </c>
      <c r="M4059" s="2" t="s">
        <v>20441</v>
      </c>
      <c r="N4059" s="2" t="s">
        <v>20442</v>
      </c>
      <c r="O4059" s="2" t="s">
        <v>869</v>
      </c>
      <c r="P4059" s="2" t="s">
        <v>870</v>
      </c>
    </row>
    <row r="4060" ht="15.75" customHeight="1">
      <c r="H4060" s="2" t="s">
        <v>20443</v>
      </c>
      <c r="I4060" s="2" t="s">
        <v>9325</v>
      </c>
      <c r="J4060" s="2" t="s">
        <v>9326</v>
      </c>
      <c r="K4060" s="2" t="s">
        <v>1007</v>
      </c>
      <c r="L4060" s="2" t="s">
        <v>18345</v>
      </c>
      <c r="M4060" s="2" t="s">
        <v>20444</v>
      </c>
      <c r="N4060" s="2" t="s">
        <v>20445</v>
      </c>
      <c r="O4060" s="2" t="s">
        <v>869</v>
      </c>
      <c r="P4060" s="2" t="s">
        <v>870</v>
      </c>
    </row>
    <row r="4061" ht="15.75" customHeight="1">
      <c r="H4061" s="2" t="s">
        <v>20446</v>
      </c>
      <c r="I4061" s="2" t="s">
        <v>3462</v>
      </c>
      <c r="J4061" s="2" t="s">
        <v>3463</v>
      </c>
      <c r="K4061" s="2" t="s">
        <v>1136</v>
      </c>
      <c r="L4061" s="2" t="s">
        <v>18345</v>
      </c>
      <c r="M4061" s="2" t="s">
        <v>3464</v>
      </c>
      <c r="N4061" s="2" t="s">
        <v>20447</v>
      </c>
      <c r="O4061" s="2" t="s">
        <v>869</v>
      </c>
      <c r="P4061" s="2" t="s">
        <v>870</v>
      </c>
    </row>
    <row r="4062" ht="15.75" customHeight="1">
      <c r="H4062" s="2" t="s">
        <v>20448</v>
      </c>
      <c r="I4062" s="2" t="s">
        <v>653</v>
      </c>
      <c r="J4062" s="2" t="s">
        <v>654</v>
      </c>
      <c r="K4062" s="2" t="s">
        <v>900</v>
      </c>
      <c r="L4062" s="2" t="s">
        <v>18345</v>
      </c>
      <c r="M4062" s="2" t="s">
        <v>20449</v>
      </c>
      <c r="N4062" s="2" t="s">
        <v>20450</v>
      </c>
      <c r="O4062" s="2" t="s">
        <v>869</v>
      </c>
      <c r="P4062" s="2" t="s">
        <v>870</v>
      </c>
    </row>
    <row r="4063" ht="15.75" customHeight="1">
      <c r="H4063" s="2" t="s">
        <v>20451</v>
      </c>
      <c r="I4063" s="2" t="s">
        <v>3053</v>
      </c>
      <c r="J4063" s="2" t="s">
        <v>3054</v>
      </c>
      <c r="K4063" s="2" t="s">
        <v>2551</v>
      </c>
      <c r="L4063" s="2" t="s">
        <v>18345</v>
      </c>
      <c r="M4063" s="2" t="s">
        <v>20452</v>
      </c>
      <c r="N4063" s="2" t="s">
        <v>20453</v>
      </c>
      <c r="O4063" s="2" t="s">
        <v>869</v>
      </c>
      <c r="P4063" s="2" t="s">
        <v>870</v>
      </c>
    </row>
    <row r="4064" ht="15.75" customHeight="1">
      <c r="H4064" s="2" t="s">
        <v>20454</v>
      </c>
      <c r="I4064" s="2" t="s">
        <v>20455</v>
      </c>
      <c r="J4064" s="2" t="s">
        <v>20456</v>
      </c>
      <c r="K4064" s="2" t="s">
        <v>1418</v>
      </c>
      <c r="L4064" s="2" t="s">
        <v>18345</v>
      </c>
      <c r="M4064" s="2" t="s">
        <v>20457</v>
      </c>
      <c r="N4064" s="2" t="s">
        <v>20458</v>
      </c>
      <c r="O4064" s="2" t="s">
        <v>869</v>
      </c>
      <c r="P4064" s="2" t="s">
        <v>870</v>
      </c>
    </row>
    <row r="4065" ht="15.75" customHeight="1">
      <c r="H4065" s="2" t="s">
        <v>20459</v>
      </c>
      <c r="I4065" s="2" t="s">
        <v>20460</v>
      </c>
      <c r="J4065" s="2" t="s">
        <v>20461</v>
      </c>
      <c r="K4065" s="2" t="s">
        <v>1151</v>
      </c>
      <c r="L4065" s="2" t="s">
        <v>18345</v>
      </c>
      <c r="M4065" s="2" t="s">
        <v>20462</v>
      </c>
      <c r="N4065" s="2" t="s">
        <v>20463</v>
      </c>
      <c r="O4065" s="2" t="s">
        <v>869</v>
      </c>
      <c r="P4065" s="2" t="s">
        <v>870</v>
      </c>
    </row>
    <row r="4066" ht="15.75" customHeight="1">
      <c r="F4066" s="2" t="s">
        <v>3521</v>
      </c>
      <c r="H4066" s="2" t="s">
        <v>20464</v>
      </c>
      <c r="I4066" s="2" t="s">
        <v>20465</v>
      </c>
      <c r="J4066" s="2" t="s">
        <v>20466</v>
      </c>
      <c r="K4066" s="2" t="s">
        <v>947</v>
      </c>
      <c r="L4066" s="2" t="s">
        <v>18345</v>
      </c>
      <c r="M4066" s="2" t="s">
        <v>20467</v>
      </c>
      <c r="N4066" s="2" t="s">
        <v>20468</v>
      </c>
      <c r="O4066" s="2" t="s">
        <v>869</v>
      </c>
      <c r="P4066" s="2" t="s">
        <v>870</v>
      </c>
    </row>
    <row r="4067" ht="15.75" customHeight="1">
      <c r="H4067" s="2" t="s">
        <v>20469</v>
      </c>
      <c r="I4067" s="2" t="s">
        <v>20470</v>
      </c>
      <c r="J4067" s="2" t="s">
        <v>20471</v>
      </c>
      <c r="L4067" s="2" t="s">
        <v>18345</v>
      </c>
      <c r="M4067" s="2" t="s">
        <v>20472</v>
      </c>
      <c r="N4067" s="2" t="s">
        <v>20473</v>
      </c>
      <c r="O4067" s="2" t="s">
        <v>869</v>
      </c>
      <c r="P4067" s="2" t="s">
        <v>870</v>
      </c>
    </row>
    <row r="4068" ht="15.75" customHeight="1">
      <c r="H4068" s="2" t="s">
        <v>20474</v>
      </c>
      <c r="I4068" s="2" t="s">
        <v>20475</v>
      </c>
      <c r="J4068" s="2" t="s">
        <v>20476</v>
      </c>
      <c r="K4068" s="2" t="s">
        <v>1362</v>
      </c>
      <c r="L4068" s="2" t="s">
        <v>18345</v>
      </c>
      <c r="M4068" s="2" t="s">
        <v>20477</v>
      </c>
      <c r="N4068" s="2" t="s">
        <v>20478</v>
      </c>
      <c r="O4068" s="2" t="s">
        <v>869</v>
      </c>
      <c r="P4068" s="2" t="s">
        <v>870</v>
      </c>
    </row>
    <row r="4069" ht="15.75" customHeight="1">
      <c r="H4069" s="2" t="s">
        <v>20479</v>
      </c>
      <c r="I4069" s="2" t="s">
        <v>3528</v>
      </c>
      <c r="J4069" s="2" t="s">
        <v>3529</v>
      </c>
      <c r="K4069" s="2" t="s">
        <v>1288</v>
      </c>
      <c r="L4069" s="2" t="s">
        <v>18345</v>
      </c>
      <c r="M4069" s="2" t="s">
        <v>20480</v>
      </c>
      <c r="N4069" s="2" t="s">
        <v>20481</v>
      </c>
      <c r="O4069" s="2" t="s">
        <v>869</v>
      </c>
      <c r="P4069" s="2" t="s">
        <v>870</v>
      </c>
    </row>
    <row r="4070" ht="15.75" customHeight="1">
      <c r="H4070" s="2" t="s">
        <v>20482</v>
      </c>
      <c r="I4070" s="2" t="s">
        <v>20483</v>
      </c>
      <c r="J4070" s="2" t="s">
        <v>20484</v>
      </c>
      <c r="L4070" s="2" t="s">
        <v>18345</v>
      </c>
      <c r="M4070" s="2" t="s">
        <v>20485</v>
      </c>
      <c r="N4070" s="2" t="s">
        <v>20486</v>
      </c>
      <c r="O4070" s="2" t="s">
        <v>869</v>
      </c>
      <c r="P4070" s="2" t="s">
        <v>870</v>
      </c>
    </row>
    <row r="4071" ht="15.75" customHeight="1">
      <c r="H4071" s="2" t="s">
        <v>20487</v>
      </c>
      <c r="I4071" s="2" t="s">
        <v>3538</v>
      </c>
      <c r="J4071" s="2" t="s">
        <v>3539</v>
      </c>
      <c r="K4071" s="2" t="s">
        <v>1128</v>
      </c>
      <c r="L4071" s="2" t="s">
        <v>18345</v>
      </c>
      <c r="M4071" s="2" t="s">
        <v>3540</v>
      </c>
      <c r="N4071" s="2" t="s">
        <v>20488</v>
      </c>
      <c r="O4071" s="2" t="s">
        <v>869</v>
      </c>
      <c r="P4071" s="2" t="s">
        <v>870</v>
      </c>
    </row>
    <row r="4072" ht="15.75" customHeight="1">
      <c r="H4072" s="2" t="s">
        <v>20489</v>
      </c>
      <c r="I4072" s="2" t="s">
        <v>3543</v>
      </c>
      <c r="J4072" s="2" t="s">
        <v>3544</v>
      </c>
      <c r="L4072" s="2" t="s">
        <v>18345</v>
      </c>
      <c r="M4072" s="2" t="s">
        <v>3545</v>
      </c>
      <c r="N4072" s="2" t="s">
        <v>20490</v>
      </c>
      <c r="O4072" s="2" t="s">
        <v>869</v>
      </c>
      <c r="P4072" s="2" t="s">
        <v>870</v>
      </c>
    </row>
    <row r="4073" ht="15.75" customHeight="1">
      <c r="H4073" s="2" t="s">
        <v>20491</v>
      </c>
      <c r="I4073" s="2" t="s">
        <v>3553</v>
      </c>
      <c r="J4073" s="2" t="s">
        <v>3554</v>
      </c>
      <c r="K4073" s="2" t="s">
        <v>900</v>
      </c>
      <c r="L4073" s="2" t="s">
        <v>18345</v>
      </c>
      <c r="M4073" s="2" t="s">
        <v>3555</v>
      </c>
      <c r="N4073" s="2" t="s">
        <v>20492</v>
      </c>
      <c r="O4073" s="2" t="s">
        <v>869</v>
      </c>
      <c r="P4073" s="2" t="s">
        <v>870</v>
      </c>
    </row>
    <row r="4074" ht="15.75" customHeight="1">
      <c r="H4074" s="2" t="s">
        <v>20493</v>
      </c>
      <c r="I4074" s="2" t="s">
        <v>3558</v>
      </c>
      <c r="J4074" s="2" t="s">
        <v>3559</v>
      </c>
      <c r="K4074" s="2" t="s">
        <v>906</v>
      </c>
      <c r="L4074" s="2" t="s">
        <v>18345</v>
      </c>
      <c r="M4074" s="2" t="s">
        <v>3560</v>
      </c>
      <c r="N4074" s="2" t="s">
        <v>869</v>
      </c>
      <c r="O4074" s="2" t="s">
        <v>870</v>
      </c>
    </row>
    <row r="4075" ht="15.75" customHeight="1">
      <c r="F4075" s="2" t="s">
        <v>3567</v>
      </c>
      <c r="H4075" s="2" t="s">
        <v>20494</v>
      </c>
      <c r="I4075" s="2" t="s">
        <v>20495</v>
      </c>
      <c r="J4075" s="2" t="s">
        <v>20496</v>
      </c>
      <c r="K4075" s="2" t="s">
        <v>859</v>
      </c>
      <c r="L4075" s="2" t="s">
        <v>18345</v>
      </c>
      <c r="M4075" s="2" t="s">
        <v>20497</v>
      </c>
      <c r="N4075" s="2" t="s">
        <v>20498</v>
      </c>
      <c r="O4075" s="2" t="s">
        <v>869</v>
      </c>
      <c r="P4075" s="2" t="s">
        <v>870</v>
      </c>
    </row>
    <row r="4076" ht="15.75" customHeight="1">
      <c r="H4076" s="2" t="s">
        <v>20499</v>
      </c>
      <c r="I4076" s="2" t="s">
        <v>20500</v>
      </c>
      <c r="J4076" s="2" t="s">
        <v>20501</v>
      </c>
      <c r="K4076" s="2" t="s">
        <v>947</v>
      </c>
      <c r="L4076" s="2" t="s">
        <v>18345</v>
      </c>
      <c r="M4076" s="2" t="s">
        <v>20502</v>
      </c>
      <c r="N4076" s="2" t="s">
        <v>20503</v>
      </c>
      <c r="O4076" s="2" t="s">
        <v>869</v>
      </c>
      <c r="P4076" s="2" t="s">
        <v>870</v>
      </c>
    </row>
    <row r="4077" ht="15.75" customHeight="1">
      <c r="H4077" s="2" t="s">
        <v>20504</v>
      </c>
      <c r="I4077" s="2" t="s">
        <v>20505</v>
      </c>
      <c r="J4077" s="2" t="s">
        <v>20506</v>
      </c>
      <c r="K4077" s="2" t="s">
        <v>277</v>
      </c>
      <c r="L4077" s="2" t="s">
        <v>18345</v>
      </c>
      <c r="M4077" s="2" t="s">
        <v>20507</v>
      </c>
      <c r="N4077" s="2" t="s">
        <v>20508</v>
      </c>
      <c r="O4077" s="2" t="s">
        <v>869</v>
      </c>
      <c r="P4077" s="2" t="s">
        <v>870</v>
      </c>
    </row>
    <row r="4078" ht="15.75" customHeight="1">
      <c r="H4078" s="2" t="s">
        <v>20509</v>
      </c>
      <c r="I4078" s="2" t="s">
        <v>20510</v>
      </c>
      <c r="J4078" s="2" t="s">
        <v>20511</v>
      </c>
      <c r="K4078" s="2" t="s">
        <v>1061</v>
      </c>
      <c r="L4078" s="2" t="s">
        <v>18345</v>
      </c>
      <c r="M4078" s="2" t="s">
        <v>20512</v>
      </c>
      <c r="N4078" s="2" t="s">
        <v>20513</v>
      </c>
      <c r="O4078" s="2" t="s">
        <v>869</v>
      </c>
      <c r="P4078" s="2" t="s">
        <v>870</v>
      </c>
    </row>
    <row r="4079" ht="15.75" customHeight="1">
      <c r="H4079" s="2" t="s">
        <v>20514</v>
      </c>
      <c r="I4079" s="2" t="s">
        <v>20515</v>
      </c>
      <c r="J4079" s="2" t="s">
        <v>20516</v>
      </c>
      <c r="K4079" s="2" t="s">
        <v>1288</v>
      </c>
      <c r="L4079" s="2" t="s">
        <v>18345</v>
      </c>
      <c r="M4079" s="2" t="s">
        <v>20517</v>
      </c>
      <c r="N4079" s="2" t="s">
        <v>20518</v>
      </c>
      <c r="O4079" s="2" t="s">
        <v>869</v>
      </c>
      <c r="P4079" s="2" t="s">
        <v>870</v>
      </c>
    </row>
    <row r="4080" ht="15.75" customHeight="1">
      <c r="H4080" s="2" t="s">
        <v>20519</v>
      </c>
      <c r="I4080" s="2" t="s">
        <v>3110</v>
      </c>
      <c r="J4080" s="2" t="s">
        <v>3111</v>
      </c>
      <c r="K4080" s="2" t="s">
        <v>1117</v>
      </c>
      <c r="L4080" s="2" t="s">
        <v>18345</v>
      </c>
      <c r="M4080" s="2" t="s">
        <v>20520</v>
      </c>
      <c r="N4080" s="2" t="s">
        <v>20521</v>
      </c>
      <c r="O4080" s="2" t="s">
        <v>869</v>
      </c>
      <c r="P4080" s="2" t="s">
        <v>870</v>
      </c>
    </row>
    <row r="4081" ht="15.75" customHeight="1">
      <c r="H4081" s="2" t="s">
        <v>20522</v>
      </c>
      <c r="I4081" s="2" t="s">
        <v>3569</v>
      </c>
      <c r="J4081" s="2" t="s">
        <v>3570</v>
      </c>
      <c r="K4081" s="2" t="s">
        <v>1368</v>
      </c>
      <c r="L4081" s="2" t="s">
        <v>18345</v>
      </c>
      <c r="M4081" s="2" t="s">
        <v>3571</v>
      </c>
      <c r="N4081" s="2" t="s">
        <v>20523</v>
      </c>
      <c r="O4081" s="2" t="s">
        <v>869</v>
      </c>
      <c r="P4081" s="2" t="s">
        <v>870</v>
      </c>
    </row>
    <row r="4082" ht="15.75" customHeight="1">
      <c r="H4082" s="2" t="s">
        <v>20524</v>
      </c>
      <c r="I4082" s="2" t="s">
        <v>20525</v>
      </c>
      <c r="J4082" s="2" t="s">
        <v>20526</v>
      </c>
      <c r="L4082" s="2" t="s">
        <v>18345</v>
      </c>
      <c r="M4082" s="2" t="s">
        <v>20527</v>
      </c>
      <c r="N4082" s="2" t="s">
        <v>20528</v>
      </c>
      <c r="O4082" s="2" t="s">
        <v>869</v>
      </c>
      <c r="P4082" s="2" t="s">
        <v>870</v>
      </c>
    </row>
    <row r="4083" ht="15.75" customHeight="1">
      <c r="F4083" s="2" t="s">
        <v>3577</v>
      </c>
      <c r="H4083" s="2" t="s">
        <v>20529</v>
      </c>
      <c r="I4083" s="2" t="s">
        <v>20530</v>
      </c>
      <c r="J4083" s="2" t="s">
        <v>20531</v>
      </c>
      <c r="K4083" s="2" t="s">
        <v>947</v>
      </c>
      <c r="L4083" s="2" t="s">
        <v>18345</v>
      </c>
      <c r="M4083" s="2" t="s">
        <v>20532</v>
      </c>
      <c r="N4083" s="2" t="s">
        <v>20533</v>
      </c>
      <c r="O4083" s="2" t="s">
        <v>869</v>
      </c>
      <c r="P4083" s="2" t="s">
        <v>870</v>
      </c>
    </row>
    <row r="4084" ht="15.75" customHeight="1">
      <c r="H4084" s="2" t="s">
        <v>20534</v>
      </c>
      <c r="I4084" s="2" t="s">
        <v>3588</v>
      </c>
      <c r="J4084" s="2" t="s">
        <v>3589</v>
      </c>
      <c r="K4084" s="2" t="s">
        <v>865</v>
      </c>
      <c r="L4084" s="2" t="s">
        <v>18345</v>
      </c>
      <c r="M4084" s="2" t="s">
        <v>20535</v>
      </c>
      <c r="N4084" s="2" t="s">
        <v>20536</v>
      </c>
      <c r="O4084" s="2" t="s">
        <v>869</v>
      </c>
      <c r="P4084" s="2" t="s">
        <v>870</v>
      </c>
    </row>
    <row r="4085" ht="15.75" customHeight="1">
      <c r="H4085" s="2" t="s">
        <v>20537</v>
      </c>
      <c r="I4085" s="2" t="s">
        <v>3593</v>
      </c>
      <c r="J4085" s="2" t="s">
        <v>3594</v>
      </c>
      <c r="K4085" s="2" t="s">
        <v>1368</v>
      </c>
      <c r="L4085" s="2" t="s">
        <v>18345</v>
      </c>
      <c r="M4085" s="2" t="s">
        <v>20538</v>
      </c>
      <c r="N4085" s="2" t="s">
        <v>20539</v>
      </c>
      <c r="O4085" s="2" t="s">
        <v>869</v>
      </c>
      <c r="P4085" s="2" t="s">
        <v>870</v>
      </c>
    </row>
    <row r="4086" ht="15.75" customHeight="1">
      <c r="H4086" s="2" t="s">
        <v>20540</v>
      </c>
      <c r="I4086" s="2" t="s">
        <v>3732</v>
      </c>
      <c r="J4086" s="2" t="s">
        <v>3733</v>
      </c>
      <c r="K4086" s="2" t="s">
        <v>996</v>
      </c>
      <c r="L4086" s="2" t="s">
        <v>18345</v>
      </c>
      <c r="M4086" s="2" t="s">
        <v>20541</v>
      </c>
      <c r="N4086" s="2" t="s">
        <v>20542</v>
      </c>
      <c r="O4086" s="2" t="s">
        <v>869</v>
      </c>
      <c r="P4086" s="2" t="s">
        <v>870</v>
      </c>
    </row>
    <row r="4087" ht="15.75" customHeight="1">
      <c r="H4087" s="2" t="s">
        <v>20543</v>
      </c>
      <c r="I4087" s="2" t="s">
        <v>1025</v>
      </c>
      <c r="J4087" s="2" t="s">
        <v>1026</v>
      </c>
      <c r="K4087" s="2" t="s">
        <v>1117</v>
      </c>
      <c r="L4087" s="2" t="s">
        <v>18345</v>
      </c>
      <c r="M4087" s="2" t="s">
        <v>20544</v>
      </c>
      <c r="N4087" s="2" t="s">
        <v>20545</v>
      </c>
      <c r="O4087" s="2" t="s">
        <v>869</v>
      </c>
      <c r="P4087" s="2" t="s">
        <v>870</v>
      </c>
    </row>
    <row r="4088" ht="15.75" customHeight="1">
      <c r="H4088" s="2" t="s">
        <v>20546</v>
      </c>
      <c r="I4088" s="2" t="s">
        <v>9523</v>
      </c>
      <c r="J4088" s="2" t="s">
        <v>9524</v>
      </c>
      <c r="K4088" s="2" t="s">
        <v>890</v>
      </c>
      <c r="L4088" s="2" t="s">
        <v>18345</v>
      </c>
      <c r="M4088" s="2" t="s">
        <v>20547</v>
      </c>
      <c r="N4088" s="2" t="s">
        <v>20548</v>
      </c>
      <c r="O4088" s="2" t="s">
        <v>869</v>
      </c>
      <c r="P4088" s="2" t="s">
        <v>870</v>
      </c>
    </row>
    <row r="4089" ht="15.75" customHeight="1">
      <c r="F4089" s="2" t="s">
        <v>3605</v>
      </c>
      <c r="H4089" s="2" t="s">
        <v>20549</v>
      </c>
      <c r="I4089" s="2" t="s">
        <v>9564</v>
      </c>
      <c r="J4089" s="2" t="s">
        <v>9565</v>
      </c>
      <c r="K4089" s="2" t="s">
        <v>947</v>
      </c>
      <c r="L4089" s="2" t="s">
        <v>18345</v>
      </c>
      <c r="M4089" s="2" t="s">
        <v>9567</v>
      </c>
      <c r="N4089" s="2" t="s">
        <v>20550</v>
      </c>
      <c r="O4089" s="2" t="s">
        <v>869</v>
      </c>
      <c r="P4089" s="2" t="s">
        <v>870</v>
      </c>
    </row>
    <row r="4090" ht="15.75" customHeight="1">
      <c r="H4090" s="2" t="s">
        <v>20551</v>
      </c>
      <c r="I4090" s="2" t="s">
        <v>1457</v>
      </c>
      <c r="J4090" s="2" t="s">
        <v>1458</v>
      </c>
      <c r="K4090" s="2" t="s">
        <v>1362</v>
      </c>
      <c r="L4090" s="2" t="s">
        <v>18345</v>
      </c>
      <c r="M4090" s="2" t="s">
        <v>9579</v>
      </c>
      <c r="N4090" s="2" t="s">
        <v>20552</v>
      </c>
      <c r="O4090" s="2" t="s">
        <v>869</v>
      </c>
      <c r="P4090" s="2" t="s">
        <v>870</v>
      </c>
    </row>
    <row r="4091" ht="15.75" customHeight="1">
      <c r="H4091" s="2" t="s">
        <v>20553</v>
      </c>
      <c r="I4091" s="2" t="s">
        <v>20554</v>
      </c>
      <c r="J4091" s="2" t="s">
        <v>20555</v>
      </c>
      <c r="K4091" s="2" t="s">
        <v>1467</v>
      </c>
      <c r="L4091" s="2" t="s">
        <v>18345</v>
      </c>
      <c r="M4091" s="2" t="s">
        <v>20556</v>
      </c>
      <c r="N4091" s="2" t="s">
        <v>20557</v>
      </c>
      <c r="O4091" s="2" t="s">
        <v>869</v>
      </c>
      <c r="P4091" s="2" t="s">
        <v>870</v>
      </c>
    </row>
    <row r="4092" ht="15.75" customHeight="1">
      <c r="H4092" s="2" t="s">
        <v>20558</v>
      </c>
      <c r="I4092" s="2" t="s">
        <v>20559</v>
      </c>
      <c r="J4092" s="2" t="s">
        <v>20560</v>
      </c>
      <c r="K4092" s="2" t="s">
        <v>1368</v>
      </c>
      <c r="L4092" s="2" t="s">
        <v>18345</v>
      </c>
      <c r="M4092" s="2" t="s">
        <v>20561</v>
      </c>
      <c r="N4092" s="2" t="s">
        <v>20562</v>
      </c>
      <c r="O4092" s="2" t="s">
        <v>869</v>
      </c>
      <c r="P4092" s="2" t="s">
        <v>870</v>
      </c>
    </row>
    <row r="4093" ht="15.75" customHeight="1">
      <c r="H4093" s="2" t="s">
        <v>20563</v>
      </c>
      <c r="I4093" s="2" t="s">
        <v>20564</v>
      </c>
      <c r="J4093" s="2" t="s">
        <v>20565</v>
      </c>
      <c r="K4093" s="2" t="s">
        <v>963</v>
      </c>
      <c r="L4093" s="2" t="s">
        <v>18345</v>
      </c>
      <c r="M4093" s="2" t="s">
        <v>20566</v>
      </c>
      <c r="N4093" s="2" t="s">
        <v>20567</v>
      </c>
      <c r="O4093" s="2" t="s">
        <v>869</v>
      </c>
      <c r="P4093" s="2" t="s">
        <v>870</v>
      </c>
    </row>
    <row r="4094" ht="15.75" customHeight="1">
      <c r="H4094" s="2" t="s">
        <v>20568</v>
      </c>
      <c r="I4094" s="2" t="s">
        <v>3622</v>
      </c>
      <c r="J4094" s="2" t="s">
        <v>3623</v>
      </c>
      <c r="K4094" s="2" t="s">
        <v>1297</v>
      </c>
      <c r="L4094" s="2" t="s">
        <v>18345</v>
      </c>
      <c r="M4094" s="2" t="s">
        <v>3624</v>
      </c>
      <c r="N4094" s="2" t="s">
        <v>20569</v>
      </c>
      <c r="O4094" s="2" t="s">
        <v>869</v>
      </c>
      <c r="P4094" s="2" t="s">
        <v>870</v>
      </c>
    </row>
    <row r="4095" ht="15.75" customHeight="1">
      <c r="H4095" s="2" t="s">
        <v>20570</v>
      </c>
      <c r="I4095" s="2" t="s">
        <v>2298</v>
      </c>
      <c r="J4095" s="2" t="s">
        <v>2299</v>
      </c>
      <c r="K4095" s="2" t="s">
        <v>880</v>
      </c>
      <c r="L4095" s="2" t="s">
        <v>18345</v>
      </c>
      <c r="M4095" s="2" t="s">
        <v>20571</v>
      </c>
      <c r="N4095" s="2" t="s">
        <v>20572</v>
      </c>
      <c r="O4095" s="2" t="s">
        <v>869</v>
      </c>
      <c r="P4095" s="2" t="s">
        <v>870</v>
      </c>
    </row>
    <row r="4096" ht="15.75" customHeight="1">
      <c r="H4096" s="2" t="s">
        <v>20573</v>
      </c>
      <c r="I4096" s="2" t="s">
        <v>20574</v>
      </c>
      <c r="J4096" s="2" t="s">
        <v>20575</v>
      </c>
      <c r="K4096" s="2" t="s">
        <v>886</v>
      </c>
      <c r="L4096" s="2" t="s">
        <v>18345</v>
      </c>
      <c r="M4096" s="2" t="s">
        <v>20576</v>
      </c>
      <c r="N4096" s="2" t="s">
        <v>20577</v>
      </c>
      <c r="O4096" s="2" t="s">
        <v>869</v>
      </c>
      <c r="P4096" s="2" t="s">
        <v>870</v>
      </c>
    </row>
    <row r="4097" ht="15.75" customHeight="1">
      <c r="H4097" s="2" t="s">
        <v>20578</v>
      </c>
      <c r="I4097" s="2" t="s">
        <v>20579</v>
      </c>
      <c r="J4097" s="2" t="s">
        <v>20580</v>
      </c>
      <c r="K4097" s="2" t="s">
        <v>970</v>
      </c>
      <c r="L4097" s="2" t="s">
        <v>18345</v>
      </c>
      <c r="M4097" s="2" t="s">
        <v>20581</v>
      </c>
      <c r="N4097" s="2" t="s">
        <v>20582</v>
      </c>
      <c r="O4097" s="2" t="s">
        <v>869</v>
      </c>
      <c r="P4097" s="2" t="s">
        <v>870</v>
      </c>
    </row>
    <row r="4098" ht="15.75" customHeight="1">
      <c r="H4098" s="2" t="s">
        <v>20583</v>
      </c>
      <c r="I4098" s="2" t="s">
        <v>8859</v>
      </c>
      <c r="J4098" s="2" t="s">
        <v>8860</v>
      </c>
      <c r="K4098" s="2" t="s">
        <v>1551</v>
      </c>
      <c r="L4098" s="2" t="s">
        <v>18345</v>
      </c>
      <c r="M4098" s="2" t="s">
        <v>20584</v>
      </c>
      <c r="N4098" s="2" t="s">
        <v>20585</v>
      </c>
      <c r="O4098" s="2" t="s">
        <v>869</v>
      </c>
      <c r="P4098" s="2" t="s">
        <v>870</v>
      </c>
    </row>
    <row r="4099" ht="15.75" customHeight="1">
      <c r="H4099" s="2" t="s">
        <v>20586</v>
      </c>
      <c r="I4099" s="2" t="s">
        <v>20587</v>
      </c>
      <c r="J4099" s="2" t="s">
        <v>20588</v>
      </c>
      <c r="K4099" s="2" t="s">
        <v>283</v>
      </c>
      <c r="L4099" s="2" t="s">
        <v>18345</v>
      </c>
      <c r="M4099" s="2" t="s">
        <v>20589</v>
      </c>
      <c r="N4099" s="2" t="s">
        <v>20590</v>
      </c>
      <c r="O4099" s="2" t="s">
        <v>869</v>
      </c>
      <c r="P4099" s="2" t="s">
        <v>870</v>
      </c>
    </row>
    <row r="4100" ht="15.75" customHeight="1">
      <c r="H4100" s="2" t="s">
        <v>20591</v>
      </c>
      <c r="I4100" s="2" t="s">
        <v>20592</v>
      </c>
      <c r="J4100" s="2" t="s">
        <v>20593</v>
      </c>
      <c r="K4100" s="2" t="s">
        <v>1508</v>
      </c>
      <c r="L4100" s="2" t="s">
        <v>18345</v>
      </c>
      <c r="M4100" s="2" t="s">
        <v>20594</v>
      </c>
      <c r="N4100" s="2" t="s">
        <v>20595</v>
      </c>
      <c r="O4100" s="2" t="s">
        <v>869</v>
      </c>
      <c r="P4100" s="2" t="s">
        <v>870</v>
      </c>
    </row>
    <row r="4101" ht="15.75" customHeight="1">
      <c r="F4101" s="2" t="s">
        <v>3629</v>
      </c>
      <c r="H4101" s="2" t="s">
        <v>20596</v>
      </c>
      <c r="I4101" s="2" t="s">
        <v>3661</v>
      </c>
      <c r="J4101" s="2" t="s">
        <v>3662</v>
      </c>
      <c r="K4101" s="2" t="s">
        <v>880</v>
      </c>
      <c r="L4101" s="2" t="s">
        <v>18345</v>
      </c>
      <c r="M4101" s="2" t="s">
        <v>20597</v>
      </c>
      <c r="N4101" s="2" t="s">
        <v>20598</v>
      </c>
      <c r="O4101" s="2" t="s">
        <v>869</v>
      </c>
      <c r="P4101" s="2" t="s">
        <v>870</v>
      </c>
    </row>
    <row r="4102" ht="15.75" customHeight="1">
      <c r="H4102" s="2" t="s">
        <v>20599</v>
      </c>
      <c r="I4102" s="2" t="s">
        <v>20600</v>
      </c>
      <c r="J4102" s="2" t="s">
        <v>20601</v>
      </c>
      <c r="K4102" s="2" t="s">
        <v>896</v>
      </c>
      <c r="L4102" s="2" t="s">
        <v>18345</v>
      </c>
      <c r="M4102" s="2" t="s">
        <v>20602</v>
      </c>
      <c r="N4102" s="2" t="s">
        <v>20603</v>
      </c>
      <c r="O4102" s="2" t="s">
        <v>869</v>
      </c>
      <c r="P4102" s="2" t="s">
        <v>870</v>
      </c>
    </row>
    <row r="4103" ht="15.75" customHeight="1">
      <c r="F4103" s="2" t="s">
        <v>3685</v>
      </c>
      <c r="H4103" s="2" t="s">
        <v>20604</v>
      </c>
      <c r="I4103" s="2" t="s">
        <v>20605</v>
      </c>
      <c r="J4103" s="2" t="s">
        <v>20606</v>
      </c>
      <c r="K4103" s="2" t="s">
        <v>853</v>
      </c>
      <c r="L4103" s="2" t="s">
        <v>18345</v>
      </c>
      <c r="M4103" s="2" t="s">
        <v>20607</v>
      </c>
      <c r="N4103" s="2" t="s">
        <v>20608</v>
      </c>
      <c r="O4103" s="2" t="s">
        <v>869</v>
      </c>
      <c r="P4103" s="2" t="s">
        <v>870</v>
      </c>
    </row>
    <row r="4104" ht="15.75" customHeight="1">
      <c r="H4104" s="2" t="s">
        <v>20609</v>
      </c>
      <c r="I4104" s="2" t="s">
        <v>3697</v>
      </c>
      <c r="J4104" s="2" t="s">
        <v>3698</v>
      </c>
      <c r="K4104" s="2" t="s">
        <v>1117</v>
      </c>
      <c r="L4104" s="2" t="s">
        <v>18345</v>
      </c>
      <c r="M4104" s="2" t="s">
        <v>3699</v>
      </c>
      <c r="N4104" s="2" t="s">
        <v>20610</v>
      </c>
      <c r="O4104" s="2" t="s">
        <v>869</v>
      </c>
      <c r="P4104" s="2" t="s">
        <v>870</v>
      </c>
    </row>
    <row r="4105" ht="15.75" customHeight="1">
      <c r="F4105" s="2" t="s">
        <v>660</v>
      </c>
      <c r="H4105" s="2" t="s">
        <v>20611</v>
      </c>
      <c r="I4105" s="2" t="s">
        <v>20612</v>
      </c>
      <c r="J4105" s="2" t="s">
        <v>20613</v>
      </c>
      <c r="K4105" s="2" t="s">
        <v>958</v>
      </c>
      <c r="L4105" s="2" t="s">
        <v>18345</v>
      </c>
      <c r="M4105" s="2" t="s">
        <v>20614</v>
      </c>
      <c r="N4105" s="2" t="s">
        <v>20615</v>
      </c>
      <c r="O4105" s="2" t="s">
        <v>869</v>
      </c>
      <c r="P4105" s="2" t="s">
        <v>870</v>
      </c>
    </row>
    <row r="4106" ht="15.75" customHeight="1">
      <c r="H4106" s="2" t="s">
        <v>20616</v>
      </c>
      <c r="I4106" s="2" t="s">
        <v>20617</v>
      </c>
      <c r="J4106" s="2" t="s">
        <v>20618</v>
      </c>
      <c r="K4106" s="2" t="s">
        <v>853</v>
      </c>
      <c r="L4106" s="2" t="s">
        <v>18345</v>
      </c>
      <c r="M4106" s="2" t="s">
        <v>20619</v>
      </c>
      <c r="N4106" s="2" t="s">
        <v>20620</v>
      </c>
      <c r="O4106" s="2" t="s">
        <v>869</v>
      </c>
      <c r="P4106" s="2" t="s">
        <v>870</v>
      </c>
    </row>
    <row r="4107" ht="15.75" customHeight="1">
      <c r="H4107" s="2" t="s">
        <v>20621</v>
      </c>
      <c r="I4107" s="2" t="s">
        <v>20622</v>
      </c>
      <c r="J4107" s="2" t="s">
        <v>20623</v>
      </c>
      <c r="K4107" s="2" t="s">
        <v>1061</v>
      </c>
      <c r="L4107" s="2" t="s">
        <v>18345</v>
      </c>
      <c r="M4107" s="2" t="s">
        <v>20624</v>
      </c>
      <c r="N4107" s="2" t="s">
        <v>20625</v>
      </c>
      <c r="O4107" s="2" t="s">
        <v>869</v>
      </c>
      <c r="P4107" s="2" t="s">
        <v>870</v>
      </c>
    </row>
    <row r="4108" ht="15.75" customHeight="1">
      <c r="H4108" s="2" t="s">
        <v>20626</v>
      </c>
      <c r="I4108" s="2" t="s">
        <v>20627</v>
      </c>
      <c r="J4108" s="2" t="s">
        <v>20628</v>
      </c>
      <c r="K4108" s="2" t="s">
        <v>880</v>
      </c>
      <c r="L4108" s="2" t="s">
        <v>18345</v>
      </c>
      <c r="M4108" s="2" t="s">
        <v>20629</v>
      </c>
      <c r="N4108" s="2" t="s">
        <v>20630</v>
      </c>
      <c r="O4108" s="2" t="s">
        <v>869</v>
      </c>
      <c r="P4108" s="2" t="s">
        <v>870</v>
      </c>
    </row>
    <row r="4109" ht="15.75" customHeight="1">
      <c r="H4109" s="2" t="s">
        <v>20631</v>
      </c>
      <c r="I4109" s="2" t="s">
        <v>20632</v>
      </c>
      <c r="J4109" s="2" t="s">
        <v>20633</v>
      </c>
      <c r="K4109" s="2" t="s">
        <v>966</v>
      </c>
      <c r="L4109" s="2" t="s">
        <v>18345</v>
      </c>
      <c r="M4109" s="2" t="s">
        <v>20634</v>
      </c>
      <c r="N4109" s="2" t="s">
        <v>20635</v>
      </c>
      <c r="O4109" s="2" t="s">
        <v>869</v>
      </c>
      <c r="P4109" s="2" t="s">
        <v>870</v>
      </c>
    </row>
    <row r="4110" ht="15.75" customHeight="1">
      <c r="H4110" s="2" t="s">
        <v>20636</v>
      </c>
      <c r="I4110" s="2" t="s">
        <v>9769</v>
      </c>
      <c r="J4110" s="2" t="s">
        <v>9770</v>
      </c>
      <c r="K4110" s="2" t="s">
        <v>886</v>
      </c>
      <c r="L4110" s="2" t="s">
        <v>18345</v>
      </c>
      <c r="M4110" s="2" t="s">
        <v>20637</v>
      </c>
      <c r="N4110" s="2" t="s">
        <v>20638</v>
      </c>
      <c r="O4110" s="2" t="s">
        <v>869</v>
      </c>
      <c r="P4110" s="2" t="s">
        <v>870</v>
      </c>
    </row>
    <row r="4111" ht="15.75" customHeight="1">
      <c r="H4111" s="2" t="s">
        <v>20639</v>
      </c>
      <c r="I4111" s="2" t="s">
        <v>5077</v>
      </c>
      <c r="J4111" s="2" t="s">
        <v>5078</v>
      </c>
      <c r="K4111" s="2" t="s">
        <v>918</v>
      </c>
      <c r="L4111" s="2" t="s">
        <v>18345</v>
      </c>
      <c r="M4111" s="2" t="s">
        <v>20640</v>
      </c>
      <c r="N4111" s="2" t="s">
        <v>20641</v>
      </c>
      <c r="O4111" s="2" t="s">
        <v>869</v>
      </c>
      <c r="P4111" s="2" t="s">
        <v>870</v>
      </c>
    </row>
    <row r="4112" ht="15.75" customHeight="1">
      <c r="H4112" s="2" t="s">
        <v>20642</v>
      </c>
      <c r="I4112" s="2" t="s">
        <v>3727</v>
      </c>
      <c r="J4112" s="2" t="s">
        <v>3728</v>
      </c>
      <c r="K4112" s="2" t="s">
        <v>1508</v>
      </c>
      <c r="L4112" s="2" t="s">
        <v>18345</v>
      </c>
      <c r="M4112" s="2" t="s">
        <v>20643</v>
      </c>
      <c r="N4112" s="2" t="s">
        <v>20644</v>
      </c>
      <c r="O4112" s="2" t="s">
        <v>869</v>
      </c>
      <c r="P4112" s="2" t="s">
        <v>870</v>
      </c>
    </row>
    <row r="4113" ht="15.75" customHeight="1">
      <c r="H4113" s="2" t="s">
        <v>20645</v>
      </c>
      <c r="I4113" s="2" t="s">
        <v>662</v>
      </c>
      <c r="J4113" s="2" t="s">
        <v>663</v>
      </c>
      <c r="K4113" s="2" t="s">
        <v>1141</v>
      </c>
      <c r="L4113" s="2" t="s">
        <v>18345</v>
      </c>
      <c r="M4113" s="2" t="s">
        <v>20646</v>
      </c>
      <c r="N4113" s="2" t="s">
        <v>20647</v>
      </c>
      <c r="O4113" s="2" t="s">
        <v>869</v>
      </c>
      <c r="P4113" s="2" t="s">
        <v>870</v>
      </c>
    </row>
    <row r="4114" ht="15.75" customHeight="1">
      <c r="H4114" s="2" t="s">
        <v>20648</v>
      </c>
      <c r="I4114" s="2" t="s">
        <v>9808</v>
      </c>
      <c r="J4114" s="2" t="s">
        <v>9809</v>
      </c>
      <c r="K4114" s="2" t="s">
        <v>1412</v>
      </c>
      <c r="L4114" s="2" t="s">
        <v>18345</v>
      </c>
      <c r="M4114" s="2" t="s">
        <v>20649</v>
      </c>
      <c r="N4114" s="2" t="s">
        <v>20650</v>
      </c>
      <c r="O4114" s="2" t="s">
        <v>869</v>
      </c>
      <c r="P4114" s="2" t="s">
        <v>870</v>
      </c>
    </row>
    <row r="4115" ht="15.75" customHeight="1">
      <c r="H4115" s="2" t="s">
        <v>20651</v>
      </c>
      <c r="I4115" s="2" t="s">
        <v>670</v>
      </c>
      <c r="J4115" s="2" t="s">
        <v>671</v>
      </c>
      <c r="K4115" s="2" t="s">
        <v>1331</v>
      </c>
      <c r="L4115" s="2" t="s">
        <v>18345</v>
      </c>
      <c r="M4115" s="2" t="s">
        <v>20652</v>
      </c>
      <c r="N4115" s="2" t="s">
        <v>20653</v>
      </c>
      <c r="O4115" s="2" t="s">
        <v>869</v>
      </c>
      <c r="P4115" s="2" t="s">
        <v>870</v>
      </c>
    </row>
    <row r="4116" ht="15.75" customHeight="1">
      <c r="F4116" s="2" t="s">
        <v>3762</v>
      </c>
      <c r="H4116" s="2" t="s">
        <v>20654</v>
      </c>
      <c r="I4116" s="2" t="s">
        <v>13619</v>
      </c>
      <c r="J4116" s="2" t="s">
        <v>13620</v>
      </c>
      <c r="K4116" s="2" t="s">
        <v>859</v>
      </c>
      <c r="L4116" s="2" t="s">
        <v>18345</v>
      </c>
      <c r="M4116" s="2" t="s">
        <v>20655</v>
      </c>
      <c r="N4116" s="2" t="s">
        <v>20656</v>
      </c>
      <c r="O4116" s="2" t="s">
        <v>869</v>
      </c>
      <c r="P4116" s="2" t="s">
        <v>870</v>
      </c>
    </row>
    <row r="4117" ht="15.75" customHeight="1">
      <c r="H4117" s="2" t="s">
        <v>20657</v>
      </c>
      <c r="I4117" s="2" t="s">
        <v>9844</v>
      </c>
      <c r="J4117" s="2" t="s">
        <v>9845</v>
      </c>
      <c r="K4117" s="2" t="s">
        <v>280</v>
      </c>
      <c r="L4117" s="2" t="s">
        <v>18345</v>
      </c>
      <c r="M4117" s="2" t="s">
        <v>20658</v>
      </c>
      <c r="N4117" s="2" t="s">
        <v>20659</v>
      </c>
      <c r="O4117" s="2" t="s">
        <v>869</v>
      </c>
      <c r="P4117" s="2" t="s">
        <v>870</v>
      </c>
    </row>
    <row r="4118" ht="15.75" customHeight="1">
      <c r="H4118" s="2" t="s">
        <v>20660</v>
      </c>
      <c r="I4118" s="2" t="s">
        <v>20661</v>
      </c>
      <c r="J4118" s="2" t="s">
        <v>20662</v>
      </c>
      <c r="K4118" s="2" t="s">
        <v>1878</v>
      </c>
      <c r="L4118" s="2" t="s">
        <v>18345</v>
      </c>
      <c r="M4118" s="2" t="s">
        <v>20663</v>
      </c>
      <c r="N4118" s="2" t="s">
        <v>20664</v>
      </c>
      <c r="O4118" s="2" t="s">
        <v>869</v>
      </c>
      <c r="P4118" s="2" t="s">
        <v>870</v>
      </c>
    </row>
    <row r="4119" ht="15.75" customHeight="1">
      <c r="H4119" s="2" t="s">
        <v>20665</v>
      </c>
      <c r="I4119" s="2" t="s">
        <v>20666</v>
      </c>
      <c r="J4119" s="2" t="s">
        <v>20667</v>
      </c>
      <c r="K4119" s="2" t="s">
        <v>970</v>
      </c>
      <c r="L4119" s="2" t="s">
        <v>18345</v>
      </c>
      <c r="M4119" s="2" t="s">
        <v>20668</v>
      </c>
      <c r="N4119" s="2" t="s">
        <v>20669</v>
      </c>
      <c r="O4119" s="2" t="s">
        <v>869</v>
      </c>
      <c r="P4119" s="2" t="s">
        <v>870</v>
      </c>
    </row>
    <row r="4120" ht="15.75" customHeight="1">
      <c r="H4120" s="2" t="s">
        <v>20670</v>
      </c>
      <c r="I4120" s="2" t="s">
        <v>3809</v>
      </c>
      <c r="J4120" s="2" t="s">
        <v>3810</v>
      </c>
      <c r="K4120" s="2" t="s">
        <v>906</v>
      </c>
      <c r="L4120" s="2" t="s">
        <v>18345</v>
      </c>
      <c r="M4120" s="2" t="s">
        <v>20671</v>
      </c>
      <c r="N4120" s="2" t="s">
        <v>20672</v>
      </c>
      <c r="O4120" s="2" t="s">
        <v>869</v>
      </c>
      <c r="P4120" s="2" t="s">
        <v>870</v>
      </c>
    </row>
    <row r="4121" ht="15.75" customHeight="1">
      <c r="H4121" s="2" t="s">
        <v>20673</v>
      </c>
      <c r="I4121" s="2" t="s">
        <v>20674</v>
      </c>
      <c r="J4121" s="2" t="s">
        <v>20675</v>
      </c>
      <c r="K4121" s="2" t="s">
        <v>1418</v>
      </c>
      <c r="L4121" s="2" t="s">
        <v>18345</v>
      </c>
      <c r="M4121" s="2" t="s">
        <v>20676</v>
      </c>
      <c r="N4121" s="2" t="s">
        <v>20677</v>
      </c>
      <c r="O4121" s="2" t="s">
        <v>869</v>
      </c>
      <c r="P4121" s="2" t="s">
        <v>870</v>
      </c>
    </row>
    <row r="4122" ht="15.75" customHeight="1">
      <c r="H4122" s="2" t="s">
        <v>20678</v>
      </c>
      <c r="I4122" s="2" t="s">
        <v>9924</v>
      </c>
      <c r="J4122" s="2" t="s">
        <v>9925</v>
      </c>
      <c r="K4122" s="2" t="s">
        <v>2203</v>
      </c>
      <c r="L4122" s="2" t="s">
        <v>18345</v>
      </c>
      <c r="M4122" s="2" t="s">
        <v>20679</v>
      </c>
      <c r="N4122" s="2" t="s">
        <v>20680</v>
      </c>
      <c r="O4122" s="2" t="s">
        <v>869</v>
      </c>
      <c r="P4122" s="2" t="s">
        <v>870</v>
      </c>
    </row>
    <row r="4123" ht="15.75" customHeight="1">
      <c r="F4123" s="2" t="s">
        <v>677</v>
      </c>
      <c r="H4123" s="2" t="s">
        <v>20681</v>
      </c>
      <c r="I4123" s="2" t="s">
        <v>3841</v>
      </c>
      <c r="J4123" s="2" t="s">
        <v>3842</v>
      </c>
      <c r="K4123" s="2" t="s">
        <v>1878</v>
      </c>
      <c r="L4123" s="2" t="s">
        <v>18345</v>
      </c>
      <c r="M4123" s="2" t="s">
        <v>20682</v>
      </c>
      <c r="N4123" s="2" t="s">
        <v>20683</v>
      </c>
      <c r="O4123" s="2" t="s">
        <v>869</v>
      </c>
      <c r="P4123" s="2" t="s">
        <v>870</v>
      </c>
    </row>
    <row r="4124" ht="15.75" customHeight="1">
      <c r="H4124" s="2" t="s">
        <v>20684</v>
      </c>
      <c r="I4124" s="2" t="s">
        <v>20685</v>
      </c>
      <c r="J4124" s="2" t="s">
        <v>20686</v>
      </c>
      <c r="K4124" s="2" t="s">
        <v>958</v>
      </c>
      <c r="L4124" s="2" t="s">
        <v>18345</v>
      </c>
      <c r="M4124" s="2" t="s">
        <v>20687</v>
      </c>
      <c r="N4124" s="2" t="s">
        <v>20688</v>
      </c>
      <c r="O4124" s="2" t="s">
        <v>869</v>
      </c>
      <c r="P4124" s="2" t="s">
        <v>870</v>
      </c>
    </row>
    <row r="4125" ht="15.75" customHeight="1">
      <c r="H4125" s="2" t="s">
        <v>20689</v>
      </c>
      <c r="I4125" s="2" t="s">
        <v>20690</v>
      </c>
      <c r="J4125" s="2" t="s">
        <v>20691</v>
      </c>
      <c r="K4125" s="2" t="s">
        <v>970</v>
      </c>
      <c r="L4125" s="2" t="s">
        <v>18345</v>
      </c>
      <c r="M4125" s="2" t="s">
        <v>20692</v>
      </c>
      <c r="N4125" s="2" t="s">
        <v>20693</v>
      </c>
      <c r="O4125" s="2" t="s">
        <v>869</v>
      </c>
      <c r="P4125" s="2" t="s">
        <v>870</v>
      </c>
    </row>
    <row r="4126" ht="15.75" customHeight="1">
      <c r="H4126" s="2" t="s">
        <v>20694</v>
      </c>
      <c r="I4126" s="2" t="s">
        <v>10004</v>
      </c>
      <c r="J4126" s="2" t="s">
        <v>10005</v>
      </c>
      <c r="K4126" s="2" t="s">
        <v>1439</v>
      </c>
      <c r="L4126" s="2" t="s">
        <v>18345</v>
      </c>
      <c r="M4126" s="2" t="s">
        <v>20695</v>
      </c>
      <c r="N4126" s="2" t="s">
        <v>20696</v>
      </c>
      <c r="O4126" s="2" t="s">
        <v>869</v>
      </c>
      <c r="P4126" s="2" t="s">
        <v>870</v>
      </c>
    </row>
    <row r="4127" ht="15.75" customHeight="1">
      <c r="H4127" s="2" t="s">
        <v>20697</v>
      </c>
      <c r="I4127" s="2" t="s">
        <v>20698</v>
      </c>
      <c r="J4127" s="2" t="s">
        <v>20699</v>
      </c>
      <c r="K4127" s="2" t="s">
        <v>1145</v>
      </c>
      <c r="L4127" s="2" t="s">
        <v>18345</v>
      </c>
      <c r="M4127" s="2" t="s">
        <v>20700</v>
      </c>
      <c r="N4127" s="2" t="s">
        <v>20701</v>
      </c>
      <c r="O4127" s="2" t="s">
        <v>869</v>
      </c>
      <c r="P4127" s="2" t="s">
        <v>870</v>
      </c>
    </row>
    <row r="4128" ht="15.75" customHeight="1">
      <c r="H4128" s="2" t="s">
        <v>20702</v>
      </c>
      <c r="I4128" s="2" t="s">
        <v>10041</v>
      </c>
      <c r="J4128" s="2" t="s">
        <v>10042</v>
      </c>
      <c r="K4128" s="2" t="s">
        <v>1313</v>
      </c>
      <c r="L4128" s="2" t="s">
        <v>20703</v>
      </c>
      <c r="M4128" s="2" t="s">
        <v>20704</v>
      </c>
      <c r="N4128" s="2" t="s">
        <v>20705</v>
      </c>
      <c r="O4128" s="2" t="s">
        <v>869</v>
      </c>
      <c r="P4128" s="2" t="s">
        <v>870</v>
      </c>
    </row>
    <row r="4129" ht="15.75" customHeight="1">
      <c r="H4129" s="2" t="s">
        <v>20706</v>
      </c>
      <c r="I4129" s="2" t="s">
        <v>20137</v>
      </c>
      <c r="J4129" s="2" t="s">
        <v>20138</v>
      </c>
      <c r="K4129" s="2" t="s">
        <v>2551</v>
      </c>
      <c r="L4129" s="2" t="s">
        <v>18345</v>
      </c>
      <c r="M4129" s="2" t="s">
        <v>20707</v>
      </c>
      <c r="N4129" s="2" t="s">
        <v>20708</v>
      </c>
      <c r="O4129" s="2" t="s">
        <v>869</v>
      </c>
      <c r="P4129" s="2" t="s">
        <v>870</v>
      </c>
    </row>
    <row r="4130" ht="15.75" customHeight="1">
      <c r="H4130" s="2" t="s">
        <v>20709</v>
      </c>
      <c r="I4130" s="2" t="s">
        <v>3885</v>
      </c>
      <c r="J4130" s="2" t="s">
        <v>3886</v>
      </c>
      <c r="K4130" s="2" t="s">
        <v>1027</v>
      </c>
      <c r="L4130" s="2" t="s">
        <v>18345</v>
      </c>
      <c r="M4130" s="2" t="s">
        <v>20710</v>
      </c>
      <c r="N4130" s="2" t="s">
        <v>20711</v>
      </c>
      <c r="O4130" s="2" t="s">
        <v>869</v>
      </c>
      <c r="P4130" s="2" t="s">
        <v>870</v>
      </c>
    </row>
    <row r="4131" ht="15.75" customHeight="1">
      <c r="H4131" s="2" t="s">
        <v>20712</v>
      </c>
      <c r="I4131" s="2" t="s">
        <v>20713</v>
      </c>
      <c r="J4131" s="2" t="s">
        <v>20714</v>
      </c>
      <c r="K4131" s="2" t="s">
        <v>1331</v>
      </c>
      <c r="L4131" s="2" t="s">
        <v>18345</v>
      </c>
      <c r="M4131" s="2" t="s">
        <v>20715</v>
      </c>
      <c r="N4131" s="2" t="s">
        <v>20716</v>
      </c>
      <c r="O4131" s="2" t="s">
        <v>869</v>
      </c>
      <c r="P4131" s="2" t="s">
        <v>870</v>
      </c>
    </row>
    <row r="4132" ht="15.75" customHeight="1">
      <c r="H4132" s="2" t="s">
        <v>20717</v>
      </c>
      <c r="I4132" s="2" t="s">
        <v>679</v>
      </c>
      <c r="J4132" s="2" t="s">
        <v>680</v>
      </c>
      <c r="K4132" s="2" t="s">
        <v>20718</v>
      </c>
      <c r="L4132" s="2" t="s">
        <v>20719</v>
      </c>
      <c r="M4132" s="2" t="s">
        <v>20720</v>
      </c>
      <c r="N4132" s="2" t="s">
        <v>20721</v>
      </c>
      <c r="O4132" s="2" t="s">
        <v>869</v>
      </c>
      <c r="P4132" s="2" t="s">
        <v>870</v>
      </c>
    </row>
    <row r="4133" ht="15.75" customHeight="1">
      <c r="H4133" s="2" t="s">
        <v>20722</v>
      </c>
      <c r="I4133" s="2" t="s">
        <v>20723</v>
      </c>
      <c r="J4133" s="2" t="s">
        <v>20724</v>
      </c>
      <c r="K4133" s="2" t="s">
        <v>1117</v>
      </c>
      <c r="L4133" s="2" t="s">
        <v>18345</v>
      </c>
      <c r="M4133" s="2" t="s">
        <v>20725</v>
      </c>
      <c r="N4133" s="2" t="s">
        <v>20726</v>
      </c>
      <c r="O4133" s="2" t="s">
        <v>869</v>
      </c>
      <c r="P4133" s="2" t="s">
        <v>870</v>
      </c>
    </row>
    <row r="4134" ht="15.75" customHeight="1">
      <c r="H4134" s="2" t="s">
        <v>20727</v>
      </c>
      <c r="I4134" s="2" t="s">
        <v>20728</v>
      </c>
      <c r="J4134" s="2" t="s">
        <v>20729</v>
      </c>
      <c r="K4134" s="2" t="s">
        <v>4429</v>
      </c>
      <c r="L4134" s="2" t="s">
        <v>18345</v>
      </c>
      <c r="M4134" s="2" t="s">
        <v>20730</v>
      </c>
      <c r="N4134" s="2" t="s">
        <v>20731</v>
      </c>
      <c r="O4134" s="2" t="s">
        <v>869</v>
      </c>
      <c r="P4134" s="2" t="s">
        <v>870</v>
      </c>
    </row>
    <row r="4135" ht="15.75" customHeight="1">
      <c r="H4135" s="2" t="s">
        <v>20732</v>
      </c>
      <c r="I4135" s="2" t="s">
        <v>4528</v>
      </c>
      <c r="J4135" s="2" t="s">
        <v>4529</v>
      </c>
      <c r="K4135" s="2" t="s">
        <v>1175</v>
      </c>
      <c r="L4135" s="2" t="s">
        <v>18345</v>
      </c>
      <c r="M4135" s="2" t="s">
        <v>20733</v>
      </c>
      <c r="N4135" s="2" t="s">
        <v>20734</v>
      </c>
      <c r="O4135" s="2" t="s">
        <v>869</v>
      </c>
      <c r="P4135" s="2" t="s">
        <v>870</v>
      </c>
    </row>
    <row r="4136" ht="15.75" customHeight="1">
      <c r="H4136" s="2" t="s">
        <v>20735</v>
      </c>
      <c r="I4136" s="2" t="s">
        <v>10506</v>
      </c>
      <c r="J4136" s="2" t="s">
        <v>10507</v>
      </c>
      <c r="K4136" s="2" t="s">
        <v>1187</v>
      </c>
      <c r="L4136" s="2" t="s">
        <v>18345</v>
      </c>
      <c r="M4136" s="2" t="s">
        <v>20736</v>
      </c>
      <c r="N4136" s="2" t="s">
        <v>20737</v>
      </c>
      <c r="O4136" s="2" t="s">
        <v>869</v>
      </c>
      <c r="P4136" s="2" t="s">
        <v>870</v>
      </c>
    </row>
    <row r="4137" ht="15.75" customHeight="1">
      <c r="H4137" s="2" t="s">
        <v>20738</v>
      </c>
      <c r="I4137" s="2" t="s">
        <v>10141</v>
      </c>
      <c r="J4137" s="2" t="s">
        <v>10142</v>
      </c>
      <c r="K4137" s="2" t="s">
        <v>1199</v>
      </c>
      <c r="L4137" s="2" t="s">
        <v>18345</v>
      </c>
      <c r="M4137" s="2" t="s">
        <v>20739</v>
      </c>
      <c r="N4137" s="2" t="s">
        <v>20740</v>
      </c>
      <c r="O4137" s="2" t="s">
        <v>869</v>
      </c>
      <c r="P4137" s="2" t="s">
        <v>870</v>
      </c>
    </row>
    <row r="4138" ht="15.75" customHeight="1">
      <c r="F4138" s="2" t="s">
        <v>694</v>
      </c>
      <c r="H4138" s="2" t="s">
        <v>20741</v>
      </c>
      <c r="I4138" s="2" t="s">
        <v>20742</v>
      </c>
      <c r="J4138" s="2" t="s">
        <v>20743</v>
      </c>
      <c r="K4138" s="2" t="s">
        <v>861</v>
      </c>
      <c r="L4138" s="2" t="s">
        <v>18345</v>
      </c>
      <c r="M4138" s="2" t="s">
        <v>20744</v>
      </c>
      <c r="N4138" s="2" t="s">
        <v>20745</v>
      </c>
      <c r="O4138" s="2" t="s">
        <v>869</v>
      </c>
      <c r="P4138" s="2" t="s">
        <v>870</v>
      </c>
    </row>
    <row r="4139" ht="15.75" customHeight="1">
      <c r="H4139" s="2" t="s">
        <v>20746</v>
      </c>
      <c r="I4139" s="2" t="s">
        <v>20747</v>
      </c>
      <c r="J4139" s="2" t="s">
        <v>20748</v>
      </c>
      <c r="K4139" s="2" t="s">
        <v>277</v>
      </c>
      <c r="L4139" s="2" t="s">
        <v>18345</v>
      </c>
      <c r="M4139" s="2" t="s">
        <v>20749</v>
      </c>
      <c r="N4139" s="2" t="s">
        <v>20750</v>
      </c>
      <c r="O4139" s="2" t="s">
        <v>869</v>
      </c>
      <c r="P4139" s="2" t="s">
        <v>870</v>
      </c>
    </row>
    <row r="4140" ht="15.75" customHeight="1">
      <c r="H4140" s="2" t="s">
        <v>20751</v>
      </c>
      <c r="I4140" s="2" t="s">
        <v>20752</v>
      </c>
      <c r="J4140" s="2" t="s">
        <v>20753</v>
      </c>
      <c r="K4140" s="2" t="s">
        <v>1362</v>
      </c>
      <c r="L4140" s="2" t="s">
        <v>18345</v>
      </c>
      <c r="M4140" s="2" t="s">
        <v>20754</v>
      </c>
      <c r="N4140" s="2" t="s">
        <v>20755</v>
      </c>
      <c r="O4140" s="2" t="s">
        <v>869</v>
      </c>
      <c r="P4140" s="2" t="s">
        <v>870</v>
      </c>
    </row>
    <row r="4141" ht="15.75" customHeight="1">
      <c r="H4141" s="2" t="s">
        <v>20756</v>
      </c>
      <c r="I4141" s="2" t="s">
        <v>20757</v>
      </c>
      <c r="J4141" s="2" t="s">
        <v>20758</v>
      </c>
      <c r="K4141" s="2" t="s">
        <v>865</v>
      </c>
      <c r="L4141" s="2" t="s">
        <v>18345</v>
      </c>
      <c r="M4141" s="2" t="s">
        <v>20759</v>
      </c>
      <c r="N4141" s="2" t="s">
        <v>20760</v>
      </c>
      <c r="O4141" s="2" t="s">
        <v>869</v>
      </c>
      <c r="P4141" s="2" t="s">
        <v>870</v>
      </c>
    </row>
    <row r="4142" ht="15.75" customHeight="1">
      <c r="H4142" s="2" t="s">
        <v>20761</v>
      </c>
      <c r="I4142" s="2" t="s">
        <v>20762</v>
      </c>
      <c r="J4142" s="2" t="s">
        <v>20763</v>
      </c>
      <c r="K4142" s="2" t="s">
        <v>280</v>
      </c>
      <c r="L4142" s="2" t="s">
        <v>18345</v>
      </c>
      <c r="M4142" s="2" t="s">
        <v>20764</v>
      </c>
      <c r="N4142" s="2" t="s">
        <v>20765</v>
      </c>
      <c r="O4142" s="2" t="s">
        <v>869</v>
      </c>
      <c r="P4142" s="2" t="s">
        <v>870</v>
      </c>
    </row>
    <row r="4143" ht="15.75" customHeight="1">
      <c r="H4143" s="2" t="s">
        <v>20766</v>
      </c>
      <c r="I4143" s="2" t="s">
        <v>20767</v>
      </c>
      <c r="J4143" s="2" t="s">
        <v>20768</v>
      </c>
      <c r="K4143" s="2" t="s">
        <v>1368</v>
      </c>
      <c r="L4143" s="2" t="s">
        <v>18345</v>
      </c>
      <c r="M4143" s="2" t="s">
        <v>20769</v>
      </c>
      <c r="N4143" s="2" t="s">
        <v>20770</v>
      </c>
      <c r="O4143" s="2" t="s">
        <v>869</v>
      </c>
      <c r="P4143" s="2" t="s">
        <v>870</v>
      </c>
    </row>
    <row r="4144" ht="15.75" customHeight="1">
      <c r="H4144" s="2" t="s">
        <v>20771</v>
      </c>
      <c r="I4144" s="2" t="s">
        <v>20772</v>
      </c>
      <c r="J4144" s="2" t="s">
        <v>20773</v>
      </c>
      <c r="K4144" s="2" t="s">
        <v>958</v>
      </c>
      <c r="L4144" s="2" t="s">
        <v>18345</v>
      </c>
      <c r="M4144" s="2" t="s">
        <v>20774</v>
      </c>
      <c r="N4144" s="2" t="s">
        <v>20775</v>
      </c>
      <c r="O4144" s="2" t="s">
        <v>869</v>
      </c>
      <c r="P4144" s="2" t="s">
        <v>870</v>
      </c>
    </row>
    <row r="4145" ht="15.75" customHeight="1">
      <c r="H4145" s="2" t="s">
        <v>20776</v>
      </c>
      <c r="I4145" s="2" t="s">
        <v>20777</v>
      </c>
      <c r="J4145" s="2" t="s">
        <v>20778</v>
      </c>
      <c r="K4145" s="2" t="s">
        <v>1297</v>
      </c>
      <c r="L4145" s="2" t="s">
        <v>18345</v>
      </c>
      <c r="M4145" s="2" t="s">
        <v>20779</v>
      </c>
      <c r="N4145" s="2" t="s">
        <v>20780</v>
      </c>
      <c r="O4145" s="2" t="s">
        <v>869</v>
      </c>
      <c r="P4145" s="2" t="s">
        <v>870</v>
      </c>
    </row>
    <row r="4146" ht="15.75" customHeight="1">
      <c r="H4146" s="2" t="s">
        <v>20781</v>
      </c>
      <c r="I4146" s="2" t="s">
        <v>20782</v>
      </c>
      <c r="J4146" s="2" t="s">
        <v>20783</v>
      </c>
      <c r="K4146" s="2" t="s">
        <v>880</v>
      </c>
      <c r="L4146" s="2" t="s">
        <v>18345</v>
      </c>
      <c r="M4146" s="2" t="s">
        <v>20784</v>
      </c>
      <c r="N4146" s="2" t="s">
        <v>20785</v>
      </c>
      <c r="O4146" s="2" t="s">
        <v>869</v>
      </c>
      <c r="P4146" s="2" t="s">
        <v>870</v>
      </c>
    </row>
    <row r="4147" ht="15.75" customHeight="1">
      <c r="H4147" s="2" t="s">
        <v>20786</v>
      </c>
      <c r="I4147" s="2" t="s">
        <v>20787</v>
      </c>
      <c r="J4147" s="2" t="s">
        <v>20788</v>
      </c>
      <c r="K4147" s="2" t="s">
        <v>966</v>
      </c>
      <c r="L4147" s="2" t="s">
        <v>18345</v>
      </c>
      <c r="M4147" s="2" t="s">
        <v>20789</v>
      </c>
      <c r="N4147" s="2" t="s">
        <v>20790</v>
      </c>
      <c r="O4147" s="2" t="s">
        <v>869</v>
      </c>
      <c r="P4147" s="2" t="s">
        <v>870</v>
      </c>
    </row>
    <row r="4148" ht="15.75" customHeight="1">
      <c r="H4148" s="2" t="s">
        <v>20791</v>
      </c>
      <c r="I4148" s="2" t="s">
        <v>20792</v>
      </c>
      <c r="J4148" s="2" t="s">
        <v>20793</v>
      </c>
      <c r="K4148" s="2" t="s">
        <v>1128</v>
      </c>
      <c r="L4148" s="2" t="s">
        <v>18345</v>
      </c>
      <c r="M4148" s="2" t="s">
        <v>20794</v>
      </c>
      <c r="N4148" s="2" t="s">
        <v>20795</v>
      </c>
      <c r="O4148" s="2" t="s">
        <v>869</v>
      </c>
      <c r="P4148" s="2" t="s">
        <v>870</v>
      </c>
    </row>
    <row r="4149" ht="15.75" customHeight="1">
      <c r="H4149" s="2" t="s">
        <v>20796</v>
      </c>
      <c r="I4149" s="2" t="s">
        <v>20797</v>
      </c>
      <c r="J4149" s="2" t="s">
        <v>20798</v>
      </c>
      <c r="K4149" s="2" t="s">
        <v>1007</v>
      </c>
      <c r="L4149" s="2" t="s">
        <v>18345</v>
      </c>
      <c r="M4149" s="2" t="s">
        <v>20799</v>
      </c>
      <c r="N4149" s="2" t="s">
        <v>20800</v>
      </c>
      <c r="O4149" s="2" t="s">
        <v>869</v>
      </c>
      <c r="P4149" s="2" t="s">
        <v>870</v>
      </c>
    </row>
    <row r="4150" ht="15.75" customHeight="1">
      <c r="H4150" s="2" t="s">
        <v>20801</v>
      </c>
      <c r="I4150" s="2" t="s">
        <v>20802</v>
      </c>
      <c r="J4150" s="2" t="s">
        <v>20803</v>
      </c>
      <c r="K4150" s="2" t="s">
        <v>1508</v>
      </c>
      <c r="L4150" s="2" t="s">
        <v>18345</v>
      </c>
      <c r="M4150" s="2" t="s">
        <v>20804</v>
      </c>
      <c r="N4150" s="2" t="s">
        <v>20805</v>
      </c>
      <c r="O4150" s="2" t="s">
        <v>869</v>
      </c>
      <c r="P4150" s="2" t="s">
        <v>870</v>
      </c>
    </row>
    <row r="4151" ht="15.75" customHeight="1">
      <c r="H4151" s="2" t="s">
        <v>20806</v>
      </c>
      <c r="I4151" s="2" t="s">
        <v>5481</v>
      </c>
      <c r="J4151" s="2" t="s">
        <v>5482</v>
      </c>
      <c r="K4151" s="2" t="s">
        <v>2937</v>
      </c>
      <c r="L4151" s="2" t="s">
        <v>18345</v>
      </c>
      <c r="M4151" s="2" t="s">
        <v>20807</v>
      </c>
      <c r="N4151" s="2" t="s">
        <v>20808</v>
      </c>
      <c r="O4151" s="2" t="s">
        <v>869</v>
      </c>
      <c r="P4151" s="2" t="s">
        <v>870</v>
      </c>
    </row>
    <row r="4152" ht="15.75" customHeight="1">
      <c r="H4152" s="2" t="s">
        <v>20809</v>
      </c>
      <c r="I4152" s="2" t="s">
        <v>20810</v>
      </c>
      <c r="J4152" s="2" t="s">
        <v>20811</v>
      </c>
      <c r="K4152" s="2" t="s">
        <v>906</v>
      </c>
      <c r="L4152" s="2" t="s">
        <v>18345</v>
      </c>
      <c r="M4152" s="2" t="s">
        <v>20812</v>
      </c>
      <c r="N4152" s="2" t="s">
        <v>20813</v>
      </c>
      <c r="O4152" s="2" t="s">
        <v>869</v>
      </c>
      <c r="P4152" s="2" t="s">
        <v>870</v>
      </c>
    </row>
    <row r="4153" ht="15.75" customHeight="1">
      <c r="H4153" s="2" t="s">
        <v>20814</v>
      </c>
      <c r="I4153" s="2" t="s">
        <v>696</v>
      </c>
      <c r="J4153" s="2" t="s">
        <v>697</v>
      </c>
      <c r="K4153" s="2" t="s">
        <v>1141</v>
      </c>
      <c r="L4153" s="2" t="s">
        <v>18345</v>
      </c>
      <c r="M4153" s="2" t="s">
        <v>20815</v>
      </c>
      <c r="N4153" s="2" t="s">
        <v>20816</v>
      </c>
      <c r="O4153" s="2" t="s">
        <v>869</v>
      </c>
      <c r="P4153" s="2" t="s">
        <v>870</v>
      </c>
    </row>
    <row r="4154" ht="15.75" customHeight="1">
      <c r="H4154" s="2" t="s">
        <v>20817</v>
      </c>
      <c r="I4154" s="2" t="s">
        <v>17570</v>
      </c>
      <c r="J4154" s="2" t="s">
        <v>17571</v>
      </c>
      <c r="K4154" s="2" t="s">
        <v>2737</v>
      </c>
      <c r="L4154" s="2" t="s">
        <v>18345</v>
      </c>
      <c r="M4154" s="2" t="s">
        <v>20818</v>
      </c>
      <c r="N4154" s="2" t="s">
        <v>20819</v>
      </c>
      <c r="O4154" s="2" t="s">
        <v>869</v>
      </c>
      <c r="P4154" s="2" t="s">
        <v>870</v>
      </c>
    </row>
    <row r="4155" ht="15.75" customHeight="1">
      <c r="H4155" s="2" t="s">
        <v>20820</v>
      </c>
      <c r="I4155" s="2" t="s">
        <v>20821</v>
      </c>
      <c r="J4155" s="2" t="s">
        <v>20822</v>
      </c>
      <c r="K4155" s="2" t="s">
        <v>924</v>
      </c>
      <c r="L4155" s="2" t="s">
        <v>18345</v>
      </c>
      <c r="M4155" s="2" t="s">
        <v>20823</v>
      </c>
      <c r="N4155" s="2" t="s">
        <v>20824</v>
      </c>
      <c r="O4155" s="2" t="s">
        <v>869</v>
      </c>
      <c r="P4155" s="2" t="s">
        <v>870</v>
      </c>
    </row>
    <row r="4156" ht="15.75" customHeight="1">
      <c r="H4156" s="2" t="s">
        <v>20825</v>
      </c>
      <c r="I4156" s="2" t="s">
        <v>20826</v>
      </c>
      <c r="J4156" s="2" t="s">
        <v>20827</v>
      </c>
      <c r="K4156" s="2" t="s">
        <v>1569</v>
      </c>
      <c r="L4156" s="2" t="s">
        <v>18345</v>
      </c>
      <c r="M4156" s="2" t="s">
        <v>20828</v>
      </c>
      <c r="N4156" s="2" t="s">
        <v>20829</v>
      </c>
      <c r="O4156" s="2" t="s">
        <v>869</v>
      </c>
      <c r="P4156" s="2" t="s">
        <v>870</v>
      </c>
    </row>
    <row r="4157" ht="15.75" customHeight="1">
      <c r="H4157" s="2" t="s">
        <v>20830</v>
      </c>
      <c r="I4157" s="2" t="s">
        <v>3953</v>
      </c>
      <c r="J4157" s="2" t="s">
        <v>3954</v>
      </c>
      <c r="K4157" s="2" t="s">
        <v>1406</v>
      </c>
      <c r="L4157" s="2" t="s">
        <v>18345</v>
      </c>
      <c r="M4157" s="2" t="s">
        <v>20831</v>
      </c>
      <c r="N4157" s="2" t="s">
        <v>20832</v>
      </c>
      <c r="O4157" s="2" t="s">
        <v>869</v>
      </c>
      <c r="P4157" s="2" t="s">
        <v>870</v>
      </c>
    </row>
    <row r="4158" ht="15.75" customHeight="1">
      <c r="H4158" s="2" t="s">
        <v>20833</v>
      </c>
      <c r="I4158" s="2" t="s">
        <v>20834</v>
      </c>
      <c r="J4158" s="2" t="s">
        <v>20835</v>
      </c>
      <c r="K4158" s="2" t="s">
        <v>1424</v>
      </c>
      <c r="L4158" s="2" t="s">
        <v>18345</v>
      </c>
      <c r="M4158" s="2" t="s">
        <v>20836</v>
      </c>
      <c r="N4158" s="2" t="s">
        <v>20837</v>
      </c>
      <c r="O4158" s="2" t="s">
        <v>869</v>
      </c>
      <c r="P4158" s="2" t="s">
        <v>870</v>
      </c>
    </row>
    <row r="4159" ht="15.75" customHeight="1">
      <c r="H4159" s="2" t="s">
        <v>20838</v>
      </c>
      <c r="I4159" s="2" t="s">
        <v>20839</v>
      </c>
      <c r="J4159" s="2" t="s">
        <v>20840</v>
      </c>
      <c r="K4159" s="2" t="s">
        <v>1163</v>
      </c>
      <c r="L4159" s="2" t="s">
        <v>18345</v>
      </c>
      <c r="M4159" s="2" t="s">
        <v>20841</v>
      </c>
      <c r="N4159" s="2" t="s">
        <v>20842</v>
      </c>
      <c r="O4159" s="2" t="s">
        <v>869</v>
      </c>
      <c r="P4159" s="2" t="s">
        <v>870</v>
      </c>
    </row>
    <row r="4160" ht="15.75" customHeight="1">
      <c r="H4160" s="2" t="s">
        <v>20843</v>
      </c>
      <c r="I4160" s="2" t="s">
        <v>1335</v>
      </c>
      <c r="J4160" s="2" t="s">
        <v>1336</v>
      </c>
      <c r="K4160" s="2" t="s">
        <v>2171</v>
      </c>
      <c r="L4160" s="2" t="s">
        <v>18345</v>
      </c>
      <c r="M4160" s="2" t="s">
        <v>20844</v>
      </c>
      <c r="N4160" s="2" t="s">
        <v>20845</v>
      </c>
      <c r="O4160" s="2" t="s">
        <v>869</v>
      </c>
      <c r="P4160" s="2" t="s">
        <v>870</v>
      </c>
    </row>
    <row r="4161" ht="15.75" customHeight="1">
      <c r="H4161" s="2" t="s">
        <v>20846</v>
      </c>
      <c r="I4161" s="2" t="s">
        <v>20847</v>
      </c>
      <c r="J4161" s="2" t="s">
        <v>20848</v>
      </c>
      <c r="K4161" s="2" t="s">
        <v>1169</v>
      </c>
      <c r="L4161" s="2" t="s">
        <v>18345</v>
      </c>
      <c r="M4161" s="2" t="s">
        <v>20849</v>
      </c>
      <c r="N4161" s="2" t="s">
        <v>20850</v>
      </c>
      <c r="O4161" s="2" t="s">
        <v>869</v>
      </c>
      <c r="P4161" s="2" t="s">
        <v>870</v>
      </c>
    </row>
    <row r="4162" ht="15.75" customHeight="1">
      <c r="F4162" s="2" t="s">
        <v>3972</v>
      </c>
      <c r="H4162" s="2" t="s">
        <v>20851</v>
      </c>
      <c r="I4162" s="2" t="s">
        <v>20852</v>
      </c>
      <c r="J4162" s="2" t="s">
        <v>20853</v>
      </c>
      <c r="K4162" s="2" t="s">
        <v>947</v>
      </c>
      <c r="L4162" s="2" t="s">
        <v>18345</v>
      </c>
      <c r="M4162" s="2" t="s">
        <v>20854</v>
      </c>
      <c r="N4162" s="2" t="s">
        <v>20855</v>
      </c>
      <c r="O4162" s="2" t="s">
        <v>869</v>
      </c>
      <c r="P4162" s="2" t="s">
        <v>870</v>
      </c>
    </row>
    <row r="4163" ht="15.75" customHeight="1">
      <c r="H4163" s="2" t="s">
        <v>20856</v>
      </c>
      <c r="I4163" s="2" t="s">
        <v>193</v>
      </c>
      <c r="J4163" s="2" t="s">
        <v>194</v>
      </c>
      <c r="K4163" s="2" t="s">
        <v>1368</v>
      </c>
      <c r="L4163" s="2" t="s">
        <v>18345</v>
      </c>
      <c r="M4163" s="2" t="s">
        <v>20857</v>
      </c>
      <c r="N4163" s="2" t="s">
        <v>20858</v>
      </c>
      <c r="O4163" s="2" t="s">
        <v>869</v>
      </c>
      <c r="P4163" s="2" t="s">
        <v>870</v>
      </c>
    </row>
    <row r="4164" ht="15.75" customHeight="1">
      <c r="H4164" s="2" t="s">
        <v>20859</v>
      </c>
      <c r="I4164" s="2" t="s">
        <v>20860</v>
      </c>
      <c r="J4164" s="2" t="s">
        <v>20861</v>
      </c>
      <c r="K4164" s="2" t="s">
        <v>963</v>
      </c>
      <c r="L4164" s="2" t="s">
        <v>18345</v>
      </c>
      <c r="M4164" s="2" t="s">
        <v>20862</v>
      </c>
      <c r="N4164" s="2" t="s">
        <v>20863</v>
      </c>
      <c r="O4164" s="2" t="s">
        <v>869</v>
      </c>
      <c r="P4164" s="2" t="s">
        <v>870</v>
      </c>
    </row>
    <row r="4165" ht="15.75" customHeight="1">
      <c r="H4165" s="2" t="s">
        <v>20864</v>
      </c>
      <c r="I4165" s="2" t="s">
        <v>20865</v>
      </c>
      <c r="J4165" s="2" t="s">
        <v>20866</v>
      </c>
      <c r="K4165" s="2" t="s">
        <v>1297</v>
      </c>
      <c r="L4165" s="2" t="s">
        <v>18345</v>
      </c>
      <c r="M4165" s="2" t="s">
        <v>20867</v>
      </c>
      <c r="N4165" s="2" t="s">
        <v>20868</v>
      </c>
      <c r="O4165" s="2" t="s">
        <v>869</v>
      </c>
      <c r="P4165" s="2" t="s">
        <v>870</v>
      </c>
    </row>
    <row r="4166" ht="15.75" customHeight="1">
      <c r="H4166" s="2" t="s">
        <v>20869</v>
      </c>
      <c r="I4166" s="2" t="s">
        <v>4001</v>
      </c>
      <c r="J4166" s="2" t="s">
        <v>4002</v>
      </c>
      <c r="K4166" s="2" t="s">
        <v>966</v>
      </c>
      <c r="L4166" s="2" t="s">
        <v>18345</v>
      </c>
      <c r="M4166" s="2" t="s">
        <v>20870</v>
      </c>
      <c r="N4166" s="2" t="s">
        <v>20871</v>
      </c>
      <c r="O4166" s="2" t="s">
        <v>869</v>
      </c>
      <c r="P4166" s="2" t="s">
        <v>870</v>
      </c>
    </row>
    <row r="4167" ht="15.75" customHeight="1">
      <c r="H4167" s="2" t="s">
        <v>20872</v>
      </c>
      <c r="I4167" s="2" t="s">
        <v>4225</v>
      </c>
      <c r="J4167" s="2" t="s">
        <v>4226</v>
      </c>
      <c r="K4167" s="2" t="s">
        <v>5466</v>
      </c>
      <c r="L4167" s="2" t="s">
        <v>18345</v>
      </c>
      <c r="M4167" s="2" t="s">
        <v>20873</v>
      </c>
      <c r="N4167" s="2" t="s">
        <v>20874</v>
      </c>
      <c r="O4167" s="2" t="s">
        <v>869</v>
      </c>
      <c r="P4167" s="2" t="s">
        <v>870</v>
      </c>
    </row>
    <row r="4168" ht="15.75" customHeight="1">
      <c r="F4168" s="2" t="s">
        <v>703</v>
      </c>
      <c r="H4168" s="2" t="s">
        <v>20875</v>
      </c>
      <c r="I4168" s="2" t="s">
        <v>10193</v>
      </c>
      <c r="J4168" s="2" t="s">
        <v>10194</v>
      </c>
      <c r="K4168" s="2" t="s">
        <v>277</v>
      </c>
      <c r="L4168" s="2" t="s">
        <v>18345</v>
      </c>
      <c r="M4168" s="2" t="s">
        <v>20876</v>
      </c>
      <c r="N4168" s="2" t="s">
        <v>20877</v>
      </c>
      <c r="O4168" s="2" t="s">
        <v>869</v>
      </c>
      <c r="P4168" s="2" t="s">
        <v>870</v>
      </c>
    </row>
    <row r="4169" ht="15.75" customHeight="1">
      <c r="H4169" s="2" t="s">
        <v>20878</v>
      </c>
      <c r="I4169" s="2" t="s">
        <v>4016</v>
      </c>
      <c r="J4169" s="2" t="s">
        <v>4017</v>
      </c>
      <c r="K4169" s="2" t="s">
        <v>853</v>
      </c>
      <c r="L4169" s="2" t="s">
        <v>20879</v>
      </c>
      <c r="M4169" s="2" t="s">
        <v>20880</v>
      </c>
      <c r="N4169" s="2" t="s">
        <v>20881</v>
      </c>
      <c r="O4169" s="2" t="s">
        <v>869</v>
      </c>
      <c r="P4169" s="2" t="s">
        <v>870</v>
      </c>
    </row>
    <row r="4170" ht="15.75" customHeight="1">
      <c r="H4170" s="2" t="s">
        <v>20882</v>
      </c>
      <c r="I4170" s="2" t="s">
        <v>4022</v>
      </c>
      <c r="J4170" s="2" t="s">
        <v>4023</v>
      </c>
      <c r="K4170" s="2" t="s">
        <v>947</v>
      </c>
      <c r="L4170" s="2" t="s">
        <v>18345</v>
      </c>
      <c r="M4170" s="2" t="s">
        <v>20883</v>
      </c>
      <c r="N4170" s="2" t="s">
        <v>20884</v>
      </c>
      <c r="O4170" s="2" t="s">
        <v>869</v>
      </c>
      <c r="P4170" s="2" t="s">
        <v>870</v>
      </c>
    </row>
    <row r="4171" ht="15.75" customHeight="1">
      <c r="H4171" s="2" t="s">
        <v>20885</v>
      </c>
      <c r="I4171" s="2" t="s">
        <v>20886</v>
      </c>
      <c r="J4171" s="2" t="s">
        <v>20887</v>
      </c>
      <c r="L4171" s="2" t="s">
        <v>18345</v>
      </c>
      <c r="M4171" s="2" t="s">
        <v>20888</v>
      </c>
      <c r="N4171" s="2" t="s">
        <v>20889</v>
      </c>
      <c r="O4171" s="2" t="s">
        <v>869</v>
      </c>
      <c r="P4171" s="2" t="s">
        <v>870</v>
      </c>
    </row>
    <row r="4172" ht="15.75" customHeight="1">
      <c r="H4172" s="2" t="s">
        <v>20890</v>
      </c>
      <c r="I4172" s="2" t="s">
        <v>20891</v>
      </c>
      <c r="J4172" s="2" t="s">
        <v>20892</v>
      </c>
      <c r="K4172" s="2" t="s">
        <v>1467</v>
      </c>
      <c r="L4172" s="2" t="s">
        <v>18345</v>
      </c>
      <c r="M4172" s="2" t="s">
        <v>20893</v>
      </c>
      <c r="N4172" s="2" t="s">
        <v>20894</v>
      </c>
      <c r="O4172" s="2" t="s">
        <v>869</v>
      </c>
      <c r="P4172" s="2" t="s">
        <v>870</v>
      </c>
    </row>
    <row r="4173" ht="15.75" customHeight="1">
      <c r="H4173" s="2" t="s">
        <v>20895</v>
      </c>
      <c r="I4173" s="2" t="s">
        <v>20896</v>
      </c>
      <c r="J4173" s="2" t="s">
        <v>20897</v>
      </c>
      <c r="K4173" s="2" t="s">
        <v>1288</v>
      </c>
      <c r="L4173" s="2" t="s">
        <v>18345</v>
      </c>
      <c r="M4173" s="2" t="s">
        <v>20898</v>
      </c>
      <c r="N4173" s="2" t="s">
        <v>20899</v>
      </c>
      <c r="O4173" s="2" t="s">
        <v>869</v>
      </c>
      <c r="P4173" s="2" t="s">
        <v>870</v>
      </c>
    </row>
    <row r="4174" ht="15.75" customHeight="1">
      <c r="H4174" s="2" t="s">
        <v>20900</v>
      </c>
      <c r="I4174" s="2" t="s">
        <v>20901</v>
      </c>
      <c r="J4174" s="2" t="s">
        <v>20902</v>
      </c>
      <c r="K4174" s="2" t="s">
        <v>1368</v>
      </c>
      <c r="L4174" s="2" t="s">
        <v>18345</v>
      </c>
      <c r="M4174" s="2" t="s">
        <v>20903</v>
      </c>
      <c r="N4174" s="2" t="s">
        <v>20904</v>
      </c>
      <c r="O4174" s="2" t="s">
        <v>869</v>
      </c>
      <c r="P4174" s="2" t="s">
        <v>870</v>
      </c>
    </row>
    <row r="4175" ht="15.75" customHeight="1">
      <c r="H4175" s="2" t="s">
        <v>20905</v>
      </c>
      <c r="I4175" s="2" t="s">
        <v>10199</v>
      </c>
      <c r="J4175" s="2" t="s">
        <v>10200</v>
      </c>
      <c r="K4175" s="2" t="s">
        <v>963</v>
      </c>
      <c r="L4175" s="2" t="s">
        <v>18345</v>
      </c>
      <c r="M4175" s="2" t="s">
        <v>20906</v>
      </c>
      <c r="N4175" s="2" t="s">
        <v>20907</v>
      </c>
      <c r="O4175" s="2" t="s">
        <v>869</v>
      </c>
      <c r="P4175" s="2" t="s">
        <v>870</v>
      </c>
    </row>
    <row r="4176" ht="15.75" customHeight="1">
      <c r="H4176" s="2" t="s">
        <v>20908</v>
      </c>
      <c r="I4176" s="2" t="s">
        <v>20909</v>
      </c>
      <c r="J4176" s="2" t="s">
        <v>20910</v>
      </c>
      <c r="K4176" s="2" t="s">
        <v>996</v>
      </c>
      <c r="L4176" s="2" t="s">
        <v>18345</v>
      </c>
      <c r="M4176" s="2" t="s">
        <v>20911</v>
      </c>
      <c r="N4176" s="2" t="s">
        <v>20912</v>
      </c>
      <c r="O4176" s="2" t="s">
        <v>869</v>
      </c>
      <c r="P4176" s="2" t="s">
        <v>870</v>
      </c>
    </row>
    <row r="4177" ht="15.75" customHeight="1">
      <c r="H4177" s="2" t="s">
        <v>20913</v>
      </c>
      <c r="I4177" s="2" t="s">
        <v>20914</v>
      </c>
      <c r="J4177" s="2" t="s">
        <v>20915</v>
      </c>
      <c r="K4177" s="2" t="s">
        <v>880</v>
      </c>
      <c r="L4177" s="2" t="s">
        <v>18345</v>
      </c>
      <c r="M4177" s="2" t="s">
        <v>20916</v>
      </c>
      <c r="N4177" s="2" t="s">
        <v>20917</v>
      </c>
      <c r="O4177" s="2" t="s">
        <v>869</v>
      </c>
      <c r="P4177" s="2" t="s">
        <v>870</v>
      </c>
    </row>
    <row r="4178" ht="15.75" customHeight="1">
      <c r="H4178" s="2" t="s">
        <v>20918</v>
      </c>
      <c r="I4178" s="2" t="s">
        <v>20919</v>
      </c>
      <c r="J4178" s="2" t="s">
        <v>20920</v>
      </c>
      <c r="L4178" s="2" t="s">
        <v>18345</v>
      </c>
      <c r="M4178" s="2" t="s">
        <v>20921</v>
      </c>
      <c r="N4178" s="2" t="s">
        <v>20922</v>
      </c>
      <c r="O4178" s="2" t="s">
        <v>869</v>
      </c>
      <c r="P4178" s="2" t="s">
        <v>870</v>
      </c>
    </row>
    <row r="4179" ht="15.75" customHeight="1">
      <c r="H4179" s="2" t="s">
        <v>20923</v>
      </c>
      <c r="I4179" s="2" t="s">
        <v>4035</v>
      </c>
      <c r="J4179" s="2" t="s">
        <v>4036</v>
      </c>
      <c r="K4179" s="2" t="s">
        <v>970</v>
      </c>
      <c r="L4179" s="2" t="s">
        <v>18345</v>
      </c>
      <c r="M4179" s="2" t="s">
        <v>20924</v>
      </c>
      <c r="N4179" s="2" t="s">
        <v>20925</v>
      </c>
      <c r="O4179" s="2" t="s">
        <v>869</v>
      </c>
      <c r="P4179" s="2" t="s">
        <v>870</v>
      </c>
    </row>
    <row r="4180" ht="15.75" customHeight="1">
      <c r="H4180" s="2" t="s">
        <v>20926</v>
      </c>
      <c r="I4180" s="2" t="s">
        <v>17599</v>
      </c>
      <c r="J4180" s="2" t="s">
        <v>17600</v>
      </c>
      <c r="K4180" s="2" t="s">
        <v>1007</v>
      </c>
      <c r="L4180" s="2" t="s">
        <v>18345</v>
      </c>
      <c r="M4180" s="2" t="s">
        <v>20927</v>
      </c>
      <c r="N4180" s="2" t="s">
        <v>20928</v>
      </c>
      <c r="O4180" s="2" t="s">
        <v>869</v>
      </c>
      <c r="P4180" s="2" t="s">
        <v>870</v>
      </c>
    </row>
    <row r="4181" ht="15.75" customHeight="1">
      <c r="H4181" s="2" t="s">
        <v>20929</v>
      </c>
      <c r="I4181" s="2" t="s">
        <v>20930</v>
      </c>
      <c r="J4181" s="2" t="s">
        <v>20931</v>
      </c>
      <c r="K4181" s="2" t="s">
        <v>283</v>
      </c>
      <c r="L4181" s="2" t="s">
        <v>18345</v>
      </c>
      <c r="M4181" s="2" t="s">
        <v>20932</v>
      </c>
      <c r="N4181" s="2" t="s">
        <v>20933</v>
      </c>
      <c r="O4181" s="2" t="s">
        <v>869</v>
      </c>
      <c r="P4181" s="2" t="s">
        <v>870</v>
      </c>
    </row>
    <row r="4182" ht="15.75" customHeight="1">
      <c r="H4182" s="2" t="s">
        <v>20934</v>
      </c>
      <c r="I4182" s="2" t="s">
        <v>20935</v>
      </c>
      <c r="J4182" s="2" t="s">
        <v>20936</v>
      </c>
      <c r="K4182" s="2" t="s">
        <v>1508</v>
      </c>
      <c r="L4182" s="2" t="s">
        <v>18345</v>
      </c>
      <c r="M4182" s="2" t="s">
        <v>20937</v>
      </c>
      <c r="N4182" s="2" t="s">
        <v>20938</v>
      </c>
      <c r="O4182" s="2" t="s">
        <v>869</v>
      </c>
      <c r="P4182" s="2" t="s">
        <v>870</v>
      </c>
    </row>
    <row r="4183" ht="15.75" customHeight="1">
      <c r="H4183" s="2" t="s">
        <v>20939</v>
      </c>
      <c r="I4183" s="2" t="s">
        <v>20940</v>
      </c>
      <c r="J4183" s="2" t="s">
        <v>20941</v>
      </c>
      <c r="K4183" s="2" t="s">
        <v>918</v>
      </c>
      <c r="L4183" s="2" t="s">
        <v>18345</v>
      </c>
      <c r="M4183" s="2" t="s">
        <v>20942</v>
      </c>
      <c r="N4183" s="2" t="s">
        <v>20943</v>
      </c>
      <c r="O4183" s="2" t="s">
        <v>869</v>
      </c>
      <c r="P4183" s="2" t="s">
        <v>870</v>
      </c>
    </row>
    <row r="4184" ht="15.75" customHeight="1">
      <c r="H4184" s="2" t="s">
        <v>20944</v>
      </c>
      <c r="I4184" s="2" t="s">
        <v>2895</v>
      </c>
      <c r="J4184" s="2" t="s">
        <v>2896</v>
      </c>
      <c r="K4184" s="2" t="s">
        <v>1313</v>
      </c>
      <c r="L4184" s="2" t="s">
        <v>18345</v>
      </c>
      <c r="M4184" s="2" t="s">
        <v>20945</v>
      </c>
      <c r="N4184" s="2" t="s">
        <v>20946</v>
      </c>
      <c r="O4184" s="2" t="s">
        <v>869</v>
      </c>
      <c r="P4184" s="2" t="s">
        <v>870</v>
      </c>
    </row>
    <row r="4185" ht="15.75" customHeight="1">
      <c r="H4185" s="2" t="s">
        <v>20947</v>
      </c>
      <c r="I4185" s="2" t="s">
        <v>14122</v>
      </c>
      <c r="J4185" s="2" t="s">
        <v>14123</v>
      </c>
      <c r="K4185" s="2" t="s">
        <v>924</v>
      </c>
      <c r="L4185" s="2" t="s">
        <v>20948</v>
      </c>
      <c r="M4185" s="2" t="s">
        <v>20949</v>
      </c>
      <c r="N4185" s="2" t="s">
        <v>20950</v>
      </c>
      <c r="O4185" s="2" t="s">
        <v>869</v>
      </c>
      <c r="P4185" s="2" t="s">
        <v>870</v>
      </c>
    </row>
    <row r="4186" ht="15.75" customHeight="1">
      <c r="H4186" s="2" t="s">
        <v>20951</v>
      </c>
      <c r="I4186" s="2" t="s">
        <v>3902</v>
      </c>
      <c r="J4186" s="2" t="s">
        <v>3903</v>
      </c>
      <c r="K4186" s="2" t="s">
        <v>1406</v>
      </c>
      <c r="L4186" s="2" t="s">
        <v>18345</v>
      </c>
      <c r="M4186" s="2" t="s">
        <v>20952</v>
      </c>
      <c r="N4186" s="2" t="s">
        <v>20953</v>
      </c>
      <c r="O4186" s="2" t="s">
        <v>869</v>
      </c>
      <c r="P4186" s="2" t="s">
        <v>870</v>
      </c>
    </row>
    <row r="4187" ht="15.75" customHeight="1">
      <c r="H4187" s="2" t="s">
        <v>20954</v>
      </c>
      <c r="I4187" s="2" t="s">
        <v>20955</v>
      </c>
      <c r="J4187" s="2" t="s">
        <v>20956</v>
      </c>
      <c r="K4187" s="2" t="s">
        <v>1319</v>
      </c>
      <c r="L4187" s="2" t="s">
        <v>18345</v>
      </c>
      <c r="M4187" s="2" t="s">
        <v>20957</v>
      </c>
      <c r="N4187" s="2" t="s">
        <v>20958</v>
      </c>
      <c r="O4187" s="2" t="s">
        <v>869</v>
      </c>
      <c r="P4187" s="2" t="s">
        <v>870</v>
      </c>
    </row>
    <row r="4188" ht="15.75" customHeight="1">
      <c r="H4188" s="2" t="s">
        <v>20959</v>
      </c>
      <c r="I4188" s="2" t="s">
        <v>20960</v>
      </c>
      <c r="J4188" s="2" t="s">
        <v>20961</v>
      </c>
      <c r="K4188" s="2" t="s">
        <v>1593</v>
      </c>
      <c r="L4188" s="2" t="s">
        <v>18345</v>
      </c>
      <c r="M4188" s="2" t="s">
        <v>20962</v>
      </c>
      <c r="N4188" s="2" t="s">
        <v>20963</v>
      </c>
      <c r="O4188" s="2" t="s">
        <v>869</v>
      </c>
      <c r="P4188" s="2" t="s">
        <v>870</v>
      </c>
    </row>
    <row r="4189" ht="15.75" customHeight="1">
      <c r="H4189" s="2" t="s">
        <v>20964</v>
      </c>
      <c r="I4189" s="2" t="s">
        <v>4060</v>
      </c>
      <c r="J4189" s="2" t="s">
        <v>4061</v>
      </c>
      <c r="K4189" s="2" t="s">
        <v>1027</v>
      </c>
      <c r="L4189" s="2" t="s">
        <v>18345</v>
      </c>
      <c r="M4189" s="2" t="s">
        <v>20965</v>
      </c>
      <c r="N4189" s="2" t="s">
        <v>20966</v>
      </c>
      <c r="O4189" s="2" t="s">
        <v>869</v>
      </c>
      <c r="P4189" s="2" t="s">
        <v>870</v>
      </c>
    </row>
    <row r="4190" ht="15.75" customHeight="1">
      <c r="H4190" s="2" t="s">
        <v>20967</v>
      </c>
      <c r="I4190" s="2" t="s">
        <v>20968</v>
      </c>
      <c r="J4190" s="2" t="s">
        <v>20969</v>
      </c>
      <c r="K4190" s="2" t="s">
        <v>1331</v>
      </c>
      <c r="L4190" s="2" t="s">
        <v>18345</v>
      </c>
      <c r="M4190" s="2" t="s">
        <v>20970</v>
      </c>
      <c r="N4190" s="2" t="s">
        <v>20971</v>
      </c>
      <c r="O4190" s="2" t="s">
        <v>869</v>
      </c>
      <c r="P4190" s="2" t="s">
        <v>870</v>
      </c>
    </row>
    <row r="4191" ht="15.75" customHeight="1">
      <c r="H4191" s="2" t="s">
        <v>20972</v>
      </c>
      <c r="I4191" s="2" t="s">
        <v>4065</v>
      </c>
      <c r="J4191" s="2" t="s">
        <v>4066</v>
      </c>
      <c r="K4191" s="2" t="s">
        <v>1157</v>
      </c>
      <c r="L4191" s="2" t="s">
        <v>18345</v>
      </c>
      <c r="M4191" s="2" t="s">
        <v>20973</v>
      </c>
      <c r="N4191" s="2" t="s">
        <v>20974</v>
      </c>
      <c r="O4191" s="2" t="s">
        <v>869</v>
      </c>
      <c r="P4191" s="2" t="s">
        <v>870</v>
      </c>
    </row>
    <row r="4192" ht="15.75" customHeight="1">
      <c r="F4192" s="2" t="s">
        <v>728</v>
      </c>
      <c r="H4192" s="2" t="s">
        <v>20975</v>
      </c>
      <c r="I4192" s="2" t="s">
        <v>20976</v>
      </c>
      <c r="J4192" s="2" t="s">
        <v>20977</v>
      </c>
      <c r="K4192" s="2" t="s">
        <v>861</v>
      </c>
      <c r="L4192" s="2" t="s">
        <v>18345</v>
      </c>
      <c r="M4192" s="2" t="s">
        <v>20978</v>
      </c>
      <c r="N4192" s="2" t="s">
        <v>20979</v>
      </c>
      <c r="O4192" s="2" t="s">
        <v>869</v>
      </c>
      <c r="P4192" s="2" t="s">
        <v>870</v>
      </c>
    </row>
    <row r="4193" ht="15.75" customHeight="1">
      <c r="H4193" s="2" t="s">
        <v>20980</v>
      </c>
      <c r="I4193" s="2" t="s">
        <v>20981</v>
      </c>
      <c r="J4193" s="2" t="s">
        <v>20982</v>
      </c>
      <c r="K4193" s="2" t="s">
        <v>1362</v>
      </c>
      <c r="L4193" s="2" t="s">
        <v>18345</v>
      </c>
      <c r="M4193" s="2" t="s">
        <v>20983</v>
      </c>
      <c r="N4193" s="2" t="s">
        <v>20984</v>
      </c>
      <c r="O4193" s="2" t="s">
        <v>869</v>
      </c>
      <c r="P4193" s="2" t="s">
        <v>870</v>
      </c>
    </row>
    <row r="4194" ht="15.75" customHeight="1">
      <c r="H4194" s="2" t="s">
        <v>20985</v>
      </c>
      <c r="I4194" s="2" t="s">
        <v>20986</v>
      </c>
      <c r="J4194" s="2" t="s">
        <v>20987</v>
      </c>
      <c r="K4194" s="2" t="s">
        <v>280</v>
      </c>
      <c r="L4194" s="2" t="s">
        <v>18345</v>
      </c>
      <c r="M4194" s="2" t="s">
        <v>20988</v>
      </c>
      <c r="N4194" s="2" t="s">
        <v>20989</v>
      </c>
      <c r="O4194" s="2" t="s">
        <v>869</v>
      </c>
      <c r="P4194" s="2" t="s">
        <v>870</v>
      </c>
    </row>
    <row r="4195" ht="15.75" customHeight="1">
      <c r="H4195" s="2" t="s">
        <v>20990</v>
      </c>
      <c r="I4195" s="2" t="s">
        <v>20991</v>
      </c>
      <c r="J4195" s="2" t="s">
        <v>20992</v>
      </c>
      <c r="K4195" s="2" t="s">
        <v>2836</v>
      </c>
    </row>
    <row r="4196" ht="15.75" customHeight="1">
      <c r="H4196" s="2" t="s">
        <v>20993</v>
      </c>
      <c r="I4196" s="2" t="s">
        <v>10316</v>
      </c>
      <c r="J4196" s="2" t="s">
        <v>10317</v>
      </c>
      <c r="K4196" s="2" t="s">
        <v>958</v>
      </c>
      <c r="L4196" s="2" t="s">
        <v>18345</v>
      </c>
      <c r="M4196" s="2" t="s">
        <v>20994</v>
      </c>
      <c r="N4196" s="2" t="s">
        <v>20995</v>
      </c>
      <c r="O4196" s="2" t="s">
        <v>869</v>
      </c>
      <c r="P4196" s="2" t="s">
        <v>870</v>
      </c>
    </row>
    <row r="4197" ht="15.75" customHeight="1">
      <c r="H4197" s="2" t="s">
        <v>20996</v>
      </c>
      <c r="I4197" s="2" t="s">
        <v>20997</v>
      </c>
      <c r="J4197" s="2" t="s">
        <v>20998</v>
      </c>
      <c r="K4197" s="2" t="s">
        <v>963</v>
      </c>
      <c r="L4197" s="2" t="s">
        <v>18345</v>
      </c>
      <c r="M4197" s="2" t="s">
        <v>4072</v>
      </c>
      <c r="N4197" s="2" t="s">
        <v>20999</v>
      </c>
      <c r="O4197" s="2" t="s">
        <v>869</v>
      </c>
      <c r="P4197" s="2" t="s">
        <v>870</v>
      </c>
    </row>
    <row r="4198" ht="15.75" customHeight="1">
      <c r="H4198" s="2" t="s">
        <v>21000</v>
      </c>
      <c r="I4198" s="2" t="s">
        <v>10322</v>
      </c>
      <c r="J4198" s="2" t="s">
        <v>10323</v>
      </c>
      <c r="K4198" s="2" t="s">
        <v>1297</v>
      </c>
      <c r="L4198" s="2" t="s">
        <v>18345</v>
      </c>
      <c r="M4198" s="2" t="s">
        <v>21001</v>
      </c>
      <c r="N4198" s="2" t="s">
        <v>21002</v>
      </c>
      <c r="O4198" s="2" t="s">
        <v>869</v>
      </c>
      <c r="P4198" s="2" t="s">
        <v>870</v>
      </c>
    </row>
    <row r="4199" ht="15.75" customHeight="1">
      <c r="H4199" s="2" t="s">
        <v>21003</v>
      </c>
      <c r="I4199" s="2" t="s">
        <v>21004</v>
      </c>
      <c r="J4199" s="2" t="s">
        <v>21005</v>
      </c>
      <c r="K4199" s="2" t="s">
        <v>880</v>
      </c>
      <c r="L4199" s="2" t="s">
        <v>18345</v>
      </c>
      <c r="M4199" s="2" t="s">
        <v>21006</v>
      </c>
      <c r="N4199" s="2" t="s">
        <v>21007</v>
      </c>
      <c r="O4199" s="2" t="s">
        <v>869</v>
      </c>
      <c r="P4199" s="2" t="s">
        <v>870</v>
      </c>
    </row>
    <row r="4200" ht="15.75" customHeight="1">
      <c r="H4200" s="2" t="s">
        <v>21008</v>
      </c>
      <c r="I4200" s="2" t="s">
        <v>4086</v>
      </c>
      <c r="J4200" s="2" t="s">
        <v>4087</v>
      </c>
      <c r="L4200" s="2" t="s">
        <v>18345</v>
      </c>
      <c r="M4200" s="2" t="s">
        <v>21009</v>
      </c>
      <c r="N4200" s="2" t="s">
        <v>21010</v>
      </c>
      <c r="O4200" s="2" t="s">
        <v>869</v>
      </c>
      <c r="P4200" s="2" t="s">
        <v>870</v>
      </c>
    </row>
    <row r="4201" ht="15.75" customHeight="1">
      <c r="H4201" s="2" t="s">
        <v>21011</v>
      </c>
      <c r="I4201" s="2" t="s">
        <v>4096</v>
      </c>
      <c r="J4201" s="2" t="s">
        <v>4097</v>
      </c>
      <c r="K4201" s="2" t="s">
        <v>1136</v>
      </c>
      <c r="L4201" s="2" t="s">
        <v>18345</v>
      </c>
      <c r="M4201" s="2" t="s">
        <v>21012</v>
      </c>
      <c r="N4201" s="2" t="s">
        <v>21013</v>
      </c>
      <c r="O4201" s="2" t="s">
        <v>869</v>
      </c>
      <c r="P4201" s="2" t="s">
        <v>870</v>
      </c>
    </row>
    <row r="4202" ht="15.75" customHeight="1">
      <c r="H4202" s="2" t="s">
        <v>21014</v>
      </c>
      <c r="I4202" s="2" t="s">
        <v>10363</v>
      </c>
      <c r="J4202" s="2" t="s">
        <v>10364</v>
      </c>
      <c r="K4202" s="2" t="s">
        <v>283</v>
      </c>
      <c r="L4202" s="2" t="s">
        <v>18345</v>
      </c>
      <c r="M4202" s="2" t="s">
        <v>21015</v>
      </c>
      <c r="N4202" s="2" t="s">
        <v>21016</v>
      </c>
      <c r="O4202" s="2" t="s">
        <v>869</v>
      </c>
      <c r="P4202" s="2" t="s">
        <v>870</v>
      </c>
    </row>
    <row r="4203" ht="15.75" customHeight="1">
      <c r="H4203" s="2" t="s">
        <v>21017</v>
      </c>
      <c r="I4203" s="2" t="s">
        <v>21018</v>
      </c>
      <c r="J4203" s="2" t="s">
        <v>21019</v>
      </c>
      <c r="K4203" s="2" t="s">
        <v>924</v>
      </c>
      <c r="L4203" s="2" t="s">
        <v>18345</v>
      </c>
      <c r="M4203" s="2" t="s">
        <v>21020</v>
      </c>
      <c r="N4203" s="2" t="s">
        <v>21021</v>
      </c>
      <c r="O4203" s="2" t="s">
        <v>869</v>
      </c>
      <c r="P4203" s="2" t="s">
        <v>870</v>
      </c>
    </row>
    <row r="4204" ht="15.75" customHeight="1">
      <c r="H4204" s="2" t="s">
        <v>21022</v>
      </c>
      <c r="I4204" s="2" t="s">
        <v>1335</v>
      </c>
      <c r="J4204" s="2" t="s">
        <v>1336</v>
      </c>
      <c r="K4204" s="2" t="s">
        <v>1569</v>
      </c>
      <c r="L4204" s="2" t="s">
        <v>18345</v>
      </c>
      <c r="M4204" s="2" t="s">
        <v>10396</v>
      </c>
      <c r="N4204" s="2" t="s">
        <v>21023</v>
      </c>
      <c r="O4204" s="2" t="s">
        <v>869</v>
      </c>
      <c r="P4204" s="2" t="s">
        <v>870</v>
      </c>
    </row>
    <row r="4205" ht="15.75" customHeight="1">
      <c r="H4205" s="2" t="s">
        <v>21024</v>
      </c>
      <c r="I4205" s="2" t="s">
        <v>21025</v>
      </c>
      <c r="J4205" s="2" t="s">
        <v>21026</v>
      </c>
      <c r="K4205" s="2" t="s">
        <v>1406</v>
      </c>
      <c r="L4205" s="2" t="s">
        <v>18345</v>
      </c>
      <c r="M4205" s="2" t="s">
        <v>21027</v>
      </c>
      <c r="N4205" s="2" t="s">
        <v>21028</v>
      </c>
      <c r="O4205" s="2" t="s">
        <v>869</v>
      </c>
      <c r="P4205" s="2" t="s">
        <v>870</v>
      </c>
    </row>
    <row r="4206" ht="15.75" customHeight="1">
      <c r="H4206" s="2" t="s">
        <v>21029</v>
      </c>
      <c r="I4206" s="2" t="s">
        <v>21030</v>
      </c>
      <c r="J4206" s="2" t="s">
        <v>21031</v>
      </c>
      <c r="K4206" s="2" t="s">
        <v>1412</v>
      </c>
      <c r="L4206" s="2" t="s">
        <v>18345</v>
      </c>
      <c r="M4206" s="2" t="s">
        <v>21032</v>
      </c>
      <c r="N4206" s="2" t="s">
        <v>21033</v>
      </c>
      <c r="O4206" s="2" t="s">
        <v>869</v>
      </c>
      <c r="P4206" s="2" t="s">
        <v>870</v>
      </c>
    </row>
    <row r="4207" ht="15.75" customHeight="1">
      <c r="F4207" s="2" t="s">
        <v>4115</v>
      </c>
      <c r="H4207" s="2" t="s">
        <v>21034</v>
      </c>
      <c r="I4207" s="2" t="s">
        <v>21035</v>
      </c>
      <c r="J4207" s="2" t="s">
        <v>21036</v>
      </c>
      <c r="K4207" s="2" t="s">
        <v>853</v>
      </c>
      <c r="L4207" s="2" t="s">
        <v>18345</v>
      </c>
      <c r="M4207" s="2" t="s">
        <v>21037</v>
      </c>
      <c r="N4207" s="2" t="s">
        <v>21038</v>
      </c>
      <c r="O4207" s="2" t="s">
        <v>869</v>
      </c>
      <c r="P4207" s="2" t="s">
        <v>870</v>
      </c>
    </row>
    <row r="4208" ht="15.75" customHeight="1">
      <c r="H4208" s="2" t="s">
        <v>21039</v>
      </c>
      <c r="I4208" s="2" t="s">
        <v>4117</v>
      </c>
      <c r="J4208" s="2" t="s">
        <v>4118</v>
      </c>
      <c r="K4208" s="2" t="s">
        <v>947</v>
      </c>
      <c r="L4208" s="2" t="s">
        <v>18345</v>
      </c>
      <c r="M4208" s="2" t="s">
        <v>21040</v>
      </c>
      <c r="N4208" s="2" t="s">
        <v>21041</v>
      </c>
      <c r="O4208" s="2" t="s">
        <v>869</v>
      </c>
      <c r="P4208" s="2" t="s">
        <v>870</v>
      </c>
    </row>
    <row r="4209" ht="15.75" customHeight="1">
      <c r="H4209" s="2" t="s">
        <v>21042</v>
      </c>
      <c r="I4209" s="2" t="s">
        <v>21043</v>
      </c>
      <c r="J4209" s="2" t="s">
        <v>21044</v>
      </c>
      <c r="K4209" s="2" t="s">
        <v>1061</v>
      </c>
      <c r="L4209" s="2" t="s">
        <v>18345</v>
      </c>
      <c r="M4209" s="2" t="s">
        <v>21045</v>
      </c>
      <c r="N4209" s="2" t="s">
        <v>21046</v>
      </c>
      <c r="O4209" s="2" t="s">
        <v>869</v>
      </c>
      <c r="P4209" s="2" t="s">
        <v>870</v>
      </c>
    </row>
    <row r="4210" ht="15.75" customHeight="1">
      <c r="H4210" s="2" t="s">
        <v>21047</v>
      </c>
      <c r="I4210" s="2" t="s">
        <v>21048</v>
      </c>
      <c r="J4210" s="2" t="s">
        <v>21049</v>
      </c>
      <c r="K4210" s="2" t="s">
        <v>280</v>
      </c>
      <c r="L4210" s="2" t="s">
        <v>18345</v>
      </c>
      <c r="M4210" s="2" t="s">
        <v>21050</v>
      </c>
      <c r="N4210" s="2" t="s">
        <v>21051</v>
      </c>
      <c r="O4210" s="2" t="s">
        <v>869</v>
      </c>
      <c r="P4210" s="2" t="s">
        <v>870</v>
      </c>
    </row>
    <row r="4211" ht="15.75" customHeight="1">
      <c r="H4211" s="2" t="s">
        <v>21052</v>
      </c>
      <c r="I4211" s="2" t="s">
        <v>21053</v>
      </c>
      <c r="J4211" s="2" t="s">
        <v>21054</v>
      </c>
      <c r="K4211" s="2" t="s">
        <v>865</v>
      </c>
      <c r="L4211" s="2" t="s">
        <v>18345</v>
      </c>
      <c r="M4211" s="2" t="s">
        <v>21055</v>
      </c>
      <c r="N4211" s="2" t="s">
        <v>21056</v>
      </c>
      <c r="O4211" s="2" t="s">
        <v>869</v>
      </c>
      <c r="P4211" s="2" t="s">
        <v>870</v>
      </c>
    </row>
    <row r="4212" ht="15.75" customHeight="1">
      <c r="H4212" s="2" t="s">
        <v>21057</v>
      </c>
      <c r="I4212" s="2" t="s">
        <v>21058</v>
      </c>
      <c r="J4212" s="2" t="s">
        <v>21059</v>
      </c>
      <c r="K4212" s="2" t="s">
        <v>1288</v>
      </c>
      <c r="L4212" s="2" t="s">
        <v>18345</v>
      </c>
      <c r="M4212" s="2" t="s">
        <v>4168</v>
      </c>
      <c r="N4212" s="2" t="s">
        <v>21060</v>
      </c>
      <c r="O4212" s="2" t="s">
        <v>869</v>
      </c>
      <c r="P4212" s="2" t="s">
        <v>870</v>
      </c>
    </row>
    <row r="4213" ht="15.75" customHeight="1">
      <c r="H4213" s="2" t="s">
        <v>21061</v>
      </c>
      <c r="I4213" s="2" t="s">
        <v>21062</v>
      </c>
      <c r="J4213" s="2" t="s">
        <v>21063</v>
      </c>
      <c r="K4213" s="2" t="s">
        <v>1117</v>
      </c>
      <c r="L4213" s="2" t="s">
        <v>18345</v>
      </c>
      <c r="M4213" s="2" t="s">
        <v>21064</v>
      </c>
      <c r="N4213" s="2" t="s">
        <v>21065</v>
      </c>
      <c r="O4213" s="2" t="s">
        <v>869</v>
      </c>
      <c r="P4213" s="2" t="s">
        <v>870</v>
      </c>
    </row>
    <row r="4214" ht="15.75" customHeight="1">
      <c r="H4214" s="2" t="s">
        <v>21066</v>
      </c>
      <c r="I4214" s="2" t="s">
        <v>21067</v>
      </c>
      <c r="J4214" s="2" t="s">
        <v>21068</v>
      </c>
      <c r="K4214" s="2" t="s">
        <v>1368</v>
      </c>
      <c r="L4214" s="2" t="s">
        <v>18345</v>
      </c>
      <c r="M4214" s="2" t="s">
        <v>21069</v>
      </c>
      <c r="N4214" s="2" t="s">
        <v>21070</v>
      </c>
      <c r="O4214" s="2" t="s">
        <v>869</v>
      </c>
      <c r="P4214" s="2" t="s">
        <v>870</v>
      </c>
    </row>
    <row r="4215" ht="15.75" customHeight="1">
      <c r="H4215" s="2" t="s">
        <v>21071</v>
      </c>
      <c r="I4215" s="2" t="s">
        <v>21072</v>
      </c>
      <c r="J4215" s="2" t="s">
        <v>21073</v>
      </c>
      <c r="K4215" s="2" t="s">
        <v>996</v>
      </c>
      <c r="L4215" s="2" t="s">
        <v>18345</v>
      </c>
      <c r="M4215" s="2" t="s">
        <v>21074</v>
      </c>
      <c r="N4215" s="2" t="s">
        <v>21075</v>
      </c>
      <c r="O4215" s="2" t="s">
        <v>869</v>
      </c>
      <c r="P4215" s="2" t="s">
        <v>870</v>
      </c>
    </row>
    <row r="4216" ht="15.75" customHeight="1">
      <c r="H4216" s="2" t="s">
        <v>21076</v>
      </c>
      <c r="I4216" s="2" t="s">
        <v>21077</v>
      </c>
      <c r="J4216" s="2" t="s">
        <v>21078</v>
      </c>
      <c r="K4216" s="2" t="s">
        <v>880</v>
      </c>
      <c r="L4216" s="2" t="s">
        <v>18345</v>
      </c>
      <c r="M4216" s="2" t="s">
        <v>21079</v>
      </c>
      <c r="N4216" s="2" t="s">
        <v>21080</v>
      </c>
      <c r="O4216" s="2" t="s">
        <v>869</v>
      </c>
      <c r="P4216" s="2" t="s">
        <v>870</v>
      </c>
    </row>
    <row r="4217" ht="15.75" customHeight="1">
      <c r="H4217" s="2" t="s">
        <v>21081</v>
      </c>
      <c r="I4217" s="2" t="s">
        <v>21082</v>
      </c>
      <c r="J4217" s="2" t="s">
        <v>21083</v>
      </c>
      <c r="K4217" s="2" t="s">
        <v>886</v>
      </c>
      <c r="L4217" s="2" t="s">
        <v>18345</v>
      </c>
      <c r="M4217" s="2" t="s">
        <v>21084</v>
      </c>
      <c r="N4217" s="2" t="s">
        <v>21085</v>
      </c>
      <c r="O4217" s="2" t="s">
        <v>869</v>
      </c>
      <c r="P4217" s="2" t="s">
        <v>870</v>
      </c>
    </row>
    <row r="4218" ht="15.75" customHeight="1">
      <c r="H4218" s="2" t="s">
        <v>21086</v>
      </c>
      <c r="I4218" s="2" t="s">
        <v>21087</v>
      </c>
      <c r="J4218" s="2" t="s">
        <v>21088</v>
      </c>
      <c r="K4218" s="2" t="s">
        <v>890</v>
      </c>
      <c r="L4218" s="2" t="s">
        <v>18345</v>
      </c>
      <c r="M4218" s="2" t="s">
        <v>21089</v>
      </c>
      <c r="N4218" s="2" t="s">
        <v>21090</v>
      </c>
      <c r="O4218" s="2" t="s">
        <v>869</v>
      </c>
      <c r="P4218" s="2" t="s">
        <v>870</v>
      </c>
    </row>
    <row r="4219" ht="15.75" customHeight="1">
      <c r="H4219" s="2" t="s">
        <v>21091</v>
      </c>
      <c r="I4219" s="2" t="s">
        <v>21092</v>
      </c>
      <c r="J4219" s="2" t="s">
        <v>21093</v>
      </c>
      <c r="K4219" s="2" t="s">
        <v>1551</v>
      </c>
      <c r="L4219" s="2" t="s">
        <v>18345</v>
      </c>
      <c r="M4219" s="2" t="s">
        <v>21094</v>
      </c>
      <c r="N4219" s="2" t="s">
        <v>21095</v>
      </c>
      <c r="O4219" s="2" t="s">
        <v>869</v>
      </c>
      <c r="P4219" s="2" t="s">
        <v>870</v>
      </c>
    </row>
    <row r="4220" ht="15.75" customHeight="1">
      <c r="H4220" s="2" t="s">
        <v>21096</v>
      </c>
      <c r="I4220" s="2" t="s">
        <v>21097</v>
      </c>
      <c r="J4220" s="2" t="s">
        <v>21098</v>
      </c>
      <c r="K4220" s="2" t="s">
        <v>900</v>
      </c>
      <c r="L4220" s="2" t="s">
        <v>18345</v>
      </c>
      <c r="M4220" s="2" t="s">
        <v>21099</v>
      </c>
      <c r="N4220" s="2" t="s">
        <v>21100</v>
      </c>
      <c r="O4220" s="2" t="s">
        <v>869</v>
      </c>
      <c r="P4220" s="2" t="s">
        <v>870</v>
      </c>
    </row>
    <row r="4221" ht="15.75" customHeight="1">
      <c r="H4221" s="2" t="s">
        <v>21101</v>
      </c>
      <c r="I4221" s="2" t="s">
        <v>21102</v>
      </c>
      <c r="J4221" s="2" t="s">
        <v>21103</v>
      </c>
      <c r="K4221" s="2" t="s">
        <v>2937</v>
      </c>
      <c r="L4221" s="2" t="s">
        <v>18345</v>
      </c>
      <c r="M4221" s="2" t="s">
        <v>21104</v>
      </c>
      <c r="N4221" s="2" t="s">
        <v>21105</v>
      </c>
      <c r="O4221" s="2" t="s">
        <v>869</v>
      </c>
      <c r="P4221" s="2" t="s">
        <v>870</v>
      </c>
    </row>
    <row r="4222" ht="15.75" customHeight="1">
      <c r="H4222" s="2" t="s">
        <v>21106</v>
      </c>
      <c r="I4222" s="2" t="s">
        <v>21107</v>
      </c>
      <c r="J4222" s="2" t="s">
        <v>21108</v>
      </c>
      <c r="K4222" s="2" t="s">
        <v>918</v>
      </c>
      <c r="L4222" s="2" t="s">
        <v>18345</v>
      </c>
      <c r="M4222" s="2" t="s">
        <v>21109</v>
      </c>
      <c r="N4222" s="2" t="s">
        <v>21110</v>
      </c>
      <c r="O4222" s="2" t="s">
        <v>869</v>
      </c>
      <c r="P4222" s="2" t="s">
        <v>870</v>
      </c>
    </row>
    <row r="4223" ht="15.75" customHeight="1">
      <c r="H4223" s="2" t="s">
        <v>21111</v>
      </c>
      <c r="I4223" s="2" t="s">
        <v>4147</v>
      </c>
      <c r="J4223" s="2" t="s">
        <v>4148</v>
      </c>
      <c r="K4223" s="2" t="s">
        <v>1567</v>
      </c>
      <c r="L4223" s="2" t="s">
        <v>18345</v>
      </c>
      <c r="M4223" s="2" t="s">
        <v>21109</v>
      </c>
      <c r="N4223" s="2" t="s">
        <v>21112</v>
      </c>
      <c r="O4223" s="2" t="s">
        <v>869</v>
      </c>
      <c r="P4223" s="2" t="s">
        <v>870</v>
      </c>
    </row>
    <row r="4224" ht="15.75" customHeight="1">
      <c r="H4224" s="2" t="s">
        <v>21113</v>
      </c>
      <c r="I4224" s="2" t="s">
        <v>21114</v>
      </c>
      <c r="J4224" s="2" t="s">
        <v>21115</v>
      </c>
      <c r="K4224" s="2" t="s">
        <v>924</v>
      </c>
      <c r="L4224" s="2" t="s">
        <v>18345</v>
      </c>
      <c r="M4224" s="2" t="s">
        <v>21116</v>
      </c>
      <c r="N4224" s="2" t="s">
        <v>21117</v>
      </c>
      <c r="O4224" s="2" t="s">
        <v>869</v>
      </c>
      <c r="P4224" s="2" t="s">
        <v>870</v>
      </c>
    </row>
    <row r="4225" ht="15.75" customHeight="1">
      <c r="H4225" s="2" t="s">
        <v>21118</v>
      </c>
      <c r="I4225" s="2" t="s">
        <v>21119</v>
      </c>
      <c r="J4225" s="2" t="s">
        <v>21120</v>
      </c>
      <c r="K4225" s="2" t="s">
        <v>1412</v>
      </c>
      <c r="L4225" s="2" t="s">
        <v>18345</v>
      </c>
      <c r="M4225" s="2" t="s">
        <v>21121</v>
      </c>
      <c r="N4225" s="2" t="s">
        <v>21122</v>
      </c>
      <c r="O4225" s="2" t="s">
        <v>869</v>
      </c>
      <c r="P4225" s="2" t="s">
        <v>870</v>
      </c>
    </row>
    <row r="4226" ht="15.75" customHeight="1">
      <c r="H4226" s="2" t="s">
        <v>21123</v>
      </c>
      <c r="I4226" s="2" t="s">
        <v>21124</v>
      </c>
      <c r="J4226" s="2" t="s">
        <v>21125</v>
      </c>
      <c r="K4226" s="2" t="s">
        <v>1418</v>
      </c>
      <c r="L4226" s="2" t="s">
        <v>18345</v>
      </c>
      <c r="M4226" s="2" t="s">
        <v>21126</v>
      </c>
      <c r="N4226" s="2" t="s">
        <v>21127</v>
      </c>
      <c r="O4226" s="2" t="s">
        <v>869</v>
      </c>
      <c r="P4226" s="2" t="s">
        <v>870</v>
      </c>
    </row>
    <row r="4227" ht="15.75" customHeight="1">
      <c r="H4227" s="2" t="s">
        <v>21128</v>
      </c>
      <c r="I4227" s="2" t="s">
        <v>20592</v>
      </c>
      <c r="J4227" s="2" t="s">
        <v>20593</v>
      </c>
      <c r="K4227" s="2" t="s">
        <v>1952</v>
      </c>
      <c r="L4227" s="2" t="s">
        <v>18345</v>
      </c>
      <c r="M4227" s="2" t="s">
        <v>21129</v>
      </c>
      <c r="N4227" s="2" t="s">
        <v>21130</v>
      </c>
      <c r="O4227" s="2" t="s">
        <v>869</v>
      </c>
      <c r="P4227" s="2" t="s">
        <v>870</v>
      </c>
    </row>
    <row r="4228" ht="15.75" customHeight="1">
      <c r="H4228" s="2" t="s">
        <v>21131</v>
      </c>
      <c r="I4228" s="2" t="s">
        <v>2966</v>
      </c>
      <c r="J4228" s="2" t="s">
        <v>2967</v>
      </c>
      <c r="K4228" s="2" t="s">
        <v>2203</v>
      </c>
      <c r="L4228" s="2" t="s">
        <v>18345</v>
      </c>
      <c r="M4228" s="2" t="s">
        <v>21132</v>
      </c>
      <c r="N4228" s="2" t="s">
        <v>21133</v>
      </c>
      <c r="O4228" s="2" t="s">
        <v>869</v>
      </c>
      <c r="P4228" s="2" t="s">
        <v>870</v>
      </c>
    </row>
    <row r="4229" ht="15.75" customHeight="1">
      <c r="F4229" s="2" t="s">
        <v>4180</v>
      </c>
      <c r="H4229" s="2" t="s">
        <v>21134</v>
      </c>
      <c r="I4229" s="2" t="s">
        <v>21135</v>
      </c>
      <c r="J4229" s="2" t="s">
        <v>21136</v>
      </c>
      <c r="K4229" s="2" t="s">
        <v>865</v>
      </c>
      <c r="L4229" s="2" t="s">
        <v>18345</v>
      </c>
      <c r="M4229" s="2" t="s">
        <v>21137</v>
      </c>
      <c r="N4229" s="2" t="s">
        <v>21138</v>
      </c>
      <c r="O4229" s="2" t="s">
        <v>869</v>
      </c>
      <c r="P4229" s="2" t="s">
        <v>870</v>
      </c>
    </row>
    <row r="4230" ht="15.75" customHeight="1">
      <c r="H4230" s="2" t="s">
        <v>21139</v>
      </c>
      <c r="I4230" s="2" t="s">
        <v>21140</v>
      </c>
      <c r="J4230" s="2" t="s">
        <v>21141</v>
      </c>
      <c r="K4230" s="2" t="s">
        <v>874</v>
      </c>
      <c r="L4230" s="2" t="s">
        <v>18345</v>
      </c>
      <c r="M4230" s="2" t="s">
        <v>21142</v>
      </c>
      <c r="N4230" s="2" t="s">
        <v>21143</v>
      </c>
      <c r="O4230" s="2" t="s">
        <v>869</v>
      </c>
      <c r="P4230" s="2" t="s">
        <v>870</v>
      </c>
    </row>
    <row r="4231" ht="15.75" customHeight="1">
      <c r="H4231" s="2" t="s">
        <v>21144</v>
      </c>
      <c r="I4231" s="2" t="s">
        <v>4210</v>
      </c>
      <c r="J4231" s="2" t="s">
        <v>4211</v>
      </c>
      <c r="K4231" s="2" t="s">
        <v>886</v>
      </c>
      <c r="L4231" s="2" t="s">
        <v>18345</v>
      </c>
      <c r="M4231" s="2" t="s">
        <v>21145</v>
      </c>
      <c r="N4231" s="2" t="s">
        <v>21146</v>
      </c>
      <c r="O4231" s="2" t="s">
        <v>869</v>
      </c>
      <c r="P4231" s="2" t="s">
        <v>870</v>
      </c>
    </row>
    <row r="4232" ht="15.75" customHeight="1">
      <c r="H4232" s="2" t="s">
        <v>21147</v>
      </c>
      <c r="I4232" s="2" t="s">
        <v>4215</v>
      </c>
      <c r="J4232" s="2" t="s">
        <v>4216</v>
      </c>
      <c r="K4232" s="2" t="s">
        <v>1128</v>
      </c>
      <c r="L4232" s="2" t="s">
        <v>18345</v>
      </c>
      <c r="M4232" s="2" t="s">
        <v>21148</v>
      </c>
      <c r="N4232" s="2" t="s">
        <v>21149</v>
      </c>
      <c r="O4232" s="2" t="s">
        <v>869</v>
      </c>
      <c r="P4232" s="2" t="s">
        <v>870</v>
      </c>
    </row>
    <row r="4233" ht="15.75" customHeight="1">
      <c r="H4233" s="2" t="s">
        <v>21150</v>
      </c>
      <c r="I4233" s="2" t="s">
        <v>21151</v>
      </c>
      <c r="J4233" s="2" t="s">
        <v>21152</v>
      </c>
      <c r="K4233" s="2" t="s">
        <v>1136</v>
      </c>
      <c r="L4233" s="2" t="s">
        <v>18345</v>
      </c>
      <c r="M4233" s="2" t="s">
        <v>21153</v>
      </c>
      <c r="N4233" s="2" t="s">
        <v>21154</v>
      </c>
      <c r="O4233" s="2" t="s">
        <v>869</v>
      </c>
      <c r="P4233" s="2" t="s">
        <v>870</v>
      </c>
    </row>
    <row r="4234" ht="15.75" customHeight="1">
      <c r="H4234" s="2" t="s">
        <v>21155</v>
      </c>
      <c r="I4234" s="2" t="s">
        <v>21156</v>
      </c>
      <c r="J4234" s="2" t="s">
        <v>21157</v>
      </c>
      <c r="K4234" s="2" t="s">
        <v>2937</v>
      </c>
      <c r="L4234" s="2" t="s">
        <v>18345</v>
      </c>
      <c r="M4234" s="2" t="s">
        <v>21158</v>
      </c>
      <c r="N4234" s="2" t="s">
        <v>21159</v>
      </c>
      <c r="O4234" s="2" t="s">
        <v>869</v>
      </c>
      <c r="P4234" s="2" t="s">
        <v>870</v>
      </c>
    </row>
    <row r="4235" ht="15.75" customHeight="1">
      <c r="F4235" s="2" t="s">
        <v>737</v>
      </c>
      <c r="H4235" s="2" t="s">
        <v>21160</v>
      </c>
      <c r="I4235" s="2" t="s">
        <v>21161</v>
      </c>
      <c r="J4235" s="2" t="s">
        <v>21162</v>
      </c>
      <c r="K4235" s="2" t="s">
        <v>1362</v>
      </c>
      <c r="L4235" s="2" t="s">
        <v>18345</v>
      </c>
      <c r="M4235" s="2" t="s">
        <v>21163</v>
      </c>
      <c r="N4235" s="2" t="s">
        <v>21164</v>
      </c>
      <c r="O4235" s="2" t="s">
        <v>869</v>
      </c>
      <c r="P4235" s="2" t="s">
        <v>870</v>
      </c>
    </row>
    <row r="4236" ht="15.75" customHeight="1">
      <c r="H4236" s="2" t="s">
        <v>21165</v>
      </c>
      <c r="I4236" s="2" t="s">
        <v>21166</v>
      </c>
      <c r="J4236" s="2" t="s">
        <v>21167</v>
      </c>
      <c r="K4236" s="2" t="s">
        <v>280</v>
      </c>
      <c r="L4236" s="2" t="s">
        <v>18345</v>
      </c>
      <c r="M4236" s="2" t="s">
        <v>21168</v>
      </c>
      <c r="N4236" s="2" t="s">
        <v>21169</v>
      </c>
      <c r="O4236" s="2" t="s">
        <v>869</v>
      </c>
      <c r="P4236" s="2" t="s">
        <v>870</v>
      </c>
    </row>
    <row r="4237" ht="15.75" customHeight="1">
      <c r="H4237" s="2" t="s">
        <v>21170</v>
      </c>
      <c r="I4237" s="2" t="s">
        <v>21171</v>
      </c>
      <c r="J4237" s="2" t="s">
        <v>21172</v>
      </c>
      <c r="K4237" s="2" t="s">
        <v>1467</v>
      </c>
      <c r="L4237" s="2" t="s">
        <v>18345</v>
      </c>
      <c r="M4237" s="2" t="s">
        <v>21173</v>
      </c>
      <c r="N4237" s="2" t="s">
        <v>21174</v>
      </c>
      <c r="O4237" s="2" t="s">
        <v>869</v>
      </c>
      <c r="P4237" s="2" t="s">
        <v>870</v>
      </c>
    </row>
    <row r="4238" ht="15.75" customHeight="1">
      <c r="H4238" s="2" t="s">
        <v>21175</v>
      </c>
      <c r="I4238" s="2" t="s">
        <v>17653</v>
      </c>
      <c r="J4238" s="2" t="s">
        <v>17654</v>
      </c>
      <c r="K4238" s="2" t="s">
        <v>1368</v>
      </c>
      <c r="L4238" s="2" t="s">
        <v>18345</v>
      </c>
      <c r="M4238" s="2" t="s">
        <v>21176</v>
      </c>
      <c r="N4238" s="2" t="s">
        <v>21177</v>
      </c>
      <c r="O4238" s="2" t="s">
        <v>869</v>
      </c>
      <c r="P4238" s="2" t="s">
        <v>870</v>
      </c>
    </row>
    <row r="4239" ht="15.75" customHeight="1">
      <c r="H4239" s="2" t="s">
        <v>21178</v>
      </c>
      <c r="I4239" s="2" t="s">
        <v>21179</v>
      </c>
      <c r="J4239" s="2" t="s">
        <v>21180</v>
      </c>
      <c r="K4239" s="2" t="s">
        <v>963</v>
      </c>
      <c r="L4239" s="2" t="s">
        <v>18345</v>
      </c>
      <c r="M4239" s="2" t="s">
        <v>21181</v>
      </c>
      <c r="N4239" s="2" t="s">
        <v>21182</v>
      </c>
      <c r="O4239" s="2" t="s">
        <v>869</v>
      </c>
      <c r="P4239" s="2" t="s">
        <v>870</v>
      </c>
    </row>
    <row r="4240" ht="15.75" customHeight="1">
      <c r="H4240" s="2" t="s">
        <v>21183</v>
      </c>
      <c r="I4240" s="2" t="s">
        <v>4237</v>
      </c>
      <c r="J4240" s="2" t="s">
        <v>4238</v>
      </c>
      <c r="K4240" s="2" t="s">
        <v>970</v>
      </c>
      <c r="L4240" s="2" t="s">
        <v>18345</v>
      </c>
      <c r="M4240" s="2" t="s">
        <v>21184</v>
      </c>
      <c r="N4240" s="2" t="s">
        <v>21185</v>
      </c>
      <c r="O4240" s="2" t="s">
        <v>869</v>
      </c>
      <c r="P4240" s="2" t="s">
        <v>870</v>
      </c>
    </row>
    <row r="4241" ht="15.75" customHeight="1">
      <c r="H4241" s="2" t="s">
        <v>21186</v>
      </c>
      <c r="I4241" s="2" t="s">
        <v>3558</v>
      </c>
      <c r="J4241" s="2" t="s">
        <v>3559</v>
      </c>
      <c r="K4241" s="2" t="s">
        <v>1128</v>
      </c>
      <c r="L4241" s="2" t="s">
        <v>18345</v>
      </c>
      <c r="M4241" s="2" t="s">
        <v>21187</v>
      </c>
      <c r="N4241" s="2" t="s">
        <v>21188</v>
      </c>
      <c r="O4241" s="2" t="s">
        <v>869</v>
      </c>
      <c r="P4241" s="2" t="s">
        <v>870</v>
      </c>
    </row>
    <row r="4242" ht="15.75" customHeight="1">
      <c r="H4242" s="2" t="s">
        <v>21189</v>
      </c>
      <c r="I4242" s="2" t="s">
        <v>739</v>
      </c>
      <c r="J4242" s="2" t="s">
        <v>740</v>
      </c>
      <c r="K4242" s="2" t="s">
        <v>1551</v>
      </c>
      <c r="L4242" s="2" t="s">
        <v>18345</v>
      </c>
      <c r="M4242" s="2" t="s">
        <v>21190</v>
      </c>
      <c r="N4242" s="2" t="s">
        <v>21191</v>
      </c>
      <c r="O4242" s="2" t="s">
        <v>869</v>
      </c>
      <c r="P4242" s="2" t="s">
        <v>870</v>
      </c>
    </row>
    <row r="4243" ht="15.75" customHeight="1">
      <c r="F4243" s="2" t="s">
        <v>746</v>
      </c>
      <c r="H4243" s="2" t="s">
        <v>21192</v>
      </c>
      <c r="I4243" s="2" t="s">
        <v>4260</v>
      </c>
      <c r="J4243" s="2" t="s">
        <v>4261</v>
      </c>
      <c r="K4243" s="2" t="s">
        <v>280</v>
      </c>
      <c r="L4243" s="2" t="s">
        <v>18345</v>
      </c>
      <c r="M4243" s="2" t="s">
        <v>21193</v>
      </c>
      <c r="N4243" s="2" t="s">
        <v>21194</v>
      </c>
      <c r="O4243" s="2" t="s">
        <v>869</v>
      </c>
      <c r="P4243" s="2" t="s">
        <v>870</v>
      </c>
    </row>
    <row r="4244" ht="15.75" customHeight="1">
      <c r="H4244" s="2" t="s">
        <v>21195</v>
      </c>
      <c r="I4244" s="2" t="s">
        <v>21196</v>
      </c>
      <c r="J4244" s="2" t="s">
        <v>21197</v>
      </c>
      <c r="K4244" s="2" t="s">
        <v>880</v>
      </c>
      <c r="L4244" s="2" t="s">
        <v>18345</v>
      </c>
      <c r="M4244" s="2" t="s">
        <v>21198</v>
      </c>
      <c r="N4244" s="2" t="s">
        <v>21199</v>
      </c>
      <c r="O4244" s="2" t="s">
        <v>869</v>
      </c>
      <c r="P4244" s="2" t="s">
        <v>870</v>
      </c>
    </row>
    <row r="4245" ht="15.75" customHeight="1">
      <c r="H4245" s="2" t="s">
        <v>21200</v>
      </c>
      <c r="I4245" s="2" t="s">
        <v>4277</v>
      </c>
      <c r="J4245" s="2" t="s">
        <v>4278</v>
      </c>
      <c r="K4245" s="2" t="s">
        <v>1297</v>
      </c>
      <c r="L4245" s="2" t="s">
        <v>18345</v>
      </c>
      <c r="M4245" s="2" t="s">
        <v>4279</v>
      </c>
      <c r="N4245" s="2" t="s">
        <v>21201</v>
      </c>
      <c r="O4245" s="2" t="s">
        <v>869</v>
      </c>
      <c r="P4245" s="2" t="s">
        <v>870</v>
      </c>
    </row>
    <row r="4246" ht="15.75" customHeight="1">
      <c r="H4246" s="2" t="s">
        <v>21202</v>
      </c>
      <c r="I4246" s="2" t="s">
        <v>4282</v>
      </c>
      <c r="J4246" s="2" t="s">
        <v>4283</v>
      </c>
      <c r="K4246" s="2" t="s">
        <v>886</v>
      </c>
      <c r="L4246" s="2" t="s">
        <v>18345</v>
      </c>
      <c r="M4246" s="2" t="s">
        <v>21203</v>
      </c>
      <c r="N4246" s="2" t="s">
        <v>21204</v>
      </c>
      <c r="O4246" s="2" t="s">
        <v>869</v>
      </c>
      <c r="P4246" s="2" t="s">
        <v>870</v>
      </c>
    </row>
    <row r="4247" ht="15.75" customHeight="1">
      <c r="H4247" s="2" t="s">
        <v>21205</v>
      </c>
      <c r="I4247" s="2" t="s">
        <v>21206</v>
      </c>
      <c r="J4247" s="2" t="s">
        <v>21207</v>
      </c>
      <c r="K4247" s="2" t="s">
        <v>283</v>
      </c>
      <c r="L4247" s="2" t="s">
        <v>18345</v>
      </c>
      <c r="M4247" s="2" t="s">
        <v>21208</v>
      </c>
      <c r="N4247" s="2" t="s">
        <v>21209</v>
      </c>
      <c r="O4247" s="2" t="s">
        <v>869</v>
      </c>
      <c r="P4247" s="2" t="s">
        <v>870</v>
      </c>
    </row>
    <row r="4248" ht="15.75" customHeight="1">
      <c r="H4248" s="2" t="s">
        <v>21210</v>
      </c>
      <c r="I4248" s="2" t="s">
        <v>6136</v>
      </c>
      <c r="J4248" s="2" t="s">
        <v>6137</v>
      </c>
      <c r="K4248" s="2" t="s">
        <v>12802</v>
      </c>
      <c r="L4248" s="2" t="s">
        <v>18345</v>
      </c>
      <c r="M4248" s="2" t="s">
        <v>21211</v>
      </c>
      <c r="N4248" s="2" t="s">
        <v>21212</v>
      </c>
      <c r="O4248" s="2" t="s">
        <v>869</v>
      </c>
      <c r="P4248" s="2" t="s">
        <v>870</v>
      </c>
    </row>
    <row r="4249" ht="15.75" customHeight="1">
      <c r="H4249" s="2" t="s">
        <v>21213</v>
      </c>
      <c r="I4249" s="2" t="s">
        <v>21214</v>
      </c>
      <c r="J4249" s="2" t="s">
        <v>21215</v>
      </c>
      <c r="K4249" s="2" t="s">
        <v>900</v>
      </c>
      <c r="L4249" s="2" t="s">
        <v>18345</v>
      </c>
      <c r="M4249" s="2" t="s">
        <v>21203</v>
      </c>
      <c r="N4249" s="2" t="s">
        <v>21216</v>
      </c>
      <c r="O4249" s="2" t="s">
        <v>869</v>
      </c>
      <c r="P4249" s="2" t="s">
        <v>870</v>
      </c>
    </row>
    <row r="4250" ht="15.75" customHeight="1">
      <c r="H4250" s="2" t="s">
        <v>21217</v>
      </c>
      <c r="I4250" s="2" t="s">
        <v>21218</v>
      </c>
      <c r="J4250" s="2" t="s">
        <v>21219</v>
      </c>
      <c r="K4250" s="2" t="s">
        <v>5142</v>
      </c>
      <c r="L4250" s="2" t="s">
        <v>18345</v>
      </c>
      <c r="M4250" s="2" t="s">
        <v>21220</v>
      </c>
      <c r="N4250" s="2" t="s">
        <v>21221</v>
      </c>
      <c r="O4250" s="2" t="s">
        <v>869</v>
      </c>
      <c r="P4250" s="2" t="s">
        <v>870</v>
      </c>
    </row>
    <row r="4251" ht="15.75" customHeight="1">
      <c r="H4251" s="2" t="s">
        <v>21222</v>
      </c>
      <c r="I4251" s="2" t="s">
        <v>21223</v>
      </c>
      <c r="J4251" s="2" t="s">
        <v>21224</v>
      </c>
      <c r="K4251" s="2" t="s">
        <v>1418</v>
      </c>
      <c r="L4251" s="2" t="s">
        <v>18345</v>
      </c>
      <c r="M4251" s="2" t="s">
        <v>21225</v>
      </c>
      <c r="N4251" s="2" t="s">
        <v>21226</v>
      </c>
      <c r="O4251" s="2" t="s">
        <v>869</v>
      </c>
      <c r="P4251" s="2" t="s">
        <v>870</v>
      </c>
    </row>
    <row r="4252" ht="15.75" customHeight="1">
      <c r="H4252" s="2" t="s">
        <v>21227</v>
      </c>
      <c r="I4252" s="2" t="s">
        <v>4323</v>
      </c>
      <c r="J4252" s="2" t="s">
        <v>4324</v>
      </c>
      <c r="K4252" s="2" t="s">
        <v>1325</v>
      </c>
      <c r="L4252" s="2" t="s">
        <v>18345</v>
      </c>
      <c r="M4252" s="2" t="s">
        <v>4325</v>
      </c>
      <c r="N4252" s="2" t="s">
        <v>21228</v>
      </c>
      <c r="O4252" s="2" t="s">
        <v>869</v>
      </c>
      <c r="P4252" s="2" t="s">
        <v>870</v>
      </c>
    </row>
    <row r="4253" ht="15.75" customHeight="1">
      <c r="H4253" s="2" t="s">
        <v>21229</v>
      </c>
      <c r="I4253" s="2" t="s">
        <v>21230</v>
      </c>
      <c r="J4253" s="2" t="s">
        <v>21231</v>
      </c>
      <c r="K4253" s="2" t="s">
        <v>1157</v>
      </c>
      <c r="L4253" s="2" t="s">
        <v>18345</v>
      </c>
      <c r="M4253" s="2" t="s">
        <v>21232</v>
      </c>
      <c r="N4253" s="2" t="s">
        <v>21233</v>
      </c>
      <c r="O4253" s="2" t="s">
        <v>869</v>
      </c>
      <c r="P4253" s="2" t="s">
        <v>870</v>
      </c>
    </row>
    <row r="4254" ht="15.75" customHeight="1">
      <c r="H4254" s="2" t="s">
        <v>21234</v>
      </c>
      <c r="I4254" s="2" t="s">
        <v>21235</v>
      </c>
      <c r="J4254" s="2" t="s">
        <v>21236</v>
      </c>
      <c r="K4254" s="2" t="s">
        <v>1038</v>
      </c>
      <c r="L4254" s="2" t="s">
        <v>18345</v>
      </c>
      <c r="M4254" s="2" t="s">
        <v>21237</v>
      </c>
      <c r="N4254" s="2" t="s">
        <v>21238</v>
      </c>
      <c r="O4254" s="2" t="s">
        <v>869</v>
      </c>
      <c r="P4254" s="2" t="s">
        <v>870</v>
      </c>
    </row>
    <row r="4255" ht="15.75" customHeight="1">
      <c r="H4255" s="2" t="s">
        <v>21239</v>
      </c>
      <c r="I4255" s="2" t="s">
        <v>21240</v>
      </c>
      <c r="J4255" s="2" t="s">
        <v>21241</v>
      </c>
      <c r="L4255" s="2" t="s">
        <v>18345</v>
      </c>
      <c r="M4255" s="2" t="s">
        <v>21242</v>
      </c>
      <c r="N4255" s="2" t="s">
        <v>20473</v>
      </c>
      <c r="O4255" s="2" t="s">
        <v>869</v>
      </c>
      <c r="P4255" s="2" t="s">
        <v>870</v>
      </c>
    </row>
    <row r="4256" ht="15.75" customHeight="1">
      <c r="H4256" s="2" t="s">
        <v>21243</v>
      </c>
      <c r="I4256" s="2" t="s">
        <v>10637</v>
      </c>
      <c r="J4256" s="2" t="s">
        <v>10638</v>
      </c>
      <c r="K4256" s="2" t="s">
        <v>1443</v>
      </c>
      <c r="L4256" s="2" t="s">
        <v>18345</v>
      </c>
      <c r="M4256" s="2" t="s">
        <v>21244</v>
      </c>
      <c r="N4256" s="2" t="s">
        <v>21245</v>
      </c>
      <c r="O4256" s="2" t="s">
        <v>869</v>
      </c>
      <c r="P4256" s="2" t="s">
        <v>870</v>
      </c>
    </row>
    <row r="4257" ht="15.75" customHeight="1">
      <c r="H4257" s="2" t="s">
        <v>21246</v>
      </c>
      <c r="I4257" s="2" t="s">
        <v>10643</v>
      </c>
      <c r="J4257" s="2" t="s">
        <v>10644</v>
      </c>
      <c r="K4257" s="2" t="s">
        <v>1199</v>
      </c>
      <c r="L4257" s="2" t="s">
        <v>18345</v>
      </c>
      <c r="M4257" s="2" t="s">
        <v>21247</v>
      </c>
      <c r="N4257" s="2" t="s">
        <v>21248</v>
      </c>
      <c r="O4257" s="2" t="s">
        <v>869</v>
      </c>
      <c r="P4257" s="2" t="s">
        <v>870</v>
      </c>
    </row>
    <row r="4258" ht="15.75" customHeight="1">
      <c r="F4258" s="2" t="s">
        <v>4353</v>
      </c>
      <c r="H4258" s="2" t="s">
        <v>21249</v>
      </c>
      <c r="I4258" s="2" t="s">
        <v>21250</v>
      </c>
      <c r="J4258" s="2" t="s">
        <v>21251</v>
      </c>
      <c r="K4258" s="2" t="s">
        <v>1061</v>
      </c>
      <c r="L4258" s="2" t="s">
        <v>18345</v>
      </c>
      <c r="M4258" s="2" t="s">
        <v>21252</v>
      </c>
      <c r="N4258" s="2" t="s">
        <v>21253</v>
      </c>
      <c r="O4258" s="2" t="s">
        <v>869</v>
      </c>
      <c r="P4258" s="2" t="s">
        <v>870</v>
      </c>
    </row>
    <row r="4259" ht="15.75" customHeight="1">
      <c r="H4259" s="2" t="s">
        <v>21254</v>
      </c>
      <c r="I4259" s="2" t="s">
        <v>21255</v>
      </c>
      <c r="J4259" s="2" t="s">
        <v>21256</v>
      </c>
      <c r="K4259" s="2" t="s">
        <v>865</v>
      </c>
      <c r="L4259" s="2" t="s">
        <v>18345</v>
      </c>
      <c r="M4259" s="2" t="s">
        <v>21257</v>
      </c>
      <c r="N4259" s="2" t="s">
        <v>21258</v>
      </c>
      <c r="O4259" s="2" t="s">
        <v>869</v>
      </c>
      <c r="P4259" s="2" t="s">
        <v>870</v>
      </c>
    </row>
    <row r="4260" ht="15.75" customHeight="1">
      <c r="H4260" s="2" t="s">
        <v>21259</v>
      </c>
      <c r="I4260" s="2" t="s">
        <v>21260</v>
      </c>
      <c r="J4260" s="2" t="s">
        <v>21261</v>
      </c>
      <c r="K4260" s="2" t="s">
        <v>874</v>
      </c>
      <c r="L4260" s="2" t="s">
        <v>18345</v>
      </c>
      <c r="M4260" s="2" t="s">
        <v>21262</v>
      </c>
      <c r="N4260" s="2" t="s">
        <v>21263</v>
      </c>
      <c r="O4260" s="2" t="s">
        <v>869</v>
      </c>
      <c r="P4260" s="2" t="s">
        <v>870</v>
      </c>
    </row>
    <row r="4261" ht="15.75" customHeight="1">
      <c r="H4261" s="2" t="s">
        <v>21264</v>
      </c>
      <c r="I4261" s="2" t="s">
        <v>21265</v>
      </c>
      <c r="J4261" s="2" t="s">
        <v>21266</v>
      </c>
      <c r="K4261" s="2" t="s">
        <v>1368</v>
      </c>
      <c r="L4261" s="2" t="s">
        <v>18345</v>
      </c>
      <c r="M4261" s="2" t="s">
        <v>21267</v>
      </c>
      <c r="N4261" s="2" t="s">
        <v>21268</v>
      </c>
      <c r="O4261" s="2" t="s">
        <v>869</v>
      </c>
      <c r="P4261" s="2" t="s">
        <v>870</v>
      </c>
    </row>
    <row r="4262" ht="15.75" customHeight="1">
      <c r="H4262" s="2" t="s">
        <v>21269</v>
      </c>
      <c r="I4262" s="2" t="s">
        <v>21270</v>
      </c>
      <c r="J4262" s="2" t="s">
        <v>21271</v>
      </c>
      <c r="K4262" s="2" t="s">
        <v>966</v>
      </c>
      <c r="L4262" s="2" t="s">
        <v>18345</v>
      </c>
      <c r="M4262" s="2" t="s">
        <v>21272</v>
      </c>
      <c r="N4262" s="2" t="s">
        <v>21273</v>
      </c>
      <c r="O4262" s="2" t="s">
        <v>869</v>
      </c>
      <c r="P4262" s="2" t="s">
        <v>870</v>
      </c>
    </row>
    <row r="4263" ht="15.75" customHeight="1">
      <c r="H4263" s="2" t="s">
        <v>21274</v>
      </c>
      <c r="I4263" s="2" t="s">
        <v>21275</v>
      </c>
      <c r="J4263" s="2" t="s">
        <v>21276</v>
      </c>
      <c r="L4263" s="2" t="s">
        <v>18345</v>
      </c>
      <c r="M4263" s="2" t="s">
        <v>21277</v>
      </c>
      <c r="N4263" s="2" t="s">
        <v>21278</v>
      </c>
      <c r="O4263" s="2" t="s">
        <v>869</v>
      </c>
      <c r="P4263" s="2" t="s">
        <v>870</v>
      </c>
    </row>
    <row r="4264" ht="15.75" customHeight="1">
      <c r="H4264" s="2" t="s">
        <v>21279</v>
      </c>
      <c r="I4264" s="2" t="s">
        <v>7730</v>
      </c>
      <c r="J4264" s="2" t="s">
        <v>7731</v>
      </c>
      <c r="K4264" s="2" t="s">
        <v>896</v>
      </c>
      <c r="L4264" s="2" t="s">
        <v>18345</v>
      </c>
      <c r="M4264" s="2" t="s">
        <v>21280</v>
      </c>
      <c r="N4264" s="2" t="s">
        <v>21281</v>
      </c>
      <c r="O4264" s="2" t="s">
        <v>869</v>
      </c>
      <c r="P4264" s="2" t="s">
        <v>870</v>
      </c>
    </row>
    <row r="4265" ht="15.75" customHeight="1">
      <c r="H4265" s="2" t="s">
        <v>21282</v>
      </c>
      <c r="I4265" s="2" t="s">
        <v>21283</v>
      </c>
      <c r="J4265" s="2" t="s">
        <v>21284</v>
      </c>
      <c r="K4265" s="2" t="s">
        <v>900</v>
      </c>
      <c r="L4265" s="2" t="s">
        <v>18345</v>
      </c>
      <c r="M4265" s="2" t="s">
        <v>21285</v>
      </c>
      <c r="N4265" s="2" t="s">
        <v>21286</v>
      </c>
      <c r="O4265" s="2" t="s">
        <v>869</v>
      </c>
      <c r="P4265" s="2" t="s">
        <v>870</v>
      </c>
    </row>
    <row r="4266" ht="15.75" customHeight="1">
      <c r="H4266" s="2" t="s">
        <v>21287</v>
      </c>
      <c r="I4266" s="2" t="s">
        <v>4395</v>
      </c>
      <c r="J4266" s="2" t="s">
        <v>4396</v>
      </c>
      <c r="K4266" s="2" t="s">
        <v>1141</v>
      </c>
      <c r="L4266" s="2" t="s">
        <v>18345</v>
      </c>
      <c r="M4266" s="2" t="s">
        <v>21288</v>
      </c>
      <c r="N4266" s="2" t="s">
        <v>21289</v>
      </c>
      <c r="O4266" s="2" t="s">
        <v>869</v>
      </c>
      <c r="P4266" s="2" t="s">
        <v>870</v>
      </c>
    </row>
    <row r="4267" ht="15.75" customHeight="1">
      <c r="H4267" s="2" t="s">
        <v>21290</v>
      </c>
      <c r="I4267" s="2" t="s">
        <v>14185</v>
      </c>
      <c r="J4267" s="2" t="s">
        <v>14186</v>
      </c>
      <c r="K4267" s="2" t="s">
        <v>1406</v>
      </c>
      <c r="L4267" s="2" t="s">
        <v>18345</v>
      </c>
      <c r="M4267" s="2" t="s">
        <v>21291</v>
      </c>
      <c r="N4267" s="2" t="s">
        <v>21292</v>
      </c>
      <c r="O4267" s="2" t="s">
        <v>869</v>
      </c>
      <c r="P4267" s="2" t="s">
        <v>870</v>
      </c>
    </row>
    <row r="4268" ht="15.75" customHeight="1">
      <c r="H4268" s="2" t="s">
        <v>21293</v>
      </c>
      <c r="I4268" s="2" t="s">
        <v>21294</v>
      </c>
      <c r="J4268" s="2" t="s">
        <v>21295</v>
      </c>
      <c r="K4268" s="2" t="s">
        <v>1424</v>
      </c>
      <c r="L4268" s="2" t="s">
        <v>18345</v>
      </c>
      <c r="M4268" s="2" t="s">
        <v>21296</v>
      </c>
      <c r="N4268" s="2" t="s">
        <v>21297</v>
      </c>
      <c r="O4268" s="2" t="s">
        <v>869</v>
      </c>
      <c r="P4268" s="2" t="s">
        <v>870</v>
      </c>
    </row>
    <row r="4269" ht="15.75" customHeight="1">
      <c r="H4269" s="2" t="s">
        <v>21298</v>
      </c>
      <c r="I4269" s="2" t="s">
        <v>21299</v>
      </c>
      <c r="J4269" s="2" t="s">
        <v>21300</v>
      </c>
      <c r="K4269" s="2" t="s">
        <v>1157</v>
      </c>
      <c r="L4269" s="2" t="s">
        <v>18345</v>
      </c>
      <c r="M4269" s="2" t="s">
        <v>21301</v>
      </c>
      <c r="N4269" s="2" t="s">
        <v>21302</v>
      </c>
      <c r="O4269" s="2" t="s">
        <v>869</v>
      </c>
      <c r="P4269" s="2" t="s">
        <v>870</v>
      </c>
    </row>
    <row r="4270" ht="15.75" customHeight="1">
      <c r="H4270" s="2" t="s">
        <v>21303</v>
      </c>
      <c r="I4270" s="2" t="s">
        <v>21304</v>
      </c>
      <c r="J4270" s="2" t="s">
        <v>21305</v>
      </c>
      <c r="K4270" s="2" t="s">
        <v>1038</v>
      </c>
      <c r="L4270" s="2" t="s">
        <v>18345</v>
      </c>
      <c r="M4270" s="2" t="s">
        <v>21306</v>
      </c>
      <c r="N4270" s="2" t="s">
        <v>21307</v>
      </c>
      <c r="O4270" s="2" t="s">
        <v>869</v>
      </c>
      <c r="P4270" s="2" t="s">
        <v>870</v>
      </c>
    </row>
    <row r="4271" ht="15.75" customHeight="1">
      <c r="H4271" s="2" t="s">
        <v>21308</v>
      </c>
      <c r="I4271" s="2" t="s">
        <v>6072</v>
      </c>
      <c r="J4271" s="2" t="s">
        <v>6073</v>
      </c>
      <c r="K4271" s="2" t="s">
        <v>2171</v>
      </c>
      <c r="L4271" s="2" t="s">
        <v>18345</v>
      </c>
      <c r="M4271" s="2" t="s">
        <v>4357</v>
      </c>
      <c r="N4271" s="2" t="s">
        <v>21309</v>
      </c>
      <c r="O4271" s="2" t="s">
        <v>869</v>
      </c>
      <c r="P4271" s="2" t="s">
        <v>870</v>
      </c>
    </row>
    <row r="4272" ht="15.75" customHeight="1">
      <c r="H4272" s="2" t="s">
        <v>21310</v>
      </c>
      <c r="I4272" s="2" t="s">
        <v>21311</v>
      </c>
      <c r="J4272" s="2" t="s">
        <v>21312</v>
      </c>
      <c r="K4272" s="2" t="s">
        <v>1151</v>
      </c>
      <c r="L4272" s="2" t="s">
        <v>18345</v>
      </c>
      <c r="M4272" s="2" t="s">
        <v>4382</v>
      </c>
      <c r="N4272" s="2" t="s">
        <v>21313</v>
      </c>
      <c r="O4272" s="2" t="s">
        <v>869</v>
      </c>
      <c r="P4272" s="2" t="s">
        <v>870</v>
      </c>
    </row>
    <row r="4273" ht="15.75" customHeight="1">
      <c r="H4273" s="2" t="s">
        <v>21314</v>
      </c>
      <c r="I4273" s="2" t="s">
        <v>21315</v>
      </c>
      <c r="J4273" s="2" t="s">
        <v>21316</v>
      </c>
      <c r="K4273" s="2" t="s">
        <v>1169</v>
      </c>
      <c r="L4273" s="2" t="s">
        <v>18345</v>
      </c>
      <c r="M4273" s="2" t="s">
        <v>21317</v>
      </c>
      <c r="N4273" s="2" t="s">
        <v>21318</v>
      </c>
      <c r="O4273" s="2" t="s">
        <v>869</v>
      </c>
      <c r="P4273" s="2" t="s">
        <v>870</v>
      </c>
    </row>
    <row r="4274" ht="15.75" customHeight="1">
      <c r="H4274" s="2" t="s">
        <v>21319</v>
      </c>
      <c r="I4274" s="2" t="s">
        <v>4438</v>
      </c>
      <c r="J4274" s="2" t="s">
        <v>4439</v>
      </c>
      <c r="K4274" s="2" t="s">
        <v>1181</v>
      </c>
      <c r="L4274" s="2" t="s">
        <v>18345</v>
      </c>
      <c r="M4274" s="2" t="s">
        <v>21320</v>
      </c>
      <c r="N4274" s="2" t="s">
        <v>21321</v>
      </c>
      <c r="O4274" s="2" t="s">
        <v>869</v>
      </c>
      <c r="P4274" s="2" t="s">
        <v>870</v>
      </c>
    </row>
    <row r="4275" ht="15.75" customHeight="1">
      <c r="H4275" s="2" t="s">
        <v>21322</v>
      </c>
      <c r="I4275" s="2" t="s">
        <v>21323</v>
      </c>
      <c r="J4275" s="2" t="s">
        <v>21324</v>
      </c>
      <c r="K4275" s="2" t="s">
        <v>1618</v>
      </c>
      <c r="L4275" s="2" t="s">
        <v>18345</v>
      </c>
      <c r="M4275" s="2" t="s">
        <v>21325</v>
      </c>
      <c r="N4275" s="2" t="s">
        <v>21326</v>
      </c>
      <c r="O4275" s="2" t="s">
        <v>869</v>
      </c>
      <c r="P4275" s="2" t="s">
        <v>870</v>
      </c>
    </row>
    <row r="4276" ht="15.75" customHeight="1">
      <c r="F4276" s="2" t="s">
        <v>4462</v>
      </c>
      <c r="H4276" s="2" t="s">
        <v>21327</v>
      </c>
      <c r="I4276" s="2" t="s">
        <v>21328</v>
      </c>
      <c r="J4276" s="2" t="s">
        <v>21329</v>
      </c>
      <c r="K4276" s="2" t="s">
        <v>859</v>
      </c>
      <c r="L4276" s="2" t="s">
        <v>18345</v>
      </c>
      <c r="M4276" s="2" t="s">
        <v>21330</v>
      </c>
      <c r="N4276" s="2" t="s">
        <v>21331</v>
      </c>
      <c r="O4276" s="2" t="s">
        <v>869</v>
      </c>
      <c r="P4276" s="2" t="s">
        <v>870</v>
      </c>
    </row>
    <row r="4277" ht="15.75" customHeight="1">
      <c r="H4277" s="2" t="s">
        <v>21332</v>
      </c>
      <c r="I4277" s="2" t="s">
        <v>21333</v>
      </c>
      <c r="J4277" s="2" t="s">
        <v>21334</v>
      </c>
      <c r="K4277" s="2" t="s">
        <v>861</v>
      </c>
      <c r="L4277" s="2" t="s">
        <v>18345</v>
      </c>
      <c r="M4277" s="2" t="s">
        <v>21335</v>
      </c>
      <c r="N4277" s="2" t="s">
        <v>21336</v>
      </c>
      <c r="O4277" s="2" t="s">
        <v>869</v>
      </c>
      <c r="P4277" s="2" t="s">
        <v>870</v>
      </c>
    </row>
    <row r="4278" ht="15.75" customHeight="1">
      <c r="H4278" s="2" t="s">
        <v>21337</v>
      </c>
      <c r="I4278" s="2" t="s">
        <v>21338</v>
      </c>
      <c r="J4278" s="2" t="s">
        <v>21339</v>
      </c>
      <c r="K4278" s="2" t="s">
        <v>1061</v>
      </c>
      <c r="L4278" s="2" t="s">
        <v>18345</v>
      </c>
      <c r="M4278" s="2" t="s">
        <v>21340</v>
      </c>
      <c r="N4278" s="2" t="s">
        <v>21341</v>
      </c>
      <c r="O4278" s="2" t="s">
        <v>869</v>
      </c>
      <c r="P4278" s="2" t="s">
        <v>870</v>
      </c>
    </row>
    <row r="4279" ht="15.75" customHeight="1">
      <c r="H4279" s="2" t="s">
        <v>21342</v>
      </c>
      <c r="I4279" s="2" t="s">
        <v>5591</v>
      </c>
      <c r="J4279" s="2" t="s">
        <v>5592</v>
      </c>
      <c r="K4279" s="2" t="s">
        <v>280</v>
      </c>
      <c r="L4279" s="2" t="s">
        <v>18345</v>
      </c>
      <c r="M4279" s="2" t="s">
        <v>21343</v>
      </c>
      <c r="N4279" s="2" t="s">
        <v>21344</v>
      </c>
      <c r="O4279" s="2" t="s">
        <v>869</v>
      </c>
      <c r="P4279" s="2" t="s">
        <v>870</v>
      </c>
    </row>
    <row r="4280" ht="15.75" customHeight="1">
      <c r="H4280" s="2" t="s">
        <v>21345</v>
      </c>
      <c r="I4280" s="2" t="s">
        <v>4477</v>
      </c>
      <c r="J4280" s="2" t="s">
        <v>4478</v>
      </c>
      <c r="K4280" s="2" t="s">
        <v>996</v>
      </c>
      <c r="L4280" s="2" t="s">
        <v>18345</v>
      </c>
      <c r="M4280" s="2" t="s">
        <v>21346</v>
      </c>
      <c r="N4280" s="2" t="s">
        <v>21347</v>
      </c>
      <c r="O4280" s="2" t="s">
        <v>869</v>
      </c>
      <c r="P4280" s="2" t="s">
        <v>870</v>
      </c>
    </row>
    <row r="4281" ht="15.75" customHeight="1">
      <c r="F4281" s="2" t="s">
        <v>4491</v>
      </c>
      <c r="H4281" s="2" t="s">
        <v>21348</v>
      </c>
      <c r="I4281" s="2" t="s">
        <v>4493</v>
      </c>
      <c r="J4281" s="2" t="s">
        <v>4494</v>
      </c>
      <c r="K4281" s="2" t="s">
        <v>1061</v>
      </c>
      <c r="L4281" s="2" t="s">
        <v>18345</v>
      </c>
      <c r="M4281" s="2" t="s">
        <v>21349</v>
      </c>
      <c r="N4281" s="2" t="s">
        <v>21350</v>
      </c>
      <c r="O4281" s="2" t="s">
        <v>869</v>
      </c>
      <c r="P4281" s="2" t="s">
        <v>870</v>
      </c>
    </row>
    <row r="4282" ht="15.75" customHeight="1">
      <c r="H4282" s="2" t="s">
        <v>21351</v>
      </c>
      <c r="I4282" s="2" t="s">
        <v>10706</v>
      </c>
      <c r="J4282" s="2" t="s">
        <v>10707</v>
      </c>
      <c r="K4282" s="2" t="s">
        <v>1467</v>
      </c>
      <c r="L4282" s="2" t="s">
        <v>18345</v>
      </c>
      <c r="M4282" s="2" t="s">
        <v>21352</v>
      </c>
      <c r="N4282" s="2" t="s">
        <v>21353</v>
      </c>
      <c r="O4282" s="2" t="s">
        <v>869</v>
      </c>
      <c r="P4282" s="2" t="s">
        <v>870</v>
      </c>
    </row>
    <row r="4283" ht="15.75" customHeight="1">
      <c r="H4283" s="2" t="s">
        <v>21354</v>
      </c>
      <c r="I4283" s="2" t="s">
        <v>21355</v>
      </c>
      <c r="J4283" s="2" t="s">
        <v>21356</v>
      </c>
      <c r="K4283" s="2" t="s">
        <v>874</v>
      </c>
      <c r="L4283" s="2" t="s">
        <v>18345</v>
      </c>
      <c r="M4283" s="2" t="s">
        <v>21357</v>
      </c>
      <c r="N4283" s="2" t="s">
        <v>21358</v>
      </c>
      <c r="O4283" s="2" t="s">
        <v>869</v>
      </c>
      <c r="P4283" s="2" t="s">
        <v>870</v>
      </c>
    </row>
    <row r="4284" ht="15.75" customHeight="1">
      <c r="H4284" s="2" t="s">
        <v>21359</v>
      </c>
      <c r="I4284" s="2" t="s">
        <v>4503</v>
      </c>
      <c r="J4284" s="2" t="s">
        <v>4504</v>
      </c>
      <c r="K4284" s="2" t="s">
        <v>958</v>
      </c>
      <c r="L4284" s="2" t="s">
        <v>18345</v>
      </c>
      <c r="M4284" s="2" t="s">
        <v>21360</v>
      </c>
      <c r="N4284" s="2" t="s">
        <v>21361</v>
      </c>
      <c r="O4284" s="2" t="s">
        <v>869</v>
      </c>
      <c r="P4284" s="2" t="s">
        <v>870</v>
      </c>
    </row>
    <row r="4285" ht="15.75" customHeight="1">
      <c r="H4285" s="2" t="s">
        <v>21362</v>
      </c>
      <c r="I4285" s="2" t="s">
        <v>4513</v>
      </c>
      <c r="J4285" s="2" t="s">
        <v>4514</v>
      </c>
      <c r="K4285" s="2" t="s">
        <v>1128</v>
      </c>
      <c r="L4285" s="2" t="s">
        <v>18345</v>
      </c>
      <c r="M4285" s="2" t="s">
        <v>21363</v>
      </c>
      <c r="N4285" s="2" t="s">
        <v>21364</v>
      </c>
      <c r="O4285" s="2" t="s">
        <v>869</v>
      </c>
      <c r="P4285" s="2" t="s">
        <v>870</v>
      </c>
    </row>
    <row r="4286" ht="15.75" customHeight="1">
      <c r="H4286" s="2" t="s">
        <v>21365</v>
      </c>
      <c r="I4286" s="2" t="s">
        <v>4528</v>
      </c>
      <c r="J4286" s="2" t="s">
        <v>4529</v>
      </c>
      <c r="K4286" s="2" t="s">
        <v>2937</v>
      </c>
      <c r="L4286" s="2" t="s">
        <v>18345</v>
      </c>
      <c r="M4286" s="2" t="s">
        <v>21366</v>
      </c>
      <c r="N4286" s="2" t="s">
        <v>21367</v>
      </c>
      <c r="O4286" s="2" t="s">
        <v>869</v>
      </c>
      <c r="P4286" s="2" t="s">
        <v>870</v>
      </c>
    </row>
    <row r="4287" ht="15.75" customHeight="1">
      <c r="H4287" s="2" t="s">
        <v>21368</v>
      </c>
      <c r="I4287" s="2" t="s">
        <v>10786</v>
      </c>
      <c r="J4287" s="2" t="s">
        <v>10787</v>
      </c>
      <c r="K4287" s="2" t="s">
        <v>1313</v>
      </c>
      <c r="L4287" s="2" t="s">
        <v>18345</v>
      </c>
      <c r="M4287" s="2" t="s">
        <v>21369</v>
      </c>
      <c r="N4287" s="2" t="s">
        <v>21370</v>
      </c>
      <c r="O4287" s="2" t="s">
        <v>869</v>
      </c>
      <c r="P4287" s="2" t="s">
        <v>870</v>
      </c>
    </row>
    <row r="4288" ht="15.75" customHeight="1">
      <c r="H4288" s="2" t="s">
        <v>21371</v>
      </c>
      <c r="I4288" s="2" t="s">
        <v>10799</v>
      </c>
      <c r="J4288" s="2" t="s">
        <v>10800</v>
      </c>
      <c r="K4288" s="2" t="s">
        <v>924</v>
      </c>
      <c r="L4288" s="2" t="s">
        <v>18345</v>
      </c>
      <c r="M4288" s="2" t="s">
        <v>21372</v>
      </c>
      <c r="N4288" s="2" t="s">
        <v>21373</v>
      </c>
      <c r="O4288" s="2" t="s">
        <v>869</v>
      </c>
      <c r="P4288" s="2" t="s">
        <v>870</v>
      </c>
    </row>
    <row r="4289" ht="15.75" customHeight="1">
      <c r="H4289" s="2" t="s">
        <v>21374</v>
      </c>
      <c r="I4289" s="2" t="s">
        <v>3512</v>
      </c>
      <c r="J4289" s="2" t="s">
        <v>3513</v>
      </c>
      <c r="K4289" s="2" t="s">
        <v>970</v>
      </c>
      <c r="L4289" s="2" t="s">
        <v>18345</v>
      </c>
      <c r="M4289" s="2" t="s">
        <v>21375</v>
      </c>
      <c r="N4289" s="2" t="s">
        <v>21376</v>
      </c>
      <c r="O4289" s="2" t="s">
        <v>869</v>
      </c>
      <c r="P4289" s="2" t="s">
        <v>870</v>
      </c>
    </row>
    <row r="4290" ht="15.75" customHeight="1">
      <c r="F4290" s="2" t="s">
        <v>4544</v>
      </c>
      <c r="H4290" s="2" t="s">
        <v>21377</v>
      </c>
      <c r="I4290" s="2" t="s">
        <v>10875</v>
      </c>
      <c r="J4290" s="2" t="s">
        <v>10876</v>
      </c>
      <c r="K4290" s="2" t="s">
        <v>1368</v>
      </c>
      <c r="L4290" s="2" t="s">
        <v>18345</v>
      </c>
      <c r="M4290" s="2" t="s">
        <v>21378</v>
      </c>
      <c r="N4290" s="2" t="s">
        <v>869</v>
      </c>
      <c r="O4290" s="2" t="s">
        <v>870</v>
      </c>
    </row>
    <row r="4291" ht="15.75" customHeight="1">
      <c r="H4291" s="2" t="s">
        <v>21379</v>
      </c>
      <c r="I4291" s="2" t="s">
        <v>10908</v>
      </c>
      <c r="J4291" s="2" t="s">
        <v>10909</v>
      </c>
      <c r="K4291" s="2" t="s">
        <v>1128</v>
      </c>
      <c r="L4291" s="2" t="s">
        <v>18345</v>
      </c>
      <c r="M4291" s="2" t="s">
        <v>21380</v>
      </c>
      <c r="N4291" s="2" t="s">
        <v>21381</v>
      </c>
      <c r="O4291" s="2" t="s">
        <v>869</v>
      </c>
      <c r="P4291" s="2" t="s">
        <v>870</v>
      </c>
    </row>
    <row r="4292" ht="15.75" customHeight="1">
      <c r="F4292" s="2" t="s">
        <v>4576</v>
      </c>
      <c r="H4292" s="2" t="s">
        <v>21382</v>
      </c>
      <c r="I4292" s="2" t="s">
        <v>10956</v>
      </c>
      <c r="J4292" s="2" t="s">
        <v>10957</v>
      </c>
      <c r="K4292" s="2" t="s">
        <v>277</v>
      </c>
      <c r="L4292" s="2" t="s">
        <v>18345</v>
      </c>
      <c r="M4292" s="2" t="s">
        <v>21383</v>
      </c>
      <c r="N4292" s="2" t="s">
        <v>21384</v>
      </c>
      <c r="O4292" s="2" t="s">
        <v>869</v>
      </c>
      <c r="P4292" s="2" t="s">
        <v>870</v>
      </c>
    </row>
    <row r="4293" ht="15.75" customHeight="1">
      <c r="H4293" s="2" t="s">
        <v>21385</v>
      </c>
      <c r="I4293" s="2" t="s">
        <v>4027</v>
      </c>
      <c r="J4293" s="2" t="s">
        <v>4028</v>
      </c>
      <c r="L4293" s="2" t="s">
        <v>18345</v>
      </c>
      <c r="M4293" s="2" t="s">
        <v>21386</v>
      </c>
      <c r="N4293" s="2" t="s">
        <v>21387</v>
      </c>
      <c r="O4293" s="2" t="s">
        <v>869</v>
      </c>
      <c r="P4293" s="2" t="s">
        <v>870</v>
      </c>
    </row>
    <row r="4294" ht="15.75" customHeight="1">
      <c r="H4294" s="2" t="s">
        <v>21388</v>
      </c>
      <c r="I4294" s="2" t="s">
        <v>21389</v>
      </c>
      <c r="J4294" s="2" t="s">
        <v>21390</v>
      </c>
      <c r="K4294" s="2" t="s">
        <v>1117</v>
      </c>
      <c r="L4294" s="2" t="s">
        <v>18345</v>
      </c>
      <c r="M4294" s="2" t="s">
        <v>21391</v>
      </c>
      <c r="N4294" s="2" t="s">
        <v>21392</v>
      </c>
      <c r="O4294" s="2" t="s">
        <v>869</v>
      </c>
      <c r="P4294" s="2" t="s">
        <v>870</v>
      </c>
    </row>
    <row r="4295" ht="15.75" customHeight="1">
      <c r="H4295" s="2" t="s">
        <v>21393</v>
      </c>
      <c r="I4295" s="2" t="s">
        <v>4814</v>
      </c>
      <c r="J4295" s="2" t="s">
        <v>4815</v>
      </c>
      <c r="K4295" s="2" t="s">
        <v>1297</v>
      </c>
      <c r="L4295" s="2" t="s">
        <v>18345</v>
      </c>
      <c r="M4295" s="2" t="s">
        <v>21394</v>
      </c>
      <c r="N4295" s="2" t="s">
        <v>21395</v>
      </c>
      <c r="O4295" s="2" t="s">
        <v>869</v>
      </c>
      <c r="P4295" s="2" t="s">
        <v>870</v>
      </c>
    </row>
    <row r="4296" ht="15.75" customHeight="1">
      <c r="H4296" s="2" t="s">
        <v>21396</v>
      </c>
      <c r="I4296" s="2" t="s">
        <v>4584</v>
      </c>
      <c r="J4296" s="2" t="s">
        <v>4585</v>
      </c>
      <c r="L4296" s="2" t="s">
        <v>18345</v>
      </c>
      <c r="M4296" s="2" t="s">
        <v>21397</v>
      </c>
      <c r="N4296" s="2" t="s">
        <v>21398</v>
      </c>
      <c r="O4296" s="2" t="s">
        <v>869</v>
      </c>
      <c r="P4296" s="2" t="s">
        <v>870</v>
      </c>
    </row>
    <row r="4297" ht="15.75" customHeight="1">
      <c r="H4297" s="2" t="s">
        <v>21399</v>
      </c>
      <c r="I4297" s="2" t="s">
        <v>4589</v>
      </c>
      <c r="J4297" s="2" t="s">
        <v>4590</v>
      </c>
      <c r="K4297" s="2" t="s">
        <v>1551</v>
      </c>
      <c r="L4297" s="2" t="s">
        <v>18345</v>
      </c>
      <c r="M4297" s="2" t="s">
        <v>21400</v>
      </c>
      <c r="N4297" s="2" t="s">
        <v>21401</v>
      </c>
      <c r="O4297" s="2" t="s">
        <v>869</v>
      </c>
      <c r="P4297" s="2" t="s">
        <v>870</v>
      </c>
    </row>
    <row r="4298" ht="15.75" customHeight="1">
      <c r="F4298" s="2" t="s">
        <v>755</v>
      </c>
      <c r="H4298" s="2" t="s">
        <v>21402</v>
      </c>
      <c r="I4298" s="2" t="s">
        <v>21403</v>
      </c>
      <c r="J4298" s="2" t="s">
        <v>21404</v>
      </c>
      <c r="K4298" s="2" t="s">
        <v>861</v>
      </c>
      <c r="L4298" s="2" t="s">
        <v>18345</v>
      </c>
      <c r="M4298" s="2" t="s">
        <v>21405</v>
      </c>
      <c r="N4298" s="2" t="s">
        <v>21406</v>
      </c>
      <c r="O4298" s="2" t="s">
        <v>869</v>
      </c>
      <c r="P4298" s="2" t="s">
        <v>870</v>
      </c>
    </row>
    <row r="4299" ht="15.75" customHeight="1">
      <c r="H4299" s="2" t="s">
        <v>21407</v>
      </c>
      <c r="I4299" s="2" t="s">
        <v>16422</v>
      </c>
      <c r="J4299" s="2" t="s">
        <v>16423</v>
      </c>
      <c r="K4299" s="2" t="s">
        <v>1362</v>
      </c>
      <c r="L4299" s="2" t="s">
        <v>18345</v>
      </c>
      <c r="M4299" s="2" t="s">
        <v>21408</v>
      </c>
      <c r="N4299" s="2" t="s">
        <v>21409</v>
      </c>
      <c r="O4299" s="2" t="s">
        <v>869</v>
      </c>
      <c r="P4299" s="2" t="s">
        <v>870</v>
      </c>
    </row>
    <row r="4300" ht="15.75" customHeight="1">
      <c r="H4300" s="2" t="s">
        <v>21410</v>
      </c>
      <c r="I4300" s="2" t="s">
        <v>21043</v>
      </c>
      <c r="J4300" s="2" t="s">
        <v>21044</v>
      </c>
      <c r="K4300" s="2" t="s">
        <v>865</v>
      </c>
      <c r="L4300" s="2" t="s">
        <v>18345</v>
      </c>
      <c r="M4300" s="2" t="s">
        <v>21411</v>
      </c>
      <c r="N4300" s="2" t="s">
        <v>21412</v>
      </c>
      <c r="O4300" s="2" t="s">
        <v>869</v>
      </c>
      <c r="P4300" s="2" t="s">
        <v>870</v>
      </c>
    </row>
    <row r="4301" ht="15.75" customHeight="1">
      <c r="H4301" s="2" t="s">
        <v>21413</v>
      </c>
      <c r="I4301" s="2" t="s">
        <v>21414</v>
      </c>
      <c r="J4301" s="2" t="s">
        <v>21415</v>
      </c>
      <c r="K4301" s="2" t="s">
        <v>1467</v>
      </c>
      <c r="L4301" s="2" t="s">
        <v>18345</v>
      </c>
      <c r="M4301" s="2" t="s">
        <v>21416</v>
      </c>
      <c r="N4301" s="2" t="s">
        <v>21417</v>
      </c>
      <c r="O4301" s="2" t="s">
        <v>869</v>
      </c>
      <c r="P4301" s="2" t="s">
        <v>870</v>
      </c>
    </row>
    <row r="4302" ht="15.75" customHeight="1">
      <c r="H4302" s="2" t="s">
        <v>21418</v>
      </c>
      <c r="I4302" s="2" t="s">
        <v>21419</v>
      </c>
      <c r="J4302" s="2" t="s">
        <v>21420</v>
      </c>
      <c r="K4302" s="2" t="s">
        <v>874</v>
      </c>
      <c r="L4302" s="2" t="s">
        <v>18345</v>
      </c>
      <c r="M4302" s="2" t="s">
        <v>21421</v>
      </c>
      <c r="N4302" s="2" t="s">
        <v>21422</v>
      </c>
      <c r="O4302" s="2" t="s">
        <v>869</v>
      </c>
      <c r="P4302" s="2" t="s">
        <v>870</v>
      </c>
    </row>
    <row r="4303" ht="15.75" customHeight="1">
      <c r="H4303" s="2" t="s">
        <v>21423</v>
      </c>
      <c r="I4303" s="2" t="s">
        <v>21424</v>
      </c>
      <c r="J4303" s="2" t="s">
        <v>21425</v>
      </c>
      <c r="K4303" s="2" t="s">
        <v>1618</v>
      </c>
      <c r="L4303" s="2" t="s">
        <v>18345</v>
      </c>
      <c r="M4303" s="2" t="s">
        <v>21426</v>
      </c>
      <c r="N4303" s="2" t="s">
        <v>21427</v>
      </c>
      <c r="O4303" s="2" t="s">
        <v>869</v>
      </c>
      <c r="P4303" s="2" t="s">
        <v>870</v>
      </c>
    </row>
    <row r="4304" ht="15.75" customHeight="1">
      <c r="H4304" s="2" t="s">
        <v>21428</v>
      </c>
      <c r="I4304" s="2" t="s">
        <v>1629</v>
      </c>
      <c r="J4304" s="2" t="s">
        <v>1630</v>
      </c>
      <c r="K4304" s="2" t="s">
        <v>996</v>
      </c>
      <c r="L4304" s="2" t="s">
        <v>18345</v>
      </c>
      <c r="M4304" s="2" t="s">
        <v>21429</v>
      </c>
      <c r="N4304" s="2" t="s">
        <v>21430</v>
      </c>
      <c r="O4304" s="2" t="s">
        <v>869</v>
      </c>
      <c r="P4304" s="2" t="s">
        <v>870</v>
      </c>
    </row>
    <row r="4305" ht="15.75" customHeight="1">
      <c r="H4305" s="2" t="s">
        <v>21431</v>
      </c>
      <c r="I4305" s="2" t="s">
        <v>21432</v>
      </c>
      <c r="J4305" s="2" t="s">
        <v>21433</v>
      </c>
      <c r="K4305" s="2" t="s">
        <v>880</v>
      </c>
      <c r="L4305" s="2" t="s">
        <v>18345</v>
      </c>
      <c r="M4305" s="2" t="s">
        <v>21434</v>
      </c>
      <c r="N4305" s="2" t="s">
        <v>21435</v>
      </c>
      <c r="O4305" s="2" t="s">
        <v>869</v>
      </c>
      <c r="P4305" s="2" t="s">
        <v>870</v>
      </c>
    </row>
    <row r="4306" ht="15.75" customHeight="1">
      <c r="H4306" s="2" t="s">
        <v>21436</v>
      </c>
      <c r="I4306" s="2" t="s">
        <v>21437</v>
      </c>
      <c r="J4306" s="2" t="s">
        <v>21438</v>
      </c>
      <c r="K4306" s="2" t="s">
        <v>890</v>
      </c>
      <c r="L4306" s="2" t="s">
        <v>18345</v>
      </c>
      <c r="M4306" s="2" t="s">
        <v>21439</v>
      </c>
      <c r="N4306" s="2" t="s">
        <v>21440</v>
      </c>
      <c r="O4306" s="2" t="s">
        <v>869</v>
      </c>
      <c r="P4306" s="2" t="s">
        <v>870</v>
      </c>
    </row>
    <row r="4307" ht="15.75" customHeight="1">
      <c r="H4307" s="2" t="s">
        <v>21441</v>
      </c>
      <c r="I4307" s="2" t="s">
        <v>21442</v>
      </c>
      <c r="J4307" s="2" t="s">
        <v>21443</v>
      </c>
      <c r="K4307" s="2" t="s">
        <v>970</v>
      </c>
      <c r="L4307" s="2" t="s">
        <v>18345</v>
      </c>
      <c r="M4307" s="2" t="s">
        <v>21444</v>
      </c>
      <c r="N4307" s="2" t="s">
        <v>21445</v>
      </c>
      <c r="O4307" s="2" t="s">
        <v>869</v>
      </c>
      <c r="P4307" s="2" t="s">
        <v>870</v>
      </c>
    </row>
    <row r="4308" ht="15.75" customHeight="1">
      <c r="H4308" s="2" t="s">
        <v>21446</v>
      </c>
      <c r="I4308" s="2" t="s">
        <v>21447</v>
      </c>
      <c r="J4308" s="2" t="s">
        <v>21448</v>
      </c>
      <c r="K4308" s="2" t="s">
        <v>1551</v>
      </c>
      <c r="L4308" s="2" t="s">
        <v>18345</v>
      </c>
      <c r="M4308" s="2" t="s">
        <v>21449</v>
      </c>
      <c r="N4308" s="2" t="s">
        <v>21450</v>
      </c>
      <c r="O4308" s="2" t="s">
        <v>869</v>
      </c>
      <c r="P4308" s="2" t="s">
        <v>870</v>
      </c>
    </row>
    <row r="4309" ht="15.75" customHeight="1">
      <c r="H4309" s="2" t="s">
        <v>21451</v>
      </c>
      <c r="I4309" s="2" t="s">
        <v>21452</v>
      </c>
      <c r="J4309" s="2" t="s">
        <v>21453</v>
      </c>
      <c r="K4309" s="2" t="s">
        <v>1007</v>
      </c>
      <c r="L4309" s="2" t="s">
        <v>18345</v>
      </c>
      <c r="M4309" s="2" t="s">
        <v>21454</v>
      </c>
      <c r="N4309" s="2" t="s">
        <v>21455</v>
      </c>
      <c r="O4309" s="2" t="s">
        <v>869</v>
      </c>
      <c r="P4309" s="2" t="s">
        <v>870</v>
      </c>
    </row>
    <row r="4310" ht="15.75" customHeight="1">
      <c r="H4310" s="2" t="s">
        <v>21456</v>
      </c>
      <c r="I4310" s="2" t="s">
        <v>21457</v>
      </c>
      <c r="J4310" s="2" t="s">
        <v>21458</v>
      </c>
      <c r="K4310" s="2" t="s">
        <v>283</v>
      </c>
      <c r="L4310" s="2" t="s">
        <v>18345</v>
      </c>
      <c r="M4310" s="2" t="s">
        <v>21454</v>
      </c>
      <c r="N4310" s="2" t="s">
        <v>21459</v>
      </c>
      <c r="O4310" s="2" t="s">
        <v>869</v>
      </c>
      <c r="P4310" s="2" t="s">
        <v>870</v>
      </c>
    </row>
    <row r="4311" ht="15.75" customHeight="1">
      <c r="H4311" s="2" t="s">
        <v>21460</v>
      </c>
      <c r="I4311" s="2" t="s">
        <v>21461</v>
      </c>
      <c r="J4311" s="2" t="s">
        <v>21462</v>
      </c>
      <c r="K4311" s="2" t="s">
        <v>1508</v>
      </c>
      <c r="L4311" s="2" t="s">
        <v>18345</v>
      </c>
      <c r="M4311" s="2" t="s">
        <v>21463</v>
      </c>
      <c r="N4311" s="2" t="s">
        <v>21406</v>
      </c>
      <c r="O4311" s="2" t="s">
        <v>869</v>
      </c>
      <c r="P4311" s="2" t="s">
        <v>870</v>
      </c>
    </row>
    <row r="4312" ht="15.75" customHeight="1">
      <c r="H4312" s="2" t="s">
        <v>21464</v>
      </c>
      <c r="I4312" s="2" t="s">
        <v>21465</v>
      </c>
      <c r="J4312" s="2" t="s">
        <v>21466</v>
      </c>
      <c r="K4312" s="2" t="s">
        <v>912</v>
      </c>
      <c r="L4312" s="2" t="s">
        <v>18345</v>
      </c>
      <c r="M4312" s="2" t="s">
        <v>21467</v>
      </c>
      <c r="N4312" s="2" t="s">
        <v>21468</v>
      </c>
      <c r="O4312" s="2" t="s">
        <v>869</v>
      </c>
      <c r="P4312" s="2" t="s">
        <v>870</v>
      </c>
    </row>
    <row r="4313" ht="15.75" customHeight="1">
      <c r="H4313" s="2" t="s">
        <v>21469</v>
      </c>
      <c r="I4313" s="2" t="s">
        <v>3538</v>
      </c>
      <c r="J4313" s="2" t="s">
        <v>3539</v>
      </c>
      <c r="K4313" s="2" t="s">
        <v>1567</v>
      </c>
      <c r="L4313" s="2" t="s">
        <v>18345</v>
      </c>
      <c r="M4313" s="2" t="s">
        <v>21470</v>
      </c>
      <c r="N4313" s="2" t="s">
        <v>21471</v>
      </c>
      <c r="O4313" s="2" t="s">
        <v>869</v>
      </c>
      <c r="P4313" s="2" t="s">
        <v>870</v>
      </c>
    </row>
    <row r="4314" ht="15.75" customHeight="1">
      <c r="H4314" s="2" t="s">
        <v>21472</v>
      </c>
      <c r="I4314" s="2" t="s">
        <v>4210</v>
      </c>
      <c r="J4314" s="2" t="s">
        <v>4211</v>
      </c>
      <c r="K4314" s="2" t="s">
        <v>1406</v>
      </c>
      <c r="L4314" s="2" t="s">
        <v>18345</v>
      </c>
      <c r="M4314" s="2" t="s">
        <v>21473</v>
      </c>
      <c r="N4314" s="2" t="s">
        <v>21474</v>
      </c>
      <c r="O4314" s="2" t="s">
        <v>869</v>
      </c>
      <c r="P4314" s="2" t="s">
        <v>870</v>
      </c>
    </row>
    <row r="4315" ht="15.75" customHeight="1">
      <c r="H4315" s="2" t="s">
        <v>21475</v>
      </c>
      <c r="I4315" s="2" t="s">
        <v>18724</v>
      </c>
      <c r="J4315" s="2" t="s">
        <v>18725</v>
      </c>
      <c r="K4315" s="2" t="s">
        <v>1412</v>
      </c>
      <c r="L4315" s="2" t="s">
        <v>18345</v>
      </c>
      <c r="M4315" s="2" t="s">
        <v>21476</v>
      </c>
      <c r="N4315" s="2" t="s">
        <v>21477</v>
      </c>
      <c r="O4315" s="2" t="s">
        <v>869</v>
      </c>
      <c r="P4315" s="2" t="s">
        <v>870</v>
      </c>
    </row>
    <row r="4316" ht="15.75" customHeight="1">
      <c r="H4316" s="2" t="s">
        <v>21478</v>
      </c>
      <c r="I4316" s="2" t="s">
        <v>20579</v>
      </c>
      <c r="J4316" s="2" t="s">
        <v>20580</v>
      </c>
      <c r="K4316" s="2" t="s">
        <v>963</v>
      </c>
      <c r="L4316" s="2" t="s">
        <v>18345</v>
      </c>
      <c r="M4316" s="2" t="s">
        <v>21479</v>
      </c>
      <c r="N4316" s="2" t="s">
        <v>21480</v>
      </c>
      <c r="O4316" s="2" t="s">
        <v>869</v>
      </c>
      <c r="P4316" s="2" t="s">
        <v>870</v>
      </c>
    </row>
    <row r="4317" ht="15.75" customHeight="1">
      <c r="H4317" s="2" t="s">
        <v>21481</v>
      </c>
      <c r="I4317" s="2" t="s">
        <v>21482</v>
      </c>
      <c r="J4317" s="2" t="s">
        <v>21483</v>
      </c>
      <c r="K4317" s="2" t="s">
        <v>1593</v>
      </c>
      <c r="L4317" s="2" t="s">
        <v>18345</v>
      </c>
      <c r="M4317" s="2" t="s">
        <v>21484</v>
      </c>
      <c r="N4317" s="2" t="s">
        <v>21485</v>
      </c>
      <c r="O4317" s="2" t="s">
        <v>869</v>
      </c>
      <c r="P4317" s="2" t="s">
        <v>870</v>
      </c>
    </row>
    <row r="4318" ht="15.75" customHeight="1">
      <c r="H4318" s="2" t="s">
        <v>21486</v>
      </c>
      <c r="I4318" s="2" t="s">
        <v>21487</v>
      </c>
      <c r="J4318" s="2" t="s">
        <v>21488</v>
      </c>
      <c r="K4318" s="2" t="s">
        <v>1038</v>
      </c>
      <c r="L4318" s="2" t="s">
        <v>18345</v>
      </c>
      <c r="M4318" s="2" t="s">
        <v>21489</v>
      </c>
      <c r="N4318" s="2" t="s">
        <v>21490</v>
      </c>
      <c r="O4318" s="2" t="s">
        <v>869</v>
      </c>
      <c r="P4318" s="2" t="s">
        <v>870</v>
      </c>
    </row>
    <row r="4319" ht="15.75" customHeight="1">
      <c r="H4319" s="2" t="s">
        <v>21491</v>
      </c>
      <c r="I4319" s="2" t="s">
        <v>4640</v>
      </c>
      <c r="J4319" s="2" t="s">
        <v>4641</v>
      </c>
      <c r="K4319" s="2" t="s">
        <v>1163</v>
      </c>
      <c r="L4319" s="2" t="s">
        <v>18345</v>
      </c>
      <c r="M4319" s="2" t="s">
        <v>21492</v>
      </c>
      <c r="N4319" s="2" t="s">
        <v>21493</v>
      </c>
      <c r="O4319" s="2" t="s">
        <v>869</v>
      </c>
      <c r="P4319" s="2" t="s">
        <v>870</v>
      </c>
    </row>
    <row r="4320" ht="15.75" customHeight="1">
      <c r="H4320" s="2" t="s">
        <v>21494</v>
      </c>
      <c r="I4320" s="2" t="s">
        <v>21495</v>
      </c>
      <c r="J4320" s="2" t="s">
        <v>21496</v>
      </c>
      <c r="K4320" s="2" t="s">
        <v>1169</v>
      </c>
      <c r="L4320" s="2" t="s">
        <v>18345</v>
      </c>
      <c r="M4320" s="2" t="s">
        <v>21497</v>
      </c>
      <c r="N4320" s="2" t="s">
        <v>21498</v>
      </c>
      <c r="O4320" s="2" t="s">
        <v>869</v>
      </c>
      <c r="P4320" s="2" t="s">
        <v>870</v>
      </c>
    </row>
    <row r="4321" ht="15.75" customHeight="1">
      <c r="H4321" s="2" t="s">
        <v>21499</v>
      </c>
      <c r="I4321" s="2" t="s">
        <v>757</v>
      </c>
      <c r="J4321" s="2" t="s">
        <v>758</v>
      </c>
      <c r="K4321" s="2" t="s">
        <v>1181</v>
      </c>
      <c r="L4321" s="2" t="s">
        <v>21500</v>
      </c>
      <c r="M4321" s="2" t="s">
        <v>21501</v>
      </c>
      <c r="N4321" s="2" t="s">
        <v>21502</v>
      </c>
      <c r="O4321" s="2" t="s">
        <v>869</v>
      </c>
      <c r="P4321" s="2" t="s">
        <v>870</v>
      </c>
    </row>
    <row r="4322" ht="15.75" customHeight="1">
      <c r="H4322" s="2" t="s">
        <v>21503</v>
      </c>
      <c r="I4322" s="2" t="s">
        <v>21504</v>
      </c>
      <c r="J4322" s="2" t="s">
        <v>21505</v>
      </c>
      <c r="K4322" s="2" t="s">
        <v>1297</v>
      </c>
      <c r="L4322" s="2" t="s">
        <v>18345</v>
      </c>
      <c r="M4322" s="2" t="s">
        <v>21506</v>
      </c>
      <c r="N4322" s="2" t="s">
        <v>21507</v>
      </c>
      <c r="O4322" s="2" t="s">
        <v>869</v>
      </c>
      <c r="P4322" s="2" t="s">
        <v>870</v>
      </c>
    </row>
    <row r="4323" ht="15.75" customHeight="1">
      <c r="H4323" s="2" t="s">
        <v>21508</v>
      </c>
      <c r="I4323" s="2" t="s">
        <v>21509</v>
      </c>
      <c r="J4323" s="2" t="s">
        <v>21510</v>
      </c>
      <c r="K4323" s="2" t="s">
        <v>3298</v>
      </c>
      <c r="L4323" s="2" t="s">
        <v>18345</v>
      </c>
      <c r="M4323" s="2" t="s">
        <v>21506</v>
      </c>
      <c r="N4323" s="2" t="s">
        <v>21511</v>
      </c>
      <c r="O4323" s="2" t="s">
        <v>869</v>
      </c>
      <c r="P4323" s="2" t="s">
        <v>870</v>
      </c>
    </row>
    <row r="4324" ht="15.75" customHeight="1">
      <c r="H4324" s="2" t="s">
        <v>21512</v>
      </c>
      <c r="I4324" s="2" t="s">
        <v>16434</v>
      </c>
      <c r="J4324" s="2" t="s">
        <v>16435</v>
      </c>
      <c r="K4324" s="2" t="s">
        <v>1624</v>
      </c>
      <c r="L4324" s="2" t="s">
        <v>18345</v>
      </c>
      <c r="M4324" s="2" t="s">
        <v>21513</v>
      </c>
      <c r="N4324" s="2" t="s">
        <v>21514</v>
      </c>
      <c r="O4324" s="2" t="s">
        <v>869</v>
      </c>
      <c r="P4324" s="2" t="s">
        <v>870</v>
      </c>
    </row>
    <row r="4325" ht="15.75" customHeight="1">
      <c r="H4325" s="2" t="s">
        <v>21515</v>
      </c>
      <c r="I4325" s="2" t="s">
        <v>21516</v>
      </c>
      <c r="J4325" s="2" t="s">
        <v>21517</v>
      </c>
      <c r="K4325" s="2" t="s">
        <v>1981</v>
      </c>
      <c r="L4325" s="2" t="s">
        <v>18345</v>
      </c>
      <c r="M4325" s="2" t="s">
        <v>21518</v>
      </c>
      <c r="N4325" s="2" t="s">
        <v>21519</v>
      </c>
      <c r="O4325" s="2" t="s">
        <v>869</v>
      </c>
      <c r="P4325" s="2" t="s">
        <v>870</v>
      </c>
    </row>
    <row r="4326" ht="15.75" customHeight="1">
      <c r="F4326" s="2" t="s">
        <v>4677</v>
      </c>
      <c r="H4326" s="2" t="s">
        <v>21520</v>
      </c>
      <c r="I4326" s="2" t="s">
        <v>4689</v>
      </c>
      <c r="J4326" s="2" t="s">
        <v>4690</v>
      </c>
      <c r="K4326" s="2" t="s">
        <v>865</v>
      </c>
      <c r="L4326" s="2" t="s">
        <v>18345</v>
      </c>
      <c r="M4326" s="2" t="s">
        <v>21521</v>
      </c>
      <c r="N4326" s="2" t="s">
        <v>21522</v>
      </c>
      <c r="O4326" s="2" t="s">
        <v>869</v>
      </c>
      <c r="P4326" s="2" t="s">
        <v>870</v>
      </c>
    </row>
    <row r="4327" ht="15.75" customHeight="1">
      <c r="H4327" s="2" t="s">
        <v>21523</v>
      </c>
      <c r="I4327" s="2" t="s">
        <v>21524</v>
      </c>
      <c r="J4327" s="2" t="s">
        <v>21524</v>
      </c>
      <c r="K4327" s="2" t="s">
        <v>1878</v>
      </c>
    </row>
    <row r="4328" ht="15.75" customHeight="1">
      <c r="F4328" s="2" t="s">
        <v>764</v>
      </c>
      <c r="H4328" s="2" t="s">
        <v>21525</v>
      </c>
      <c r="I4328" s="2" t="s">
        <v>4699</v>
      </c>
      <c r="J4328" s="2" t="s">
        <v>4700</v>
      </c>
      <c r="K4328" s="2" t="s">
        <v>859</v>
      </c>
      <c r="L4328" s="2" t="s">
        <v>18345</v>
      </c>
      <c r="M4328" s="2" t="s">
        <v>21526</v>
      </c>
      <c r="N4328" s="2" t="s">
        <v>21527</v>
      </c>
      <c r="O4328" s="2" t="s">
        <v>869</v>
      </c>
      <c r="P4328" s="2" t="s">
        <v>870</v>
      </c>
    </row>
    <row r="4329" ht="15.75" customHeight="1">
      <c r="H4329" s="2" t="s">
        <v>21528</v>
      </c>
      <c r="I4329" s="2" t="s">
        <v>21529</v>
      </c>
      <c r="J4329" s="2" t="s">
        <v>21530</v>
      </c>
      <c r="K4329" s="2" t="s">
        <v>280</v>
      </c>
      <c r="L4329" s="2" t="s">
        <v>18345</v>
      </c>
      <c r="M4329" s="2" t="s">
        <v>21531</v>
      </c>
      <c r="N4329" s="2" t="s">
        <v>21532</v>
      </c>
      <c r="O4329" s="2" t="s">
        <v>869</v>
      </c>
      <c r="P4329" s="2" t="s">
        <v>870</v>
      </c>
    </row>
    <row r="4330" ht="15.75" customHeight="1">
      <c r="H4330" s="2" t="s">
        <v>21533</v>
      </c>
      <c r="I4330" s="2" t="s">
        <v>21534</v>
      </c>
      <c r="J4330" s="2" t="s">
        <v>21535</v>
      </c>
      <c r="K4330" s="2" t="s">
        <v>1288</v>
      </c>
      <c r="L4330" s="2" t="s">
        <v>18345</v>
      </c>
      <c r="M4330" s="2" t="s">
        <v>21536</v>
      </c>
      <c r="N4330" s="2" t="s">
        <v>21537</v>
      </c>
      <c r="O4330" s="2" t="s">
        <v>869</v>
      </c>
      <c r="P4330" s="2" t="s">
        <v>870</v>
      </c>
    </row>
    <row r="4331" ht="15.75" customHeight="1">
      <c r="H4331" s="2" t="s">
        <v>21538</v>
      </c>
      <c r="I4331" s="2" t="s">
        <v>21539</v>
      </c>
      <c r="J4331" s="2" t="s">
        <v>21540</v>
      </c>
      <c r="K4331" s="2" t="s">
        <v>880</v>
      </c>
      <c r="L4331" s="2" t="s">
        <v>18345</v>
      </c>
      <c r="M4331" s="2" t="s">
        <v>21541</v>
      </c>
      <c r="N4331" s="2" t="s">
        <v>21542</v>
      </c>
      <c r="O4331" s="2" t="s">
        <v>869</v>
      </c>
      <c r="P4331" s="2" t="s">
        <v>870</v>
      </c>
    </row>
    <row r="4332" ht="15.75" customHeight="1">
      <c r="H4332" s="2" t="s">
        <v>21543</v>
      </c>
      <c r="I4332" s="2" t="s">
        <v>21544</v>
      </c>
      <c r="J4332" s="2" t="s">
        <v>21545</v>
      </c>
      <c r="K4332" s="2" t="s">
        <v>886</v>
      </c>
      <c r="L4332" s="2" t="s">
        <v>18345</v>
      </c>
      <c r="M4332" s="2" t="s">
        <v>21546</v>
      </c>
      <c r="N4332" s="2" t="s">
        <v>21547</v>
      </c>
      <c r="O4332" s="2" t="s">
        <v>869</v>
      </c>
      <c r="P4332" s="2" t="s">
        <v>870</v>
      </c>
    </row>
    <row r="4333" ht="15.75" customHeight="1">
      <c r="H4333" s="2" t="s">
        <v>21548</v>
      </c>
      <c r="I4333" s="2" t="s">
        <v>21549</v>
      </c>
      <c r="J4333" s="2" t="s">
        <v>21550</v>
      </c>
      <c r="K4333" s="2" t="s">
        <v>1128</v>
      </c>
      <c r="L4333" s="2" t="s">
        <v>18345</v>
      </c>
      <c r="M4333" s="2" t="s">
        <v>21551</v>
      </c>
      <c r="N4333" s="2" t="s">
        <v>21552</v>
      </c>
      <c r="O4333" s="2" t="s">
        <v>869</v>
      </c>
      <c r="P4333" s="2" t="s">
        <v>870</v>
      </c>
    </row>
    <row r="4334" ht="15.75" customHeight="1">
      <c r="H4334" s="2" t="s">
        <v>21553</v>
      </c>
      <c r="I4334" s="2" t="s">
        <v>21554</v>
      </c>
      <c r="J4334" s="2" t="s">
        <v>21555</v>
      </c>
      <c r="K4334" s="2" t="s">
        <v>1136</v>
      </c>
      <c r="L4334" s="2" t="s">
        <v>18345</v>
      </c>
      <c r="M4334" s="2" t="s">
        <v>21556</v>
      </c>
      <c r="N4334" s="2" t="s">
        <v>21557</v>
      </c>
      <c r="O4334" s="2" t="s">
        <v>869</v>
      </c>
      <c r="P4334" s="2" t="s">
        <v>870</v>
      </c>
    </row>
    <row r="4335" ht="15.75" customHeight="1">
      <c r="H4335" s="2" t="s">
        <v>21558</v>
      </c>
      <c r="I4335" s="2" t="s">
        <v>8579</v>
      </c>
      <c r="J4335" s="2" t="s">
        <v>8580</v>
      </c>
      <c r="K4335" s="2" t="s">
        <v>1508</v>
      </c>
      <c r="L4335" s="2" t="s">
        <v>18345</v>
      </c>
      <c r="M4335" s="2" t="s">
        <v>21559</v>
      </c>
      <c r="N4335" s="2" t="s">
        <v>21560</v>
      </c>
      <c r="O4335" s="2" t="s">
        <v>869</v>
      </c>
      <c r="P4335" s="2" t="s">
        <v>870</v>
      </c>
    </row>
    <row r="4336" ht="15.75" customHeight="1">
      <c r="H4336" s="2" t="s">
        <v>21561</v>
      </c>
      <c r="I4336" s="2" t="s">
        <v>21562</v>
      </c>
      <c r="J4336" s="2" t="s">
        <v>21563</v>
      </c>
      <c r="K4336" s="2" t="s">
        <v>1141</v>
      </c>
      <c r="L4336" s="2" t="s">
        <v>18345</v>
      </c>
      <c r="M4336" s="2" t="s">
        <v>21564</v>
      </c>
      <c r="N4336" s="2" t="s">
        <v>21565</v>
      </c>
      <c r="O4336" s="2" t="s">
        <v>869</v>
      </c>
      <c r="P4336" s="2" t="s">
        <v>870</v>
      </c>
    </row>
    <row r="4337" ht="15.75" customHeight="1">
      <c r="H4337" s="2" t="s">
        <v>21566</v>
      </c>
      <c r="I4337" s="2" t="s">
        <v>21567</v>
      </c>
      <c r="J4337" s="2" t="s">
        <v>21568</v>
      </c>
      <c r="L4337" s="2" t="s">
        <v>18345</v>
      </c>
      <c r="M4337" s="2" t="s">
        <v>21569</v>
      </c>
      <c r="N4337" s="2" t="s">
        <v>21570</v>
      </c>
      <c r="O4337" s="2" t="s">
        <v>869</v>
      </c>
      <c r="P4337" s="2" t="s">
        <v>870</v>
      </c>
    </row>
    <row r="4338" ht="15.75" customHeight="1">
      <c r="H4338" s="2" t="s">
        <v>21571</v>
      </c>
      <c r="I4338" s="2" t="s">
        <v>766</v>
      </c>
      <c r="J4338" s="2" t="s">
        <v>767</v>
      </c>
      <c r="K4338" s="2" t="s">
        <v>1952</v>
      </c>
      <c r="L4338" s="2" t="s">
        <v>21572</v>
      </c>
      <c r="M4338" s="2" t="s">
        <v>21573</v>
      </c>
      <c r="N4338" s="2" t="s">
        <v>21574</v>
      </c>
      <c r="O4338" s="2" t="s">
        <v>869</v>
      </c>
      <c r="P4338" s="2" t="s">
        <v>870</v>
      </c>
    </row>
    <row r="4339" ht="15.75" customHeight="1">
      <c r="H4339" s="2" t="s">
        <v>21575</v>
      </c>
      <c r="I4339" s="2" t="s">
        <v>21576</v>
      </c>
      <c r="J4339" s="2" t="s">
        <v>21577</v>
      </c>
      <c r="K4339" s="2" t="s">
        <v>1433</v>
      </c>
      <c r="L4339" s="2" t="s">
        <v>18345</v>
      </c>
      <c r="M4339" s="2" t="s">
        <v>21578</v>
      </c>
      <c r="N4339" s="2" t="s">
        <v>21579</v>
      </c>
      <c r="O4339" s="2" t="s">
        <v>869</v>
      </c>
      <c r="P4339" s="2" t="s">
        <v>870</v>
      </c>
    </row>
    <row r="4340" ht="15.75" customHeight="1">
      <c r="H4340" s="2" t="s">
        <v>21580</v>
      </c>
      <c r="I4340" s="2" t="s">
        <v>21581</v>
      </c>
      <c r="J4340" s="2" t="s">
        <v>21582</v>
      </c>
      <c r="K4340" s="2" t="s">
        <v>1163</v>
      </c>
      <c r="L4340" s="2" t="s">
        <v>18345</v>
      </c>
      <c r="M4340" s="2" t="s">
        <v>21583</v>
      </c>
      <c r="N4340" s="2" t="s">
        <v>21584</v>
      </c>
      <c r="O4340" s="2" t="s">
        <v>869</v>
      </c>
      <c r="P4340" s="2" t="s">
        <v>870</v>
      </c>
    </row>
    <row r="4341" ht="15.75" customHeight="1">
      <c r="H4341" s="2" t="s">
        <v>21585</v>
      </c>
      <c r="I4341" s="2" t="s">
        <v>17156</v>
      </c>
      <c r="J4341" s="2" t="s">
        <v>17157</v>
      </c>
      <c r="K4341" s="2" t="s">
        <v>1027</v>
      </c>
      <c r="L4341" s="2" t="s">
        <v>18345</v>
      </c>
      <c r="M4341" s="2" t="s">
        <v>21586</v>
      </c>
      <c r="N4341" s="2" t="s">
        <v>21587</v>
      </c>
      <c r="O4341" s="2" t="s">
        <v>869</v>
      </c>
      <c r="P4341" s="2" t="s">
        <v>870</v>
      </c>
    </row>
    <row r="4342" ht="15.75" customHeight="1">
      <c r="F4342" s="2" t="s">
        <v>773</v>
      </c>
      <c r="H4342" s="2" t="s">
        <v>21588</v>
      </c>
      <c r="I4342" s="2" t="s">
        <v>21589</v>
      </c>
      <c r="J4342" s="2" t="s">
        <v>21590</v>
      </c>
      <c r="K4342" s="2" t="s">
        <v>859</v>
      </c>
      <c r="L4342" s="2" t="s">
        <v>18345</v>
      </c>
      <c r="M4342" s="2" t="s">
        <v>21591</v>
      </c>
      <c r="N4342" s="2" t="s">
        <v>21592</v>
      </c>
      <c r="O4342" s="2" t="s">
        <v>869</v>
      </c>
      <c r="P4342" s="2" t="s">
        <v>870</v>
      </c>
    </row>
    <row r="4343" ht="15.75" customHeight="1">
      <c r="H4343" s="2" t="s">
        <v>21593</v>
      </c>
      <c r="I4343" s="2" t="s">
        <v>21594</v>
      </c>
      <c r="J4343" s="2" t="s">
        <v>21595</v>
      </c>
      <c r="K4343" s="2" t="s">
        <v>861</v>
      </c>
      <c r="L4343" s="2" t="s">
        <v>18345</v>
      </c>
      <c r="M4343" s="2" t="s">
        <v>21596</v>
      </c>
      <c r="N4343" s="2" t="s">
        <v>21597</v>
      </c>
      <c r="O4343" s="2" t="s">
        <v>869</v>
      </c>
      <c r="P4343" s="2" t="s">
        <v>870</v>
      </c>
    </row>
    <row r="4344" ht="15.75" customHeight="1">
      <c r="H4344" s="2" t="s">
        <v>21598</v>
      </c>
      <c r="I4344" s="2" t="s">
        <v>21599</v>
      </c>
      <c r="J4344" s="2" t="s">
        <v>21600</v>
      </c>
      <c r="K4344" s="2" t="s">
        <v>853</v>
      </c>
      <c r="L4344" s="2" t="s">
        <v>18345</v>
      </c>
      <c r="M4344" s="2" t="s">
        <v>21601</v>
      </c>
      <c r="N4344" s="2" t="s">
        <v>21602</v>
      </c>
      <c r="O4344" s="2" t="s">
        <v>869</v>
      </c>
      <c r="P4344" s="2" t="s">
        <v>870</v>
      </c>
    </row>
    <row r="4345" ht="15.75" customHeight="1">
      <c r="H4345" s="2" t="s">
        <v>21603</v>
      </c>
      <c r="I4345" s="2" t="s">
        <v>21604</v>
      </c>
      <c r="J4345" s="2" t="s">
        <v>21605</v>
      </c>
      <c r="K4345" s="2" t="s">
        <v>1061</v>
      </c>
      <c r="L4345" s="2" t="s">
        <v>18345</v>
      </c>
      <c r="M4345" s="2" t="s">
        <v>21606</v>
      </c>
      <c r="N4345" s="2" t="s">
        <v>21607</v>
      </c>
      <c r="O4345" s="2" t="s">
        <v>869</v>
      </c>
      <c r="P4345" s="2" t="s">
        <v>870</v>
      </c>
    </row>
    <row r="4346" ht="15.75" customHeight="1">
      <c r="H4346" s="2" t="s">
        <v>21608</v>
      </c>
      <c r="I4346" s="2" t="s">
        <v>21609</v>
      </c>
      <c r="J4346" s="2" t="s">
        <v>21610</v>
      </c>
      <c r="K4346" s="2" t="s">
        <v>1878</v>
      </c>
      <c r="L4346" s="2" t="s">
        <v>18345</v>
      </c>
      <c r="M4346" s="2" t="s">
        <v>21611</v>
      </c>
      <c r="N4346" s="2" t="s">
        <v>21612</v>
      </c>
      <c r="O4346" s="2" t="s">
        <v>869</v>
      </c>
      <c r="P4346" s="2" t="s">
        <v>870</v>
      </c>
    </row>
    <row r="4347" ht="15.75" customHeight="1">
      <c r="H4347" s="2" t="s">
        <v>21613</v>
      </c>
      <c r="I4347" s="2" t="s">
        <v>3110</v>
      </c>
      <c r="J4347" s="2" t="s">
        <v>3111</v>
      </c>
      <c r="K4347" s="2" t="s">
        <v>880</v>
      </c>
      <c r="L4347" s="2" t="s">
        <v>18345</v>
      </c>
      <c r="M4347" s="2" t="s">
        <v>21614</v>
      </c>
      <c r="N4347" s="2" t="s">
        <v>21615</v>
      </c>
      <c r="O4347" s="2" t="s">
        <v>869</v>
      </c>
      <c r="P4347" s="2" t="s">
        <v>870</v>
      </c>
    </row>
    <row r="4348" ht="15.75" customHeight="1">
      <c r="H4348" s="2" t="s">
        <v>21616</v>
      </c>
      <c r="I4348" s="2" t="s">
        <v>4790</v>
      </c>
      <c r="J4348" s="2" t="s">
        <v>4791</v>
      </c>
      <c r="K4348" s="2" t="s">
        <v>906</v>
      </c>
      <c r="L4348" s="2" t="s">
        <v>18345</v>
      </c>
      <c r="M4348" s="2" t="s">
        <v>4792</v>
      </c>
      <c r="N4348" s="2" t="s">
        <v>21617</v>
      </c>
      <c r="O4348" s="2" t="s">
        <v>869</v>
      </c>
      <c r="P4348" s="2" t="s">
        <v>870</v>
      </c>
    </row>
    <row r="4349" ht="15.75" customHeight="1">
      <c r="H4349" s="2" t="s">
        <v>21618</v>
      </c>
      <c r="I4349" s="2" t="s">
        <v>775</v>
      </c>
      <c r="J4349" s="2" t="s">
        <v>776</v>
      </c>
      <c r="K4349" s="2" t="s">
        <v>918</v>
      </c>
      <c r="L4349" s="2" t="s">
        <v>18345</v>
      </c>
      <c r="M4349" s="2" t="s">
        <v>21619</v>
      </c>
      <c r="N4349" s="2" t="s">
        <v>21620</v>
      </c>
      <c r="O4349" s="2" t="s">
        <v>869</v>
      </c>
      <c r="P4349" s="2" t="s">
        <v>870</v>
      </c>
    </row>
    <row r="4350" ht="15.75" customHeight="1">
      <c r="H4350" s="2" t="s">
        <v>21621</v>
      </c>
      <c r="I4350" s="2" t="s">
        <v>21622</v>
      </c>
      <c r="J4350" s="2" t="s">
        <v>21623</v>
      </c>
      <c r="K4350" s="2" t="s">
        <v>900</v>
      </c>
      <c r="L4350" s="2" t="s">
        <v>18345</v>
      </c>
      <c r="M4350" s="2" t="s">
        <v>21624</v>
      </c>
      <c r="N4350" s="2" t="s">
        <v>21625</v>
      </c>
      <c r="O4350" s="2" t="s">
        <v>869</v>
      </c>
      <c r="P4350" s="2" t="s">
        <v>870</v>
      </c>
    </row>
    <row r="4351" ht="15.75" customHeight="1">
      <c r="H4351" s="2" t="s">
        <v>21626</v>
      </c>
      <c r="I4351" s="2" t="s">
        <v>21627</v>
      </c>
      <c r="J4351" s="2" t="s">
        <v>21628</v>
      </c>
      <c r="K4351" s="2" t="s">
        <v>1313</v>
      </c>
      <c r="L4351" s="2" t="s">
        <v>18345</v>
      </c>
      <c r="M4351" s="2" t="s">
        <v>21629</v>
      </c>
      <c r="N4351" s="2" t="s">
        <v>21630</v>
      </c>
      <c r="O4351" s="2" t="s">
        <v>869</v>
      </c>
      <c r="P4351" s="2" t="s">
        <v>870</v>
      </c>
    </row>
    <row r="4352" ht="15.75" customHeight="1">
      <c r="H4352" s="2" t="s">
        <v>21631</v>
      </c>
      <c r="I4352" s="2" t="s">
        <v>4798</v>
      </c>
      <c r="J4352" s="2" t="s">
        <v>4799</v>
      </c>
      <c r="K4352" s="2" t="s">
        <v>1141</v>
      </c>
      <c r="L4352" s="2" t="s">
        <v>18345</v>
      </c>
      <c r="M4352" s="2" t="s">
        <v>21632</v>
      </c>
      <c r="N4352" s="2" t="s">
        <v>21633</v>
      </c>
      <c r="O4352" s="2" t="s">
        <v>869</v>
      </c>
      <c r="P4352" s="2" t="s">
        <v>870</v>
      </c>
    </row>
    <row r="4353" ht="15.75" customHeight="1">
      <c r="H4353" s="2" t="s">
        <v>21634</v>
      </c>
      <c r="I4353" s="2" t="s">
        <v>21635</v>
      </c>
      <c r="J4353" s="2" t="s">
        <v>21636</v>
      </c>
      <c r="K4353" s="2" t="s">
        <v>924</v>
      </c>
      <c r="L4353" s="2" t="s">
        <v>18345</v>
      </c>
      <c r="M4353" s="2" t="s">
        <v>21637</v>
      </c>
      <c r="N4353" s="2" t="s">
        <v>21638</v>
      </c>
      <c r="O4353" s="2" t="s">
        <v>869</v>
      </c>
      <c r="P4353" s="2" t="s">
        <v>870</v>
      </c>
    </row>
    <row r="4354" ht="15.75" customHeight="1">
      <c r="H4354" s="2" t="s">
        <v>21639</v>
      </c>
      <c r="I4354" s="2" t="s">
        <v>11176</v>
      </c>
      <c r="J4354" s="2" t="s">
        <v>11177</v>
      </c>
      <c r="L4354" s="2" t="s">
        <v>18345</v>
      </c>
      <c r="M4354" s="2" t="s">
        <v>21640</v>
      </c>
      <c r="N4354" s="2" t="s">
        <v>869</v>
      </c>
      <c r="O4354" s="2" t="s">
        <v>870</v>
      </c>
    </row>
    <row r="4355" ht="15.75" customHeight="1">
      <c r="H4355" s="2" t="s">
        <v>21641</v>
      </c>
      <c r="I4355" s="2" t="s">
        <v>21642</v>
      </c>
      <c r="J4355" s="2" t="s">
        <v>21643</v>
      </c>
      <c r="K4355" s="2" t="s">
        <v>1406</v>
      </c>
      <c r="L4355" s="2" t="s">
        <v>18345</v>
      </c>
      <c r="M4355" s="2" t="s">
        <v>21644</v>
      </c>
      <c r="N4355" s="2" t="s">
        <v>21645</v>
      </c>
      <c r="O4355" s="2" t="s">
        <v>869</v>
      </c>
      <c r="P4355" s="2" t="s">
        <v>870</v>
      </c>
    </row>
    <row r="4356" ht="15.75" customHeight="1">
      <c r="F4356" s="2" t="s">
        <v>4802</v>
      </c>
      <c r="H4356" s="2" t="s">
        <v>21646</v>
      </c>
      <c r="I4356" s="2" t="s">
        <v>11182</v>
      </c>
      <c r="J4356" s="2" t="s">
        <v>11183</v>
      </c>
      <c r="K4356" s="2" t="s">
        <v>853</v>
      </c>
      <c r="L4356" s="2" t="s">
        <v>18345</v>
      </c>
      <c r="M4356" s="2" t="s">
        <v>21647</v>
      </c>
      <c r="N4356" s="2" t="s">
        <v>21648</v>
      </c>
      <c r="O4356" s="2" t="s">
        <v>869</v>
      </c>
      <c r="P4356" s="2" t="s">
        <v>870</v>
      </c>
    </row>
    <row r="4357" ht="15.75" customHeight="1">
      <c r="H4357" s="2" t="s">
        <v>21649</v>
      </c>
      <c r="I4357" s="2" t="s">
        <v>21650</v>
      </c>
      <c r="J4357" s="2" t="s">
        <v>21651</v>
      </c>
      <c r="K4357" s="2" t="s">
        <v>947</v>
      </c>
      <c r="L4357" s="2" t="s">
        <v>18345</v>
      </c>
      <c r="M4357" s="2" t="s">
        <v>21652</v>
      </c>
      <c r="N4357" s="2" t="s">
        <v>21653</v>
      </c>
      <c r="O4357" s="2" t="s">
        <v>869</v>
      </c>
      <c r="P4357" s="2" t="s">
        <v>870</v>
      </c>
    </row>
    <row r="4358" ht="15.75" customHeight="1">
      <c r="H4358" s="2" t="s">
        <v>21654</v>
      </c>
      <c r="I4358" s="2" t="s">
        <v>4804</v>
      </c>
      <c r="J4358" s="2" t="s">
        <v>4805</v>
      </c>
      <c r="K4358" s="2" t="s">
        <v>1061</v>
      </c>
      <c r="L4358" s="2" t="s">
        <v>18345</v>
      </c>
      <c r="M4358" s="2" t="s">
        <v>21655</v>
      </c>
      <c r="N4358" s="2" t="s">
        <v>21656</v>
      </c>
      <c r="O4358" s="2" t="s">
        <v>869</v>
      </c>
      <c r="P4358" s="2" t="s">
        <v>870</v>
      </c>
    </row>
    <row r="4359" ht="15.75" customHeight="1">
      <c r="H4359" s="2" t="s">
        <v>21657</v>
      </c>
      <c r="I4359" s="2" t="s">
        <v>21658</v>
      </c>
      <c r="J4359" s="2" t="s">
        <v>21659</v>
      </c>
      <c r="K4359" s="2" t="s">
        <v>865</v>
      </c>
      <c r="L4359" s="2" t="s">
        <v>18345</v>
      </c>
      <c r="M4359" s="2" t="s">
        <v>21660</v>
      </c>
      <c r="N4359" s="2" t="s">
        <v>21661</v>
      </c>
      <c r="O4359" s="2" t="s">
        <v>869</v>
      </c>
      <c r="P4359" s="2" t="s">
        <v>870</v>
      </c>
    </row>
    <row r="4360" ht="15.75" customHeight="1">
      <c r="H4360" s="2" t="s">
        <v>21662</v>
      </c>
      <c r="I4360" s="2" t="s">
        <v>4819</v>
      </c>
      <c r="J4360" s="2" t="s">
        <v>4820</v>
      </c>
      <c r="K4360" s="2" t="s">
        <v>880</v>
      </c>
      <c r="L4360" s="2" t="s">
        <v>18345</v>
      </c>
      <c r="M4360" s="2" t="s">
        <v>21663</v>
      </c>
      <c r="N4360" s="2" t="s">
        <v>21664</v>
      </c>
      <c r="O4360" s="2" t="s">
        <v>869</v>
      </c>
      <c r="P4360" s="2" t="s">
        <v>870</v>
      </c>
    </row>
    <row r="4361" ht="15.75" customHeight="1">
      <c r="F4361" s="2" t="s">
        <v>4825</v>
      </c>
      <c r="H4361" s="2" t="s">
        <v>21665</v>
      </c>
      <c r="I4361" s="2" t="s">
        <v>21666</v>
      </c>
      <c r="J4361" s="2" t="s">
        <v>21667</v>
      </c>
      <c r="K4361" s="2" t="s">
        <v>853</v>
      </c>
      <c r="L4361" s="2" t="s">
        <v>18345</v>
      </c>
      <c r="M4361" s="2" t="s">
        <v>21668</v>
      </c>
      <c r="N4361" s="2" t="s">
        <v>21669</v>
      </c>
      <c r="O4361" s="2" t="s">
        <v>869</v>
      </c>
      <c r="P4361" s="2" t="s">
        <v>870</v>
      </c>
    </row>
    <row r="4362" ht="15.75" customHeight="1">
      <c r="H4362" s="2" t="s">
        <v>21670</v>
      </c>
      <c r="I4362" s="2" t="s">
        <v>11308</v>
      </c>
      <c r="J4362" s="2" t="s">
        <v>11309</v>
      </c>
      <c r="K4362" s="2" t="s">
        <v>277</v>
      </c>
      <c r="L4362" s="2" t="s">
        <v>18345</v>
      </c>
      <c r="M4362" s="2" t="s">
        <v>21671</v>
      </c>
      <c r="N4362" s="2" t="s">
        <v>21672</v>
      </c>
      <c r="O4362" s="2" t="s">
        <v>869</v>
      </c>
      <c r="P4362" s="2" t="s">
        <v>870</v>
      </c>
    </row>
    <row r="4363" ht="15.75" customHeight="1">
      <c r="H4363" s="2" t="s">
        <v>21673</v>
      </c>
      <c r="I4363" s="2" t="s">
        <v>21674</v>
      </c>
      <c r="J4363" s="2" t="s">
        <v>21675</v>
      </c>
      <c r="K4363" s="2" t="s">
        <v>1362</v>
      </c>
      <c r="L4363" s="2" t="s">
        <v>18345</v>
      </c>
      <c r="M4363" s="2" t="s">
        <v>21676</v>
      </c>
      <c r="N4363" s="2" t="s">
        <v>21677</v>
      </c>
      <c r="O4363" s="2" t="s">
        <v>869</v>
      </c>
      <c r="P4363" s="2" t="s">
        <v>870</v>
      </c>
    </row>
    <row r="4364" ht="15.75" customHeight="1">
      <c r="H4364" s="2" t="s">
        <v>21678</v>
      </c>
      <c r="I4364" s="2" t="s">
        <v>21679</v>
      </c>
      <c r="J4364" s="2" t="s">
        <v>21679</v>
      </c>
      <c r="K4364" s="2" t="s">
        <v>1368</v>
      </c>
    </row>
    <row r="4365" ht="15.75" customHeight="1">
      <c r="H4365" s="2" t="s">
        <v>21680</v>
      </c>
      <c r="I4365" s="2" t="s">
        <v>1215</v>
      </c>
      <c r="J4365" s="2" t="s">
        <v>1216</v>
      </c>
      <c r="K4365" s="2" t="s">
        <v>880</v>
      </c>
      <c r="L4365" s="2" t="s">
        <v>18345</v>
      </c>
      <c r="M4365" s="2" t="s">
        <v>21681</v>
      </c>
      <c r="N4365" s="2" t="s">
        <v>21682</v>
      </c>
      <c r="O4365" s="2" t="s">
        <v>869</v>
      </c>
      <c r="P4365" s="2" t="s">
        <v>870</v>
      </c>
    </row>
    <row r="4366" ht="15.75" customHeight="1">
      <c r="F4366" s="2" t="s">
        <v>782</v>
      </c>
      <c r="H4366" s="2" t="s">
        <v>21683</v>
      </c>
      <c r="I4366" s="2" t="s">
        <v>21684</v>
      </c>
      <c r="J4366" s="2" t="s">
        <v>21685</v>
      </c>
      <c r="K4366" s="2" t="s">
        <v>859</v>
      </c>
      <c r="L4366" s="2" t="s">
        <v>18345</v>
      </c>
      <c r="M4366" s="2" t="s">
        <v>21686</v>
      </c>
      <c r="N4366" s="2" t="s">
        <v>21687</v>
      </c>
      <c r="O4366" s="2" t="s">
        <v>869</v>
      </c>
      <c r="P4366" s="2" t="s">
        <v>870</v>
      </c>
    </row>
    <row r="4367" ht="15.75" customHeight="1">
      <c r="H4367" s="2" t="s">
        <v>21688</v>
      </c>
      <c r="I4367" s="2" t="s">
        <v>21689</v>
      </c>
      <c r="J4367" s="2" t="s">
        <v>21690</v>
      </c>
      <c r="K4367" s="2" t="s">
        <v>853</v>
      </c>
      <c r="L4367" s="2" t="s">
        <v>18345</v>
      </c>
      <c r="M4367" s="2" t="s">
        <v>21691</v>
      </c>
      <c r="N4367" s="2" t="s">
        <v>21692</v>
      </c>
      <c r="O4367" s="2" t="s">
        <v>869</v>
      </c>
      <c r="P4367" s="2" t="s">
        <v>870</v>
      </c>
    </row>
    <row r="4368" ht="15.75" customHeight="1">
      <c r="H4368" s="2" t="s">
        <v>21693</v>
      </c>
      <c r="I4368" s="2" t="s">
        <v>21694</v>
      </c>
      <c r="J4368" s="2" t="s">
        <v>21695</v>
      </c>
      <c r="K4368" s="2" t="s">
        <v>947</v>
      </c>
      <c r="L4368" s="2" t="s">
        <v>18345</v>
      </c>
      <c r="M4368" s="2" t="s">
        <v>21696</v>
      </c>
      <c r="N4368" s="2" t="s">
        <v>21697</v>
      </c>
      <c r="O4368" s="2" t="s">
        <v>869</v>
      </c>
      <c r="P4368" s="2" t="s">
        <v>870</v>
      </c>
    </row>
    <row r="4369" ht="15.75" customHeight="1">
      <c r="H4369" s="2" t="s">
        <v>21698</v>
      </c>
      <c r="I4369" s="2" t="s">
        <v>21699</v>
      </c>
      <c r="J4369" s="2" t="s">
        <v>21700</v>
      </c>
      <c r="K4369" s="2" t="s">
        <v>1061</v>
      </c>
      <c r="L4369" s="2" t="s">
        <v>18345</v>
      </c>
      <c r="M4369" s="2" t="s">
        <v>21701</v>
      </c>
      <c r="N4369" s="2" t="s">
        <v>21702</v>
      </c>
      <c r="O4369" s="2" t="s">
        <v>869</v>
      </c>
      <c r="P4369" s="2" t="s">
        <v>870</v>
      </c>
    </row>
    <row r="4370" ht="15.75" customHeight="1">
      <c r="H4370" s="2" t="s">
        <v>21703</v>
      </c>
      <c r="I4370" s="2" t="s">
        <v>3221</v>
      </c>
      <c r="J4370" s="2" t="s">
        <v>3222</v>
      </c>
      <c r="K4370" s="2" t="s">
        <v>880</v>
      </c>
      <c r="L4370" s="2" t="s">
        <v>18345</v>
      </c>
      <c r="M4370" s="2" t="s">
        <v>21704</v>
      </c>
      <c r="N4370" s="2" t="s">
        <v>21705</v>
      </c>
      <c r="O4370" s="2" t="s">
        <v>869</v>
      </c>
      <c r="P4370" s="2" t="s">
        <v>870</v>
      </c>
    </row>
    <row r="4371" ht="15.75" customHeight="1">
      <c r="H4371" s="2" t="s">
        <v>21706</v>
      </c>
      <c r="I4371" s="2" t="s">
        <v>21707</v>
      </c>
      <c r="J4371" s="2" t="s">
        <v>21708</v>
      </c>
      <c r="K4371" s="2" t="s">
        <v>966</v>
      </c>
      <c r="L4371" s="2" t="s">
        <v>18345</v>
      </c>
      <c r="M4371" s="2" t="s">
        <v>21709</v>
      </c>
      <c r="N4371" s="2" t="s">
        <v>21710</v>
      </c>
      <c r="O4371" s="2" t="s">
        <v>869</v>
      </c>
      <c r="P4371" s="2" t="s">
        <v>870</v>
      </c>
    </row>
    <row r="4372" ht="15.75" customHeight="1">
      <c r="H4372" s="2" t="s">
        <v>21711</v>
      </c>
      <c r="I4372" s="2" t="s">
        <v>21712</v>
      </c>
      <c r="J4372" s="2" t="s">
        <v>21713</v>
      </c>
      <c r="K4372" s="2" t="s">
        <v>886</v>
      </c>
      <c r="L4372" s="2" t="s">
        <v>18345</v>
      </c>
      <c r="M4372" s="2" t="s">
        <v>21714</v>
      </c>
      <c r="N4372" s="2" t="s">
        <v>21715</v>
      </c>
      <c r="O4372" s="2" t="s">
        <v>869</v>
      </c>
      <c r="P4372" s="2" t="s">
        <v>870</v>
      </c>
    </row>
    <row r="4373" ht="15.75" customHeight="1">
      <c r="H4373" s="2" t="s">
        <v>21716</v>
      </c>
      <c r="I4373" s="2" t="s">
        <v>21717</v>
      </c>
      <c r="J4373" s="2" t="s">
        <v>21718</v>
      </c>
      <c r="K4373" s="2" t="s">
        <v>890</v>
      </c>
      <c r="L4373" s="2" t="s">
        <v>18345</v>
      </c>
      <c r="M4373" s="2" t="s">
        <v>21719</v>
      </c>
      <c r="N4373" s="2" t="s">
        <v>21720</v>
      </c>
      <c r="O4373" s="2" t="s">
        <v>869</v>
      </c>
      <c r="P4373" s="2" t="s">
        <v>870</v>
      </c>
    </row>
    <row r="4374" ht="15.75" customHeight="1">
      <c r="H4374" s="2" t="s">
        <v>21721</v>
      </c>
      <c r="I4374" s="2" t="s">
        <v>21722</v>
      </c>
      <c r="J4374" s="2" t="s">
        <v>21723</v>
      </c>
      <c r="K4374" s="2" t="s">
        <v>1128</v>
      </c>
      <c r="L4374" s="2" t="s">
        <v>18345</v>
      </c>
      <c r="M4374" s="2" t="s">
        <v>21724</v>
      </c>
      <c r="N4374" s="2" t="s">
        <v>21725</v>
      </c>
      <c r="O4374" s="2" t="s">
        <v>869</v>
      </c>
      <c r="P4374" s="2" t="s">
        <v>870</v>
      </c>
    </row>
    <row r="4375" ht="15.75" customHeight="1">
      <c r="H4375" s="2" t="s">
        <v>21726</v>
      </c>
      <c r="I4375" s="2" t="s">
        <v>21727</v>
      </c>
      <c r="J4375" s="2" t="s">
        <v>21728</v>
      </c>
      <c r="K4375" s="2" t="s">
        <v>1551</v>
      </c>
      <c r="L4375" s="2" t="s">
        <v>18345</v>
      </c>
      <c r="M4375" s="2" t="s">
        <v>21729</v>
      </c>
      <c r="N4375" s="2" t="s">
        <v>21730</v>
      </c>
      <c r="O4375" s="2" t="s">
        <v>869</v>
      </c>
      <c r="P4375" s="2" t="s">
        <v>870</v>
      </c>
    </row>
    <row r="4376" ht="15.75" customHeight="1">
      <c r="H4376" s="2" t="s">
        <v>21731</v>
      </c>
      <c r="I4376" s="2" t="s">
        <v>21732</v>
      </c>
      <c r="J4376" s="2" t="s">
        <v>21733</v>
      </c>
      <c r="K4376" s="2" t="s">
        <v>283</v>
      </c>
      <c r="L4376" s="2" t="s">
        <v>18345</v>
      </c>
      <c r="M4376" s="2" t="s">
        <v>21734</v>
      </c>
      <c r="N4376" s="2" t="s">
        <v>21735</v>
      </c>
      <c r="O4376" s="2" t="s">
        <v>869</v>
      </c>
      <c r="P4376" s="2" t="s">
        <v>870</v>
      </c>
    </row>
    <row r="4377" ht="15.75" customHeight="1">
      <c r="H4377" s="2" t="s">
        <v>21736</v>
      </c>
      <c r="I4377" s="2" t="s">
        <v>21737</v>
      </c>
      <c r="J4377" s="2" t="s">
        <v>21738</v>
      </c>
      <c r="L4377" s="2" t="s">
        <v>18345</v>
      </c>
      <c r="M4377" s="2" t="s">
        <v>21739</v>
      </c>
      <c r="N4377" s="2" t="s">
        <v>21740</v>
      </c>
      <c r="O4377" s="2" t="s">
        <v>869</v>
      </c>
      <c r="P4377" s="2" t="s">
        <v>870</v>
      </c>
    </row>
    <row r="4378" ht="15.75" customHeight="1">
      <c r="H4378" s="2" t="s">
        <v>21741</v>
      </c>
      <c r="I4378" s="2" t="s">
        <v>21742</v>
      </c>
      <c r="J4378" s="2" t="s">
        <v>21743</v>
      </c>
      <c r="K4378" s="2" t="s">
        <v>900</v>
      </c>
      <c r="L4378" s="2" t="s">
        <v>18345</v>
      </c>
      <c r="M4378" s="2" t="s">
        <v>21744</v>
      </c>
      <c r="N4378" s="2" t="s">
        <v>21745</v>
      </c>
      <c r="O4378" s="2" t="s">
        <v>869</v>
      </c>
      <c r="P4378" s="2" t="s">
        <v>870</v>
      </c>
    </row>
    <row r="4379" ht="15.75" customHeight="1">
      <c r="H4379" s="2" t="s">
        <v>21746</v>
      </c>
      <c r="I4379" s="2" t="s">
        <v>21747</v>
      </c>
      <c r="J4379" s="2" t="s">
        <v>21748</v>
      </c>
      <c r="K4379" s="2" t="s">
        <v>924</v>
      </c>
      <c r="L4379" s="2" t="s">
        <v>18345</v>
      </c>
      <c r="M4379" s="2" t="s">
        <v>21749</v>
      </c>
      <c r="N4379" s="2" t="s">
        <v>21750</v>
      </c>
      <c r="O4379" s="2" t="s">
        <v>869</v>
      </c>
      <c r="P4379" s="2" t="s">
        <v>870</v>
      </c>
    </row>
    <row r="4380" ht="15.75" customHeight="1">
      <c r="H4380" s="2" t="s">
        <v>21751</v>
      </c>
      <c r="I4380" s="2" t="s">
        <v>21752</v>
      </c>
      <c r="J4380" s="2" t="s">
        <v>21753</v>
      </c>
      <c r="K4380" s="2" t="s">
        <v>1406</v>
      </c>
      <c r="L4380" s="2" t="s">
        <v>18345</v>
      </c>
      <c r="M4380" s="2" t="s">
        <v>21754</v>
      </c>
      <c r="N4380" s="2" t="s">
        <v>21755</v>
      </c>
      <c r="O4380" s="2" t="s">
        <v>869</v>
      </c>
      <c r="P4380" s="2" t="s">
        <v>870</v>
      </c>
    </row>
    <row r="4381" ht="15.75" customHeight="1">
      <c r="H4381" s="2" t="s">
        <v>21756</v>
      </c>
      <c r="I4381" s="2" t="s">
        <v>21757</v>
      </c>
      <c r="J4381" s="2" t="s">
        <v>21758</v>
      </c>
      <c r="K4381" s="2" t="s">
        <v>1331</v>
      </c>
      <c r="L4381" s="2" t="s">
        <v>18345</v>
      </c>
      <c r="M4381" s="2" t="s">
        <v>21759</v>
      </c>
      <c r="N4381" s="2" t="s">
        <v>21760</v>
      </c>
      <c r="O4381" s="2" t="s">
        <v>869</v>
      </c>
      <c r="P4381" s="2" t="s">
        <v>870</v>
      </c>
    </row>
    <row r="4382" ht="15.75" customHeight="1">
      <c r="H4382" s="2" t="s">
        <v>21761</v>
      </c>
      <c r="I4382" s="2" t="s">
        <v>21762</v>
      </c>
      <c r="J4382" s="2" t="s">
        <v>21763</v>
      </c>
      <c r="K4382" s="2" t="s">
        <v>1163</v>
      </c>
      <c r="L4382" s="2" t="s">
        <v>18345</v>
      </c>
      <c r="M4382" s="2" t="s">
        <v>21764</v>
      </c>
      <c r="N4382" s="2" t="s">
        <v>21765</v>
      </c>
      <c r="O4382" s="2" t="s">
        <v>869</v>
      </c>
      <c r="P4382" s="2" t="s">
        <v>870</v>
      </c>
    </row>
    <row r="4383" ht="15.75" customHeight="1">
      <c r="H4383" s="2" t="s">
        <v>21766</v>
      </c>
      <c r="I4383" s="2" t="s">
        <v>21767</v>
      </c>
      <c r="J4383" s="2" t="s">
        <v>21768</v>
      </c>
      <c r="K4383" s="2" t="s">
        <v>1157</v>
      </c>
      <c r="L4383" s="2" t="s">
        <v>18345</v>
      </c>
      <c r="M4383" s="2" t="s">
        <v>21769</v>
      </c>
      <c r="N4383" s="2" t="s">
        <v>21770</v>
      </c>
      <c r="O4383" s="2" t="s">
        <v>869</v>
      </c>
      <c r="P4383" s="2" t="s">
        <v>870</v>
      </c>
    </row>
    <row r="4384" ht="15.75" customHeight="1">
      <c r="H4384" s="2" t="s">
        <v>21771</v>
      </c>
      <c r="I4384" s="2" t="s">
        <v>4923</v>
      </c>
      <c r="J4384" s="2" t="s">
        <v>4924</v>
      </c>
      <c r="K4384" s="2" t="s">
        <v>1169</v>
      </c>
      <c r="L4384" s="2" t="s">
        <v>18345</v>
      </c>
      <c r="M4384" s="2" t="s">
        <v>21772</v>
      </c>
      <c r="N4384" s="2" t="s">
        <v>21773</v>
      </c>
      <c r="O4384" s="2" t="s">
        <v>869</v>
      </c>
      <c r="P4384" s="2" t="s">
        <v>870</v>
      </c>
    </row>
    <row r="4385" ht="15.75" customHeight="1">
      <c r="H4385" s="2" t="s">
        <v>21774</v>
      </c>
      <c r="I4385" s="2" t="s">
        <v>21775</v>
      </c>
      <c r="J4385" s="2" t="s">
        <v>21776</v>
      </c>
      <c r="K4385" s="2" t="s">
        <v>1175</v>
      </c>
      <c r="L4385" s="2" t="s">
        <v>18345</v>
      </c>
      <c r="M4385" s="2" t="s">
        <v>21777</v>
      </c>
      <c r="N4385" s="2" t="s">
        <v>21778</v>
      </c>
      <c r="O4385" s="2" t="s">
        <v>869</v>
      </c>
      <c r="P4385" s="2" t="s">
        <v>870</v>
      </c>
    </row>
    <row r="4386" ht="15.75" customHeight="1">
      <c r="H4386" s="2" t="s">
        <v>21779</v>
      </c>
      <c r="I4386" s="2" t="s">
        <v>784</v>
      </c>
      <c r="J4386" s="2" t="s">
        <v>785</v>
      </c>
      <c r="K4386" s="2" t="s">
        <v>2171</v>
      </c>
      <c r="L4386" s="2" t="s">
        <v>18345</v>
      </c>
      <c r="M4386" s="2" t="s">
        <v>21780</v>
      </c>
      <c r="N4386" s="2" t="s">
        <v>21781</v>
      </c>
      <c r="O4386" s="2" t="s">
        <v>869</v>
      </c>
      <c r="P4386" s="2" t="s">
        <v>870</v>
      </c>
    </row>
    <row r="4387" ht="15.75" customHeight="1">
      <c r="H4387" s="2" t="s">
        <v>21782</v>
      </c>
      <c r="I4387" s="2" t="s">
        <v>21783</v>
      </c>
      <c r="J4387" s="2" t="s">
        <v>21784</v>
      </c>
      <c r="K4387" s="2" t="s">
        <v>3298</v>
      </c>
      <c r="L4387" s="2" t="s">
        <v>18345</v>
      </c>
      <c r="M4387" s="2" t="s">
        <v>21785</v>
      </c>
      <c r="N4387" s="2" t="s">
        <v>21786</v>
      </c>
      <c r="O4387" s="2" t="s">
        <v>869</v>
      </c>
      <c r="P4387" s="2" t="s">
        <v>870</v>
      </c>
    </row>
    <row r="4388" ht="15.75" customHeight="1">
      <c r="H4388" s="2" t="s">
        <v>21787</v>
      </c>
      <c r="I4388" s="2" t="s">
        <v>21788</v>
      </c>
      <c r="J4388" s="2" t="s">
        <v>21789</v>
      </c>
      <c r="K4388" s="2" t="s">
        <v>2585</v>
      </c>
      <c r="L4388" s="2" t="s">
        <v>18345</v>
      </c>
      <c r="M4388" s="2" t="s">
        <v>21790</v>
      </c>
      <c r="N4388" s="2" t="s">
        <v>21791</v>
      </c>
      <c r="O4388" s="2" t="s">
        <v>869</v>
      </c>
      <c r="P4388" s="2" t="s">
        <v>870</v>
      </c>
    </row>
    <row r="4389" ht="15.75" customHeight="1">
      <c r="H4389" s="2" t="s">
        <v>21792</v>
      </c>
      <c r="I4389" s="2" t="s">
        <v>4946</v>
      </c>
      <c r="J4389" s="2" t="s">
        <v>4947</v>
      </c>
      <c r="K4389" s="2" t="s">
        <v>1049</v>
      </c>
      <c r="L4389" s="2" t="s">
        <v>18345</v>
      </c>
      <c r="M4389" s="2" t="s">
        <v>21793</v>
      </c>
      <c r="N4389" s="2" t="s">
        <v>21794</v>
      </c>
      <c r="O4389" s="2" t="s">
        <v>869</v>
      </c>
      <c r="P4389" s="2" t="s">
        <v>870</v>
      </c>
    </row>
    <row r="4390" ht="15.75" customHeight="1">
      <c r="F4390" s="2" t="s">
        <v>791</v>
      </c>
      <c r="H4390" s="2" t="s">
        <v>21795</v>
      </c>
      <c r="I4390" s="2" t="s">
        <v>21796</v>
      </c>
      <c r="J4390" s="2" t="s">
        <v>21797</v>
      </c>
      <c r="K4390" s="2" t="s">
        <v>947</v>
      </c>
      <c r="L4390" s="2" t="s">
        <v>18345</v>
      </c>
      <c r="M4390" s="2" t="s">
        <v>21798</v>
      </c>
      <c r="N4390" s="2" t="s">
        <v>21799</v>
      </c>
      <c r="O4390" s="2" t="s">
        <v>869</v>
      </c>
      <c r="P4390" s="2" t="s">
        <v>870</v>
      </c>
    </row>
    <row r="4391" ht="15.75" customHeight="1">
      <c r="H4391" s="2" t="s">
        <v>21800</v>
      </c>
      <c r="I4391" s="2" t="s">
        <v>793</v>
      </c>
      <c r="J4391" s="2" t="s">
        <v>794</v>
      </c>
      <c r="K4391" s="2" t="s">
        <v>1362</v>
      </c>
      <c r="L4391" s="2" t="s">
        <v>18345</v>
      </c>
      <c r="M4391" s="2" t="s">
        <v>21801</v>
      </c>
      <c r="N4391" s="2" t="s">
        <v>21802</v>
      </c>
      <c r="O4391" s="2" t="s">
        <v>869</v>
      </c>
      <c r="P4391" s="2" t="s">
        <v>870</v>
      </c>
    </row>
    <row r="4392" ht="15.75" customHeight="1">
      <c r="H4392" s="2" t="s">
        <v>21803</v>
      </c>
      <c r="I4392" s="2" t="s">
        <v>4959</v>
      </c>
      <c r="J4392" s="2" t="s">
        <v>4960</v>
      </c>
      <c r="K4392" s="2" t="s">
        <v>280</v>
      </c>
      <c r="L4392" s="2" t="s">
        <v>18345</v>
      </c>
      <c r="M4392" s="2" t="s">
        <v>21804</v>
      </c>
      <c r="N4392" s="2" t="s">
        <v>21805</v>
      </c>
      <c r="O4392" s="2" t="s">
        <v>869</v>
      </c>
      <c r="P4392" s="2" t="s">
        <v>870</v>
      </c>
    </row>
    <row r="4393" ht="15.75" customHeight="1">
      <c r="H4393" s="2" t="s">
        <v>21806</v>
      </c>
      <c r="I4393" s="2" t="s">
        <v>21807</v>
      </c>
      <c r="J4393" s="2" t="s">
        <v>21808</v>
      </c>
      <c r="K4393" s="2" t="s">
        <v>1288</v>
      </c>
      <c r="L4393" s="2" t="s">
        <v>18345</v>
      </c>
      <c r="M4393" s="2" t="s">
        <v>21809</v>
      </c>
      <c r="N4393" s="2" t="s">
        <v>21810</v>
      </c>
      <c r="O4393" s="2" t="s">
        <v>869</v>
      </c>
      <c r="P4393" s="2" t="s">
        <v>870</v>
      </c>
    </row>
    <row r="4394" ht="15.75" customHeight="1">
      <c r="H4394" s="2" t="s">
        <v>21811</v>
      </c>
      <c r="I4394" s="2" t="s">
        <v>7306</v>
      </c>
      <c r="J4394" s="2" t="s">
        <v>7307</v>
      </c>
      <c r="K4394" s="2" t="s">
        <v>958</v>
      </c>
      <c r="L4394" s="2" t="s">
        <v>18345</v>
      </c>
      <c r="M4394" s="2" t="s">
        <v>21812</v>
      </c>
      <c r="N4394" s="2" t="s">
        <v>21813</v>
      </c>
      <c r="O4394" s="2" t="s">
        <v>869</v>
      </c>
      <c r="P4394" s="2" t="s">
        <v>870</v>
      </c>
    </row>
    <row r="4395" ht="15.75" customHeight="1">
      <c r="H4395" s="2" t="s">
        <v>21814</v>
      </c>
      <c r="I4395" s="2" t="s">
        <v>21815</v>
      </c>
      <c r="J4395" s="2" t="s">
        <v>21816</v>
      </c>
      <c r="K4395" s="2" t="s">
        <v>996</v>
      </c>
      <c r="L4395" s="2" t="s">
        <v>18345</v>
      </c>
      <c r="M4395" s="2" t="s">
        <v>21817</v>
      </c>
      <c r="N4395" s="2" t="s">
        <v>21818</v>
      </c>
      <c r="O4395" s="2" t="s">
        <v>869</v>
      </c>
      <c r="P4395" s="2" t="s">
        <v>870</v>
      </c>
    </row>
    <row r="4396" ht="15.75" customHeight="1">
      <c r="H4396" s="2" t="s">
        <v>21819</v>
      </c>
      <c r="I4396" s="2" t="s">
        <v>21820</v>
      </c>
      <c r="J4396" s="2" t="s">
        <v>21821</v>
      </c>
      <c r="K4396" s="2" t="s">
        <v>1551</v>
      </c>
      <c r="L4396" s="2" t="s">
        <v>18345</v>
      </c>
      <c r="M4396" s="2" t="s">
        <v>21822</v>
      </c>
      <c r="N4396" s="2" t="s">
        <v>21823</v>
      </c>
      <c r="O4396" s="2" t="s">
        <v>869</v>
      </c>
      <c r="P4396" s="2" t="s">
        <v>870</v>
      </c>
    </row>
    <row r="4397" ht="15.75" customHeight="1">
      <c r="H4397" s="2" t="s">
        <v>21824</v>
      </c>
      <c r="I4397" s="2" t="s">
        <v>8176</v>
      </c>
      <c r="J4397" s="2" t="s">
        <v>8177</v>
      </c>
      <c r="K4397" s="2" t="s">
        <v>1508</v>
      </c>
      <c r="L4397" s="2" t="s">
        <v>18345</v>
      </c>
      <c r="M4397" s="2" t="s">
        <v>21825</v>
      </c>
      <c r="N4397" s="2" t="s">
        <v>21826</v>
      </c>
      <c r="O4397" s="2" t="s">
        <v>869</v>
      </c>
      <c r="P4397" s="2" t="s">
        <v>870</v>
      </c>
    </row>
    <row r="4398" ht="15.75" customHeight="1">
      <c r="H4398" s="2" t="s">
        <v>21827</v>
      </c>
      <c r="I4398" s="2" t="s">
        <v>11510</v>
      </c>
      <c r="J4398" s="2" t="s">
        <v>11511</v>
      </c>
      <c r="L4398" s="2" t="s">
        <v>18345</v>
      </c>
      <c r="M4398" s="2" t="s">
        <v>21828</v>
      </c>
      <c r="N4398" s="2" t="s">
        <v>21829</v>
      </c>
      <c r="O4398" s="2" t="s">
        <v>869</v>
      </c>
      <c r="P4398" s="2" t="s">
        <v>870</v>
      </c>
    </row>
    <row r="4399" ht="15.75" customHeight="1">
      <c r="H4399" s="2" t="s">
        <v>21830</v>
      </c>
      <c r="I4399" s="2" t="s">
        <v>21831</v>
      </c>
      <c r="J4399" s="2" t="s">
        <v>21832</v>
      </c>
      <c r="K4399" s="2" t="s">
        <v>896</v>
      </c>
      <c r="L4399" s="2" t="s">
        <v>18345</v>
      </c>
      <c r="M4399" s="2" t="s">
        <v>21833</v>
      </c>
      <c r="N4399" s="2" t="s">
        <v>21834</v>
      </c>
      <c r="O4399" s="2" t="s">
        <v>869</v>
      </c>
      <c r="P4399" s="2" t="s">
        <v>870</v>
      </c>
    </row>
    <row r="4400" ht="15.75" customHeight="1">
      <c r="H4400" s="2" t="s">
        <v>21835</v>
      </c>
      <c r="I4400" s="2" t="s">
        <v>4969</v>
      </c>
      <c r="J4400" s="2" t="s">
        <v>4970</v>
      </c>
      <c r="K4400" s="2" t="s">
        <v>1313</v>
      </c>
      <c r="L4400" s="2" t="s">
        <v>18345</v>
      </c>
      <c r="M4400" s="2" t="s">
        <v>4971</v>
      </c>
      <c r="N4400" s="2" t="s">
        <v>21836</v>
      </c>
      <c r="O4400" s="2" t="s">
        <v>869</v>
      </c>
      <c r="P4400" s="2" t="s">
        <v>870</v>
      </c>
    </row>
    <row r="4401" ht="15.75" customHeight="1">
      <c r="F4401" s="2" t="s">
        <v>800</v>
      </c>
      <c r="H4401" s="2" t="s">
        <v>21837</v>
      </c>
      <c r="I4401" s="2" t="s">
        <v>4994</v>
      </c>
      <c r="J4401" s="2" t="s">
        <v>4995</v>
      </c>
      <c r="K4401" s="2" t="s">
        <v>1878</v>
      </c>
      <c r="L4401" s="2" t="s">
        <v>18345</v>
      </c>
      <c r="M4401" s="2" t="s">
        <v>21838</v>
      </c>
      <c r="N4401" s="2" t="s">
        <v>21839</v>
      </c>
      <c r="O4401" s="2" t="s">
        <v>869</v>
      </c>
      <c r="P4401" s="2" t="s">
        <v>870</v>
      </c>
    </row>
    <row r="4402" ht="15.75" customHeight="1">
      <c r="H4402" s="2" t="s">
        <v>21840</v>
      </c>
      <c r="I4402" s="2" t="s">
        <v>21841</v>
      </c>
      <c r="J4402" s="2" t="s">
        <v>21842</v>
      </c>
      <c r="K4402" s="2" t="s">
        <v>874</v>
      </c>
      <c r="L4402" s="2" t="s">
        <v>18345</v>
      </c>
      <c r="M4402" s="2" t="s">
        <v>21843</v>
      </c>
      <c r="N4402" s="2" t="s">
        <v>21844</v>
      </c>
      <c r="O4402" s="2" t="s">
        <v>869</v>
      </c>
      <c r="P4402" s="2" t="s">
        <v>870</v>
      </c>
    </row>
    <row r="4403" ht="15.75" customHeight="1">
      <c r="H4403" s="2" t="s">
        <v>21845</v>
      </c>
      <c r="I4403" s="2" t="s">
        <v>11561</v>
      </c>
      <c r="J4403" s="2" t="s">
        <v>11562</v>
      </c>
      <c r="K4403" s="2" t="s">
        <v>1117</v>
      </c>
      <c r="L4403" s="2" t="s">
        <v>18345</v>
      </c>
      <c r="M4403" s="2" t="s">
        <v>21846</v>
      </c>
      <c r="N4403" s="2" t="s">
        <v>21847</v>
      </c>
      <c r="O4403" s="2" t="s">
        <v>869</v>
      </c>
      <c r="P4403" s="2" t="s">
        <v>870</v>
      </c>
    </row>
    <row r="4404" ht="15.75" customHeight="1">
      <c r="H4404" s="2" t="s">
        <v>21848</v>
      </c>
      <c r="I4404" s="2" t="s">
        <v>21849</v>
      </c>
      <c r="J4404" s="2" t="s">
        <v>21850</v>
      </c>
      <c r="K4404" s="2" t="s">
        <v>1297</v>
      </c>
      <c r="L4404" s="2" t="s">
        <v>18345</v>
      </c>
      <c r="M4404" s="2" t="s">
        <v>21851</v>
      </c>
      <c r="N4404" s="2" t="s">
        <v>21852</v>
      </c>
      <c r="O4404" s="2" t="s">
        <v>869</v>
      </c>
      <c r="P4404" s="2" t="s">
        <v>870</v>
      </c>
    </row>
    <row r="4405" ht="15.75" customHeight="1">
      <c r="H4405" s="2" t="s">
        <v>21853</v>
      </c>
      <c r="I4405" s="2" t="s">
        <v>5378</v>
      </c>
      <c r="J4405" s="2" t="s">
        <v>5379</v>
      </c>
      <c r="K4405" s="2" t="s">
        <v>283</v>
      </c>
      <c r="L4405" s="2" t="s">
        <v>18345</v>
      </c>
      <c r="M4405" s="2" t="s">
        <v>21854</v>
      </c>
      <c r="N4405" s="2" t="s">
        <v>21855</v>
      </c>
      <c r="O4405" s="2" t="s">
        <v>869</v>
      </c>
      <c r="P4405" s="2" t="s">
        <v>870</v>
      </c>
    </row>
    <row r="4406" ht="15.75" customHeight="1">
      <c r="H4406" s="2" t="s">
        <v>21856</v>
      </c>
      <c r="I4406" s="2" t="s">
        <v>5022</v>
      </c>
      <c r="J4406" s="2" t="s">
        <v>5023</v>
      </c>
      <c r="K4406" s="2" t="s">
        <v>1569</v>
      </c>
      <c r="L4406" s="2" t="s">
        <v>18345</v>
      </c>
      <c r="M4406" s="2" t="s">
        <v>5024</v>
      </c>
      <c r="N4406" s="2" t="s">
        <v>21857</v>
      </c>
      <c r="O4406" s="2" t="s">
        <v>869</v>
      </c>
      <c r="P4406" s="2" t="s">
        <v>870</v>
      </c>
    </row>
    <row r="4407" ht="15.75" customHeight="1">
      <c r="H4407" s="2" t="s">
        <v>21858</v>
      </c>
      <c r="I4407" s="2" t="s">
        <v>5027</v>
      </c>
      <c r="J4407" s="2" t="s">
        <v>5028</v>
      </c>
      <c r="K4407" s="2" t="s">
        <v>1319</v>
      </c>
      <c r="L4407" s="2" t="s">
        <v>18345</v>
      </c>
      <c r="M4407" s="2" t="s">
        <v>5029</v>
      </c>
      <c r="N4407" s="2" t="s">
        <v>21859</v>
      </c>
      <c r="O4407" s="2" t="s">
        <v>869</v>
      </c>
      <c r="P4407" s="2" t="s">
        <v>870</v>
      </c>
    </row>
    <row r="4408" ht="15.75" customHeight="1">
      <c r="H4408" s="2" t="s">
        <v>21860</v>
      </c>
      <c r="I4408" s="2" t="s">
        <v>2195</v>
      </c>
      <c r="J4408" s="2" t="s">
        <v>2196</v>
      </c>
      <c r="K4408" s="2" t="s">
        <v>2551</v>
      </c>
      <c r="L4408" s="2" t="s">
        <v>21861</v>
      </c>
      <c r="M4408" s="2" t="s">
        <v>21862</v>
      </c>
      <c r="N4408" s="2" t="s">
        <v>21863</v>
      </c>
      <c r="O4408" s="2" t="s">
        <v>869</v>
      </c>
      <c r="P4408" s="2" t="s">
        <v>870</v>
      </c>
    </row>
    <row r="4409" ht="15.75" customHeight="1">
      <c r="H4409" s="2" t="s">
        <v>21864</v>
      </c>
      <c r="I4409" s="2" t="s">
        <v>21865</v>
      </c>
      <c r="J4409" s="2" t="s">
        <v>21866</v>
      </c>
      <c r="K4409" s="2" t="s">
        <v>1418</v>
      </c>
      <c r="L4409" s="2" t="s">
        <v>18345</v>
      </c>
      <c r="M4409" s="2" t="s">
        <v>21838</v>
      </c>
      <c r="N4409" s="2" t="s">
        <v>21867</v>
      </c>
      <c r="O4409" s="2" t="s">
        <v>869</v>
      </c>
      <c r="P4409" s="2" t="s">
        <v>870</v>
      </c>
    </row>
    <row r="4410" ht="15.75" customHeight="1">
      <c r="H4410" s="2" t="s">
        <v>21868</v>
      </c>
      <c r="I4410" s="2" t="s">
        <v>5047</v>
      </c>
      <c r="J4410" s="2" t="s">
        <v>5048</v>
      </c>
      <c r="K4410" s="2" t="s">
        <v>1151</v>
      </c>
      <c r="L4410" s="2" t="s">
        <v>18345</v>
      </c>
      <c r="M4410" s="2" t="s">
        <v>21869</v>
      </c>
      <c r="N4410" s="2" t="s">
        <v>21870</v>
      </c>
      <c r="O4410" s="2" t="s">
        <v>869</v>
      </c>
      <c r="P4410" s="2" t="s">
        <v>870</v>
      </c>
    </row>
    <row r="4411" ht="15.75" customHeight="1">
      <c r="H4411" s="2" t="s">
        <v>21871</v>
      </c>
      <c r="I4411" s="2" t="s">
        <v>1686</v>
      </c>
      <c r="J4411" s="2" t="s">
        <v>1687</v>
      </c>
      <c r="K4411" s="2" t="s">
        <v>966</v>
      </c>
      <c r="L4411" s="2" t="s">
        <v>18345</v>
      </c>
      <c r="M4411" s="2" t="s">
        <v>21872</v>
      </c>
      <c r="N4411" s="2" t="s">
        <v>21873</v>
      </c>
      <c r="O4411" s="2" t="s">
        <v>869</v>
      </c>
      <c r="P4411" s="2" t="s">
        <v>870</v>
      </c>
    </row>
    <row r="4412" ht="15.75" customHeight="1">
      <c r="H4412" s="2" t="s">
        <v>21874</v>
      </c>
      <c r="I4412" s="2" t="s">
        <v>21875</v>
      </c>
      <c r="J4412" s="2" t="s">
        <v>21876</v>
      </c>
      <c r="K4412" s="2" t="s">
        <v>1175</v>
      </c>
      <c r="L4412" s="2" t="s">
        <v>18345</v>
      </c>
      <c r="M4412" s="2" t="s">
        <v>21877</v>
      </c>
      <c r="N4412" s="2" t="s">
        <v>21878</v>
      </c>
      <c r="O4412" s="2" t="s">
        <v>869</v>
      </c>
      <c r="P4412" s="2" t="s">
        <v>870</v>
      </c>
    </row>
    <row r="4413" ht="15.75" customHeight="1">
      <c r="H4413" s="2" t="s">
        <v>21879</v>
      </c>
      <c r="I4413" s="2" t="s">
        <v>11637</v>
      </c>
      <c r="J4413" s="2" t="s">
        <v>11638</v>
      </c>
      <c r="K4413" s="2" t="s">
        <v>1443</v>
      </c>
      <c r="L4413" s="2" t="s">
        <v>18345</v>
      </c>
      <c r="M4413" s="2" t="s">
        <v>21880</v>
      </c>
      <c r="N4413" s="2" t="s">
        <v>21881</v>
      </c>
      <c r="O4413" s="2" t="s">
        <v>869</v>
      </c>
      <c r="P4413" s="2" t="s">
        <v>870</v>
      </c>
    </row>
    <row r="4414" ht="15.75" customHeight="1">
      <c r="H4414" s="2" t="s">
        <v>21882</v>
      </c>
      <c r="I4414" s="2" t="s">
        <v>21883</v>
      </c>
      <c r="J4414" s="2" t="s">
        <v>21884</v>
      </c>
      <c r="K4414" s="2" t="s">
        <v>2585</v>
      </c>
      <c r="L4414" s="2" t="s">
        <v>18345</v>
      </c>
      <c r="M4414" s="2" t="s">
        <v>21885</v>
      </c>
      <c r="N4414" s="2" t="s">
        <v>21886</v>
      </c>
      <c r="O4414" s="2" t="s">
        <v>869</v>
      </c>
      <c r="P4414" s="2" t="s">
        <v>870</v>
      </c>
    </row>
    <row r="4415" ht="15.75" customHeight="1">
      <c r="H4415" s="2" t="s">
        <v>21887</v>
      </c>
      <c r="I4415" s="2" t="s">
        <v>21888</v>
      </c>
      <c r="J4415" s="2" t="s">
        <v>21889</v>
      </c>
      <c r="K4415" s="2" t="s">
        <v>1975</v>
      </c>
      <c r="L4415" s="2" t="s">
        <v>18345</v>
      </c>
      <c r="M4415" s="2" t="s">
        <v>21890</v>
      </c>
      <c r="N4415" s="2" t="s">
        <v>21891</v>
      </c>
      <c r="O4415" s="2" t="s">
        <v>869</v>
      </c>
      <c r="P4415" s="2" t="s">
        <v>870</v>
      </c>
    </row>
    <row r="4416" ht="15.75" customHeight="1">
      <c r="H4416" s="2" t="s">
        <v>21892</v>
      </c>
      <c r="I4416" s="2" t="s">
        <v>21893</v>
      </c>
      <c r="J4416" s="2" t="s">
        <v>21894</v>
      </c>
      <c r="K4416" s="2" t="s">
        <v>2252</v>
      </c>
      <c r="L4416" s="2" t="s">
        <v>18345</v>
      </c>
      <c r="M4416" s="2" t="s">
        <v>21895</v>
      </c>
      <c r="N4416" s="2" t="s">
        <v>21896</v>
      </c>
      <c r="O4416" s="2" t="s">
        <v>869</v>
      </c>
      <c r="P4416" s="2" t="s">
        <v>870</v>
      </c>
    </row>
    <row r="4417" ht="15.75" customHeight="1">
      <c r="H4417" s="2" t="s">
        <v>21897</v>
      </c>
      <c r="I4417" s="2" t="s">
        <v>14286</v>
      </c>
      <c r="J4417" s="2" t="s">
        <v>14287</v>
      </c>
      <c r="K4417" s="2" t="s">
        <v>1672</v>
      </c>
      <c r="L4417" s="2" t="s">
        <v>18345</v>
      </c>
      <c r="M4417" s="2" t="s">
        <v>21898</v>
      </c>
      <c r="N4417" s="2" t="s">
        <v>21899</v>
      </c>
      <c r="O4417" s="2" t="s">
        <v>869</v>
      </c>
      <c r="P4417" s="2" t="s">
        <v>870</v>
      </c>
    </row>
    <row r="4418" ht="15.75" customHeight="1">
      <c r="H4418" s="2" t="s">
        <v>21900</v>
      </c>
      <c r="I4418" s="2" t="s">
        <v>21901</v>
      </c>
      <c r="J4418" s="2" t="s">
        <v>21902</v>
      </c>
      <c r="K4418" s="2" t="s">
        <v>2025</v>
      </c>
      <c r="L4418" s="2" t="s">
        <v>18345</v>
      </c>
      <c r="M4418" s="2" t="s">
        <v>21903</v>
      </c>
      <c r="N4418" s="2" t="s">
        <v>21904</v>
      </c>
      <c r="O4418" s="2" t="s">
        <v>869</v>
      </c>
      <c r="P4418" s="2" t="s">
        <v>870</v>
      </c>
    </row>
    <row r="4419" ht="15.75" customHeight="1">
      <c r="H4419" s="2" t="s">
        <v>21905</v>
      </c>
      <c r="I4419" s="2" t="s">
        <v>21906</v>
      </c>
      <c r="J4419" s="2" t="s">
        <v>21907</v>
      </c>
      <c r="K4419" s="2" t="s">
        <v>2037</v>
      </c>
      <c r="L4419" s="2" t="s">
        <v>18345</v>
      </c>
      <c r="M4419" s="2" t="s">
        <v>21908</v>
      </c>
      <c r="N4419" s="2" t="s">
        <v>21909</v>
      </c>
      <c r="O4419" s="2" t="s">
        <v>869</v>
      </c>
      <c r="P4419" s="2" t="s">
        <v>870</v>
      </c>
    </row>
    <row r="4420" ht="15.75" customHeight="1">
      <c r="H4420" s="2" t="s">
        <v>21910</v>
      </c>
      <c r="I4420" s="2" t="s">
        <v>257</v>
      </c>
      <c r="J4420" s="2" t="s">
        <v>258</v>
      </c>
      <c r="K4420" s="2" t="s">
        <v>5126</v>
      </c>
      <c r="L4420" s="2" t="s">
        <v>18345</v>
      </c>
      <c r="M4420" s="2" t="s">
        <v>5127</v>
      </c>
      <c r="N4420" s="2" t="s">
        <v>21911</v>
      </c>
      <c r="O4420" s="2" t="s">
        <v>869</v>
      </c>
      <c r="P4420" s="2" t="s">
        <v>870</v>
      </c>
    </row>
    <row r="4421" ht="15.75" customHeight="1">
      <c r="H4421" s="2" t="s">
        <v>21912</v>
      </c>
      <c r="I4421" s="2" t="s">
        <v>5986</v>
      </c>
      <c r="J4421" s="2" t="s">
        <v>5987</v>
      </c>
      <c r="K4421" s="2" t="s">
        <v>1692</v>
      </c>
      <c r="L4421" s="2" t="s">
        <v>21913</v>
      </c>
      <c r="M4421" s="2" t="s">
        <v>21914</v>
      </c>
      <c r="N4421" s="2" t="s">
        <v>21915</v>
      </c>
      <c r="O4421" s="2" t="s">
        <v>869</v>
      </c>
      <c r="P4421" s="2" t="s">
        <v>870</v>
      </c>
    </row>
    <row r="4422" ht="15.75" customHeight="1">
      <c r="H4422" s="2" t="s">
        <v>21916</v>
      </c>
      <c r="I4422" s="2" t="s">
        <v>827</v>
      </c>
      <c r="J4422" s="2" t="s">
        <v>828</v>
      </c>
      <c r="K4422" s="2" t="s">
        <v>2062</v>
      </c>
      <c r="L4422" s="2" t="s">
        <v>18345</v>
      </c>
      <c r="M4422" s="2" t="s">
        <v>21917</v>
      </c>
      <c r="N4422" s="2" t="s">
        <v>21918</v>
      </c>
      <c r="O4422" s="2" t="s">
        <v>869</v>
      </c>
      <c r="P4422" s="2" t="s">
        <v>870</v>
      </c>
    </row>
    <row r="4423" ht="15.75" customHeight="1">
      <c r="H4423" s="2" t="s">
        <v>21919</v>
      </c>
      <c r="I4423" s="2" t="s">
        <v>21920</v>
      </c>
      <c r="J4423" s="2" t="s">
        <v>21921</v>
      </c>
      <c r="K4423" s="2" t="s">
        <v>2068</v>
      </c>
      <c r="L4423" s="2" t="s">
        <v>18345</v>
      </c>
      <c r="M4423" s="2" t="s">
        <v>21922</v>
      </c>
      <c r="N4423" s="2" t="s">
        <v>21923</v>
      </c>
      <c r="O4423" s="2" t="s">
        <v>869</v>
      </c>
      <c r="P4423" s="2" t="s">
        <v>870</v>
      </c>
    </row>
    <row r="4424" ht="15.75" customHeight="1">
      <c r="H4424" s="2" t="s">
        <v>21924</v>
      </c>
      <c r="I4424" s="2" t="s">
        <v>11689</v>
      </c>
      <c r="J4424" s="2" t="s">
        <v>11690</v>
      </c>
      <c r="K4424" s="2" t="s">
        <v>13335</v>
      </c>
      <c r="L4424" s="2" t="s">
        <v>18345</v>
      </c>
      <c r="M4424" s="2" t="s">
        <v>21925</v>
      </c>
      <c r="N4424" s="2" t="s">
        <v>21926</v>
      </c>
      <c r="O4424" s="2" t="s">
        <v>869</v>
      </c>
      <c r="P4424" s="2" t="s">
        <v>870</v>
      </c>
    </row>
    <row r="4425" ht="15.75" customHeight="1">
      <c r="H4425" s="2" t="s">
        <v>21927</v>
      </c>
      <c r="I4425" s="2" t="s">
        <v>21928</v>
      </c>
      <c r="J4425" s="2" t="s">
        <v>21929</v>
      </c>
      <c r="K4425" s="2" t="s">
        <v>1704</v>
      </c>
      <c r="L4425" s="2" t="s">
        <v>18345</v>
      </c>
      <c r="M4425" s="2" t="s">
        <v>21930</v>
      </c>
      <c r="N4425" s="2" t="s">
        <v>21931</v>
      </c>
      <c r="O4425" s="2" t="s">
        <v>869</v>
      </c>
      <c r="P4425" s="2" t="s">
        <v>870</v>
      </c>
    </row>
    <row r="4426" ht="15.75" customHeight="1">
      <c r="F4426" s="2" t="s">
        <v>843</v>
      </c>
      <c r="H4426" s="2" t="s">
        <v>21932</v>
      </c>
      <c r="I4426" s="2" t="s">
        <v>21933</v>
      </c>
      <c r="J4426" s="2" t="s">
        <v>21934</v>
      </c>
      <c r="K4426" s="2" t="s">
        <v>277</v>
      </c>
      <c r="L4426" s="2" t="s">
        <v>18345</v>
      </c>
      <c r="M4426" s="2" t="s">
        <v>21935</v>
      </c>
      <c r="N4426" s="2" t="s">
        <v>21936</v>
      </c>
      <c r="O4426" s="2" t="s">
        <v>869</v>
      </c>
      <c r="P4426" s="2" t="s">
        <v>870</v>
      </c>
    </row>
    <row r="4427" ht="15.75" customHeight="1">
      <c r="H4427" s="2" t="s">
        <v>21937</v>
      </c>
      <c r="I4427" s="2" t="s">
        <v>21938</v>
      </c>
      <c r="J4427" s="2" t="s">
        <v>21939</v>
      </c>
      <c r="K4427" s="2" t="s">
        <v>280</v>
      </c>
      <c r="L4427" s="2" t="s">
        <v>18345</v>
      </c>
      <c r="M4427" s="2" t="s">
        <v>11809</v>
      </c>
      <c r="N4427" s="2" t="s">
        <v>21940</v>
      </c>
      <c r="O4427" s="2" t="s">
        <v>869</v>
      </c>
      <c r="P4427" s="2" t="s">
        <v>870</v>
      </c>
    </row>
    <row r="4428" ht="15.75" customHeight="1">
      <c r="H4428" s="2" t="s">
        <v>21941</v>
      </c>
      <c r="I4428" s="2" t="s">
        <v>5155</v>
      </c>
      <c r="J4428" s="2" t="s">
        <v>5156</v>
      </c>
      <c r="K4428" s="2" t="s">
        <v>1368</v>
      </c>
      <c r="L4428" s="2" t="s">
        <v>18345</v>
      </c>
      <c r="M4428" s="2" t="s">
        <v>21942</v>
      </c>
      <c r="N4428" s="2" t="s">
        <v>21943</v>
      </c>
      <c r="O4428" s="2" t="s">
        <v>869</v>
      </c>
      <c r="P4428" s="2" t="s">
        <v>870</v>
      </c>
    </row>
    <row r="4429" ht="15.75" customHeight="1">
      <c r="H4429" s="2" t="s">
        <v>21944</v>
      </c>
      <c r="I4429" s="2" t="s">
        <v>21945</v>
      </c>
      <c r="J4429" s="2" t="s">
        <v>21946</v>
      </c>
      <c r="K4429" s="2" t="s">
        <v>958</v>
      </c>
      <c r="L4429" s="2" t="s">
        <v>18345</v>
      </c>
      <c r="M4429" s="2" t="s">
        <v>21947</v>
      </c>
      <c r="N4429" s="2" t="s">
        <v>21948</v>
      </c>
      <c r="O4429" s="2" t="s">
        <v>869</v>
      </c>
      <c r="P4429" s="2" t="s">
        <v>870</v>
      </c>
    </row>
    <row r="4430" ht="15.75" customHeight="1">
      <c r="H4430" s="2" t="s">
        <v>21949</v>
      </c>
      <c r="I4430" s="2" t="s">
        <v>21950</v>
      </c>
      <c r="J4430" s="2" t="s">
        <v>21951</v>
      </c>
      <c r="K4430" s="2" t="s">
        <v>880</v>
      </c>
      <c r="L4430" s="2" t="s">
        <v>18345</v>
      </c>
      <c r="M4430" s="2" t="s">
        <v>21952</v>
      </c>
      <c r="N4430" s="2" t="s">
        <v>21953</v>
      </c>
      <c r="O4430" s="2" t="s">
        <v>869</v>
      </c>
      <c r="P4430" s="2" t="s">
        <v>870</v>
      </c>
    </row>
    <row r="4431" ht="15.75" customHeight="1">
      <c r="H4431" s="2" t="s">
        <v>21954</v>
      </c>
      <c r="I4431" s="2" t="s">
        <v>21955</v>
      </c>
      <c r="J4431" s="2" t="s">
        <v>21956</v>
      </c>
      <c r="K4431" s="2" t="s">
        <v>966</v>
      </c>
      <c r="L4431" s="2" t="s">
        <v>18345</v>
      </c>
      <c r="M4431" s="2" t="s">
        <v>21957</v>
      </c>
      <c r="N4431" s="2" t="s">
        <v>21958</v>
      </c>
      <c r="O4431" s="2" t="s">
        <v>869</v>
      </c>
      <c r="P4431" s="2" t="s">
        <v>870</v>
      </c>
    </row>
    <row r="4432" ht="15.75" customHeight="1">
      <c r="H4432" s="2" t="s">
        <v>21959</v>
      </c>
      <c r="I4432" s="2" t="s">
        <v>21960</v>
      </c>
      <c r="J4432" s="2" t="s">
        <v>21961</v>
      </c>
      <c r="K4432" s="2" t="s">
        <v>890</v>
      </c>
      <c r="L4432" s="2" t="s">
        <v>18345</v>
      </c>
      <c r="M4432" s="2" t="s">
        <v>21962</v>
      </c>
      <c r="N4432" s="2" t="s">
        <v>21963</v>
      </c>
      <c r="O4432" s="2" t="s">
        <v>869</v>
      </c>
      <c r="P4432" s="2" t="s">
        <v>870</v>
      </c>
    </row>
    <row r="4433" ht="15.75" customHeight="1">
      <c r="H4433" s="2" t="s">
        <v>21964</v>
      </c>
      <c r="I4433" s="2" t="s">
        <v>1629</v>
      </c>
      <c r="J4433" s="2" t="s">
        <v>1630</v>
      </c>
      <c r="K4433" s="2" t="s">
        <v>1128</v>
      </c>
      <c r="L4433" s="2" t="s">
        <v>18345</v>
      </c>
      <c r="M4433" s="2" t="s">
        <v>21965</v>
      </c>
      <c r="N4433" s="2" t="s">
        <v>21966</v>
      </c>
      <c r="O4433" s="2" t="s">
        <v>869</v>
      </c>
      <c r="P4433" s="2" t="s">
        <v>870</v>
      </c>
    </row>
    <row r="4434" ht="15.75" customHeight="1">
      <c r="H4434" s="2" t="s">
        <v>21967</v>
      </c>
      <c r="I4434" s="2" t="s">
        <v>11767</v>
      </c>
      <c r="J4434" s="2" t="s">
        <v>11768</v>
      </c>
      <c r="K4434" s="2" t="s">
        <v>853</v>
      </c>
      <c r="L4434" s="2" t="s">
        <v>18345</v>
      </c>
      <c r="M4434" s="2" t="s">
        <v>21968</v>
      </c>
      <c r="N4434" s="2" t="s">
        <v>21969</v>
      </c>
      <c r="O4434" s="2" t="s">
        <v>869</v>
      </c>
      <c r="P4434" s="2" t="s">
        <v>870</v>
      </c>
    </row>
    <row r="4435" ht="15.75" customHeight="1">
      <c r="H4435" s="2" t="s">
        <v>21970</v>
      </c>
      <c r="I4435" s="2" t="s">
        <v>5170</v>
      </c>
      <c r="J4435" s="2" t="s">
        <v>5171</v>
      </c>
      <c r="K4435" s="2" t="s">
        <v>283</v>
      </c>
      <c r="L4435" s="2" t="s">
        <v>18345</v>
      </c>
      <c r="M4435" s="2" t="s">
        <v>5172</v>
      </c>
      <c r="N4435" s="2" t="s">
        <v>21971</v>
      </c>
      <c r="O4435" s="2" t="s">
        <v>869</v>
      </c>
      <c r="P4435" s="2" t="s">
        <v>870</v>
      </c>
    </row>
    <row r="4436" ht="15.75" customHeight="1">
      <c r="H4436" s="2" t="s">
        <v>21972</v>
      </c>
      <c r="I4436" s="2" t="s">
        <v>21973</v>
      </c>
      <c r="J4436" s="2" t="s">
        <v>21974</v>
      </c>
      <c r="K4436" s="2" t="s">
        <v>1145</v>
      </c>
      <c r="L4436" s="2" t="s">
        <v>18345</v>
      </c>
      <c r="M4436" s="2" t="s">
        <v>21975</v>
      </c>
      <c r="N4436" s="2" t="s">
        <v>21976</v>
      </c>
      <c r="O4436" s="2" t="s">
        <v>869</v>
      </c>
      <c r="P4436" s="2" t="s">
        <v>870</v>
      </c>
    </row>
    <row r="4437" ht="15.75" customHeight="1">
      <c r="H4437" s="2" t="s">
        <v>21977</v>
      </c>
      <c r="I4437" s="2" t="s">
        <v>21978</v>
      </c>
      <c r="J4437" s="2" t="s">
        <v>21979</v>
      </c>
      <c r="L4437" s="2" t="s">
        <v>18345</v>
      </c>
      <c r="M4437" s="2" t="s">
        <v>21980</v>
      </c>
      <c r="N4437" s="2" t="s">
        <v>21981</v>
      </c>
      <c r="O4437" s="2" t="s">
        <v>869</v>
      </c>
      <c r="P4437" s="2" t="s">
        <v>870</v>
      </c>
    </row>
    <row r="4438" ht="15.75" customHeight="1">
      <c r="H4438" s="2" t="s">
        <v>21982</v>
      </c>
      <c r="I4438" s="2" t="s">
        <v>5202</v>
      </c>
      <c r="J4438" s="2" t="s">
        <v>5203</v>
      </c>
      <c r="K4438" s="2" t="s">
        <v>1424</v>
      </c>
      <c r="L4438" s="2" t="s">
        <v>18345</v>
      </c>
      <c r="M4438" s="2" t="s">
        <v>21983</v>
      </c>
      <c r="N4438" s="2" t="s">
        <v>21984</v>
      </c>
      <c r="O4438" s="2" t="s">
        <v>869</v>
      </c>
      <c r="P4438" s="2" t="s">
        <v>870</v>
      </c>
    </row>
    <row r="4439" ht="15.75" customHeight="1">
      <c r="H4439" s="2" t="s">
        <v>21985</v>
      </c>
      <c r="I4439" s="2" t="s">
        <v>5225</v>
      </c>
      <c r="J4439" s="2" t="s">
        <v>5226</v>
      </c>
      <c r="K4439" s="2" t="s">
        <v>1027</v>
      </c>
      <c r="L4439" s="2" t="s">
        <v>18345</v>
      </c>
      <c r="M4439" s="2" t="s">
        <v>5227</v>
      </c>
      <c r="N4439" s="2" t="s">
        <v>21986</v>
      </c>
      <c r="O4439" s="2" t="s">
        <v>869</v>
      </c>
      <c r="P4439" s="2" t="s">
        <v>870</v>
      </c>
    </row>
    <row r="4440" ht="15.75" customHeight="1">
      <c r="H4440" s="2" t="s">
        <v>21987</v>
      </c>
      <c r="I4440" s="2" t="s">
        <v>21988</v>
      </c>
      <c r="J4440" s="2" t="s">
        <v>21989</v>
      </c>
      <c r="K4440" s="2" t="s">
        <v>1157</v>
      </c>
      <c r="L4440" s="2" t="s">
        <v>18345</v>
      </c>
      <c r="M4440" s="2" t="s">
        <v>21990</v>
      </c>
      <c r="N4440" s="2" t="s">
        <v>21991</v>
      </c>
      <c r="O4440" s="2" t="s">
        <v>869</v>
      </c>
      <c r="P4440" s="2" t="s">
        <v>870</v>
      </c>
    </row>
    <row r="4441" ht="15.75" customHeight="1">
      <c r="H4441" s="2" t="s">
        <v>21992</v>
      </c>
      <c r="I4441" s="2" t="s">
        <v>21993</v>
      </c>
      <c r="J4441" s="2" t="s">
        <v>21994</v>
      </c>
      <c r="K4441" s="2" t="s">
        <v>20718</v>
      </c>
      <c r="L4441" s="2" t="s">
        <v>18345</v>
      </c>
      <c r="M4441" s="2" t="s">
        <v>21995</v>
      </c>
      <c r="N4441" s="2" t="s">
        <v>21996</v>
      </c>
      <c r="O4441" s="2" t="s">
        <v>869</v>
      </c>
      <c r="P4441" s="2" t="s">
        <v>870</v>
      </c>
    </row>
    <row r="4442" ht="15.75" customHeight="1">
      <c r="H4442" s="2" t="s">
        <v>21997</v>
      </c>
      <c r="I4442" s="2" t="s">
        <v>6350</v>
      </c>
      <c r="J4442" s="2" t="s">
        <v>6351</v>
      </c>
      <c r="K4442" s="2" t="s">
        <v>4429</v>
      </c>
      <c r="L4442" s="2" t="s">
        <v>18345</v>
      </c>
      <c r="M4442" s="2" t="s">
        <v>21998</v>
      </c>
      <c r="N4442" s="2" t="s">
        <v>21999</v>
      </c>
      <c r="O4442" s="2" t="s">
        <v>869</v>
      </c>
      <c r="P4442" s="2" t="s">
        <v>870</v>
      </c>
    </row>
    <row r="4443" ht="15.75" customHeight="1">
      <c r="H4443" s="2" t="s">
        <v>22000</v>
      </c>
      <c r="I4443" s="2" t="s">
        <v>2730</v>
      </c>
      <c r="J4443" s="2" t="s">
        <v>2731</v>
      </c>
      <c r="K4443" s="2" t="s">
        <v>1181</v>
      </c>
      <c r="L4443" s="2" t="s">
        <v>18345</v>
      </c>
      <c r="M4443" s="2" t="s">
        <v>22001</v>
      </c>
      <c r="N4443" s="2" t="s">
        <v>22002</v>
      </c>
      <c r="O4443" s="2" t="s">
        <v>869</v>
      </c>
      <c r="P4443" s="2" t="s">
        <v>870</v>
      </c>
    </row>
    <row r="4444" ht="15.75" customHeight="1">
      <c r="H4444" s="2" t="s">
        <v>22003</v>
      </c>
      <c r="I4444" s="2" t="s">
        <v>845</v>
      </c>
      <c r="J4444" s="2" t="s">
        <v>846</v>
      </c>
      <c r="K4444" s="2" t="s">
        <v>1618</v>
      </c>
      <c r="L4444" s="2" t="s">
        <v>18345</v>
      </c>
      <c r="M4444" s="2" t="s">
        <v>22004</v>
      </c>
      <c r="N4444" s="2" t="s">
        <v>22005</v>
      </c>
      <c r="O4444" s="2" t="s">
        <v>869</v>
      </c>
      <c r="P4444" s="2" t="s">
        <v>870</v>
      </c>
    </row>
    <row r="4445" ht="15.75" customHeight="1">
      <c r="F4445" s="2" t="s">
        <v>5257</v>
      </c>
      <c r="H4445" s="2" t="s">
        <v>22006</v>
      </c>
      <c r="I4445" s="2" t="s">
        <v>22007</v>
      </c>
      <c r="J4445" s="2" t="s">
        <v>22008</v>
      </c>
      <c r="K4445" s="2" t="s">
        <v>880</v>
      </c>
      <c r="L4445" s="2" t="s">
        <v>18345</v>
      </c>
      <c r="M4445" s="2" t="s">
        <v>22009</v>
      </c>
      <c r="N4445" s="2" t="s">
        <v>22010</v>
      </c>
      <c r="O4445" s="2" t="s">
        <v>869</v>
      </c>
      <c r="P4445" s="2" t="s">
        <v>870</v>
      </c>
    </row>
    <row r="4446" ht="15.75" customHeight="1">
      <c r="H4446" s="2" t="s">
        <v>22011</v>
      </c>
      <c r="I4446" s="2" t="s">
        <v>22012</v>
      </c>
      <c r="J4446" s="2" t="s">
        <v>22013</v>
      </c>
      <c r="K4446" s="2" t="s">
        <v>1551</v>
      </c>
      <c r="L4446" s="2" t="s">
        <v>18345</v>
      </c>
      <c r="M4446" s="2" t="s">
        <v>22014</v>
      </c>
      <c r="N4446" s="2" t="s">
        <v>22015</v>
      </c>
      <c r="O4446" s="2" t="s">
        <v>869</v>
      </c>
      <c r="P4446" s="2" t="s">
        <v>870</v>
      </c>
    </row>
    <row r="4447" ht="15.75" customHeight="1">
      <c r="H4447" s="2" t="s">
        <v>22016</v>
      </c>
      <c r="I4447" s="2" t="s">
        <v>22017</v>
      </c>
      <c r="J4447" s="2" t="s">
        <v>22018</v>
      </c>
      <c r="K4447" s="2" t="s">
        <v>1007</v>
      </c>
      <c r="L4447" s="2" t="s">
        <v>18345</v>
      </c>
      <c r="M4447" s="2" t="s">
        <v>22019</v>
      </c>
      <c r="N4447" s="2" t="s">
        <v>22020</v>
      </c>
      <c r="O4447" s="2" t="s">
        <v>869</v>
      </c>
      <c r="P4447" s="2" t="s">
        <v>870</v>
      </c>
    </row>
    <row r="4448" ht="15.75" customHeight="1">
      <c r="H4448" s="2" t="s">
        <v>22021</v>
      </c>
      <c r="I4448" s="2" t="s">
        <v>22022</v>
      </c>
      <c r="J4448" s="2" t="s">
        <v>22023</v>
      </c>
      <c r="K4448" s="2" t="s">
        <v>896</v>
      </c>
      <c r="L4448" s="2" t="s">
        <v>18345</v>
      </c>
      <c r="M4448" s="2" t="s">
        <v>22024</v>
      </c>
      <c r="N4448" s="2" t="s">
        <v>22025</v>
      </c>
      <c r="O4448" s="2" t="s">
        <v>869</v>
      </c>
      <c r="P4448" s="2" t="s">
        <v>870</v>
      </c>
    </row>
    <row r="4449" ht="15.75" customHeight="1">
      <c r="H4449" s="2" t="s">
        <v>22026</v>
      </c>
      <c r="I4449" s="2" t="s">
        <v>2966</v>
      </c>
      <c r="J4449" s="2" t="s">
        <v>2967</v>
      </c>
      <c r="K4449" s="2" t="s">
        <v>1508</v>
      </c>
      <c r="L4449" s="2" t="s">
        <v>18345</v>
      </c>
      <c r="M4449" s="2" t="s">
        <v>22027</v>
      </c>
      <c r="N4449" s="2" t="s">
        <v>22028</v>
      </c>
      <c r="O4449" s="2" t="s">
        <v>869</v>
      </c>
      <c r="P4449" s="2" t="s">
        <v>870</v>
      </c>
    </row>
    <row r="4450" ht="15.75" customHeight="1">
      <c r="H4450" s="2" t="s">
        <v>22029</v>
      </c>
      <c r="I4450" s="2" t="s">
        <v>5272</v>
      </c>
      <c r="J4450" s="2" t="s">
        <v>5273</v>
      </c>
      <c r="K4450" s="2" t="s">
        <v>900</v>
      </c>
      <c r="L4450" s="2" t="s">
        <v>18345</v>
      </c>
      <c r="M4450" s="2" t="s">
        <v>22030</v>
      </c>
      <c r="N4450" s="2" t="s">
        <v>22031</v>
      </c>
      <c r="O4450" s="2" t="s">
        <v>869</v>
      </c>
      <c r="P4450" s="2" t="s">
        <v>870</v>
      </c>
    </row>
    <row r="4451" ht="15.75" customHeight="1">
      <c r="B4451" s="2" t="s">
        <v>22032</v>
      </c>
      <c r="C4451" s="2" t="s">
        <v>22033</v>
      </c>
      <c r="D4451" s="2" t="s">
        <v>22034</v>
      </c>
      <c r="F4451" s="2" t="s">
        <v>74</v>
      </c>
      <c r="H4451" s="2" t="s">
        <v>22035</v>
      </c>
      <c r="I4451" s="2" t="s">
        <v>76</v>
      </c>
      <c r="J4451" s="2" t="s">
        <v>77</v>
      </c>
      <c r="K4451" s="2" t="s">
        <v>15779</v>
      </c>
      <c r="L4451" s="2" t="s">
        <v>22036</v>
      </c>
      <c r="M4451" s="2" t="s">
        <v>22037</v>
      </c>
      <c r="N4451" s="2" t="s">
        <v>22038</v>
      </c>
      <c r="O4451" s="2" t="s">
        <v>22039</v>
      </c>
      <c r="P4451" s="2" t="s">
        <v>869</v>
      </c>
    </row>
    <row r="4452" ht="15.75" customHeight="1">
      <c r="H4452" s="2" t="s">
        <v>22040</v>
      </c>
      <c r="I4452" s="2" t="s">
        <v>1729</v>
      </c>
      <c r="J4452" s="2" t="s">
        <v>1730</v>
      </c>
      <c r="K4452" s="2" t="s">
        <v>22041</v>
      </c>
      <c r="L4452" s="2" t="s">
        <v>22036</v>
      </c>
      <c r="M4452" s="2" t="s">
        <v>22042</v>
      </c>
      <c r="N4452" s="2" t="s">
        <v>22043</v>
      </c>
      <c r="O4452" s="2" t="s">
        <v>22044</v>
      </c>
      <c r="P4452" s="2" t="s">
        <v>869</v>
      </c>
    </row>
    <row r="4453" ht="15.75" customHeight="1">
      <c r="F4453" s="2" t="s">
        <v>284</v>
      </c>
      <c r="H4453" s="2" t="s">
        <v>22045</v>
      </c>
      <c r="I4453" s="2" t="s">
        <v>294</v>
      </c>
      <c r="J4453" s="2" t="s">
        <v>295</v>
      </c>
      <c r="K4453" s="2" t="s">
        <v>6054</v>
      </c>
      <c r="L4453" s="2" t="s">
        <v>22036</v>
      </c>
      <c r="M4453" s="2" t="s">
        <v>22046</v>
      </c>
      <c r="N4453" s="2" t="s">
        <v>22047</v>
      </c>
      <c r="O4453" s="2" t="s">
        <v>22048</v>
      </c>
      <c r="P4453" s="2" t="s">
        <v>869</v>
      </c>
    </row>
    <row r="4454" ht="15.75" customHeight="1">
      <c r="H4454" s="2" t="s">
        <v>22049</v>
      </c>
      <c r="I4454" s="2" t="s">
        <v>1000</v>
      </c>
      <c r="J4454" s="2" t="s">
        <v>1001</v>
      </c>
      <c r="K4454" s="2" t="s">
        <v>22050</v>
      </c>
      <c r="L4454" s="2" t="s">
        <v>22036</v>
      </c>
      <c r="M4454" s="2" t="s">
        <v>22051</v>
      </c>
      <c r="N4454" s="2" t="s">
        <v>22052</v>
      </c>
      <c r="O4454" s="2" t="s">
        <v>22053</v>
      </c>
      <c r="P4454" s="2" t="s">
        <v>869</v>
      </c>
    </row>
    <row r="4455" ht="15.75" customHeight="1">
      <c r="H4455" s="2" t="s">
        <v>22054</v>
      </c>
      <c r="I4455" s="2" t="s">
        <v>13686</v>
      </c>
      <c r="J4455" s="2" t="s">
        <v>13687</v>
      </c>
      <c r="K4455" s="2" t="s">
        <v>22055</v>
      </c>
      <c r="L4455" s="2" t="s">
        <v>22036</v>
      </c>
      <c r="M4455" s="2" t="s">
        <v>22056</v>
      </c>
      <c r="N4455" s="2" t="s">
        <v>22057</v>
      </c>
      <c r="O4455" s="2" t="s">
        <v>22058</v>
      </c>
      <c r="P4455" s="2" t="s">
        <v>869</v>
      </c>
    </row>
    <row r="4456" ht="15.75" customHeight="1">
      <c r="H4456" s="2" t="s">
        <v>22059</v>
      </c>
      <c r="I4456" s="2" t="s">
        <v>393</v>
      </c>
      <c r="J4456" s="2" t="s">
        <v>394</v>
      </c>
      <c r="K4456" s="2" t="s">
        <v>22060</v>
      </c>
      <c r="L4456" s="2" t="s">
        <v>22036</v>
      </c>
      <c r="M4456" s="2" t="s">
        <v>22061</v>
      </c>
      <c r="N4456" s="2" t="s">
        <v>22062</v>
      </c>
      <c r="O4456" s="2" t="s">
        <v>22063</v>
      </c>
      <c r="P4456" s="2" t="s">
        <v>869</v>
      </c>
    </row>
    <row r="4457" ht="15.75" customHeight="1">
      <c r="H4457" s="2" t="s">
        <v>22064</v>
      </c>
      <c r="I4457" s="2" t="s">
        <v>449</v>
      </c>
      <c r="J4457" s="2" t="s">
        <v>450</v>
      </c>
      <c r="K4457" s="2" t="s">
        <v>6037</v>
      </c>
      <c r="L4457" s="2" t="s">
        <v>22036</v>
      </c>
      <c r="M4457" s="2" t="s">
        <v>22065</v>
      </c>
      <c r="N4457" s="2" t="s">
        <v>22066</v>
      </c>
      <c r="O4457" s="2" t="s">
        <v>22067</v>
      </c>
      <c r="P4457" s="2" t="s">
        <v>869</v>
      </c>
    </row>
    <row r="4458" ht="15.75" customHeight="1">
      <c r="H4458" s="2" t="s">
        <v>22068</v>
      </c>
      <c r="I4458" s="2" t="s">
        <v>485</v>
      </c>
      <c r="J4458" s="2" t="s">
        <v>486</v>
      </c>
      <c r="K4458" s="2" t="s">
        <v>22069</v>
      </c>
      <c r="L4458" s="2" t="s">
        <v>22036</v>
      </c>
      <c r="M4458" s="2" t="s">
        <v>22070</v>
      </c>
      <c r="N4458" s="2" t="s">
        <v>22071</v>
      </c>
      <c r="O4458" s="2" t="s">
        <v>22072</v>
      </c>
      <c r="P4458" s="2" t="s">
        <v>869</v>
      </c>
    </row>
    <row r="4459" ht="15.75" customHeight="1">
      <c r="F4459" s="2" t="s">
        <v>556</v>
      </c>
      <c r="H4459" s="2" t="s">
        <v>22073</v>
      </c>
      <c r="I4459" s="2" t="s">
        <v>22074</v>
      </c>
      <c r="J4459" s="2" t="s">
        <v>22075</v>
      </c>
      <c r="K4459" s="2" t="s">
        <v>5995</v>
      </c>
      <c r="L4459" s="2" t="s">
        <v>22036</v>
      </c>
      <c r="M4459" s="2" t="s">
        <v>22076</v>
      </c>
      <c r="N4459" s="2" t="s">
        <v>22077</v>
      </c>
      <c r="O4459" s="2" t="s">
        <v>22078</v>
      </c>
      <c r="P4459" s="2" t="s">
        <v>869</v>
      </c>
    </row>
    <row r="4460" ht="15.75" customHeight="1">
      <c r="H4460" s="2" t="s">
        <v>22079</v>
      </c>
      <c r="I4460" s="2" t="s">
        <v>12028</v>
      </c>
      <c r="J4460" s="2" t="s">
        <v>12029</v>
      </c>
      <c r="K4460" s="2" t="s">
        <v>15796</v>
      </c>
      <c r="L4460" s="2" t="s">
        <v>22036</v>
      </c>
      <c r="M4460" s="2" t="s">
        <v>22080</v>
      </c>
      <c r="N4460" s="2" t="s">
        <v>22081</v>
      </c>
      <c r="O4460" s="2" t="s">
        <v>22082</v>
      </c>
      <c r="P4460" s="2" t="s">
        <v>869</v>
      </c>
    </row>
    <row r="4461" ht="15.75" customHeight="1">
      <c r="F4461" s="2" t="s">
        <v>703</v>
      </c>
      <c r="H4461" s="2" t="s">
        <v>22083</v>
      </c>
      <c r="I4461" s="2" t="s">
        <v>713</v>
      </c>
      <c r="J4461" s="2" t="s">
        <v>714</v>
      </c>
      <c r="K4461" s="2" t="s">
        <v>15809</v>
      </c>
      <c r="L4461" s="2" t="s">
        <v>22036</v>
      </c>
      <c r="M4461" s="2" t="s">
        <v>22084</v>
      </c>
      <c r="N4461" s="2" t="s">
        <v>22085</v>
      </c>
      <c r="O4461" s="2" t="s">
        <v>22086</v>
      </c>
      <c r="P4461" s="2" t="s">
        <v>869</v>
      </c>
    </row>
    <row r="4462" ht="15.75" customHeight="1">
      <c r="F4462" s="2" t="s">
        <v>728</v>
      </c>
      <c r="H4462" s="2" t="s">
        <v>22087</v>
      </c>
      <c r="I4462" s="2" t="s">
        <v>730</v>
      </c>
      <c r="J4462" s="2" t="s">
        <v>731</v>
      </c>
      <c r="K4462" s="2" t="s">
        <v>6046</v>
      </c>
      <c r="L4462" s="2" t="s">
        <v>22036</v>
      </c>
      <c r="M4462" s="2" t="s">
        <v>22088</v>
      </c>
      <c r="N4462" s="2" t="s">
        <v>22089</v>
      </c>
      <c r="O4462" s="2" t="s">
        <v>22090</v>
      </c>
      <c r="P4462" s="2" t="s">
        <v>869</v>
      </c>
    </row>
    <row r="4463" ht="15.75" customHeight="1">
      <c r="F4463" s="2" t="s">
        <v>746</v>
      </c>
      <c r="H4463" s="2" t="s">
        <v>22091</v>
      </c>
      <c r="I4463" s="2" t="s">
        <v>22092</v>
      </c>
      <c r="J4463" s="2" t="s">
        <v>22093</v>
      </c>
      <c r="K4463" s="2" t="s">
        <v>6054</v>
      </c>
      <c r="L4463" s="2" t="s">
        <v>22036</v>
      </c>
      <c r="M4463" s="2" t="s">
        <v>22094</v>
      </c>
      <c r="N4463" s="2" t="s">
        <v>22095</v>
      </c>
      <c r="O4463" s="2" t="s">
        <v>22096</v>
      </c>
      <c r="P4463" s="2" t="s">
        <v>869</v>
      </c>
    </row>
    <row r="4464" ht="15.75" customHeight="1">
      <c r="F4464" s="2" t="s">
        <v>764</v>
      </c>
      <c r="H4464" s="2" t="s">
        <v>22097</v>
      </c>
      <c r="I4464" s="2" t="s">
        <v>22098</v>
      </c>
      <c r="J4464" s="2" t="s">
        <v>22099</v>
      </c>
      <c r="K4464" s="2" t="s">
        <v>6074</v>
      </c>
      <c r="L4464" s="2" t="s">
        <v>22036</v>
      </c>
      <c r="M4464" s="2" t="s">
        <v>22100</v>
      </c>
      <c r="N4464" s="2" t="s">
        <v>22101</v>
      </c>
      <c r="O4464" s="2" t="s">
        <v>22102</v>
      </c>
      <c r="P4464" s="2" t="s">
        <v>869</v>
      </c>
    </row>
    <row r="4465" ht="15.75" customHeight="1">
      <c r="F4465" s="2" t="s">
        <v>782</v>
      </c>
      <c r="H4465" s="2" t="s">
        <v>22103</v>
      </c>
      <c r="I4465" s="2" t="s">
        <v>21732</v>
      </c>
      <c r="J4465" s="2" t="s">
        <v>21733</v>
      </c>
      <c r="K4465" s="2" t="s">
        <v>22104</v>
      </c>
      <c r="L4465" s="2" t="s">
        <v>22036</v>
      </c>
      <c r="M4465" s="2" t="s">
        <v>22105</v>
      </c>
      <c r="N4465" s="2" t="s">
        <v>22106</v>
      </c>
      <c r="O4465" s="2" t="s">
        <v>22107</v>
      </c>
      <c r="P4465" s="2" t="s">
        <v>869</v>
      </c>
    </row>
    <row r="4466" ht="15.75" customHeight="1">
      <c r="B4466" s="2" t="s">
        <v>22108</v>
      </c>
      <c r="C4466" s="2" t="s">
        <v>17304</v>
      </c>
      <c r="D4466" s="2" t="s">
        <v>22109</v>
      </c>
      <c r="F4466" s="2" t="s">
        <v>19</v>
      </c>
      <c r="H4466" s="2" t="s">
        <v>22110</v>
      </c>
      <c r="I4466" s="2" t="s">
        <v>21</v>
      </c>
      <c r="J4466" s="2" t="s">
        <v>22</v>
      </c>
      <c r="K4466" s="2" t="s">
        <v>865</v>
      </c>
      <c r="L4466" s="2" t="s">
        <v>22111</v>
      </c>
      <c r="M4466" s="2" t="s">
        <v>22112</v>
      </c>
      <c r="N4466" s="2" t="s">
        <v>22113</v>
      </c>
      <c r="O4466" s="2" t="s">
        <v>869</v>
      </c>
      <c r="P4466" s="2" t="s">
        <v>870</v>
      </c>
    </row>
    <row r="4467" ht="15.75" customHeight="1">
      <c r="F4467" s="2" t="s">
        <v>29</v>
      </c>
      <c r="H4467" s="2" t="s">
        <v>22114</v>
      </c>
      <c r="I4467" s="2" t="s">
        <v>31</v>
      </c>
      <c r="J4467" s="2" t="s">
        <v>32</v>
      </c>
      <c r="K4467" s="2" t="s">
        <v>874</v>
      </c>
      <c r="L4467" s="2" t="s">
        <v>22115</v>
      </c>
      <c r="M4467" s="2" t="s">
        <v>22116</v>
      </c>
      <c r="N4467" s="2" t="s">
        <v>22117</v>
      </c>
      <c r="O4467" s="2" t="s">
        <v>869</v>
      </c>
      <c r="P4467" s="2" t="s">
        <v>870</v>
      </c>
    </row>
    <row r="4468" ht="15.75" customHeight="1">
      <c r="F4468" s="2" t="s">
        <v>56</v>
      </c>
      <c r="H4468" s="2" t="s">
        <v>22118</v>
      </c>
      <c r="I4468" s="2" t="s">
        <v>58</v>
      </c>
      <c r="J4468" s="2" t="s">
        <v>59</v>
      </c>
      <c r="L4468" s="2" t="s">
        <v>22111</v>
      </c>
      <c r="M4468" s="2" t="s">
        <v>22119</v>
      </c>
      <c r="N4468" s="2" t="s">
        <v>22120</v>
      </c>
      <c r="O4468" s="2" t="s">
        <v>869</v>
      </c>
      <c r="P4468" s="2" t="s">
        <v>870</v>
      </c>
    </row>
    <row r="4469" ht="15.75" customHeight="1">
      <c r="H4469" s="2" t="s">
        <v>22121</v>
      </c>
      <c r="I4469" s="2" t="s">
        <v>6831</v>
      </c>
      <c r="J4469" s="2" t="s">
        <v>6832</v>
      </c>
      <c r="K4469" s="2" t="s">
        <v>886</v>
      </c>
      <c r="L4469" s="2" t="s">
        <v>22111</v>
      </c>
      <c r="M4469" s="2" t="s">
        <v>22122</v>
      </c>
      <c r="N4469" s="2" t="s">
        <v>22123</v>
      </c>
      <c r="O4469" s="2" t="s">
        <v>869</v>
      </c>
      <c r="P4469" s="2" t="s">
        <v>870</v>
      </c>
    </row>
    <row r="4470" ht="15.75" customHeight="1">
      <c r="F4470" s="2" t="s">
        <v>65</v>
      </c>
      <c r="H4470" s="2" t="s">
        <v>22124</v>
      </c>
      <c r="I4470" s="2" t="s">
        <v>67</v>
      </c>
      <c r="J4470" s="2" t="s">
        <v>68</v>
      </c>
      <c r="K4470" s="2" t="s">
        <v>280</v>
      </c>
      <c r="L4470" s="2" t="s">
        <v>22111</v>
      </c>
      <c r="M4470" s="2" t="s">
        <v>22125</v>
      </c>
      <c r="N4470" s="2" t="s">
        <v>22126</v>
      </c>
      <c r="O4470" s="2" t="s">
        <v>869</v>
      </c>
      <c r="P4470" s="2" t="s">
        <v>870</v>
      </c>
    </row>
    <row r="4471" ht="15.75" customHeight="1">
      <c r="F4471" s="2" t="s">
        <v>74</v>
      </c>
      <c r="H4471" s="2" t="s">
        <v>22127</v>
      </c>
      <c r="I4471" s="2" t="s">
        <v>76</v>
      </c>
      <c r="J4471" s="2" t="s">
        <v>77</v>
      </c>
      <c r="K4471" s="2" t="s">
        <v>947</v>
      </c>
      <c r="L4471" s="2" t="s">
        <v>22128</v>
      </c>
      <c r="M4471" s="2" t="s">
        <v>22129</v>
      </c>
      <c r="N4471" s="2" t="s">
        <v>22130</v>
      </c>
      <c r="O4471" s="2" t="s">
        <v>22131</v>
      </c>
      <c r="P4471" s="2" t="s">
        <v>869</v>
      </c>
    </row>
    <row r="4472" ht="15.75" customHeight="1">
      <c r="H4472" s="2" t="s">
        <v>22132</v>
      </c>
      <c r="I4472" s="2" t="s">
        <v>22133</v>
      </c>
      <c r="J4472" s="2" t="s">
        <v>22134</v>
      </c>
      <c r="L4472" s="2" t="s">
        <v>22111</v>
      </c>
      <c r="M4472" s="2" t="s">
        <v>22135</v>
      </c>
      <c r="N4472" s="2" t="s">
        <v>22136</v>
      </c>
      <c r="O4472" s="2" t="s">
        <v>869</v>
      </c>
      <c r="P4472" s="2" t="s">
        <v>870</v>
      </c>
    </row>
    <row r="4473" ht="15.75" customHeight="1">
      <c r="H4473" s="2" t="s">
        <v>22137</v>
      </c>
      <c r="I4473" s="2" t="s">
        <v>11923</v>
      </c>
      <c r="J4473" s="2" t="s">
        <v>11924</v>
      </c>
      <c r="K4473" s="2" t="s">
        <v>22138</v>
      </c>
      <c r="L4473" s="2" t="s">
        <v>22111</v>
      </c>
      <c r="M4473" s="2" t="s">
        <v>22139</v>
      </c>
      <c r="N4473" s="2" t="s">
        <v>22140</v>
      </c>
      <c r="O4473" s="2" t="s">
        <v>869</v>
      </c>
      <c r="P4473" s="2" t="s">
        <v>870</v>
      </c>
    </row>
    <row r="4474" ht="15.75" customHeight="1">
      <c r="H4474" s="2" t="s">
        <v>22141</v>
      </c>
      <c r="I4474" s="2" t="s">
        <v>167</v>
      </c>
      <c r="J4474" s="2" t="s">
        <v>168</v>
      </c>
      <c r="K4474" s="2" t="s">
        <v>1692</v>
      </c>
      <c r="L4474" s="2" t="s">
        <v>22142</v>
      </c>
      <c r="M4474" s="2" t="s">
        <v>22143</v>
      </c>
      <c r="N4474" s="2" t="s">
        <v>22144</v>
      </c>
      <c r="O4474" s="2" t="s">
        <v>22145</v>
      </c>
      <c r="P4474" s="2" t="s">
        <v>869</v>
      </c>
    </row>
    <row r="4475" ht="15.75" customHeight="1">
      <c r="H4475" s="2" t="s">
        <v>22146</v>
      </c>
      <c r="I4475" s="2" t="s">
        <v>176</v>
      </c>
      <c r="J4475" s="2" t="s">
        <v>177</v>
      </c>
      <c r="K4475" s="2" t="s">
        <v>1708</v>
      </c>
      <c r="L4475" s="2" t="s">
        <v>22147</v>
      </c>
      <c r="M4475" s="2" t="s">
        <v>22148</v>
      </c>
      <c r="N4475" s="2" t="s">
        <v>22149</v>
      </c>
      <c r="O4475" s="2" t="s">
        <v>22150</v>
      </c>
      <c r="P4475" s="2" t="s">
        <v>869</v>
      </c>
    </row>
    <row r="4476" ht="15.75" customHeight="1">
      <c r="H4476" s="2" t="s">
        <v>22151</v>
      </c>
      <c r="I4476" s="2" t="s">
        <v>185</v>
      </c>
      <c r="J4476" s="2" t="s">
        <v>186</v>
      </c>
      <c r="L4476" s="2" t="s">
        <v>22111</v>
      </c>
      <c r="M4476" s="2" t="s">
        <v>22152</v>
      </c>
      <c r="N4476" s="2" t="s">
        <v>22153</v>
      </c>
      <c r="O4476" s="2" t="s">
        <v>869</v>
      </c>
      <c r="P4476" s="2" t="s">
        <v>870</v>
      </c>
    </row>
    <row r="4477" ht="15.75" customHeight="1">
      <c r="H4477" s="2" t="s">
        <v>22154</v>
      </c>
      <c r="I4477" s="2" t="s">
        <v>1729</v>
      </c>
      <c r="J4477" s="2" t="s">
        <v>1730</v>
      </c>
      <c r="K4477" s="2" t="s">
        <v>1731</v>
      </c>
      <c r="L4477" s="2" t="s">
        <v>22111</v>
      </c>
      <c r="M4477" s="2" t="s">
        <v>22155</v>
      </c>
      <c r="N4477" s="2" t="s">
        <v>22156</v>
      </c>
      <c r="O4477" s="2" t="s">
        <v>22157</v>
      </c>
      <c r="P4477" s="2" t="s">
        <v>869</v>
      </c>
    </row>
    <row r="4478" ht="15.75" customHeight="1">
      <c r="H4478" s="2" t="s">
        <v>22158</v>
      </c>
      <c r="I4478" s="2" t="s">
        <v>5346</v>
      </c>
      <c r="J4478" s="2" t="s">
        <v>5347</v>
      </c>
      <c r="K4478" s="2" t="s">
        <v>5348</v>
      </c>
      <c r="L4478" s="2" t="s">
        <v>22111</v>
      </c>
      <c r="M4478" s="2" t="s">
        <v>22159</v>
      </c>
      <c r="N4478" s="2" t="s">
        <v>22160</v>
      </c>
      <c r="O4478" s="2" t="s">
        <v>22161</v>
      </c>
      <c r="P4478" s="2" t="s">
        <v>869</v>
      </c>
    </row>
    <row r="4479" ht="15.75" customHeight="1">
      <c r="H4479" s="2" t="s">
        <v>22162</v>
      </c>
      <c r="I4479" s="2" t="s">
        <v>225</v>
      </c>
      <c r="J4479" s="2" t="s">
        <v>226</v>
      </c>
      <c r="L4479" s="2" t="s">
        <v>22111</v>
      </c>
      <c r="M4479" s="2" t="s">
        <v>22163</v>
      </c>
      <c r="N4479" s="2" t="s">
        <v>22164</v>
      </c>
      <c r="O4479" s="2" t="s">
        <v>869</v>
      </c>
      <c r="P4479" s="2" t="s">
        <v>870</v>
      </c>
    </row>
    <row r="4480" ht="15.75" customHeight="1">
      <c r="H4480" s="2" t="s">
        <v>22165</v>
      </c>
      <c r="I4480" s="2" t="s">
        <v>22166</v>
      </c>
      <c r="J4480" s="2" t="s">
        <v>22167</v>
      </c>
      <c r="K4480" s="2" t="s">
        <v>22168</v>
      </c>
      <c r="L4480" s="2" t="s">
        <v>22111</v>
      </c>
      <c r="M4480" s="2" t="s">
        <v>22169</v>
      </c>
      <c r="N4480" s="2" t="s">
        <v>22170</v>
      </c>
      <c r="O4480" s="2" t="s">
        <v>869</v>
      </c>
      <c r="P4480" s="2" t="s">
        <v>870</v>
      </c>
    </row>
    <row r="4481" ht="15.75" customHeight="1">
      <c r="H4481" s="2" t="s">
        <v>22171</v>
      </c>
      <c r="I4481" s="2" t="s">
        <v>14762</v>
      </c>
      <c r="J4481" s="2" t="s">
        <v>14763</v>
      </c>
      <c r="K4481" s="2" t="s">
        <v>22172</v>
      </c>
      <c r="L4481" s="2" t="s">
        <v>22111</v>
      </c>
      <c r="M4481" s="2" t="s">
        <v>22173</v>
      </c>
      <c r="N4481" s="2" t="s">
        <v>22174</v>
      </c>
      <c r="O4481" s="2" t="s">
        <v>869</v>
      </c>
      <c r="P4481" s="2" t="s">
        <v>870</v>
      </c>
    </row>
    <row r="4482" ht="15.75" customHeight="1">
      <c r="F4482" s="2" t="s">
        <v>265</v>
      </c>
      <c r="H4482" s="2" t="s">
        <v>22175</v>
      </c>
      <c r="I4482" s="2" t="s">
        <v>267</v>
      </c>
      <c r="J4482" s="2" t="s">
        <v>268</v>
      </c>
      <c r="K4482" s="2" t="s">
        <v>1313</v>
      </c>
      <c r="L4482" s="2" t="s">
        <v>22111</v>
      </c>
      <c r="M4482" s="2" t="s">
        <v>22176</v>
      </c>
      <c r="N4482" s="2" t="s">
        <v>22177</v>
      </c>
      <c r="O4482" s="2" t="s">
        <v>869</v>
      </c>
      <c r="P4482" s="2" t="s">
        <v>870</v>
      </c>
    </row>
    <row r="4483" ht="15.75" customHeight="1">
      <c r="F4483" s="2" t="s">
        <v>274</v>
      </c>
      <c r="H4483" s="2" t="s">
        <v>22178</v>
      </c>
      <c r="I4483" s="2" t="s">
        <v>22179</v>
      </c>
      <c r="J4483" s="2" t="s">
        <v>22180</v>
      </c>
      <c r="K4483" s="2" t="s">
        <v>1297</v>
      </c>
    </row>
    <row r="4484" ht="15.75" customHeight="1">
      <c r="F4484" s="2" t="s">
        <v>284</v>
      </c>
      <c r="H4484" s="2" t="s">
        <v>22181</v>
      </c>
      <c r="I4484" s="2" t="s">
        <v>13619</v>
      </c>
      <c r="J4484" s="2" t="s">
        <v>13620</v>
      </c>
      <c r="L4484" s="2" t="s">
        <v>22111</v>
      </c>
      <c r="M4484" s="2" t="s">
        <v>22182</v>
      </c>
      <c r="N4484" s="2" t="s">
        <v>22183</v>
      </c>
      <c r="O4484" s="2" t="s">
        <v>869</v>
      </c>
      <c r="P4484" s="2" t="s">
        <v>870</v>
      </c>
    </row>
    <row r="4485" ht="15.75" customHeight="1">
      <c r="H4485" s="2" t="s">
        <v>22184</v>
      </c>
      <c r="I4485" s="2" t="s">
        <v>18041</v>
      </c>
      <c r="J4485" s="2" t="s">
        <v>18042</v>
      </c>
      <c r="K4485" s="2" t="s">
        <v>947</v>
      </c>
      <c r="L4485" s="2" t="s">
        <v>22111</v>
      </c>
      <c r="M4485" s="2" t="s">
        <v>22185</v>
      </c>
      <c r="N4485" s="2" t="s">
        <v>22186</v>
      </c>
      <c r="O4485" s="2" t="s">
        <v>869</v>
      </c>
      <c r="P4485" s="2" t="s">
        <v>870</v>
      </c>
    </row>
    <row r="4486" ht="15.75" customHeight="1">
      <c r="H4486" s="2" t="s">
        <v>22187</v>
      </c>
      <c r="I4486" s="2" t="s">
        <v>22188</v>
      </c>
      <c r="J4486" s="2" t="s">
        <v>22189</v>
      </c>
      <c r="L4486" s="2" t="s">
        <v>22111</v>
      </c>
      <c r="M4486" s="2" t="s">
        <v>22190</v>
      </c>
      <c r="N4486" s="2" t="s">
        <v>22191</v>
      </c>
      <c r="O4486" s="2" t="s">
        <v>869</v>
      </c>
      <c r="P4486" s="2" t="s">
        <v>870</v>
      </c>
    </row>
    <row r="4487" ht="15.75" customHeight="1">
      <c r="H4487" s="2" t="s">
        <v>22192</v>
      </c>
      <c r="I4487" s="2" t="s">
        <v>6023</v>
      </c>
      <c r="J4487" s="2" t="s">
        <v>6024</v>
      </c>
      <c r="K4487" s="2" t="s">
        <v>1362</v>
      </c>
      <c r="L4487" s="2" t="s">
        <v>22111</v>
      </c>
      <c r="M4487" s="2" t="s">
        <v>22193</v>
      </c>
      <c r="N4487" s="2" t="s">
        <v>22194</v>
      </c>
      <c r="O4487" s="2" t="s">
        <v>22195</v>
      </c>
      <c r="P4487" s="2" t="s">
        <v>869</v>
      </c>
    </row>
    <row r="4488" ht="15.75" customHeight="1">
      <c r="H4488" s="2" t="s">
        <v>22196</v>
      </c>
      <c r="I4488" s="2" t="s">
        <v>5403</v>
      </c>
      <c r="J4488" s="2" t="s">
        <v>5404</v>
      </c>
      <c r="L4488" s="2" t="s">
        <v>22111</v>
      </c>
      <c r="M4488" s="2" t="s">
        <v>22197</v>
      </c>
      <c r="N4488" s="2" t="s">
        <v>22198</v>
      </c>
      <c r="O4488" s="2" t="s">
        <v>869</v>
      </c>
      <c r="P4488" s="2" t="s">
        <v>870</v>
      </c>
    </row>
    <row r="4489" ht="15.75" customHeight="1">
      <c r="H4489" s="2" t="s">
        <v>22199</v>
      </c>
      <c r="I4489" s="2" t="s">
        <v>286</v>
      </c>
      <c r="J4489" s="2" t="s">
        <v>287</v>
      </c>
      <c r="K4489" s="2" t="s">
        <v>1117</v>
      </c>
      <c r="L4489" s="2" t="s">
        <v>22200</v>
      </c>
      <c r="M4489" s="2" t="s">
        <v>22201</v>
      </c>
      <c r="N4489" s="2" t="s">
        <v>22202</v>
      </c>
      <c r="O4489" s="2" t="s">
        <v>22203</v>
      </c>
      <c r="P4489" s="2" t="s">
        <v>869</v>
      </c>
    </row>
    <row r="4490" ht="15.75" customHeight="1">
      <c r="H4490" s="2" t="s">
        <v>22204</v>
      </c>
      <c r="I4490" s="2" t="s">
        <v>5895</v>
      </c>
      <c r="J4490" s="2" t="s">
        <v>5896</v>
      </c>
      <c r="K4490" s="2" t="s">
        <v>1145</v>
      </c>
      <c r="L4490" s="2" t="s">
        <v>22205</v>
      </c>
      <c r="M4490" s="2" t="s">
        <v>22206</v>
      </c>
      <c r="N4490" s="2" t="s">
        <v>22207</v>
      </c>
      <c r="O4490" s="2" t="s">
        <v>869</v>
      </c>
      <c r="P4490" s="2" t="s">
        <v>870</v>
      </c>
    </row>
    <row r="4491" ht="15.75" customHeight="1">
      <c r="H4491" s="2" t="s">
        <v>22208</v>
      </c>
      <c r="I4491" s="2" t="s">
        <v>12616</v>
      </c>
      <c r="J4491" s="2" t="s">
        <v>12617</v>
      </c>
      <c r="K4491" s="2" t="s">
        <v>12618</v>
      </c>
      <c r="L4491" s="2" t="s">
        <v>22111</v>
      </c>
      <c r="M4491" s="2" t="s">
        <v>22209</v>
      </c>
      <c r="N4491" s="2" t="s">
        <v>22210</v>
      </c>
      <c r="O4491" s="2" t="s">
        <v>869</v>
      </c>
      <c r="P4491" s="2" t="s">
        <v>870</v>
      </c>
    </row>
    <row r="4492" ht="15.75" customHeight="1">
      <c r="H4492" s="2" t="s">
        <v>22211</v>
      </c>
      <c r="I4492" s="2" t="s">
        <v>310</v>
      </c>
      <c r="J4492" s="2" t="s">
        <v>311</v>
      </c>
      <c r="K4492" s="2" t="s">
        <v>1567</v>
      </c>
      <c r="L4492" s="2" t="s">
        <v>22212</v>
      </c>
      <c r="M4492" s="2" t="s">
        <v>22213</v>
      </c>
      <c r="N4492" s="2" t="s">
        <v>22214</v>
      </c>
      <c r="O4492" s="2" t="s">
        <v>22215</v>
      </c>
      <c r="P4492" s="2" t="s">
        <v>869</v>
      </c>
    </row>
    <row r="4493" ht="15.75" customHeight="1">
      <c r="H4493" s="2" t="s">
        <v>22216</v>
      </c>
      <c r="I4493" s="2" t="s">
        <v>5903</v>
      </c>
      <c r="J4493" s="2" t="s">
        <v>5904</v>
      </c>
      <c r="K4493" s="2" t="s">
        <v>1163</v>
      </c>
      <c r="L4493" s="2" t="s">
        <v>22111</v>
      </c>
      <c r="M4493" s="2" t="s">
        <v>22217</v>
      </c>
      <c r="N4493" s="2" t="s">
        <v>22218</v>
      </c>
      <c r="O4493" s="2" t="s">
        <v>869</v>
      </c>
      <c r="P4493" s="2" t="s">
        <v>870</v>
      </c>
    </row>
    <row r="4494" ht="15.75" customHeight="1">
      <c r="H4494" s="2" t="s">
        <v>22219</v>
      </c>
      <c r="I4494" s="2" t="s">
        <v>12234</v>
      </c>
      <c r="J4494" s="2" t="s">
        <v>12235</v>
      </c>
      <c r="L4494" s="2" t="s">
        <v>22111</v>
      </c>
      <c r="M4494" s="2" t="s">
        <v>22220</v>
      </c>
      <c r="N4494" s="2" t="s">
        <v>22221</v>
      </c>
      <c r="O4494" s="2" t="s">
        <v>869</v>
      </c>
      <c r="P4494" s="2" t="s">
        <v>870</v>
      </c>
    </row>
    <row r="4495" ht="15.75" customHeight="1">
      <c r="H4495" s="2" t="s">
        <v>22222</v>
      </c>
      <c r="I4495" s="2" t="s">
        <v>2175</v>
      </c>
      <c r="J4495" s="2" t="s">
        <v>2176</v>
      </c>
      <c r="K4495" s="2" t="s">
        <v>1406</v>
      </c>
      <c r="L4495" s="2" t="s">
        <v>22223</v>
      </c>
      <c r="M4495" s="2" t="s">
        <v>22224</v>
      </c>
      <c r="N4495" s="2" t="s">
        <v>22225</v>
      </c>
      <c r="O4495" s="2" t="s">
        <v>22226</v>
      </c>
      <c r="P4495" s="2" t="s">
        <v>869</v>
      </c>
    </row>
    <row r="4496" ht="15.75" customHeight="1">
      <c r="H4496" s="2" t="s">
        <v>22227</v>
      </c>
      <c r="I4496" s="2" t="s">
        <v>2207</v>
      </c>
      <c r="J4496" s="2" t="s">
        <v>2208</v>
      </c>
      <c r="K4496" s="2" t="s">
        <v>1027</v>
      </c>
      <c r="L4496" s="2" t="s">
        <v>22111</v>
      </c>
      <c r="M4496" s="2" t="s">
        <v>22228</v>
      </c>
      <c r="N4496" s="2" t="s">
        <v>22229</v>
      </c>
      <c r="O4496" s="2" t="s">
        <v>869</v>
      </c>
      <c r="P4496" s="2" t="s">
        <v>870</v>
      </c>
    </row>
    <row r="4497" ht="15.75" customHeight="1">
      <c r="H4497" s="2" t="s">
        <v>22230</v>
      </c>
      <c r="I4497" s="2" t="s">
        <v>326</v>
      </c>
      <c r="J4497" s="2" t="s">
        <v>327</v>
      </c>
      <c r="K4497" s="2" t="s">
        <v>1331</v>
      </c>
      <c r="L4497" s="2" t="s">
        <v>22231</v>
      </c>
      <c r="M4497" s="2" t="s">
        <v>22232</v>
      </c>
      <c r="N4497" s="2" t="s">
        <v>22233</v>
      </c>
      <c r="O4497" s="2" t="s">
        <v>869</v>
      </c>
      <c r="P4497" s="2" t="s">
        <v>870</v>
      </c>
    </row>
    <row r="4498" ht="15.75" customHeight="1">
      <c r="H4498" s="2" t="s">
        <v>22234</v>
      </c>
      <c r="I4498" s="2" t="s">
        <v>5436</v>
      </c>
      <c r="J4498" s="2" t="s">
        <v>5437</v>
      </c>
      <c r="K4498" s="2" t="s">
        <v>1439</v>
      </c>
      <c r="L4498" s="2" t="s">
        <v>22111</v>
      </c>
      <c r="M4498" s="2" t="s">
        <v>22235</v>
      </c>
      <c r="N4498" s="2" t="s">
        <v>22236</v>
      </c>
      <c r="O4498" s="2" t="s">
        <v>869</v>
      </c>
      <c r="P4498" s="2" t="s">
        <v>870</v>
      </c>
    </row>
    <row r="4499" ht="15.75" customHeight="1">
      <c r="H4499" s="2" t="s">
        <v>22237</v>
      </c>
      <c r="I4499" s="2" t="s">
        <v>335</v>
      </c>
      <c r="J4499" s="2" t="s">
        <v>336</v>
      </c>
      <c r="L4499" s="2" t="s">
        <v>22111</v>
      </c>
      <c r="M4499" s="2" t="s">
        <v>22238</v>
      </c>
      <c r="N4499" s="2" t="s">
        <v>22239</v>
      </c>
      <c r="O4499" s="2" t="s">
        <v>869</v>
      </c>
      <c r="P4499" s="2" t="s">
        <v>870</v>
      </c>
    </row>
    <row r="4500" ht="15.75" customHeight="1">
      <c r="H4500" s="2" t="s">
        <v>22240</v>
      </c>
      <c r="I4500" s="2" t="s">
        <v>376</v>
      </c>
      <c r="J4500" s="2" t="s">
        <v>377</v>
      </c>
      <c r="K4500" s="2" t="s">
        <v>2025</v>
      </c>
      <c r="L4500" s="2" t="s">
        <v>22111</v>
      </c>
      <c r="M4500" s="2" t="s">
        <v>22241</v>
      </c>
      <c r="N4500" s="2" t="s">
        <v>22242</v>
      </c>
      <c r="O4500" s="2" t="s">
        <v>22243</v>
      </c>
      <c r="P4500" s="2" t="s">
        <v>869</v>
      </c>
    </row>
    <row r="4501" ht="15.75" customHeight="1">
      <c r="H4501" s="2" t="s">
        <v>22244</v>
      </c>
      <c r="I4501" s="2" t="s">
        <v>415</v>
      </c>
      <c r="J4501" s="2" t="s">
        <v>416</v>
      </c>
      <c r="K4501" s="2" t="s">
        <v>11991</v>
      </c>
      <c r="L4501" s="2" t="s">
        <v>22245</v>
      </c>
      <c r="M4501" s="2" t="s">
        <v>22246</v>
      </c>
      <c r="N4501" s="2" t="s">
        <v>22247</v>
      </c>
      <c r="O4501" s="2" t="s">
        <v>22248</v>
      </c>
      <c r="P4501" s="2" t="s">
        <v>869</v>
      </c>
    </row>
    <row r="4502" ht="15.75" customHeight="1">
      <c r="H4502" s="2" t="s">
        <v>22249</v>
      </c>
      <c r="I4502" s="2" t="s">
        <v>11998</v>
      </c>
      <c r="J4502" s="2" t="s">
        <v>11999</v>
      </c>
      <c r="K4502" s="2" t="s">
        <v>2375</v>
      </c>
      <c r="L4502" s="2" t="s">
        <v>22250</v>
      </c>
      <c r="M4502" s="2" t="s">
        <v>22251</v>
      </c>
      <c r="N4502" s="2" t="s">
        <v>22252</v>
      </c>
      <c r="O4502" s="2" t="s">
        <v>22253</v>
      </c>
      <c r="P4502" s="2" t="s">
        <v>869</v>
      </c>
    </row>
    <row r="4503" ht="15.75" customHeight="1">
      <c r="H4503" s="2" t="s">
        <v>22254</v>
      </c>
      <c r="I4503" s="2" t="s">
        <v>432</v>
      </c>
      <c r="J4503" s="2" t="s">
        <v>433</v>
      </c>
      <c r="K4503" s="2" t="s">
        <v>2236</v>
      </c>
      <c r="L4503" s="2" t="s">
        <v>22255</v>
      </c>
      <c r="M4503" s="2" t="s">
        <v>22256</v>
      </c>
      <c r="N4503" s="2" t="s">
        <v>22257</v>
      </c>
      <c r="O4503" s="2" t="s">
        <v>22258</v>
      </c>
      <c r="P4503" s="2" t="s">
        <v>869</v>
      </c>
    </row>
    <row r="4504" ht="15.75" customHeight="1">
      <c r="H4504" s="2" t="s">
        <v>22259</v>
      </c>
      <c r="I4504" s="2" t="s">
        <v>12278</v>
      </c>
      <c r="J4504" s="2" t="s">
        <v>12279</v>
      </c>
      <c r="K4504" s="2" t="s">
        <v>1704</v>
      </c>
      <c r="L4504" s="2" t="s">
        <v>22111</v>
      </c>
      <c r="M4504" s="2" t="s">
        <v>22260</v>
      </c>
      <c r="N4504" s="2" t="s">
        <v>22261</v>
      </c>
      <c r="O4504" s="2" t="s">
        <v>869</v>
      </c>
      <c r="P4504" s="2" t="s">
        <v>870</v>
      </c>
    </row>
    <row r="4505" ht="15.75" customHeight="1">
      <c r="H4505" s="2" t="s">
        <v>22262</v>
      </c>
      <c r="I4505" s="2" t="s">
        <v>440</v>
      </c>
      <c r="J4505" s="2" t="s">
        <v>441</v>
      </c>
      <c r="K4505" s="2" t="s">
        <v>2252</v>
      </c>
      <c r="L4505" s="2" t="s">
        <v>22263</v>
      </c>
      <c r="M4505" s="2" t="s">
        <v>22264</v>
      </c>
      <c r="N4505" s="2" t="s">
        <v>22265</v>
      </c>
      <c r="O4505" s="2" t="s">
        <v>22266</v>
      </c>
      <c r="P4505" s="2" t="s">
        <v>869</v>
      </c>
    </row>
    <row r="4506" ht="15.75" customHeight="1">
      <c r="H4506" s="2" t="s">
        <v>22267</v>
      </c>
      <c r="I4506" s="2" t="s">
        <v>449</v>
      </c>
      <c r="J4506" s="2" t="s">
        <v>450</v>
      </c>
      <c r="K4506" s="2" t="s">
        <v>5500</v>
      </c>
      <c r="L4506" s="2" t="s">
        <v>22268</v>
      </c>
      <c r="M4506" s="2" t="s">
        <v>22269</v>
      </c>
      <c r="N4506" s="2" t="s">
        <v>22270</v>
      </c>
      <c r="O4506" s="2" t="s">
        <v>22271</v>
      </c>
      <c r="P4506" s="2" t="s">
        <v>869</v>
      </c>
    </row>
    <row r="4507" ht="15.75" customHeight="1">
      <c r="H4507" s="2" t="s">
        <v>22272</v>
      </c>
      <c r="I4507" s="2" t="s">
        <v>458</v>
      </c>
      <c r="J4507" s="2" t="s">
        <v>459</v>
      </c>
      <c r="L4507" s="2" t="s">
        <v>22111</v>
      </c>
      <c r="M4507" s="2" t="s">
        <v>22273</v>
      </c>
      <c r="N4507" s="2" t="s">
        <v>22274</v>
      </c>
      <c r="O4507" s="2" t="s">
        <v>869</v>
      </c>
      <c r="P4507" s="2" t="s">
        <v>870</v>
      </c>
    </row>
    <row r="4508" ht="15.75" customHeight="1">
      <c r="H4508" s="2" t="s">
        <v>22275</v>
      </c>
      <c r="I4508" s="2" t="s">
        <v>13823</v>
      </c>
      <c r="J4508" s="2" t="s">
        <v>13824</v>
      </c>
      <c r="K4508" s="2" t="s">
        <v>22276</v>
      </c>
      <c r="L4508" s="2" t="s">
        <v>22277</v>
      </c>
      <c r="M4508" s="2" t="s">
        <v>22278</v>
      </c>
      <c r="N4508" s="2" t="s">
        <v>22279</v>
      </c>
      <c r="O4508" s="2" t="s">
        <v>22280</v>
      </c>
      <c r="P4508" s="2" t="s">
        <v>869</v>
      </c>
    </row>
    <row r="4509" ht="15.75" customHeight="1">
      <c r="H4509" s="2" t="s">
        <v>22281</v>
      </c>
      <c r="I4509" s="2" t="s">
        <v>5541</v>
      </c>
      <c r="J4509" s="2" t="s">
        <v>5542</v>
      </c>
      <c r="K4509" s="2" t="s">
        <v>5543</v>
      </c>
      <c r="L4509" s="2" t="s">
        <v>22111</v>
      </c>
      <c r="M4509" s="2" t="s">
        <v>22282</v>
      </c>
      <c r="N4509" s="2" t="s">
        <v>22283</v>
      </c>
      <c r="O4509" s="2" t="s">
        <v>869</v>
      </c>
      <c r="P4509" s="2" t="s">
        <v>870</v>
      </c>
    </row>
    <row r="4510" ht="15.75" customHeight="1">
      <c r="H4510" s="2" t="s">
        <v>22284</v>
      </c>
      <c r="I4510" s="2" t="s">
        <v>13849</v>
      </c>
      <c r="J4510" s="2" t="s">
        <v>13850</v>
      </c>
      <c r="K4510" s="2" t="s">
        <v>12160</v>
      </c>
      <c r="L4510" s="2" t="s">
        <v>22111</v>
      </c>
      <c r="M4510" s="2" t="s">
        <v>22285</v>
      </c>
      <c r="N4510" s="2" t="s">
        <v>22286</v>
      </c>
      <c r="O4510" s="2" t="s">
        <v>869</v>
      </c>
      <c r="P4510" s="2" t="s">
        <v>870</v>
      </c>
    </row>
    <row r="4511" ht="15.75" customHeight="1">
      <c r="H4511" s="2" t="s">
        <v>22287</v>
      </c>
      <c r="I4511" s="2" t="s">
        <v>2421</v>
      </c>
      <c r="J4511" s="2" t="s">
        <v>2422</v>
      </c>
      <c r="K4511" s="2" t="s">
        <v>1698</v>
      </c>
      <c r="L4511" s="2" t="s">
        <v>22288</v>
      </c>
      <c r="M4511" s="2" t="s">
        <v>22289</v>
      </c>
      <c r="N4511" s="2" t="s">
        <v>22290</v>
      </c>
      <c r="O4511" s="2" t="s">
        <v>22291</v>
      </c>
      <c r="P4511" s="2" t="s">
        <v>869</v>
      </c>
    </row>
    <row r="4512" ht="15.75" customHeight="1">
      <c r="H4512" s="2" t="s">
        <v>22292</v>
      </c>
      <c r="I4512" s="2" t="s">
        <v>526</v>
      </c>
      <c r="J4512" s="2" t="s">
        <v>527</v>
      </c>
      <c r="K4512" s="2" t="s">
        <v>2316</v>
      </c>
      <c r="L4512" s="2" t="s">
        <v>22293</v>
      </c>
      <c r="M4512" s="2" t="s">
        <v>22294</v>
      </c>
      <c r="N4512" s="2" t="s">
        <v>22295</v>
      </c>
      <c r="O4512" s="2" t="s">
        <v>22296</v>
      </c>
      <c r="P4512" s="2" t="s">
        <v>869</v>
      </c>
    </row>
    <row r="4513" ht="15.75" customHeight="1">
      <c r="F4513" s="2" t="s">
        <v>2508</v>
      </c>
      <c r="H4513" s="2" t="s">
        <v>22297</v>
      </c>
      <c r="I4513" s="2" t="s">
        <v>22298</v>
      </c>
      <c r="J4513" s="2" t="s">
        <v>22299</v>
      </c>
      <c r="K4513" s="2" t="s">
        <v>22300</v>
      </c>
    </row>
    <row r="4514" ht="15.75" customHeight="1">
      <c r="H4514" s="2" t="s">
        <v>22301</v>
      </c>
      <c r="I4514" s="2" t="s">
        <v>22302</v>
      </c>
      <c r="J4514" s="2" t="s">
        <v>22303</v>
      </c>
      <c r="K4514" s="2" t="s">
        <v>22304</v>
      </c>
    </row>
    <row r="4515" ht="15.75" customHeight="1">
      <c r="F4515" s="2" t="s">
        <v>534</v>
      </c>
      <c r="H4515" s="2" t="s">
        <v>22305</v>
      </c>
      <c r="I4515" s="2" t="s">
        <v>536</v>
      </c>
      <c r="J4515" s="2" t="s">
        <v>537</v>
      </c>
      <c r="K4515" s="2" t="s">
        <v>538</v>
      </c>
    </row>
    <row r="4516" ht="15.75" customHeight="1">
      <c r="F4516" s="2" t="s">
        <v>539</v>
      </c>
      <c r="H4516" s="2" t="s">
        <v>22306</v>
      </c>
      <c r="I4516" s="2" t="s">
        <v>541</v>
      </c>
      <c r="J4516" s="2" t="s">
        <v>542</v>
      </c>
      <c r="K4516" s="2" t="s">
        <v>886</v>
      </c>
      <c r="L4516" s="2" t="s">
        <v>22111</v>
      </c>
      <c r="M4516" s="2" t="s">
        <v>22307</v>
      </c>
      <c r="N4516" s="2" t="s">
        <v>22308</v>
      </c>
      <c r="O4516" s="2" t="s">
        <v>869</v>
      </c>
      <c r="P4516" s="2" t="s">
        <v>870</v>
      </c>
    </row>
    <row r="4517" ht="15.75" customHeight="1">
      <c r="F4517" s="2" t="s">
        <v>548</v>
      </c>
      <c r="H4517" s="2" t="s">
        <v>22309</v>
      </c>
      <c r="I4517" s="2" t="s">
        <v>8036</v>
      </c>
      <c r="J4517" s="2" t="s">
        <v>8037</v>
      </c>
      <c r="K4517" s="2" t="s">
        <v>874</v>
      </c>
      <c r="L4517" s="2" t="s">
        <v>22111</v>
      </c>
      <c r="M4517" s="2" t="s">
        <v>22310</v>
      </c>
      <c r="N4517" s="2" t="s">
        <v>22311</v>
      </c>
      <c r="O4517" s="2" t="s">
        <v>869</v>
      </c>
      <c r="P4517" s="2" t="s">
        <v>870</v>
      </c>
    </row>
    <row r="4518" ht="15.75" customHeight="1">
      <c r="H4518" s="2" t="s">
        <v>22312</v>
      </c>
      <c r="I4518" s="2" t="s">
        <v>550</v>
      </c>
      <c r="J4518" s="2" t="s">
        <v>551</v>
      </c>
      <c r="K4518" s="2" t="s">
        <v>963</v>
      </c>
      <c r="L4518" s="2" t="s">
        <v>22111</v>
      </c>
      <c r="M4518" s="2" t="s">
        <v>22313</v>
      </c>
      <c r="N4518" s="2" t="s">
        <v>22314</v>
      </c>
      <c r="O4518" s="2" t="s">
        <v>869</v>
      </c>
      <c r="P4518" s="2" t="s">
        <v>870</v>
      </c>
    </row>
    <row r="4519" ht="15.75" customHeight="1">
      <c r="H4519" s="2" t="s">
        <v>22315</v>
      </c>
      <c r="I4519" s="2" t="s">
        <v>22316</v>
      </c>
      <c r="J4519" s="2" t="s">
        <v>22317</v>
      </c>
      <c r="L4519" s="2" t="s">
        <v>22111</v>
      </c>
      <c r="M4519" s="2" t="s">
        <v>22318</v>
      </c>
      <c r="N4519" s="2" t="s">
        <v>22319</v>
      </c>
      <c r="O4519" s="2" t="s">
        <v>869</v>
      </c>
      <c r="P4519" s="2" t="s">
        <v>870</v>
      </c>
    </row>
    <row r="4520" ht="15.75" customHeight="1">
      <c r="H4520" s="2" t="s">
        <v>22320</v>
      </c>
      <c r="I4520" s="2" t="s">
        <v>22321</v>
      </c>
      <c r="J4520" s="2" t="s">
        <v>22322</v>
      </c>
      <c r="K4520" s="2" t="s">
        <v>17304</v>
      </c>
      <c r="L4520" s="2" t="s">
        <v>22111</v>
      </c>
      <c r="M4520" s="2" t="s">
        <v>22323</v>
      </c>
      <c r="N4520" s="2" t="s">
        <v>22324</v>
      </c>
      <c r="O4520" s="2" t="s">
        <v>869</v>
      </c>
      <c r="P4520" s="2" t="s">
        <v>870</v>
      </c>
    </row>
    <row r="4521" ht="15.75" customHeight="1">
      <c r="F4521" s="2" t="s">
        <v>556</v>
      </c>
      <c r="H4521" s="2" t="s">
        <v>22325</v>
      </c>
      <c r="I4521" s="2" t="s">
        <v>558</v>
      </c>
      <c r="J4521" s="2" t="s">
        <v>559</v>
      </c>
      <c r="K4521" s="2" t="s">
        <v>1362</v>
      </c>
      <c r="L4521" s="2" t="s">
        <v>22111</v>
      </c>
      <c r="M4521" s="2" t="s">
        <v>22326</v>
      </c>
      <c r="N4521" s="2" t="s">
        <v>22327</v>
      </c>
      <c r="O4521" s="2" t="s">
        <v>22328</v>
      </c>
      <c r="P4521" s="2" t="s">
        <v>869</v>
      </c>
    </row>
    <row r="4522" ht="15.75" customHeight="1">
      <c r="H4522" s="2" t="s">
        <v>22329</v>
      </c>
      <c r="I4522" s="2" t="s">
        <v>8166</v>
      </c>
      <c r="J4522" s="2" t="s">
        <v>8167</v>
      </c>
      <c r="K4522" s="2" t="s">
        <v>1508</v>
      </c>
      <c r="L4522" s="2" t="s">
        <v>22111</v>
      </c>
      <c r="M4522" s="2" t="s">
        <v>22330</v>
      </c>
      <c r="N4522" s="2" t="s">
        <v>22331</v>
      </c>
      <c r="O4522" s="2" t="s">
        <v>869</v>
      </c>
      <c r="P4522" s="2" t="s">
        <v>870</v>
      </c>
    </row>
    <row r="4523" ht="15.75" customHeight="1">
      <c r="F4523" s="2" t="s">
        <v>581</v>
      </c>
      <c r="H4523" s="2" t="s">
        <v>22332</v>
      </c>
      <c r="I4523" s="2" t="s">
        <v>17295</v>
      </c>
      <c r="J4523" s="2" t="s">
        <v>17296</v>
      </c>
      <c r="K4523" s="2" t="s">
        <v>1145</v>
      </c>
      <c r="L4523" s="2" t="s">
        <v>22111</v>
      </c>
      <c r="M4523" s="2" t="s">
        <v>22333</v>
      </c>
      <c r="N4523" s="2" t="s">
        <v>22334</v>
      </c>
      <c r="O4523" s="2" t="s">
        <v>869</v>
      </c>
      <c r="P4523" s="2" t="s">
        <v>870</v>
      </c>
    </row>
    <row r="4524" ht="15.75" customHeight="1">
      <c r="F4524" s="2" t="s">
        <v>598</v>
      </c>
      <c r="H4524" s="2" t="s">
        <v>22335</v>
      </c>
      <c r="I4524" s="2" t="s">
        <v>608</v>
      </c>
      <c r="J4524" s="2" t="s">
        <v>609</v>
      </c>
      <c r="K4524" s="2" t="s">
        <v>1508</v>
      </c>
      <c r="L4524" s="2" t="s">
        <v>22111</v>
      </c>
      <c r="M4524" s="2" t="s">
        <v>22336</v>
      </c>
      <c r="N4524" s="2" t="s">
        <v>22337</v>
      </c>
      <c r="O4524" s="2" t="s">
        <v>869</v>
      </c>
      <c r="P4524" s="2" t="s">
        <v>870</v>
      </c>
    </row>
    <row r="4525" ht="15.75" customHeight="1">
      <c r="F4525" s="2" t="s">
        <v>624</v>
      </c>
      <c r="H4525" s="2" t="s">
        <v>22338</v>
      </c>
      <c r="I4525" s="2" t="s">
        <v>626</v>
      </c>
      <c r="J4525" s="2" t="s">
        <v>627</v>
      </c>
      <c r="K4525" s="2" t="s">
        <v>1631</v>
      </c>
      <c r="L4525" s="2" t="s">
        <v>22111</v>
      </c>
      <c r="M4525" s="2" t="s">
        <v>22339</v>
      </c>
      <c r="N4525" s="2" t="s">
        <v>22340</v>
      </c>
      <c r="O4525" s="2" t="s">
        <v>22341</v>
      </c>
      <c r="P4525" s="2" t="s">
        <v>869</v>
      </c>
    </row>
    <row r="4526" ht="15.75" customHeight="1">
      <c r="F4526" s="2" t="s">
        <v>651</v>
      </c>
      <c r="H4526" s="2" t="s">
        <v>22342</v>
      </c>
      <c r="I4526" s="2" t="s">
        <v>653</v>
      </c>
      <c r="J4526" s="2" t="s">
        <v>654</v>
      </c>
      <c r="K4526" s="2" t="s">
        <v>1508</v>
      </c>
      <c r="L4526" s="2" t="s">
        <v>22111</v>
      </c>
      <c r="M4526" s="2" t="s">
        <v>22343</v>
      </c>
      <c r="N4526" s="2" t="s">
        <v>22344</v>
      </c>
      <c r="O4526" s="2" t="s">
        <v>869</v>
      </c>
      <c r="P4526" s="2" t="s">
        <v>870</v>
      </c>
    </row>
    <row r="4527" ht="15.75" customHeight="1">
      <c r="F4527" s="2" t="s">
        <v>660</v>
      </c>
      <c r="H4527" s="2" t="s">
        <v>22345</v>
      </c>
      <c r="I4527" s="2" t="s">
        <v>662</v>
      </c>
      <c r="J4527" s="2" t="s">
        <v>663</v>
      </c>
      <c r="K4527" s="2" t="s">
        <v>1567</v>
      </c>
      <c r="L4527" s="2" t="s">
        <v>22111</v>
      </c>
      <c r="M4527" s="2" t="s">
        <v>22346</v>
      </c>
      <c r="N4527" s="2" t="s">
        <v>22347</v>
      </c>
      <c r="O4527" s="2" t="s">
        <v>869</v>
      </c>
      <c r="P4527" s="2" t="s">
        <v>870</v>
      </c>
    </row>
    <row r="4528" ht="15.75" customHeight="1">
      <c r="F4528" s="2" t="s">
        <v>677</v>
      </c>
      <c r="H4528" s="2" t="s">
        <v>22348</v>
      </c>
      <c r="I4528" s="2" t="s">
        <v>679</v>
      </c>
      <c r="J4528" s="2" t="s">
        <v>680</v>
      </c>
      <c r="K4528" s="2" t="s">
        <v>1157</v>
      </c>
      <c r="L4528" s="2" t="s">
        <v>22111</v>
      </c>
      <c r="M4528" s="2" t="s">
        <v>22349</v>
      </c>
      <c r="N4528" s="2" t="s">
        <v>22350</v>
      </c>
      <c r="O4528" s="2" t="s">
        <v>869</v>
      </c>
      <c r="P4528" s="2" t="s">
        <v>870</v>
      </c>
    </row>
    <row r="4529" ht="15.75" customHeight="1">
      <c r="F4529" s="2" t="s">
        <v>694</v>
      </c>
      <c r="H4529" s="2" t="s">
        <v>22351</v>
      </c>
      <c r="I4529" s="2" t="s">
        <v>696</v>
      </c>
      <c r="J4529" s="2" t="s">
        <v>697</v>
      </c>
      <c r="K4529" s="2" t="s">
        <v>1567</v>
      </c>
      <c r="L4529" s="2" t="s">
        <v>22352</v>
      </c>
      <c r="M4529" s="2" t="s">
        <v>22353</v>
      </c>
      <c r="N4529" s="2" t="s">
        <v>22354</v>
      </c>
      <c r="O4529" s="2" t="s">
        <v>22355</v>
      </c>
      <c r="P4529" s="2" t="s">
        <v>869</v>
      </c>
    </row>
    <row r="4530" ht="15.75" customHeight="1">
      <c r="H4530" s="2" t="s">
        <v>22356</v>
      </c>
      <c r="I4530" s="2" t="s">
        <v>17570</v>
      </c>
      <c r="J4530" s="2" t="s">
        <v>17571</v>
      </c>
      <c r="L4530" s="2" t="s">
        <v>22111</v>
      </c>
      <c r="M4530" s="2" t="s">
        <v>22357</v>
      </c>
      <c r="N4530" s="2" t="s">
        <v>22358</v>
      </c>
      <c r="O4530" s="2" t="s">
        <v>869</v>
      </c>
      <c r="P4530" s="2" t="s">
        <v>870</v>
      </c>
    </row>
    <row r="4531" ht="15.75" customHeight="1">
      <c r="H4531" s="2" t="s">
        <v>22359</v>
      </c>
      <c r="I4531" s="2" t="s">
        <v>3968</v>
      </c>
      <c r="J4531" s="2" t="s">
        <v>3969</v>
      </c>
      <c r="K4531" s="2" t="s">
        <v>1157</v>
      </c>
      <c r="L4531" s="2" t="s">
        <v>22111</v>
      </c>
      <c r="M4531" s="2" t="s">
        <v>22360</v>
      </c>
      <c r="N4531" s="2" t="s">
        <v>22361</v>
      </c>
      <c r="O4531" s="2" t="s">
        <v>869</v>
      </c>
      <c r="P4531" s="2" t="s">
        <v>870</v>
      </c>
    </row>
    <row r="4532" ht="15.75" customHeight="1">
      <c r="H4532" s="2" t="s">
        <v>22362</v>
      </c>
      <c r="I4532" s="2" t="s">
        <v>22363</v>
      </c>
      <c r="J4532" s="2" t="s">
        <v>22364</v>
      </c>
      <c r="L4532" s="2" t="s">
        <v>22111</v>
      </c>
      <c r="M4532" s="2" t="s">
        <v>22365</v>
      </c>
      <c r="N4532" s="2" t="s">
        <v>22366</v>
      </c>
      <c r="O4532" s="2" t="s">
        <v>869</v>
      </c>
      <c r="P4532" s="2" t="s">
        <v>870</v>
      </c>
    </row>
    <row r="4533" ht="15.75" customHeight="1">
      <c r="F4533" s="2" t="s">
        <v>703</v>
      </c>
      <c r="H4533" s="2" t="s">
        <v>22367</v>
      </c>
      <c r="I4533" s="2" t="s">
        <v>705</v>
      </c>
      <c r="J4533" s="2" t="s">
        <v>706</v>
      </c>
      <c r="L4533" s="2" t="s">
        <v>22111</v>
      </c>
      <c r="M4533" s="2" t="s">
        <v>22368</v>
      </c>
      <c r="N4533" s="2" t="s">
        <v>22369</v>
      </c>
      <c r="O4533" s="2" t="s">
        <v>869</v>
      </c>
      <c r="P4533" s="2" t="s">
        <v>870</v>
      </c>
    </row>
    <row r="4534" ht="15.75" customHeight="1">
      <c r="H4534" s="2" t="s">
        <v>22370</v>
      </c>
      <c r="I4534" s="2" t="s">
        <v>10226</v>
      </c>
      <c r="J4534" s="2" t="s">
        <v>10227</v>
      </c>
      <c r="L4534" s="2" t="s">
        <v>22111</v>
      </c>
      <c r="M4534" s="2" t="s">
        <v>22371</v>
      </c>
      <c r="N4534" s="2" t="s">
        <v>869</v>
      </c>
      <c r="O4534" s="2" t="s">
        <v>870</v>
      </c>
    </row>
    <row r="4535" ht="15.75" customHeight="1">
      <c r="H4535" s="2" t="s">
        <v>22372</v>
      </c>
      <c r="I4535" s="2" t="s">
        <v>713</v>
      </c>
      <c r="J4535" s="2" t="s">
        <v>714</v>
      </c>
      <c r="K4535" s="2" t="s">
        <v>2737</v>
      </c>
      <c r="L4535" s="2" t="s">
        <v>22111</v>
      </c>
      <c r="M4535" s="2" t="s">
        <v>22373</v>
      </c>
      <c r="N4535" s="2" t="s">
        <v>22374</v>
      </c>
      <c r="O4535" s="2" t="s">
        <v>869</v>
      </c>
      <c r="P4535" s="2" t="s">
        <v>870</v>
      </c>
    </row>
    <row r="4536" ht="15.75" customHeight="1">
      <c r="F4536" s="2" t="s">
        <v>746</v>
      </c>
      <c r="H4536" s="2" t="s">
        <v>22375</v>
      </c>
      <c r="I4536" s="2" t="s">
        <v>22376</v>
      </c>
      <c r="J4536" s="2" t="s">
        <v>22377</v>
      </c>
      <c r="K4536" s="2" t="s">
        <v>853</v>
      </c>
      <c r="L4536" s="2" t="s">
        <v>22111</v>
      </c>
      <c r="M4536" s="2" t="s">
        <v>22378</v>
      </c>
      <c r="N4536" s="2" t="s">
        <v>22379</v>
      </c>
      <c r="O4536" s="2" t="s">
        <v>869</v>
      </c>
      <c r="P4536" s="2" t="s">
        <v>870</v>
      </c>
    </row>
    <row r="4537" ht="15.75" customHeight="1">
      <c r="H4537" s="2" t="s">
        <v>22380</v>
      </c>
      <c r="I4537" s="2" t="s">
        <v>5884</v>
      </c>
      <c r="J4537" s="2" t="s">
        <v>5885</v>
      </c>
      <c r="K4537" s="2" t="s">
        <v>1061</v>
      </c>
      <c r="L4537" s="2" t="s">
        <v>22111</v>
      </c>
      <c r="M4537" s="2" t="s">
        <v>22381</v>
      </c>
      <c r="N4537" s="2" t="s">
        <v>22382</v>
      </c>
      <c r="O4537" s="2" t="s">
        <v>869</v>
      </c>
      <c r="P4537" s="2" t="s">
        <v>870</v>
      </c>
    </row>
    <row r="4538" ht="15.75" customHeight="1">
      <c r="H4538" s="2" t="s">
        <v>22383</v>
      </c>
      <c r="I4538" s="2" t="s">
        <v>4282</v>
      </c>
      <c r="J4538" s="2" t="s">
        <v>4283</v>
      </c>
      <c r="K4538" s="2" t="s">
        <v>886</v>
      </c>
      <c r="L4538" s="2" t="s">
        <v>22111</v>
      </c>
      <c r="M4538" s="2" t="s">
        <v>22384</v>
      </c>
      <c r="N4538" s="2" t="s">
        <v>22385</v>
      </c>
      <c r="O4538" s="2" t="s">
        <v>869</v>
      </c>
      <c r="P4538" s="2" t="s">
        <v>870</v>
      </c>
    </row>
    <row r="4539" ht="15.75" customHeight="1">
      <c r="H4539" s="2" t="s">
        <v>22386</v>
      </c>
      <c r="I4539" s="2" t="s">
        <v>4323</v>
      </c>
      <c r="J4539" s="2" t="s">
        <v>4324</v>
      </c>
      <c r="K4539" s="2" t="s">
        <v>1325</v>
      </c>
      <c r="L4539" s="2" t="s">
        <v>22111</v>
      </c>
      <c r="M4539" s="2" t="s">
        <v>22387</v>
      </c>
      <c r="N4539" s="2" t="s">
        <v>22388</v>
      </c>
      <c r="O4539" s="2" t="s">
        <v>869</v>
      </c>
      <c r="P4539" s="2" t="s">
        <v>870</v>
      </c>
    </row>
    <row r="4540" ht="15.75" customHeight="1">
      <c r="F4540" s="2" t="s">
        <v>4491</v>
      </c>
      <c r="H4540" s="2" t="s">
        <v>22389</v>
      </c>
      <c r="I4540" s="2" t="s">
        <v>10786</v>
      </c>
      <c r="J4540" s="2" t="s">
        <v>10787</v>
      </c>
      <c r="K4540" s="2" t="s">
        <v>1145</v>
      </c>
      <c r="L4540" s="2" t="s">
        <v>22111</v>
      </c>
      <c r="M4540" s="2" t="s">
        <v>22390</v>
      </c>
      <c r="N4540" s="2" t="s">
        <v>22391</v>
      </c>
      <c r="O4540" s="2" t="s">
        <v>869</v>
      </c>
      <c r="P4540" s="2" t="s">
        <v>870</v>
      </c>
    </row>
    <row r="4541" ht="15.75" customHeight="1">
      <c r="F4541" s="2" t="s">
        <v>755</v>
      </c>
      <c r="H4541" s="2" t="s">
        <v>22392</v>
      </c>
      <c r="I4541" s="2" t="s">
        <v>757</v>
      </c>
      <c r="J4541" s="2" t="s">
        <v>758</v>
      </c>
      <c r="K4541" s="2" t="s">
        <v>4429</v>
      </c>
      <c r="L4541" s="2" t="s">
        <v>22393</v>
      </c>
      <c r="M4541" s="2" t="s">
        <v>22394</v>
      </c>
      <c r="N4541" s="2" t="s">
        <v>22395</v>
      </c>
      <c r="O4541" s="2" t="s">
        <v>22396</v>
      </c>
      <c r="P4541" s="2" t="s">
        <v>869</v>
      </c>
    </row>
    <row r="4542" ht="15.75" customHeight="1">
      <c r="F4542" s="2" t="s">
        <v>4677</v>
      </c>
      <c r="H4542" s="2" t="s">
        <v>22397</v>
      </c>
      <c r="I4542" s="2" t="s">
        <v>4694</v>
      </c>
      <c r="J4542" s="2" t="s">
        <v>4695</v>
      </c>
      <c r="K4542" s="2" t="s">
        <v>963</v>
      </c>
      <c r="L4542" s="2" t="s">
        <v>22111</v>
      </c>
      <c r="M4542" s="2" t="s">
        <v>22398</v>
      </c>
      <c r="N4542" s="2" t="s">
        <v>22399</v>
      </c>
      <c r="O4542" s="2" t="s">
        <v>869</v>
      </c>
      <c r="P4542" s="2" t="s">
        <v>870</v>
      </c>
    </row>
    <row r="4543" ht="15.75" customHeight="1">
      <c r="F4543" s="2" t="s">
        <v>764</v>
      </c>
      <c r="H4543" s="2" t="s">
        <v>22400</v>
      </c>
      <c r="I4543" s="2" t="s">
        <v>766</v>
      </c>
      <c r="J4543" s="2" t="s">
        <v>767</v>
      </c>
      <c r="K4543" s="2" t="s">
        <v>1418</v>
      </c>
      <c r="L4543" s="2" t="s">
        <v>22111</v>
      </c>
      <c r="M4543" s="2" t="s">
        <v>22401</v>
      </c>
      <c r="N4543" s="2" t="s">
        <v>22402</v>
      </c>
      <c r="O4543" s="2" t="s">
        <v>22403</v>
      </c>
      <c r="P4543" s="2" t="s">
        <v>869</v>
      </c>
    </row>
    <row r="4544" ht="15.75" customHeight="1">
      <c r="F4544" s="2" t="s">
        <v>4802</v>
      </c>
      <c r="H4544" s="2" t="s">
        <v>22404</v>
      </c>
      <c r="I4544" s="2" t="s">
        <v>22405</v>
      </c>
      <c r="J4544" s="2" t="s">
        <v>22406</v>
      </c>
      <c r="K4544" s="2" t="s">
        <v>861</v>
      </c>
      <c r="L4544" s="2" t="s">
        <v>22111</v>
      </c>
      <c r="M4544" s="2" t="s">
        <v>22407</v>
      </c>
      <c r="N4544" s="2" t="s">
        <v>22408</v>
      </c>
      <c r="O4544" s="2" t="s">
        <v>869</v>
      </c>
      <c r="P4544" s="2" t="s">
        <v>870</v>
      </c>
    </row>
    <row r="4545" ht="15.75" customHeight="1">
      <c r="H4545" s="2" t="s">
        <v>22409</v>
      </c>
      <c r="I4545" s="2" t="s">
        <v>4804</v>
      </c>
      <c r="J4545" s="2" t="s">
        <v>4805</v>
      </c>
      <c r="L4545" s="2" t="s">
        <v>22111</v>
      </c>
      <c r="M4545" s="2" t="s">
        <v>22410</v>
      </c>
      <c r="N4545" s="2" t="s">
        <v>22411</v>
      </c>
      <c r="O4545" s="2" t="s">
        <v>869</v>
      </c>
      <c r="P4545" s="2" t="s">
        <v>870</v>
      </c>
    </row>
    <row r="4546" ht="15.75" customHeight="1">
      <c r="F4546" s="2" t="s">
        <v>800</v>
      </c>
      <c r="H4546" s="2" t="s">
        <v>22412</v>
      </c>
      <c r="I4546" s="2" t="s">
        <v>4994</v>
      </c>
      <c r="J4546" s="2" t="s">
        <v>4995</v>
      </c>
      <c r="K4546" s="2" t="s">
        <v>1878</v>
      </c>
      <c r="L4546" s="2" t="s">
        <v>22111</v>
      </c>
      <c r="M4546" s="2" t="s">
        <v>22413</v>
      </c>
      <c r="N4546" s="2" t="s">
        <v>22414</v>
      </c>
      <c r="O4546" s="2" t="s">
        <v>869</v>
      </c>
      <c r="P4546" s="2" t="s">
        <v>870</v>
      </c>
    </row>
    <row r="4547" ht="15.75" customHeight="1">
      <c r="H4547" s="2" t="s">
        <v>22415</v>
      </c>
      <c r="I4547" s="2" t="s">
        <v>16470</v>
      </c>
      <c r="J4547" s="2" t="s">
        <v>16471</v>
      </c>
      <c r="L4547" s="2" t="s">
        <v>22111</v>
      </c>
      <c r="M4547" s="2" t="s">
        <v>22416</v>
      </c>
      <c r="N4547" s="2" t="s">
        <v>22417</v>
      </c>
      <c r="O4547" s="2" t="s">
        <v>869</v>
      </c>
      <c r="P4547" s="2" t="s">
        <v>870</v>
      </c>
    </row>
    <row r="4548" ht="15.75" customHeight="1">
      <c r="H4548" s="2" t="s">
        <v>22418</v>
      </c>
      <c r="I4548" s="2" t="s">
        <v>5986</v>
      </c>
      <c r="J4548" s="2" t="s">
        <v>5987</v>
      </c>
      <c r="K4548" s="2" t="s">
        <v>3309</v>
      </c>
      <c r="L4548" s="2" t="s">
        <v>22419</v>
      </c>
      <c r="M4548" s="2" t="s">
        <v>22420</v>
      </c>
      <c r="N4548" s="2" t="s">
        <v>22421</v>
      </c>
      <c r="O4548" s="2" t="s">
        <v>22422</v>
      </c>
      <c r="P4548" s="2" t="s">
        <v>869</v>
      </c>
    </row>
    <row r="4549" ht="15.75" customHeight="1">
      <c r="B4549" s="2" t="s">
        <v>22423</v>
      </c>
      <c r="C4549" s="2" t="s">
        <v>22033</v>
      </c>
      <c r="D4549" s="2" t="s">
        <v>22424</v>
      </c>
      <c r="F4549" s="2" t="s">
        <v>74</v>
      </c>
      <c r="H4549" s="2" t="s">
        <v>22425</v>
      </c>
      <c r="I4549" s="2" t="s">
        <v>76</v>
      </c>
      <c r="J4549" s="2" t="s">
        <v>77</v>
      </c>
      <c r="K4549" s="2" t="s">
        <v>15779</v>
      </c>
      <c r="L4549" s="2" t="s">
        <v>22426</v>
      </c>
      <c r="M4549" s="2" t="s">
        <v>22427</v>
      </c>
      <c r="N4549" s="2" t="s">
        <v>22428</v>
      </c>
      <c r="O4549" s="2" t="s">
        <v>22429</v>
      </c>
      <c r="P4549" s="2" t="s">
        <v>869</v>
      </c>
    </row>
    <row r="4550" ht="15.75" customHeight="1">
      <c r="F4550" s="2" t="s">
        <v>284</v>
      </c>
      <c r="H4550" s="2" t="s">
        <v>22430</v>
      </c>
      <c r="I4550" s="2" t="s">
        <v>6023</v>
      </c>
      <c r="J4550" s="2" t="s">
        <v>6024</v>
      </c>
      <c r="K4550" s="2" t="s">
        <v>6025</v>
      </c>
      <c r="L4550" s="2" t="s">
        <v>22426</v>
      </c>
      <c r="M4550" s="2" t="s">
        <v>22431</v>
      </c>
      <c r="N4550" s="2" t="s">
        <v>22432</v>
      </c>
      <c r="O4550" s="2" t="s">
        <v>22433</v>
      </c>
      <c r="P4550" s="2" t="s">
        <v>869</v>
      </c>
    </row>
    <row r="4551" ht="15.75" customHeight="1">
      <c r="H4551" s="2" t="s">
        <v>22434</v>
      </c>
      <c r="I4551" s="2" t="s">
        <v>326</v>
      </c>
      <c r="J4551" s="2" t="s">
        <v>327</v>
      </c>
      <c r="K4551" s="2" t="s">
        <v>6068</v>
      </c>
      <c r="L4551" s="2" t="s">
        <v>22426</v>
      </c>
      <c r="M4551" s="2" t="s">
        <v>22435</v>
      </c>
      <c r="N4551" s="2" t="s">
        <v>22436</v>
      </c>
      <c r="O4551" s="2" t="s">
        <v>22437</v>
      </c>
      <c r="P4551" s="2" t="s">
        <v>869</v>
      </c>
    </row>
    <row r="4552" ht="15.75" customHeight="1">
      <c r="H4552" s="2" t="s">
        <v>22438</v>
      </c>
      <c r="I4552" s="2" t="s">
        <v>12271</v>
      </c>
      <c r="J4552" s="2" t="s">
        <v>12272</v>
      </c>
      <c r="K4552" s="2" t="s">
        <v>22439</v>
      </c>
      <c r="L4552" s="2" t="s">
        <v>22426</v>
      </c>
      <c r="M4552" s="2" t="s">
        <v>22440</v>
      </c>
      <c r="N4552" s="2" t="s">
        <v>22441</v>
      </c>
      <c r="O4552" s="2" t="s">
        <v>22442</v>
      </c>
      <c r="P4552" s="2" t="s">
        <v>869</v>
      </c>
    </row>
    <row r="4553" ht="15.75" customHeight="1">
      <c r="H4553" s="2" t="s">
        <v>22443</v>
      </c>
      <c r="I4553" s="2" t="s">
        <v>449</v>
      </c>
      <c r="J4553" s="2" t="s">
        <v>450</v>
      </c>
      <c r="K4553" s="2" t="s">
        <v>6037</v>
      </c>
      <c r="L4553" s="2" t="s">
        <v>22426</v>
      </c>
      <c r="M4553" s="2" t="s">
        <v>22444</v>
      </c>
      <c r="N4553" s="2" t="s">
        <v>22445</v>
      </c>
      <c r="O4553" s="2" t="s">
        <v>22446</v>
      </c>
      <c r="P4553" s="2" t="s">
        <v>22447</v>
      </c>
    </row>
    <row r="4554" ht="15.75" customHeight="1">
      <c r="F4554" s="2" t="s">
        <v>2597</v>
      </c>
      <c r="H4554" s="2" t="s">
        <v>22448</v>
      </c>
      <c r="I4554" s="2" t="s">
        <v>22449</v>
      </c>
      <c r="J4554" s="2" t="s">
        <v>22450</v>
      </c>
      <c r="K4554" s="2" t="s">
        <v>22104</v>
      </c>
      <c r="L4554" s="2" t="s">
        <v>22426</v>
      </c>
      <c r="M4554" s="2" t="s">
        <v>22451</v>
      </c>
      <c r="N4554" s="2" t="s">
        <v>22452</v>
      </c>
      <c r="O4554" s="2" t="s">
        <v>22453</v>
      </c>
      <c r="P4554" s="2" t="s">
        <v>869</v>
      </c>
    </row>
    <row r="4555" ht="15.75" customHeight="1">
      <c r="F4555" s="2" t="s">
        <v>3079</v>
      </c>
      <c r="H4555" s="2" t="s">
        <v>22454</v>
      </c>
      <c r="I4555" s="2" t="s">
        <v>22455</v>
      </c>
      <c r="J4555" s="2" t="s">
        <v>22456</v>
      </c>
      <c r="K4555" s="2" t="s">
        <v>22457</v>
      </c>
      <c r="L4555" s="2" t="s">
        <v>22426</v>
      </c>
      <c r="M4555" s="2" t="s">
        <v>22458</v>
      </c>
      <c r="N4555" s="2" t="s">
        <v>22459</v>
      </c>
      <c r="O4555" s="2" t="s">
        <v>22460</v>
      </c>
      <c r="P4555" s="2" t="s">
        <v>869</v>
      </c>
    </row>
    <row r="4556" ht="15.75" customHeight="1">
      <c r="F4556" s="2" t="s">
        <v>800</v>
      </c>
      <c r="H4556" s="2" t="s">
        <v>22461</v>
      </c>
      <c r="I4556" s="2" t="s">
        <v>4974</v>
      </c>
      <c r="J4556" s="2" t="s">
        <v>4975</v>
      </c>
      <c r="K4556" s="2" t="s">
        <v>22462</v>
      </c>
      <c r="L4556" s="2" t="s">
        <v>22426</v>
      </c>
      <c r="M4556" s="2" t="s">
        <v>22463</v>
      </c>
      <c r="N4556" s="2" t="s">
        <v>22464</v>
      </c>
      <c r="O4556" s="2" t="s">
        <v>22465</v>
      </c>
      <c r="P4556" s="2" t="s">
        <v>869</v>
      </c>
    </row>
    <row r="4557" ht="15.75" customHeight="1">
      <c r="F4557" s="2" t="s">
        <v>843</v>
      </c>
      <c r="H4557" s="2" t="s">
        <v>22466</v>
      </c>
      <c r="I4557" s="2" t="s">
        <v>5235</v>
      </c>
      <c r="J4557" s="2" t="s">
        <v>5236</v>
      </c>
      <c r="K4557" s="2" t="s">
        <v>22467</v>
      </c>
      <c r="L4557" s="2" t="s">
        <v>22426</v>
      </c>
      <c r="M4557" s="2" t="s">
        <v>22468</v>
      </c>
      <c r="N4557" s="2" t="s">
        <v>22469</v>
      </c>
      <c r="O4557" s="2" t="s">
        <v>22470</v>
      </c>
      <c r="P4557" s="2" t="s">
        <v>869</v>
      </c>
    </row>
    <row r="4558" ht="15.75" customHeight="1">
      <c r="B4558" s="2" t="s">
        <v>22471</v>
      </c>
      <c r="C4558" s="2" t="s">
        <v>1418</v>
      </c>
      <c r="D4558" s="2" t="s">
        <v>22472</v>
      </c>
      <c r="F4558" s="2" t="s">
        <v>19</v>
      </c>
      <c r="H4558" s="2" t="s">
        <v>22473</v>
      </c>
      <c r="I4558" s="2" t="s">
        <v>1005</v>
      </c>
      <c r="J4558" s="2" t="s">
        <v>1006</v>
      </c>
      <c r="K4558" s="2" t="s">
        <v>1007</v>
      </c>
      <c r="L4558" s="2" t="s">
        <v>22474</v>
      </c>
      <c r="M4558" s="2" t="s">
        <v>22475</v>
      </c>
      <c r="N4558" s="2" t="s">
        <v>22476</v>
      </c>
      <c r="O4558" s="2" t="s">
        <v>22477</v>
      </c>
      <c r="P4558" s="2" t="s">
        <v>22478</v>
      </c>
    </row>
    <row r="4559" ht="15.75" customHeight="1">
      <c r="F4559" s="2" t="s">
        <v>29</v>
      </c>
      <c r="H4559" s="2" t="s">
        <v>22479</v>
      </c>
      <c r="I4559" s="2" t="s">
        <v>31</v>
      </c>
      <c r="J4559" s="2" t="s">
        <v>32</v>
      </c>
      <c r="K4559" s="2" t="s">
        <v>874</v>
      </c>
      <c r="L4559" s="2" t="s">
        <v>22474</v>
      </c>
      <c r="M4559" s="2" t="s">
        <v>22480</v>
      </c>
      <c r="N4559" s="2" t="s">
        <v>22481</v>
      </c>
      <c r="O4559" s="2" t="s">
        <v>22482</v>
      </c>
      <c r="P4559" s="2" t="s">
        <v>22483</v>
      </c>
    </row>
    <row r="4560" ht="15.75" customHeight="1">
      <c r="F4560" s="2" t="s">
        <v>74</v>
      </c>
      <c r="H4560" s="2" t="s">
        <v>22484</v>
      </c>
      <c r="I4560" s="2" t="s">
        <v>22485</v>
      </c>
      <c r="J4560" s="2" t="s">
        <v>22486</v>
      </c>
      <c r="L4560" s="2" t="s">
        <v>22474</v>
      </c>
      <c r="M4560" s="2" t="s">
        <v>22487</v>
      </c>
      <c r="N4560" s="2" t="s">
        <v>22488</v>
      </c>
      <c r="O4560" s="2" t="s">
        <v>22489</v>
      </c>
      <c r="P4560" s="2" t="s">
        <v>869</v>
      </c>
    </row>
    <row r="4561" ht="15.75" customHeight="1">
      <c r="H4561" s="2" t="s">
        <v>22490</v>
      </c>
      <c r="I4561" s="2" t="s">
        <v>76</v>
      </c>
      <c r="J4561" s="2" t="s">
        <v>77</v>
      </c>
      <c r="K4561" s="2" t="s">
        <v>947</v>
      </c>
      <c r="L4561" s="2" t="s">
        <v>22491</v>
      </c>
      <c r="M4561" s="2" t="s">
        <v>22492</v>
      </c>
      <c r="N4561" s="2" t="s">
        <v>22493</v>
      </c>
      <c r="O4561" s="2" t="s">
        <v>22494</v>
      </c>
      <c r="P4561" s="2" t="s">
        <v>22495</v>
      </c>
    </row>
    <row r="4562" ht="15.75" customHeight="1">
      <c r="H4562" s="2" t="s">
        <v>22496</v>
      </c>
      <c r="I4562" s="2" t="s">
        <v>15944</v>
      </c>
      <c r="J4562" s="2" t="s">
        <v>15945</v>
      </c>
      <c r="K4562" s="2" t="s">
        <v>15946</v>
      </c>
      <c r="L4562" s="2" t="s">
        <v>22474</v>
      </c>
      <c r="M4562" s="2" t="s">
        <v>22497</v>
      </c>
      <c r="N4562" s="2" t="s">
        <v>22498</v>
      </c>
      <c r="O4562" s="2" t="s">
        <v>22499</v>
      </c>
      <c r="P4562" s="2" t="s">
        <v>22500</v>
      </c>
    </row>
    <row r="4563" ht="15.75" customHeight="1">
      <c r="H4563" s="2" t="s">
        <v>22501</v>
      </c>
      <c r="I4563" s="2" t="s">
        <v>22502</v>
      </c>
      <c r="J4563" s="2" t="s">
        <v>22503</v>
      </c>
      <c r="K4563" s="2" t="s">
        <v>280</v>
      </c>
      <c r="L4563" s="2" t="s">
        <v>22474</v>
      </c>
      <c r="M4563" s="2" t="s">
        <v>22504</v>
      </c>
      <c r="N4563" s="2" t="s">
        <v>22505</v>
      </c>
      <c r="O4563" s="2" t="s">
        <v>22506</v>
      </c>
      <c r="P4563" s="2" t="s">
        <v>22507</v>
      </c>
    </row>
    <row r="4564" ht="15.75" customHeight="1">
      <c r="H4564" s="2" t="s">
        <v>22508</v>
      </c>
      <c r="I4564" s="2" t="s">
        <v>117</v>
      </c>
      <c r="J4564" s="2" t="s">
        <v>118</v>
      </c>
      <c r="K4564" s="2" t="s">
        <v>1424</v>
      </c>
      <c r="L4564" s="2" t="s">
        <v>22474</v>
      </c>
      <c r="M4564" s="2" t="s">
        <v>22509</v>
      </c>
      <c r="N4564" s="2" t="s">
        <v>22510</v>
      </c>
      <c r="O4564" s="2" t="s">
        <v>22511</v>
      </c>
      <c r="P4564" s="2" t="s">
        <v>22512</v>
      </c>
    </row>
    <row r="4565" ht="15.75" customHeight="1">
      <c r="H4565" s="2" t="s">
        <v>22513</v>
      </c>
      <c r="I4565" s="2" t="s">
        <v>1600</v>
      </c>
      <c r="J4565" s="2" t="s">
        <v>1601</v>
      </c>
      <c r="L4565" s="2" t="s">
        <v>22474</v>
      </c>
      <c r="M4565" s="2" t="s">
        <v>22514</v>
      </c>
      <c r="N4565" s="2" t="s">
        <v>22515</v>
      </c>
      <c r="O4565" s="2" t="s">
        <v>22516</v>
      </c>
      <c r="P4565" s="2" t="s">
        <v>22517</v>
      </c>
    </row>
    <row r="4566" ht="15.75" customHeight="1">
      <c r="H4566" s="2" t="s">
        <v>22518</v>
      </c>
      <c r="I4566" s="2" t="s">
        <v>167</v>
      </c>
      <c r="J4566" s="2" t="s">
        <v>168</v>
      </c>
      <c r="K4566" s="2" t="s">
        <v>1692</v>
      </c>
      <c r="L4566" s="2" t="s">
        <v>22519</v>
      </c>
      <c r="M4566" s="2" t="s">
        <v>22520</v>
      </c>
      <c r="N4566" s="2" t="s">
        <v>22521</v>
      </c>
      <c r="O4566" s="2" t="s">
        <v>22522</v>
      </c>
      <c r="P4566" s="2" t="s">
        <v>22523</v>
      </c>
    </row>
    <row r="4567" ht="15.75" customHeight="1">
      <c r="H4567" s="2" t="s">
        <v>22524</v>
      </c>
      <c r="I4567" s="2" t="s">
        <v>22525</v>
      </c>
      <c r="J4567" s="2" t="s">
        <v>22526</v>
      </c>
      <c r="L4567" s="2" t="s">
        <v>22474</v>
      </c>
      <c r="M4567" s="2" t="s">
        <v>22527</v>
      </c>
      <c r="N4567" s="2" t="s">
        <v>22528</v>
      </c>
      <c r="O4567" s="2" t="s">
        <v>22529</v>
      </c>
      <c r="P4567" s="2" t="s">
        <v>869</v>
      </c>
    </row>
    <row r="4568" ht="15.75" customHeight="1">
      <c r="H4568" s="2" t="s">
        <v>22530</v>
      </c>
      <c r="I4568" s="2" t="s">
        <v>12164</v>
      </c>
      <c r="J4568" s="2" t="s">
        <v>12165</v>
      </c>
      <c r="L4568" s="2" t="s">
        <v>22474</v>
      </c>
      <c r="M4568" s="2" t="s">
        <v>22531</v>
      </c>
      <c r="N4568" s="2" t="s">
        <v>22532</v>
      </c>
      <c r="O4568" s="2" t="s">
        <v>22533</v>
      </c>
      <c r="P4568" s="2" t="s">
        <v>22534</v>
      </c>
    </row>
    <row r="4569" ht="15.75" customHeight="1">
      <c r="H4569" s="2" t="s">
        <v>22535</v>
      </c>
      <c r="I4569" s="2" t="s">
        <v>1702</v>
      </c>
      <c r="J4569" s="2" t="s">
        <v>1703</v>
      </c>
      <c r="K4569" s="2" t="s">
        <v>22536</v>
      </c>
      <c r="L4569" s="2" t="s">
        <v>22474</v>
      </c>
      <c r="M4569" s="2" t="s">
        <v>22537</v>
      </c>
      <c r="N4569" s="2" t="s">
        <v>22538</v>
      </c>
      <c r="O4569" s="2" t="s">
        <v>22539</v>
      </c>
      <c r="P4569" s="2" t="s">
        <v>22540</v>
      </c>
    </row>
    <row r="4570" ht="15.75" customHeight="1">
      <c r="H4570" s="2" t="s">
        <v>22541</v>
      </c>
      <c r="I4570" s="2" t="s">
        <v>176</v>
      </c>
      <c r="J4570" s="2" t="s">
        <v>177</v>
      </c>
      <c r="K4570" s="2" t="s">
        <v>1708</v>
      </c>
      <c r="L4570" s="2" t="s">
        <v>22542</v>
      </c>
      <c r="M4570" s="2" t="s">
        <v>22543</v>
      </c>
      <c r="N4570" s="2" t="s">
        <v>22544</v>
      </c>
      <c r="O4570" s="2" t="s">
        <v>22545</v>
      </c>
      <c r="P4570" s="2" t="s">
        <v>22546</v>
      </c>
    </row>
    <row r="4571" ht="15.75" customHeight="1">
      <c r="H4571" s="2" t="s">
        <v>22547</v>
      </c>
      <c r="I4571" s="2" t="s">
        <v>5341</v>
      </c>
      <c r="J4571" s="2" t="s">
        <v>5342</v>
      </c>
      <c r="L4571" s="2" t="s">
        <v>22474</v>
      </c>
      <c r="M4571" s="2" t="s">
        <v>22548</v>
      </c>
      <c r="N4571" s="2" t="s">
        <v>22549</v>
      </c>
      <c r="O4571" s="2" t="s">
        <v>22550</v>
      </c>
      <c r="P4571" s="2" t="s">
        <v>869</v>
      </c>
    </row>
    <row r="4572" ht="15.75" customHeight="1">
      <c r="H4572" s="2" t="s">
        <v>22551</v>
      </c>
      <c r="I4572" s="2" t="s">
        <v>1753</v>
      </c>
      <c r="J4572" s="2" t="s">
        <v>1754</v>
      </c>
      <c r="K4572" s="2" t="s">
        <v>1755</v>
      </c>
      <c r="L4572" s="2" t="s">
        <v>22474</v>
      </c>
      <c r="M4572" s="2" t="s">
        <v>22552</v>
      </c>
      <c r="N4572" s="2" t="s">
        <v>22553</v>
      </c>
      <c r="O4572" s="2" t="s">
        <v>22554</v>
      </c>
      <c r="P4572" s="2" t="s">
        <v>869</v>
      </c>
    </row>
    <row r="4573" ht="15.75" customHeight="1">
      <c r="H4573" s="2" t="s">
        <v>22555</v>
      </c>
      <c r="I4573" s="2" t="s">
        <v>22556</v>
      </c>
      <c r="J4573" s="2" t="s">
        <v>22557</v>
      </c>
      <c r="K4573" s="2" t="s">
        <v>22558</v>
      </c>
      <c r="L4573" s="2" t="s">
        <v>22474</v>
      </c>
      <c r="M4573" s="2" t="s">
        <v>22559</v>
      </c>
      <c r="N4573" s="2" t="s">
        <v>22560</v>
      </c>
      <c r="O4573" s="2" t="s">
        <v>22561</v>
      </c>
      <c r="P4573" s="2" t="s">
        <v>869</v>
      </c>
    </row>
    <row r="4574" ht="15.75" customHeight="1">
      <c r="H4574" s="2" t="s">
        <v>22562</v>
      </c>
      <c r="I4574" s="2" t="s">
        <v>12186</v>
      </c>
      <c r="J4574" s="2" t="s">
        <v>12187</v>
      </c>
      <c r="K4574" s="2" t="s">
        <v>22563</v>
      </c>
      <c r="L4574" s="2" t="s">
        <v>22474</v>
      </c>
      <c r="M4574" s="2" t="s">
        <v>22564</v>
      </c>
      <c r="N4574" s="2" t="s">
        <v>22565</v>
      </c>
      <c r="O4574" s="2" t="s">
        <v>22566</v>
      </c>
      <c r="P4574" s="2" t="s">
        <v>22567</v>
      </c>
    </row>
    <row r="4575" ht="15.75" customHeight="1">
      <c r="F4575" s="2" t="s">
        <v>265</v>
      </c>
      <c r="H4575" s="2" t="s">
        <v>22568</v>
      </c>
      <c r="I4575" s="2" t="s">
        <v>267</v>
      </c>
      <c r="J4575" s="2" t="s">
        <v>268</v>
      </c>
      <c r="K4575" s="2" t="s">
        <v>1313</v>
      </c>
      <c r="L4575" s="2" t="s">
        <v>22474</v>
      </c>
      <c r="M4575" s="2" t="s">
        <v>22569</v>
      </c>
      <c r="N4575" s="2" t="s">
        <v>22570</v>
      </c>
      <c r="O4575" s="2" t="s">
        <v>22571</v>
      </c>
      <c r="P4575" s="2" t="s">
        <v>22572</v>
      </c>
    </row>
    <row r="4576" ht="15.75" customHeight="1">
      <c r="H4576" s="2" t="s">
        <v>22573</v>
      </c>
      <c r="I4576" s="2" t="s">
        <v>22574</v>
      </c>
      <c r="J4576" s="2" t="s">
        <v>22575</v>
      </c>
      <c r="K4576" s="2" t="s">
        <v>16593</v>
      </c>
      <c r="L4576" s="2" t="s">
        <v>22474</v>
      </c>
      <c r="M4576" s="2" t="s">
        <v>22576</v>
      </c>
      <c r="N4576" s="2" t="s">
        <v>22577</v>
      </c>
      <c r="O4576" s="2" t="s">
        <v>22578</v>
      </c>
      <c r="P4576" s="2" t="s">
        <v>869</v>
      </c>
    </row>
    <row r="4577" ht="15.75" customHeight="1">
      <c r="H4577" s="2" t="s">
        <v>22579</v>
      </c>
      <c r="I4577" s="2" t="s">
        <v>7527</v>
      </c>
      <c r="J4577" s="2" t="s">
        <v>7528</v>
      </c>
      <c r="L4577" s="2" t="s">
        <v>22474</v>
      </c>
      <c r="M4577" s="2" t="s">
        <v>22580</v>
      </c>
      <c r="N4577" s="2" t="s">
        <v>22581</v>
      </c>
      <c r="O4577" s="2" t="s">
        <v>22582</v>
      </c>
      <c r="P4577" s="2" t="s">
        <v>869</v>
      </c>
    </row>
    <row r="4578" ht="15.75" customHeight="1">
      <c r="H4578" s="2" t="s">
        <v>22583</v>
      </c>
      <c r="I4578" s="2" t="s">
        <v>22584</v>
      </c>
      <c r="J4578" s="2" t="s">
        <v>22585</v>
      </c>
      <c r="K4578" s="2" t="s">
        <v>22586</v>
      </c>
      <c r="L4578" s="2" t="s">
        <v>22474</v>
      </c>
      <c r="M4578" s="2" t="s">
        <v>22587</v>
      </c>
      <c r="N4578" s="2" t="s">
        <v>22588</v>
      </c>
      <c r="O4578" s="2" t="s">
        <v>22589</v>
      </c>
      <c r="P4578" s="2" t="s">
        <v>22590</v>
      </c>
    </row>
    <row r="4579" ht="15.75" customHeight="1">
      <c r="H4579" s="2" t="s">
        <v>22591</v>
      </c>
      <c r="I4579" s="2" t="s">
        <v>22592</v>
      </c>
      <c r="J4579" s="2" t="s">
        <v>22593</v>
      </c>
      <c r="K4579" s="2" t="s">
        <v>14508</v>
      </c>
      <c r="L4579" s="2" t="s">
        <v>22474</v>
      </c>
      <c r="M4579" s="2" t="s">
        <v>22594</v>
      </c>
      <c r="N4579" s="2" t="s">
        <v>22595</v>
      </c>
      <c r="O4579" s="2" t="s">
        <v>22596</v>
      </c>
      <c r="P4579" s="2" t="s">
        <v>869</v>
      </c>
    </row>
    <row r="4580" ht="15.75" customHeight="1">
      <c r="F4580" s="2" t="s">
        <v>274</v>
      </c>
      <c r="H4580" s="2" t="s">
        <v>22597</v>
      </c>
      <c r="I4580" s="2" t="s">
        <v>276</v>
      </c>
      <c r="J4580" s="2" t="s">
        <v>276</v>
      </c>
      <c r="K4580" s="2" t="s">
        <v>277</v>
      </c>
    </row>
    <row r="4581" ht="15.75" customHeight="1">
      <c r="H4581" s="2" t="s">
        <v>22598</v>
      </c>
      <c r="I4581" s="2" t="s">
        <v>279</v>
      </c>
      <c r="J4581" s="2" t="s">
        <v>274</v>
      </c>
      <c r="K4581" s="2" t="s">
        <v>280</v>
      </c>
    </row>
    <row r="4582" ht="15.75" customHeight="1">
      <c r="F4582" s="2" t="s">
        <v>284</v>
      </c>
      <c r="H4582" s="2" t="s">
        <v>22599</v>
      </c>
      <c r="I4582" s="2" t="s">
        <v>18041</v>
      </c>
      <c r="J4582" s="2" t="s">
        <v>18042</v>
      </c>
      <c r="K4582" s="2" t="s">
        <v>947</v>
      </c>
      <c r="L4582" s="2" t="s">
        <v>22474</v>
      </c>
      <c r="M4582" s="2" t="s">
        <v>22600</v>
      </c>
      <c r="N4582" s="2" t="s">
        <v>22601</v>
      </c>
      <c r="O4582" s="2" t="s">
        <v>22602</v>
      </c>
      <c r="P4582" s="2" t="s">
        <v>22603</v>
      </c>
    </row>
    <row r="4583" ht="15.75" customHeight="1">
      <c r="H4583" s="2" t="s">
        <v>22604</v>
      </c>
      <c r="I4583" s="2" t="s">
        <v>6023</v>
      </c>
      <c r="J4583" s="2" t="s">
        <v>6024</v>
      </c>
      <c r="L4583" s="2" t="s">
        <v>22474</v>
      </c>
      <c r="M4583" s="2" t="s">
        <v>22605</v>
      </c>
      <c r="N4583" s="2" t="s">
        <v>22606</v>
      </c>
      <c r="O4583" s="2" t="s">
        <v>22607</v>
      </c>
      <c r="P4583" s="2" t="s">
        <v>869</v>
      </c>
    </row>
    <row r="4584" ht="15.75" customHeight="1">
      <c r="H4584" s="2" t="s">
        <v>22608</v>
      </c>
      <c r="I4584" s="2" t="s">
        <v>11959</v>
      </c>
      <c r="J4584" s="2" t="s">
        <v>11960</v>
      </c>
      <c r="K4584" s="2" t="s">
        <v>996</v>
      </c>
      <c r="L4584" s="2" t="s">
        <v>22609</v>
      </c>
      <c r="M4584" s="2" t="s">
        <v>22610</v>
      </c>
      <c r="N4584" s="2" t="s">
        <v>22611</v>
      </c>
      <c r="O4584" s="2" t="s">
        <v>22612</v>
      </c>
      <c r="P4584" s="2" t="s">
        <v>22613</v>
      </c>
    </row>
    <row r="4585" ht="15.75" customHeight="1">
      <c r="H4585" s="2" t="s">
        <v>22614</v>
      </c>
      <c r="I4585" s="2" t="s">
        <v>286</v>
      </c>
      <c r="J4585" s="2" t="s">
        <v>287</v>
      </c>
      <c r="K4585" s="2" t="s">
        <v>1117</v>
      </c>
      <c r="L4585" s="2" t="s">
        <v>22474</v>
      </c>
      <c r="M4585" s="2" t="s">
        <v>22615</v>
      </c>
      <c r="N4585" s="2" t="s">
        <v>22616</v>
      </c>
      <c r="O4585" s="2" t="s">
        <v>22617</v>
      </c>
      <c r="P4585" s="2" t="s">
        <v>22618</v>
      </c>
    </row>
    <row r="4586" ht="15.75" customHeight="1">
      <c r="H4586" s="2" t="s">
        <v>22619</v>
      </c>
      <c r="I4586" s="2" t="s">
        <v>22620</v>
      </c>
      <c r="J4586" s="2" t="s">
        <v>22621</v>
      </c>
      <c r="L4586" s="2" t="s">
        <v>22474</v>
      </c>
      <c r="M4586" s="2" t="s">
        <v>22622</v>
      </c>
      <c r="N4586" s="2" t="s">
        <v>22623</v>
      </c>
      <c r="O4586" s="2" t="s">
        <v>22624</v>
      </c>
      <c r="P4586" s="2" t="s">
        <v>869</v>
      </c>
    </row>
    <row r="4587" ht="15.75" customHeight="1">
      <c r="H4587" s="2" t="s">
        <v>22625</v>
      </c>
      <c r="I4587" s="2" t="s">
        <v>13211</v>
      </c>
      <c r="J4587" s="2" t="s">
        <v>13212</v>
      </c>
      <c r="K4587" s="2" t="s">
        <v>963</v>
      </c>
      <c r="L4587" s="2" t="s">
        <v>22474</v>
      </c>
      <c r="M4587" s="2" t="s">
        <v>22626</v>
      </c>
      <c r="N4587" s="2" t="s">
        <v>22627</v>
      </c>
      <c r="O4587" s="2" t="s">
        <v>22628</v>
      </c>
      <c r="P4587" s="2" t="s">
        <v>22629</v>
      </c>
    </row>
    <row r="4588" ht="15.75" customHeight="1">
      <c r="H4588" s="2" t="s">
        <v>22630</v>
      </c>
      <c r="I4588" s="2" t="s">
        <v>302</v>
      </c>
      <c r="J4588" s="2" t="s">
        <v>303</v>
      </c>
      <c r="L4588" s="2" t="s">
        <v>22474</v>
      </c>
      <c r="M4588" s="2" t="s">
        <v>22631</v>
      </c>
      <c r="N4588" s="2" t="s">
        <v>22632</v>
      </c>
      <c r="O4588" s="2" t="s">
        <v>22633</v>
      </c>
      <c r="P4588" s="2" t="s">
        <v>22634</v>
      </c>
    </row>
    <row r="4589" ht="15.75" customHeight="1">
      <c r="H4589" s="2" t="s">
        <v>22635</v>
      </c>
      <c r="I4589" s="2" t="s">
        <v>22636</v>
      </c>
      <c r="J4589" s="2" t="s">
        <v>22637</v>
      </c>
      <c r="K4589" s="2" t="s">
        <v>1297</v>
      </c>
      <c r="L4589" s="2" t="s">
        <v>22474</v>
      </c>
      <c r="M4589" s="2" t="s">
        <v>22638</v>
      </c>
      <c r="N4589" s="2" t="s">
        <v>22639</v>
      </c>
      <c r="O4589" s="2" t="s">
        <v>22640</v>
      </c>
      <c r="P4589" s="2" t="s">
        <v>22641</v>
      </c>
    </row>
    <row r="4590" ht="15.75" customHeight="1">
      <c r="H4590" s="2" t="s">
        <v>22642</v>
      </c>
      <c r="I4590" s="2" t="s">
        <v>22643</v>
      </c>
      <c r="J4590" s="2" t="s">
        <v>22644</v>
      </c>
      <c r="K4590" s="2" t="s">
        <v>1569</v>
      </c>
      <c r="L4590" s="2" t="s">
        <v>22474</v>
      </c>
      <c r="M4590" s="2" t="s">
        <v>22645</v>
      </c>
      <c r="N4590" s="2" t="s">
        <v>22646</v>
      </c>
      <c r="O4590" s="2" t="s">
        <v>22647</v>
      </c>
      <c r="P4590" s="2" t="s">
        <v>22648</v>
      </c>
    </row>
    <row r="4591" ht="15.75" customHeight="1">
      <c r="H4591" s="2" t="s">
        <v>22649</v>
      </c>
      <c r="I4591" s="2" t="s">
        <v>12221</v>
      </c>
      <c r="J4591" s="2" t="s">
        <v>12222</v>
      </c>
      <c r="K4591" s="2" t="s">
        <v>22650</v>
      </c>
      <c r="L4591" s="2" t="s">
        <v>22474</v>
      </c>
      <c r="M4591" s="2" t="s">
        <v>22651</v>
      </c>
      <c r="N4591" s="2" t="s">
        <v>22652</v>
      </c>
      <c r="O4591" s="2" t="s">
        <v>22653</v>
      </c>
      <c r="P4591" s="2" t="s">
        <v>22654</v>
      </c>
    </row>
    <row r="4592" ht="15.75" customHeight="1">
      <c r="H4592" s="2" t="s">
        <v>22655</v>
      </c>
      <c r="I4592" s="2" t="s">
        <v>310</v>
      </c>
      <c r="J4592" s="2" t="s">
        <v>311</v>
      </c>
      <c r="K4592" s="2" t="s">
        <v>1567</v>
      </c>
      <c r="L4592" s="2" t="s">
        <v>22656</v>
      </c>
      <c r="M4592" s="2" t="s">
        <v>22657</v>
      </c>
      <c r="N4592" s="2" t="s">
        <v>22658</v>
      </c>
      <c r="O4592" s="2" t="s">
        <v>22659</v>
      </c>
      <c r="P4592" s="2" t="s">
        <v>22660</v>
      </c>
    </row>
    <row r="4593" ht="15.75" customHeight="1">
      <c r="H4593" s="2" t="s">
        <v>22661</v>
      </c>
      <c r="I4593" s="2" t="s">
        <v>5903</v>
      </c>
      <c r="J4593" s="2" t="s">
        <v>5904</v>
      </c>
      <c r="K4593" s="2" t="s">
        <v>1163</v>
      </c>
      <c r="L4593" s="2" t="s">
        <v>22474</v>
      </c>
      <c r="M4593" s="2" t="s">
        <v>22662</v>
      </c>
      <c r="N4593" s="2" t="s">
        <v>22663</v>
      </c>
      <c r="O4593" s="2" t="s">
        <v>22664</v>
      </c>
      <c r="P4593" s="2" t="s">
        <v>22665</v>
      </c>
    </row>
    <row r="4594" ht="15.75" customHeight="1">
      <c r="H4594" s="2" t="s">
        <v>22666</v>
      </c>
      <c r="I4594" s="2" t="s">
        <v>5421</v>
      </c>
      <c r="J4594" s="2" t="s">
        <v>5422</v>
      </c>
      <c r="K4594" s="2" t="s">
        <v>1169</v>
      </c>
      <c r="L4594" s="2" t="s">
        <v>22667</v>
      </c>
      <c r="M4594" s="2" t="s">
        <v>22668</v>
      </c>
      <c r="N4594" s="2" t="s">
        <v>22669</v>
      </c>
      <c r="O4594" s="2" t="s">
        <v>22670</v>
      </c>
      <c r="P4594" s="2" t="s">
        <v>22671</v>
      </c>
    </row>
    <row r="4595" ht="15.75" customHeight="1">
      <c r="H4595" s="2" t="s">
        <v>22672</v>
      </c>
      <c r="I4595" s="2" t="s">
        <v>12234</v>
      </c>
      <c r="J4595" s="2" t="s">
        <v>12235</v>
      </c>
      <c r="K4595" s="2" t="s">
        <v>19021</v>
      </c>
      <c r="L4595" s="2" t="s">
        <v>22474</v>
      </c>
      <c r="M4595" s="2" t="s">
        <v>22673</v>
      </c>
      <c r="N4595" s="2" t="s">
        <v>22674</v>
      </c>
      <c r="O4595" s="2" t="s">
        <v>22675</v>
      </c>
      <c r="P4595" s="2" t="s">
        <v>22676</v>
      </c>
    </row>
    <row r="4596" ht="15.75" customHeight="1">
      <c r="H4596" s="2" t="s">
        <v>22677</v>
      </c>
      <c r="I4596" s="2" t="s">
        <v>13702</v>
      </c>
      <c r="J4596" s="2" t="s">
        <v>13703</v>
      </c>
      <c r="L4596" s="2" t="s">
        <v>22474</v>
      </c>
      <c r="M4596" s="2" t="s">
        <v>22678</v>
      </c>
      <c r="N4596" s="2" t="s">
        <v>22679</v>
      </c>
      <c r="O4596" s="2" t="s">
        <v>22680</v>
      </c>
      <c r="P4596" s="2" t="s">
        <v>869</v>
      </c>
    </row>
    <row r="4597" ht="15.75" customHeight="1">
      <c r="H4597" s="2" t="s">
        <v>22681</v>
      </c>
      <c r="I4597" s="2" t="s">
        <v>2175</v>
      </c>
      <c r="J4597" s="2" t="s">
        <v>2176</v>
      </c>
      <c r="K4597" s="2" t="s">
        <v>1406</v>
      </c>
      <c r="L4597" s="2" t="s">
        <v>22474</v>
      </c>
      <c r="M4597" s="2" t="s">
        <v>22682</v>
      </c>
      <c r="N4597" s="2" t="s">
        <v>22683</v>
      </c>
      <c r="O4597" s="2" t="s">
        <v>22684</v>
      </c>
      <c r="P4597" s="2" t="s">
        <v>22685</v>
      </c>
    </row>
    <row r="4598" ht="15.75" customHeight="1">
      <c r="H4598" s="2" t="s">
        <v>22686</v>
      </c>
      <c r="I4598" s="2" t="s">
        <v>8130</v>
      </c>
      <c r="J4598" s="2" t="s">
        <v>8131</v>
      </c>
      <c r="K4598" s="2" t="s">
        <v>1981</v>
      </c>
      <c r="L4598" s="2" t="s">
        <v>22474</v>
      </c>
      <c r="M4598" s="2" t="s">
        <v>22687</v>
      </c>
      <c r="N4598" s="2" t="s">
        <v>22688</v>
      </c>
      <c r="O4598" s="2" t="s">
        <v>22689</v>
      </c>
      <c r="P4598" s="2" t="s">
        <v>22690</v>
      </c>
    </row>
    <row r="4599" ht="15.75" customHeight="1">
      <c r="H4599" s="2" t="s">
        <v>22691</v>
      </c>
      <c r="I4599" s="2" t="s">
        <v>326</v>
      </c>
      <c r="J4599" s="2" t="s">
        <v>327</v>
      </c>
      <c r="K4599" s="2" t="s">
        <v>1331</v>
      </c>
      <c r="L4599" s="2" t="s">
        <v>22692</v>
      </c>
      <c r="M4599" s="2" t="s">
        <v>22693</v>
      </c>
      <c r="N4599" s="2" t="s">
        <v>22694</v>
      </c>
      <c r="O4599" s="2" t="s">
        <v>22695</v>
      </c>
      <c r="P4599" s="2" t="s">
        <v>22696</v>
      </c>
    </row>
    <row r="4600" ht="15.75" customHeight="1">
      <c r="H4600" s="2" t="s">
        <v>22697</v>
      </c>
      <c r="I4600" s="2" t="s">
        <v>22698</v>
      </c>
      <c r="J4600" s="2" t="s">
        <v>22699</v>
      </c>
      <c r="K4600" s="2" t="s">
        <v>22700</v>
      </c>
      <c r="L4600" s="2" t="s">
        <v>22474</v>
      </c>
      <c r="M4600" s="2" t="s">
        <v>22701</v>
      </c>
      <c r="N4600" s="2" t="s">
        <v>22702</v>
      </c>
      <c r="O4600" s="2" t="s">
        <v>22703</v>
      </c>
      <c r="P4600" s="2" t="s">
        <v>22704</v>
      </c>
    </row>
    <row r="4601" ht="15.75" customHeight="1">
      <c r="H4601" s="2" t="s">
        <v>22705</v>
      </c>
      <c r="I4601" s="2" t="s">
        <v>384</v>
      </c>
      <c r="J4601" s="2" t="s">
        <v>385</v>
      </c>
      <c r="L4601" s="2" t="s">
        <v>22474</v>
      </c>
      <c r="M4601" s="2" t="s">
        <v>22706</v>
      </c>
      <c r="N4601" s="2" t="s">
        <v>22707</v>
      </c>
      <c r="O4601" s="2" t="s">
        <v>22708</v>
      </c>
      <c r="P4601" s="2" t="s">
        <v>22709</v>
      </c>
    </row>
    <row r="4602" ht="15.75" customHeight="1">
      <c r="H4602" s="2" t="s">
        <v>22710</v>
      </c>
      <c r="I4602" s="2" t="s">
        <v>409</v>
      </c>
      <c r="J4602" s="2" t="s">
        <v>410</v>
      </c>
      <c r="L4602" s="2" t="s">
        <v>22474</v>
      </c>
      <c r="M4602" s="2" t="s">
        <v>22711</v>
      </c>
      <c r="N4602" s="2" t="s">
        <v>22712</v>
      </c>
      <c r="O4602" s="2" t="s">
        <v>22713</v>
      </c>
      <c r="P4602" s="2" t="s">
        <v>22714</v>
      </c>
    </row>
    <row r="4603" ht="15.75" customHeight="1">
      <c r="H4603" s="2" t="s">
        <v>22715</v>
      </c>
      <c r="I4603" s="2" t="s">
        <v>432</v>
      </c>
      <c r="J4603" s="2" t="s">
        <v>433</v>
      </c>
      <c r="L4603" s="2" t="s">
        <v>22474</v>
      </c>
      <c r="M4603" s="2" t="s">
        <v>22716</v>
      </c>
      <c r="N4603" s="2" t="s">
        <v>22717</v>
      </c>
      <c r="O4603" s="2" t="s">
        <v>22718</v>
      </c>
      <c r="P4603" s="2" t="s">
        <v>869</v>
      </c>
    </row>
    <row r="4604" ht="15.75" customHeight="1">
      <c r="H4604" s="2" t="s">
        <v>22719</v>
      </c>
      <c r="I4604" s="2" t="s">
        <v>2298</v>
      </c>
      <c r="J4604" s="2" t="s">
        <v>2299</v>
      </c>
      <c r="K4604" s="2" t="s">
        <v>2025</v>
      </c>
      <c r="L4604" s="2" t="s">
        <v>22474</v>
      </c>
      <c r="M4604" s="2" t="s">
        <v>22720</v>
      </c>
      <c r="N4604" s="2" t="s">
        <v>22721</v>
      </c>
      <c r="O4604" s="2" t="s">
        <v>22722</v>
      </c>
      <c r="P4604" s="2" t="s">
        <v>22723</v>
      </c>
    </row>
    <row r="4605" ht="15.75" customHeight="1">
      <c r="H4605" s="2" t="s">
        <v>22724</v>
      </c>
      <c r="I4605" s="2" t="s">
        <v>22725</v>
      </c>
      <c r="J4605" s="2" t="s">
        <v>22726</v>
      </c>
      <c r="L4605" s="2" t="s">
        <v>22474</v>
      </c>
      <c r="M4605" s="2" t="s">
        <v>22727</v>
      </c>
      <c r="N4605" s="2" t="s">
        <v>22728</v>
      </c>
      <c r="O4605" s="2" t="s">
        <v>22729</v>
      </c>
      <c r="P4605" s="2" t="s">
        <v>869</v>
      </c>
    </row>
    <row r="4606" ht="15.75" customHeight="1">
      <c r="H4606" s="2" t="s">
        <v>22730</v>
      </c>
      <c r="I4606" s="2" t="s">
        <v>2352</v>
      </c>
      <c r="J4606" s="2" t="s">
        <v>2353</v>
      </c>
      <c r="K4606" s="2" t="s">
        <v>2049</v>
      </c>
      <c r="L4606" s="2" t="s">
        <v>22474</v>
      </c>
      <c r="M4606" s="2" t="s">
        <v>22731</v>
      </c>
      <c r="N4606" s="2" t="s">
        <v>22732</v>
      </c>
      <c r="O4606" s="2" t="s">
        <v>22733</v>
      </c>
      <c r="P4606" s="2" t="s">
        <v>22734</v>
      </c>
    </row>
    <row r="4607" ht="15.75" customHeight="1">
      <c r="H4607" s="2" t="s">
        <v>22735</v>
      </c>
      <c r="I4607" s="2" t="s">
        <v>2357</v>
      </c>
      <c r="J4607" s="2" t="s">
        <v>2358</v>
      </c>
      <c r="K4607" s="2" t="s">
        <v>2359</v>
      </c>
      <c r="L4607" s="2" t="s">
        <v>22736</v>
      </c>
      <c r="M4607" s="2" t="s">
        <v>22737</v>
      </c>
      <c r="N4607" s="2" t="s">
        <v>22738</v>
      </c>
      <c r="O4607" s="2" t="s">
        <v>22739</v>
      </c>
      <c r="P4607" s="2" t="s">
        <v>22740</v>
      </c>
    </row>
    <row r="4608" ht="15.75" customHeight="1">
      <c r="H4608" s="2" t="s">
        <v>22741</v>
      </c>
      <c r="I4608" s="2" t="s">
        <v>5541</v>
      </c>
      <c r="J4608" s="2" t="s">
        <v>5542</v>
      </c>
      <c r="K4608" s="2" t="s">
        <v>5543</v>
      </c>
      <c r="L4608" s="2" t="s">
        <v>22742</v>
      </c>
      <c r="M4608" s="2" t="s">
        <v>22743</v>
      </c>
      <c r="N4608" s="2" t="s">
        <v>22744</v>
      </c>
      <c r="O4608" s="2" t="s">
        <v>22745</v>
      </c>
      <c r="P4608" s="2" t="s">
        <v>22746</v>
      </c>
    </row>
    <row r="4609" ht="15.75" customHeight="1">
      <c r="H4609" s="2" t="s">
        <v>22747</v>
      </c>
      <c r="I4609" s="2" t="s">
        <v>485</v>
      </c>
      <c r="J4609" s="2" t="s">
        <v>486</v>
      </c>
      <c r="K4609" s="2" t="s">
        <v>2375</v>
      </c>
      <c r="L4609" s="2" t="s">
        <v>22748</v>
      </c>
      <c r="M4609" s="2" t="s">
        <v>22749</v>
      </c>
      <c r="N4609" s="2" t="s">
        <v>22750</v>
      </c>
      <c r="O4609" s="2" t="s">
        <v>22751</v>
      </c>
      <c r="P4609" s="2" t="s">
        <v>22752</v>
      </c>
    </row>
    <row r="4610" ht="15.75" customHeight="1">
      <c r="H4610" s="2" t="s">
        <v>22753</v>
      </c>
      <c r="I4610" s="2" t="s">
        <v>22754</v>
      </c>
      <c r="J4610" s="2" t="s">
        <v>22755</v>
      </c>
      <c r="L4610" s="2" t="s">
        <v>22474</v>
      </c>
      <c r="M4610" s="2" t="s">
        <v>22756</v>
      </c>
      <c r="N4610" s="2" t="s">
        <v>22757</v>
      </c>
      <c r="O4610" s="2" t="s">
        <v>22758</v>
      </c>
      <c r="P4610" s="2" t="s">
        <v>22759</v>
      </c>
    </row>
    <row r="4611" ht="15.75" customHeight="1">
      <c r="H4611" s="2" t="s">
        <v>22760</v>
      </c>
      <c r="I4611" s="2" t="s">
        <v>510</v>
      </c>
      <c r="J4611" s="2" t="s">
        <v>511</v>
      </c>
      <c r="K4611" s="2" t="s">
        <v>2068</v>
      </c>
      <c r="L4611" s="2" t="s">
        <v>22474</v>
      </c>
      <c r="M4611" s="2" t="s">
        <v>22761</v>
      </c>
      <c r="N4611" s="2" t="s">
        <v>22762</v>
      </c>
      <c r="O4611" s="2" t="s">
        <v>22763</v>
      </c>
      <c r="P4611" s="2" t="s">
        <v>22764</v>
      </c>
    </row>
    <row r="4612" ht="15.75" customHeight="1">
      <c r="H4612" s="2" t="s">
        <v>22765</v>
      </c>
      <c r="I4612" s="2" t="s">
        <v>22766</v>
      </c>
      <c r="J4612" s="2" t="s">
        <v>22767</v>
      </c>
      <c r="L4612" s="2" t="s">
        <v>22474</v>
      </c>
      <c r="M4612" s="2" t="s">
        <v>22768</v>
      </c>
      <c r="N4612" s="2" t="s">
        <v>22769</v>
      </c>
      <c r="O4612" s="2" t="s">
        <v>22770</v>
      </c>
      <c r="P4612" s="2" t="s">
        <v>22771</v>
      </c>
    </row>
    <row r="4613" ht="15.75" customHeight="1">
      <c r="H4613" s="2" t="s">
        <v>22772</v>
      </c>
      <c r="I4613" s="2" t="s">
        <v>2477</v>
      </c>
      <c r="J4613" s="2" t="s">
        <v>2478</v>
      </c>
      <c r="L4613" s="2" t="s">
        <v>22474</v>
      </c>
      <c r="M4613" s="2" t="s">
        <v>22773</v>
      </c>
      <c r="N4613" s="2" t="s">
        <v>22774</v>
      </c>
      <c r="O4613" s="2" t="s">
        <v>22775</v>
      </c>
      <c r="P4613" s="2" t="s">
        <v>22776</v>
      </c>
    </row>
    <row r="4614" ht="15.75" customHeight="1">
      <c r="H4614" s="2" t="s">
        <v>22777</v>
      </c>
      <c r="I4614" s="2" t="s">
        <v>2489</v>
      </c>
      <c r="J4614" s="2" t="s">
        <v>2490</v>
      </c>
      <c r="K4614" s="2" t="s">
        <v>1731</v>
      </c>
      <c r="L4614" s="2" t="s">
        <v>22778</v>
      </c>
      <c r="M4614" s="2" t="s">
        <v>22779</v>
      </c>
      <c r="N4614" s="2" t="s">
        <v>22780</v>
      </c>
      <c r="O4614" s="2" t="s">
        <v>22781</v>
      </c>
      <c r="P4614" s="2" t="s">
        <v>22782</v>
      </c>
    </row>
    <row r="4615" ht="15.75" customHeight="1">
      <c r="F4615" s="2" t="s">
        <v>534</v>
      </c>
      <c r="H4615" s="2" t="s">
        <v>22783</v>
      </c>
      <c r="I4615" s="2" t="s">
        <v>22784</v>
      </c>
      <c r="J4615" s="2" t="s">
        <v>22785</v>
      </c>
      <c r="K4615" s="2" t="s">
        <v>5500</v>
      </c>
    </row>
    <row r="4616" ht="15.75" customHeight="1">
      <c r="H4616" s="2" t="s">
        <v>22786</v>
      </c>
      <c r="I4616" s="2" t="s">
        <v>536</v>
      </c>
      <c r="J4616" s="2" t="s">
        <v>537</v>
      </c>
      <c r="K4616" s="2" t="s">
        <v>538</v>
      </c>
    </row>
    <row r="4617" ht="15.75" customHeight="1">
      <c r="F4617" s="2" t="s">
        <v>548</v>
      </c>
      <c r="H4617" s="2" t="s">
        <v>22787</v>
      </c>
      <c r="I4617" s="2" t="s">
        <v>22788</v>
      </c>
      <c r="J4617" s="2" t="s">
        <v>22789</v>
      </c>
      <c r="K4617" s="2" t="s">
        <v>874</v>
      </c>
      <c r="L4617" s="2" t="s">
        <v>22474</v>
      </c>
      <c r="M4617" s="2" t="s">
        <v>22790</v>
      </c>
      <c r="N4617" s="2" t="s">
        <v>22791</v>
      </c>
      <c r="O4617" s="2" t="s">
        <v>22792</v>
      </c>
      <c r="P4617" s="2" t="s">
        <v>22793</v>
      </c>
    </row>
    <row r="4618" ht="15.75" customHeight="1">
      <c r="H4618" s="2" t="s">
        <v>22794</v>
      </c>
      <c r="I4618" s="2" t="s">
        <v>550</v>
      </c>
      <c r="J4618" s="2" t="s">
        <v>551</v>
      </c>
      <c r="K4618" s="2" t="s">
        <v>963</v>
      </c>
      <c r="L4618" s="2" t="s">
        <v>22474</v>
      </c>
      <c r="M4618" s="2" t="s">
        <v>22795</v>
      </c>
      <c r="N4618" s="2" t="s">
        <v>22796</v>
      </c>
      <c r="O4618" s="2" t="s">
        <v>22797</v>
      </c>
      <c r="P4618" s="2" t="s">
        <v>22798</v>
      </c>
    </row>
    <row r="4619" ht="15.75" customHeight="1">
      <c r="F4619" s="2" t="s">
        <v>556</v>
      </c>
      <c r="H4619" s="2" t="s">
        <v>22799</v>
      </c>
      <c r="I4619" s="2" t="s">
        <v>22800</v>
      </c>
      <c r="J4619" s="2" t="s">
        <v>22801</v>
      </c>
      <c r="L4619" s="2" t="s">
        <v>22474</v>
      </c>
      <c r="M4619" s="2" t="s">
        <v>22802</v>
      </c>
      <c r="N4619" s="2" t="s">
        <v>22803</v>
      </c>
      <c r="O4619" s="2" t="s">
        <v>22804</v>
      </c>
      <c r="P4619" s="2" t="s">
        <v>869</v>
      </c>
    </row>
    <row r="4620" ht="15.75" customHeight="1">
      <c r="H4620" s="2" t="s">
        <v>22805</v>
      </c>
      <c r="I4620" s="2" t="s">
        <v>566</v>
      </c>
      <c r="J4620" s="2" t="s">
        <v>567</v>
      </c>
      <c r="K4620" s="2" t="s">
        <v>1288</v>
      </c>
      <c r="L4620" s="2" t="s">
        <v>22474</v>
      </c>
      <c r="M4620" s="2" t="s">
        <v>22806</v>
      </c>
      <c r="N4620" s="2" t="s">
        <v>22807</v>
      </c>
      <c r="O4620" s="2" t="s">
        <v>22808</v>
      </c>
      <c r="P4620" s="2" t="s">
        <v>22809</v>
      </c>
    </row>
    <row r="4621" ht="15.75" customHeight="1">
      <c r="H4621" s="2" t="s">
        <v>22810</v>
      </c>
      <c r="I4621" s="2" t="s">
        <v>2769</v>
      </c>
      <c r="J4621" s="2" t="s">
        <v>2770</v>
      </c>
      <c r="K4621" s="2" t="s">
        <v>963</v>
      </c>
      <c r="L4621" s="2" t="s">
        <v>22474</v>
      </c>
      <c r="M4621" s="2" t="s">
        <v>22811</v>
      </c>
      <c r="N4621" s="2" t="s">
        <v>22812</v>
      </c>
      <c r="O4621" s="2" t="s">
        <v>22813</v>
      </c>
      <c r="P4621" s="2" t="s">
        <v>22814</v>
      </c>
    </row>
    <row r="4622" ht="15.75" customHeight="1">
      <c r="H4622" s="2" t="s">
        <v>22815</v>
      </c>
      <c r="I4622" s="2" t="s">
        <v>16298</v>
      </c>
      <c r="J4622" s="2" t="s">
        <v>16299</v>
      </c>
      <c r="K4622" s="2" t="s">
        <v>1007</v>
      </c>
      <c r="L4622" s="2" t="s">
        <v>22474</v>
      </c>
      <c r="M4622" s="2" t="s">
        <v>22816</v>
      </c>
      <c r="N4622" s="2" t="s">
        <v>22817</v>
      </c>
      <c r="O4622" s="2" t="s">
        <v>22818</v>
      </c>
      <c r="P4622" s="2" t="s">
        <v>22819</v>
      </c>
    </row>
    <row r="4623" ht="15.75" customHeight="1">
      <c r="H4623" s="2" t="s">
        <v>22820</v>
      </c>
      <c r="I4623" s="2" t="s">
        <v>2793</v>
      </c>
      <c r="J4623" s="2" t="s">
        <v>2794</v>
      </c>
      <c r="L4623" s="2" t="s">
        <v>22474</v>
      </c>
      <c r="M4623" s="2" t="s">
        <v>22821</v>
      </c>
      <c r="N4623" s="2" t="s">
        <v>22822</v>
      </c>
      <c r="O4623" s="2" t="s">
        <v>22823</v>
      </c>
      <c r="P4623" s="2" t="s">
        <v>22824</v>
      </c>
    </row>
    <row r="4624" ht="15.75" customHeight="1">
      <c r="H4624" s="2" t="s">
        <v>22825</v>
      </c>
      <c r="I4624" s="2" t="s">
        <v>22826</v>
      </c>
      <c r="J4624" s="2" t="s">
        <v>22827</v>
      </c>
      <c r="L4624" s="2" t="s">
        <v>22474</v>
      </c>
      <c r="M4624" s="2" t="s">
        <v>22828</v>
      </c>
      <c r="N4624" s="2" t="s">
        <v>22829</v>
      </c>
      <c r="O4624" s="2" t="s">
        <v>22830</v>
      </c>
      <c r="P4624" s="2" t="s">
        <v>869</v>
      </c>
    </row>
    <row r="4625" ht="15.75" customHeight="1">
      <c r="H4625" s="2" t="s">
        <v>22831</v>
      </c>
      <c r="I4625" s="2" t="s">
        <v>574</v>
      </c>
      <c r="J4625" s="2" t="s">
        <v>575</v>
      </c>
      <c r="K4625" s="2" t="s">
        <v>2223</v>
      </c>
      <c r="L4625" s="2" t="s">
        <v>22474</v>
      </c>
      <c r="M4625" s="2" t="s">
        <v>22832</v>
      </c>
      <c r="N4625" s="2" t="s">
        <v>22833</v>
      </c>
      <c r="O4625" s="2" t="s">
        <v>22834</v>
      </c>
      <c r="P4625" s="2" t="s">
        <v>22835</v>
      </c>
    </row>
    <row r="4626" ht="15.75" customHeight="1">
      <c r="F4626" s="2" t="s">
        <v>581</v>
      </c>
      <c r="H4626" s="2" t="s">
        <v>22836</v>
      </c>
      <c r="I4626" s="2" t="s">
        <v>583</v>
      </c>
      <c r="J4626" s="2" t="s">
        <v>584</v>
      </c>
      <c r="K4626" s="2" t="s">
        <v>880</v>
      </c>
      <c r="L4626" s="2" t="s">
        <v>22474</v>
      </c>
      <c r="M4626" s="2" t="s">
        <v>22837</v>
      </c>
      <c r="N4626" s="2" t="s">
        <v>22838</v>
      </c>
      <c r="O4626" s="2" t="s">
        <v>22839</v>
      </c>
      <c r="P4626" s="2" t="s">
        <v>22840</v>
      </c>
    </row>
    <row r="4627" ht="15.75" customHeight="1">
      <c r="F4627" s="2" t="s">
        <v>598</v>
      </c>
      <c r="H4627" s="2" t="s">
        <v>22841</v>
      </c>
      <c r="I4627" s="2" t="s">
        <v>608</v>
      </c>
      <c r="J4627" s="2" t="s">
        <v>609</v>
      </c>
      <c r="K4627" s="2" t="s">
        <v>1508</v>
      </c>
      <c r="L4627" s="2" t="s">
        <v>22474</v>
      </c>
      <c r="M4627" s="2" t="s">
        <v>22842</v>
      </c>
      <c r="N4627" s="2" t="s">
        <v>22843</v>
      </c>
      <c r="O4627" s="2" t="s">
        <v>22844</v>
      </c>
      <c r="P4627" s="2" t="s">
        <v>22845</v>
      </c>
    </row>
    <row r="4628" ht="15.75" customHeight="1">
      <c r="F4628" s="2" t="s">
        <v>3129</v>
      </c>
      <c r="H4628" s="2" t="s">
        <v>22846</v>
      </c>
      <c r="I4628" s="2" t="s">
        <v>3146</v>
      </c>
      <c r="J4628" s="2" t="s">
        <v>3147</v>
      </c>
      <c r="K4628" s="2" t="s">
        <v>1288</v>
      </c>
      <c r="L4628" s="2" t="s">
        <v>22474</v>
      </c>
      <c r="M4628" s="2" t="s">
        <v>22847</v>
      </c>
      <c r="N4628" s="2" t="s">
        <v>22848</v>
      </c>
      <c r="O4628" s="2" t="s">
        <v>22849</v>
      </c>
      <c r="P4628" s="2" t="s">
        <v>22850</v>
      </c>
    </row>
    <row r="4629" ht="15.75" customHeight="1">
      <c r="F4629" s="2" t="s">
        <v>651</v>
      </c>
      <c r="H4629" s="2" t="s">
        <v>22851</v>
      </c>
      <c r="I4629" s="2" t="s">
        <v>653</v>
      </c>
      <c r="J4629" s="2" t="s">
        <v>654</v>
      </c>
      <c r="K4629" s="2" t="s">
        <v>1508</v>
      </c>
      <c r="L4629" s="2" t="s">
        <v>22474</v>
      </c>
      <c r="M4629" s="2" t="s">
        <v>22852</v>
      </c>
      <c r="N4629" s="2" t="s">
        <v>22853</v>
      </c>
      <c r="O4629" s="2" t="s">
        <v>22854</v>
      </c>
      <c r="P4629" s="2" t="s">
        <v>22855</v>
      </c>
    </row>
    <row r="4630" ht="15.75" customHeight="1">
      <c r="F4630" s="2" t="s">
        <v>3521</v>
      </c>
      <c r="H4630" s="2" t="s">
        <v>22856</v>
      </c>
      <c r="I4630" s="2" t="s">
        <v>22857</v>
      </c>
      <c r="J4630" s="2" t="s">
        <v>22858</v>
      </c>
      <c r="K4630" s="2" t="s">
        <v>963</v>
      </c>
      <c r="L4630" s="2" t="s">
        <v>22474</v>
      </c>
      <c r="M4630" s="2" t="s">
        <v>22859</v>
      </c>
      <c r="N4630" s="2" t="s">
        <v>22860</v>
      </c>
      <c r="O4630" s="2" t="s">
        <v>22861</v>
      </c>
      <c r="P4630" s="2" t="s">
        <v>869</v>
      </c>
    </row>
    <row r="4631" ht="15.75" customHeight="1">
      <c r="H4631" s="2" t="s">
        <v>22862</v>
      </c>
      <c r="I4631" s="2" t="s">
        <v>3553</v>
      </c>
      <c r="J4631" s="2" t="s">
        <v>3554</v>
      </c>
      <c r="K4631" s="2" t="s">
        <v>900</v>
      </c>
      <c r="L4631" s="2" t="s">
        <v>22474</v>
      </c>
      <c r="M4631" s="2" t="s">
        <v>22863</v>
      </c>
      <c r="N4631" s="2" t="s">
        <v>22864</v>
      </c>
      <c r="O4631" s="2" t="s">
        <v>22865</v>
      </c>
      <c r="P4631" s="2" t="s">
        <v>22866</v>
      </c>
    </row>
    <row r="4632" ht="15.75" customHeight="1">
      <c r="F4632" s="2" t="s">
        <v>3577</v>
      </c>
      <c r="H4632" s="2" t="s">
        <v>22867</v>
      </c>
      <c r="I4632" s="2" t="s">
        <v>3593</v>
      </c>
      <c r="J4632" s="2" t="s">
        <v>3594</v>
      </c>
      <c r="K4632" s="2" t="s">
        <v>1288</v>
      </c>
      <c r="L4632" s="2" t="s">
        <v>22474</v>
      </c>
      <c r="M4632" s="2" t="s">
        <v>22868</v>
      </c>
      <c r="N4632" s="2" t="s">
        <v>22869</v>
      </c>
      <c r="O4632" s="2" t="s">
        <v>22870</v>
      </c>
      <c r="P4632" s="2" t="s">
        <v>22871</v>
      </c>
    </row>
    <row r="4633" ht="15.75" customHeight="1">
      <c r="F4633" s="2" t="s">
        <v>660</v>
      </c>
      <c r="H4633" s="2" t="s">
        <v>22872</v>
      </c>
      <c r="I4633" s="2" t="s">
        <v>662</v>
      </c>
      <c r="J4633" s="2" t="s">
        <v>663</v>
      </c>
      <c r="K4633" s="2" t="s">
        <v>1567</v>
      </c>
      <c r="L4633" s="2" t="s">
        <v>22474</v>
      </c>
      <c r="M4633" s="2" t="s">
        <v>22873</v>
      </c>
      <c r="N4633" s="2" t="s">
        <v>22874</v>
      </c>
      <c r="O4633" s="2" t="s">
        <v>22875</v>
      </c>
      <c r="P4633" s="2" t="s">
        <v>22876</v>
      </c>
    </row>
    <row r="4634" ht="15.75" customHeight="1">
      <c r="F4634" s="2" t="s">
        <v>3762</v>
      </c>
      <c r="H4634" s="2" t="s">
        <v>22877</v>
      </c>
      <c r="I4634" s="2" t="s">
        <v>3826</v>
      </c>
      <c r="J4634" s="2" t="s">
        <v>3827</v>
      </c>
      <c r="K4634" s="2" t="s">
        <v>2551</v>
      </c>
      <c r="L4634" s="2" t="s">
        <v>22474</v>
      </c>
      <c r="M4634" s="2" t="s">
        <v>22878</v>
      </c>
      <c r="N4634" s="2" t="s">
        <v>22879</v>
      </c>
      <c r="O4634" s="2" t="s">
        <v>22880</v>
      </c>
      <c r="P4634" s="2" t="s">
        <v>22881</v>
      </c>
    </row>
    <row r="4635" ht="15.75" customHeight="1">
      <c r="F4635" s="2" t="s">
        <v>677</v>
      </c>
      <c r="H4635" s="2" t="s">
        <v>22882</v>
      </c>
      <c r="I4635" s="2" t="s">
        <v>22883</v>
      </c>
      <c r="J4635" s="2" t="s">
        <v>22884</v>
      </c>
      <c r="K4635" s="2" t="s">
        <v>22885</v>
      </c>
      <c r="L4635" s="2" t="s">
        <v>22474</v>
      </c>
      <c r="M4635" s="2" t="s">
        <v>22886</v>
      </c>
      <c r="N4635" s="2" t="s">
        <v>22887</v>
      </c>
      <c r="O4635" s="2" t="s">
        <v>22888</v>
      </c>
      <c r="P4635" s="2" t="s">
        <v>869</v>
      </c>
    </row>
    <row r="4636" ht="15.75" customHeight="1">
      <c r="H4636" s="2" t="s">
        <v>22889</v>
      </c>
      <c r="I4636" s="2" t="s">
        <v>22890</v>
      </c>
      <c r="J4636" s="2" t="s">
        <v>22891</v>
      </c>
      <c r="L4636" s="2" t="s">
        <v>22474</v>
      </c>
      <c r="M4636" s="2" t="s">
        <v>22892</v>
      </c>
      <c r="N4636" s="2" t="s">
        <v>22893</v>
      </c>
      <c r="O4636" s="2" t="s">
        <v>22894</v>
      </c>
      <c r="P4636" s="2" t="s">
        <v>869</v>
      </c>
    </row>
    <row r="4637" ht="15.75" customHeight="1">
      <c r="H4637" s="2" t="s">
        <v>22895</v>
      </c>
      <c r="I4637" s="2" t="s">
        <v>679</v>
      </c>
      <c r="J4637" s="2" t="s">
        <v>680</v>
      </c>
      <c r="K4637" s="2" t="s">
        <v>1157</v>
      </c>
      <c r="L4637" s="2" t="s">
        <v>22474</v>
      </c>
      <c r="M4637" s="2" t="s">
        <v>22896</v>
      </c>
      <c r="N4637" s="2" t="s">
        <v>22897</v>
      </c>
      <c r="O4637" s="2" t="s">
        <v>22898</v>
      </c>
      <c r="P4637" s="2" t="s">
        <v>22899</v>
      </c>
    </row>
    <row r="4638" ht="15.75" customHeight="1">
      <c r="F4638" s="2" t="s">
        <v>703</v>
      </c>
      <c r="H4638" s="2" t="s">
        <v>22900</v>
      </c>
      <c r="I4638" s="2" t="s">
        <v>22901</v>
      </c>
      <c r="J4638" s="2" t="s">
        <v>22902</v>
      </c>
      <c r="L4638" s="2" t="s">
        <v>22474</v>
      </c>
      <c r="M4638" s="2" t="s">
        <v>22903</v>
      </c>
      <c r="N4638" s="2" t="s">
        <v>22904</v>
      </c>
      <c r="O4638" s="2" t="s">
        <v>22905</v>
      </c>
      <c r="P4638" s="2" t="s">
        <v>869</v>
      </c>
    </row>
    <row r="4639" ht="15.75" customHeight="1">
      <c r="H4639" s="2" t="s">
        <v>22906</v>
      </c>
      <c r="I4639" s="2" t="s">
        <v>713</v>
      </c>
      <c r="J4639" s="2" t="s">
        <v>714</v>
      </c>
      <c r="K4639" s="2" t="s">
        <v>1567</v>
      </c>
      <c r="L4639" s="2" t="s">
        <v>22474</v>
      </c>
      <c r="M4639" s="2" t="s">
        <v>22907</v>
      </c>
      <c r="N4639" s="2" t="s">
        <v>22908</v>
      </c>
      <c r="O4639" s="2" t="s">
        <v>22909</v>
      </c>
      <c r="P4639" s="2" t="s">
        <v>22910</v>
      </c>
    </row>
    <row r="4640" ht="15.75" customHeight="1">
      <c r="H4640" s="2" t="s">
        <v>22911</v>
      </c>
      <c r="I4640" s="2" t="s">
        <v>14114</v>
      </c>
      <c r="J4640" s="2" t="s">
        <v>14115</v>
      </c>
      <c r="L4640" s="2" t="s">
        <v>22474</v>
      </c>
      <c r="M4640" s="2" t="s">
        <v>22912</v>
      </c>
      <c r="N4640" s="2" t="s">
        <v>22913</v>
      </c>
      <c r="O4640" s="2" t="s">
        <v>22914</v>
      </c>
      <c r="P4640" s="2" t="s">
        <v>869</v>
      </c>
    </row>
    <row r="4641" ht="15.75" customHeight="1">
      <c r="H4641" s="2" t="s">
        <v>22915</v>
      </c>
      <c r="I4641" s="2" t="s">
        <v>4060</v>
      </c>
      <c r="J4641" s="2" t="s">
        <v>4061</v>
      </c>
      <c r="K4641" s="2" t="s">
        <v>1027</v>
      </c>
      <c r="L4641" s="2" t="s">
        <v>22474</v>
      </c>
      <c r="M4641" s="2" t="s">
        <v>22916</v>
      </c>
      <c r="N4641" s="2" t="s">
        <v>22917</v>
      </c>
      <c r="O4641" s="2" t="s">
        <v>22918</v>
      </c>
      <c r="P4641" s="2" t="s">
        <v>22917</v>
      </c>
    </row>
    <row r="4642" ht="15.75" customHeight="1">
      <c r="F4642" s="2" t="s">
        <v>4353</v>
      </c>
      <c r="H4642" s="2" t="s">
        <v>22919</v>
      </c>
      <c r="I4642" s="2" t="s">
        <v>22920</v>
      </c>
      <c r="J4642" s="2" t="s">
        <v>22921</v>
      </c>
      <c r="K4642" s="2" t="s">
        <v>22922</v>
      </c>
      <c r="L4642" s="2" t="s">
        <v>22474</v>
      </c>
      <c r="M4642" s="2" t="s">
        <v>22923</v>
      </c>
      <c r="N4642" s="2" t="s">
        <v>22924</v>
      </c>
      <c r="O4642" s="2" t="s">
        <v>22925</v>
      </c>
      <c r="P4642" s="2" t="s">
        <v>22926</v>
      </c>
    </row>
    <row r="4643" ht="15.75" customHeight="1">
      <c r="H4643" s="2" t="s">
        <v>22927</v>
      </c>
      <c r="I4643" s="2" t="s">
        <v>6072</v>
      </c>
      <c r="J4643" s="2" t="s">
        <v>6073</v>
      </c>
      <c r="K4643" s="2" t="s">
        <v>1433</v>
      </c>
      <c r="L4643" s="2" t="s">
        <v>22474</v>
      </c>
      <c r="M4643" s="2" t="s">
        <v>22928</v>
      </c>
      <c r="N4643" s="2" t="s">
        <v>22929</v>
      </c>
      <c r="O4643" s="2" t="s">
        <v>22930</v>
      </c>
      <c r="P4643" s="2" t="s">
        <v>22931</v>
      </c>
    </row>
    <row r="4644" ht="15.75" customHeight="1">
      <c r="F4644" s="2" t="s">
        <v>755</v>
      </c>
      <c r="H4644" s="2" t="s">
        <v>22932</v>
      </c>
      <c r="I4644" s="2" t="s">
        <v>757</v>
      </c>
      <c r="J4644" s="2" t="s">
        <v>758</v>
      </c>
      <c r="K4644" s="2" t="s">
        <v>4429</v>
      </c>
      <c r="L4644" s="2" t="s">
        <v>22474</v>
      </c>
      <c r="M4644" s="2" t="s">
        <v>22933</v>
      </c>
      <c r="N4644" s="2" t="s">
        <v>22934</v>
      </c>
      <c r="O4644" s="2" t="s">
        <v>22935</v>
      </c>
      <c r="P4644" s="2" t="s">
        <v>22936</v>
      </c>
    </row>
    <row r="4645" ht="15.75" customHeight="1">
      <c r="F4645" s="2" t="s">
        <v>764</v>
      </c>
      <c r="H4645" s="2" t="s">
        <v>22937</v>
      </c>
      <c r="I4645" s="2" t="s">
        <v>766</v>
      </c>
      <c r="J4645" s="2" t="s">
        <v>767</v>
      </c>
      <c r="K4645" s="2" t="s">
        <v>1418</v>
      </c>
      <c r="L4645" s="2" t="s">
        <v>22474</v>
      </c>
      <c r="M4645" s="2" t="s">
        <v>22938</v>
      </c>
      <c r="N4645" s="2" t="s">
        <v>22939</v>
      </c>
      <c r="O4645" s="2" t="s">
        <v>22940</v>
      </c>
      <c r="P4645" s="2" t="s">
        <v>22941</v>
      </c>
    </row>
    <row r="4646" ht="15.75" customHeight="1">
      <c r="F4646" s="2" t="s">
        <v>4802</v>
      </c>
      <c r="H4646" s="2" t="s">
        <v>22942</v>
      </c>
      <c r="I4646" s="2" t="s">
        <v>22943</v>
      </c>
      <c r="J4646" s="2" t="s">
        <v>22944</v>
      </c>
      <c r="K4646" s="2" t="s">
        <v>17476</v>
      </c>
      <c r="L4646" s="2" t="s">
        <v>22474</v>
      </c>
      <c r="M4646" s="2" t="s">
        <v>22945</v>
      </c>
      <c r="N4646" s="2" t="s">
        <v>22946</v>
      </c>
      <c r="O4646" s="2" t="s">
        <v>22947</v>
      </c>
      <c r="P4646" s="2" t="s">
        <v>22946</v>
      </c>
    </row>
    <row r="4647" ht="15.75" customHeight="1">
      <c r="F4647" s="2" t="s">
        <v>782</v>
      </c>
      <c r="H4647" s="2" t="s">
        <v>22948</v>
      </c>
      <c r="I4647" s="2" t="s">
        <v>22949</v>
      </c>
      <c r="J4647" s="2" t="s">
        <v>22950</v>
      </c>
      <c r="K4647" s="2" t="s">
        <v>12214</v>
      </c>
      <c r="L4647" s="2" t="s">
        <v>22474</v>
      </c>
      <c r="M4647" s="2" t="s">
        <v>22951</v>
      </c>
      <c r="N4647" s="2" t="s">
        <v>22952</v>
      </c>
      <c r="O4647" s="2" t="s">
        <v>22953</v>
      </c>
      <c r="P4647" s="2" t="s">
        <v>22954</v>
      </c>
    </row>
    <row r="4648" ht="15.75" customHeight="1">
      <c r="H4648" s="2" t="s">
        <v>22955</v>
      </c>
      <c r="I4648" s="2" t="s">
        <v>784</v>
      </c>
      <c r="J4648" s="2" t="s">
        <v>785</v>
      </c>
      <c r="L4648" s="2" t="s">
        <v>22474</v>
      </c>
      <c r="M4648" s="2" t="s">
        <v>22956</v>
      </c>
      <c r="N4648" s="2" t="s">
        <v>22957</v>
      </c>
      <c r="O4648" s="2" t="s">
        <v>22958</v>
      </c>
      <c r="P4648" s="2" t="s">
        <v>869</v>
      </c>
    </row>
    <row r="4649" ht="15.75" customHeight="1">
      <c r="F4649" s="2" t="s">
        <v>800</v>
      </c>
      <c r="H4649" s="2" t="s">
        <v>22959</v>
      </c>
      <c r="I4649" s="2" t="s">
        <v>22960</v>
      </c>
      <c r="J4649" s="2" t="s">
        <v>22961</v>
      </c>
      <c r="L4649" s="2" t="s">
        <v>22474</v>
      </c>
      <c r="M4649" s="2" t="s">
        <v>22962</v>
      </c>
      <c r="N4649" s="2" t="s">
        <v>22963</v>
      </c>
      <c r="O4649" s="2" t="s">
        <v>22964</v>
      </c>
      <c r="P4649" s="2" t="s">
        <v>22965</v>
      </c>
    </row>
    <row r="4650" ht="15.75" customHeight="1">
      <c r="H4650" s="2" t="s">
        <v>22966</v>
      </c>
      <c r="I4650" s="2" t="s">
        <v>5986</v>
      </c>
      <c r="J4650" s="2" t="s">
        <v>5987</v>
      </c>
      <c r="K4650" s="2" t="s">
        <v>5988</v>
      </c>
      <c r="L4650" s="2" t="s">
        <v>22474</v>
      </c>
      <c r="M4650" s="2" t="s">
        <v>22967</v>
      </c>
      <c r="N4650" s="2" t="s">
        <v>22968</v>
      </c>
      <c r="O4650" s="2" t="s">
        <v>22969</v>
      </c>
      <c r="P4650" s="2" t="s">
        <v>22970</v>
      </c>
    </row>
    <row r="4651" ht="15.75" customHeight="1">
      <c r="F4651" s="2" t="s">
        <v>843</v>
      </c>
      <c r="H4651" s="2" t="s">
        <v>22971</v>
      </c>
      <c r="I4651" s="2" t="s">
        <v>22972</v>
      </c>
      <c r="J4651" s="2" t="s">
        <v>22973</v>
      </c>
      <c r="K4651" s="2" t="s">
        <v>22974</v>
      </c>
      <c r="L4651" s="2" t="s">
        <v>22474</v>
      </c>
      <c r="M4651" s="2" t="s">
        <v>22975</v>
      </c>
      <c r="N4651" s="2" t="s">
        <v>22976</v>
      </c>
      <c r="O4651" s="2" t="s">
        <v>22977</v>
      </c>
      <c r="P4651" s="2" t="s">
        <v>869</v>
      </c>
    </row>
    <row r="4652" ht="15.75" customHeight="1">
      <c r="H4652" s="2" t="s">
        <v>22978</v>
      </c>
      <c r="I4652" s="2" t="s">
        <v>845</v>
      </c>
      <c r="J4652" s="2" t="s">
        <v>846</v>
      </c>
      <c r="L4652" s="2" t="s">
        <v>22474</v>
      </c>
      <c r="M4652" s="2" t="s">
        <v>22979</v>
      </c>
      <c r="N4652" s="2" t="s">
        <v>22980</v>
      </c>
      <c r="O4652" s="2" t="s">
        <v>22981</v>
      </c>
      <c r="P4652" s="2" t="s">
        <v>869</v>
      </c>
    </row>
    <row r="4653" ht="15.75" customHeight="1">
      <c r="B4653" s="2" t="s">
        <v>22982</v>
      </c>
      <c r="C4653" s="2" t="s">
        <v>22983</v>
      </c>
      <c r="D4653" s="2" t="s">
        <v>22982</v>
      </c>
      <c r="F4653" s="2" t="s">
        <v>2508</v>
      </c>
      <c r="H4653" s="2" t="s">
        <v>22984</v>
      </c>
      <c r="I4653" s="2" t="s">
        <v>2512</v>
      </c>
      <c r="J4653" s="2" t="s">
        <v>2513</v>
      </c>
      <c r="K4653" s="2" t="s">
        <v>1181</v>
      </c>
    </row>
    <row r="4654" ht="15.75" customHeight="1">
      <c r="H4654" s="2" t="s">
        <v>22985</v>
      </c>
      <c r="I4654" s="2" t="s">
        <v>22986</v>
      </c>
      <c r="J4654" s="2" t="s">
        <v>22987</v>
      </c>
      <c r="K4654" s="2" t="s">
        <v>5101</v>
      </c>
    </row>
    <row r="4655" ht="15.75" customHeight="1">
      <c r="F4655" s="2" t="s">
        <v>534</v>
      </c>
      <c r="H4655" s="2" t="s">
        <v>22988</v>
      </c>
      <c r="I4655" s="2" t="s">
        <v>22989</v>
      </c>
      <c r="J4655" s="2" t="s">
        <v>22989</v>
      </c>
      <c r="K4655" s="2" t="s">
        <v>5500</v>
      </c>
    </row>
    <row r="4656" ht="15.75" customHeight="1">
      <c r="H4656" s="2" t="s">
        <v>22990</v>
      </c>
      <c r="I4656" s="2" t="s">
        <v>536</v>
      </c>
      <c r="J4656" s="2" t="s">
        <v>537</v>
      </c>
      <c r="K4656" s="2" t="s">
        <v>538</v>
      </c>
    </row>
    <row r="4657" ht="15.75" customHeight="1">
      <c r="B4657" s="2" t="s">
        <v>22991</v>
      </c>
      <c r="C4657" s="2" t="s">
        <v>22992</v>
      </c>
      <c r="D4657" s="2" t="s">
        <v>22993</v>
      </c>
      <c r="F4657" s="2" t="s">
        <v>19</v>
      </c>
      <c r="H4657" s="2" t="s">
        <v>22994</v>
      </c>
      <c r="I4657" s="2" t="s">
        <v>21</v>
      </c>
      <c r="J4657" s="2" t="s">
        <v>22</v>
      </c>
      <c r="K4657" s="2" t="s">
        <v>22995</v>
      </c>
      <c r="L4657" s="2" t="s">
        <v>22996</v>
      </c>
      <c r="M4657" s="2" t="s">
        <v>22997</v>
      </c>
      <c r="N4657" s="2" t="s">
        <v>22998</v>
      </c>
      <c r="O4657" s="2" t="s">
        <v>22999</v>
      </c>
      <c r="P4657" s="2" t="s">
        <v>23000</v>
      </c>
    </row>
    <row r="4658" ht="15.75" customHeight="1">
      <c r="H4658" s="2" t="s">
        <v>23001</v>
      </c>
      <c r="I4658" s="2" t="s">
        <v>23002</v>
      </c>
      <c r="J4658" s="2" t="s">
        <v>23003</v>
      </c>
      <c r="K4658" s="2" t="s">
        <v>23004</v>
      </c>
      <c r="L4658" s="2" t="s">
        <v>23005</v>
      </c>
      <c r="M4658" s="2" t="s">
        <v>23006</v>
      </c>
      <c r="N4658" s="2" t="s">
        <v>23007</v>
      </c>
      <c r="O4658" s="2" t="s">
        <v>23008</v>
      </c>
      <c r="P4658" s="2" t="s">
        <v>869</v>
      </c>
    </row>
    <row r="4659" ht="15.75" customHeight="1">
      <c r="F4659" s="2" t="s">
        <v>1052</v>
      </c>
      <c r="H4659" s="2" t="s">
        <v>23009</v>
      </c>
      <c r="I4659" s="2" t="s">
        <v>1054</v>
      </c>
      <c r="J4659" s="2" t="s">
        <v>1055</v>
      </c>
      <c r="K4659" s="2" t="s">
        <v>23010</v>
      </c>
      <c r="L4659" s="2" t="s">
        <v>23005</v>
      </c>
      <c r="M4659" s="2" t="s">
        <v>23011</v>
      </c>
      <c r="N4659" s="2" t="s">
        <v>23012</v>
      </c>
      <c r="O4659" s="2" t="s">
        <v>23013</v>
      </c>
      <c r="P4659" s="2" t="s">
        <v>23014</v>
      </c>
    </row>
    <row r="4660" ht="15.75" customHeight="1">
      <c r="H4660" s="2" t="s">
        <v>23015</v>
      </c>
      <c r="I4660" s="2" t="s">
        <v>16554</v>
      </c>
      <c r="J4660" s="2" t="s">
        <v>16555</v>
      </c>
      <c r="K4660" s="2" t="s">
        <v>23016</v>
      </c>
      <c r="L4660" s="2" t="s">
        <v>23005</v>
      </c>
      <c r="M4660" s="2" t="s">
        <v>23017</v>
      </c>
      <c r="N4660" s="2" t="s">
        <v>23018</v>
      </c>
      <c r="O4660" s="2" t="s">
        <v>23019</v>
      </c>
      <c r="P4660" s="2" t="s">
        <v>869</v>
      </c>
    </row>
    <row r="4661" ht="15.75" customHeight="1">
      <c r="F4661" s="2" t="s">
        <v>29</v>
      </c>
      <c r="H4661" s="2" t="s">
        <v>23020</v>
      </c>
      <c r="I4661" s="2" t="s">
        <v>31</v>
      </c>
      <c r="J4661" s="2" t="s">
        <v>32</v>
      </c>
      <c r="K4661" s="2" t="s">
        <v>23021</v>
      </c>
      <c r="L4661" s="2" t="s">
        <v>23022</v>
      </c>
      <c r="M4661" s="2" t="s">
        <v>23023</v>
      </c>
      <c r="N4661" s="2" t="s">
        <v>23024</v>
      </c>
      <c r="O4661" s="2" t="s">
        <v>23025</v>
      </c>
      <c r="P4661" s="2" t="s">
        <v>869</v>
      </c>
    </row>
    <row r="4662" ht="15.75" customHeight="1">
      <c r="F4662" s="2" t="s">
        <v>39</v>
      </c>
      <c r="H4662" s="2" t="s">
        <v>23026</v>
      </c>
      <c r="I4662" s="2" t="s">
        <v>49</v>
      </c>
      <c r="J4662" s="2" t="s">
        <v>50</v>
      </c>
      <c r="K4662" s="2" t="s">
        <v>23027</v>
      </c>
      <c r="L4662" s="2" t="s">
        <v>23028</v>
      </c>
      <c r="M4662" s="2" t="s">
        <v>23029</v>
      </c>
      <c r="N4662" s="2" t="s">
        <v>23030</v>
      </c>
      <c r="O4662" s="2" t="s">
        <v>23031</v>
      </c>
      <c r="P4662" s="2" t="s">
        <v>23032</v>
      </c>
    </row>
    <row r="4663" ht="15.75" customHeight="1">
      <c r="H4663" s="2" t="s">
        <v>23033</v>
      </c>
      <c r="I4663" s="2" t="s">
        <v>23034</v>
      </c>
      <c r="J4663" s="2" t="s">
        <v>23035</v>
      </c>
      <c r="K4663" s="2" t="s">
        <v>23036</v>
      </c>
      <c r="L4663" s="2" t="s">
        <v>23005</v>
      </c>
      <c r="M4663" s="2" t="s">
        <v>23037</v>
      </c>
      <c r="N4663" s="2" t="s">
        <v>23038</v>
      </c>
      <c r="O4663" s="2" t="s">
        <v>23039</v>
      </c>
      <c r="P4663" s="2" t="s">
        <v>869</v>
      </c>
    </row>
    <row r="4664" ht="15.75" customHeight="1">
      <c r="F4664" s="2" t="s">
        <v>56</v>
      </c>
      <c r="H4664" s="2" t="s">
        <v>23040</v>
      </c>
      <c r="I4664" s="2" t="s">
        <v>58</v>
      </c>
      <c r="J4664" s="2" t="s">
        <v>59</v>
      </c>
      <c r="K4664" s="2" t="s">
        <v>23041</v>
      </c>
      <c r="L4664" s="2" t="s">
        <v>23005</v>
      </c>
      <c r="M4664" s="2" t="s">
        <v>23042</v>
      </c>
      <c r="N4664" s="2" t="s">
        <v>23043</v>
      </c>
      <c r="O4664" s="2" t="s">
        <v>23044</v>
      </c>
      <c r="P4664" s="2" t="s">
        <v>23045</v>
      </c>
    </row>
    <row r="4665" ht="15.75" customHeight="1">
      <c r="H4665" s="2" t="s">
        <v>23046</v>
      </c>
      <c r="I4665" s="2" t="s">
        <v>1382</v>
      </c>
      <c r="J4665" s="2" t="s">
        <v>1383</v>
      </c>
      <c r="K4665" s="2" t="s">
        <v>23047</v>
      </c>
      <c r="L4665" s="2" t="s">
        <v>23005</v>
      </c>
      <c r="M4665" s="2" t="s">
        <v>23048</v>
      </c>
      <c r="N4665" s="2" t="s">
        <v>23049</v>
      </c>
      <c r="O4665" s="2" t="s">
        <v>23050</v>
      </c>
      <c r="P4665" s="2" t="s">
        <v>869</v>
      </c>
    </row>
    <row r="4666" ht="15.75" customHeight="1">
      <c r="F4666" s="2" t="s">
        <v>65</v>
      </c>
      <c r="H4666" s="2" t="s">
        <v>23051</v>
      </c>
      <c r="I4666" s="2" t="s">
        <v>67</v>
      </c>
      <c r="J4666" s="2" t="s">
        <v>68</v>
      </c>
      <c r="K4666" s="2" t="s">
        <v>23052</v>
      </c>
      <c r="L4666" s="2" t="s">
        <v>23053</v>
      </c>
      <c r="M4666" s="2" t="s">
        <v>23054</v>
      </c>
      <c r="N4666" s="2" t="s">
        <v>23055</v>
      </c>
      <c r="O4666" s="2" t="s">
        <v>23056</v>
      </c>
      <c r="P4666" s="2" t="s">
        <v>23057</v>
      </c>
    </row>
    <row r="4667" ht="15.75" customHeight="1">
      <c r="F4667" s="2" t="s">
        <v>74</v>
      </c>
      <c r="H4667" s="2" t="s">
        <v>23058</v>
      </c>
      <c r="I4667" s="2" t="s">
        <v>76</v>
      </c>
      <c r="J4667" s="2" t="s">
        <v>77</v>
      </c>
      <c r="K4667" s="2" t="s">
        <v>23059</v>
      </c>
      <c r="L4667" s="2" t="s">
        <v>23060</v>
      </c>
      <c r="M4667" s="2" t="s">
        <v>23061</v>
      </c>
      <c r="N4667" s="2" t="s">
        <v>23062</v>
      </c>
      <c r="O4667" s="2" t="s">
        <v>23063</v>
      </c>
      <c r="P4667" s="2" t="s">
        <v>23064</v>
      </c>
    </row>
    <row r="4668" ht="15.75" customHeight="1">
      <c r="H4668" s="2" t="s">
        <v>23065</v>
      </c>
      <c r="I4668" s="2" t="s">
        <v>85</v>
      </c>
      <c r="J4668" s="2" t="s">
        <v>86</v>
      </c>
      <c r="K4668" s="2" t="s">
        <v>23066</v>
      </c>
      <c r="L4668" s="2" t="s">
        <v>23005</v>
      </c>
      <c r="M4668" s="2" t="s">
        <v>23067</v>
      </c>
      <c r="N4668" s="2" t="s">
        <v>23068</v>
      </c>
      <c r="O4668" s="2" t="s">
        <v>23069</v>
      </c>
      <c r="P4668" s="2" t="s">
        <v>23070</v>
      </c>
    </row>
    <row r="4669" ht="15.75" customHeight="1">
      <c r="H4669" s="2" t="s">
        <v>23071</v>
      </c>
      <c r="I4669" s="2" t="s">
        <v>12139</v>
      </c>
      <c r="J4669" s="2" t="s">
        <v>12140</v>
      </c>
      <c r="K4669" s="2" t="s">
        <v>23072</v>
      </c>
      <c r="L4669" s="2" t="s">
        <v>23060</v>
      </c>
      <c r="M4669" s="2" t="s">
        <v>23073</v>
      </c>
      <c r="N4669" s="2" t="s">
        <v>23074</v>
      </c>
      <c r="O4669" s="2" t="s">
        <v>23075</v>
      </c>
      <c r="P4669" s="2" t="s">
        <v>23076</v>
      </c>
    </row>
    <row r="4670" ht="15.75" customHeight="1">
      <c r="H4670" s="2" t="s">
        <v>23077</v>
      </c>
      <c r="I4670" s="2" t="s">
        <v>117</v>
      </c>
      <c r="J4670" s="2" t="s">
        <v>118</v>
      </c>
      <c r="K4670" s="2" t="s">
        <v>23078</v>
      </c>
      <c r="L4670" s="2" t="s">
        <v>23005</v>
      </c>
      <c r="M4670" s="2" t="s">
        <v>23079</v>
      </c>
      <c r="N4670" s="2" t="s">
        <v>23080</v>
      </c>
      <c r="O4670" s="2" t="s">
        <v>23081</v>
      </c>
      <c r="P4670" s="2" t="s">
        <v>23082</v>
      </c>
    </row>
    <row r="4671" ht="15.75" customHeight="1">
      <c r="H4671" s="2" t="s">
        <v>23083</v>
      </c>
      <c r="I4671" s="2" t="s">
        <v>1573</v>
      </c>
      <c r="J4671" s="2" t="s">
        <v>1574</v>
      </c>
      <c r="K4671" s="2" t="s">
        <v>23084</v>
      </c>
      <c r="L4671" s="2" t="s">
        <v>23005</v>
      </c>
      <c r="M4671" s="2" t="s">
        <v>23085</v>
      </c>
      <c r="N4671" s="2" t="s">
        <v>23086</v>
      </c>
      <c r="O4671" s="2" t="s">
        <v>23087</v>
      </c>
      <c r="P4671" s="2" t="s">
        <v>23088</v>
      </c>
    </row>
    <row r="4672" ht="15.75" customHeight="1">
      <c r="H4672" s="2" t="s">
        <v>23089</v>
      </c>
      <c r="I4672" s="2" t="s">
        <v>1000</v>
      </c>
      <c r="J4672" s="2" t="s">
        <v>1001</v>
      </c>
      <c r="K4672" s="2" t="s">
        <v>23090</v>
      </c>
      <c r="L4672" s="2" t="s">
        <v>23005</v>
      </c>
      <c r="M4672" s="2" t="s">
        <v>23091</v>
      </c>
      <c r="N4672" s="2" t="s">
        <v>23092</v>
      </c>
      <c r="O4672" s="2" t="s">
        <v>23093</v>
      </c>
      <c r="P4672" s="2" t="s">
        <v>23094</v>
      </c>
    </row>
    <row r="4673" ht="15.75" customHeight="1">
      <c r="H4673" s="2" t="s">
        <v>23095</v>
      </c>
      <c r="I4673" s="2" t="s">
        <v>1663</v>
      </c>
      <c r="J4673" s="2" t="s">
        <v>1664</v>
      </c>
      <c r="K4673" s="2" t="s">
        <v>23096</v>
      </c>
      <c r="L4673" s="2" t="s">
        <v>23005</v>
      </c>
      <c r="M4673" s="2" t="s">
        <v>23097</v>
      </c>
      <c r="N4673" s="2" t="s">
        <v>23098</v>
      </c>
      <c r="O4673" s="2" t="s">
        <v>23099</v>
      </c>
      <c r="P4673" s="2" t="s">
        <v>869</v>
      </c>
    </row>
    <row r="4674" ht="15.75" customHeight="1">
      <c r="H4674" s="2" t="s">
        <v>23100</v>
      </c>
      <c r="I4674" s="2" t="s">
        <v>159</v>
      </c>
      <c r="J4674" s="2" t="s">
        <v>160</v>
      </c>
      <c r="K4674" s="2" t="s">
        <v>23101</v>
      </c>
      <c r="L4674" s="2" t="s">
        <v>23005</v>
      </c>
      <c r="M4674" s="2" t="s">
        <v>23102</v>
      </c>
      <c r="N4674" s="2" t="s">
        <v>23103</v>
      </c>
      <c r="O4674" s="2" t="s">
        <v>23104</v>
      </c>
      <c r="P4674" s="2" t="s">
        <v>869</v>
      </c>
    </row>
    <row r="4675" ht="15.75" customHeight="1">
      <c r="H4675" s="2" t="s">
        <v>23105</v>
      </c>
      <c r="I4675" s="2" t="s">
        <v>167</v>
      </c>
      <c r="J4675" s="2" t="s">
        <v>168</v>
      </c>
      <c r="K4675" s="2" t="s">
        <v>23106</v>
      </c>
      <c r="L4675" s="2" t="s">
        <v>23107</v>
      </c>
      <c r="M4675" s="2" t="s">
        <v>23108</v>
      </c>
      <c r="N4675" s="2" t="s">
        <v>23109</v>
      </c>
      <c r="O4675" s="2" t="s">
        <v>23110</v>
      </c>
      <c r="P4675" s="2" t="s">
        <v>869</v>
      </c>
    </row>
    <row r="4676" ht="15.75" customHeight="1">
      <c r="H4676" s="2" t="s">
        <v>23111</v>
      </c>
      <c r="I4676" s="2" t="s">
        <v>176</v>
      </c>
      <c r="J4676" s="2" t="s">
        <v>177</v>
      </c>
      <c r="K4676" s="2" t="s">
        <v>23112</v>
      </c>
      <c r="L4676" s="2" t="s">
        <v>23113</v>
      </c>
      <c r="M4676" s="2" t="s">
        <v>23114</v>
      </c>
      <c r="N4676" s="2" t="s">
        <v>23115</v>
      </c>
      <c r="O4676" s="2" t="s">
        <v>23116</v>
      </c>
      <c r="P4676" s="2" t="s">
        <v>23117</v>
      </c>
    </row>
    <row r="4677" ht="15.75" customHeight="1">
      <c r="H4677" s="2" t="s">
        <v>23118</v>
      </c>
      <c r="I4677" s="2" t="s">
        <v>7166</v>
      </c>
      <c r="J4677" s="2" t="s">
        <v>7167</v>
      </c>
      <c r="K4677" s="2" t="s">
        <v>23119</v>
      </c>
      <c r="L4677" s="2" t="s">
        <v>23005</v>
      </c>
      <c r="M4677" s="2" t="s">
        <v>23120</v>
      </c>
      <c r="N4677" s="2" t="s">
        <v>23121</v>
      </c>
      <c r="O4677" s="2" t="s">
        <v>23122</v>
      </c>
      <c r="P4677" s="2" t="s">
        <v>869</v>
      </c>
    </row>
    <row r="4678" ht="15.75" customHeight="1">
      <c r="H4678" s="2" t="s">
        <v>23123</v>
      </c>
      <c r="I4678" s="2" t="s">
        <v>5341</v>
      </c>
      <c r="J4678" s="2" t="s">
        <v>5342</v>
      </c>
      <c r="K4678" s="2" t="s">
        <v>23124</v>
      </c>
      <c r="L4678" s="2" t="s">
        <v>23005</v>
      </c>
      <c r="M4678" s="2" t="s">
        <v>23125</v>
      </c>
      <c r="N4678" s="2" t="s">
        <v>23126</v>
      </c>
      <c r="O4678" s="2" t="s">
        <v>23127</v>
      </c>
      <c r="P4678" s="2" t="s">
        <v>869</v>
      </c>
    </row>
    <row r="4679" ht="15.75" customHeight="1">
      <c r="H4679" s="2" t="s">
        <v>23128</v>
      </c>
      <c r="I4679" s="2" t="s">
        <v>1766</v>
      </c>
      <c r="J4679" s="2" t="s">
        <v>1767</v>
      </c>
      <c r="K4679" s="2" t="s">
        <v>23129</v>
      </c>
      <c r="L4679" s="2" t="s">
        <v>23005</v>
      </c>
      <c r="M4679" s="2" t="s">
        <v>23130</v>
      </c>
      <c r="N4679" s="2" t="s">
        <v>23131</v>
      </c>
      <c r="O4679" s="2" t="s">
        <v>23132</v>
      </c>
      <c r="P4679" s="2" t="s">
        <v>23133</v>
      </c>
    </row>
    <row r="4680" ht="15.75" customHeight="1">
      <c r="H4680" s="2" t="s">
        <v>23134</v>
      </c>
      <c r="I4680" s="2" t="s">
        <v>1772</v>
      </c>
      <c r="J4680" s="2" t="s">
        <v>1773</v>
      </c>
      <c r="K4680" s="2" t="s">
        <v>23135</v>
      </c>
      <c r="L4680" s="2" t="s">
        <v>23005</v>
      </c>
      <c r="M4680" s="2" t="s">
        <v>23136</v>
      </c>
      <c r="N4680" s="2" t="s">
        <v>23137</v>
      </c>
      <c r="O4680" s="2" t="s">
        <v>23138</v>
      </c>
      <c r="P4680" s="2" t="s">
        <v>869</v>
      </c>
    </row>
    <row r="4681" ht="15.75" customHeight="1">
      <c r="H4681" s="2" t="s">
        <v>23139</v>
      </c>
      <c r="I4681" s="2" t="s">
        <v>23140</v>
      </c>
      <c r="J4681" s="2" t="s">
        <v>23141</v>
      </c>
      <c r="K4681" s="2" t="s">
        <v>23142</v>
      </c>
      <c r="L4681" s="2" t="s">
        <v>23005</v>
      </c>
      <c r="M4681" s="2" t="s">
        <v>23143</v>
      </c>
      <c r="N4681" s="2" t="s">
        <v>23144</v>
      </c>
      <c r="O4681" s="2" t="s">
        <v>23145</v>
      </c>
      <c r="P4681" s="2" t="s">
        <v>869</v>
      </c>
    </row>
    <row r="4682" ht="15.75" customHeight="1">
      <c r="H4682" s="2" t="s">
        <v>23146</v>
      </c>
      <c r="I4682" s="2" t="s">
        <v>241</v>
      </c>
      <c r="J4682" s="2" t="s">
        <v>242</v>
      </c>
      <c r="K4682" s="2" t="s">
        <v>23147</v>
      </c>
      <c r="L4682" s="2" t="s">
        <v>23005</v>
      </c>
      <c r="M4682" s="2" t="s">
        <v>23148</v>
      </c>
      <c r="N4682" s="2" t="s">
        <v>23149</v>
      </c>
      <c r="O4682" s="2" t="s">
        <v>23150</v>
      </c>
      <c r="P4682" s="2" t="s">
        <v>869</v>
      </c>
    </row>
    <row r="4683" ht="15.75" customHeight="1">
      <c r="H4683" s="2" t="s">
        <v>23151</v>
      </c>
      <c r="I4683" s="2" t="s">
        <v>14762</v>
      </c>
      <c r="J4683" s="2" t="s">
        <v>14763</v>
      </c>
      <c r="K4683" s="2" t="s">
        <v>23152</v>
      </c>
      <c r="L4683" s="2" t="s">
        <v>23153</v>
      </c>
      <c r="M4683" s="2" t="s">
        <v>23154</v>
      </c>
      <c r="N4683" s="2" t="s">
        <v>23155</v>
      </c>
      <c r="O4683" s="2" t="s">
        <v>23156</v>
      </c>
      <c r="P4683" s="2" t="s">
        <v>869</v>
      </c>
    </row>
    <row r="4684" ht="15.75" customHeight="1">
      <c r="F4684" s="2" t="s">
        <v>265</v>
      </c>
      <c r="H4684" s="2" t="s">
        <v>23157</v>
      </c>
      <c r="I4684" s="2" t="s">
        <v>5370</v>
      </c>
      <c r="J4684" s="2" t="s">
        <v>5371</v>
      </c>
      <c r="K4684" s="2" t="s">
        <v>23158</v>
      </c>
      <c r="L4684" s="2" t="s">
        <v>23005</v>
      </c>
      <c r="M4684" s="2" t="s">
        <v>23159</v>
      </c>
      <c r="N4684" s="2" t="s">
        <v>23160</v>
      </c>
      <c r="O4684" s="2" t="s">
        <v>23161</v>
      </c>
      <c r="P4684" s="2" t="s">
        <v>23162</v>
      </c>
    </row>
    <row r="4685" ht="15.75" customHeight="1">
      <c r="H4685" s="2" t="s">
        <v>23163</v>
      </c>
      <c r="I4685" s="2" t="s">
        <v>23164</v>
      </c>
      <c r="J4685" s="2" t="s">
        <v>23165</v>
      </c>
      <c r="K4685" s="2" t="s">
        <v>22983</v>
      </c>
    </row>
    <row r="4686" ht="15.75" customHeight="1">
      <c r="H4686" s="2" t="s">
        <v>23166</v>
      </c>
      <c r="I4686" s="2" t="s">
        <v>23167</v>
      </c>
      <c r="J4686" s="2" t="s">
        <v>23168</v>
      </c>
      <c r="K4686" s="2" t="s">
        <v>23169</v>
      </c>
      <c r="L4686" s="2" t="s">
        <v>23005</v>
      </c>
      <c r="M4686" s="2" t="s">
        <v>23170</v>
      </c>
      <c r="N4686" s="2" t="s">
        <v>23171</v>
      </c>
      <c r="O4686" s="2" t="s">
        <v>23172</v>
      </c>
      <c r="P4686" s="2" t="s">
        <v>869</v>
      </c>
    </row>
    <row r="4687" ht="15.75" customHeight="1">
      <c r="H4687" s="2" t="s">
        <v>23173</v>
      </c>
      <c r="I4687" s="2" t="s">
        <v>267</v>
      </c>
      <c r="J4687" s="2" t="s">
        <v>268</v>
      </c>
      <c r="K4687" s="2" t="s">
        <v>23174</v>
      </c>
      <c r="L4687" s="2" t="s">
        <v>23005</v>
      </c>
      <c r="M4687" s="2" t="s">
        <v>23175</v>
      </c>
      <c r="N4687" s="2" t="s">
        <v>23176</v>
      </c>
      <c r="O4687" s="2" t="s">
        <v>23177</v>
      </c>
      <c r="P4687" s="2" t="s">
        <v>869</v>
      </c>
    </row>
    <row r="4688" ht="15.75" customHeight="1">
      <c r="H4688" s="2" t="s">
        <v>23178</v>
      </c>
      <c r="I4688" s="2" t="s">
        <v>5388</v>
      </c>
      <c r="J4688" s="2" t="s">
        <v>5389</v>
      </c>
      <c r="K4688" s="2" t="s">
        <v>23179</v>
      </c>
      <c r="L4688" s="2" t="s">
        <v>23005</v>
      </c>
      <c r="M4688" s="2" t="s">
        <v>23180</v>
      </c>
      <c r="N4688" s="2" t="s">
        <v>23181</v>
      </c>
      <c r="O4688" s="2" t="s">
        <v>23182</v>
      </c>
      <c r="P4688" s="2" t="s">
        <v>869</v>
      </c>
    </row>
    <row r="4689" ht="15.75" customHeight="1">
      <c r="H4689" s="2" t="s">
        <v>23183</v>
      </c>
      <c r="I4689" s="2" t="s">
        <v>14795</v>
      </c>
      <c r="J4689" s="2" t="s">
        <v>14796</v>
      </c>
      <c r="K4689" s="2" t="s">
        <v>23184</v>
      </c>
      <c r="L4689" s="2" t="s">
        <v>23005</v>
      </c>
      <c r="M4689" s="2" t="s">
        <v>23185</v>
      </c>
      <c r="N4689" s="2" t="s">
        <v>23186</v>
      </c>
      <c r="O4689" s="2" t="s">
        <v>23187</v>
      </c>
      <c r="P4689" s="2" t="s">
        <v>869</v>
      </c>
    </row>
    <row r="4690" ht="15.75" customHeight="1">
      <c r="F4690" s="2" t="s">
        <v>274</v>
      </c>
      <c r="H4690" s="2" t="s">
        <v>23188</v>
      </c>
      <c r="I4690" s="2" t="s">
        <v>279</v>
      </c>
      <c r="J4690" s="2" t="s">
        <v>274</v>
      </c>
      <c r="K4690" s="2" t="s">
        <v>280</v>
      </c>
    </row>
    <row r="4691" ht="15.75" customHeight="1">
      <c r="F4691" s="2" t="s">
        <v>284</v>
      </c>
      <c r="H4691" s="2" t="s">
        <v>23189</v>
      </c>
      <c r="I4691" s="2" t="s">
        <v>13619</v>
      </c>
      <c r="J4691" s="2" t="s">
        <v>13620</v>
      </c>
      <c r="K4691" s="2" t="s">
        <v>23190</v>
      </c>
      <c r="L4691" s="2" t="s">
        <v>23005</v>
      </c>
      <c r="M4691" s="2" t="s">
        <v>23191</v>
      </c>
      <c r="N4691" s="2" t="s">
        <v>23192</v>
      </c>
      <c r="O4691" s="2" t="s">
        <v>23193</v>
      </c>
      <c r="P4691" s="2" t="s">
        <v>869</v>
      </c>
    </row>
    <row r="4692" ht="15.75" customHeight="1">
      <c r="H4692" s="2" t="s">
        <v>23194</v>
      </c>
      <c r="I4692" s="2" t="s">
        <v>12588</v>
      </c>
      <c r="J4692" s="2" t="s">
        <v>12589</v>
      </c>
      <c r="K4692" s="2" t="s">
        <v>23195</v>
      </c>
      <c r="L4692" s="2" t="s">
        <v>23005</v>
      </c>
      <c r="M4692" s="2" t="s">
        <v>23196</v>
      </c>
      <c r="N4692" s="2" t="s">
        <v>23197</v>
      </c>
      <c r="O4692" s="2" t="s">
        <v>23198</v>
      </c>
      <c r="P4692" s="2" t="s">
        <v>23199</v>
      </c>
    </row>
    <row r="4693" ht="15.75" customHeight="1">
      <c r="H4693" s="2" t="s">
        <v>23200</v>
      </c>
      <c r="I4693" s="2" t="s">
        <v>11959</v>
      </c>
      <c r="J4693" s="2" t="s">
        <v>11960</v>
      </c>
      <c r="K4693" s="2" t="s">
        <v>23201</v>
      </c>
      <c r="L4693" s="2" t="s">
        <v>23202</v>
      </c>
      <c r="M4693" s="2" t="s">
        <v>23203</v>
      </c>
      <c r="N4693" s="2" t="s">
        <v>23204</v>
      </c>
      <c r="O4693" s="2" t="s">
        <v>23205</v>
      </c>
      <c r="P4693" s="2" t="s">
        <v>23206</v>
      </c>
    </row>
    <row r="4694" ht="15.75" customHeight="1">
      <c r="H4694" s="2" t="s">
        <v>23207</v>
      </c>
      <c r="I4694" s="2" t="s">
        <v>286</v>
      </c>
      <c r="J4694" s="2" t="s">
        <v>287</v>
      </c>
      <c r="K4694" s="2" t="s">
        <v>23208</v>
      </c>
      <c r="L4694" s="2" t="s">
        <v>23209</v>
      </c>
      <c r="M4694" s="2" t="s">
        <v>23210</v>
      </c>
      <c r="N4694" s="2" t="s">
        <v>23211</v>
      </c>
      <c r="O4694" s="2" t="s">
        <v>23212</v>
      </c>
      <c r="P4694" s="2" t="s">
        <v>869</v>
      </c>
    </row>
    <row r="4695" ht="15.75" customHeight="1">
      <c r="H4695" s="2" t="s">
        <v>23213</v>
      </c>
      <c r="I4695" s="2" t="s">
        <v>294</v>
      </c>
      <c r="J4695" s="2" t="s">
        <v>295</v>
      </c>
      <c r="K4695" s="2" t="s">
        <v>23214</v>
      </c>
      <c r="L4695" s="2" t="s">
        <v>23005</v>
      </c>
      <c r="M4695" s="2" t="s">
        <v>23215</v>
      </c>
      <c r="N4695" s="2" t="s">
        <v>23216</v>
      </c>
      <c r="O4695" s="2" t="s">
        <v>23217</v>
      </c>
      <c r="P4695" s="2" t="s">
        <v>869</v>
      </c>
    </row>
    <row r="4696" ht="15.75" customHeight="1">
      <c r="H4696" s="2" t="s">
        <v>23218</v>
      </c>
      <c r="I4696" s="2" t="s">
        <v>19361</v>
      </c>
      <c r="J4696" s="2" t="s">
        <v>19362</v>
      </c>
      <c r="K4696" s="2" t="s">
        <v>23219</v>
      </c>
      <c r="L4696" s="2" t="s">
        <v>23220</v>
      </c>
      <c r="M4696" s="2" t="s">
        <v>23221</v>
      </c>
      <c r="N4696" s="2" t="s">
        <v>23222</v>
      </c>
      <c r="O4696" s="2" t="s">
        <v>23223</v>
      </c>
      <c r="P4696" s="2" t="s">
        <v>23224</v>
      </c>
    </row>
    <row r="4697" ht="15.75" customHeight="1">
      <c r="H4697" s="2" t="s">
        <v>23225</v>
      </c>
      <c r="I4697" s="2" t="s">
        <v>310</v>
      </c>
      <c r="J4697" s="2" t="s">
        <v>311</v>
      </c>
      <c r="K4697" s="2" t="s">
        <v>23226</v>
      </c>
      <c r="L4697" s="2" t="s">
        <v>23227</v>
      </c>
      <c r="M4697" s="2" t="s">
        <v>23228</v>
      </c>
      <c r="N4697" s="2" t="s">
        <v>23229</v>
      </c>
      <c r="O4697" s="2" t="s">
        <v>23230</v>
      </c>
      <c r="P4697" s="2" t="s">
        <v>869</v>
      </c>
    </row>
    <row r="4698" ht="15.75" customHeight="1">
      <c r="H4698" s="2" t="s">
        <v>23231</v>
      </c>
      <c r="I4698" s="2" t="s">
        <v>5421</v>
      </c>
      <c r="J4698" s="2" t="s">
        <v>5422</v>
      </c>
      <c r="K4698" s="2" t="s">
        <v>23232</v>
      </c>
      <c r="L4698" s="2" t="s">
        <v>23233</v>
      </c>
      <c r="M4698" s="2" t="s">
        <v>23234</v>
      </c>
      <c r="N4698" s="2" t="s">
        <v>23235</v>
      </c>
      <c r="O4698" s="2" t="s">
        <v>23236</v>
      </c>
      <c r="P4698" s="2" t="s">
        <v>869</v>
      </c>
    </row>
    <row r="4699" ht="15.75" customHeight="1">
      <c r="H4699" s="2" t="s">
        <v>23237</v>
      </c>
      <c r="I4699" s="2" t="s">
        <v>2175</v>
      </c>
      <c r="J4699" s="2" t="s">
        <v>2176</v>
      </c>
      <c r="K4699" s="2" t="s">
        <v>23238</v>
      </c>
      <c r="L4699" s="2" t="s">
        <v>23239</v>
      </c>
      <c r="M4699" s="2" t="s">
        <v>23240</v>
      </c>
      <c r="N4699" s="2" t="s">
        <v>23241</v>
      </c>
      <c r="O4699" s="2" t="s">
        <v>23242</v>
      </c>
      <c r="P4699" s="2" t="s">
        <v>869</v>
      </c>
    </row>
    <row r="4700" ht="15.75" customHeight="1">
      <c r="H4700" s="2" t="s">
        <v>23243</v>
      </c>
      <c r="I4700" s="2" t="s">
        <v>2195</v>
      </c>
      <c r="J4700" s="2" t="s">
        <v>2196</v>
      </c>
      <c r="K4700" s="2" t="s">
        <v>23244</v>
      </c>
      <c r="L4700" s="2" t="s">
        <v>23245</v>
      </c>
      <c r="M4700" s="2" t="s">
        <v>23246</v>
      </c>
      <c r="N4700" s="2" t="s">
        <v>23247</v>
      </c>
      <c r="O4700" s="2" t="s">
        <v>23248</v>
      </c>
      <c r="P4700" s="2" t="s">
        <v>869</v>
      </c>
    </row>
    <row r="4701" ht="15.75" customHeight="1">
      <c r="H4701" s="2" t="s">
        <v>23249</v>
      </c>
      <c r="I4701" s="2" t="s">
        <v>326</v>
      </c>
      <c r="J4701" s="2" t="s">
        <v>327</v>
      </c>
      <c r="K4701" s="2" t="s">
        <v>23250</v>
      </c>
      <c r="L4701" s="2" t="s">
        <v>23251</v>
      </c>
      <c r="M4701" s="2" t="s">
        <v>23252</v>
      </c>
      <c r="N4701" s="2" t="s">
        <v>23253</v>
      </c>
      <c r="O4701" s="2" t="s">
        <v>23254</v>
      </c>
      <c r="P4701" s="2" t="s">
        <v>869</v>
      </c>
    </row>
    <row r="4702" ht="15.75" customHeight="1">
      <c r="H4702" s="2" t="s">
        <v>23255</v>
      </c>
      <c r="I4702" s="2" t="s">
        <v>335</v>
      </c>
      <c r="J4702" s="2" t="s">
        <v>336</v>
      </c>
      <c r="K4702" s="2" t="s">
        <v>23256</v>
      </c>
      <c r="L4702" s="2" t="s">
        <v>23257</v>
      </c>
      <c r="M4702" s="2" t="s">
        <v>23258</v>
      </c>
      <c r="N4702" s="2" t="s">
        <v>23259</v>
      </c>
      <c r="O4702" s="2" t="s">
        <v>23260</v>
      </c>
      <c r="P4702" s="2" t="s">
        <v>869</v>
      </c>
    </row>
    <row r="4703" ht="15.75" customHeight="1">
      <c r="H4703" s="2" t="s">
        <v>23261</v>
      </c>
      <c r="I4703" s="2" t="s">
        <v>352</v>
      </c>
      <c r="J4703" s="2" t="s">
        <v>353</v>
      </c>
      <c r="K4703" s="2" t="s">
        <v>23262</v>
      </c>
      <c r="L4703" s="2" t="s">
        <v>23263</v>
      </c>
      <c r="M4703" s="2" t="s">
        <v>23264</v>
      </c>
      <c r="N4703" s="2" t="s">
        <v>23265</v>
      </c>
      <c r="O4703" s="2" t="s">
        <v>23266</v>
      </c>
      <c r="P4703" s="2" t="s">
        <v>869</v>
      </c>
    </row>
    <row r="4704" ht="15.75" customHeight="1">
      <c r="H4704" s="2" t="s">
        <v>23267</v>
      </c>
      <c r="I4704" s="2" t="s">
        <v>360</v>
      </c>
      <c r="J4704" s="2" t="s">
        <v>361</v>
      </c>
      <c r="K4704" s="2" t="s">
        <v>23268</v>
      </c>
      <c r="L4704" s="2" t="s">
        <v>23005</v>
      </c>
      <c r="M4704" s="2" t="s">
        <v>23269</v>
      </c>
      <c r="N4704" s="2" t="s">
        <v>23270</v>
      </c>
      <c r="O4704" s="2" t="s">
        <v>23271</v>
      </c>
      <c r="P4704" s="2" t="s">
        <v>869</v>
      </c>
    </row>
    <row r="4705" ht="15.75" customHeight="1">
      <c r="H4705" s="2" t="s">
        <v>23272</v>
      </c>
      <c r="I4705" s="2" t="s">
        <v>7756</v>
      </c>
      <c r="J4705" s="2" t="s">
        <v>7757</v>
      </c>
      <c r="K4705" s="2" t="s">
        <v>23273</v>
      </c>
      <c r="L4705" s="2" t="s">
        <v>23005</v>
      </c>
      <c r="M4705" s="2" t="s">
        <v>23274</v>
      </c>
      <c r="N4705" s="2" t="s">
        <v>23275</v>
      </c>
      <c r="O4705" s="2" t="s">
        <v>23276</v>
      </c>
      <c r="P4705" s="2" t="s">
        <v>869</v>
      </c>
    </row>
    <row r="4706" ht="15.75" customHeight="1">
      <c r="H4706" s="2" t="s">
        <v>23277</v>
      </c>
      <c r="I4706" s="2" t="s">
        <v>5332</v>
      </c>
      <c r="J4706" s="2" t="s">
        <v>5333</v>
      </c>
      <c r="K4706" s="2" t="s">
        <v>23278</v>
      </c>
      <c r="L4706" s="2" t="s">
        <v>23005</v>
      </c>
      <c r="M4706" s="2" t="s">
        <v>23279</v>
      </c>
      <c r="N4706" s="2" t="s">
        <v>23280</v>
      </c>
      <c r="O4706" s="2" t="s">
        <v>23281</v>
      </c>
      <c r="P4706" s="2" t="s">
        <v>869</v>
      </c>
    </row>
    <row r="4707" ht="15.75" customHeight="1">
      <c r="H4707" s="2" t="s">
        <v>23282</v>
      </c>
      <c r="I4707" s="2" t="s">
        <v>23283</v>
      </c>
      <c r="J4707" s="2" t="s">
        <v>23284</v>
      </c>
      <c r="K4707" s="2" t="s">
        <v>23285</v>
      </c>
      <c r="L4707" s="2" t="s">
        <v>23286</v>
      </c>
      <c r="M4707" s="2" t="s">
        <v>23287</v>
      </c>
      <c r="N4707" s="2" t="s">
        <v>23288</v>
      </c>
      <c r="O4707" s="2" t="s">
        <v>23289</v>
      </c>
      <c r="P4707" s="2" t="s">
        <v>869</v>
      </c>
    </row>
    <row r="4708" ht="15.75" customHeight="1">
      <c r="H4708" s="2" t="s">
        <v>23290</v>
      </c>
      <c r="I4708" s="2" t="s">
        <v>23291</v>
      </c>
      <c r="J4708" s="2" t="s">
        <v>23292</v>
      </c>
      <c r="K4708" s="2" t="s">
        <v>23293</v>
      </c>
      <c r="L4708" s="2" t="s">
        <v>23005</v>
      </c>
      <c r="M4708" s="2" t="s">
        <v>23294</v>
      </c>
      <c r="N4708" s="2" t="s">
        <v>23295</v>
      </c>
      <c r="O4708" s="2" t="s">
        <v>23296</v>
      </c>
      <c r="P4708" s="2" t="s">
        <v>869</v>
      </c>
    </row>
    <row r="4709" ht="15.75" customHeight="1">
      <c r="H4709" s="2" t="s">
        <v>23297</v>
      </c>
      <c r="I4709" s="2" t="s">
        <v>23298</v>
      </c>
      <c r="J4709" s="2" t="s">
        <v>23299</v>
      </c>
      <c r="K4709" s="2" t="s">
        <v>23300</v>
      </c>
      <c r="L4709" s="2" t="s">
        <v>23005</v>
      </c>
      <c r="M4709" s="2" t="s">
        <v>23301</v>
      </c>
      <c r="N4709" s="2" t="s">
        <v>23302</v>
      </c>
      <c r="O4709" s="2" t="s">
        <v>23303</v>
      </c>
      <c r="P4709" s="2" t="s">
        <v>869</v>
      </c>
    </row>
    <row r="4710" ht="15.75" customHeight="1">
      <c r="H4710" s="2" t="s">
        <v>23304</v>
      </c>
      <c r="I4710" s="2" t="s">
        <v>424</v>
      </c>
      <c r="J4710" s="2" t="s">
        <v>425</v>
      </c>
      <c r="K4710" s="2" t="s">
        <v>23305</v>
      </c>
      <c r="L4710" s="2" t="s">
        <v>23306</v>
      </c>
      <c r="M4710" s="2" t="s">
        <v>23307</v>
      </c>
      <c r="N4710" s="2" t="s">
        <v>23308</v>
      </c>
      <c r="O4710" s="2" t="s">
        <v>23309</v>
      </c>
      <c r="P4710" s="2" t="s">
        <v>869</v>
      </c>
    </row>
    <row r="4711" ht="15.75" customHeight="1">
      <c r="H4711" s="2" t="s">
        <v>23310</v>
      </c>
      <c r="I4711" s="2" t="s">
        <v>23311</v>
      </c>
      <c r="J4711" s="2" t="s">
        <v>23312</v>
      </c>
      <c r="K4711" s="2" t="s">
        <v>23313</v>
      </c>
      <c r="L4711" s="2" t="s">
        <v>23005</v>
      </c>
      <c r="M4711" s="2" t="s">
        <v>23314</v>
      </c>
      <c r="N4711" s="2" t="s">
        <v>23315</v>
      </c>
      <c r="O4711" s="2" t="s">
        <v>23316</v>
      </c>
      <c r="P4711" s="2" t="s">
        <v>869</v>
      </c>
    </row>
    <row r="4712" ht="15.75" customHeight="1">
      <c r="H4712" s="2" t="s">
        <v>23317</v>
      </c>
      <c r="I4712" s="2" t="s">
        <v>23318</v>
      </c>
      <c r="J4712" s="2" t="s">
        <v>23319</v>
      </c>
      <c r="K4712" s="2" t="s">
        <v>23320</v>
      </c>
      <c r="L4712" s="2" t="s">
        <v>23005</v>
      </c>
      <c r="M4712" s="2" t="s">
        <v>23321</v>
      </c>
      <c r="N4712" s="2" t="s">
        <v>23322</v>
      </c>
      <c r="O4712" s="2" t="s">
        <v>23323</v>
      </c>
      <c r="P4712" s="2" t="s">
        <v>869</v>
      </c>
    </row>
    <row r="4713" ht="15.75" customHeight="1">
      <c r="H4713" s="2" t="s">
        <v>23324</v>
      </c>
      <c r="I4713" s="2" t="s">
        <v>432</v>
      </c>
      <c r="J4713" s="2" t="s">
        <v>433</v>
      </c>
      <c r="K4713" s="2" t="s">
        <v>23325</v>
      </c>
      <c r="L4713" s="2" t="s">
        <v>23005</v>
      </c>
      <c r="M4713" s="2" t="s">
        <v>23326</v>
      </c>
      <c r="N4713" s="2" t="s">
        <v>23327</v>
      </c>
      <c r="O4713" s="2" t="s">
        <v>23328</v>
      </c>
      <c r="P4713" s="2" t="s">
        <v>869</v>
      </c>
    </row>
    <row r="4714" ht="15.75" customHeight="1">
      <c r="H4714" s="2" t="s">
        <v>23329</v>
      </c>
      <c r="I4714" s="2" t="s">
        <v>440</v>
      </c>
      <c r="J4714" s="2" t="s">
        <v>441</v>
      </c>
      <c r="K4714" s="2" t="s">
        <v>23330</v>
      </c>
      <c r="L4714" s="2" t="s">
        <v>23331</v>
      </c>
      <c r="M4714" s="2" t="s">
        <v>23332</v>
      </c>
      <c r="N4714" s="2" t="s">
        <v>23333</v>
      </c>
      <c r="O4714" s="2" t="s">
        <v>23334</v>
      </c>
      <c r="P4714" s="2" t="s">
        <v>23335</v>
      </c>
    </row>
    <row r="4715" ht="15.75" customHeight="1">
      <c r="H4715" s="2" t="s">
        <v>23336</v>
      </c>
      <c r="I4715" s="2" t="s">
        <v>2298</v>
      </c>
      <c r="J4715" s="2" t="s">
        <v>2299</v>
      </c>
      <c r="K4715" s="2" t="s">
        <v>23337</v>
      </c>
      <c r="L4715" s="2" t="s">
        <v>23005</v>
      </c>
      <c r="M4715" s="2" t="s">
        <v>23338</v>
      </c>
      <c r="N4715" s="2" t="s">
        <v>23339</v>
      </c>
      <c r="O4715" s="2" t="s">
        <v>23340</v>
      </c>
      <c r="P4715" s="2" t="s">
        <v>869</v>
      </c>
    </row>
    <row r="4716" ht="15.75" customHeight="1">
      <c r="H4716" s="2" t="s">
        <v>23341</v>
      </c>
      <c r="I4716" s="2" t="s">
        <v>449</v>
      </c>
      <c r="J4716" s="2" t="s">
        <v>450</v>
      </c>
      <c r="K4716" s="2" t="s">
        <v>23342</v>
      </c>
      <c r="L4716" s="2" t="s">
        <v>23343</v>
      </c>
      <c r="M4716" s="2" t="s">
        <v>23344</v>
      </c>
      <c r="N4716" s="2" t="s">
        <v>23345</v>
      </c>
      <c r="O4716" s="2" t="s">
        <v>23346</v>
      </c>
      <c r="P4716" s="2" t="s">
        <v>869</v>
      </c>
    </row>
    <row r="4717" ht="15.75" customHeight="1">
      <c r="H4717" s="2" t="s">
        <v>23347</v>
      </c>
      <c r="I4717" s="2" t="s">
        <v>23348</v>
      </c>
      <c r="J4717" s="2" t="s">
        <v>23349</v>
      </c>
      <c r="K4717" s="2" t="s">
        <v>23350</v>
      </c>
      <c r="L4717" s="2" t="s">
        <v>23351</v>
      </c>
      <c r="M4717" s="2" t="s">
        <v>23352</v>
      </c>
      <c r="N4717" s="2" t="s">
        <v>23353</v>
      </c>
      <c r="O4717" s="2" t="s">
        <v>23354</v>
      </c>
      <c r="P4717" s="2" t="s">
        <v>869</v>
      </c>
    </row>
    <row r="4718" ht="15.75" customHeight="1">
      <c r="H4718" s="2" t="s">
        <v>23355</v>
      </c>
      <c r="I4718" s="2" t="s">
        <v>5541</v>
      </c>
      <c r="J4718" s="2" t="s">
        <v>5542</v>
      </c>
      <c r="K4718" s="2" t="s">
        <v>23356</v>
      </c>
      <c r="L4718" s="2" t="s">
        <v>23005</v>
      </c>
      <c r="M4718" s="2" t="s">
        <v>23357</v>
      </c>
      <c r="N4718" s="2" t="s">
        <v>23358</v>
      </c>
      <c r="O4718" s="2" t="s">
        <v>23359</v>
      </c>
      <c r="P4718" s="2" t="s">
        <v>869</v>
      </c>
    </row>
    <row r="4719" ht="15.75" customHeight="1">
      <c r="H4719" s="2" t="s">
        <v>23360</v>
      </c>
      <c r="I4719" s="2" t="s">
        <v>12694</v>
      </c>
      <c r="J4719" s="2" t="s">
        <v>12695</v>
      </c>
      <c r="K4719" s="2" t="s">
        <v>23361</v>
      </c>
      <c r="L4719" s="2" t="s">
        <v>23005</v>
      </c>
      <c r="M4719" s="2" t="s">
        <v>23362</v>
      </c>
      <c r="N4719" s="2" t="s">
        <v>23363</v>
      </c>
      <c r="O4719" s="2" t="s">
        <v>23364</v>
      </c>
      <c r="P4719" s="2" t="s">
        <v>869</v>
      </c>
    </row>
    <row r="4720" ht="15.75" customHeight="1">
      <c r="H4720" s="2" t="s">
        <v>23365</v>
      </c>
      <c r="I4720" s="2" t="s">
        <v>3671</v>
      </c>
      <c r="J4720" s="2" t="s">
        <v>3672</v>
      </c>
      <c r="K4720" s="2" t="s">
        <v>23366</v>
      </c>
      <c r="L4720" s="2" t="s">
        <v>23005</v>
      </c>
      <c r="M4720" s="2" t="s">
        <v>23367</v>
      </c>
      <c r="N4720" s="2" t="s">
        <v>23368</v>
      </c>
      <c r="O4720" s="2" t="s">
        <v>23369</v>
      </c>
      <c r="P4720" s="2" t="s">
        <v>869</v>
      </c>
    </row>
    <row r="4721" ht="15.75" customHeight="1">
      <c r="H4721" s="2" t="s">
        <v>23370</v>
      </c>
      <c r="I4721" s="2" t="s">
        <v>13333</v>
      </c>
      <c r="J4721" s="2" t="s">
        <v>13334</v>
      </c>
      <c r="K4721" s="2" t="s">
        <v>23371</v>
      </c>
      <c r="L4721" s="2" t="s">
        <v>23005</v>
      </c>
      <c r="M4721" s="2" t="s">
        <v>23372</v>
      </c>
      <c r="N4721" s="2" t="s">
        <v>23373</v>
      </c>
      <c r="O4721" s="2" t="s">
        <v>23374</v>
      </c>
      <c r="P4721" s="2" t="s">
        <v>869</v>
      </c>
    </row>
    <row r="4722" ht="15.75" customHeight="1">
      <c r="H4722" s="2" t="s">
        <v>23375</v>
      </c>
      <c r="I4722" s="2" t="s">
        <v>23376</v>
      </c>
      <c r="J4722" s="2" t="s">
        <v>23377</v>
      </c>
      <c r="K4722" s="2" t="s">
        <v>23378</v>
      </c>
      <c r="L4722" s="2" t="s">
        <v>23005</v>
      </c>
      <c r="M4722" s="2" t="s">
        <v>23379</v>
      </c>
      <c r="N4722" s="2" t="s">
        <v>23380</v>
      </c>
      <c r="O4722" s="2" t="s">
        <v>23381</v>
      </c>
      <c r="P4722" s="2" t="s">
        <v>869</v>
      </c>
    </row>
    <row r="4723" ht="15.75" customHeight="1">
      <c r="H4723" s="2" t="s">
        <v>23382</v>
      </c>
      <c r="I4723" s="2" t="s">
        <v>526</v>
      </c>
      <c r="J4723" s="2" t="s">
        <v>527</v>
      </c>
      <c r="K4723" s="2" t="s">
        <v>23383</v>
      </c>
      <c r="L4723" s="2" t="s">
        <v>23005</v>
      </c>
      <c r="M4723" s="2" t="s">
        <v>23384</v>
      </c>
      <c r="N4723" s="2" t="s">
        <v>23385</v>
      </c>
      <c r="O4723" s="2" t="s">
        <v>23386</v>
      </c>
      <c r="P4723" s="2" t="s">
        <v>869</v>
      </c>
    </row>
    <row r="4724" ht="15.75" customHeight="1">
      <c r="F4724" s="2" t="s">
        <v>2508</v>
      </c>
      <c r="H4724" s="2" t="s">
        <v>23387</v>
      </c>
      <c r="I4724" s="2" t="s">
        <v>23388</v>
      </c>
      <c r="J4724" s="2" t="s">
        <v>23389</v>
      </c>
      <c r="K4724" s="2" t="s">
        <v>23390</v>
      </c>
      <c r="L4724" s="2" t="s">
        <v>23005</v>
      </c>
      <c r="M4724" s="2" t="s">
        <v>23391</v>
      </c>
      <c r="N4724" s="2" t="s">
        <v>23392</v>
      </c>
      <c r="O4724" s="2" t="s">
        <v>23393</v>
      </c>
      <c r="P4724" s="2" t="s">
        <v>869</v>
      </c>
    </row>
    <row r="4725" ht="15.75" customHeight="1">
      <c r="F4725" s="2" t="s">
        <v>534</v>
      </c>
      <c r="H4725" s="2" t="s">
        <v>23394</v>
      </c>
      <c r="I4725" s="2" t="s">
        <v>2512</v>
      </c>
      <c r="J4725" s="2" t="s">
        <v>2513</v>
      </c>
      <c r="K4725" s="2" t="s">
        <v>2514</v>
      </c>
    </row>
    <row r="4726" ht="15.75" customHeight="1">
      <c r="H4726" s="2" t="s">
        <v>23395</v>
      </c>
      <c r="I4726" s="2" t="s">
        <v>23396</v>
      </c>
      <c r="J4726" s="2" t="s">
        <v>23397</v>
      </c>
      <c r="K4726" s="2" t="s">
        <v>23398</v>
      </c>
    </row>
    <row r="4727" ht="15.75" customHeight="1">
      <c r="H4727" s="2" t="s">
        <v>23399</v>
      </c>
      <c r="I4727" s="2" t="s">
        <v>536</v>
      </c>
      <c r="J4727" s="2" t="s">
        <v>537</v>
      </c>
      <c r="K4727" s="2" t="s">
        <v>538</v>
      </c>
    </row>
    <row r="4728" ht="15.75" customHeight="1">
      <c r="F4728" s="2" t="s">
        <v>539</v>
      </c>
      <c r="H4728" s="2" t="s">
        <v>23400</v>
      </c>
      <c r="I4728" s="2" t="s">
        <v>2528</v>
      </c>
      <c r="J4728" s="2" t="s">
        <v>2529</v>
      </c>
      <c r="K4728" s="2" t="s">
        <v>23401</v>
      </c>
      <c r="L4728" s="2" t="s">
        <v>23005</v>
      </c>
      <c r="M4728" s="2" t="s">
        <v>23402</v>
      </c>
      <c r="N4728" s="2" t="s">
        <v>23403</v>
      </c>
      <c r="O4728" s="2" t="s">
        <v>23404</v>
      </c>
      <c r="P4728" s="2" t="s">
        <v>23405</v>
      </c>
    </row>
    <row r="4729" ht="15.75" customHeight="1">
      <c r="H4729" s="2" t="s">
        <v>23406</v>
      </c>
      <c r="I4729" s="2" t="s">
        <v>541</v>
      </c>
      <c r="J4729" s="2" t="s">
        <v>542</v>
      </c>
      <c r="K4729" s="2" t="s">
        <v>23407</v>
      </c>
      <c r="L4729" s="2" t="s">
        <v>23005</v>
      </c>
      <c r="M4729" s="2" t="s">
        <v>23408</v>
      </c>
      <c r="N4729" s="2" t="s">
        <v>23409</v>
      </c>
      <c r="O4729" s="2" t="s">
        <v>23410</v>
      </c>
      <c r="P4729" s="2" t="s">
        <v>869</v>
      </c>
    </row>
    <row r="4730" ht="15.75" customHeight="1">
      <c r="F4730" s="2" t="s">
        <v>2597</v>
      </c>
      <c r="H4730" s="2" t="s">
        <v>23411</v>
      </c>
      <c r="I4730" s="2" t="s">
        <v>2604</v>
      </c>
      <c r="J4730" s="2" t="s">
        <v>2605</v>
      </c>
      <c r="K4730" s="2" t="s">
        <v>23412</v>
      </c>
      <c r="L4730" s="2" t="s">
        <v>23413</v>
      </c>
      <c r="M4730" s="2" t="s">
        <v>23414</v>
      </c>
      <c r="N4730" s="2" t="s">
        <v>23415</v>
      </c>
      <c r="O4730" s="2" t="s">
        <v>23416</v>
      </c>
      <c r="P4730" s="2" t="s">
        <v>23417</v>
      </c>
    </row>
    <row r="4731" ht="15.75" customHeight="1">
      <c r="H4731" s="2" t="s">
        <v>23418</v>
      </c>
      <c r="I4731" s="2" t="s">
        <v>23419</v>
      </c>
      <c r="J4731" s="2" t="s">
        <v>23420</v>
      </c>
      <c r="K4731" s="2" t="s">
        <v>23421</v>
      </c>
      <c r="L4731" s="2" t="s">
        <v>23422</v>
      </c>
      <c r="M4731" s="2" t="s">
        <v>7890</v>
      </c>
      <c r="N4731" s="2" t="s">
        <v>23423</v>
      </c>
      <c r="O4731" s="2" t="s">
        <v>23424</v>
      </c>
      <c r="P4731" s="2" t="s">
        <v>23425</v>
      </c>
    </row>
    <row r="4732" ht="15.75" customHeight="1">
      <c r="H4732" s="2" t="s">
        <v>23426</v>
      </c>
      <c r="I4732" s="2" t="s">
        <v>2624</v>
      </c>
      <c r="J4732" s="2" t="s">
        <v>2625</v>
      </c>
      <c r="K4732" s="2" t="s">
        <v>23427</v>
      </c>
      <c r="L4732" s="2" t="s">
        <v>23005</v>
      </c>
      <c r="M4732" s="2" t="s">
        <v>23428</v>
      </c>
      <c r="N4732" s="2" t="s">
        <v>23429</v>
      </c>
      <c r="O4732" s="2" t="s">
        <v>23430</v>
      </c>
      <c r="P4732" s="2" t="s">
        <v>869</v>
      </c>
    </row>
    <row r="4733" ht="15.75" customHeight="1">
      <c r="H4733" s="2" t="s">
        <v>23431</v>
      </c>
      <c r="I4733" s="2" t="s">
        <v>19850</v>
      </c>
      <c r="J4733" s="2" t="s">
        <v>19851</v>
      </c>
      <c r="K4733" s="2" t="s">
        <v>23432</v>
      </c>
      <c r="L4733" s="2" t="s">
        <v>23005</v>
      </c>
      <c r="M4733" s="2" t="s">
        <v>23433</v>
      </c>
      <c r="N4733" s="2" t="s">
        <v>23434</v>
      </c>
      <c r="O4733" s="2" t="s">
        <v>23435</v>
      </c>
      <c r="P4733" s="2" t="s">
        <v>869</v>
      </c>
    </row>
    <row r="4734" ht="15.75" customHeight="1">
      <c r="H4734" s="2" t="s">
        <v>23436</v>
      </c>
      <c r="I4734" s="2" t="s">
        <v>23437</v>
      </c>
      <c r="J4734" s="2" t="s">
        <v>23438</v>
      </c>
      <c r="K4734" s="2" t="s">
        <v>23439</v>
      </c>
      <c r="L4734" s="2" t="s">
        <v>23005</v>
      </c>
      <c r="M4734" s="2" t="s">
        <v>23440</v>
      </c>
      <c r="N4734" s="2" t="s">
        <v>23441</v>
      </c>
      <c r="O4734" s="2" t="s">
        <v>23442</v>
      </c>
      <c r="P4734" s="2" t="s">
        <v>869</v>
      </c>
    </row>
    <row r="4735" ht="15.75" customHeight="1">
      <c r="F4735" s="2" t="s">
        <v>548</v>
      </c>
      <c r="H4735" s="2" t="s">
        <v>23443</v>
      </c>
      <c r="I4735" s="2" t="s">
        <v>8036</v>
      </c>
      <c r="J4735" s="2" t="s">
        <v>8037</v>
      </c>
      <c r="K4735" s="2" t="s">
        <v>23444</v>
      </c>
      <c r="L4735" s="2" t="s">
        <v>23005</v>
      </c>
      <c r="M4735" s="2" t="s">
        <v>23445</v>
      </c>
      <c r="N4735" s="2" t="s">
        <v>23446</v>
      </c>
      <c r="O4735" s="2" t="s">
        <v>23447</v>
      </c>
      <c r="P4735" s="2" t="s">
        <v>23448</v>
      </c>
    </row>
    <row r="4736" ht="15.75" customHeight="1">
      <c r="H4736" s="2" t="s">
        <v>23449</v>
      </c>
      <c r="I4736" s="2" t="s">
        <v>550</v>
      </c>
      <c r="J4736" s="2" t="s">
        <v>551</v>
      </c>
      <c r="K4736" s="2" t="s">
        <v>23450</v>
      </c>
      <c r="L4736" s="2" t="s">
        <v>23005</v>
      </c>
      <c r="M4736" s="2" t="s">
        <v>23451</v>
      </c>
      <c r="N4736" s="2" t="s">
        <v>23452</v>
      </c>
      <c r="O4736" s="2" t="s">
        <v>23453</v>
      </c>
      <c r="P4736" s="2" t="s">
        <v>869</v>
      </c>
    </row>
    <row r="4737" ht="15.75" customHeight="1">
      <c r="H4737" s="2" t="s">
        <v>23454</v>
      </c>
      <c r="I4737" s="2" t="s">
        <v>2681</v>
      </c>
      <c r="J4737" s="2" t="s">
        <v>2682</v>
      </c>
      <c r="K4737" s="2" t="s">
        <v>23455</v>
      </c>
      <c r="L4737" s="2" t="s">
        <v>23005</v>
      </c>
      <c r="M4737" s="2" t="s">
        <v>23456</v>
      </c>
      <c r="N4737" s="2" t="s">
        <v>23457</v>
      </c>
      <c r="O4737" s="2" t="s">
        <v>23458</v>
      </c>
      <c r="P4737" s="2" t="s">
        <v>869</v>
      </c>
    </row>
    <row r="4738" ht="15.75" customHeight="1">
      <c r="F4738" s="2" t="s">
        <v>2693</v>
      </c>
      <c r="H4738" s="2" t="s">
        <v>23459</v>
      </c>
      <c r="I4738" s="2" t="s">
        <v>2710</v>
      </c>
      <c r="J4738" s="2" t="s">
        <v>2711</v>
      </c>
      <c r="K4738" s="2" t="s">
        <v>23460</v>
      </c>
      <c r="L4738" s="2" t="s">
        <v>23005</v>
      </c>
      <c r="M4738" s="2" t="s">
        <v>23461</v>
      </c>
      <c r="N4738" s="2" t="s">
        <v>23462</v>
      </c>
      <c r="O4738" s="2" t="s">
        <v>23463</v>
      </c>
      <c r="P4738" s="2" t="s">
        <v>23464</v>
      </c>
    </row>
    <row r="4739" ht="15.75" customHeight="1">
      <c r="F4739" s="2" t="s">
        <v>556</v>
      </c>
      <c r="H4739" s="2" t="s">
        <v>23465</v>
      </c>
      <c r="I4739" s="2" t="s">
        <v>2769</v>
      </c>
      <c r="J4739" s="2" t="s">
        <v>2770</v>
      </c>
      <c r="K4739" s="2" t="s">
        <v>23466</v>
      </c>
      <c r="L4739" s="2" t="s">
        <v>23005</v>
      </c>
      <c r="M4739" s="2" t="s">
        <v>23467</v>
      </c>
      <c r="N4739" s="2" t="s">
        <v>23468</v>
      </c>
      <c r="O4739" s="2" t="s">
        <v>23469</v>
      </c>
      <c r="P4739" s="2" t="s">
        <v>869</v>
      </c>
    </row>
    <row r="4740" ht="15.75" customHeight="1">
      <c r="H4740" s="2" t="s">
        <v>23470</v>
      </c>
      <c r="I4740" s="2" t="s">
        <v>23471</v>
      </c>
      <c r="J4740" s="2" t="s">
        <v>23472</v>
      </c>
      <c r="K4740" s="2" t="s">
        <v>23473</v>
      </c>
      <c r="L4740" s="2" t="s">
        <v>23005</v>
      </c>
      <c r="M4740" s="2" t="s">
        <v>23474</v>
      </c>
      <c r="N4740" s="2" t="s">
        <v>23475</v>
      </c>
      <c r="O4740" s="2" t="s">
        <v>23476</v>
      </c>
      <c r="P4740" s="2" t="s">
        <v>869</v>
      </c>
    </row>
    <row r="4741" ht="15.75" customHeight="1">
      <c r="H4741" s="2" t="s">
        <v>23477</v>
      </c>
      <c r="I4741" s="2" t="s">
        <v>2784</v>
      </c>
      <c r="J4741" s="2" t="s">
        <v>2785</v>
      </c>
      <c r="K4741" s="2" t="s">
        <v>23478</v>
      </c>
      <c r="L4741" s="2" t="s">
        <v>23005</v>
      </c>
      <c r="M4741" s="2" t="s">
        <v>23479</v>
      </c>
      <c r="N4741" s="2" t="s">
        <v>23480</v>
      </c>
      <c r="O4741" s="2" t="s">
        <v>23481</v>
      </c>
      <c r="P4741" s="2" t="s">
        <v>869</v>
      </c>
    </row>
    <row r="4742" ht="15.75" customHeight="1">
      <c r="H4742" s="2" t="s">
        <v>23482</v>
      </c>
      <c r="I4742" s="2" t="s">
        <v>2793</v>
      </c>
      <c r="J4742" s="2" t="s">
        <v>2794</v>
      </c>
      <c r="K4742" s="2" t="s">
        <v>23483</v>
      </c>
      <c r="L4742" s="2" t="s">
        <v>23005</v>
      </c>
      <c r="M4742" s="2" t="s">
        <v>23484</v>
      </c>
      <c r="N4742" s="2" t="s">
        <v>23485</v>
      </c>
      <c r="O4742" s="2" t="s">
        <v>23486</v>
      </c>
      <c r="P4742" s="2" t="s">
        <v>869</v>
      </c>
    </row>
    <row r="4743" ht="15.75" customHeight="1">
      <c r="H4743" s="2" t="s">
        <v>23487</v>
      </c>
      <c r="I4743" s="2" t="s">
        <v>574</v>
      </c>
      <c r="J4743" s="2" t="s">
        <v>575</v>
      </c>
      <c r="K4743" s="2" t="s">
        <v>23488</v>
      </c>
      <c r="L4743" s="2" t="s">
        <v>23005</v>
      </c>
      <c r="M4743" s="2" t="s">
        <v>23489</v>
      </c>
      <c r="N4743" s="2" t="s">
        <v>23490</v>
      </c>
      <c r="O4743" s="2" t="s">
        <v>23491</v>
      </c>
      <c r="P4743" s="2" t="s">
        <v>869</v>
      </c>
    </row>
    <row r="4744" ht="15.75" customHeight="1">
      <c r="F4744" s="2" t="s">
        <v>581</v>
      </c>
      <c r="H4744" s="2" t="s">
        <v>23492</v>
      </c>
      <c r="I4744" s="2" t="s">
        <v>583</v>
      </c>
      <c r="J4744" s="2" t="s">
        <v>584</v>
      </c>
      <c r="K4744" s="2" t="s">
        <v>23493</v>
      </c>
      <c r="L4744" s="2" t="s">
        <v>23005</v>
      </c>
      <c r="M4744" s="2" t="s">
        <v>23494</v>
      </c>
      <c r="N4744" s="2" t="s">
        <v>23495</v>
      </c>
      <c r="O4744" s="2" t="s">
        <v>23496</v>
      </c>
      <c r="P4744" s="2" t="s">
        <v>869</v>
      </c>
    </row>
    <row r="4745" ht="15.75" customHeight="1">
      <c r="F4745" s="2" t="s">
        <v>2902</v>
      </c>
      <c r="H4745" s="2" t="s">
        <v>23497</v>
      </c>
      <c r="I4745" s="2" t="s">
        <v>2925</v>
      </c>
      <c r="J4745" s="2" t="s">
        <v>2926</v>
      </c>
      <c r="K4745" s="2" t="s">
        <v>23498</v>
      </c>
      <c r="L4745" s="2" t="s">
        <v>23005</v>
      </c>
      <c r="M4745" s="2" t="s">
        <v>23499</v>
      </c>
      <c r="N4745" s="2" t="s">
        <v>23500</v>
      </c>
      <c r="O4745" s="2" t="s">
        <v>23501</v>
      </c>
      <c r="P4745" s="2" t="s">
        <v>869</v>
      </c>
    </row>
    <row r="4746" ht="15.75" customHeight="1">
      <c r="F4746" s="2" t="s">
        <v>598</v>
      </c>
      <c r="H4746" s="2" t="s">
        <v>23502</v>
      </c>
      <c r="I4746" s="2" t="s">
        <v>8674</v>
      </c>
      <c r="J4746" s="2" t="s">
        <v>8675</v>
      </c>
      <c r="K4746" s="2" t="s">
        <v>23503</v>
      </c>
      <c r="L4746" s="2" t="s">
        <v>23005</v>
      </c>
      <c r="M4746" s="2" t="s">
        <v>23504</v>
      </c>
      <c r="N4746" s="2" t="s">
        <v>23505</v>
      </c>
      <c r="O4746" s="2" t="s">
        <v>23506</v>
      </c>
      <c r="P4746" s="2" t="s">
        <v>23507</v>
      </c>
    </row>
    <row r="4747" ht="15.75" customHeight="1">
      <c r="H4747" s="2" t="s">
        <v>23508</v>
      </c>
      <c r="I4747" s="2" t="s">
        <v>608</v>
      </c>
      <c r="J4747" s="2" t="s">
        <v>609</v>
      </c>
      <c r="K4747" s="2" t="s">
        <v>23509</v>
      </c>
      <c r="L4747" s="2" t="s">
        <v>23005</v>
      </c>
      <c r="M4747" s="2" t="s">
        <v>23510</v>
      </c>
      <c r="N4747" s="2" t="s">
        <v>23511</v>
      </c>
      <c r="O4747" s="2" t="s">
        <v>23512</v>
      </c>
      <c r="P4747" s="2" t="s">
        <v>869</v>
      </c>
    </row>
    <row r="4748" ht="15.75" customHeight="1">
      <c r="F4748" s="2" t="s">
        <v>3062</v>
      </c>
      <c r="H4748" s="2" t="s">
        <v>23513</v>
      </c>
      <c r="I4748" s="2" t="s">
        <v>3064</v>
      </c>
      <c r="J4748" s="2" t="s">
        <v>3065</v>
      </c>
      <c r="K4748" s="2" t="s">
        <v>23514</v>
      </c>
      <c r="L4748" s="2" t="s">
        <v>23005</v>
      </c>
      <c r="M4748" s="2" t="s">
        <v>23515</v>
      </c>
      <c r="N4748" s="2" t="s">
        <v>23516</v>
      </c>
      <c r="O4748" s="2" t="s">
        <v>23517</v>
      </c>
      <c r="P4748" s="2" t="s">
        <v>869</v>
      </c>
    </row>
    <row r="4749" ht="15.75" customHeight="1">
      <c r="F4749" s="2" t="s">
        <v>3079</v>
      </c>
      <c r="H4749" s="2" t="s">
        <v>23518</v>
      </c>
      <c r="I4749" s="2" t="s">
        <v>16298</v>
      </c>
      <c r="J4749" s="2" t="s">
        <v>16299</v>
      </c>
      <c r="K4749" s="2" t="s">
        <v>23519</v>
      </c>
      <c r="L4749" s="2" t="s">
        <v>23005</v>
      </c>
      <c r="M4749" s="2" t="s">
        <v>23520</v>
      </c>
      <c r="N4749" s="2" t="s">
        <v>23521</v>
      </c>
      <c r="O4749" s="2" t="s">
        <v>23522</v>
      </c>
      <c r="P4749" s="2" t="s">
        <v>869</v>
      </c>
    </row>
    <row r="4750" ht="15.75" customHeight="1">
      <c r="F4750" s="2" t="s">
        <v>3129</v>
      </c>
      <c r="H4750" s="2" t="s">
        <v>23523</v>
      </c>
      <c r="I4750" s="2" t="s">
        <v>3146</v>
      </c>
      <c r="J4750" s="2" t="s">
        <v>3147</v>
      </c>
      <c r="K4750" s="2" t="s">
        <v>23524</v>
      </c>
      <c r="L4750" s="2" t="s">
        <v>23005</v>
      </c>
      <c r="M4750" s="2" t="s">
        <v>23525</v>
      </c>
      <c r="N4750" s="2" t="s">
        <v>23526</v>
      </c>
      <c r="O4750" s="2" t="s">
        <v>23527</v>
      </c>
      <c r="P4750" s="2" t="s">
        <v>869</v>
      </c>
    </row>
    <row r="4751" ht="15.75" customHeight="1">
      <c r="F4751" s="2" t="s">
        <v>624</v>
      </c>
      <c r="H4751" s="2" t="s">
        <v>23528</v>
      </c>
      <c r="I4751" s="2" t="s">
        <v>23529</v>
      </c>
      <c r="J4751" s="2" t="s">
        <v>23530</v>
      </c>
      <c r="K4751" s="2" t="s">
        <v>23531</v>
      </c>
      <c r="L4751" s="2" t="s">
        <v>23005</v>
      </c>
      <c r="M4751" s="2" t="s">
        <v>23532</v>
      </c>
      <c r="N4751" s="2" t="s">
        <v>23533</v>
      </c>
      <c r="O4751" s="2" t="s">
        <v>23534</v>
      </c>
      <c r="P4751" s="2" t="s">
        <v>869</v>
      </c>
    </row>
    <row r="4752" ht="15.75" customHeight="1">
      <c r="H4752" s="2" t="s">
        <v>23535</v>
      </c>
      <c r="I4752" s="2" t="s">
        <v>626</v>
      </c>
      <c r="J4752" s="2" t="s">
        <v>627</v>
      </c>
      <c r="K4752" s="2" t="s">
        <v>23536</v>
      </c>
      <c r="L4752" s="2" t="s">
        <v>23537</v>
      </c>
      <c r="M4752" s="2" t="s">
        <v>23538</v>
      </c>
      <c r="N4752" s="2" t="s">
        <v>23539</v>
      </c>
      <c r="O4752" s="2" t="s">
        <v>23540</v>
      </c>
      <c r="P4752" s="2" t="s">
        <v>869</v>
      </c>
    </row>
    <row r="4753" ht="15.75" customHeight="1">
      <c r="F4753" s="2" t="s">
        <v>634</v>
      </c>
      <c r="H4753" s="2" t="s">
        <v>23541</v>
      </c>
      <c r="I4753" s="2" t="s">
        <v>23542</v>
      </c>
      <c r="J4753" s="2" t="s">
        <v>23543</v>
      </c>
      <c r="K4753" s="2" t="s">
        <v>23544</v>
      </c>
      <c r="L4753" s="2" t="s">
        <v>23005</v>
      </c>
      <c r="M4753" s="2" t="s">
        <v>9166</v>
      </c>
      <c r="N4753" s="2" t="s">
        <v>23545</v>
      </c>
      <c r="O4753" s="2" t="s">
        <v>23546</v>
      </c>
      <c r="P4753" s="2" t="s">
        <v>869</v>
      </c>
    </row>
    <row r="4754" ht="15.75" customHeight="1">
      <c r="H4754" s="2" t="s">
        <v>23547</v>
      </c>
      <c r="I4754" s="2" t="s">
        <v>3357</v>
      </c>
      <c r="J4754" s="2" t="s">
        <v>3358</v>
      </c>
      <c r="K4754" s="2" t="s">
        <v>23548</v>
      </c>
      <c r="L4754" s="2" t="s">
        <v>23005</v>
      </c>
      <c r="M4754" s="2" t="s">
        <v>23549</v>
      </c>
      <c r="N4754" s="2" t="s">
        <v>23550</v>
      </c>
      <c r="O4754" s="2" t="s">
        <v>23551</v>
      </c>
      <c r="P4754" s="2" t="s">
        <v>869</v>
      </c>
    </row>
    <row r="4755" ht="15.75" customHeight="1">
      <c r="H4755" s="2" t="s">
        <v>23552</v>
      </c>
      <c r="I4755" s="2" t="s">
        <v>3380</v>
      </c>
      <c r="J4755" s="2" t="s">
        <v>3381</v>
      </c>
      <c r="K4755" s="2" t="s">
        <v>23553</v>
      </c>
      <c r="L4755" s="2" t="s">
        <v>23005</v>
      </c>
      <c r="M4755" s="2" t="s">
        <v>23554</v>
      </c>
      <c r="N4755" s="2" t="s">
        <v>23555</v>
      </c>
      <c r="O4755" s="2" t="s">
        <v>23556</v>
      </c>
      <c r="P4755" s="2" t="s">
        <v>869</v>
      </c>
    </row>
    <row r="4756" ht="15.75" customHeight="1">
      <c r="F4756" s="2" t="s">
        <v>651</v>
      </c>
      <c r="H4756" s="2" t="s">
        <v>23557</v>
      </c>
      <c r="I4756" s="2" t="s">
        <v>653</v>
      </c>
      <c r="J4756" s="2" t="s">
        <v>654</v>
      </c>
      <c r="K4756" s="2" t="s">
        <v>23558</v>
      </c>
      <c r="L4756" s="2" t="s">
        <v>23005</v>
      </c>
      <c r="M4756" s="2" t="s">
        <v>23559</v>
      </c>
      <c r="N4756" s="2" t="s">
        <v>23560</v>
      </c>
      <c r="O4756" s="2" t="s">
        <v>23561</v>
      </c>
      <c r="P4756" s="2" t="s">
        <v>869</v>
      </c>
    </row>
    <row r="4757" ht="15.75" customHeight="1">
      <c r="F4757" s="2" t="s">
        <v>3577</v>
      </c>
      <c r="H4757" s="2" t="s">
        <v>23562</v>
      </c>
      <c r="I4757" s="2" t="s">
        <v>9523</v>
      </c>
      <c r="J4757" s="2" t="s">
        <v>9524</v>
      </c>
      <c r="K4757" s="2" t="s">
        <v>23563</v>
      </c>
      <c r="L4757" s="2" t="s">
        <v>23005</v>
      </c>
      <c r="M4757" s="2" t="s">
        <v>23564</v>
      </c>
      <c r="N4757" s="2" t="s">
        <v>23565</v>
      </c>
      <c r="O4757" s="2" t="s">
        <v>23566</v>
      </c>
      <c r="P4757" s="2" t="s">
        <v>869</v>
      </c>
    </row>
    <row r="4758" ht="15.75" customHeight="1">
      <c r="F4758" s="2" t="s">
        <v>3629</v>
      </c>
      <c r="H4758" s="2" t="s">
        <v>23567</v>
      </c>
      <c r="I4758" s="2" t="s">
        <v>3676</v>
      </c>
      <c r="J4758" s="2" t="s">
        <v>3677</v>
      </c>
      <c r="K4758" s="2" t="s">
        <v>23568</v>
      </c>
      <c r="L4758" s="2" t="s">
        <v>23005</v>
      </c>
      <c r="M4758" s="2" t="s">
        <v>23569</v>
      </c>
      <c r="N4758" s="2" t="s">
        <v>23570</v>
      </c>
      <c r="O4758" s="2" t="s">
        <v>23571</v>
      </c>
      <c r="P4758" s="2" t="s">
        <v>869</v>
      </c>
    </row>
    <row r="4759" ht="15.75" customHeight="1">
      <c r="F4759" s="2" t="s">
        <v>660</v>
      </c>
      <c r="H4759" s="2" t="s">
        <v>23572</v>
      </c>
      <c r="I4759" s="2" t="s">
        <v>3727</v>
      </c>
      <c r="J4759" s="2" t="s">
        <v>3728</v>
      </c>
      <c r="K4759" s="2" t="s">
        <v>23573</v>
      </c>
      <c r="L4759" s="2" t="s">
        <v>23005</v>
      </c>
      <c r="M4759" s="2" t="s">
        <v>23574</v>
      </c>
      <c r="N4759" s="2" t="s">
        <v>23575</v>
      </c>
      <c r="O4759" s="2" t="s">
        <v>23576</v>
      </c>
      <c r="P4759" s="2" t="s">
        <v>869</v>
      </c>
    </row>
    <row r="4760" ht="15.75" customHeight="1">
      <c r="H4760" s="2" t="s">
        <v>23577</v>
      </c>
      <c r="I4760" s="2" t="s">
        <v>662</v>
      </c>
      <c r="J4760" s="2" t="s">
        <v>663</v>
      </c>
      <c r="K4760" s="2" t="s">
        <v>23578</v>
      </c>
      <c r="L4760" s="2" t="s">
        <v>23005</v>
      </c>
      <c r="M4760" s="2" t="s">
        <v>23579</v>
      </c>
      <c r="N4760" s="2" t="s">
        <v>23580</v>
      </c>
      <c r="O4760" s="2" t="s">
        <v>23581</v>
      </c>
      <c r="P4760" s="2" t="s">
        <v>869</v>
      </c>
    </row>
    <row r="4761" ht="15.75" customHeight="1">
      <c r="H4761" s="2" t="s">
        <v>23582</v>
      </c>
      <c r="I4761" s="2" t="s">
        <v>670</v>
      </c>
      <c r="J4761" s="2" t="s">
        <v>671</v>
      </c>
      <c r="K4761" s="2" t="s">
        <v>23583</v>
      </c>
      <c r="L4761" s="2" t="s">
        <v>23005</v>
      </c>
      <c r="M4761" s="2" t="s">
        <v>23584</v>
      </c>
      <c r="N4761" s="2" t="s">
        <v>23585</v>
      </c>
      <c r="O4761" s="2" t="s">
        <v>23586</v>
      </c>
      <c r="P4761" s="2" t="s">
        <v>869</v>
      </c>
    </row>
    <row r="4762" ht="15.75" customHeight="1">
      <c r="F4762" s="2" t="s">
        <v>3762</v>
      </c>
      <c r="H4762" s="2" t="s">
        <v>23587</v>
      </c>
      <c r="I4762" s="2" t="s">
        <v>23588</v>
      </c>
      <c r="J4762" s="2" t="s">
        <v>23589</v>
      </c>
      <c r="K4762" s="2" t="s">
        <v>23590</v>
      </c>
      <c r="L4762" s="2" t="s">
        <v>23005</v>
      </c>
      <c r="M4762" s="2" t="s">
        <v>23591</v>
      </c>
      <c r="N4762" s="2" t="s">
        <v>23592</v>
      </c>
      <c r="O4762" s="2" t="s">
        <v>23593</v>
      </c>
      <c r="P4762" s="2" t="s">
        <v>869</v>
      </c>
    </row>
    <row r="4763" ht="15.75" customHeight="1">
      <c r="H4763" s="2" t="s">
        <v>23594</v>
      </c>
      <c r="I4763" s="2" t="s">
        <v>23595</v>
      </c>
      <c r="J4763" s="2" t="s">
        <v>23596</v>
      </c>
      <c r="K4763" s="2" t="s">
        <v>23597</v>
      </c>
      <c r="L4763" s="2" t="s">
        <v>23005</v>
      </c>
      <c r="M4763" s="2" t="s">
        <v>23598</v>
      </c>
      <c r="N4763" s="2" t="s">
        <v>23599</v>
      </c>
      <c r="O4763" s="2" t="s">
        <v>23600</v>
      </c>
      <c r="P4763" s="2" t="s">
        <v>869</v>
      </c>
    </row>
    <row r="4764" ht="15.75" customHeight="1">
      <c r="H4764" s="2" t="s">
        <v>23601</v>
      </c>
      <c r="I4764" s="2" t="s">
        <v>20661</v>
      </c>
      <c r="J4764" s="2" t="s">
        <v>20662</v>
      </c>
      <c r="K4764" s="2" t="s">
        <v>23602</v>
      </c>
      <c r="L4764" s="2" t="s">
        <v>23005</v>
      </c>
      <c r="M4764" s="2" t="s">
        <v>23603</v>
      </c>
      <c r="N4764" s="2" t="s">
        <v>23604</v>
      </c>
      <c r="O4764" s="2" t="s">
        <v>23605</v>
      </c>
      <c r="P4764" s="2" t="s">
        <v>23606</v>
      </c>
    </row>
    <row r="4765" ht="15.75" customHeight="1">
      <c r="H4765" s="2" t="s">
        <v>23607</v>
      </c>
      <c r="I4765" s="2" t="s">
        <v>9862</v>
      </c>
      <c r="J4765" s="2" t="s">
        <v>9863</v>
      </c>
      <c r="K4765" s="2" t="s">
        <v>23608</v>
      </c>
      <c r="L4765" s="2" t="s">
        <v>23005</v>
      </c>
      <c r="M4765" s="2" t="s">
        <v>23609</v>
      </c>
      <c r="N4765" s="2" t="s">
        <v>23610</v>
      </c>
      <c r="O4765" s="2" t="s">
        <v>23611</v>
      </c>
      <c r="P4765" s="2" t="s">
        <v>869</v>
      </c>
    </row>
    <row r="4766" ht="15.75" customHeight="1">
      <c r="H4766" s="2" t="s">
        <v>23612</v>
      </c>
      <c r="I4766" s="2" t="s">
        <v>23613</v>
      </c>
      <c r="J4766" s="2" t="s">
        <v>23614</v>
      </c>
      <c r="K4766" s="2" t="s">
        <v>23615</v>
      </c>
      <c r="L4766" s="2" t="s">
        <v>23005</v>
      </c>
      <c r="M4766" s="2" t="s">
        <v>23616</v>
      </c>
      <c r="N4766" s="2" t="s">
        <v>23617</v>
      </c>
      <c r="O4766" s="2" t="s">
        <v>23618</v>
      </c>
      <c r="P4766" s="2" t="s">
        <v>869</v>
      </c>
    </row>
    <row r="4767" ht="15.75" customHeight="1">
      <c r="H4767" s="2" t="s">
        <v>23619</v>
      </c>
      <c r="I4767" s="2" t="s">
        <v>23620</v>
      </c>
      <c r="J4767" s="2" t="s">
        <v>23621</v>
      </c>
      <c r="K4767" s="2" t="s">
        <v>23622</v>
      </c>
      <c r="L4767" s="2" t="s">
        <v>23005</v>
      </c>
      <c r="M4767" s="2" t="s">
        <v>23623</v>
      </c>
      <c r="N4767" s="2" t="s">
        <v>23624</v>
      </c>
      <c r="O4767" s="2" t="s">
        <v>23625</v>
      </c>
      <c r="P4767" s="2" t="s">
        <v>869</v>
      </c>
    </row>
    <row r="4768" ht="15.75" customHeight="1">
      <c r="H4768" s="2" t="s">
        <v>23626</v>
      </c>
      <c r="I4768" s="2" t="s">
        <v>12418</v>
      </c>
      <c r="J4768" s="2" t="s">
        <v>12419</v>
      </c>
      <c r="K4768" s="2" t="s">
        <v>23627</v>
      </c>
      <c r="L4768" s="2" t="s">
        <v>23005</v>
      </c>
      <c r="M4768" s="2" t="s">
        <v>23628</v>
      </c>
      <c r="N4768" s="2" t="s">
        <v>23629</v>
      </c>
      <c r="O4768" s="2" t="s">
        <v>23630</v>
      </c>
      <c r="P4768" s="2" t="s">
        <v>869</v>
      </c>
    </row>
    <row r="4769" ht="15.75" customHeight="1">
      <c r="H4769" s="2" t="s">
        <v>23631</v>
      </c>
      <c r="I4769" s="2" t="s">
        <v>3826</v>
      </c>
      <c r="J4769" s="2" t="s">
        <v>3827</v>
      </c>
      <c r="K4769" s="2" t="s">
        <v>23632</v>
      </c>
      <c r="L4769" s="2" t="s">
        <v>23005</v>
      </c>
      <c r="M4769" s="2" t="s">
        <v>23633</v>
      </c>
      <c r="N4769" s="2" t="s">
        <v>23634</v>
      </c>
      <c r="O4769" s="2" t="s">
        <v>23635</v>
      </c>
      <c r="P4769" s="2" t="s">
        <v>869</v>
      </c>
    </row>
    <row r="4770" ht="15.75" customHeight="1">
      <c r="H4770" s="2" t="s">
        <v>23636</v>
      </c>
      <c r="I4770" s="2" t="s">
        <v>9924</v>
      </c>
      <c r="J4770" s="2" t="s">
        <v>9925</v>
      </c>
      <c r="K4770" s="2" t="s">
        <v>23637</v>
      </c>
      <c r="L4770" s="2" t="s">
        <v>23005</v>
      </c>
      <c r="M4770" s="2" t="s">
        <v>23638</v>
      </c>
      <c r="N4770" s="2" t="s">
        <v>23639</v>
      </c>
      <c r="O4770" s="2" t="s">
        <v>23640</v>
      </c>
      <c r="P4770" s="2" t="s">
        <v>869</v>
      </c>
    </row>
    <row r="4771" ht="15.75" customHeight="1">
      <c r="F4771" s="2" t="s">
        <v>677</v>
      </c>
      <c r="H4771" s="2" t="s">
        <v>23641</v>
      </c>
      <c r="I4771" s="2" t="s">
        <v>3841</v>
      </c>
      <c r="J4771" s="2" t="s">
        <v>3842</v>
      </c>
      <c r="K4771" s="2" t="s">
        <v>23642</v>
      </c>
      <c r="L4771" s="2" t="s">
        <v>23005</v>
      </c>
      <c r="M4771" s="2" t="s">
        <v>23643</v>
      </c>
      <c r="N4771" s="2" t="s">
        <v>23644</v>
      </c>
      <c r="O4771" s="2" t="s">
        <v>23645</v>
      </c>
      <c r="P4771" s="2" t="s">
        <v>23646</v>
      </c>
    </row>
    <row r="4772" ht="15.75" customHeight="1">
      <c r="H4772" s="2" t="s">
        <v>23647</v>
      </c>
      <c r="I4772" s="2" t="s">
        <v>3885</v>
      </c>
      <c r="J4772" s="2" t="s">
        <v>3886</v>
      </c>
      <c r="K4772" s="2" t="s">
        <v>23648</v>
      </c>
      <c r="L4772" s="2" t="s">
        <v>23005</v>
      </c>
      <c r="M4772" s="2" t="s">
        <v>23649</v>
      </c>
      <c r="N4772" s="2" t="s">
        <v>23650</v>
      </c>
      <c r="O4772" s="2" t="s">
        <v>23651</v>
      </c>
      <c r="P4772" s="2" t="s">
        <v>869</v>
      </c>
    </row>
    <row r="4773" ht="15.75" customHeight="1">
      <c r="H4773" s="2" t="s">
        <v>23652</v>
      </c>
      <c r="I4773" s="2" t="s">
        <v>679</v>
      </c>
      <c r="J4773" s="2" t="s">
        <v>680</v>
      </c>
      <c r="K4773" s="2" t="s">
        <v>23653</v>
      </c>
      <c r="L4773" s="2" t="s">
        <v>23005</v>
      </c>
      <c r="M4773" s="2" t="s">
        <v>23654</v>
      </c>
      <c r="N4773" s="2" t="s">
        <v>23655</v>
      </c>
      <c r="O4773" s="2" t="s">
        <v>23656</v>
      </c>
      <c r="P4773" s="2" t="s">
        <v>869</v>
      </c>
    </row>
    <row r="4774" ht="15.75" customHeight="1">
      <c r="H4774" s="2" t="s">
        <v>23657</v>
      </c>
      <c r="I4774" s="2" t="s">
        <v>3907</v>
      </c>
      <c r="J4774" s="2" t="s">
        <v>3908</v>
      </c>
      <c r="K4774" s="2" t="s">
        <v>23658</v>
      </c>
      <c r="L4774" s="2" t="s">
        <v>23005</v>
      </c>
      <c r="M4774" s="2" t="s">
        <v>23659</v>
      </c>
      <c r="N4774" s="2" t="s">
        <v>23660</v>
      </c>
      <c r="O4774" s="2" t="s">
        <v>23661</v>
      </c>
      <c r="P4774" s="2" t="s">
        <v>869</v>
      </c>
    </row>
    <row r="4775" ht="15.75" customHeight="1">
      <c r="H4775" s="2" t="s">
        <v>23662</v>
      </c>
      <c r="I4775" s="2" t="s">
        <v>3912</v>
      </c>
      <c r="J4775" s="2" t="s">
        <v>3913</v>
      </c>
      <c r="K4775" s="2" t="s">
        <v>23663</v>
      </c>
      <c r="L4775" s="2" t="s">
        <v>23005</v>
      </c>
      <c r="M4775" s="2" t="s">
        <v>23664</v>
      </c>
      <c r="N4775" s="2" t="s">
        <v>23665</v>
      </c>
      <c r="O4775" s="2" t="s">
        <v>23666</v>
      </c>
      <c r="P4775" s="2" t="s">
        <v>869</v>
      </c>
    </row>
    <row r="4776" ht="15.75" customHeight="1">
      <c r="F4776" s="2" t="s">
        <v>22982</v>
      </c>
      <c r="H4776" s="2" t="s">
        <v>22982</v>
      </c>
      <c r="I4776" s="2" t="s">
        <v>23667</v>
      </c>
      <c r="J4776" s="2" t="s">
        <v>23667</v>
      </c>
    </row>
    <row r="4777" ht="15.75" customHeight="1">
      <c r="F4777" s="2" t="s">
        <v>694</v>
      </c>
      <c r="H4777" s="2" t="s">
        <v>23668</v>
      </c>
      <c r="I4777" s="2" t="s">
        <v>696</v>
      </c>
      <c r="J4777" s="2" t="s">
        <v>697</v>
      </c>
      <c r="K4777" s="2" t="s">
        <v>23669</v>
      </c>
      <c r="L4777" s="2" t="s">
        <v>23005</v>
      </c>
      <c r="M4777" s="2" t="s">
        <v>23670</v>
      </c>
      <c r="N4777" s="2" t="s">
        <v>23671</v>
      </c>
      <c r="O4777" s="2" t="s">
        <v>23672</v>
      </c>
      <c r="P4777" s="2" t="s">
        <v>869</v>
      </c>
    </row>
    <row r="4778" ht="15.75" customHeight="1">
      <c r="H4778" s="2" t="s">
        <v>23673</v>
      </c>
      <c r="I4778" s="2" t="s">
        <v>20821</v>
      </c>
      <c r="J4778" s="2" t="s">
        <v>20822</v>
      </c>
      <c r="K4778" s="2" t="s">
        <v>23674</v>
      </c>
      <c r="L4778" s="2" t="s">
        <v>23005</v>
      </c>
      <c r="M4778" s="2" t="s">
        <v>23675</v>
      </c>
      <c r="N4778" s="2" t="s">
        <v>23676</v>
      </c>
      <c r="O4778" s="2" t="s">
        <v>23677</v>
      </c>
      <c r="P4778" s="2" t="s">
        <v>23678</v>
      </c>
    </row>
    <row r="4779" ht="15.75" customHeight="1">
      <c r="F4779" s="2" t="s">
        <v>703</v>
      </c>
      <c r="H4779" s="2" t="s">
        <v>23679</v>
      </c>
      <c r="I4779" s="2" t="s">
        <v>713</v>
      </c>
      <c r="J4779" s="2" t="s">
        <v>714</v>
      </c>
      <c r="K4779" s="2" t="s">
        <v>23680</v>
      </c>
      <c r="L4779" s="2" t="s">
        <v>23681</v>
      </c>
      <c r="M4779" s="2" t="s">
        <v>23682</v>
      </c>
      <c r="N4779" s="2" t="s">
        <v>23683</v>
      </c>
      <c r="O4779" s="2" t="s">
        <v>23684</v>
      </c>
      <c r="P4779" s="2" t="s">
        <v>869</v>
      </c>
    </row>
    <row r="4780" ht="15.75" customHeight="1">
      <c r="H4780" s="2" t="s">
        <v>23685</v>
      </c>
      <c r="I4780" s="2" t="s">
        <v>14122</v>
      </c>
      <c r="J4780" s="2" t="s">
        <v>14123</v>
      </c>
      <c r="K4780" s="2" t="s">
        <v>23686</v>
      </c>
      <c r="L4780" s="2" t="s">
        <v>23005</v>
      </c>
      <c r="M4780" s="2" t="s">
        <v>23687</v>
      </c>
      <c r="N4780" s="2" t="s">
        <v>23688</v>
      </c>
      <c r="O4780" s="2" t="s">
        <v>23689</v>
      </c>
      <c r="P4780" s="2" t="s">
        <v>869</v>
      </c>
    </row>
    <row r="4781" ht="15.75" customHeight="1">
      <c r="H4781" s="2" t="s">
        <v>23690</v>
      </c>
      <c r="I4781" s="2" t="s">
        <v>3902</v>
      </c>
      <c r="J4781" s="2" t="s">
        <v>3903</v>
      </c>
      <c r="K4781" s="2" t="s">
        <v>23691</v>
      </c>
      <c r="L4781" s="2" t="s">
        <v>23005</v>
      </c>
      <c r="M4781" s="2" t="s">
        <v>23692</v>
      </c>
      <c r="N4781" s="2" t="s">
        <v>23693</v>
      </c>
      <c r="O4781" s="2" t="s">
        <v>23694</v>
      </c>
      <c r="P4781" s="2" t="s">
        <v>869</v>
      </c>
    </row>
    <row r="4782" ht="15.75" customHeight="1">
      <c r="F4782" s="2" t="s">
        <v>728</v>
      </c>
      <c r="H4782" s="2" t="s">
        <v>23695</v>
      </c>
      <c r="I4782" s="2" t="s">
        <v>730</v>
      </c>
      <c r="J4782" s="2" t="s">
        <v>731</v>
      </c>
      <c r="K4782" s="2" t="s">
        <v>23696</v>
      </c>
      <c r="L4782" s="2" t="s">
        <v>23005</v>
      </c>
      <c r="M4782" s="2" t="s">
        <v>23697</v>
      </c>
      <c r="N4782" s="2" t="s">
        <v>23698</v>
      </c>
      <c r="O4782" s="2" t="s">
        <v>23699</v>
      </c>
      <c r="P4782" s="2" t="s">
        <v>869</v>
      </c>
    </row>
    <row r="4783" ht="15.75" customHeight="1">
      <c r="H4783" s="2" t="s">
        <v>23700</v>
      </c>
      <c r="I4783" s="2" t="s">
        <v>4096</v>
      </c>
      <c r="J4783" s="2" t="s">
        <v>4097</v>
      </c>
      <c r="K4783" s="2" t="s">
        <v>23701</v>
      </c>
      <c r="L4783" s="2" t="s">
        <v>23005</v>
      </c>
      <c r="M4783" s="2" t="s">
        <v>23702</v>
      </c>
      <c r="N4783" s="2" t="s">
        <v>23703</v>
      </c>
      <c r="O4783" s="2" t="s">
        <v>23704</v>
      </c>
      <c r="P4783" s="2" t="s">
        <v>869</v>
      </c>
    </row>
    <row r="4784" ht="15.75" customHeight="1">
      <c r="F4784" s="2" t="s">
        <v>4115</v>
      </c>
      <c r="H4784" s="2" t="s">
        <v>23705</v>
      </c>
      <c r="I4784" s="2" t="s">
        <v>4147</v>
      </c>
      <c r="J4784" s="2" t="s">
        <v>4148</v>
      </c>
      <c r="K4784" s="2" t="s">
        <v>23706</v>
      </c>
      <c r="L4784" s="2" t="s">
        <v>23005</v>
      </c>
      <c r="M4784" s="2" t="s">
        <v>23707</v>
      </c>
      <c r="N4784" s="2" t="s">
        <v>23708</v>
      </c>
      <c r="O4784" s="2" t="s">
        <v>23709</v>
      </c>
      <c r="P4784" s="2" t="s">
        <v>869</v>
      </c>
    </row>
    <row r="4785" ht="15.75" customHeight="1">
      <c r="F4785" s="2" t="s">
        <v>737</v>
      </c>
      <c r="H4785" s="2" t="s">
        <v>23710</v>
      </c>
      <c r="I4785" s="2" t="s">
        <v>739</v>
      </c>
      <c r="J4785" s="2" t="s">
        <v>740</v>
      </c>
      <c r="K4785" s="2" t="s">
        <v>23711</v>
      </c>
      <c r="L4785" s="2" t="s">
        <v>23005</v>
      </c>
      <c r="M4785" s="2" t="s">
        <v>23712</v>
      </c>
      <c r="N4785" s="2" t="s">
        <v>23713</v>
      </c>
      <c r="O4785" s="2" t="s">
        <v>23714</v>
      </c>
      <c r="P4785" s="2" t="s">
        <v>869</v>
      </c>
    </row>
    <row r="4786" ht="15.75" customHeight="1">
      <c r="F4786" s="2" t="s">
        <v>746</v>
      </c>
      <c r="H4786" s="2" t="s">
        <v>23715</v>
      </c>
      <c r="I4786" s="2" t="s">
        <v>4260</v>
      </c>
      <c r="J4786" s="2" t="s">
        <v>4261</v>
      </c>
      <c r="K4786" s="2" t="s">
        <v>23716</v>
      </c>
      <c r="L4786" s="2" t="s">
        <v>23005</v>
      </c>
      <c r="M4786" s="2" t="s">
        <v>23717</v>
      </c>
      <c r="N4786" s="2" t="s">
        <v>23718</v>
      </c>
      <c r="O4786" s="2" t="s">
        <v>23719</v>
      </c>
      <c r="P4786" s="2" t="s">
        <v>869</v>
      </c>
    </row>
    <row r="4787" ht="15.75" customHeight="1">
      <c r="H4787" s="2" t="s">
        <v>23720</v>
      </c>
      <c r="I4787" s="2" t="s">
        <v>4282</v>
      </c>
      <c r="J4787" s="2" t="s">
        <v>4283</v>
      </c>
      <c r="K4787" s="2" t="s">
        <v>23721</v>
      </c>
      <c r="L4787" s="2" t="s">
        <v>23005</v>
      </c>
      <c r="M4787" s="2" t="s">
        <v>23722</v>
      </c>
      <c r="N4787" s="2" t="s">
        <v>23723</v>
      </c>
      <c r="O4787" s="2" t="s">
        <v>23724</v>
      </c>
      <c r="P4787" s="2" t="s">
        <v>23725</v>
      </c>
    </row>
    <row r="4788" ht="15.75" customHeight="1">
      <c r="H4788" s="2" t="s">
        <v>23726</v>
      </c>
      <c r="I4788" s="2" t="s">
        <v>4323</v>
      </c>
      <c r="J4788" s="2" t="s">
        <v>4324</v>
      </c>
      <c r="K4788" s="2" t="s">
        <v>23727</v>
      </c>
      <c r="L4788" s="2" t="s">
        <v>23005</v>
      </c>
      <c r="M4788" s="2" t="s">
        <v>23728</v>
      </c>
      <c r="N4788" s="2" t="s">
        <v>23729</v>
      </c>
      <c r="O4788" s="2" t="s">
        <v>23730</v>
      </c>
      <c r="P4788" s="2" t="s">
        <v>869</v>
      </c>
    </row>
    <row r="4789" ht="15.75" customHeight="1">
      <c r="F4789" s="2" t="s">
        <v>4353</v>
      </c>
      <c r="H4789" s="2" t="s">
        <v>23731</v>
      </c>
      <c r="I4789" s="2" t="s">
        <v>4395</v>
      </c>
      <c r="J4789" s="2" t="s">
        <v>4396</v>
      </c>
      <c r="K4789" s="2" t="s">
        <v>23732</v>
      </c>
      <c r="L4789" s="2" t="s">
        <v>23005</v>
      </c>
      <c r="M4789" s="2" t="s">
        <v>23733</v>
      </c>
      <c r="N4789" s="2" t="s">
        <v>23734</v>
      </c>
      <c r="O4789" s="2" t="s">
        <v>23735</v>
      </c>
      <c r="P4789" s="2" t="s">
        <v>869</v>
      </c>
    </row>
    <row r="4790" ht="15.75" customHeight="1">
      <c r="H4790" s="2" t="s">
        <v>23736</v>
      </c>
      <c r="I4790" s="2" t="s">
        <v>6072</v>
      </c>
      <c r="J4790" s="2" t="s">
        <v>6073</v>
      </c>
      <c r="K4790" s="2" t="s">
        <v>23737</v>
      </c>
      <c r="L4790" s="2" t="s">
        <v>23005</v>
      </c>
      <c r="M4790" s="2" t="s">
        <v>14194</v>
      </c>
      <c r="N4790" s="2" t="s">
        <v>23738</v>
      </c>
      <c r="O4790" s="2" t="s">
        <v>23739</v>
      </c>
      <c r="P4790" s="2" t="s">
        <v>869</v>
      </c>
    </row>
    <row r="4791" ht="15.75" customHeight="1">
      <c r="F4791" s="2" t="s">
        <v>4462</v>
      </c>
      <c r="H4791" s="2" t="s">
        <v>23740</v>
      </c>
      <c r="I4791" s="2" t="s">
        <v>4477</v>
      </c>
      <c r="J4791" s="2" t="s">
        <v>4478</v>
      </c>
      <c r="K4791" s="2" t="s">
        <v>23741</v>
      </c>
      <c r="L4791" s="2" t="s">
        <v>23005</v>
      </c>
      <c r="M4791" s="2" t="s">
        <v>23742</v>
      </c>
      <c r="N4791" s="2" t="s">
        <v>23743</v>
      </c>
      <c r="O4791" s="2" t="s">
        <v>23744</v>
      </c>
      <c r="P4791" s="2" t="s">
        <v>869</v>
      </c>
    </row>
    <row r="4792" ht="15.75" customHeight="1">
      <c r="F4792" s="2" t="s">
        <v>755</v>
      </c>
      <c r="H4792" s="2" t="s">
        <v>23745</v>
      </c>
      <c r="I4792" s="2" t="s">
        <v>21432</v>
      </c>
      <c r="J4792" s="2" t="s">
        <v>21433</v>
      </c>
      <c r="K4792" s="2" t="s">
        <v>23746</v>
      </c>
      <c r="L4792" s="2" t="s">
        <v>23005</v>
      </c>
      <c r="M4792" s="2" t="s">
        <v>23747</v>
      </c>
      <c r="N4792" s="2" t="s">
        <v>23748</v>
      </c>
      <c r="O4792" s="2" t="s">
        <v>23749</v>
      </c>
      <c r="P4792" s="2" t="s">
        <v>869</v>
      </c>
    </row>
    <row r="4793" ht="15.75" customHeight="1">
      <c r="H4793" s="2" t="s">
        <v>23750</v>
      </c>
      <c r="I4793" s="2" t="s">
        <v>757</v>
      </c>
      <c r="J4793" s="2" t="s">
        <v>758</v>
      </c>
      <c r="K4793" s="2" t="s">
        <v>23751</v>
      </c>
      <c r="L4793" s="2" t="s">
        <v>23005</v>
      </c>
      <c r="M4793" s="2" t="s">
        <v>23752</v>
      </c>
      <c r="N4793" s="2" t="s">
        <v>23753</v>
      </c>
      <c r="O4793" s="2" t="s">
        <v>23754</v>
      </c>
      <c r="P4793" s="2" t="s">
        <v>869</v>
      </c>
    </row>
    <row r="4794" ht="15.75" customHeight="1">
      <c r="F4794" s="2" t="s">
        <v>764</v>
      </c>
      <c r="H4794" s="2" t="s">
        <v>23755</v>
      </c>
      <c r="I4794" s="2" t="s">
        <v>766</v>
      </c>
      <c r="J4794" s="2" t="s">
        <v>767</v>
      </c>
      <c r="K4794" s="2" t="s">
        <v>23756</v>
      </c>
      <c r="L4794" s="2" t="s">
        <v>23005</v>
      </c>
      <c r="M4794" s="2" t="s">
        <v>23757</v>
      </c>
      <c r="N4794" s="2" t="s">
        <v>23758</v>
      </c>
      <c r="O4794" s="2" t="s">
        <v>23759</v>
      </c>
      <c r="P4794" s="2" t="s">
        <v>869</v>
      </c>
    </row>
    <row r="4795" ht="15.75" customHeight="1">
      <c r="H4795" s="2" t="s">
        <v>23760</v>
      </c>
      <c r="I4795" s="2" t="s">
        <v>23761</v>
      </c>
      <c r="J4795" s="2" t="s">
        <v>23762</v>
      </c>
      <c r="K4795" s="2" t="s">
        <v>23763</v>
      </c>
      <c r="L4795" s="2" t="s">
        <v>23005</v>
      </c>
      <c r="M4795" s="2" t="s">
        <v>23764</v>
      </c>
      <c r="N4795" s="2" t="s">
        <v>23765</v>
      </c>
      <c r="O4795" s="2" t="s">
        <v>23766</v>
      </c>
      <c r="P4795" s="2" t="s">
        <v>869</v>
      </c>
    </row>
    <row r="4796" ht="15.75" customHeight="1">
      <c r="F4796" s="2" t="s">
        <v>773</v>
      </c>
      <c r="H4796" s="2" t="s">
        <v>23767</v>
      </c>
      <c r="I4796" s="2" t="s">
        <v>775</v>
      </c>
      <c r="J4796" s="2" t="s">
        <v>776</v>
      </c>
      <c r="K4796" s="2" t="s">
        <v>23768</v>
      </c>
      <c r="L4796" s="2" t="s">
        <v>23769</v>
      </c>
      <c r="M4796" s="2" t="s">
        <v>23770</v>
      </c>
      <c r="N4796" s="2" t="s">
        <v>23771</v>
      </c>
      <c r="O4796" s="2" t="s">
        <v>23772</v>
      </c>
      <c r="P4796" s="2" t="s">
        <v>869</v>
      </c>
    </row>
    <row r="4797" ht="15.75" customHeight="1">
      <c r="F4797" s="2" t="s">
        <v>4802</v>
      </c>
      <c r="H4797" s="2" t="s">
        <v>23773</v>
      </c>
      <c r="I4797" s="2" t="s">
        <v>11182</v>
      </c>
      <c r="J4797" s="2" t="s">
        <v>11183</v>
      </c>
      <c r="K4797" s="2" t="s">
        <v>23774</v>
      </c>
      <c r="L4797" s="2" t="s">
        <v>23005</v>
      </c>
      <c r="M4797" s="2" t="s">
        <v>23775</v>
      </c>
      <c r="N4797" s="2" t="s">
        <v>23776</v>
      </c>
      <c r="O4797" s="2" t="s">
        <v>23777</v>
      </c>
      <c r="P4797" s="2" t="s">
        <v>23778</v>
      </c>
    </row>
    <row r="4798" ht="15.75" customHeight="1">
      <c r="H4798" s="2" t="s">
        <v>23779</v>
      </c>
      <c r="I4798" s="2" t="s">
        <v>21650</v>
      </c>
      <c r="J4798" s="2" t="s">
        <v>21651</v>
      </c>
      <c r="K4798" s="2" t="s">
        <v>23780</v>
      </c>
      <c r="L4798" s="2" t="s">
        <v>23005</v>
      </c>
      <c r="M4798" s="2" t="s">
        <v>23781</v>
      </c>
      <c r="N4798" s="2" t="s">
        <v>23782</v>
      </c>
      <c r="O4798" s="2" t="s">
        <v>23783</v>
      </c>
      <c r="P4798" s="2" t="s">
        <v>869</v>
      </c>
    </row>
    <row r="4799" ht="15.75" customHeight="1">
      <c r="H4799" s="2" t="s">
        <v>23784</v>
      </c>
      <c r="I4799" s="2" t="s">
        <v>21658</v>
      </c>
      <c r="J4799" s="2" t="s">
        <v>21659</v>
      </c>
      <c r="K4799" s="2" t="s">
        <v>23785</v>
      </c>
      <c r="L4799" s="2" t="s">
        <v>23005</v>
      </c>
      <c r="M4799" s="2" t="s">
        <v>23786</v>
      </c>
      <c r="N4799" s="2" t="s">
        <v>23787</v>
      </c>
      <c r="O4799" s="2" t="s">
        <v>23788</v>
      </c>
      <c r="P4799" s="2" t="s">
        <v>869</v>
      </c>
    </row>
    <row r="4800" ht="15.75" customHeight="1">
      <c r="H4800" s="2" t="s">
        <v>23789</v>
      </c>
      <c r="I4800" s="2" t="s">
        <v>23790</v>
      </c>
      <c r="J4800" s="2" t="s">
        <v>23791</v>
      </c>
      <c r="K4800" s="2" t="s">
        <v>23792</v>
      </c>
      <c r="L4800" s="2" t="s">
        <v>23005</v>
      </c>
      <c r="M4800" s="2" t="s">
        <v>23793</v>
      </c>
      <c r="N4800" s="2" t="s">
        <v>23794</v>
      </c>
      <c r="O4800" s="2" t="s">
        <v>23795</v>
      </c>
      <c r="P4800" s="2" t="s">
        <v>869</v>
      </c>
    </row>
    <row r="4801" ht="15.75" customHeight="1">
      <c r="H4801" s="2" t="s">
        <v>23796</v>
      </c>
      <c r="I4801" s="2" t="s">
        <v>23797</v>
      </c>
      <c r="J4801" s="2" t="s">
        <v>23798</v>
      </c>
      <c r="K4801" s="2" t="s">
        <v>23799</v>
      </c>
      <c r="L4801" s="2" t="s">
        <v>23005</v>
      </c>
      <c r="M4801" s="2" t="s">
        <v>23800</v>
      </c>
      <c r="N4801" s="2" t="s">
        <v>23801</v>
      </c>
      <c r="O4801" s="2" t="s">
        <v>23802</v>
      </c>
      <c r="P4801" s="2" t="s">
        <v>869</v>
      </c>
    </row>
    <row r="4802" ht="15.75" customHeight="1">
      <c r="H4802" s="2" t="s">
        <v>23803</v>
      </c>
      <c r="I4802" s="2" t="s">
        <v>6436</v>
      </c>
      <c r="J4802" s="2" t="s">
        <v>6437</v>
      </c>
      <c r="K4802" s="2" t="s">
        <v>23804</v>
      </c>
      <c r="L4802" s="2" t="s">
        <v>23005</v>
      </c>
      <c r="M4802" s="2" t="s">
        <v>23805</v>
      </c>
      <c r="N4802" s="2" t="s">
        <v>23806</v>
      </c>
      <c r="O4802" s="2" t="s">
        <v>23807</v>
      </c>
      <c r="P4802" s="2" t="s">
        <v>869</v>
      </c>
    </row>
    <row r="4803" ht="15.75" customHeight="1">
      <c r="H4803" s="2" t="s">
        <v>23808</v>
      </c>
      <c r="I4803" s="2" t="s">
        <v>4814</v>
      </c>
      <c r="J4803" s="2" t="s">
        <v>4815</v>
      </c>
      <c r="K4803" s="2" t="s">
        <v>23809</v>
      </c>
      <c r="L4803" s="2" t="s">
        <v>23005</v>
      </c>
      <c r="M4803" s="2" t="s">
        <v>23810</v>
      </c>
      <c r="N4803" s="2" t="s">
        <v>23811</v>
      </c>
      <c r="O4803" s="2" t="s">
        <v>23812</v>
      </c>
      <c r="P4803" s="2" t="s">
        <v>869</v>
      </c>
    </row>
    <row r="4804" ht="15.75" customHeight="1">
      <c r="H4804" s="2" t="s">
        <v>23813</v>
      </c>
      <c r="I4804" s="2" t="s">
        <v>4819</v>
      </c>
      <c r="J4804" s="2" t="s">
        <v>4820</v>
      </c>
      <c r="K4804" s="2" t="s">
        <v>23814</v>
      </c>
      <c r="L4804" s="2" t="s">
        <v>23005</v>
      </c>
      <c r="M4804" s="2" t="s">
        <v>23815</v>
      </c>
      <c r="N4804" s="2" t="s">
        <v>23816</v>
      </c>
      <c r="O4804" s="2" t="s">
        <v>23817</v>
      </c>
      <c r="P4804" s="2" t="s">
        <v>869</v>
      </c>
    </row>
    <row r="4805" ht="15.75" customHeight="1">
      <c r="H4805" s="2" t="s">
        <v>23818</v>
      </c>
      <c r="I4805" s="2" t="s">
        <v>23819</v>
      </c>
      <c r="J4805" s="2" t="s">
        <v>23820</v>
      </c>
      <c r="K4805" s="2" t="s">
        <v>23821</v>
      </c>
      <c r="L4805" s="2" t="s">
        <v>23005</v>
      </c>
      <c r="M4805" s="2" t="s">
        <v>23822</v>
      </c>
      <c r="N4805" s="2" t="s">
        <v>23823</v>
      </c>
      <c r="O4805" s="2" t="s">
        <v>23824</v>
      </c>
      <c r="P4805" s="2" t="s">
        <v>869</v>
      </c>
    </row>
    <row r="4806" ht="15.75" customHeight="1">
      <c r="F4806" s="2" t="s">
        <v>4825</v>
      </c>
      <c r="H4806" s="2" t="s">
        <v>23825</v>
      </c>
      <c r="I4806" s="2" t="s">
        <v>1215</v>
      </c>
      <c r="J4806" s="2" t="s">
        <v>1216</v>
      </c>
      <c r="K4806" s="2" t="s">
        <v>23826</v>
      </c>
      <c r="L4806" s="2" t="s">
        <v>23005</v>
      </c>
      <c r="M4806" s="2" t="s">
        <v>23827</v>
      </c>
      <c r="N4806" s="2" t="s">
        <v>23828</v>
      </c>
      <c r="O4806" s="2" t="s">
        <v>23829</v>
      </c>
      <c r="P4806" s="2" t="s">
        <v>869</v>
      </c>
    </row>
    <row r="4807" ht="15.75" customHeight="1">
      <c r="F4807" s="2" t="s">
        <v>782</v>
      </c>
      <c r="H4807" s="2" t="s">
        <v>23830</v>
      </c>
      <c r="I4807" s="2" t="s">
        <v>4860</v>
      </c>
      <c r="J4807" s="2" t="s">
        <v>4861</v>
      </c>
      <c r="K4807" s="2" t="s">
        <v>23831</v>
      </c>
      <c r="L4807" s="2" t="s">
        <v>23005</v>
      </c>
      <c r="M4807" s="2" t="s">
        <v>23832</v>
      </c>
      <c r="N4807" s="2" t="s">
        <v>23833</v>
      </c>
      <c r="O4807" s="2" t="s">
        <v>23834</v>
      </c>
      <c r="P4807" s="2" t="s">
        <v>23835</v>
      </c>
    </row>
    <row r="4808" ht="15.75" customHeight="1">
      <c r="H4808" s="2" t="s">
        <v>23836</v>
      </c>
      <c r="I4808" s="2" t="s">
        <v>13459</v>
      </c>
      <c r="J4808" s="2" t="s">
        <v>13460</v>
      </c>
      <c r="K4808" s="2" t="s">
        <v>23837</v>
      </c>
      <c r="L4808" s="2" t="s">
        <v>23005</v>
      </c>
      <c r="M4808" s="2" t="s">
        <v>23838</v>
      </c>
      <c r="N4808" s="2" t="s">
        <v>23839</v>
      </c>
      <c r="O4808" s="2" t="s">
        <v>23840</v>
      </c>
      <c r="P4808" s="2" t="s">
        <v>869</v>
      </c>
    </row>
    <row r="4809" ht="15.75" customHeight="1">
      <c r="H4809" s="2" t="s">
        <v>23841</v>
      </c>
      <c r="I4809" s="2" t="s">
        <v>784</v>
      </c>
      <c r="J4809" s="2" t="s">
        <v>785</v>
      </c>
      <c r="K4809" s="2" t="s">
        <v>23842</v>
      </c>
      <c r="L4809" s="2" t="s">
        <v>23005</v>
      </c>
      <c r="M4809" s="2" t="s">
        <v>23843</v>
      </c>
      <c r="N4809" s="2" t="s">
        <v>23844</v>
      </c>
      <c r="O4809" s="2" t="s">
        <v>23845</v>
      </c>
      <c r="P4809" s="2" t="s">
        <v>869</v>
      </c>
    </row>
    <row r="4810" ht="15.75" customHeight="1">
      <c r="F4810" s="2" t="s">
        <v>791</v>
      </c>
      <c r="H4810" s="2" t="s">
        <v>23846</v>
      </c>
      <c r="I4810" s="2" t="s">
        <v>793</v>
      </c>
      <c r="J4810" s="2" t="s">
        <v>794</v>
      </c>
      <c r="K4810" s="2" t="s">
        <v>23847</v>
      </c>
      <c r="L4810" s="2" t="s">
        <v>23005</v>
      </c>
      <c r="M4810" s="2" t="s">
        <v>23848</v>
      </c>
      <c r="N4810" s="2" t="s">
        <v>23849</v>
      </c>
      <c r="O4810" s="2" t="s">
        <v>23850</v>
      </c>
      <c r="P4810" s="2" t="s">
        <v>23851</v>
      </c>
    </row>
    <row r="4811" ht="15.75" customHeight="1">
      <c r="H4811" s="2" t="s">
        <v>23852</v>
      </c>
      <c r="I4811" s="2" t="s">
        <v>23853</v>
      </c>
      <c r="J4811" s="2" t="s">
        <v>23854</v>
      </c>
      <c r="K4811" s="2" t="s">
        <v>23855</v>
      </c>
      <c r="L4811" s="2" t="s">
        <v>23005</v>
      </c>
      <c r="M4811" s="2" t="s">
        <v>23856</v>
      </c>
      <c r="N4811" s="2" t="s">
        <v>23857</v>
      </c>
      <c r="O4811" s="2" t="s">
        <v>23858</v>
      </c>
      <c r="P4811" s="2" t="s">
        <v>869</v>
      </c>
    </row>
    <row r="4812" ht="15.75" customHeight="1">
      <c r="H4812" s="2" t="s">
        <v>23859</v>
      </c>
      <c r="I4812" s="2" t="s">
        <v>4969</v>
      </c>
      <c r="J4812" s="2" t="s">
        <v>4970</v>
      </c>
      <c r="K4812" s="2" t="s">
        <v>23860</v>
      </c>
      <c r="L4812" s="2" t="s">
        <v>23005</v>
      </c>
      <c r="M4812" s="2" t="s">
        <v>23861</v>
      </c>
      <c r="N4812" s="2" t="s">
        <v>23862</v>
      </c>
      <c r="O4812" s="2" t="s">
        <v>23863</v>
      </c>
      <c r="P4812" s="2" t="s">
        <v>869</v>
      </c>
    </row>
    <row r="4813" ht="15.75" customHeight="1">
      <c r="F4813" s="2" t="s">
        <v>800</v>
      </c>
      <c r="H4813" s="2" t="s">
        <v>23864</v>
      </c>
      <c r="I4813" s="2" t="s">
        <v>4994</v>
      </c>
      <c r="J4813" s="2" t="s">
        <v>4995</v>
      </c>
      <c r="K4813" s="2" t="s">
        <v>23865</v>
      </c>
      <c r="L4813" s="2" t="s">
        <v>23005</v>
      </c>
      <c r="M4813" s="2" t="s">
        <v>23866</v>
      </c>
      <c r="N4813" s="2" t="s">
        <v>23867</v>
      </c>
      <c r="O4813" s="2" t="s">
        <v>23868</v>
      </c>
      <c r="P4813" s="2" t="s">
        <v>23869</v>
      </c>
    </row>
    <row r="4814" ht="15.75" customHeight="1">
      <c r="H4814" s="2" t="s">
        <v>23870</v>
      </c>
      <c r="I4814" s="2" t="s">
        <v>11561</v>
      </c>
      <c r="J4814" s="2" t="s">
        <v>11562</v>
      </c>
      <c r="K4814" s="2" t="s">
        <v>23871</v>
      </c>
      <c r="L4814" s="2" t="s">
        <v>23005</v>
      </c>
      <c r="M4814" s="2" t="s">
        <v>23872</v>
      </c>
      <c r="N4814" s="2" t="s">
        <v>23873</v>
      </c>
      <c r="O4814" s="2" t="s">
        <v>23874</v>
      </c>
      <c r="P4814" s="2" t="s">
        <v>869</v>
      </c>
    </row>
    <row r="4815" ht="15.75" customHeight="1">
      <c r="H4815" s="2" t="s">
        <v>23875</v>
      </c>
      <c r="I4815" s="2" t="s">
        <v>5027</v>
      </c>
      <c r="J4815" s="2" t="s">
        <v>5028</v>
      </c>
      <c r="K4815" s="2" t="s">
        <v>23876</v>
      </c>
      <c r="L4815" s="2" t="s">
        <v>23005</v>
      </c>
      <c r="M4815" s="2" t="s">
        <v>23877</v>
      </c>
      <c r="N4815" s="2" t="s">
        <v>23878</v>
      </c>
      <c r="O4815" s="2" t="s">
        <v>23879</v>
      </c>
      <c r="P4815" s="2" t="s">
        <v>869</v>
      </c>
    </row>
    <row r="4816" ht="15.75" customHeight="1">
      <c r="H4816" s="2" t="s">
        <v>23880</v>
      </c>
      <c r="I4816" s="2" t="s">
        <v>5047</v>
      </c>
      <c r="J4816" s="2" t="s">
        <v>5048</v>
      </c>
      <c r="K4816" s="2" t="s">
        <v>23881</v>
      </c>
      <c r="L4816" s="2" t="s">
        <v>23005</v>
      </c>
      <c r="M4816" s="2" t="s">
        <v>23882</v>
      </c>
      <c r="N4816" s="2" t="s">
        <v>23883</v>
      </c>
      <c r="O4816" s="2" t="s">
        <v>23884</v>
      </c>
      <c r="P4816" s="2" t="s">
        <v>869</v>
      </c>
    </row>
    <row r="4817" ht="15.75" customHeight="1">
      <c r="H4817" s="2" t="s">
        <v>23885</v>
      </c>
      <c r="I4817" s="2" t="s">
        <v>2262</v>
      </c>
      <c r="J4817" s="2" t="s">
        <v>2263</v>
      </c>
      <c r="K4817" s="2" t="s">
        <v>23886</v>
      </c>
      <c r="L4817" s="2" t="s">
        <v>23005</v>
      </c>
      <c r="M4817" s="2" t="s">
        <v>23887</v>
      </c>
      <c r="N4817" s="2" t="s">
        <v>23888</v>
      </c>
      <c r="O4817" s="2" t="s">
        <v>23889</v>
      </c>
      <c r="P4817" s="2" t="s">
        <v>869</v>
      </c>
    </row>
    <row r="4818" ht="15.75" customHeight="1">
      <c r="H4818" s="2" t="s">
        <v>23890</v>
      </c>
      <c r="I4818" s="2" t="s">
        <v>21831</v>
      </c>
      <c r="J4818" s="2" t="s">
        <v>21832</v>
      </c>
      <c r="K4818" s="2" t="s">
        <v>23891</v>
      </c>
      <c r="L4818" s="2" t="s">
        <v>23005</v>
      </c>
      <c r="M4818" s="2" t="s">
        <v>23892</v>
      </c>
      <c r="N4818" s="2" t="s">
        <v>23893</v>
      </c>
      <c r="O4818" s="2" t="s">
        <v>23894</v>
      </c>
      <c r="P4818" s="2" t="s">
        <v>869</v>
      </c>
    </row>
    <row r="4819" ht="15.75" customHeight="1">
      <c r="H4819" s="2" t="s">
        <v>23895</v>
      </c>
      <c r="I4819" s="2" t="s">
        <v>23896</v>
      </c>
      <c r="J4819" s="2" t="s">
        <v>23897</v>
      </c>
      <c r="K4819" s="2" t="s">
        <v>23898</v>
      </c>
      <c r="L4819" s="2" t="s">
        <v>23005</v>
      </c>
      <c r="M4819" s="2" t="s">
        <v>23899</v>
      </c>
      <c r="N4819" s="2" t="s">
        <v>23900</v>
      </c>
      <c r="O4819" s="2" t="s">
        <v>23901</v>
      </c>
      <c r="P4819" s="2" t="s">
        <v>869</v>
      </c>
    </row>
    <row r="4820" ht="15.75" customHeight="1">
      <c r="H4820" s="2" t="s">
        <v>23902</v>
      </c>
      <c r="I4820" s="2" t="s">
        <v>16470</v>
      </c>
      <c r="J4820" s="2" t="s">
        <v>16471</v>
      </c>
      <c r="K4820" s="2" t="s">
        <v>23903</v>
      </c>
      <c r="L4820" s="2" t="s">
        <v>23005</v>
      </c>
      <c r="M4820" s="2" t="s">
        <v>23904</v>
      </c>
      <c r="N4820" s="2" t="s">
        <v>23905</v>
      </c>
      <c r="O4820" s="2" t="s">
        <v>23906</v>
      </c>
      <c r="P4820" s="2" t="s">
        <v>869</v>
      </c>
    </row>
    <row r="4821" ht="15.75" customHeight="1">
      <c r="H4821" s="2" t="s">
        <v>23907</v>
      </c>
      <c r="I4821" s="2" t="s">
        <v>5986</v>
      </c>
      <c r="J4821" s="2" t="s">
        <v>5987</v>
      </c>
      <c r="K4821" s="2" t="s">
        <v>23908</v>
      </c>
      <c r="L4821" s="2" t="s">
        <v>23005</v>
      </c>
      <c r="M4821" s="2" t="s">
        <v>23909</v>
      </c>
      <c r="N4821" s="2" t="s">
        <v>23910</v>
      </c>
      <c r="O4821" s="2" t="s">
        <v>23911</v>
      </c>
      <c r="P4821" s="2" t="s">
        <v>869</v>
      </c>
    </row>
    <row r="4822" ht="15.75" customHeight="1">
      <c r="H4822" s="2" t="s">
        <v>23912</v>
      </c>
      <c r="I4822" s="2" t="s">
        <v>827</v>
      </c>
      <c r="J4822" s="2" t="s">
        <v>828</v>
      </c>
      <c r="K4822" s="2" t="s">
        <v>23913</v>
      </c>
      <c r="L4822" s="2" t="s">
        <v>23005</v>
      </c>
      <c r="M4822" s="2" t="s">
        <v>23914</v>
      </c>
      <c r="N4822" s="2" t="s">
        <v>23915</v>
      </c>
      <c r="O4822" s="2" t="s">
        <v>23916</v>
      </c>
      <c r="P4822" s="2" t="s">
        <v>869</v>
      </c>
    </row>
    <row r="4823" ht="15.75" customHeight="1">
      <c r="H4823" s="2" t="s">
        <v>23917</v>
      </c>
      <c r="I4823" s="2" t="s">
        <v>5140</v>
      </c>
      <c r="J4823" s="2" t="s">
        <v>5141</v>
      </c>
      <c r="K4823" s="2" t="s">
        <v>23918</v>
      </c>
      <c r="L4823" s="2" t="s">
        <v>23005</v>
      </c>
      <c r="M4823" s="2" t="s">
        <v>23919</v>
      </c>
      <c r="N4823" s="2" t="s">
        <v>23920</v>
      </c>
      <c r="O4823" s="2" t="s">
        <v>23921</v>
      </c>
      <c r="P4823" s="2" t="s">
        <v>869</v>
      </c>
    </row>
    <row r="4824" ht="15.75" customHeight="1">
      <c r="F4824" s="2" t="s">
        <v>843</v>
      </c>
      <c r="H4824" s="2" t="s">
        <v>23922</v>
      </c>
      <c r="I4824" s="2" t="s">
        <v>4127</v>
      </c>
      <c r="J4824" s="2" t="s">
        <v>4128</v>
      </c>
      <c r="K4824" s="2" t="s">
        <v>23923</v>
      </c>
      <c r="L4824" s="2" t="s">
        <v>23005</v>
      </c>
      <c r="M4824" s="2" t="s">
        <v>23924</v>
      </c>
      <c r="N4824" s="2" t="s">
        <v>23925</v>
      </c>
      <c r="O4824" s="2" t="s">
        <v>23926</v>
      </c>
      <c r="P4824" s="2" t="s">
        <v>869</v>
      </c>
    </row>
    <row r="4825" ht="15.75" customHeight="1">
      <c r="H4825" s="2" t="s">
        <v>23927</v>
      </c>
      <c r="I4825" s="2" t="s">
        <v>11813</v>
      </c>
      <c r="J4825" s="2" t="s">
        <v>11814</v>
      </c>
      <c r="K4825" s="2" t="s">
        <v>23928</v>
      </c>
      <c r="L4825" s="2" t="s">
        <v>23005</v>
      </c>
      <c r="M4825" s="2" t="s">
        <v>23929</v>
      </c>
      <c r="N4825" s="2" t="s">
        <v>23930</v>
      </c>
      <c r="O4825" s="2" t="s">
        <v>23931</v>
      </c>
      <c r="P4825" s="2" t="s">
        <v>869</v>
      </c>
    </row>
    <row r="4826" ht="15.75" customHeight="1">
      <c r="H4826" s="2" t="s">
        <v>23932</v>
      </c>
      <c r="I4826" s="2" t="s">
        <v>5202</v>
      </c>
      <c r="J4826" s="2" t="s">
        <v>5203</v>
      </c>
      <c r="K4826" s="2" t="s">
        <v>23933</v>
      </c>
      <c r="L4826" s="2" t="s">
        <v>23005</v>
      </c>
      <c r="M4826" s="2" t="s">
        <v>23934</v>
      </c>
      <c r="N4826" s="2" t="s">
        <v>23935</v>
      </c>
      <c r="O4826" s="2" t="s">
        <v>23936</v>
      </c>
      <c r="P4826" s="2" t="s">
        <v>869</v>
      </c>
    </row>
    <row r="4827" ht="15.75" customHeight="1">
      <c r="H4827" s="2" t="s">
        <v>23937</v>
      </c>
      <c r="I4827" s="2" t="s">
        <v>1167</v>
      </c>
      <c r="J4827" s="2" t="s">
        <v>1168</v>
      </c>
      <c r="K4827" s="2" t="s">
        <v>23938</v>
      </c>
      <c r="L4827" s="2" t="s">
        <v>23005</v>
      </c>
      <c r="M4827" s="2" t="s">
        <v>23939</v>
      </c>
      <c r="N4827" s="2" t="s">
        <v>23940</v>
      </c>
      <c r="O4827" s="2" t="s">
        <v>23941</v>
      </c>
      <c r="P4827" s="2" t="s">
        <v>869</v>
      </c>
    </row>
    <row r="4828" ht="15.75" customHeight="1">
      <c r="H4828" s="2" t="s">
        <v>23942</v>
      </c>
      <c r="I4828" s="2" t="s">
        <v>23943</v>
      </c>
      <c r="J4828" s="2" t="s">
        <v>23944</v>
      </c>
      <c r="K4828" s="2" t="s">
        <v>23945</v>
      </c>
      <c r="L4828" s="2" t="s">
        <v>23005</v>
      </c>
      <c r="M4828" s="2" t="s">
        <v>23946</v>
      </c>
      <c r="N4828" s="2" t="s">
        <v>23947</v>
      </c>
      <c r="O4828" s="2" t="s">
        <v>23948</v>
      </c>
      <c r="P4828" s="2" t="s">
        <v>869</v>
      </c>
    </row>
    <row r="4829" ht="15.75" customHeight="1">
      <c r="H4829" s="2" t="s">
        <v>23949</v>
      </c>
      <c r="I4829" s="2" t="s">
        <v>845</v>
      </c>
      <c r="J4829" s="2" t="s">
        <v>846</v>
      </c>
      <c r="K4829" s="2" t="s">
        <v>23950</v>
      </c>
      <c r="L4829" s="2" t="s">
        <v>23005</v>
      </c>
      <c r="M4829" s="2" t="s">
        <v>23951</v>
      </c>
      <c r="N4829" s="2" t="s">
        <v>23952</v>
      </c>
      <c r="O4829" s="2" t="s">
        <v>23953</v>
      </c>
      <c r="P4829" s="2" t="s">
        <v>869</v>
      </c>
    </row>
    <row r="4830" ht="15.75" customHeight="1">
      <c r="F4830" s="2" t="s">
        <v>5257</v>
      </c>
      <c r="H4830" s="2" t="s">
        <v>23954</v>
      </c>
      <c r="I4830" s="2" t="s">
        <v>5272</v>
      </c>
      <c r="J4830" s="2" t="s">
        <v>5273</v>
      </c>
      <c r="K4830" s="2" t="s">
        <v>23955</v>
      </c>
      <c r="L4830" s="2" t="s">
        <v>23005</v>
      </c>
      <c r="M4830" s="2" t="s">
        <v>23956</v>
      </c>
      <c r="N4830" s="2" t="s">
        <v>23957</v>
      </c>
      <c r="O4830" s="2" t="s">
        <v>23958</v>
      </c>
      <c r="P4830" s="2" t="s">
        <v>869</v>
      </c>
    </row>
    <row r="4831" ht="15.75" customHeight="1">
      <c r="B4831" s="2" t="s">
        <v>23959</v>
      </c>
      <c r="C4831" s="2" t="s">
        <v>16586</v>
      </c>
      <c r="D4831" s="2" t="s">
        <v>23960</v>
      </c>
      <c r="F4831" s="2" t="s">
        <v>74</v>
      </c>
      <c r="H4831" s="2" t="s">
        <v>23961</v>
      </c>
      <c r="I4831" s="2" t="s">
        <v>15722</v>
      </c>
      <c r="J4831" s="2" t="s">
        <v>15723</v>
      </c>
      <c r="K4831" s="2" t="s">
        <v>23962</v>
      </c>
      <c r="L4831" s="2" t="s">
        <v>23963</v>
      </c>
      <c r="M4831" s="2" t="s">
        <v>23964</v>
      </c>
      <c r="N4831" s="2" t="s">
        <v>23965</v>
      </c>
      <c r="O4831" s="2" t="s">
        <v>23966</v>
      </c>
      <c r="P4831" s="2" t="s">
        <v>23967</v>
      </c>
    </row>
    <row r="4832" ht="15.75" customHeight="1">
      <c r="F4832" s="2" t="s">
        <v>284</v>
      </c>
      <c r="H4832" s="2" t="s">
        <v>23968</v>
      </c>
      <c r="I4832" s="2" t="s">
        <v>326</v>
      </c>
      <c r="J4832" s="2" t="s">
        <v>327</v>
      </c>
      <c r="K4832" s="2" t="s">
        <v>23969</v>
      </c>
      <c r="L4832" s="2" t="s">
        <v>23963</v>
      </c>
      <c r="M4832" s="2" t="s">
        <v>23970</v>
      </c>
      <c r="N4832" s="2" t="s">
        <v>23971</v>
      </c>
      <c r="O4832" s="2" t="s">
        <v>23972</v>
      </c>
      <c r="P4832" s="2" t="s">
        <v>23973</v>
      </c>
    </row>
    <row r="4833" ht="15.75" customHeight="1">
      <c r="H4833" s="2" t="s">
        <v>23974</v>
      </c>
      <c r="I4833" s="2" t="s">
        <v>449</v>
      </c>
      <c r="J4833" s="2" t="s">
        <v>450</v>
      </c>
      <c r="K4833" s="2" t="s">
        <v>23975</v>
      </c>
      <c r="L4833" s="2" t="s">
        <v>23963</v>
      </c>
      <c r="M4833" s="2" t="s">
        <v>23976</v>
      </c>
      <c r="N4833" s="2" t="s">
        <v>23977</v>
      </c>
      <c r="O4833" s="2" t="s">
        <v>23978</v>
      </c>
      <c r="P4833" s="2" t="s">
        <v>23979</v>
      </c>
    </row>
    <row r="4834" ht="15.75" customHeight="1">
      <c r="F4834" s="2" t="s">
        <v>534</v>
      </c>
      <c r="H4834" s="2" t="s">
        <v>23980</v>
      </c>
      <c r="I4834" s="2" t="s">
        <v>536</v>
      </c>
      <c r="J4834" s="2" t="s">
        <v>537</v>
      </c>
      <c r="K4834" s="2" t="s">
        <v>538</v>
      </c>
    </row>
    <row r="4835" ht="15.75" customHeight="1">
      <c r="F4835" s="2" t="s">
        <v>800</v>
      </c>
      <c r="H4835" s="2" t="s">
        <v>23981</v>
      </c>
      <c r="I4835" s="2" t="s">
        <v>5986</v>
      </c>
      <c r="J4835" s="2" t="s">
        <v>5987</v>
      </c>
      <c r="K4835" s="2" t="s">
        <v>23982</v>
      </c>
      <c r="L4835" s="2" t="s">
        <v>23963</v>
      </c>
      <c r="M4835" s="2" t="s">
        <v>23983</v>
      </c>
      <c r="N4835" s="2" t="s">
        <v>23984</v>
      </c>
      <c r="O4835" s="2" t="s">
        <v>23985</v>
      </c>
      <c r="P4835" s="2" t="s">
        <v>23986</v>
      </c>
    </row>
    <row r="4836" ht="15.75" customHeight="1">
      <c r="B4836" s="2" t="s">
        <v>23987</v>
      </c>
      <c r="C4836" s="2" t="s">
        <v>1151</v>
      </c>
      <c r="D4836" s="2" t="s">
        <v>23988</v>
      </c>
    </row>
    <row r="4837" ht="15.75" customHeight="1">
      <c r="B4837" s="2" t="s">
        <v>23989</v>
      </c>
      <c r="C4837" s="2" t="s">
        <v>22033</v>
      </c>
      <c r="D4837" s="2" t="s">
        <v>23990</v>
      </c>
      <c r="F4837" s="2" t="s">
        <v>29</v>
      </c>
      <c r="H4837" s="2" t="s">
        <v>23991</v>
      </c>
      <c r="I4837" s="2" t="s">
        <v>31</v>
      </c>
      <c r="J4837" s="2" t="s">
        <v>32</v>
      </c>
      <c r="K4837" s="2" t="s">
        <v>6000</v>
      </c>
      <c r="L4837" s="2" t="s">
        <v>23992</v>
      </c>
      <c r="M4837" s="2" t="s">
        <v>23993</v>
      </c>
      <c r="N4837" s="2" t="s">
        <v>23994</v>
      </c>
      <c r="O4837" s="2" t="s">
        <v>869</v>
      </c>
      <c r="P4837" s="2" t="s">
        <v>870</v>
      </c>
    </row>
    <row r="4838" ht="15.75" customHeight="1">
      <c r="F4838" s="2" t="s">
        <v>74</v>
      </c>
      <c r="H4838" s="2" t="s">
        <v>23995</v>
      </c>
      <c r="I4838" s="2" t="s">
        <v>15722</v>
      </c>
      <c r="J4838" s="2" t="s">
        <v>15723</v>
      </c>
      <c r="K4838" s="2" t="s">
        <v>15819</v>
      </c>
      <c r="L4838" s="2" t="s">
        <v>23992</v>
      </c>
      <c r="M4838" s="2" t="s">
        <v>23996</v>
      </c>
      <c r="N4838" s="2" t="s">
        <v>23997</v>
      </c>
      <c r="O4838" s="2" t="s">
        <v>23998</v>
      </c>
      <c r="P4838" s="2" t="s">
        <v>869</v>
      </c>
    </row>
    <row r="4839" ht="15.75" customHeight="1">
      <c r="F4839" s="2" t="s">
        <v>284</v>
      </c>
      <c r="H4839" s="2" t="s">
        <v>23999</v>
      </c>
      <c r="I4839" s="2" t="s">
        <v>6023</v>
      </c>
      <c r="J4839" s="2" t="s">
        <v>6024</v>
      </c>
      <c r="K4839" s="2" t="s">
        <v>6025</v>
      </c>
      <c r="L4839" s="2" t="s">
        <v>23992</v>
      </c>
      <c r="M4839" s="2" t="s">
        <v>24000</v>
      </c>
      <c r="N4839" s="2" t="s">
        <v>24001</v>
      </c>
      <c r="O4839" s="2" t="s">
        <v>869</v>
      </c>
      <c r="P4839" s="2" t="s">
        <v>870</v>
      </c>
    </row>
    <row r="4840" ht="15.75" customHeight="1">
      <c r="H4840" s="2" t="s">
        <v>24002</v>
      </c>
      <c r="I4840" s="2" t="s">
        <v>326</v>
      </c>
      <c r="J4840" s="2" t="s">
        <v>327</v>
      </c>
      <c r="K4840" s="2" t="s">
        <v>1331</v>
      </c>
    </row>
    <row r="4841" ht="15.75" customHeight="1">
      <c r="H4841" s="2" t="s">
        <v>24003</v>
      </c>
      <c r="I4841" s="2" t="s">
        <v>376</v>
      </c>
      <c r="J4841" s="2" t="s">
        <v>377</v>
      </c>
      <c r="K4841" s="2" t="s">
        <v>24004</v>
      </c>
      <c r="L4841" s="2" t="s">
        <v>23992</v>
      </c>
      <c r="M4841" s="2" t="s">
        <v>24005</v>
      </c>
      <c r="N4841" s="2" t="s">
        <v>24006</v>
      </c>
      <c r="O4841" s="2" t="s">
        <v>869</v>
      </c>
      <c r="P4841" s="2" t="s">
        <v>870</v>
      </c>
    </row>
    <row r="4842" ht="15.75" customHeight="1">
      <c r="H4842" s="2" t="s">
        <v>24007</v>
      </c>
      <c r="I4842" s="2" t="s">
        <v>485</v>
      </c>
      <c r="J4842" s="2" t="s">
        <v>486</v>
      </c>
      <c r="K4842" s="2" t="s">
        <v>22069</v>
      </c>
      <c r="L4842" s="2" t="s">
        <v>23992</v>
      </c>
      <c r="M4842" s="2" t="s">
        <v>24008</v>
      </c>
      <c r="N4842" s="2" t="s">
        <v>24009</v>
      </c>
      <c r="O4842" s="2" t="s">
        <v>24010</v>
      </c>
      <c r="P4842" s="2" t="s">
        <v>869</v>
      </c>
    </row>
    <row r="4843" ht="15.75" customHeight="1">
      <c r="F4843" s="2" t="s">
        <v>556</v>
      </c>
      <c r="H4843" s="2" t="s">
        <v>24011</v>
      </c>
      <c r="I4843" s="2" t="s">
        <v>24012</v>
      </c>
      <c r="J4843" s="2" t="s">
        <v>24013</v>
      </c>
      <c r="K4843" s="2" t="s">
        <v>24014</v>
      </c>
      <c r="L4843" s="2" t="s">
        <v>23992</v>
      </c>
      <c r="M4843" s="2" t="s">
        <v>24015</v>
      </c>
      <c r="N4843" s="2" t="s">
        <v>24016</v>
      </c>
      <c r="O4843" s="2" t="s">
        <v>869</v>
      </c>
      <c r="P4843" s="2" t="s">
        <v>870</v>
      </c>
    </row>
    <row r="4844" ht="15.75" customHeight="1">
      <c r="F4844" s="2" t="s">
        <v>800</v>
      </c>
      <c r="H4844" s="2" t="s">
        <v>24017</v>
      </c>
      <c r="I4844" s="2" t="s">
        <v>24018</v>
      </c>
      <c r="J4844" s="2" t="s">
        <v>24019</v>
      </c>
      <c r="K4844" s="2" t="s">
        <v>6058</v>
      </c>
      <c r="L4844" s="2" t="s">
        <v>23992</v>
      </c>
      <c r="M4844" s="2" t="s">
        <v>24020</v>
      </c>
      <c r="N4844" s="2" t="s">
        <v>24021</v>
      </c>
      <c r="O4844" s="2" t="s">
        <v>869</v>
      </c>
      <c r="P4844" s="2" t="s">
        <v>870</v>
      </c>
    </row>
    <row r="4845" ht="15.75" customHeight="1">
      <c r="H4845" s="2" t="s">
        <v>24022</v>
      </c>
      <c r="I4845" s="2" t="s">
        <v>5986</v>
      </c>
      <c r="J4845" s="2" t="s">
        <v>5987</v>
      </c>
      <c r="K4845" s="2" t="s">
        <v>24023</v>
      </c>
      <c r="L4845" s="2" t="s">
        <v>23992</v>
      </c>
      <c r="M4845" s="2" t="s">
        <v>24024</v>
      </c>
      <c r="N4845" s="2" t="s">
        <v>24025</v>
      </c>
      <c r="O4845" s="2" t="s">
        <v>24026</v>
      </c>
      <c r="P4845" s="2" t="s">
        <v>869</v>
      </c>
    </row>
    <row r="4846" ht="15.75" customHeight="1">
      <c r="B4846" s="2" t="s">
        <v>24027</v>
      </c>
      <c r="C4846" s="2" t="s">
        <v>22033</v>
      </c>
      <c r="D4846" s="2" t="s">
        <v>24028</v>
      </c>
      <c r="F4846" s="2" t="s">
        <v>19</v>
      </c>
      <c r="H4846" s="2" t="s">
        <v>24029</v>
      </c>
      <c r="I4846" s="2" t="s">
        <v>21</v>
      </c>
      <c r="J4846" s="2" t="s">
        <v>22</v>
      </c>
      <c r="K4846" s="2" t="s">
        <v>5995</v>
      </c>
      <c r="L4846" s="2" t="s">
        <v>24030</v>
      </c>
      <c r="M4846" s="2" t="s">
        <v>24031</v>
      </c>
      <c r="N4846" s="2" t="s">
        <v>24032</v>
      </c>
      <c r="O4846" s="2" t="s">
        <v>24033</v>
      </c>
      <c r="P4846" s="2" t="s">
        <v>869</v>
      </c>
    </row>
    <row r="4847" ht="15.75" customHeight="1">
      <c r="F4847" s="2" t="s">
        <v>74</v>
      </c>
      <c r="H4847" s="2" t="s">
        <v>24034</v>
      </c>
      <c r="I4847" s="2" t="s">
        <v>76</v>
      </c>
      <c r="J4847" s="2" t="s">
        <v>77</v>
      </c>
      <c r="K4847" s="2" t="s">
        <v>15779</v>
      </c>
      <c r="L4847" s="2" t="s">
        <v>24030</v>
      </c>
      <c r="M4847" s="2" t="s">
        <v>24035</v>
      </c>
      <c r="N4847" s="2" t="s">
        <v>24036</v>
      </c>
      <c r="O4847" s="2" t="s">
        <v>24037</v>
      </c>
      <c r="P4847" s="2" t="s">
        <v>24038</v>
      </c>
    </row>
    <row r="4848" ht="15.75" customHeight="1">
      <c r="H4848" s="2" t="s">
        <v>24039</v>
      </c>
      <c r="I4848" s="2" t="s">
        <v>5346</v>
      </c>
      <c r="J4848" s="2" t="s">
        <v>5347</v>
      </c>
      <c r="K4848" s="2" t="s">
        <v>24040</v>
      </c>
      <c r="L4848" s="2" t="s">
        <v>24030</v>
      </c>
      <c r="M4848" s="2" t="s">
        <v>24041</v>
      </c>
      <c r="N4848" s="2" t="s">
        <v>24042</v>
      </c>
      <c r="O4848" s="2" t="s">
        <v>24043</v>
      </c>
      <c r="P4848" s="2" t="s">
        <v>869</v>
      </c>
    </row>
    <row r="4849" ht="15.75" customHeight="1">
      <c r="F4849" s="2" t="s">
        <v>284</v>
      </c>
      <c r="H4849" s="2" t="s">
        <v>24044</v>
      </c>
      <c r="I4849" s="2" t="s">
        <v>18041</v>
      </c>
      <c r="J4849" s="2" t="s">
        <v>18042</v>
      </c>
      <c r="K4849" s="2" t="s">
        <v>15779</v>
      </c>
      <c r="L4849" s="2" t="s">
        <v>24030</v>
      </c>
      <c r="M4849" s="2" t="s">
        <v>24045</v>
      </c>
      <c r="N4849" s="2" t="s">
        <v>24046</v>
      </c>
      <c r="O4849" s="2" t="s">
        <v>24047</v>
      </c>
      <c r="P4849" s="2" t="s">
        <v>869</v>
      </c>
    </row>
    <row r="4850" ht="15.75" customHeight="1">
      <c r="H4850" s="2" t="s">
        <v>24048</v>
      </c>
      <c r="I4850" s="2" t="s">
        <v>286</v>
      </c>
      <c r="J4850" s="2" t="s">
        <v>287</v>
      </c>
      <c r="K4850" s="2" t="s">
        <v>15801</v>
      </c>
      <c r="L4850" s="2" t="s">
        <v>24030</v>
      </c>
      <c r="M4850" s="2" t="s">
        <v>24049</v>
      </c>
      <c r="N4850" s="2" t="s">
        <v>24050</v>
      </c>
      <c r="O4850" s="2" t="s">
        <v>24051</v>
      </c>
      <c r="P4850" s="2" t="s">
        <v>24052</v>
      </c>
    </row>
    <row r="4851" ht="15.75" customHeight="1">
      <c r="H4851" s="2" t="s">
        <v>24053</v>
      </c>
      <c r="I4851" s="2" t="s">
        <v>310</v>
      </c>
      <c r="J4851" s="2" t="s">
        <v>311</v>
      </c>
      <c r="K4851" s="2" t="s">
        <v>15809</v>
      </c>
      <c r="L4851" s="2" t="s">
        <v>24030</v>
      </c>
      <c r="M4851" s="2" t="s">
        <v>24054</v>
      </c>
      <c r="N4851" s="2" t="s">
        <v>24055</v>
      </c>
      <c r="O4851" s="2" t="s">
        <v>24056</v>
      </c>
      <c r="P4851" s="2" t="s">
        <v>869</v>
      </c>
    </row>
    <row r="4852" ht="15.75" customHeight="1">
      <c r="H4852" s="2" t="s">
        <v>24057</v>
      </c>
      <c r="I4852" s="2" t="s">
        <v>326</v>
      </c>
      <c r="J4852" s="2" t="s">
        <v>327</v>
      </c>
      <c r="K4852" s="2" t="s">
        <v>6068</v>
      </c>
      <c r="L4852" s="2" t="s">
        <v>24030</v>
      </c>
      <c r="M4852" s="2" t="s">
        <v>24058</v>
      </c>
      <c r="N4852" s="2" t="s">
        <v>24059</v>
      </c>
      <c r="O4852" s="2" t="s">
        <v>24060</v>
      </c>
      <c r="P4852" s="2" t="s">
        <v>24061</v>
      </c>
    </row>
    <row r="4853" ht="15.75" customHeight="1">
      <c r="H4853" s="2" t="s">
        <v>24062</v>
      </c>
      <c r="I4853" s="2" t="s">
        <v>5436</v>
      </c>
      <c r="J4853" s="2" t="s">
        <v>5437</v>
      </c>
      <c r="K4853" s="2" t="s">
        <v>24063</v>
      </c>
      <c r="L4853" s="2" t="s">
        <v>24030</v>
      </c>
      <c r="M4853" s="2" t="s">
        <v>24064</v>
      </c>
      <c r="N4853" s="2" t="s">
        <v>24065</v>
      </c>
      <c r="O4853" s="2" t="s">
        <v>24066</v>
      </c>
      <c r="P4853" s="2" t="s">
        <v>24067</v>
      </c>
    </row>
    <row r="4854" ht="15.75" customHeight="1">
      <c r="H4854" s="2" t="s">
        <v>24068</v>
      </c>
      <c r="I4854" s="2" t="s">
        <v>1317</v>
      </c>
      <c r="J4854" s="2" t="s">
        <v>1318</v>
      </c>
      <c r="K4854" s="2" t="s">
        <v>24069</v>
      </c>
      <c r="L4854" s="2" t="s">
        <v>24030</v>
      </c>
      <c r="M4854" s="2" t="s">
        <v>24070</v>
      </c>
      <c r="N4854" s="2" t="s">
        <v>24071</v>
      </c>
      <c r="O4854" s="2" t="s">
        <v>24072</v>
      </c>
      <c r="P4854" s="2" t="s">
        <v>869</v>
      </c>
    </row>
    <row r="4855" ht="15.75" customHeight="1">
      <c r="H4855" s="2" t="s">
        <v>24073</v>
      </c>
      <c r="I4855" s="2" t="s">
        <v>485</v>
      </c>
      <c r="J4855" s="2" t="s">
        <v>486</v>
      </c>
      <c r="K4855" s="2" t="s">
        <v>15792</v>
      </c>
      <c r="L4855" s="2" t="s">
        <v>24030</v>
      </c>
      <c r="M4855" s="2" t="s">
        <v>24074</v>
      </c>
      <c r="N4855" s="2" t="s">
        <v>24075</v>
      </c>
      <c r="O4855" s="2" t="s">
        <v>24076</v>
      </c>
      <c r="P4855" s="2" t="s">
        <v>24077</v>
      </c>
    </row>
    <row r="4856" ht="15.75" customHeight="1">
      <c r="H4856" s="2" t="s">
        <v>24078</v>
      </c>
      <c r="I4856" s="2" t="s">
        <v>5550</v>
      </c>
      <c r="J4856" s="2" t="s">
        <v>5551</v>
      </c>
      <c r="K4856" s="2" t="s">
        <v>24079</v>
      </c>
      <c r="L4856" s="2" t="s">
        <v>24030</v>
      </c>
      <c r="M4856" s="2" t="s">
        <v>24080</v>
      </c>
      <c r="N4856" s="2" t="s">
        <v>24081</v>
      </c>
      <c r="O4856" s="2" t="s">
        <v>24082</v>
      </c>
      <c r="P4856" s="2" t="s">
        <v>869</v>
      </c>
    </row>
    <row r="4857" ht="15.75" customHeight="1">
      <c r="H4857" s="2" t="s">
        <v>24083</v>
      </c>
      <c r="I4857" s="2" t="s">
        <v>526</v>
      </c>
      <c r="J4857" s="2" t="s">
        <v>527</v>
      </c>
      <c r="K4857" s="2" t="s">
        <v>24084</v>
      </c>
      <c r="L4857" s="2" t="s">
        <v>24030</v>
      </c>
      <c r="M4857" s="2" t="s">
        <v>24085</v>
      </c>
      <c r="N4857" s="2" t="s">
        <v>24086</v>
      </c>
      <c r="O4857" s="2" t="s">
        <v>24087</v>
      </c>
      <c r="P4857" s="2" t="s">
        <v>24088</v>
      </c>
    </row>
    <row r="4858" ht="15.75" customHeight="1">
      <c r="H4858" s="2" t="s">
        <v>24089</v>
      </c>
      <c r="I4858" s="2" t="s">
        <v>15509</v>
      </c>
      <c r="J4858" s="2" t="s">
        <v>15510</v>
      </c>
      <c r="K4858" s="2" t="s">
        <v>24090</v>
      </c>
      <c r="L4858" s="2" t="s">
        <v>24030</v>
      </c>
      <c r="M4858" s="2" t="s">
        <v>24091</v>
      </c>
      <c r="N4858" s="2" t="s">
        <v>24092</v>
      </c>
      <c r="O4858" s="2" t="s">
        <v>24093</v>
      </c>
      <c r="P4858" s="2" t="s">
        <v>869</v>
      </c>
    </row>
    <row r="4859" ht="15.75" customHeight="1">
      <c r="F4859" s="2" t="s">
        <v>556</v>
      </c>
      <c r="H4859" s="2" t="s">
        <v>24094</v>
      </c>
      <c r="I4859" s="2" t="s">
        <v>24095</v>
      </c>
      <c r="J4859" s="2" t="s">
        <v>24096</v>
      </c>
      <c r="K4859" s="2" t="s">
        <v>6025</v>
      </c>
      <c r="L4859" s="2" t="s">
        <v>24030</v>
      </c>
      <c r="M4859" s="2" t="s">
        <v>24097</v>
      </c>
      <c r="N4859" s="2" t="s">
        <v>24098</v>
      </c>
      <c r="O4859" s="2" t="s">
        <v>24099</v>
      </c>
      <c r="P4859" s="2" t="s">
        <v>24100</v>
      </c>
    </row>
    <row r="4860" ht="15.75" customHeight="1">
      <c r="H4860" s="2" t="s">
        <v>24101</v>
      </c>
      <c r="I4860" s="2" t="s">
        <v>12033</v>
      </c>
      <c r="J4860" s="2" t="s">
        <v>12034</v>
      </c>
      <c r="K4860" s="2" t="s">
        <v>24102</v>
      </c>
      <c r="L4860" s="2" t="s">
        <v>24030</v>
      </c>
      <c r="M4860" s="2" t="s">
        <v>24103</v>
      </c>
      <c r="N4860" s="2" t="s">
        <v>24104</v>
      </c>
      <c r="O4860" s="2" t="s">
        <v>24105</v>
      </c>
      <c r="P4860" s="2" t="s">
        <v>869</v>
      </c>
    </row>
    <row r="4861" ht="15.75" customHeight="1">
      <c r="F4861" s="2" t="s">
        <v>703</v>
      </c>
      <c r="H4861" s="2" t="s">
        <v>24106</v>
      </c>
      <c r="I4861" s="2" t="s">
        <v>24107</v>
      </c>
      <c r="J4861" s="2" t="s">
        <v>24108</v>
      </c>
      <c r="K4861" s="2" t="s">
        <v>24109</v>
      </c>
      <c r="L4861" s="2" t="s">
        <v>24030</v>
      </c>
      <c r="M4861" s="2" t="s">
        <v>24110</v>
      </c>
      <c r="N4861" s="2" t="s">
        <v>24111</v>
      </c>
      <c r="O4861" s="2" t="s">
        <v>869</v>
      </c>
      <c r="P4861" s="2" t="s">
        <v>870</v>
      </c>
    </row>
    <row r="4862" ht="15.75" customHeight="1">
      <c r="H4862" s="2" t="s">
        <v>24112</v>
      </c>
      <c r="I4862" s="2" t="s">
        <v>14638</v>
      </c>
      <c r="J4862" s="2" t="s">
        <v>14639</v>
      </c>
      <c r="K4862" s="2" t="s">
        <v>24113</v>
      </c>
      <c r="L4862" s="2" t="s">
        <v>24030</v>
      </c>
      <c r="M4862" s="2" t="s">
        <v>24114</v>
      </c>
      <c r="N4862" s="2" t="s">
        <v>24115</v>
      </c>
      <c r="O4862" s="2" t="s">
        <v>24116</v>
      </c>
      <c r="P4862" s="2" t="s">
        <v>869</v>
      </c>
    </row>
    <row r="4863" ht="15.75" customHeight="1">
      <c r="F4863" s="2" t="s">
        <v>728</v>
      </c>
      <c r="H4863" s="2" t="s">
        <v>24117</v>
      </c>
      <c r="I4863" s="2" t="s">
        <v>24118</v>
      </c>
      <c r="J4863" s="2" t="s">
        <v>24119</v>
      </c>
      <c r="K4863" s="2" t="s">
        <v>24120</v>
      </c>
      <c r="L4863" s="2" t="s">
        <v>24030</v>
      </c>
      <c r="M4863" s="2" t="s">
        <v>24121</v>
      </c>
      <c r="N4863" s="2" t="s">
        <v>24122</v>
      </c>
      <c r="O4863" s="2" t="s">
        <v>24123</v>
      </c>
      <c r="P4863" s="2" t="s">
        <v>24124</v>
      </c>
    </row>
    <row r="4864" ht="15.75" customHeight="1">
      <c r="F4864" s="2" t="s">
        <v>755</v>
      </c>
      <c r="H4864" s="2" t="s">
        <v>24125</v>
      </c>
      <c r="I4864" s="2" t="s">
        <v>757</v>
      </c>
      <c r="J4864" s="2" t="s">
        <v>758</v>
      </c>
      <c r="K4864" s="2" t="s">
        <v>6006</v>
      </c>
      <c r="L4864" s="2" t="s">
        <v>24030</v>
      </c>
      <c r="M4864" s="2" t="s">
        <v>24126</v>
      </c>
      <c r="N4864" s="2" t="s">
        <v>24127</v>
      </c>
      <c r="O4864" s="2" t="s">
        <v>24128</v>
      </c>
      <c r="P4864" s="2" t="s">
        <v>869</v>
      </c>
    </row>
    <row r="4865" ht="15.75" customHeight="1">
      <c r="F4865" s="2" t="s">
        <v>800</v>
      </c>
      <c r="H4865" s="2" t="s">
        <v>24129</v>
      </c>
      <c r="I4865" s="2" t="s">
        <v>5986</v>
      </c>
      <c r="J4865" s="2" t="s">
        <v>5987</v>
      </c>
      <c r="K4865" s="2" t="s">
        <v>6091</v>
      </c>
      <c r="L4865" s="2" t="s">
        <v>24030</v>
      </c>
      <c r="M4865" s="2" t="s">
        <v>24130</v>
      </c>
      <c r="N4865" s="2" t="s">
        <v>24131</v>
      </c>
      <c r="O4865" s="2" t="s">
        <v>24132</v>
      </c>
      <c r="P4865" s="2" t="s">
        <v>24133</v>
      </c>
    </row>
    <row r="4866" ht="15.75" customHeight="1">
      <c r="F4866" s="2" t="s">
        <v>843</v>
      </c>
      <c r="H4866" s="2" t="s">
        <v>24134</v>
      </c>
      <c r="I4866" s="2" t="s">
        <v>24135</v>
      </c>
      <c r="J4866" s="2" t="s">
        <v>24136</v>
      </c>
      <c r="K4866" s="2" t="s">
        <v>24137</v>
      </c>
      <c r="L4866" s="2" t="s">
        <v>24030</v>
      </c>
      <c r="M4866" s="2" t="s">
        <v>24138</v>
      </c>
      <c r="N4866" s="2" t="s">
        <v>24139</v>
      </c>
      <c r="O4866" s="2" t="s">
        <v>869</v>
      </c>
      <c r="P4866" s="2" t="s">
        <v>870</v>
      </c>
    </row>
    <row r="4867" ht="15.75" customHeight="1">
      <c r="B4867" s="2" t="s">
        <v>24140</v>
      </c>
      <c r="C4867" s="2" t="s">
        <v>22033</v>
      </c>
      <c r="D4867" s="2" t="s">
        <v>24141</v>
      </c>
      <c r="F4867" s="2" t="s">
        <v>74</v>
      </c>
      <c r="H4867" s="2" t="s">
        <v>24142</v>
      </c>
      <c r="I4867" s="2" t="s">
        <v>6951</v>
      </c>
      <c r="J4867" s="2" t="s">
        <v>6952</v>
      </c>
      <c r="K4867" s="2" t="s">
        <v>24014</v>
      </c>
      <c r="L4867" s="2" t="s">
        <v>24143</v>
      </c>
      <c r="M4867" s="2" t="s">
        <v>24144</v>
      </c>
      <c r="N4867" s="2" t="s">
        <v>24145</v>
      </c>
      <c r="O4867" s="2" t="s">
        <v>869</v>
      </c>
      <c r="P4867" s="2" t="s">
        <v>870</v>
      </c>
    </row>
    <row r="4868" ht="15.75" customHeight="1">
      <c r="H4868" s="2" t="s">
        <v>24146</v>
      </c>
      <c r="I4868" s="2" t="s">
        <v>6964</v>
      </c>
      <c r="J4868" s="2" t="s">
        <v>6965</v>
      </c>
      <c r="K4868" s="2" t="s">
        <v>6050</v>
      </c>
      <c r="L4868" s="2" t="s">
        <v>24143</v>
      </c>
      <c r="M4868" s="2" t="s">
        <v>24147</v>
      </c>
      <c r="N4868" s="2" t="s">
        <v>24148</v>
      </c>
      <c r="O4868" s="2" t="s">
        <v>869</v>
      </c>
      <c r="P4868" s="2" t="s">
        <v>870</v>
      </c>
    </row>
    <row r="4869" ht="15.75" customHeight="1">
      <c r="H4869" s="2" t="s">
        <v>24149</v>
      </c>
      <c r="I4869" s="2" t="s">
        <v>7075</v>
      </c>
      <c r="J4869" s="2" t="s">
        <v>7076</v>
      </c>
      <c r="K4869" s="2" t="s">
        <v>6033</v>
      </c>
      <c r="L4869" s="2" t="s">
        <v>24143</v>
      </c>
      <c r="M4869" s="2" t="s">
        <v>24150</v>
      </c>
      <c r="N4869" s="2" t="s">
        <v>24151</v>
      </c>
      <c r="O4869" s="2" t="s">
        <v>869</v>
      </c>
      <c r="P4869" s="2" t="s">
        <v>870</v>
      </c>
    </row>
    <row r="4870" ht="15.75" customHeight="1">
      <c r="H4870" s="2" t="s">
        <v>24152</v>
      </c>
      <c r="I4870" s="2" t="s">
        <v>167</v>
      </c>
      <c r="J4870" s="2" t="s">
        <v>168</v>
      </c>
      <c r="K4870" s="2" t="s">
        <v>15784</v>
      </c>
      <c r="L4870" s="2" t="s">
        <v>24143</v>
      </c>
      <c r="M4870" s="2" t="s">
        <v>24153</v>
      </c>
      <c r="N4870" s="2" t="s">
        <v>24154</v>
      </c>
      <c r="O4870" s="2" t="s">
        <v>869</v>
      </c>
      <c r="P4870" s="2" t="s">
        <v>870</v>
      </c>
    </row>
    <row r="4871" ht="15.75" customHeight="1">
      <c r="H4871" s="2" t="s">
        <v>24155</v>
      </c>
      <c r="I4871" s="2" t="s">
        <v>18010</v>
      </c>
      <c r="J4871" s="2" t="s">
        <v>18011</v>
      </c>
      <c r="K4871" s="2" t="s">
        <v>24156</v>
      </c>
      <c r="L4871" s="2" t="s">
        <v>24143</v>
      </c>
      <c r="M4871" s="2" t="s">
        <v>24157</v>
      </c>
      <c r="N4871" s="2" t="s">
        <v>24158</v>
      </c>
      <c r="O4871" s="2" t="s">
        <v>869</v>
      </c>
      <c r="P4871" s="2" t="s">
        <v>870</v>
      </c>
    </row>
    <row r="4872" ht="15.75" customHeight="1">
      <c r="H4872" s="2" t="s">
        <v>24159</v>
      </c>
      <c r="I4872" s="2" t="s">
        <v>225</v>
      </c>
      <c r="J4872" s="2" t="s">
        <v>226</v>
      </c>
      <c r="K4872" s="2" t="s">
        <v>24160</v>
      </c>
      <c r="L4872" s="2" t="s">
        <v>24143</v>
      </c>
      <c r="M4872" s="2" t="s">
        <v>24161</v>
      </c>
      <c r="N4872" s="2" t="s">
        <v>24162</v>
      </c>
      <c r="O4872" s="2" t="s">
        <v>869</v>
      </c>
      <c r="P4872" s="2" t="s">
        <v>870</v>
      </c>
    </row>
    <row r="4873" ht="15.75" customHeight="1">
      <c r="F4873" s="2" t="s">
        <v>265</v>
      </c>
      <c r="H4873" s="2" t="s">
        <v>24163</v>
      </c>
      <c r="I4873" s="2" t="s">
        <v>19226</v>
      </c>
      <c r="J4873" s="2" t="s">
        <v>19227</v>
      </c>
      <c r="K4873" s="2" t="s">
        <v>24164</v>
      </c>
      <c r="L4873" s="2" t="s">
        <v>24143</v>
      </c>
      <c r="M4873" s="2" t="s">
        <v>24165</v>
      </c>
      <c r="N4873" s="2" t="s">
        <v>24166</v>
      </c>
      <c r="O4873" s="2" t="s">
        <v>869</v>
      </c>
      <c r="P4873" s="2" t="s">
        <v>870</v>
      </c>
    </row>
    <row r="4874" ht="15.75" customHeight="1">
      <c r="F4874" s="2" t="s">
        <v>284</v>
      </c>
      <c r="H4874" s="2" t="s">
        <v>24167</v>
      </c>
      <c r="I4874" s="2" t="s">
        <v>310</v>
      </c>
      <c r="J4874" s="2" t="s">
        <v>311</v>
      </c>
      <c r="K4874" s="2" t="s">
        <v>15809</v>
      </c>
      <c r="L4874" s="2" t="s">
        <v>24143</v>
      </c>
      <c r="M4874" s="2" t="s">
        <v>24168</v>
      </c>
      <c r="N4874" s="2" t="s">
        <v>24169</v>
      </c>
      <c r="O4874" s="2" t="s">
        <v>869</v>
      </c>
      <c r="P4874" s="2" t="s">
        <v>870</v>
      </c>
    </row>
    <row r="4875" ht="15.75" customHeight="1">
      <c r="H4875" s="2" t="s">
        <v>24170</v>
      </c>
      <c r="I4875" s="2" t="s">
        <v>24171</v>
      </c>
      <c r="J4875" s="2" t="s">
        <v>24172</v>
      </c>
      <c r="K4875" s="2" t="s">
        <v>24173</v>
      </c>
      <c r="L4875" s="2" t="s">
        <v>24143</v>
      </c>
      <c r="M4875" s="2" t="s">
        <v>24174</v>
      </c>
      <c r="N4875" s="2" t="s">
        <v>24175</v>
      </c>
      <c r="O4875" s="2" t="s">
        <v>24176</v>
      </c>
      <c r="P4875" s="2" t="s">
        <v>869</v>
      </c>
    </row>
    <row r="4876" ht="15.75" customHeight="1">
      <c r="H4876" s="2" t="s">
        <v>24177</v>
      </c>
      <c r="I4876" s="2" t="s">
        <v>449</v>
      </c>
      <c r="J4876" s="2" t="s">
        <v>450</v>
      </c>
      <c r="K4876" s="2" t="s">
        <v>6037</v>
      </c>
      <c r="L4876" s="2" t="s">
        <v>24143</v>
      </c>
      <c r="M4876" s="2" t="s">
        <v>24178</v>
      </c>
      <c r="N4876" s="2" t="s">
        <v>24179</v>
      </c>
      <c r="O4876" s="2" t="s">
        <v>869</v>
      </c>
      <c r="P4876" s="2" t="s">
        <v>870</v>
      </c>
    </row>
    <row r="4877" ht="15.75" customHeight="1">
      <c r="H4877" s="2" t="s">
        <v>24180</v>
      </c>
      <c r="I4877" s="2" t="s">
        <v>16173</v>
      </c>
      <c r="J4877" s="2" t="s">
        <v>16174</v>
      </c>
      <c r="K4877" s="2" t="s">
        <v>24181</v>
      </c>
      <c r="L4877" s="2" t="s">
        <v>24143</v>
      </c>
      <c r="M4877" s="2" t="s">
        <v>24182</v>
      </c>
      <c r="N4877" s="2" t="s">
        <v>24183</v>
      </c>
      <c r="O4877" s="2" t="s">
        <v>869</v>
      </c>
      <c r="P4877" s="2" t="s">
        <v>870</v>
      </c>
    </row>
    <row r="4878" ht="15.75" customHeight="1">
      <c r="H4878" s="2" t="s">
        <v>24184</v>
      </c>
      <c r="I4878" s="2" t="s">
        <v>526</v>
      </c>
      <c r="J4878" s="2" t="s">
        <v>527</v>
      </c>
      <c r="K4878" s="2" t="s">
        <v>24084</v>
      </c>
      <c r="L4878" s="2" t="s">
        <v>24143</v>
      </c>
      <c r="M4878" s="2" t="s">
        <v>24185</v>
      </c>
      <c r="N4878" s="2" t="s">
        <v>24186</v>
      </c>
      <c r="O4878" s="2" t="s">
        <v>869</v>
      </c>
      <c r="P4878" s="2" t="s">
        <v>870</v>
      </c>
    </row>
    <row r="4879" ht="15.75" customHeight="1">
      <c r="F4879" s="2" t="s">
        <v>548</v>
      </c>
      <c r="H4879" s="2" t="s">
        <v>24187</v>
      </c>
      <c r="I4879" s="2" t="s">
        <v>24188</v>
      </c>
      <c r="J4879" s="2" t="s">
        <v>24189</v>
      </c>
      <c r="K4879" s="2" t="s">
        <v>24120</v>
      </c>
      <c r="L4879" s="2" t="s">
        <v>24143</v>
      </c>
      <c r="M4879" s="2" t="s">
        <v>24190</v>
      </c>
      <c r="N4879" s="2" t="s">
        <v>24191</v>
      </c>
      <c r="O4879" s="2" t="s">
        <v>869</v>
      </c>
      <c r="P4879" s="2" t="s">
        <v>870</v>
      </c>
    </row>
    <row r="4880" ht="15.75" customHeight="1">
      <c r="F4880" s="2" t="s">
        <v>556</v>
      </c>
      <c r="H4880" s="2" t="s">
        <v>24192</v>
      </c>
      <c r="I4880" s="2" t="s">
        <v>24193</v>
      </c>
      <c r="J4880" s="2" t="s">
        <v>24194</v>
      </c>
      <c r="K4880" s="2" t="s">
        <v>24195</v>
      </c>
      <c r="L4880" s="2" t="s">
        <v>24143</v>
      </c>
      <c r="M4880" s="2" t="s">
        <v>24196</v>
      </c>
      <c r="N4880" s="2" t="s">
        <v>24197</v>
      </c>
      <c r="O4880" s="2" t="s">
        <v>869</v>
      </c>
      <c r="P4880" s="2" t="s">
        <v>870</v>
      </c>
    </row>
    <row r="4881" ht="15.75" customHeight="1">
      <c r="F4881" s="2" t="s">
        <v>3762</v>
      </c>
      <c r="H4881" s="2" t="s">
        <v>24198</v>
      </c>
      <c r="I4881" s="2" t="s">
        <v>24199</v>
      </c>
      <c r="J4881" s="2" t="s">
        <v>24200</v>
      </c>
      <c r="K4881" s="2" t="s">
        <v>22104</v>
      </c>
      <c r="L4881" s="2" t="s">
        <v>24143</v>
      </c>
      <c r="M4881" s="2" t="s">
        <v>24201</v>
      </c>
      <c r="N4881" s="2" t="s">
        <v>24202</v>
      </c>
      <c r="O4881" s="2" t="s">
        <v>869</v>
      </c>
      <c r="P4881" s="2" t="s">
        <v>870</v>
      </c>
    </row>
    <row r="4882" ht="15.75" customHeight="1">
      <c r="B4882" s="2" t="s">
        <v>24203</v>
      </c>
      <c r="C4882" s="2" t="s">
        <v>13795</v>
      </c>
      <c r="D4882" s="2" t="s">
        <v>24204</v>
      </c>
      <c r="F4882" s="2" t="s">
        <v>534</v>
      </c>
      <c r="H4882" s="2" t="s">
        <v>24205</v>
      </c>
      <c r="I4882" s="2" t="s">
        <v>536</v>
      </c>
      <c r="J4882" s="2" t="s">
        <v>537</v>
      </c>
      <c r="K4882" s="2" t="s">
        <v>538</v>
      </c>
    </row>
    <row r="4883" ht="15.75" customHeight="1">
      <c r="F4883" s="2" t="s">
        <v>22982</v>
      </c>
      <c r="H4883" s="2" t="s">
        <v>24206</v>
      </c>
      <c r="I4883" s="2" t="s">
        <v>24207</v>
      </c>
      <c r="J4883" s="2" t="s">
        <v>24208</v>
      </c>
      <c r="K4883" s="2" t="s">
        <v>861</v>
      </c>
    </row>
    <row r="4884" ht="15.75" customHeight="1">
      <c r="H4884" s="2" t="s">
        <v>24209</v>
      </c>
      <c r="I4884" s="2" t="s">
        <v>24210</v>
      </c>
      <c r="J4884" s="2" t="s">
        <v>24211</v>
      </c>
      <c r="K4884" s="2" t="s">
        <v>24212</v>
      </c>
    </row>
    <row r="4885" ht="15.75" customHeight="1">
      <c r="H4885" s="2" t="s">
        <v>24213</v>
      </c>
      <c r="I4885" s="2" t="s">
        <v>24214</v>
      </c>
      <c r="J4885" s="2" t="s">
        <v>24215</v>
      </c>
      <c r="K4885" s="2" t="s">
        <v>24216</v>
      </c>
    </row>
    <row r="4886" ht="15.75" customHeight="1">
      <c r="H4886" s="2" t="s">
        <v>24217</v>
      </c>
      <c r="I4886" s="2" t="s">
        <v>24218</v>
      </c>
      <c r="J4886" s="2" t="s">
        <v>24218</v>
      </c>
      <c r="K4886" s="2" t="s">
        <v>5298</v>
      </c>
    </row>
    <row r="4887" ht="15.75" customHeight="1">
      <c r="H4887" s="2" t="s">
        <v>24219</v>
      </c>
      <c r="I4887" s="2" t="s">
        <v>24220</v>
      </c>
      <c r="J4887" s="2" t="s">
        <v>24220</v>
      </c>
      <c r="K4887" s="2" t="s">
        <v>859</v>
      </c>
    </row>
    <row r="4888" ht="15.75" customHeight="1">
      <c r="H4888" s="2" t="s">
        <v>24221</v>
      </c>
      <c r="I4888" s="2" t="s">
        <v>24222</v>
      </c>
      <c r="J4888" s="2" t="s">
        <v>24222</v>
      </c>
      <c r="K4888" s="2" t="s">
        <v>12477</v>
      </c>
    </row>
    <row r="4889" ht="15.75" customHeight="1">
      <c r="H4889" s="2" t="s">
        <v>24223</v>
      </c>
      <c r="I4889" s="2" t="s">
        <v>24224</v>
      </c>
      <c r="J4889" s="2" t="s">
        <v>24225</v>
      </c>
      <c r="K4889" s="2" t="s">
        <v>24226</v>
      </c>
    </row>
    <row r="4890" ht="15.75" customHeight="1">
      <c r="H4890" s="2" t="s">
        <v>24227</v>
      </c>
      <c r="I4890" s="2" t="s">
        <v>24228</v>
      </c>
      <c r="J4890" s="2" t="s">
        <v>24229</v>
      </c>
      <c r="K4890" s="2" t="s">
        <v>853</v>
      </c>
    </row>
    <row r="4891" ht="15.75" customHeight="1">
      <c r="H4891" s="2" t="s">
        <v>24230</v>
      </c>
      <c r="I4891" s="2" t="s">
        <v>24231</v>
      </c>
      <c r="J4891" s="2" t="s">
        <v>24232</v>
      </c>
      <c r="K4891" s="2" t="s">
        <v>24233</v>
      </c>
    </row>
    <row r="4892" ht="15.75" customHeight="1">
      <c r="H4892" s="2" t="s">
        <v>24234</v>
      </c>
      <c r="I4892" s="2" t="s">
        <v>24235</v>
      </c>
      <c r="J4892" s="2" t="s">
        <v>24236</v>
      </c>
      <c r="K4892" s="2" t="s">
        <v>24237</v>
      </c>
    </row>
    <row r="4893" ht="15.75" customHeight="1">
      <c r="B4893" s="2" t="s">
        <v>24238</v>
      </c>
      <c r="C4893" s="2" t="s">
        <v>16278</v>
      </c>
      <c r="D4893" s="2" t="s">
        <v>24239</v>
      </c>
      <c r="F4893" s="2" t="s">
        <v>29</v>
      </c>
      <c r="H4893" s="2" t="s">
        <v>24240</v>
      </c>
      <c r="I4893" s="2" t="s">
        <v>31</v>
      </c>
      <c r="J4893" s="2" t="s">
        <v>32</v>
      </c>
      <c r="K4893" s="2" t="s">
        <v>6000</v>
      </c>
      <c r="L4893" s="2" t="s">
        <v>24241</v>
      </c>
      <c r="M4893" s="2" t="s">
        <v>24242</v>
      </c>
      <c r="N4893" s="2" t="s">
        <v>24243</v>
      </c>
      <c r="O4893" s="2" t="s">
        <v>24244</v>
      </c>
      <c r="P4893" s="2" t="s">
        <v>24245</v>
      </c>
    </row>
    <row r="4894" ht="15.75" customHeight="1">
      <c r="F4894" s="2" t="s">
        <v>74</v>
      </c>
      <c r="H4894" s="2" t="s">
        <v>24246</v>
      </c>
      <c r="I4894" s="2" t="s">
        <v>76</v>
      </c>
      <c r="J4894" s="2" t="s">
        <v>77</v>
      </c>
      <c r="K4894" s="2" t="s">
        <v>15779</v>
      </c>
      <c r="L4894" s="2" t="s">
        <v>24247</v>
      </c>
      <c r="M4894" s="2" t="s">
        <v>24248</v>
      </c>
      <c r="N4894" s="2" t="s">
        <v>24249</v>
      </c>
      <c r="O4894" s="2" t="s">
        <v>24250</v>
      </c>
      <c r="P4894" s="2" t="s">
        <v>24251</v>
      </c>
    </row>
    <row r="4895" ht="15.75" customHeight="1">
      <c r="H4895" s="2" t="s">
        <v>24252</v>
      </c>
      <c r="I4895" s="2" t="s">
        <v>85</v>
      </c>
      <c r="J4895" s="2" t="s">
        <v>86</v>
      </c>
      <c r="K4895" s="2" t="s">
        <v>15901</v>
      </c>
      <c r="L4895" s="2" t="s">
        <v>24241</v>
      </c>
      <c r="M4895" s="2" t="s">
        <v>24253</v>
      </c>
      <c r="N4895" s="2" t="s">
        <v>24254</v>
      </c>
      <c r="O4895" s="2" t="s">
        <v>24255</v>
      </c>
      <c r="P4895" s="2" t="s">
        <v>24256</v>
      </c>
    </row>
    <row r="4896" ht="15.75" customHeight="1">
      <c r="H4896" s="2" t="s">
        <v>24257</v>
      </c>
      <c r="I4896" s="2" t="s">
        <v>6964</v>
      </c>
      <c r="J4896" s="2" t="s">
        <v>6965</v>
      </c>
      <c r="K4896" s="2" t="s">
        <v>6050</v>
      </c>
      <c r="L4896" s="2" t="s">
        <v>24241</v>
      </c>
      <c r="M4896" s="2" t="s">
        <v>24258</v>
      </c>
      <c r="N4896" s="2" t="s">
        <v>24259</v>
      </c>
      <c r="O4896" s="2" t="s">
        <v>24260</v>
      </c>
      <c r="P4896" s="2" t="s">
        <v>24261</v>
      </c>
    </row>
    <row r="4897" ht="15.75" customHeight="1">
      <c r="H4897" s="2" t="s">
        <v>24262</v>
      </c>
      <c r="I4897" s="2" t="s">
        <v>109</v>
      </c>
      <c r="J4897" s="2" t="s">
        <v>110</v>
      </c>
      <c r="K4897" s="2" t="s">
        <v>24263</v>
      </c>
      <c r="L4897" s="2" t="s">
        <v>24241</v>
      </c>
      <c r="M4897" s="2" t="s">
        <v>24264</v>
      </c>
      <c r="N4897" s="2" t="s">
        <v>24265</v>
      </c>
      <c r="O4897" s="2" t="s">
        <v>24266</v>
      </c>
      <c r="P4897" s="2" t="s">
        <v>24267</v>
      </c>
    </row>
    <row r="4898" ht="15.75" customHeight="1">
      <c r="H4898" s="2" t="s">
        <v>24268</v>
      </c>
      <c r="I4898" s="2" t="s">
        <v>117</v>
      </c>
      <c r="J4898" s="2" t="s">
        <v>118</v>
      </c>
      <c r="K4898" s="2" t="s">
        <v>24269</v>
      </c>
      <c r="L4898" s="2" t="s">
        <v>24241</v>
      </c>
      <c r="M4898" s="2" t="s">
        <v>24270</v>
      </c>
      <c r="N4898" s="2" t="s">
        <v>24271</v>
      </c>
      <c r="O4898" s="2" t="s">
        <v>24272</v>
      </c>
      <c r="P4898" s="2" t="s">
        <v>24273</v>
      </c>
    </row>
    <row r="4899" ht="15.75" customHeight="1">
      <c r="H4899" s="2" t="s">
        <v>24274</v>
      </c>
      <c r="I4899" s="2" t="s">
        <v>14331</v>
      </c>
      <c r="J4899" s="2" t="s">
        <v>14332</v>
      </c>
      <c r="K4899" s="2" t="s">
        <v>24275</v>
      </c>
      <c r="L4899" s="2" t="s">
        <v>24241</v>
      </c>
      <c r="M4899" s="2" t="s">
        <v>24276</v>
      </c>
      <c r="N4899" s="2" t="s">
        <v>24277</v>
      </c>
      <c r="O4899" s="2" t="s">
        <v>24278</v>
      </c>
      <c r="P4899" s="2" t="s">
        <v>24279</v>
      </c>
    </row>
    <row r="4900" ht="15.75" customHeight="1">
      <c r="H4900" s="2" t="s">
        <v>24280</v>
      </c>
      <c r="I4900" s="2" t="s">
        <v>24281</v>
      </c>
      <c r="J4900" s="2" t="s">
        <v>24282</v>
      </c>
      <c r="K4900" s="2" t="s">
        <v>24283</v>
      </c>
      <c r="L4900" s="2" t="s">
        <v>24241</v>
      </c>
      <c r="M4900" s="2" t="s">
        <v>24284</v>
      </c>
      <c r="N4900" s="2" t="s">
        <v>24285</v>
      </c>
      <c r="O4900" s="2" t="s">
        <v>24286</v>
      </c>
      <c r="P4900" s="2" t="s">
        <v>869</v>
      </c>
    </row>
    <row r="4901" ht="15.75" customHeight="1">
      <c r="H4901" s="2" t="s">
        <v>24287</v>
      </c>
      <c r="I4901" s="2" t="s">
        <v>1663</v>
      </c>
      <c r="J4901" s="2" t="s">
        <v>1664</v>
      </c>
      <c r="K4901" s="2" t="s">
        <v>24288</v>
      </c>
      <c r="L4901" s="2" t="s">
        <v>24241</v>
      </c>
      <c r="M4901" s="2" t="s">
        <v>24289</v>
      </c>
      <c r="N4901" s="2" t="s">
        <v>24290</v>
      </c>
      <c r="O4901" s="2" t="s">
        <v>24291</v>
      </c>
      <c r="P4901" s="2" t="s">
        <v>24292</v>
      </c>
    </row>
    <row r="4902" ht="15.75" customHeight="1">
      <c r="H4902" s="2" t="s">
        <v>24293</v>
      </c>
      <c r="I4902" s="2" t="s">
        <v>159</v>
      </c>
      <c r="J4902" s="2" t="s">
        <v>160</v>
      </c>
      <c r="K4902" s="2" t="s">
        <v>24294</v>
      </c>
      <c r="L4902" s="2" t="s">
        <v>24241</v>
      </c>
      <c r="M4902" s="2" t="s">
        <v>24295</v>
      </c>
      <c r="N4902" s="2" t="s">
        <v>24296</v>
      </c>
      <c r="O4902" s="2" t="s">
        <v>24297</v>
      </c>
      <c r="P4902" s="2" t="s">
        <v>24298</v>
      </c>
    </row>
    <row r="4903" ht="15.75" customHeight="1">
      <c r="H4903" s="2" t="s">
        <v>24299</v>
      </c>
      <c r="I4903" s="2" t="s">
        <v>167</v>
      </c>
      <c r="J4903" s="2" t="s">
        <v>168</v>
      </c>
      <c r="K4903" s="2" t="s">
        <v>15784</v>
      </c>
      <c r="L4903" s="2" t="s">
        <v>24300</v>
      </c>
      <c r="M4903" s="2" t="s">
        <v>24301</v>
      </c>
      <c r="N4903" s="2" t="s">
        <v>24302</v>
      </c>
      <c r="O4903" s="2" t="s">
        <v>24303</v>
      </c>
      <c r="P4903" s="2" t="s">
        <v>24304</v>
      </c>
    </row>
    <row r="4904" ht="15.75" customHeight="1">
      <c r="H4904" s="2" t="s">
        <v>24305</v>
      </c>
      <c r="I4904" s="2" t="s">
        <v>176</v>
      </c>
      <c r="J4904" s="2" t="s">
        <v>177</v>
      </c>
      <c r="K4904" s="2" t="s">
        <v>6015</v>
      </c>
      <c r="L4904" s="2" t="s">
        <v>24306</v>
      </c>
      <c r="M4904" s="2" t="s">
        <v>24307</v>
      </c>
      <c r="N4904" s="2" t="s">
        <v>24308</v>
      </c>
      <c r="O4904" s="2" t="s">
        <v>24309</v>
      </c>
      <c r="P4904" s="2" t="s">
        <v>24310</v>
      </c>
    </row>
    <row r="4905" ht="15.75" customHeight="1">
      <c r="H4905" s="2" t="s">
        <v>24311</v>
      </c>
      <c r="I4905" s="2" t="s">
        <v>24312</v>
      </c>
      <c r="J4905" s="2" t="s">
        <v>24313</v>
      </c>
      <c r="K4905" s="2" t="s">
        <v>24314</v>
      </c>
      <c r="L4905" s="2" t="s">
        <v>24241</v>
      </c>
      <c r="M4905" s="2" t="s">
        <v>24315</v>
      </c>
      <c r="N4905" s="2" t="s">
        <v>24316</v>
      </c>
      <c r="O4905" s="2" t="s">
        <v>24317</v>
      </c>
      <c r="P4905" s="2" t="s">
        <v>24318</v>
      </c>
    </row>
    <row r="4906" ht="15.75" customHeight="1">
      <c r="H4906" s="2" t="s">
        <v>24319</v>
      </c>
      <c r="I4906" s="2" t="s">
        <v>24320</v>
      </c>
      <c r="J4906" s="2" t="s">
        <v>24321</v>
      </c>
      <c r="K4906" s="2" t="s">
        <v>24322</v>
      </c>
      <c r="L4906" s="2" t="s">
        <v>24241</v>
      </c>
      <c r="M4906" s="2" t="s">
        <v>24323</v>
      </c>
      <c r="N4906" s="2" t="s">
        <v>24324</v>
      </c>
      <c r="O4906" s="2" t="s">
        <v>24325</v>
      </c>
      <c r="P4906" s="2" t="s">
        <v>869</v>
      </c>
    </row>
    <row r="4907" ht="15.75" customHeight="1">
      <c r="H4907" s="2" t="s">
        <v>24326</v>
      </c>
      <c r="I4907" s="2" t="s">
        <v>15301</v>
      </c>
      <c r="J4907" s="2" t="s">
        <v>15302</v>
      </c>
      <c r="K4907" s="2" t="s">
        <v>24327</v>
      </c>
      <c r="L4907" s="2" t="s">
        <v>24241</v>
      </c>
      <c r="M4907" s="2" t="s">
        <v>24328</v>
      </c>
      <c r="N4907" s="2" t="s">
        <v>24329</v>
      </c>
      <c r="O4907" s="2" t="s">
        <v>24330</v>
      </c>
      <c r="P4907" s="2" t="s">
        <v>869</v>
      </c>
    </row>
    <row r="4908" ht="15.75" customHeight="1">
      <c r="H4908" s="2" t="s">
        <v>24331</v>
      </c>
      <c r="I4908" s="2" t="s">
        <v>1789</v>
      </c>
      <c r="J4908" s="2" t="s">
        <v>1790</v>
      </c>
      <c r="K4908" s="2" t="s">
        <v>24332</v>
      </c>
      <c r="L4908" s="2" t="s">
        <v>24241</v>
      </c>
      <c r="M4908" s="2" t="s">
        <v>24333</v>
      </c>
      <c r="N4908" s="2" t="s">
        <v>24334</v>
      </c>
      <c r="O4908" s="2" t="s">
        <v>24335</v>
      </c>
      <c r="P4908" s="2" t="s">
        <v>24336</v>
      </c>
    </row>
    <row r="4909" ht="15.75" customHeight="1">
      <c r="H4909" s="2" t="s">
        <v>24337</v>
      </c>
      <c r="I4909" s="2" t="s">
        <v>249</v>
      </c>
      <c r="J4909" s="2" t="s">
        <v>250</v>
      </c>
      <c r="K4909" s="2" t="s">
        <v>24338</v>
      </c>
      <c r="L4909" s="2" t="s">
        <v>24241</v>
      </c>
      <c r="M4909" s="2" t="s">
        <v>24339</v>
      </c>
      <c r="N4909" s="2" t="s">
        <v>24340</v>
      </c>
      <c r="O4909" s="2" t="s">
        <v>24341</v>
      </c>
      <c r="P4909" s="2" t="s">
        <v>24342</v>
      </c>
    </row>
    <row r="4910" ht="15.75" customHeight="1">
      <c r="H4910" s="2" t="s">
        <v>24343</v>
      </c>
      <c r="I4910" s="2" t="s">
        <v>257</v>
      </c>
      <c r="J4910" s="2" t="s">
        <v>258</v>
      </c>
      <c r="K4910" s="2" t="s">
        <v>24344</v>
      </c>
      <c r="L4910" s="2" t="s">
        <v>24241</v>
      </c>
      <c r="M4910" s="2" t="s">
        <v>24345</v>
      </c>
      <c r="N4910" s="2" t="s">
        <v>24346</v>
      </c>
      <c r="O4910" s="2" t="s">
        <v>24347</v>
      </c>
      <c r="P4910" s="2" t="s">
        <v>24348</v>
      </c>
    </row>
    <row r="4911" ht="15.75" customHeight="1">
      <c r="F4911" s="2" t="s">
        <v>265</v>
      </c>
      <c r="H4911" s="2" t="s">
        <v>24349</v>
      </c>
      <c r="I4911" s="2" t="s">
        <v>267</v>
      </c>
      <c r="J4911" s="2" t="s">
        <v>268</v>
      </c>
      <c r="K4911" s="2" t="s">
        <v>6019</v>
      </c>
      <c r="L4911" s="2" t="s">
        <v>24241</v>
      </c>
      <c r="M4911" s="2" t="s">
        <v>24350</v>
      </c>
      <c r="N4911" s="2" t="s">
        <v>24351</v>
      </c>
      <c r="O4911" s="2" t="s">
        <v>24352</v>
      </c>
      <c r="P4911" s="2" t="s">
        <v>24353</v>
      </c>
    </row>
    <row r="4912" ht="15.75" customHeight="1">
      <c r="H4912" s="2" t="s">
        <v>24354</v>
      </c>
      <c r="I4912" s="2" t="s">
        <v>2001</v>
      </c>
      <c r="J4912" s="2" t="s">
        <v>2002</v>
      </c>
      <c r="K4912" s="2" t="s">
        <v>24355</v>
      </c>
      <c r="L4912" s="2" t="s">
        <v>24241</v>
      </c>
      <c r="M4912" s="2" t="s">
        <v>24356</v>
      </c>
      <c r="N4912" s="2" t="s">
        <v>24357</v>
      </c>
      <c r="O4912" s="2" t="s">
        <v>24358</v>
      </c>
      <c r="P4912" s="2" t="s">
        <v>24359</v>
      </c>
    </row>
    <row r="4913" ht="15.75" customHeight="1">
      <c r="F4913" s="2" t="s">
        <v>274</v>
      </c>
      <c r="H4913" s="2" t="s">
        <v>24360</v>
      </c>
      <c r="I4913" s="2" t="s">
        <v>279</v>
      </c>
      <c r="J4913" s="2" t="s">
        <v>274</v>
      </c>
      <c r="K4913" s="2" t="s">
        <v>280</v>
      </c>
    </row>
    <row r="4914" ht="15.75" customHeight="1">
      <c r="F4914" s="2" t="s">
        <v>284</v>
      </c>
      <c r="H4914" s="2" t="s">
        <v>24361</v>
      </c>
      <c r="I4914" s="2" t="s">
        <v>286</v>
      </c>
      <c r="J4914" s="2" t="s">
        <v>287</v>
      </c>
      <c r="K4914" s="2" t="s">
        <v>15801</v>
      </c>
      <c r="L4914" s="2" t="s">
        <v>24362</v>
      </c>
      <c r="M4914" s="2" t="s">
        <v>24363</v>
      </c>
      <c r="N4914" s="2" t="s">
        <v>24364</v>
      </c>
      <c r="O4914" s="2" t="s">
        <v>24365</v>
      </c>
      <c r="P4914" s="2" t="s">
        <v>24366</v>
      </c>
    </row>
    <row r="4915" ht="15.75" customHeight="1">
      <c r="H4915" s="2" t="s">
        <v>24367</v>
      </c>
      <c r="I4915" s="2" t="s">
        <v>12601</v>
      </c>
      <c r="J4915" s="2" t="s">
        <v>12602</v>
      </c>
      <c r="K4915" s="2" t="s">
        <v>24368</v>
      </c>
      <c r="L4915" s="2" t="s">
        <v>24241</v>
      </c>
      <c r="M4915" s="2" t="s">
        <v>24369</v>
      </c>
      <c r="N4915" s="2" t="s">
        <v>24370</v>
      </c>
      <c r="O4915" s="2" t="s">
        <v>24371</v>
      </c>
      <c r="P4915" s="2" t="s">
        <v>24372</v>
      </c>
    </row>
    <row r="4916" ht="15.75" customHeight="1">
      <c r="H4916" s="2" t="s">
        <v>24373</v>
      </c>
      <c r="I4916" s="2" t="s">
        <v>5889</v>
      </c>
      <c r="J4916" s="2" t="s">
        <v>5890</v>
      </c>
      <c r="K4916" s="2" t="s">
        <v>15805</v>
      </c>
      <c r="L4916" s="2" t="s">
        <v>24241</v>
      </c>
      <c r="M4916" s="2" t="s">
        <v>24374</v>
      </c>
      <c r="N4916" s="2" t="s">
        <v>24375</v>
      </c>
      <c r="O4916" s="2" t="s">
        <v>24376</v>
      </c>
      <c r="P4916" s="2" t="s">
        <v>24377</v>
      </c>
    </row>
    <row r="4917" ht="15.75" customHeight="1">
      <c r="H4917" s="2" t="s">
        <v>24378</v>
      </c>
      <c r="I4917" s="2" t="s">
        <v>2124</v>
      </c>
      <c r="J4917" s="2" t="s">
        <v>2125</v>
      </c>
      <c r="K4917" s="2" t="s">
        <v>24379</v>
      </c>
      <c r="L4917" s="2" t="s">
        <v>24241</v>
      </c>
      <c r="M4917" s="2" t="s">
        <v>24380</v>
      </c>
      <c r="N4917" s="2" t="s">
        <v>24381</v>
      </c>
      <c r="O4917" s="2" t="s">
        <v>24382</v>
      </c>
      <c r="P4917" s="2" t="s">
        <v>24383</v>
      </c>
    </row>
    <row r="4918" ht="15.75" customHeight="1">
      <c r="H4918" s="2" t="s">
        <v>24384</v>
      </c>
      <c r="I4918" s="2" t="s">
        <v>13686</v>
      </c>
      <c r="J4918" s="2" t="s">
        <v>13687</v>
      </c>
      <c r="K4918" s="2" t="s">
        <v>15872</v>
      </c>
      <c r="L4918" s="2" t="s">
        <v>24385</v>
      </c>
      <c r="M4918" s="2" t="s">
        <v>24386</v>
      </c>
      <c r="N4918" s="2" t="s">
        <v>24387</v>
      </c>
      <c r="O4918" s="2" t="s">
        <v>24388</v>
      </c>
      <c r="P4918" s="2" t="s">
        <v>24389</v>
      </c>
    </row>
    <row r="4919" ht="15.75" customHeight="1">
      <c r="H4919" s="2" t="s">
        <v>24390</v>
      </c>
      <c r="I4919" s="2" t="s">
        <v>310</v>
      </c>
      <c r="J4919" s="2" t="s">
        <v>311</v>
      </c>
      <c r="K4919" s="2" t="s">
        <v>15809</v>
      </c>
      <c r="L4919" s="2" t="s">
        <v>24391</v>
      </c>
      <c r="M4919" s="2" t="s">
        <v>24392</v>
      </c>
      <c r="N4919" s="2" t="s">
        <v>24393</v>
      </c>
      <c r="O4919" s="2" t="s">
        <v>24394</v>
      </c>
      <c r="P4919" s="2" t="s">
        <v>24395</v>
      </c>
    </row>
    <row r="4920" ht="15.75" customHeight="1">
      <c r="H4920" s="2" t="s">
        <v>24396</v>
      </c>
      <c r="I4920" s="2" t="s">
        <v>2175</v>
      </c>
      <c r="J4920" s="2" t="s">
        <v>2176</v>
      </c>
      <c r="K4920" s="2" t="s">
        <v>6029</v>
      </c>
      <c r="L4920" s="2" t="s">
        <v>24241</v>
      </c>
      <c r="M4920" s="2" t="s">
        <v>24397</v>
      </c>
      <c r="N4920" s="2" t="s">
        <v>24398</v>
      </c>
      <c r="O4920" s="2" t="s">
        <v>24399</v>
      </c>
      <c r="P4920" s="2" t="s">
        <v>24400</v>
      </c>
    </row>
    <row r="4921" ht="15.75" customHeight="1">
      <c r="H4921" s="2" t="s">
        <v>24401</v>
      </c>
      <c r="I4921" s="2" t="s">
        <v>326</v>
      </c>
      <c r="J4921" s="2" t="s">
        <v>327</v>
      </c>
      <c r="K4921" s="2" t="s">
        <v>6068</v>
      </c>
      <c r="L4921" s="2" t="s">
        <v>24402</v>
      </c>
      <c r="M4921" s="2" t="s">
        <v>24403</v>
      </c>
      <c r="N4921" s="2" t="s">
        <v>24404</v>
      </c>
      <c r="O4921" s="2" t="s">
        <v>24405</v>
      </c>
      <c r="P4921" s="2" t="s">
        <v>24406</v>
      </c>
    </row>
    <row r="4922" ht="15.75" customHeight="1">
      <c r="H4922" s="2" t="s">
        <v>24407</v>
      </c>
      <c r="I4922" s="2" t="s">
        <v>335</v>
      </c>
      <c r="J4922" s="2" t="s">
        <v>336</v>
      </c>
      <c r="K4922" s="2" t="s">
        <v>15823</v>
      </c>
      <c r="L4922" s="2" t="s">
        <v>24408</v>
      </c>
      <c r="M4922" s="2" t="s">
        <v>24409</v>
      </c>
      <c r="N4922" s="2" t="s">
        <v>24410</v>
      </c>
      <c r="O4922" s="2" t="s">
        <v>24411</v>
      </c>
      <c r="P4922" s="2" t="s">
        <v>24412</v>
      </c>
    </row>
    <row r="4923" ht="15.75" customHeight="1">
      <c r="H4923" s="2" t="s">
        <v>24413</v>
      </c>
      <c r="I4923" s="2" t="s">
        <v>7306</v>
      </c>
      <c r="J4923" s="2" t="s">
        <v>7307</v>
      </c>
      <c r="K4923" s="2" t="s">
        <v>24414</v>
      </c>
      <c r="L4923" s="2" t="s">
        <v>24241</v>
      </c>
      <c r="M4923" s="2" t="s">
        <v>24415</v>
      </c>
      <c r="N4923" s="2" t="s">
        <v>24416</v>
      </c>
      <c r="O4923" s="2" t="s">
        <v>24417</v>
      </c>
      <c r="P4923" s="2" t="s">
        <v>24418</v>
      </c>
    </row>
    <row r="4924" ht="15.75" customHeight="1">
      <c r="H4924" s="2" t="s">
        <v>24419</v>
      </c>
      <c r="I4924" s="2" t="s">
        <v>24420</v>
      </c>
      <c r="J4924" s="2" t="s">
        <v>24421</v>
      </c>
      <c r="K4924" s="2" t="s">
        <v>24294</v>
      </c>
      <c r="L4924" s="2" t="s">
        <v>24241</v>
      </c>
      <c r="M4924" s="2" t="s">
        <v>24422</v>
      </c>
      <c r="N4924" s="2" t="s">
        <v>24423</v>
      </c>
      <c r="O4924" s="2" t="s">
        <v>24424</v>
      </c>
      <c r="P4924" s="2" t="s">
        <v>24425</v>
      </c>
    </row>
    <row r="4925" ht="15.75" customHeight="1">
      <c r="H4925" s="2" t="s">
        <v>24426</v>
      </c>
      <c r="I4925" s="2" t="s">
        <v>376</v>
      </c>
      <c r="J4925" s="2" t="s">
        <v>377</v>
      </c>
      <c r="K4925" s="2" t="s">
        <v>24004</v>
      </c>
      <c r="L4925" s="2" t="s">
        <v>24241</v>
      </c>
      <c r="M4925" s="2" t="s">
        <v>24427</v>
      </c>
      <c r="N4925" s="2" t="s">
        <v>24428</v>
      </c>
      <c r="O4925" s="2" t="s">
        <v>24429</v>
      </c>
      <c r="P4925" s="2" t="s">
        <v>869</v>
      </c>
    </row>
    <row r="4926" ht="15.75" customHeight="1">
      <c r="H4926" s="2" t="s">
        <v>24430</v>
      </c>
      <c r="I4926" s="2" t="s">
        <v>384</v>
      </c>
      <c r="J4926" s="2" t="s">
        <v>385</v>
      </c>
      <c r="K4926" s="2" t="s">
        <v>1676</v>
      </c>
    </row>
    <row r="4927" ht="15.75" customHeight="1">
      <c r="H4927" s="2" t="s">
        <v>24431</v>
      </c>
      <c r="I4927" s="2" t="s">
        <v>415</v>
      </c>
      <c r="J4927" s="2" t="s">
        <v>416</v>
      </c>
      <c r="K4927" s="2" t="s">
        <v>15831</v>
      </c>
      <c r="L4927" s="2" t="s">
        <v>24432</v>
      </c>
      <c r="M4927" s="2" t="s">
        <v>24433</v>
      </c>
      <c r="N4927" s="2" t="s">
        <v>24434</v>
      </c>
      <c r="O4927" s="2" t="s">
        <v>24435</v>
      </c>
      <c r="P4927" s="2" t="s">
        <v>24436</v>
      </c>
    </row>
    <row r="4928" ht="15.75" customHeight="1">
      <c r="H4928" s="2" t="s">
        <v>24437</v>
      </c>
      <c r="I4928" s="2" t="s">
        <v>17045</v>
      </c>
      <c r="J4928" s="2" t="s">
        <v>17046</v>
      </c>
      <c r="K4928" s="2" t="s">
        <v>24438</v>
      </c>
      <c r="L4928" s="2" t="s">
        <v>24241</v>
      </c>
      <c r="M4928" s="2" t="s">
        <v>24439</v>
      </c>
      <c r="N4928" s="2" t="s">
        <v>24440</v>
      </c>
      <c r="O4928" s="2" t="s">
        <v>24441</v>
      </c>
      <c r="P4928" s="2" t="s">
        <v>24442</v>
      </c>
    </row>
    <row r="4929" ht="15.75" customHeight="1">
      <c r="H4929" s="2" t="s">
        <v>24443</v>
      </c>
      <c r="I4929" s="2" t="s">
        <v>432</v>
      </c>
      <c r="J4929" s="2" t="s">
        <v>433</v>
      </c>
      <c r="K4929" s="2" t="s">
        <v>15827</v>
      </c>
      <c r="L4929" s="2" t="s">
        <v>24444</v>
      </c>
      <c r="M4929" s="2" t="s">
        <v>24445</v>
      </c>
      <c r="N4929" s="2" t="s">
        <v>24446</v>
      </c>
      <c r="O4929" s="2" t="s">
        <v>24447</v>
      </c>
      <c r="P4929" s="2" t="s">
        <v>24448</v>
      </c>
    </row>
    <row r="4930" ht="15.75" customHeight="1">
      <c r="H4930" s="2" t="s">
        <v>24449</v>
      </c>
      <c r="I4930" s="2" t="s">
        <v>12278</v>
      </c>
      <c r="J4930" s="2" t="s">
        <v>12279</v>
      </c>
      <c r="K4930" s="2" t="s">
        <v>24450</v>
      </c>
      <c r="L4930" s="2" t="s">
        <v>24241</v>
      </c>
      <c r="M4930" s="2" t="s">
        <v>24451</v>
      </c>
      <c r="N4930" s="2" t="s">
        <v>24452</v>
      </c>
      <c r="O4930" s="2" t="s">
        <v>24453</v>
      </c>
      <c r="P4930" s="2" t="s">
        <v>24454</v>
      </c>
    </row>
    <row r="4931" ht="15.75" customHeight="1">
      <c r="H4931" s="2" t="s">
        <v>24455</v>
      </c>
      <c r="I4931" s="2" t="s">
        <v>449</v>
      </c>
      <c r="J4931" s="2" t="s">
        <v>450</v>
      </c>
      <c r="K4931" s="2" t="s">
        <v>6037</v>
      </c>
      <c r="L4931" s="2" t="s">
        <v>24456</v>
      </c>
      <c r="M4931" s="2" t="s">
        <v>14877</v>
      </c>
      <c r="N4931" s="2" t="s">
        <v>24457</v>
      </c>
      <c r="O4931" s="2" t="s">
        <v>24458</v>
      </c>
      <c r="P4931" s="2" t="s">
        <v>24459</v>
      </c>
    </row>
    <row r="4932" ht="15.75" customHeight="1">
      <c r="H4932" s="2" t="s">
        <v>24460</v>
      </c>
      <c r="I4932" s="2" t="s">
        <v>2331</v>
      </c>
      <c r="J4932" s="2" t="s">
        <v>2332</v>
      </c>
      <c r="K4932" s="2" t="s">
        <v>22041</v>
      </c>
      <c r="L4932" s="2" t="s">
        <v>24241</v>
      </c>
      <c r="M4932" s="2" t="s">
        <v>24461</v>
      </c>
      <c r="N4932" s="2" t="s">
        <v>24462</v>
      </c>
      <c r="O4932" s="2" t="s">
        <v>24463</v>
      </c>
      <c r="P4932" s="2" t="s">
        <v>869</v>
      </c>
    </row>
    <row r="4933" ht="15.75" customHeight="1">
      <c r="H4933" s="2" t="s">
        <v>24464</v>
      </c>
      <c r="I4933" s="2" t="s">
        <v>5541</v>
      </c>
      <c r="J4933" s="2" t="s">
        <v>5542</v>
      </c>
      <c r="K4933" s="2" t="s">
        <v>24465</v>
      </c>
      <c r="L4933" s="2" t="s">
        <v>24241</v>
      </c>
      <c r="M4933" s="2" t="s">
        <v>24466</v>
      </c>
      <c r="N4933" s="2" t="s">
        <v>24467</v>
      </c>
      <c r="O4933" s="2" t="s">
        <v>24468</v>
      </c>
      <c r="P4933" s="2" t="s">
        <v>24469</v>
      </c>
    </row>
    <row r="4934" ht="15.75" customHeight="1">
      <c r="H4934" s="2" t="s">
        <v>24470</v>
      </c>
      <c r="I4934" s="2" t="s">
        <v>485</v>
      </c>
      <c r="J4934" s="2" t="s">
        <v>486</v>
      </c>
      <c r="K4934" s="2" t="s">
        <v>15792</v>
      </c>
      <c r="L4934" s="2" t="s">
        <v>24471</v>
      </c>
      <c r="M4934" s="2" t="s">
        <v>24472</v>
      </c>
      <c r="N4934" s="2" t="s">
        <v>24473</v>
      </c>
      <c r="O4934" s="2" t="s">
        <v>24474</v>
      </c>
      <c r="P4934" s="2" t="s">
        <v>24475</v>
      </c>
    </row>
    <row r="4935" ht="15.75" customHeight="1">
      <c r="H4935" s="2" t="s">
        <v>24476</v>
      </c>
      <c r="I4935" s="2" t="s">
        <v>13849</v>
      </c>
      <c r="J4935" s="2" t="s">
        <v>13850</v>
      </c>
      <c r="K4935" s="2" t="s">
        <v>24477</v>
      </c>
      <c r="L4935" s="2" t="s">
        <v>24241</v>
      </c>
      <c r="M4935" s="2" t="s">
        <v>24478</v>
      </c>
      <c r="N4935" s="2" t="s">
        <v>24479</v>
      </c>
      <c r="O4935" s="2" t="s">
        <v>24480</v>
      </c>
      <c r="P4935" s="2" t="s">
        <v>24481</v>
      </c>
    </row>
    <row r="4936" ht="15.75" customHeight="1">
      <c r="H4936" s="2" t="s">
        <v>24482</v>
      </c>
      <c r="I4936" s="2" t="s">
        <v>19719</v>
      </c>
      <c r="J4936" s="2" t="s">
        <v>19720</v>
      </c>
      <c r="K4936" s="2" t="s">
        <v>24483</v>
      </c>
      <c r="L4936" s="2" t="s">
        <v>24241</v>
      </c>
      <c r="M4936" s="2" t="s">
        <v>24484</v>
      </c>
      <c r="N4936" s="2" t="s">
        <v>24485</v>
      </c>
      <c r="O4936" s="2" t="s">
        <v>24486</v>
      </c>
      <c r="P4936" s="2" t="s">
        <v>24487</v>
      </c>
    </row>
    <row r="4937" ht="15.75" customHeight="1">
      <c r="H4937" s="2" t="s">
        <v>24488</v>
      </c>
      <c r="I4937" s="2" t="s">
        <v>526</v>
      </c>
      <c r="J4937" s="2" t="s">
        <v>527</v>
      </c>
      <c r="K4937" s="2" t="s">
        <v>24084</v>
      </c>
      <c r="L4937" s="2" t="s">
        <v>24489</v>
      </c>
      <c r="M4937" s="2" t="s">
        <v>24490</v>
      </c>
      <c r="N4937" s="2" t="s">
        <v>24491</v>
      </c>
      <c r="O4937" s="2" t="s">
        <v>24492</v>
      </c>
      <c r="P4937" s="2" t="s">
        <v>24493</v>
      </c>
    </row>
    <row r="4938" ht="15.75" customHeight="1">
      <c r="F4938" s="2" t="s">
        <v>534</v>
      </c>
      <c r="H4938" s="2" t="s">
        <v>24494</v>
      </c>
      <c r="I4938" s="2" t="s">
        <v>536</v>
      </c>
      <c r="J4938" s="2" t="s">
        <v>537</v>
      </c>
      <c r="K4938" s="2" t="s">
        <v>538</v>
      </c>
    </row>
    <row r="4939" ht="15.75" customHeight="1">
      <c r="F4939" s="2" t="s">
        <v>548</v>
      </c>
      <c r="H4939" s="2" t="s">
        <v>24495</v>
      </c>
      <c r="I4939" s="2" t="s">
        <v>8036</v>
      </c>
      <c r="J4939" s="2" t="s">
        <v>8037</v>
      </c>
      <c r="K4939" s="2" t="s">
        <v>6000</v>
      </c>
      <c r="L4939" s="2" t="s">
        <v>24241</v>
      </c>
      <c r="M4939" s="2" t="s">
        <v>24496</v>
      </c>
      <c r="N4939" s="2" t="s">
        <v>24497</v>
      </c>
      <c r="O4939" s="2" t="s">
        <v>24498</v>
      </c>
      <c r="P4939" s="2" t="s">
        <v>24499</v>
      </c>
    </row>
    <row r="4940" ht="15.75" customHeight="1">
      <c r="H4940" s="2" t="s">
        <v>24500</v>
      </c>
      <c r="I4940" s="2" t="s">
        <v>550</v>
      </c>
      <c r="J4940" s="2" t="s">
        <v>551</v>
      </c>
      <c r="K4940" s="2" t="s">
        <v>6050</v>
      </c>
      <c r="L4940" s="2" t="s">
        <v>24241</v>
      </c>
      <c r="M4940" s="2" t="s">
        <v>24501</v>
      </c>
      <c r="N4940" s="2" t="s">
        <v>24502</v>
      </c>
      <c r="O4940" s="2" t="s">
        <v>24503</v>
      </c>
      <c r="P4940" s="2" t="s">
        <v>24504</v>
      </c>
    </row>
    <row r="4941" ht="15.75" customHeight="1">
      <c r="F4941" s="2" t="s">
        <v>556</v>
      </c>
      <c r="H4941" s="2" t="s">
        <v>24505</v>
      </c>
      <c r="I4941" s="2" t="s">
        <v>16276</v>
      </c>
      <c r="J4941" s="2" t="s">
        <v>16277</v>
      </c>
      <c r="K4941" s="2" t="s">
        <v>24506</v>
      </c>
      <c r="L4941" s="2" t="s">
        <v>24241</v>
      </c>
      <c r="M4941" s="2" t="s">
        <v>24507</v>
      </c>
      <c r="N4941" s="2" t="s">
        <v>24508</v>
      </c>
      <c r="O4941" s="2" t="s">
        <v>24509</v>
      </c>
      <c r="P4941" s="2" t="s">
        <v>24510</v>
      </c>
    </row>
    <row r="4942" ht="15.75" customHeight="1">
      <c r="F4942" s="2" t="s">
        <v>598</v>
      </c>
      <c r="H4942" s="2" t="s">
        <v>24511</v>
      </c>
      <c r="I4942" s="2" t="s">
        <v>608</v>
      </c>
      <c r="J4942" s="2" t="s">
        <v>609</v>
      </c>
      <c r="K4942" s="2" t="s">
        <v>15868</v>
      </c>
      <c r="L4942" s="2" t="s">
        <v>24512</v>
      </c>
      <c r="M4942" s="2" t="s">
        <v>24513</v>
      </c>
      <c r="N4942" s="2" t="s">
        <v>24514</v>
      </c>
      <c r="O4942" s="2" t="s">
        <v>24515</v>
      </c>
      <c r="P4942" s="2" t="s">
        <v>24516</v>
      </c>
    </row>
    <row r="4943" ht="15.75" customHeight="1">
      <c r="F4943" s="2" t="s">
        <v>3521</v>
      </c>
      <c r="H4943" s="2" t="s">
        <v>24517</v>
      </c>
      <c r="I4943" s="2" t="s">
        <v>12397</v>
      </c>
      <c r="J4943" s="2" t="s">
        <v>12398</v>
      </c>
      <c r="K4943" s="2" t="s">
        <v>24518</v>
      </c>
      <c r="L4943" s="2" t="s">
        <v>24241</v>
      </c>
      <c r="M4943" s="2" t="s">
        <v>24519</v>
      </c>
      <c r="N4943" s="2" t="s">
        <v>24520</v>
      </c>
      <c r="O4943" s="2" t="s">
        <v>24521</v>
      </c>
      <c r="P4943" s="2" t="s">
        <v>869</v>
      </c>
    </row>
    <row r="4944" ht="15.75" customHeight="1">
      <c r="H4944" s="2" t="s">
        <v>24522</v>
      </c>
      <c r="I4944" s="2" t="s">
        <v>12861</v>
      </c>
      <c r="J4944" s="2" t="s">
        <v>12862</v>
      </c>
      <c r="K4944" s="2" t="s">
        <v>22457</v>
      </c>
      <c r="L4944" s="2" t="s">
        <v>24241</v>
      </c>
      <c r="M4944" s="2" t="s">
        <v>24523</v>
      </c>
      <c r="N4944" s="2" t="s">
        <v>24524</v>
      </c>
      <c r="O4944" s="2" t="s">
        <v>24525</v>
      </c>
      <c r="P4944" s="2" t="s">
        <v>24526</v>
      </c>
    </row>
    <row r="4945" ht="15.75" customHeight="1">
      <c r="H4945" s="2" t="s">
        <v>24527</v>
      </c>
      <c r="I4945" s="2" t="s">
        <v>3543</v>
      </c>
      <c r="J4945" s="2" t="s">
        <v>3544</v>
      </c>
      <c r="K4945" s="2" t="s">
        <v>24528</v>
      </c>
      <c r="L4945" s="2" t="s">
        <v>24241</v>
      </c>
      <c r="M4945" s="2" t="s">
        <v>24529</v>
      </c>
      <c r="N4945" s="2" t="s">
        <v>24530</v>
      </c>
      <c r="O4945" s="2" t="s">
        <v>24531</v>
      </c>
      <c r="P4945" s="2" t="s">
        <v>24532</v>
      </c>
    </row>
    <row r="4946" ht="15.75" customHeight="1">
      <c r="H4946" s="2" t="s">
        <v>24533</v>
      </c>
      <c r="I4946" s="2" t="s">
        <v>3553</v>
      </c>
      <c r="J4946" s="2" t="s">
        <v>3554</v>
      </c>
      <c r="K4946" s="2" t="s">
        <v>24379</v>
      </c>
      <c r="L4946" s="2" t="s">
        <v>24241</v>
      </c>
      <c r="M4946" s="2" t="s">
        <v>24534</v>
      </c>
      <c r="N4946" s="2" t="s">
        <v>24535</v>
      </c>
      <c r="O4946" s="2" t="s">
        <v>24536</v>
      </c>
      <c r="P4946" s="2" t="s">
        <v>24537</v>
      </c>
    </row>
    <row r="4947" ht="15.75" customHeight="1">
      <c r="H4947" s="2" t="s">
        <v>24538</v>
      </c>
      <c r="I4947" s="2" t="s">
        <v>3558</v>
      </c>
      <c r="J4947" s="2" t="s">
        <v>3559</v>
      </c>
      <c r="K4947" s="2" t="s">
        <v>24137</v>
      </c>
      <c r="L4947" s="2" t="s">
        <v>24241</v>
      </c>
      <c r="M4947" s="2" t="s">
        <v>24539</v>
      </c>
      <c r="N4947" s="2" t="s">
        <v>24540</v>
      </c>
      <c r="O4947" s="2" t="s">
        <v>24541</v>
      </c>
      <c r="P4947" s="2" t="s">
        <v>24542</v>
      </c>
    </row>
    <row r="4948" ht="15.75" customHeight="1">
      <c r="F4948" s="2" t="s">
        <v>660</v>
      </c>
      <c r="H4948" s="2" t="s">
        <v>24543</v>
      </c>
      <c r="I4948" s="2" t="s">
        <v>1215</v>
      </c>
      <c r="J4948" s="2" t="s">
        <v>1216</v>
      </c>
      <c r="K4948" s="2" t="s">
        <v>15872</v>
      </c>
      <c r="L4948" s="2" t="s">
        <v>24241</v>
      </c>
      <c r="M4948" s="2" t="s">
        <v>24544</v>
      </c>
      <c r="N4948" s="2" t="s">
        <v>24545</v>
      </c>
      <c r="O4948" s="2" t="s">
        <v>24546</v>
      </c>
      <c r="P4948" s="2" t="s">
        <v>869</v>
      </c>
    </row>
    <row r="4949" ht="15.75" customHeight="1">
      <c r="F4949" s="2" t="s">
        <v>703</v>
      </c>
      <c r="H4949" s="2" t="s">
        <v>24547</v>
      </c>
      <c r="I4949" s="2" t="s">
        <v>713</v>
      </c>
      <c r="J4949" s="2" t="s">
        <v>714</v>
      </c>
      <c r="K4949" s="2" t="s">
        <v>15809</v>
      </c>
      <c r="L4949" s="2" t="s">
        <v>24548</v>
      </c>
      <c r="M4949" s="2" t="s">
        <v>24549</v>
      </c>
      <c r="N4949" s="2" t="s">
        <v>24550</v>
      </c>
      <c r="O4949" s="2" t="s">
        <v>24551</v>
      </c>
      <c r="P4949" s="2" t="s">
        <v>24552</v>
      </c>
    </row>
    <row r="4950" ht="15.75" customHeight="1">
      <c r="F4950" s="2" t="s">
        <v>728</v>
      </c>
      <c r="H4950" s="2" t="s">
        <v>24553</v>
      </c>
      <c r="I4950" s="2" t="s">
        <v>730</v>
      </c>
      <c r="J4950" s="2" t="s">
        <v>731</v>
      </c>
      <c r="K4950" s="2" t="s">
        <v>6046</v>
      </c>
      <c r="L4950" s="2" t="s">
        <v>24241</v>
      </c>
      <c r="M4950" s="2" t="s">
        <v>24554</v>
      </c>
      <c r="N4950" s="2" t="s">
        <v>24555</v>
      </c>
      <c r="O4950" s="2" t="s">
        <v>24556</v>
      </c>
      <c r="P4950" s="2" t="s">
        <v>24557</v>
      </c>
    </row>
    <row r="4951" ht="15.75" customHeight="1">
      <c r="F4951" s="2" t="s">
        <v>746</v>
      </c>
      <c r="H4951" s="2" t="s">
        <v>24558</v>
      </c>
      <c r="I4951" s="2" t="s">
        <v>24559</v>
      </c>
      <c r="J4951" s="2" t="s">
        <v>24560</v>
      </c>
      <c r="K4951" s="2" t="s">
        <v>24561</v>
      </c>
      <c r="L4951" s="2" t="s">
        <v>24241</v>
      </c>
      <c r="M4951" s="2" t="s">
        <v>24562</v>
      </c>
      <c r="N4951" s="2" t="s">
        <v>24563</v>
      </c>
      <c r="O4951" s="2" t="s">
        <v>24564</v>
      </c>
      <c r="P4951" s="2" t="s">
        <v>869</v>
      </c>
    </row>
    <row r="4952" ht="15.75" customHeight="1">
      <c r="H4952" s="2" t="s">
        <v>24565</v>
      </c>
      <c r="I4952" s="2" t="s">
        <v>17681</v>
      </c>
      <c r="J4952" s="2" t="s">
        <v>17682</v>
      </c>
      <c r="K4952" s="2" t="s">
        <v>24566</v>
      </c>
      <c r="L4952" s="2" t="s">
        <v>24241</v>
      </c>
      <c r="M4952" s="2" t="s">
        <v>24567</v>
      </c>
      <c r="N4952" s="2" t="s">
        <v>24568</v>
      </c>
      <c r="O4952" s="2" t="s">
        <v>24569</v>
      </c>
      <c r="P4952" s="2" t="s">
        <v>24570</v>
      </c>
    </row>
    <row r="4953" ht="15.75" customHeight="1">
      <c r="H4953" s="2" t="s">
        <v>24571</v>
      </c>
      <c r="I4953" s="2" t="s">
        <v>24572</v>
      </c>
      <c r="J4953" s="2" t="s">
        <v>24573</v>
      </c>
      <c r="K4953" s="2" t="s">
        <v>6087</v>
      </c>
      <c r="L4953" s="2" t="s">
        <v>24241</v>
      </c>
      <c r="M4953" s="2" t="s">
        <v>24574</v>
      </c>
      <c r="N4953" s="2" t="s">
        <v>24575</v>
      </c>
      <c r="O4953" s="2" t="s">
        <v>24576</v>
      </c>
      <c r="P4953" s="2" t="s">
        <v>869</v>
      </c>
    </row>
    <row r="4954" ht="15.75" customHeight="1">
      <c r="H4954" s="2" t="s">
        <v>24577</v>
      </c>
      <c r="I4954" s="2" t="s">
        <v>4277</v>
      </c>
      <c r="J4954" s="2" t="s">
        <v>4278</v>
      </c>
      <c r="K4954" s="2" t="s">
        <v>24578</v>
      </c>
      <c r="L4954" s="2" t="s">
        <v>24241</v>
      </c>
      <c r="M4954" s="2" t="s">
        <v>24579</v>
      </c>
      <c r="N4954" s="2" t="s">
        <v>24580</v>
      </c>
      <c r="O4954" s="2" t="s">
        <v>24581</v>
      </c>
      <c r="P4954" s="2" t="s">
        <v>24582</v>
      </c>
    </row>
    <row r="4955" ht="15.75" customHeight="1">
      <c r="H4955" s="2" t="s">
        <v>24583</v>
      </c>
      <c r="I4955" s="2" t="s">
        <v>4282</v>
      </c>
      <c r="J4955" s="2" t="s">
        <v>4283</v>
      </c>
      <c r="K4955" s="2" t="s">
        <v>6046</v>
      </c>
      <c r="L4955" s="2" t="s">
        <v>24241</v>
      </c>
      <c r="M4955" s="2" t="s">
        <v>24584</v>
      </c>
      <c r="N4955" s="2" t="s">
        <v>24585</v>
      </c>
      <c r="O4955" s="2" t="s">
        <v>24586</v>
      </c>
      <c r="P4955" s="2" t="s">
        <v>24587</v>
      </c>
    </row>
    <row r="4956" ht="15.75" customHeight="1">
      <c r="H4956" s="2" t="s">
        <v>24588</v>
      </c>
      <c r="I4956" s="2" t="s">
        <v>4323</v>
      </c>
      <c r="J4956" s="2" t="s">
        <v>4324</v>
      </c>
      <c r="K4956" s="2" t="s">
        <v>6041</v>
      </c>
      <c r="L4956" s="2" t="s">
        <v>24241</v>
      </c>
      <c r="M4956" s="2" t="s">
        <v>24589</v>
      </c>
      <c r="N4956" s="2" t="s">
        <v>24590</v>
      </c>
      <c r="O4956" s="2" t="s">
        <v>24591</v>
      </c>
      <c r="P4956" s="2" t="s">
        <v>24592</v>
      </c>
    </row>
    <row r="4957" ht="15.75" customHeight="1">
      <c r="H4957" s="2" t="s">
        <v>24593</v>
      </c>
      <c r="I4957" s="2" t="s">
        <v>24594</v>
      </c>
      <c r="J4957" s="2" t="s">
        <v>24595</v>
      </c>
      <c r="K4957" s="2" t="s">
        <v>24596</v>
      </c>
      <c r="L4957" s="2" t="s">
        <v>24241</v>
      </c>
      <c r="M4957" s="2" t="s">
        <v>24597</v>
      </c>
      <c r="N4957" s="2" t="s">
        <v>24598</v>
      </c>
      <c r="O4957" s="2" t="s">
        <v>24599</v>
      </c>
      <c r="P4957" s="2" t="s">
        <v>869</v>
      </c>
    </row>
    <row r="4958" ht="15.75" customHeight="1">
      <c r="F4958" s="2" t="s">
        <v>755</v>
      </c>
      <c r="H4958" s="2" t="s">
        <v>24600</v>
      </c>
      <c r="I4958" s="2" t="s">
        <v>757</v>
      </c>
      <c r="J4958" s="2" t="s">
        <v>758</v>
      </c>
      <c r="K4958" s="2" t="s">
        <v>6006</v>
      </c>
      <c r="L4958" s="2" t="s">
        <v>24241</v>
      </c>
      <c r="M4958" s="2" t="s">
        <v>24601</v>
      </c>
      <c r="N4958" s="2" t="s">
        <v>24602</v>
      </c>
      <c r="O4958" s="2" t="s">
        <v>24603</v>
      </c>
      <c r="P4958" s="2" t="s">
        <v>24604</v>
      </c>
    </row>
    <row r="4959" ht="15.75" customHeight="1">
      <c r="F4959" s="2" t="s">
        <v>4677</v>
      </c>
      <c r="H4959" s="2" t="s">
        <v>24605</v>
      </c>
      <c r="I4959" s="2" t="s">
        <v>4694</v>
      </c>
      <c r="J4959" s="2" t="s">
        <v>4695</v>
      </c>
      <c r="K4959" s="2" t="s">
        <v>6050</v>
      </c>
      <c r="L4959" s="2" t="s">
        <v>24241</v>
      </c>
      <c r="M4959" s="2" t="s">
        <v>24606</v>
      </c>
      <c r="N4959" s="2" t="s">
        <v>24607</v>
      </c>
      <c r="O4959" s="2" t="s">
        <v>24608</v>
      </c>
      <c r="P4959" s="2" t="s">
        <v>24609</v>
      </c>
    </row>
    <row r="4960" ht="15.75" customHeight="1">
      <c r="F4960" s="2" t="s">
        <v>773</v>
      </c>
      <c r="H4960" s="2" t="s">
        <v>24610</v>
      </c>
      <c r="I4960" s="2" t="s">
        <v>775</v>
      </c>
      <c r="J4960" s="2" t="s">
        <v>776</v>
      </c>
      <c r="K4960" s="2" t="s">
        <v>22055</v>
      </c>
      <c r="L4960" s="2" t="s">
        <v>24241</v>
      </c>
      <c r="M4960" s="2" t="s">
        <v>24611</v>
      </c>
      <c r="N4960" s="2" t="s">
        <v>24612</v>
      </c>
      <c r="O4960" s="2" t="s">
        <v>24613</v>
      </c>
      <c r="P4960" s="2" t="s">
        <v>24614</v>
      </c>
    </row>
    <row r="4961" ht="15.75" customHeight="1">
      <c r="F4961" s="2" t="s">
        <v>782</v>
      </c>
      <c r="H4961" s="2" t="s">
        <v>24615</v>
      </c>
      <c r="I4961" s="2" t="s">
        <v>12989</v>
      </c>
      <c r="J4961" s="2" t="s">
        <v>12990</v>
      </c>
      <c r="K4961" s="2" t="s">
        <v>6006</v>
      </c>
      <c r="L4961" s="2" t="s">
        <v>24241</v>
      </c>
      <c r="M4961" s="2" t="s">
        <v>24616</v>
      </c>
      <c r="N4961" s="2" t="s">
        <v>24617</v>
      </c>
      <c r="O4961" s="2" t="s">
        <v>24618</v>
      </c>
      <c r="P4961" s="2" t="s">
        <v>24619</v>
      </c>
    </row>
    <row r="4962" ht="15.75" customHeight="1">
      <c r="H4962" s="2" t="s">
        <v>24620</v>
      </c>
      <c r="I4962" s="2" t="s">
        <v>784</v>
      </c>
      <c r="J4962" s="2" t="s">
        <v>785</v>
      </c>
      <c r="K4962" s="2" t="s">
        <v>24621</v>
      </c>
      <c r="L4962" s="2" t="s">
        <v>24241</v>
      </c>
      <c r="M4962" s="2" t="s">
        <v>24622</v>
      </c>
      <c r="N4962" s="2" t="s">
        <v>24623</v>
      </c>
      <c r="O4962" s="2" t="s">
        <v>24624</v>
      </c>
      <c r="P4962" s="2" t="s">
        <v>24625</v>
      </c>
    </row>
    <row r="4963" ht="15.75" customHeight="1">
      <c r="F4963" s="2" t="s">
        <v>800</v>
      </c>
      <c r="H4963" s="2" t="s">
        <v>24626</v>
      </c>
      <c r="I4963" s="2" t="s">
        <v>2917</v>
      </c>
      <c r="J4963" s="2" t="s">
        <v>2918</v>
      </c>
      <c r="K4963" s="2" t="s">
        <v>6074</v>
      </c>
      <c r="L4963" s="2" t="s">
        <v>24241</v>
      </c>
      <c r="M4963" s="2" t="s">
        <v>24627</v>
      </c>
      <c r="N4963" s="2" t="s">
        <v>24628</v>
      </c>
      <c r="O4963" s="2" t="s">
        <v>24629</v>
      </c>
      <c r="P4963" s="2" t="s">
        <v>24630</v>
      </c>
    </row>
    <row r="4964" ht="15.75" customHeight="1">
      <c r="H4964" s="2" t="s">
        <v>24631</v>
      </c>
      <c r="I4964" s="2" t="s">
        <v>5093</v>
      </c>
      <c r="J4964" s="2" t="s">
        <v>5094</v>
      </c>
      <c r="K4964" s="2" t="s">
        <v>24632</v>
      </c>
      <c r="L4964" s="2" t="s">
        <v>24241</v>
      </c>
      <c r="M4964" s="2" t="s">
        <v>24633</v>
      </c>
      <c r="N4964" s="2" t="s">
        <v>24634</v>
      </c>
      <c r="O4964" s="2" t="s">
        <v>24635</v>
      </c>
      <c r="P4964" s="2" t="s">
        <v>24636</v>
      </c>
    </row>
    <row r="4965" ht="15.75" customHeight="1">
      <c r="H4965" s="2" t="s">
        <v>24637</v>
      </c>
      <c r="I4965" s="2" t="s">
        <v>5986</v>
      </c>
      <c r="J4965" s="2" t="s">
        <v>5987</v>
      </c>
      <c r="K4965" s="2" t="s">
        <v>6091</v>
      </c>
      <c r="L4965" s="2" t="s">
        <v>24241</v>
      </c>
      <c r="M4965" s="2" t="s">
        <v>24638</v>
      </c>
      <c r="N4965" s="2" t="s">
        <v>24639</v>
      </c>
      <c r="O4965" s="2" t="s">
        <v>24640</v>
      </c>
      <c r="P4965" s="2" t="s">
        <v>24641</v>
      </c>
    </row>
    <row r="4966" ht="15.75" customHeight="1">
      <c r="B4966" s="2" t="s">
        <v>24642</v>
      </c>
      <c r="C4966" s="2" t="s">
        <v>16210</v>
      </c>
      <c r="D4966" s="2" t="s">
        <v>24643</v>
      </c>
      <c r="F4966" s="2" t="s">
        <v>19</v>
      </c>
      <c r="H4966" s="2" t="s">
        <v>24644</v>
      </c>
      <c r="I4966" s="2" t="s">
        <v>21</v>
      </c>
      <c r="J4966" s="2" t="s">
        <v>22</v>
      </c>
      <c r="K4966" s="2" t="s">
        <v>5995</v>
      </c>
      <c r="L4966" s="2" t="s">
        <v>24645</v>
      </c>
      <c r="M4966" s="2" t="s">
        <v>24646</v>
      </c>
      <c r="N4966" s="2" t="s">
        <v>24647</v>
      </c>
      <c r="O4966" s="2" t="s">
        <v>24648</v>
      </c>
      <c r="P4966" s="2" t="s">
        <v>869</v>
      </c>
    </row>
    <row r="4967" ht="15.75" customHeight="1">
      <c r="F4967" s="2" t="s">
        <v>29</v>
      </c>
      <c r="H4967" s="2" t="s">
        <v>24649</v>
      </c>
      <c r="I4967" s="2" t="s">
        <v>31</v>
      </c>
      <c r="J4967" s="2" t="s">
        <v>32</v>
      </c>
      <c r="K4967" s="2" t="s">
        <v>6000</v>
      </c>
      <c r="L4967" s="2" t="s">
        <v>24650</v>
      </c>
      <c r="M4967" s="2" t="s">
        <v>24651</v>
      </c>
      <c r="N4967" s="2" t="s">
        <v>24652</v>
      </c>
      <c r="O4967" s="2" t="s">
        <v>24653</v>
      </c>
      <c r="P4967" s="2" t="s">
        <v>869</v>
      </c>
    </row>
    <row r="4968" ht="15.75" customHeight="1">
      <c r="H4968" s="2" t="s">
        <v>24654</v>
      </c>
      <c r="I4968" s="2" t="s">
        <v>1215</v>
      </c>
      <c r="J4968" s="2" t="s">
        <v>1216</v>
      </c>
      <c r="K4968" s="2" t="s">
        <v>24655</v>
      </c>
      <c r="L4968" s="2" t="s">
        <v>24656</v>
      </c>
      <c r="M4968" s="2" t="s">
        <v>24657</v>
      </c>
      <c r="N4968" s="2" t="s">
        <v>24658</v>
      </c>
      <c r="O4968" s="2" t="s">
        <v>24659</v>
      </c>
      <c r="P4968" s="2" t="s">
        <v>869</v>
      </c>
    </row>
    <row r="4969" ht="15.75" customHeight="1">
      <c r="F4969" s="2" t="s">
        <v>56</v>
      </c>
      <c r="H4969" s="2" t="s">
        <v>24660</v>
      </c>
      <c r="I4969" s="2" t="s">
        <v>1382</v>
      </c>
      <c r="J4969" s="2" t="s">
        <v>1383</v>
      </c>
      <c r="K4969" s="2" t="s">
        <v>15805</v>
      </c>
      <c r="L4969" s="2" t="s">
        <v>24656</v>
      </c>
      <c r="M4969" s="2" t="s">
        <v>24661</v>
      </c>
      <c r="N4969" s="2" t="s">
        <v>24662</v>
      </c>
      <c r="O4969" s="2" t="s">
        <v>24663</v>
      </c>
      <c r="P4969" s="2" t="s">
        <v>869</v>
      </c>
    </row>
    <row r="4970" ht="15.75" customHeight="1">
      <c r="F4970" s="2" t="s">
        <v>65</v>
      </c>
      <c r="H4970" s="2" t="s">
        <v>24664</v>
      </c>
      <c r="I4970" s="2" t="s">
        <v>67</v>
      </c>
      <c r="J4970" s="2" t="s">
        <v>68</v>
      </c>
      <c r="K4970" s="2" t="s">
        <v>24665</v>
      </c>
      <c r="L4970" s="2" t="s">
        <v>24656</v>
      </c>
      <c r="M4970" s="2" t="s">
        <v>24666</v>
      </c>
      <c r="N4970" s="2" t="s">
        <v>24667</v>
      </c>
      <c r="O4970" s="2" t="s">
        <v>24668</v>
      </c>
      <c r="P4970" s="2" t="s">
        <v>869</v>
      </c>
    </row>
    <row r="4971" ht="15.75" customHeight="1">
      <c r="F4971" s="2" t="s">
        <v>74</v>
      </c>
      <c r="H4971" s="2" t="s">
        <v>24669</v>
      </c>
      <c r="I4971" s="2" t="s">
        <v>76</v>
      </c>
      <c r="J4971" s="2" t="s">
        <v>77</v>
      </c>
      <c r="K4971" s="2" t="s">
        <v>15779</v>
      </c>
      <c r="L4971" s="2" t="s">
        <v>24670</v>
      </c>
      <c r="M4971" s="2" t="s">
        <v>24671</v>
      </c>
      <c r="N4971" s="2" t="s">
        <v>24672</v>
      </c>
      <c r="O4971" s="2" t="s">
        <v>24673</v>
      </c>
      <c r="P4971" s="2" t="s">
        <v>869</v>
      </c>
    </row>
    <row r="4972" ht="15.75" customHeight="1">
      <c r="H4972" s="2" t="s">
        <v>24674</v>
      </c>
      <c r="I4972" s="2" t="s">
        <v>101</v>
      </c>
      <c r="J4972" s="2" t="s">
        <v>102</v>
      </c>
      <c r="K4972" s="2" t="s">
        <v>24379</v>
      </c>
      <c r="L4972" s="2" t="s">
        <v>24656</v>
      </c>
      <c r="M4972" s="2" t="s">
        <v>24675</v>
      </c>
      <c r="N4972" s="2" t="s">
        <v>24676</v>
      </c>
      <c r="O4972" s="2" t="s">
        <v>24677</v>
      </c>
      <c r="P4972" s="2" t="s">
        <v>869</v>
      </c>
    </row>
    <row r="4973" ht="15.75" customHeight="1">
      <c r="H4973" s="2" t="s">
        <v>24678</v>
      </c>
      <c r="I4973" s="2" t="s">
        <v>12139</v>
      </c>
      <c r="J4973" s="2" t="s">
        <v>12140</v>
      </c>
      <c r="K4973" s="2" t="s">
        <v>24679</v>
      </c>
      <c r="L4973" s="2" t="s">
        <v>24656</v>
      </c>
      <c r="M4973" s="2" t="s">
        <v>24680</v>
      </c>
      <c r="N4973" s="2" t="s">
        <v>24681</v>
      </c>
      <c r="O4973" s="2" t="s">
        <v>24682</v>
      </c>
      <c r="P4973" s="2" t="s">
        <v>869</v>
      </c>
    </row>
    <row r="4974" ht="15.75" customHeight="1">
      <c r="H4974" s="2" t="s">
        <v>24683</v>
      </c>
      <c r="I4974" s="2" t="s">
        <v>24684</v>
      </c>
      <c r="J4974" s="2" t="s">
        <v>24685</v>
      </c>
      <c r="K4974" s="2" t="s">
        <v>24686</v>
      </c>
      <c r="L4974" s="2" t="s">
        <v>24656</v>
      </c>
      <c r="M4974" s="2" t="s">
        <v>24687</v>
      </c>
      <c r="N4974" s="2" t="s">
        <v>24688</v>
      </c>
      <c r="O4974" s="2" t="s">
        <v>24689</v>
      </c>
      <c r="P4974" s="2" t="s">
        <v>869</v>
      </c>
    </row>
    <row r="4975" ht="15.75" customHeight="1">
      <c r="H4975" s="2" t="s">
        <v>24690</v>
      </c>
      <c r="I4975" s="2" t="s">
        <v>7081</v>
      </c>
      <c r="J4975" s="2" t="s">
        <v>7082</v>
      </c>
      <c r="K4975" s="2" t="s">
        <v>24655</v>
      </c>
      <c r="L4975" s="2" t="s">
        <v>24656</v>
      </c>
      <c r="M4975" s="2" t="s">
        <v>24691</v>
      </c>
      <c r="N4975" s="2" t="s">
        <v>24692</v>
      </c>
      <c r="O4975" s="2" t="s">
        <v>24692</v>
      </c>
      <c r="P4975" s="2" t="s">
        <v>869</v>
      </c>
    </row>
    <row r="4976" ht="15.75" customHeight="1">
      <c r="H4976" s="2" t="s">
        <v>24693</v>
      </c>
      <c r="I4976" s="2" t="s">
        <v>1663</v>
      </c>
      <c r="J4976" s="2" t="s">
        <v>1664</v>
      </c>
      <c r="K4976" s="2" t="s">
        <v>24288</v>
      </c>
      <c r="L4976" s="2" t="s">
        <v>24656</v>
      </c>
      <c r="M4976" s="2" t="s">
        <v>24694</v>
      </c>
      <c r="N4976" s="2" t="s">
        <v>24695</v>
      </c>
      <c r="O4976" s="2" t="s">
        <v>24696</v>
      </c>
      <c r="P4976" s="2" t="s">
        <v>869</v>
      </c>
    </row>
    <row r="4977" ht="15.75" customHeight="1">
      <c r="H4977" s="2" t="s">
        <v>24697</v>
      </c>
      <c r="I4977" s="2" t="s">
        <v>159</v>
      </c>
      <c r="J4977" s="2" t="s">
        <v>160</v>
      </c>
      <c r="K4977" s="2" t="s">
        <v>24294</v>
      </c>
      <c r="L4977" s="2" t="s">
        <v>24656</v>
      </c>
      <c r="M4977" s="2" t="s">
        <v>24698</v>
      </c>
      <c r="N4977" s="2" t="s">
        <v>24699</v>
      </c>
      <c r="O4977" s="2" t="s">
        <v>24700</v>
      </c>
      <c r="P4977" s="2" t="s">
        <v>869</v>
      </c>
    </row>
    <row r="4978" ht="15.75" customHeight="1">
      <c r="H4978" s="2" t="s">
        <v>24701</v>
      </c>
      <c r="I4978" s="2" t="s">
        <v>24702</v>
      </c>
      <c r="J4978" s="2" t="s">
        <v>24703</v>
      </c>
      <c r="K4978" s="2" t="s">
        <v>24004</v>
      </c>
      <c r="L4978" s="2" t="s">
        <v>24656</v>
      </c>
      <c r="M4978" s="2" t="s">
        <v>24704</v>
      </c>
      <c r="N4978" s="2" t="s">
        <v>24705</v>
      </c>
      <c r="O4978" s="2" t="s">
        <v>869</v>
      </c>
      <c r="P4978" s="2" t="s">
        <v>870</v>
      </c>
    </row>
    <row r="4979" ht="15.75" customHeight="1">
      <c r="H4979" s="2" t="s">
        <v>24706</v>
      </c>
      <c r="I4979" s="2" t="s">
        <v>167</v>
      </c>
      <c r="J4979" s="2" t="s">
        <v>168</v>
      </c>
      <c r="K4979" s="2" t="s">
        <v>15784</v>
      </c>
      <c r="L4979" s="2" t="s">
        <v>24707</v>
      </c>
      <c r="M4979" s="2" t="s">
        <v>24708</v>
      </c>
      <c r="N4979" s="2" t="s">
        <v>24709</v>
      </c>
      <c r="O4979" s="2" t="s">
        <v>24710</v>
      </c>
      <c r="P4979" s="2" t="s">
        <v>869</v>
      </c>
    </row>
    <row r="4980" ht="15.75" customHeight="1">
      <c r="H4980" s="2" t="s">
        <v>24711</v>
      </c>
      <c r="I4980" s="2" t="s">
        <v>12164</v>
      </c>
      <c r="J4980" s="2" t="s">
        <v>12165</v>
      </c>
      <c r="K4980" s="2" t="s">
        <v>24712</v>
      </c>
      <c r="L4980" s="2" t="s">
        <v>24656</v>
      </c>
      <c r="M4980" s="2" t="s">
        <v>24713</v>
      </c>
      <c r="N4980" s="2" t="s">
        <v>24714</v>
      </c>
      <c r="O4980" s="2" t="s">
        <v>24715</v>
      </c>
      <c r="P4980" s="2" t="s">
        <v>869</v>
      </c>
    </row>
    <row r="4981" ht="15.75" customHeight="1">
      <c r="H4981" s="2" t="s">
        <v>24716</v>
      </c>
      <c r="I4981" s="2" t="s">
        <v>1702</v>
      </c>
      <c r="J4981" s="2" t="s">
        <v>1703</v>
      </c>
      <c r="K4981" s="2" t="s">
        <v>24450</v>
      </c>
      <c r="L4981" s="2" t="s">
        <v>24656</v>
      </c>
      <c r="M4981" s="2" t="s">
        <v>24717</v>
      </c>
      <c r="N4981" s="2" t="s">
        <v>24718</v>
      </c>
      <c r="O4981" s="2" t="s">
        <v>24719</v>
      </c>
      <c r="P4981" s="2" t="s">
        <v>869</v>
      </c>
    </row>
    <row r="4982" ht="15.75" customHeight="1">
      <c r="H4982" s="2" t="s">
        <v>24720</v>
      </c>
      <c r="I4982" s="2" t="s">
        <v>176</v>
      </c>
      <c r="J4982" s="2" t="s">
        <v>177</v>
      </c>
      <c r="K4982" s="2" t="s">
        <v>6015</v>
      </c>
      <c r="L4982" s="2" t="s">
        <v>24721</v>
      </c>
      <c r="M4982" s="2" t="s">
        <v>24722</v>
      </c>
      <c r="N4982" s="2" t="s">
        <v>24723</v>
      </c>
      <c r="O4982" s="2" t="s">
        <v>24724</v>
      </c>
      <c r="P4982" s="2" t="s">
        <v>869</v>
      </c>
    </row>
    <row r="4983" ht="15.75" customHeight="1">
      <c r="H4983" s="2" t="s">
        <v>24725</v>
      </c>
      <c r="I4983" s="2" t="s">
        <v>1716</v>
      </c>
      <c r="J4983" s="2" t="s">
        <v>1717</v>
      </c>
      <c r="K4983" s="2" t="s">
        <v>24726</v>
      </c>
      <c r="L4983" s="2" t="s">
        <v>24727</v>
      </c>
      <c r="M4983" s="2" t="s">
        <v>24728</v>
      </c>
      <c r="N4983" s="2" t="s">
        <v>24729</v>
      </c>
      <c r="O4983" s="2" t="s">
        <v>24730</v>
      </c>
      <c r="P4983" s="2" t="s">
        <v>869</v>
      </c>
    </row>
    <row r="4984" ht="15.75" customHeight="1">
      <c r="H4984" s="2" t="s">
        <v>24731</v>
      </c>
      <c r="I4984" s="2" t="s">
        <v>24732</v>
      </c>
      <c r="J4984" s="2" t="s">
        <v>24733</v>
      </c>
      <c r="K4984" s="2" t="s">
        <v>15841</v>
      </c>
      <c r="L4984" s="2" t="s">
        <v>24656</v>
      </c>
      <c r="M4984" s="2" t="s">
        <v>24734</v>
      </c>
      <c r="N4984" s="2" t="s">
        <v>24735</v>
      </c>
      <c r="O4984" s="2" t="s">
        <v>24736</v>
      </c>
      <c r="P4984" s="2" t="s">
        <v>24737</v>
      </c>
    </row>
    <row r="4985" ht="15.75" customHeight="1">
      <c r="H4985" s="2" t="s">
        <v>24738</v>
      </c>
      <c r="I4985" s="2" t="s">
        <v>5341</v>
      </c>
      <c r="J4985" s="2" t="s">
        <v>5342</v>
      </c>
      <c r="K4985" s="2" t="s">
        <v>24739</v>
      </c>
      <c r="L4985" s="2" t="s">
        <v>24656</v>
      </c>
      <c r="M4985" s="2" t="s">
        <v>24740</v>
      </c>
      <c r="N4985" s="2" t="s">
        <v>24741</v>
      </c>
      <c r="O4985" s="2" t="s">
        <v>24742</v>
      </c>
      <c r="P4985" s="2" t="s">
        <v>869</v>
      </c>
    </row>
    <row r="4986" ht="15.75" customHeight="1">
      <c r="H4986" s="2" t="s">
        <v>24743</v>
      </c>
      <c r="I4986" s="2" t="s">
        <v>5346</v>
      </c>
      <c r="J4986" s="2" t="s">
        <v>5347</v>
      </c>
      <c r="K4986" s="2" t="s">
        <v>24040</v>
      </c>
      <c r="L4986" s="2" t="s">
        <v>24744</v>
      </c>
      <c r="M4986" s="2" t="s">
        <v>24745</v>
      </c>
      <c r="N4986" s="2" t="s">
        <v>24746</v>
      </c>
      <c r="O4986" s="2" t="s">
        <v>24747</v>
      </c>
      <c r="P4986" s="2" t="s">
        <v>869</v>
      </c>
    </row>
    <row r="4987" ht="15.75" customHeight="1">
      <c r="H4987" s="2" t="s">
        <v>24748</v>
      </c>
      <c r="I4987" s="2" t="s">
        <v>12186</v>
      </c>
      <c r="J4987" s="2" t="s">
        <v>12187</v>
      </c>
      <c r="K4987" s="2" t="s">
        <v>24749</v>
      </c>
      <c r="L4987" s="2" t="s">
        <v>24656</v>
      </c>
      <c r="M4987" s="2" t="s">
        <v>24750</v>
      </c>
      <c r="N4987" s="2" t="s">
        <v>24751</v>
      </c>
      <c r="O4987" s="2" t="s">
        <v>24752</v>
      </c>
      <c r="P4987" s="2" t="s">
        <v>869</v>
      </c>
    </row>
    <row r="4988" ht="15.75" customHeight="1">
      <c r="H4988" s="2" t="s">
        <v>24753</v>
      </c>
      <c r="I4988" s="2" t="s">
        <v>24754</v>
      </c>
      <c r="J4988" s="2" t="s">
        <v>24755</v>
      </c>
      <c r="K4988" s="2" t="s">
        <v>24756</v>
      </c>
      <c r="L4988" s="2" t="s">
        <v>24656</v>
      </c>
      <c r="M4988" s="2" t="s">
        <v>24757</v>
      </c>
      <c r="N4988" s="2" t="s">
        <v>24758</v>
      </c>
      <c r="O4988" s="2" t="s">
        <v>24759</v>
      </c>
      <c r="P4988" s="2" t="s">
        <v>869</v>
      </c>
    </row>
    <row r="4989" ht="15.75" customHeight="1">
      <c r="H4989" s="2" t="s">
        <v>24760</v>
      </c>
      <c r="I4989" s="2" t="s">
        <v>15294</v>
      </c>
      <c r="J4989" s="2" t="s">
        <v>15295</v>
      </c>
      <c r="K4989" s="2" t="s">
        <v>24761</v>
      </c>
      <c r="L4989" s="2" t="s">
        <v>24656</v>
      </c>
      <c r="M4989" s="2" t="s">
        <v>24762</v>
      </c>
      <c r="N4989" s="2" t="s">
        <v>24763</v>
      </c>
      <c r="O4989" s="2" t="s">
        <v>24764</v>
      </c>
      <c r="P4989" s="2" t="s">
        <v>869</v>
      </c>
    </row>
    <row r="4990" ht="15.75" customHeight="1">
      <c r="H4990" s="2" t="s">
        <v>24765</v>
      </c>
      <c r="I4990" s="2" t="s">
        <v>1789</v>
      </c>
      <c r="J4990" s="2" t="s">
        <v>1790</v>
      </c>
      <c r="K4990" s="2" t="s">
        <v>24332</v>
      </c>
      <c r="L4990" s="2" t="s">
        <v>24656</v>
      </c>
      <c r="M4990" s="2" t="s">
        <v>24766</v>
      </c>
      <c r="N4990" s="2" t="s">
        <v>24767</v>
      </c>
      <c r="O4990" s="2" t="s">
        <v>24768</v>
      </c>
      <c r="P4990" s="2" t="s">
        <v>869</v>
      </c>
    </row>
    <row r="4991" ht="15.75" customHeight="1">
      <c r="F4991" s="2" t="s">
        <v>265</v>
      </c>
      <c r="H4991" s="2" t="s">
        <v>24769</v>
      </c>
      <c r="I4991" s="2" t="s">
        <v>23167</v>
      </c>
      <c r="J4991" s="2" t="s">
        <v>23168</v>
      </c>
      <c r="K4991" s="2" t="s">
        <v>24109</v>
      </c>
      <c r="L4991" s="2" t="s">
        <v>24656</v>
      </c>
      <c r="M4991" s="2" t="s">
        <v>24770</v>
      </c>
      <c r="N4991" s="2" t="s">
        <v>24771</v>
      </c>
      <c r="O4991" s="2" t="s">
        <v>24772</v>
      </c>
      <c r="P4991" s="2" t="s">
        <v>869</v>
      </c>
    </row>
    <row r="4992" ht="15.75" customHeight="1">
      <c r="H4992" s="2" t="s">
        <v>24773</v>
      </c>
      <c r="I4992" s="2" t="s">
        <v>267</v>
      </c>
      <c r="J4992" s="2" t="s">
        <v>268</v>
      </c>
      <c r="K4992" s="2" t="s">
        <v>6019</v>
      </c>
      <c r="L4992" s="2" t="s">
        <v>24656</v>
      </c>
      <c r="M4992" s="2" t="s">
        <v>24774</v>
      </c>
      <c r="N4992" s="2" t="s">
        <v>24775</v>
      </c>
      <c r="O4992" s="2" t="s">
        <v>24776</v>
      </c>
      <c r="P4992" s="2" t="s">
        <v>869</v>
      </c>
    </row>
    <row r="4993" ht="15.75" customHeight="1">
      <c r="H4993" s="2" t="s">
        <v>24777</v>
      </c>
      <c r="I4993" s="2" t="s">
        <v>24778</v>
      </c>
      <c r="J4993" s="2" t="s">
        <v>24779</v>
      </c>
      <c r="K4993" s="2" t="s">
        <v>24780</v>
      </c>
      <c r="L4993" s="2" t="s">
        <v>24656</v>
      </c>
      <c r="M4993" s="2" t="s">
        <v>24781</v>
      </c>
      <c r="N4993" s="2" t="s">
        <v>24782</v>
      </c>
      <c r="O4993" s="2" t="s">
        <v>24783</v>
      </c>
      <c r="P4993" s="2" t="s">
        <v>24782</v>
      </c>
    </row>
    <row r="4994" ht="15.75" customHeight="1">
      <c r="F4994" s="2" t="s">
        <v>274</v>
      </c>
      <c r="H4994" s="2" t="s">
        <v>24784</v>
      </c>
      <c r="I4994" s="2" t="s">
        <v>279</v>
      </c>
      <c r="J4994" s="2" t="s">
        <v>274</v>
      </c>
      <c r="K4994" s="2" t="s">
        <v>280</v>
      </c>
    </row>
    <row r="4995" ht="15.75" customHeight="1">
      <c r="F4995" s="2" t="s">
        <v>284</v>
      </c>
      <c r="H4995" s="2" t="s">
        <v>24785</v>
      </c>
      <c r="I4995" s="2" t="s">
        <v>24786</v>
      </c>
      <c r="J4995" s="2" t="s">
        <v>24787</v>
      </c>
      <c r="K4995" s="2" t="s">
        <v>6087</v>
      </c>
      <c r="L4995" s="2" t="s">
        <v>24656</v>
      </c>
      <c r="M4995" s="2" t="s">
        <v>24788</v>
      </c>
      <c r="N4995" s="2" t="s">
        <v>24789</v>
      </c>
      <c r="O4995" s="2" t="s">
        <v>24790</v>
      </c>
      <c r="P4995" s="2" t="s">
        <v>24789</v>
      </c>
    </row>
    <row r="4996" ht="15.75" customHeight="1">
      <c r="H4996" s="2" t="s">
        <v>24791</v>
      </c>
      <c r="I4996" s="2" t="s">
        <v>12588</v>
      </c>
      <c r="J4996" s="2" t="s">
        <v>12589</v>
      </c>
      <c r="K4996" s="2" t="s">
        <v>24518</v>
      </c>
      <c r="L4996" s="2" t="s">
        <v>24656</v>
      </c>
      <c r="M4996" s="2" t="s">
        <v>24792</v>
      </c>
      <c r="N4996" s="2" t="s">
        <v>24793</v>
      </c>
      <c r="O4996" s="2" t="s">
        <v>24794</v>
      </c>
      <c r="P4996" s="2" t="s">
        <v>869</v>
      </c>
    </row>
    <row r="4997" ht="15.75" customHeight="1">
      <c r="H4997" s="2" t="s">
        <v>24795</v>
      </c>
      <c r="I4997" s="2" t="s">
        <v>6023</v>
      </c>
      <c r="J4997" s="2" t="s">
        <v>6024</v>
      </c>
      <c r="K4997" s="2" t="s">
        <v>6025</v>
      </c>
      <c r="L4997" s="2" t="s">
        <v>24656</v>
      </c>
      <c r="M4997" s="2" t="s">
        <v>24796</v>
      </c>
      <c r="N4997" s="2" t="s">
        <v>24797</v>
      </c>
      <c r="O4997" s="2" t="s">
        <v>24798</v>
      </c>
      <c r="P4997" s="2" t="s">
        <v>869</v>
      </c>
    </row>
    <row r="4998" ht="15.75" customHeight="1">
      <c r="H4998" s="2" t="s">
        <v>24799</v>
      </c>
      <c r="I4998" s="2" t="s">
        <v>286</v>
      </c>
      <c r="J4998" s="2" t="s">
        <v>287</v>
      </c>
      <c r="K4998" s="2" t="s">
        <v>15801</v>
      </c>
      <c r="L4998" s="2" t="s">
        <v>24800</v>
      </c>
      <c r="M4998" s="2" t="s">
        <v>24801</v>
      </c>
      <c r="N4998" s="2" t="s">
        <v>24802</v>
      </c>
      <c r="O4998" s="2" t="s">
        <v>24803</v>
      </c>
      <c r="P4998" s="2" t="s">
        <v>869</v>
      </c>
    </row>
    <row r="4999" ht="15.75" customHeight="1">
      <c r="H4999" s="2" t="s">
        <v>24804</v>
      </c>
      <c r="I4999" s="2" t="s">
        <v>12601</v>
      </c>
      <c r="J4999" s="2" t="s">
        <v>12602</v>
      </c>
      <c r="K4999" s="2" t="s">
        <v>24368</v>
      </c>
      <c r="L4999" s="2" t="s">
        <v>24656</v>
      </c>
      <c r="M4999" s="2" t="s">
        <v>24805</v>
      </c>
      <c r="N4999" s="2" t="s">
        <v>24806</v>
      </c>
      <c r="O4999" s="2" t="s">
        <v>24807</v>
      </c>
      <c r="P4999" s="2" t="s">
        <v>869</v>
      </c>
    </row>
    <row r="5000" ht="15.75" customHeight="1">
      <c r="H5000" s="2" t="s">
        <v>24808</v>
      </c>
      <c r="I5000" s="2" t="s">
        <v>5889</v>
      </c>
      <c r="J5000" s="2" t="s">
        <v>5890</v>
      </c>
      <c r="K5000" s="2" t="s">
        <v>15805</v>
      </c>
      <c r="L5000" s="2" t="s">
        <v>24809</v>
      </c>
      <c r="M5000" s="2" t="s">
        <v>24810</v>
      </c>
      <c r="N5000" s="2" t="s">
        <v>24811</v>
      </c>
      <c r="O5000" s="2" t="s">
        <v>24812</v>
      </c>
      <c r="P5000" s="2" t="s">
        <v>869</v>
      </c>
    </row>
    <row r="5001" ht="15.75" customHeight="1">
      <c r="H5001" s="2" t="s">
        <v>24813</v>
      </c>
      <c r="I5001" s="2" t="s">
        <v>13211</v>
      </c>
      <c r="J5001" s="2" t="s">
        <v>13212</v>
      </c>
      <c r="K5001" s="2" t="s">
        <v>6050</v>
      </c>
      <c r="L5001" s="2" t="s">
        <v>24656</v>
      </c>
      <c r="M5001" s="2" t="s">
        <v>24814</v>
      </c>
      <c r="N5001" s="2" t="s">
        <v>24815</v>
      </c>
      <c r="O5001" s="2" t="s">
        <v>24816</v>
      </c>
      <c r="P5001" s="2" t="s">
        <v>869</v>
      </c>
    </row>
    <row r="5002" ht="15.75" customHeight="1">
      <c r="H5002" s="2" t="s">
        <v>24817</v>
      </c>
      <c r="I5002" s="2" t="s">
        <v>24818</v>
      </c>
      <c r="J5002" s="2" t="s">
        <v>24819</v>
      </c>
      <c r="K5002" s="2" t="s">
        <v>24379</v>
      </c>
      <c r="L5002" s="2" t="s">
        <v>24656</v>
      </c>
      <c r="M5002" s="2" t="s">
        <v>24820</v>
      </c>
      <c r="N5002" s="2" t="s">
        <v>24821</v>
      </c>
      <c r="O5002" s="2" t="s">
        <v>24822</v>
      </c>
      <c r="P5002" s="2" t="s">
        <v>869</v>
      </c>
    </row>
    <row r="5003" ht="15.75" customHeight="1">
      <c r="H5003" s="2" t="s">
        <v>24823</v>
      </c>
      <c r="I5003" s="2" t="s">
        <v>302</v>
      </c>
      <c r="J5003" s="2" t="s">
        <v>303</v>
      </c>
      <c r="K5003" s="2" t="s">
        <v>15796</v>
      </c>
      <c r="L5003" s="2" t="s">
        <v>24656</v>
      </c>
      <c r="M5003" s="2" t="s">
        <v>24824</v>
      </c>
      <c r="N5003" s="2" t="s">
        <v>24825</v>
      </c>
      <c r="O5003" s="2" t="s">
        <v>24826</v>
      </c>
      <c r="P5003" s="2" t="s">
        <v>869</v>
      </c>
    </row>
    <row r="5004" ht="15.75" customHeight="1">
      <c r="H5004" s="2" t="s">
        <v>24827</v>
      </c>
      <c r="I5004" s="2" t="s">
        <v>24828</v>
      </c>
      <c r="J5004" s="2" t="s">
        <v>24829</v>
      </c>
      <c r="K5004" s="2" t="s">
        <v>22055</v>
      </c>
      <c r="L5004" s="2" t="s">
        <v>24656</v>
      </c>
      <c r="M5004" s="2" t="s">
        <v>24830</v>
      </c>
      <c r="N5004" s="2" t="s">
        <v>24831</v>
      </c>
      <c r="O5004" s="2" t="s">
        <v>24832</v>
      </c>
      <c r="P5004" s="2" t="s">
        <v>869</v>
      </c>
    </row>
    <row r="5005" ht="15.75" customHeight="1">
      <c r="H5005" s="2" t="s">
        <v>24833</v>
      </c>
      <c r="I5005" s="2" t="s">
        <v>310</v>
      </c>
      <c r="J5005" s="2" t="s">
        <v>311</v>
      </c>
      <c r="K5005" s="2" t="s">
        <v>15809</v>
      </c>
      <c r="L5005" s="2" t="s">
        <v>24656</v>
      </c>
      <c r="M5005" s="2" t="s">
        <v>24834</v>
      </c>
      <c r="N5005" s="2" t="s">
        <v>24835</v>
      </c>
      <c r="O5005" s="2" t="s">
        <v>24836</v>
      </c>
      <c r="P5005" s="2" t="s">
        <v>869</v>
      </c>
    </row>
    <row r="5006" ht="15.75" customHeight="1">
      <c r="H5006" s="2" t="s">
        <v>24837</v>
      </c>
      <c r="I5006" s="2" t="s">
        <v>24838</v>
      </c>
      <c r="J5006" s="2" t="s">
        <v>24839</v>
      </c>
      <c r="K5006" s="2" t="s">
        <v>24840</v>
      </c>
      <c r="L5006" s="2" t="s">
        <v>24841</v>
      </c>
      <c r="M5006" s="2" t="s">
        <v>24842</v>
      </c>
      <c r="N5006" s="2" t="s">
        <v>24843</v>
      </c>
      <c r="O5006" s="2" t="s">
        <v>24844</v>
      </c>
      <c r="P5006" s="2" t="s">
        <v>869</v>
      </c>
    </row>
    <row r="5007" ht="15.75" customHeight="1">
      <c r="H5007" s="2" t="s">
        <v>24845</v>
      </c>
      <c r="I5007" s="2" t="s">
        <v>2175</v>
      </c>
      <c r="J5007" s="2" t="s">
        <v>2176</v>
      </c>
      <c r="K5007" s="2" t="s">
        <v>6029</v>
      </c>
      <c r="L5007" s="2" t="s">
        <v>24846</v>
      </c>
      <c r="M5007" s="2" t="s">
        <v>24847</v>
      </c>
      <c r="N5007" s="2" t="s">
        <v>24848</v>
      </c>
      <c r="O5007" s="2" t="s">
        <v>24849</v>
      </c>
      <c r="P5007" s="2" t="s">
        <v>869</v>
      </c>
    </row>
    <row r="5008" ht="15.75" customHeight="1">
      <c r="H5008" s="2" t="s">
        <v>24850</v>
      </c>
      <c r="I5008" s="2" t="s">
        <v>2195</v>
      </c>
      <c r="J5008" s="2" t="s">
        <v>2196</v>
      </c>
      <c r="K5008" s="2" t="s">
        <v>24851</v>
      </c>
      <c r="L5008" s="2" t="s">
        <v>24852</v>
      </c>
      <c r="M5008" s="2" t="s">
        <v>24853</v>
      </c>
      <c r="N5008" s="2" t="s">
        <v>24854</v>
      </c>
      <c r="O5008" s="2" t="s">
        <v>24855</v>
      </c>
      <c r="P5008" s="2" t="s">
        <v>869</v>
      </c>
    </row>
    <row r="5009" ht="15.75" customHeight="1">
      <c r="H5009" s="2" t="s">
        <v>24856</v>
      </c>
      <c r="I5009" s="2" t="s">
        <v>12635</v>
      </c>
      <c r="J5009" s="2" t="s">
        <v>12636</v>
      </c>
      <c r="K5009" s="2" t="s">
        <v>15872</v>
      </c>
      <c r="L5009" s="2" t="s">
        <v>24857</v>
      </c>
      <c r="M5009" s="2" t="s">
        <v>24858</v>
      </c>
      <c r="N5009" s="2" t="s">
        <v>24859</v>
      </c>
      <c r="O5009" s="2" t="s">
        <v>24860</v>
      </c>
      <c r="P5009" s="2" t="s">
        <v>869</v>
      </c>
    </row>
    <row r="5010" ht="15.75" customHeight="1">
      <c r="H5010" s="2" t="s">
        <v>24861</v>
      </c>
      <c r="I5010" s="2" t="s">
        <v>318</v>
      </c>
      <c r="J5010" s="2" t="s">
        <v>319</v>
      </c>
      <c r="K5010" s="2" t="s">
        <v>24862</v>
      </c>
      <c r="L5010" s="2" t="s">
        <v>24656</v>
      </c>
      <c r="M5010" s="2" t="s">
        <v>24863</v>
      </c>
      <c r="N5010" s="2" t="s">
        <v>24864</v>
      </c>
      <c r="O5010" s="2" t="s">
        <v>24865</v>
      </c>
      <c r="P5010" s="2" t="s">
        <v>869</v>
      </c>
    </row>
    <row r="5011" ht="15.75" customHeight="1">
      <c r="H5011" s="2" t="s">
        <v>24866</v>
      </c>
      <c r="I5011" s="2" t="s">
        <v>326</v>
      </c>
      <c r="J5011" s="2" t="s">
        <v>327</v>
      </c>
      <c r="K5011" s="2" t="s">
        <v>6068</v>
      </c>
      <c r="L5011" s="2" t="s">
        <v>24867</v>
      </c>
      <c r="M5011" s="2" t="s">
        <v>24868</v>
      </c>
      <c r="N5011" s="2" t="s">
        <v>24869</v>
      </c>
      <c r="O5011" s="2" t="s">
        <v>24870</v>
      </c>
      <c r="P5011" s="2" t="s">
        <v>869</v>
      </c>
    </row>
    <row r="5012" ht="15.75" customHeight="1">
      <c r="H5012" s="2" t="s">
        <v>24871</v>
      </c>
      <c r="I5012" s="2" t="s">
        <v>5436</v>
      </c>
      <c r="J5012" s="2" t="s">
        <v>5437</v>
      </c>
      <c r="K5012" s="2" t="s">
        <v>24063</v>
      </c>
      <c r="L5012" s="2" t="s">
        <v>24656</v>
      </c>
      <c r="M5012" s="2" t="s">
        <v>24872</v>
      </c>
      <c r="N5012" s="2" t="s">
        <v>24873</v>
      </c>
      <c r="O5012" s="2" t="s">
        <v>24874</v>
      </c>
      <c r="P5012" s="2" t="s">
        <v>869</v>
      </c>
    </row>
    <row r="5013" ht="15.75" customHeight="1">
      <c r="H5013" s="2" t="s">
        <v>24875</v>
      </c>
      <c r="I5013" s="2" t="s">
        <v>24876</v>
      </c>
      <c r="J5013" s="2" t="s">
        <v>24877</v>
      </c>
      <c r="K5013" s="2" t="s">
        <v>24878</v>
      </c>
      <c r="L5013" s="2" t="s">
        <v>24656</v>
      </c>
      <c r="M5013" s="2" t="s">
        <v>24879</v>
      </c>
      <c r="N5013" s="2" t="s">
        <v>24880</v>
      </c>
      <c r="O5013" s="2" t="s">
        <v>24881</v>
      </c>
      <c r="P5013" s="2" t="s">
        <v>869</v>
      </c>
    </row>
    <row r="5014" ht="15.75" customHeight="1">
      <c r="H5014" s="2" t="s">
        <v>24882</v>
      </c>
      <c r="I5014" s="2" t="s">
        <v>360</v>
      </c>
      <c r="J5014" s="2" t="s">
        <v>361</v>
      </c>
      <c r="K5014" s="2" t="s">
        <v>24294</v>
      </c>
      <c r="L5014" s="2" t="s">
        <v>24656</v>
      </c>
      <c r="M5014" s="2" t="s">
        <v>24883</v>
      </c>
      <c r="N5014" s="2" t="s">
        <v>24884</v>
      </c>
      <c r="O5014" s="2" t="s">
        <v>24885</v>
      </c>
      <c r="P5014" s="2" t="s">
        <v>869</v>
      </c>
    </row>
    <row r="5015" ht="15.75" customHeight="1">
      <c r="H5015" s="2" t="s">
        <v>24886</v>
      </c>
      <c r="I5015" s="2" t="s">
        <v>376</v>
      </c>
      <c r="J5015" s="2" t="s">
        <v>377</v>
      </c>
      <c r="K5015" s="2" t="s">
        <v>24004</v>
      </c>
      <c r="L5015" s="2" t="s">
        <v>24656</v>
      </c>
      <c r="M5015" s="2" t="s">
        <v>24887</v>
      </c>
      <c r="N5015" s="2" t="s">
        <v>24888</v>
      </c>
      <c r="O5015" s="2" t="s">
        <v>24889</v>
      </c>
      <c r="P5015" s="2" t="s">
        <v>869</v>
      </c>
    </row>
    <row r="5016" ht="15.75" customHeight="1">
      <c r="H5016" s="2" t="s">
        <v>24890</v>
      </c>
      <c r="I5016" s="2" t="s">
        <v>415</v>
      </c>
      <c r="J5016" s="2" t="s">
        <v>416</v>
      </c>
      <c r="K5016" s="2" t="s">
        <v>15831</v>
      </c>
      <c r="L5016" s="2" t="s">
        <v>24891</v>
      </c>
      <c r="M5016" s="2" t="s">
        <v>24892</v>
      </c>
      <c r="N5016" s="2" t="s">
        <v>24893</v>
      </c>
      <c r="O5016" s="2" t="s">
        <v>24894</v>
      </c>
      <c r="P5016" s="2" t="s">
        <v>869</v>
      </c>
    </row>
    <row r="5017" ht="15.75" customHeight="1">
      <c r="H5017" s="2" t="s">
        <v>24895</v>
      </c>
      <c r="I5017" s="2" t="s">
        <v>17058</v>
      </c>
      <c r="J5017" s="2" t="s">
        <v>17059</v>
      </c>
      <c r="K5017" s="2" t="s">
        <v>24896</v>
      </c>
      <c r="L5017" s="2" t="s">
        <v>24656</v>
      </c>
      <c r="M5017" s="2" t="s">
        <v>24897</v>
      </c>
      <c r="N5017" s="2" t="s">
        <v>24898</v>
      </c>
      <c r="O5017" s="2" t="s">
        <v>24899</v>
      </c>
      <c r="P5017" s="2" t="s">
        <v>869</v>
      </c>
    </row>
    <row r="5018" ht="15.75" customHeight="1">
      <c r="H5018" s="2" t="s">
        <v>24900</v>
      </c>
      <c r="I5018" s="2" t="s">
        <v>24901</v>
      </c>
      <c r="J5018" s="2" t="s">
        <v>24902</v>
      </c>
      <c r="K5018" s="2" t="s">
        <v>1049</v>
      </c>
      <c r="L5018" s="2" t="s">
        <v>24656</v>
      </c>
      <c r="M5018" s="2" t="s">
        <v>24903</v>
      </c>
      <c r="N5018" s="2" t="s">
        <v>24904</v>
      </c>
      <c r="O5018" s="2" t="s">
        <v>24905</v>
      </c>
      <c r="P5018" s="2" t="s">
        <v>869</v>
      </c>
    </row>
    <row r="5019" ht="15.75" customHeight="1">
      <c r="H5019" s="2" t="s">
        <v>24906</v>
      </c>
      <c r="I5019" s="2" t="s">
        <v>440</v>
      </c>
      <c r="J5019" s="2" t="s">
        <v>441</v>
      </c>
      <c r="K5019" s="2" t="s">
        <v>24907</v>
      </c>
      <c r="L5019" s="2" t="s">
        <v>24908</v>
      </c>
      <c r="M5019" s="2" t="s">
        <v>24909</v>
      </c>
      <c r="N5019" s="2" t="s">
        <v>24910</v>
      </c>
      <c r="O5019" s="2" t="s">
        <v>24911</v>
      </c>
      <c r="P5019" s="2" t="s">
        <v>869</v>
      </c>
    </row>
    <row r="5020" ht="15.75" customHeight="1">
      <c r="H5020" s="2" t="s">
        <v>24912</v>
      </c>
      <c r="I5020" s="2" t="s">
        <v>449</v>
      </c>
      <c r="J5020" s="2" t="s">
        <v>450</v>
      </c>
      <c r="K5020" s="2" t="s">
        <v>6037</v>
      </c>
      <c r="L5020" s="2" t="s">
        <v>24913</v>
      </c>
      <c r="M5020" s="2" t="s">
        <v>24914</v>
      </c>
      <c r="N5020" s="2" t="s">
        <v>24915</v>
      </c>
      <c r="O5020" s="2" t="s">
        <v>24916</v>
      </c>
      <c r="P5020" s="2" t="s">
        <v>869</v>
      </c>
    </row>
    <row r="5021" ht="15.75" customHeight="1">
      <c r="H5021" s="2" t="s">
        <v>24917</v>
      </c>
      <c r="I5021" s="2" t="s">
        <v>2303</v>
      </c>
      <c r="J5021" s="2" t="s">
        <v>2304</v>
      </c>
      <c r="K5021" s="2" t="s">
        <v>24918</v>
      </c>
      <c r="L5021" s="2" t="s">
        <v>24919</v>
      </c>
      <c r="M5021" s="2" t="s">
        <v>24920</v>
      </c>
      <c r="N5021" s="2" t="s">
        <v>24921</v>
      </c>
      <c r="O5021" s="2" t="s">
        <v>24922</v>
      </c>
      <c r="P5021" s="2" t="s">
        <v>869</v>
      </c>
    </row>
    <row r="5022" ht="15.75" customHeight="1">
      <c r="H5022" s="2" t="s">
        <v>24923</v>
      </c>
      <c r="I5022" s="2" t="s">
        <v>662</v>
      </c>
      <c r="J5022" s="2" t="s">
        <v>663</v>
      </c>
      <c r="K5022" s="2" t="s">
        <v>24924</v>
      </c>
      <c r="L5022" s="2" t="s">
        <v>24925</v>
      </c>
      <c r="M5022" s="2" t="s">
        <v>24926</v>
      </c>
      <c r="N5022" s="2" t="s">
        <v>24927</v>
      </c>
      <c r="O5022" s="2" t="s">
        <v>24928</v>
      </c>
      <c r="P5022" s="2" t="s">
        <v>869</v>
      </c>
    </row>
    <row r="5023" ht="15.75" customHeight="1">
      <c r="H5023" s="2" t="s">
        <v>24929</v>
      </c>
      <c r="I5023" s="2" t="s">
        <v>14894</v>
      </c>
      <c r="J5023" s="2" t="s">
        <v>14895</v>
      </c>
      <c r="K5023" s="2" t="s">
        <v>24930</v>
      </c>
      <c r="L5023" s="2" t="s">
        <v>24656</v>
      </c>
      <c r="M5023" s="2" t="s">
        <v>24931</v>
      </c>
      <c r="N5023" s="2" t="s">
        <v>24932</v>
      </c>
      <c r="O5023" s="2" t="s">
        <v>24933</v>
      </c>
      <c r="P5023" s="2" t="s">
        <v>869</v>
      </c>
    </row>
    <row r="5024" ht="15.75" customHeight="1">
      <c r="H5024" s="2" t="s">
        <v>24934</v>
      </c>
      <c r="I5024" s="2" t="s">
        <v>2352</v>
      </c>
      <c r="J5024" s="2" t="s">
        <v>2353</v>
      </c>
      <c r="K5024" s="2" t="s">
        <v>24935</v>
      </c>
      <c r="L5024" s="2" t="s">
        <v>24656</v>
      </c>
      <c r="M5024" s="2" t="s">
        <v>24936</v>
      </c>
      <c r="N5024" s="2" t="s">
        <v>24937</v>
      </c>
      <c r="O5024" s="2" t="s">
        <v>24938</v>
      </c>
      <c r="P5024" s="2" t="s">
        <v>869</v>
      </c>
    </row>
    <row r="5025" ht="15.75" customHeight="1">
      <c r="H5025" s="2" t="s">
        <v>24939</v>
      </c>
      <c r="I5025" s="2" t="s">
        <v>2357</v>
      </c>
      <c r="J5025" s="2" t="s">
        <v>2358</v>
      </c>
      <c r="K5025" s="2" t="s">
        <v>24940</v>
      </c>
      <c r="L5025" s="2" t="s">
        <v>24656</v>
      </c>
      <c r="M5025" s="2" t="s">
        <v>24941</v>
      </c>
      <c r="N5025" s="2" t="s">
        <v>24942</v>
      </c>
      <c r="O5025" s="2" t="s">
        <v>24943</v>
      </c>
      <c r="P5025" s="2" t="s">
        <v>869</v>
      </c>
    </row>
    <row r="5026" ht="15.75" customHeight="1">
      <c r="H5026" s="2" t="s">
        <v>24944</v>
      </c>
      <c r="I5026" s="2" t="s">
        <v>24945</v>
      </c>
      <c r="J5026" s="2" t="s">
        <v>24946</v>
      </c>
      <c r="K5026" s="2" t="s">
        <v>24947</v>
      </c>
      <c r="L5026" s="2" t="s">
        <v>24656</v>
      </c>
      <c r="M5026" s="2" t="s">
        <v>24948</v>
      </c>
      <c r="N5026" s="2" t="s">
        <v>24949</v>
      </c>
      <c r="O5026" s="2" t="s">
        <v>24950</v>
      </c>
      <c r="P5026" s="2" t="s">
        <v>869</v>
      </c>
    </row>
    <row r="5027" ht="15.75" customHeight="1">
      <c r="H5027" s="2" t="s">
        <v>24951</v>
      </c>
      <c r="I5027" s="2" t="s">
        <v>24952</v>
      </c>
      <c r="J5027" s="2" t="s">
        <v>24953</v>
      </c>
      <c r="K5027" s="2" t="s">
        <v>24954</v>
      </c>
      <c r="L5027" s="2" t="s">
        <v>24656</v>
      </c>
      <c r="M5027" s="2" t="s">
        <v>24955</v>
      </c>
      <c r="N5027" s="2" t="s">
        <v>24956</v>
      </c>
      <c r="O5027" s="2" t="s">
        <v>24957</v>
      </c>
      <c r="P5027" s="2" t="s">
        <v>24956</v>
      </c>
    </row>
    <row r="5028" ht="15.75" customHeight="1">
      <c r="H5028" s="2" t="s">
        <v>24958</v>
      </c>
      <c r="I5028" s="2" t="s">
        <v>5541</v>
      </c>
      <c r="J5028" s="2" t="s">
        <v>5542</v>
      </c>
      <c r="K5028" s="2" t="s">
        <v>24465</v>
      </c>
      <c r="L5028" s="2" t="s">
        <v>24656</v>
      </c>
      <c r="M5028" s="2" t="s">
        <v>24959</v>
      </c>
      <c r="N5028" s="2" t="s">
        <v>24960</v>
      </c>
      <c r="O5028" s="2" t="s">
        <v>24961</v>
      </c>
      <c r="P5028" s="2" t="s">
        <v>869</v>
      </c>
    </row>
    <row r="5029" ht="15.75" customHeight="1">
      <c r="H5029" s="2" t="s">
        <v>24962</v>
      </c>
      <c r="I5029" s="2" t="s">
        <v>13849</v>
      </c>
      <c r="J5029" s="2" t="s">
        <v>13850</v>
      </c>
      <c r="K5029" s="2" t="s">
        <v>24477</v>
      </c>
      <c r="L5029" s="2" t="s">
        <v>24656</v>
      </c>
      <c r="M5029" s="2" t="s">
        <v>24963</v>
      </c>
      <c r="N5029" s="2" t="s">
        <v>24964</v>
      </c>
      <c r="O5029" s="2" t="s">
        <v>24965</v>
      </c>
      <c r="P5029" s="2" t="s">
        <v>869</v>
      </c>
    </row>
    <row r="5030" ht="15.75" customHeight="1">
      <c r="H5030" s="2" t="s">
        <v>24966</v>
      </c>
      <c r="I5030" s="2" t="s">
        <v>2421</v>
      </c>
      <c r="J5030" s="2" t="s">
        <v>2422</v>
      </c>
      <c r="K5030" s="2" t="s">
        <v>24967</v>
      </c>
      <c r="L5030" s="2" t="s">
        <v>24968</v>
      </c>
      <c r="M5030" s="2" t="s">
        <v>24969</v>
      </c>
      <c r="N5030" s="2" t="s">
        <v>24970</v>
      </c>
      <c r="O5030" s="2" t="s">
        <v>24971</v>
      </c>
      <c r="P5030" s="2" t="s">
        <v>869</v>
      </c>
    </row>
    <row r="5031" ht="15.75" customHeight="1">
      <c r="H5031" s="2" t="s">
        <v>24972</v>
      </c>
      <c r="I5031" s="2" t="s">
        <v>510</v>
      </c>
      <c r="J5031" s="2" t="s">
        <v>511</v>
      </c>
      <c r="K5031" s="2" t="s">
        <v>24973</v>
      </c>
      <c r="L5031" s="2" t="s">
        <v>24656</v>
      </c>
      <c r="M5031" s="2" t="s">
        <v>24974</v>
      </c>
      <c r="N5031" s="2" t="s">
        <v>24975</v>
      </c>
      <c r="O5031" s="2" t="s">
        <v>24976</v>
      </c>
      <c r="P5031" s="2" t="s">
        <v>869</v>
      </c>
    </row>
    <row r="5032" ht="15.75" customHeight="1">
      <c r="H5032" s="2" t="s">
        <v>24977</v>
      </c>
      <c r="I5032" s="2" t="s">
        <v>24978</v>
      </c>
      <c r="J5032" s="2" t="s">
        <v>24979</v>
      </c>
      <c r="K5032" s="2" t="s">
        <v>24980</v>
      </c>
      <c r="L5032" s="2" t="s">
        <v>24981</v>
      </c>
      <c r="M5032" s="2" t="s">
        <v>24982</v>
      </c>
      <c r="N5032" s="2" t="s">
        <v>24983</v>
      </c>
      <c r="O5032" s="2" t="s">
        <v>24984</v>
      </c>
      <c r="P5032" s="2" t="s">
        <v>869</v>
      </c>
    </row>
    <row r="5033" ht="15.75" customHeight="1">
      <c r="H5033" s="2" t="s">
        <v>24985</v>
      </c>
      <c r="I5033" s="2" t="s">
        <v>2477</v>
      </c>
      <c r="J5033" s="2" t="s">
        <v>2478</v>
      </c>
      <c r="K5033" s="2" t="s">
        <v>24986</v>
      </c>
      <c r="L5033" s="2" t="s">
        <v>24656</v>
      </c>
      <c r="M5033" s="2" t="s">
        <v>24987</v>
      </c>
      <c r="N5033" s="2" t="s">
        <v>24988</v>
      </c>
      <c r="O5033" s="2" t="s">
        <v>24989</v>
      </c>
      <c r="P5033" s="2" t="s">
        <v>869</v>
      </c>
    </row>
    <row r="5034" ht="15.75" customHeight="1">
      <c r="H5034" s="2" t="s">
        <v>24990</v>
      </c>
      <c r="I5034" s="2" t="s">
        <v>526</v>
      </c>
      <c r="J5034" s="2" t="s">
        <v>527</v>
      </c>
      <c r="K5034" s="2" t="s">
        <v>24084</v>
      </c>
      <c r="L5034" s="2" t="s">
        <v>24991</v>
      </c>
      <c r="M5034" s="2" t="s">
        <v>24992</v>
      </c>
      <c r="N5034" s="2" t="s">
        <v>24993</v>
      </c>
      <c r="O5034" s="2" t="s">
        <v>24994</v>
      </c>
      <c r="P5034" s="2" t="s">
        <v>869</v>
      </c>
    </row>
    <row r="5035" ht="15.75" customHeight="1">
      <c r="H5035" s="2" t="s">
        <v>24995</v>
      </c>
      <c r="I5035" s="2" t="s">
        <v>13918</v>
      </c>
      <c r="J5035" s="2" t="s">
        <v>13919</v>
      </c>
      <c r="K5035" s="2" t="s">
        <v>24996</v>
      </c>
      <c r="L5035" s="2" t="s">
        <v>24656</v>
      </c>
      <c r="M5035" s="2" t="s">
        <v>24997</v>
      </c>
      <c r="N5035" s="2" t="s">
        <v>24998</v>
      </c>
      <c r="O5035" s="2" t="s">
        <v>24999</v>
      </c>
      <c r="P5035" s="2" t="s">
        <v>869</v>
      </c>
    </row>
    <row r="5036" ht="15.75" customHeight="1">
      <c r="F5036" s="2" t="s">
        <v>534</v>
      </c>
      <c r="H5036" s="2" t="s">
        <v>25000</v>
      </c>
      <c r="I5036" s="2" t="s">
        <v>12751</v>
      </c>
      <c r="J5036" s="2" t="s">
        <v>12752</v>
      </c>
      <c r="K5036" s="2" t="s">
        <v>25001</v>
      </c>
    </row>
    <row r="5037" ht="15.75" customHeight="1">
      <c r="H5037" s="2" t="s">
        <v>25002</v>
      </c>
      <c r="I5037" s="2" t="s">
        <v>2512</v>
      </c>
      <c r="J5037" s="2" t="s">
        <v>2513</v>
      </c>
      <c r="K5037" s="2" t="s">
        <v>2514</v>
      </c>
    </row>
    <row r="5038" ht="15.75" customHeight="1">
      <c r="H5038" s="2" t="s">
        <v>25003</v>
      </c>
      <c r="I5038" s="2" t="s">
        <v>536</v>
      </c>
      <c r="J5038" s="2" t="s">
        <v>537</v>
      </c>
      <c r="K5038" s="2" t="s">
        <v>538</v>
      </c>
    </row>
    <row r="5039" ht="15.75" customHeight="1">
      <c r="F5039" s="2" t="s">
        <v>539</v>
      </c>
      <c r="H5039" s="2" t="s">
        <v>25004</v>
      </c>
      <c r="I5039" s="2" t="s">
        <v>541</v>
      </c>
      <c r="J5039" s="2" t="s">
        <v>542</v>
      </c>
      <c r="K5039" s="2" t="s">
        <v>6046</v>
      </c>
      <c r="L5039" s="2" t="s">
        <v>24656</v>
      </c>
      <c r="M5039" s="2" t="s">
        <v>25005</v>
      </c>
      <c r="N5039" s="2" t="s">
        <v>25006</v>
      </c>
      <c r="O5039" s="2" t="s">
        <v>25007</v>
      </c>
      <c r="P5039" s="2" t="s">
        <v>869</v>
      </c>
    </row>
    <row r="5040" ht="15.75" customHeight="1">
      <c r="F5040" s="2" t="s">
        <v>2597</v>
      </c>
      <c r="H5040" s="2" t="s">
        <v>25008</v>
      </c>
      <c r="I5040" s="2" t="s">
        <v>2609</v>
      </c>
      <c r="J5040" s="2" t="s">
        <v>2610</v>
      </c>
      <c r="K5040" s="2" t="s">
        <v>25009</v>
      </c>
      <c r="L5040" s="2" t="s">
        <v>24656</v>
      </c>
      <c r="M5040" s="2" t="s">
        <v>25010</v>
      </c>
      <c r="N5040" s="2" t="s">
        <v>25011</v>
      </c>
      <c r="O5040" s="2" t="s">
        <v>25012</v>
      </c>
      <c r="P5040" s="2" t="s">
        <v>869</v>
      </c>
    </row>
    <row r="5041" ht="15.75" customHeight="1">
      <c r="H5041" s="2" t="s">
        <v>25013</v>
      </c>
      <c r="I5041" s="2" t="s">
        <v>2624</v>
      </c>
      <c r="J5041" s="2" t="s">
        <v>2625</v>
      </c>
      <c r="K5041" s="2" t="s">
        <v>6050</v>
      </c>
      <c r="L5041" s="2" t="s">
        <v>24656</v>
      </c>
      <c r="M5041" s="2" t="s">
        <v>25014</v>
      </c>
      <c r="N5041" s="2" t="s">
        <v>25015</v>
      </c>
      <c r="O5041" s="2" t="s">
        <v>25016</v>
      </c>
      <c r="P5041" s="2" t="s">
        <v>869</v>
      </c>
    </row>
    <row r="5042" ht="15.75" customHeight="1">
      <c r="H5042" s="2" t="s">
        <v>25017</v>
      </c>
      <c r="I5042" s="2" t="s">
        <v>25018</v>
      </c>
      <c r="J5042" s="2" t="s">
        <v>25019</v>
      </c>
      <c r="K5042" s="2" t="s">
        <v>22055</v>
      </c>
      <c r="L5042" s="2" t="s">
        <v>24656</v>
      </c>
      <c r="M5042" s="2" t="s">
        <v>25020</v>
      </c>
      <c r="N5042" s="2" t="s">
        <v>25021</v>
      </c>
      <c r="O5042" s="2" t="s">
        <v>25022</v>
      </c>
      <c r="P5042" s="2" t="s">
        <v>869</v>
      </c>
    </row>
    <row r="5043" ht="15.75" customHeight="1">
      <c r="F5043" s="2" t="s">
        <v>548</v>
      </c>
      <c r="H5043" s="2" t="s">
        <v>25023</v>
      </c>
      <c r="I5043" s="2" t="s">
        <v>8036</v>
      </c>
      <c r="J5043" s="2" t="s">
        <v>8037</v>
      </c>
      <c r="K5043" s="2" t="s">
        <v>6000</v>
      </c>
      <c r="L5043" s="2" t="s">
        <v>24656</v>
      </c>
      <c r="M5043" s="2" t="s">
        <v>25024</v>
      </c>
      <c r="N5043" s="2" t="s">
        <v>25025</v>
      </c>
      <c r="O5043" s="2" t="s">
        <v>25026</v>
      </c>
      <c r="P5043" s="2" t="s">
        <v>869</v>
      </c>
    </row>
    <row r="5044" ht="15.75" customHeight="1">
      <c r="H5044" s="2" t="s">
        <v>25027</v>
      </c>
      <c r="I5044" s="2" t="s">
        <v>550</v>
      </c>
      <c r="J5044" s="2" t="s">
        <v>551</v>
      </c>
      <c r="K5044" s="2" t="s">
        <v>6050</v>
      </c>
      <c r="L5044" s="2" t="s">
        <v>24656</v>
      </c>
      <c r="M5044" s="2" t="s">
        <v>25028</v>
      </c>
      <c r="N5044" s="2" t="s">
        <v>25029</v>
      </c>
      <c r="O5044" s="2" t="s">
        <v>25030</v>
      </c>
      <c r="P5044" s="2" t="s">
        <v>869</v>
      </c>
    </row>
    <row r="5045" ht="15.75" customHeight="1">
      <c r="F5045" s="2" t="s">
        <v>556</v>
      </c>
      <c r="H5045" s="2" t="s">
        <v>25031</v>
      </c>
      <c r="I5045" s="2" t="s">
        <v>5599</v>
      </c>
      <c r="J5045" s="2" t="s">
        <v>5600</v>
      </c>
      <c r="K5045" s="2" t="s">
        <v>25032</v>
      </c>
      <c r="L5045" s="2" t="s">
        <v>24656</v>
      </c>
      <c r="M5045" s="2" t="s">
        <v>25033</v>
      </c>
      <c r="N5045" s="2" t="s">
        <v>25034</v>
      </c>
      <c r="O5045" s="2" t="s">
        <v>25035</v>
      </c>
      <c r="P5045" s="2" t="s">
        <v>869</v>
      </c>
    </row>
    <row r="5046" ht="15.75" customHeight="1">
      <c r="H5046" s="2" t="s">
        <v>25036</v>
      </c>
      <c r="I5046" s="2" t="s">
        <v>574</v>
      </c>
      <c r="J5046" s="2" t="s">
        <v>575</v>
      </c>
      <c r="K5046" s="2" t="s">
        <v>15872</v>
      </c>
      <c r="L5046" s="2" t="s">
        <v>24656</v>
      </c>
      <c r="M5046" s="2" t="s">
        <v>25037</v>
      </c>
      <c r="N5046" s="2" t="s">
        <v>25038</v>
      </c>
      <c r="O5046" s="2" t="s">
        <v>25039</v>
      </c>
      <c r="P5046" s="2" t="s">
        <v>869</v>
      </c>
    </row>
    <row r="5047" ht="15.75" customHeight="1">
      <c r="F5047" s="2" t="s">
        <v>581</v>
      </c>
      <c r="H5047" s="2" t="s">
        <v>25040</v>
      </c>
      <c r="I5047" s="2" t="s">
        <v>583</v>
      </c>
      <c r="J5047" s="2" t="s">
        <v>584</v>
      </c>
      <c r="K5047" s="2" t="s">
        <v>15861</v>
      </c>
      <c r="L5047" s="2" t="s">
        <v>24656</v>
      </c>
      <c r="M5047" s="2" t="s">
        <v>25041</v>
      </c>
      <c r="N5047" s="2" t="s">
        <v>25042</v>
      </c>
      <c r="O5047" s="2" t="s">
        <v>25043</v>
      </c>
      <c r="P5047" s="2" t="s">
        <v>869</v>
      </c>
    </row>
    <row r="5048" ht="15.75" customHeight="1">
      <c r="H5048" s="2" t="s">
        <v>25044</v>
      </c>
      <c r="I5048" s="2" t="s">
        <v>5607</v>
      </c>
      <c r="J5048" s="2" t="s">
        <v>5608</v>
      </c>
      <c r="K5048" s="2" t="s">
        <v>25045</v>
      </c>
      <c r="L5048" s="2" t="s">
        <v>24656</v>
      </c>
      <c r="M5048" s="2" t="s">
        <v>25046</v>
      </c>
      <c r="N5048" s="2" t="s">
        <v>25047</v>
      </c>
      <c r="O5048" s="2" t="s">
        <v>25048</v>
      </c>
      <c r="P5048" s="2" t="s">
        <v>25049</v>
      </c>
    </row>
    <row r="5049" ht="15.75" customHeight="1">
      <c r="H5049" s="2" t="s">
        <v>25050</v>
      </c>
      <c r="I5049" s="2" t="s">
        <v>2895</v>
      </c>
      <c r="J5049" s="2" t="s">
        <v>2896</v>
      </c>
      <c r="K5049" s="2" t="s">
        <v>22055</v>
      </c>
      <c r="L5049" s="2" t="s">
        <v>24656</v>
      </c>
      <c r="M5049" s="2" t="s">
        <v>25051</v>
      </c>
      <c r="N5049" s="2" t="s">
        <v>25052</v>
      </c>
      <c r="O5049" s="2" t="s">
        <v>25053</v>
      </c>
      <c r="P5049" s="2" t="s">
        <v>869</v>
      </c>
    </row>
    <row r="5050" ht="15.75" customHeight="1">
      <c r="F5050" s="2" t="s">
        <v>598</v>
      </c>
      <c r="H5050" s="2" t="s">
        <v>25054</v>
      </c>
      <c r="I5050" s="2" t="s">
        <v>608</v>
      </c>
      <c r="J5050" s="2" t="s">
        <v>609</v>
      </c>
      <c r="K5050" s="2" t="s">
        <v>15868</v>
      </c>
      <c r="L5050" s="2" t="s">
        <v>25055</v>
      </c>
      <c r="M5050" s="2" t="s">
        <v>25056</v>
      </c>
      <c r="N5050" s="2" t="s">
        <v>25057</v>
      </c>
      <c r="O5050" s="2" t="s">
        <v>25058</v>
      </c>
      <c r="P5050" s="2" t="s">
        <v>869</v>
      </c>
    </row>
    <row r="5051" ht="15.75" customHeight="1">
      <c r="H5051" s="2" t="s">
        <v>25059</v>
      </c>
      <c r="I5051" s="2" t="s">
        <v>25060</v>
      </c>
      <c r="J5051" s="2" t="s">
        <v>25061</v>
      </c>
      <c r="K5051" s="2" t="s">
        <v>25062</v>
      </c>
      <c r="L5051" s="2" t="s">
        <v>24656</v>
      </c>
      <c r="M5051" s="2" t="s">
        <v>25063</v>
      </c>
      <c r="N5051" s="2" t="s">
        <v>25064</v>
      </c>
      <c r="O5051" s="2" t="s">
        <v>25065</v>
      </c>
      <c r="P5051" s="2" t="s">
        <v>25066</v>
      </c>
    </row>
    <row r="5052" ht="15.75" customHeight="1">
      <c r="F5052" s="2" t="s">
        <v>3129</v>
      </c>
      <c r="H5052" s="2" t="s">
        <v>25067</v>
      </c>
      <c r="I5052" s="2" t="s">
        <v>3146</v>
      </c>
      <c r="J5052" s="2" t="s">
        <v>3147</v>
      </c>
      <c r="K5052" s="2" t="s">
        <v>25068</v>
      </c>
      <c r="L5052" s="2" t="s">
        <v>24656</v>
      </c>
      <c r="M5052" s="2" t="s">
        <v>25069</v>
      </c>
      <c r="N5052" s="2" t="s">
        <v>25070</v>
      </c>
      <c r="O5052" s="2" t="s">
        <v>25071</v>
      </c>
      <c r="P5052" s="2" t="s">
        <v>869</v>
      </c>
    </row>
    <row r="5053" ht="15.75" customHeight="1">
      <c r="F5053" s="2" t="s">
        <v>624</v>
      </c>
      <c r="H5053" s="2" t="s">
        <v>25072</v>
      </c>
      <c r="I5053" s="2" t="s">
        <v>3221</v>
      </c>
      <c r="J5053" s="2" t="s">
        <v>3222</v>
      </c>
      <c r="K5053" s="2" t="s">
        <v>25073</v>
      </c>
      <c r="L5053" s="2" t="s">
        <v>24656</v>
      </c>
      <c r="M5053" s="2" t="s">
        <v>25074</v>
      </c>
      <c r="N5053" s="2" t="s">
        <v>25075</v>
      </c>
      <c r="O5053" s="2" t="s">
        <v>25076</v>
      </c>
      <c r="P5053" s="2" t="s">
        <v>869</v>
      </c>
    </row>
    <row r="5054" ht="15.75" customHeight="1">
      <c r="H5054" s="2" t="s">
        <v>25077</v>
      </c>
      <c r="I5054" s="2" t="s">
        <v>626</v>
      </c>
      <c r="J5054" s="2" t="s">
        <v>627</v>
      </c>
      <c r="K5054" s="2" t="s">
        <v>6058</v>
      </c>
      <c r="L5054" s="2" t="s">
        <v>25078</v>
      </c>
      <c r="M5054" s="2" t="s">
        <v>25079</v>
      </c>
      <c r="N5054" s="2" t="s">
        <v>25080</v>
      </c>
      <c r="O5054" s="2" t="s">
        <v>25081</v>
      </c>
      <c r="P5054" s="2" t="s">
        <v>869</v>
      </c>
    </row>
    <row r="5055" ht="15.75" customHeight="1">
      <c r="F5055" s="2" t="s">
        <v>634</v>
      </c>
      <c r="H5055" s="2" t="s">
        <v>25082</v>
      </c>
      <c r="I5055" s="2" t="s">
        <v>5634</v>
      </c>
      <c r="J5055" s="2" t="s">
        <v>5635</v>
      </c>
      <c r="K5055" s="2" t="s">
        <v>6025</v>
      </c>
      <c r="L5055" s="2" t="s">
        <v>24656</v>
      </c>
      <c r="M5055" s="2" t="s">
        <v>25083</v>
      </c>
      <c r="N5055" s="2" t="s">
        <v>25084</v>
      </c>
      <c r="O5055" s="2" t="s">
        <v>25085</v>
      </c>
      <c r="P5055" s="2" t="s">
        <v>869</v>
      </c>
    </row>
    <row r="5056" ht="15.75" customHeight="1">
      <c r="H5056" s="2" t="s">
        <v>25086</v>
      </c>
      <c r="I5056" s="2" t="s">
        <v>3357</v>
      </c>
      <c r="J5056" s="2" t="s">
        <v>3358</v>
      </c>
      <c r="K5056" s="2" t="s">
        <v>6046</v>
      </c>
      <c r="L5056" s="2" t="s">
        <v>24656</v>
      </c>
      <c r="M5056" s="2" t="s">
        <v>25087</v>
      </c>
      <c r="N5056" s="2" t="s">
        <v>25088</v>
      </c>
      <c r="O5056" s="2" t="s">
        <v>25089</v>
      </c>
      <c r="P5056" s="2" t="s">
        <v>869</v>
      </c>
    </row>
    <row r="5057" ht="15.75" customHeight="1">
      <c r="F5057" s="2" t="s">
        <v>651</v>
      </c>
      <c r="H5057" s="2" t="s">
        <v>25090</v>
      </c>
      <c r="I5057" s="2" t="s">
        <v>25091</v>
      </c>
      <c r="J5057" s="2" t="s">
        <v>25092</v>
      </c>
    </row>
    <row r="5058" ht="15.75" customHeight="1">
      <c r="H5058" s="2" t="s">
        <v>25093</v>
      </c>
      <c r="I5058" s="2" t="s">
        <v>653</v>
      </c>
      <c r="J5058" s="2" t="s">
        <v>654</v>
      </c>
      <c r="K5058" s="2" t="s">
        <v>15868</v>
      </c>
      <c r="L5058" s="2" t="s">
        <v>24656</v>
      </c>
      <c r="M5058" s="2" t="s">
        <v>25094</v>
      </c>
      <c r="N5058" s="2" t="s">
        <v>25095</v>
      </c>
      <c r="O5058" s="2" t="s">
        <v>25096</v>
      </c>
      <c r="P5058" s="2" t="s">
        <v>869</v>
      </c>
    </row>
    <row r="5059" ht="15.75" customHeight="1">
      <c r="F5059" s="2" t="s">
        <v>3521</v>
      </c>
      <c r="H5059" s="2" t="s">
        <v>25097</v>
      </c>
      <c r="I5059" s="2" t="s">
        <v>25098</v>
      </c>
      <c r="J5059" s="2" t="s">
        <v>25099</v>
      </c>
      <c r="K5059" s="2" t="s">
        <v>24379</v>
      </c>
      <c r="L5059" s="2" t="s">
        <v>24656</v>
      </c>
      <c r="M5059" s="2" t="s">
        <v>25100</v>
      </c>
      <c r="N5059" s="2" t="s">
        <v>25101</v>
      </c>
      <c r="O5059" s="2" t="s">
        <v>25102</v>
      </c>
      <c r="P5059" s="2" t="s">
        <v>25103</v>
      </c>
    </row>
    <row r="5060" ht="15.75" customHeight="1">
      <c r="F5060" s="2" t="s">
        <v>3577</v>
      </c>
      <c r="H5060" s="2" t="s">
        <v>25104</v>
      </c>
      <c r="I5060" s="2" t="s">
        <v>25105</v>
      </c>
      <c r="J5060" s="2" t="s">
        <v>25106</v>
      </c>
      <c r="K5060" s="2" t="s">
        <v>25107</v>
      </c>
      <c r="L5060" s="2" t="s">
        <v>24656</v>
      </c>
      <c r="M5060" s="2" t="s">
        <v>25108</v>
      </c>
      <c r="N5060" s="2" t="s">
        <v>25109</v>
      </c>
      <c r="O5060" s="2" t="s">
        <v>25110</v>
      </c>
      <c r="P5060" s="2" t="s">
        <v>869</v>
      </c>
    </row>
    <row r="5061" ht="15.75" customHeight="1">
      <c r="F5061" s="2" t="s">
        <v>660</v>
      </c>
      <c r="H5061" s="2" t="s">
        <v>25111</v>
      </c>
      <c r="I5061" s="2" t="s">
        <v>9751</v>
      </c>
      <c r="J5061" s="2" t="s">
        <v>9752</v>
      </c>
      <c r="K5061" s="2" t="s">
        <v>24561</v>
      </c>
      <c r="L5061" s="2" t="s">
        <v>24656</v>
      </c>
      <c r="M5061" s="2" t="s">
        <v>25112</v>
      </c>
      <c r="N5061" s="2" t="s">
        <v>25113</v>
      </c>
      <c r="O5061" s="2" t="s">
        <v>25114</v>
      </c>
      <c r="P5061" s="2" t="s">
        <v>869</v>
      </c>
    </row>
    <row r="5062" ht="15.75" customHeight="1">
      <c r="H5062" s="2" t="s">
        <v>25115</v>
      </c>
      <c r="I5062" s="2" t="s">
        <v>4027</v>
      </c>
      <c r="J5062" s="2" t="s">
        <v>4028</v>
      </c>
      <c r="K5062" s="2" t="s">
        <v>25068</v>
      </c>
      <c r="L5062" s="2" t="s">
        <v>24857</v>
      </c>
      <c r="M5062" s="2" t="s">
        <v>25116</v>
      </c>
      <c r="N5062" s="2" t="s">
        <v>25117</v>
      </c>
      <c r="O5062" s="2" t="s">
        <v>25118</v>
      </c>
      <c r="P5062" s="2" t="s">
        <v>869</v>
      </c>
    </row>
    <row r="5063" ht="15.75" customHeight="1">
      <c r="H5063" s="2" t="s">
        <v>25119</v>
      </c>
      <c r="I5063" s="2" t="s">
        <v>3727</v>
      </c>
      <c r="J5063" s="2" t="s">
        <v>3728</v>
      </c>
      <c r="K5063" s="2" t="s">
        <v>15868</v>
      </c>
      <c r="L5063" s="2" t="s">
        <v>24656</v>
      </c>
      <c r="M5063" s="2" t="s">
        <v>25120</v>
      </c>
      <c r="N5063" s="2" t="s">
        <v>25121</v>
      </c>
      <c r="O5063" s="2" t="s">
        <v>25122</v>
      </c>
      <c r="P5063" s="2" t="s">
        <v>869</v>
      </c>
    </row>
    <row r="5064" ht="15.75" customHeight="1">
      <c r="H5064" s="2" t="s">
        <v>25123</v>
      </c>
      <c r="I5064" s="2" t="s">
        <v>670</v>
      </c>
      <c r="J5064" s="2" t="s">
        <v>671</v>
      </c>
      <c r="K5064" s="2" t="s">
        <v>6068</v>
      </c>
      <c r="L5064" s="2" t="s">
        <v>24656</v>
      </c>
      <c r="M5064" s="2" t="s">
        <v>25124</v>
      </c>
      <c r="N5064" s="2" t="s">
        <v>25125</v>
      </c>
      <c r="O5064" s="2" t="s">
        <v>25126</v>
      </c>
      <c r="P5064" s="2" t="s">
        <v>869</v>
      </c>
    </row>
    <row r="5065" ht="15.75" customHeight="1">
      <c r="F5065" s="2" t="s">
        <v>3762</v>
      </c>
      <c r="H5065" s="2" t="s">
        <v>25127</v>
      </c>
      <c r="I5065" s="2" t="s">
        <v>9914</v>
      </c>
      <c r="J5065" s="2" t="s">
        <v>9915</v>
      </c>
      <c r="K5065" s="2" t="s">
        <v>25128</v>
      </c>
      <c r="L5065" s="2" t="s">
        <v>24656</v>
      </c>
      <c r="M5065" s="2" t="s">
        <v>25129</v>
      </c>
      <c r="N5065" s="2" t="s">
        <v>25130</v>
      </c>
      <c r="O5065" s="2" t="s">
        <v>25131</v>
      </c>
      <c r="P5065" s="2" t="s">
        <v>869</v>
      </c>
    </row>
    <row r="5066" ht="15.75" customHeight="1">
      <c r="H5066" s="2" t="s">
        <v>25132</v>
      </c>
      <c r="I5066" s="2" t="s">
        <v>3826</v>
      </c>
      <c r="J5066" s="2" t="s">
        <v>3827</v>
      </c>
      <c r="K5066" s="2" t="s">
        <v>25133</v>
      </c>
      <c r="L5066" s="2" t="s">
        <v>24656</v>
      </c>
      <c r="M5066" s="2" t="s">
        <v>25134</v>
      </c>
      <c r="N5066" s="2" t="s">
        <v>25135</v>
      </c>
      <c r="O5066" s="2" t="s">
        <v>869</v>
      </c>
      <c r="P5066" s="2" t="s">
        <v>870</v>
      </c>
    </row>
    <row r="5067" ht="15.75" customHeight="1">
      <c r="F5067" s="2" t="s">
        <v>677</v>
      </c>
      <c r="H5067" s="2" t="s">
        <v>25136</v>
      </c>
      <c r="I5067" s="2" t="s">
        <v>679</v>
      </c>
      <c r="J5067" s="2" t="s">
        <v>680</v>
      </c>
      <c r="K5067" s="2" t="s">
        <v>6062</v>
      </c>
      <c r="L5067" s="2" t="s">
        <v>24656</v>
      </c>
      <c r="M5067" s="2" t="s">
        <v>25137</v>
      </c>
      <c r="N5067" s="2" t="s">
        <v>25138</v>
      </c>
      <c r="O5067" s="2" t="s">
        <v>25139</v>
      </c>
      <c r="P5067" s="2" t="s">
        <v>869</v>
      </c>
    </row>
    <row r="5068" ht="15.75" customHeight="1">
      <c r="F5068" s="2" t="s">
        <v>694</v>
      </c>
      <c r="H5068" s="2" t="s">
        <v>25140</v>
      </c>
      <c r="I5068" s="2" t="s">
        <v>18256</v>
      </c>
      <c r="J5068" s="2" t="s">
        <v>18257</v>
      </c>
      <c r="K5068" s="2" t="s">
        <v>22055</v>
      </c>
      <c r="L5068" s="2" t="s">
        <v>24656</v>
      </c>
      <c r="M5068" s="2" t="s">
        <v>25141</v>
      </c>
      <c r="N5068" s="2" t="s">
        <v>25142</v>
      </c>
      <c r="O5068" s="2" t="s">
        <v>25143</v>
      </c>
      <c r="P5068" s="2" t="s">
        <v>869</v>
      </c>
    </row>
    <row r="5069" ht="15.75" customHeight="1">
      <c r="H5069" s="2" t="s">
        <v>25144</v>
      </c>
      <c r="I5069" s="2" t="s">
        <v>696</v>
      </c>
      <c r="J5069" s="2" t="s">
        <v>697</v>
      </c>
      <c r="K5069" s="2" t="s">
        <v>15809</v>
      </c>
      <c r="L5069" s="2" t="s">
        <v>24656</v>
      </c>
      <c r="M5069" s="2" t="s">
        <v>25145</v>
      </c>
      <c r="N5069" s="2" t="s">
        <v>25146</v>
      </c>
      <c r="O5069" s="2" t="s">
        <v>25147</v>
      </c>
      <c r="P5069" s="2" t="s">
        <v>869</v>
      </c>
    </row>
    <row r="5070" ht="15.75" customHeight="1">
      <c r="F5070" s="2" t="s">
        <v>703</v>
      </c>
      <c r="H5070" s="2" t="s">
        <v>25148</v>
      </c>
      <c r="I5070" s="2" t="s">
        <v>25149</v>
      </c>
      <c r="J5070" s="2" t="s">
        <v>25150</v>
      </c>
      <c r="K5070" s="2" t="s">
        <v>25151</v>
      </c>
      <c r="L5070" s="2" t="s">
        <v>25152</v>
      </c>
      <c r="M5070" s="2" t="s">
        <v>25153</v>
      </c>
      <c r="N5070" s="2" t="s">
        <v>25154</v>
      </c>
      <c r="O5070" s="2" t="s">
        <v>25155</v>
      </c>
      <c r="P5070" s="2" t="s">
        <v>869</v>
      </c>
    </row>
    <row r="5071" ht="15.75" customHeight="1">
      <c r="H5071" s="2" t="s">
        <v>25156</v>
      </c>
      <c r="I5071" s="2" t="s">
        <v>713</v>
      </c>
      <c r="J5071" s="2" t="s">
        <v>714</v>
      </c>
      <c r="K5071" s="2" t="s">
        <v>15809</v>
      </c>
      <c r="L5071" s="2" t="s">
        <v>25157</v>
      </c>
      <c r="M5071" s="2" t="s">
        <v>25158</v>
      </c>
      <c r="N5071" s="2" t="s">
        <v>25159</v>
      </c>
      <c r="O5071" s="2" t="s">
        <v>25160</v>
      </c>
      <c r="P5071" s="2" t="s">
        <v>869</v>
      </c>
    </row>
    <row r="5072" ht="15.75" customHeight="1">
      <c r="H5072" s="2" t="s">
        <v>25161</v>
      </c>
      <c r="I5072" s="2" t="s">
        <v>14136</v>
      </c>
      <c r="J5072" s="2" t="s">
        <v>14137</v>
      </c>
      <c r="K5072" s="2" t="s">
        <v>6041</v>
      </c>
      <c r="L5072" s="2" t="s">
        <v>24656</v>
      </c>
      <c r="M5072" s="2" t="s">
        <v>25162</v>
      </c>
      <c r="N5072" s="2" t="s">
        <v>25163</v>
      </c>
      <c r="O5072" s="2" t="s">
        <v>25164</v>
      </c>
      <c r="P5072" s="2" t="s">
        <v>869</v>
      </c>
    </row>
    <row r="5073" ht="15.75" customHeight="1">
      <c r="H5073" s="2" t="s">
        <v>25165</v>
      </c>
      <c r="I5073" s="2" t="s">
        <v>17616</v>
      </c>
      <c r="J5073" s="2" t="s">
        <v>17617</v>
      </c>
      <c r="K5073" s="2" t="s">
        <v>25166</v>
      </c>
      <c r="L5073" s="2" t="s">
        <v>24656</v>
      </c>
      <c r="M5073" s="2" t="s">
        <v>25167</v>
      </c>
      <c r="N5073" s="2" t="s">
        <v>25168</v>
      </c>
      <c r="O5073" s="2" t="s">
        <v>25169</v>
      </c>
      <c r="P5073" s="2" t="s">
        <v>25170</v>
      </c>
    </row>
    <row r="5074" ht="15.75" customHeight="1">
      <c r="F5074" s="2" t="s">
        <v>728</v>
      </c>
      <c r="H5074" s="2" t="s">
        <v>25171</v>
      </c>
      <c r="I5074" s="2" t="s">
        <v>730</v>
      </c>
      <c r="J5074" s="2" t="s">
        <v>731</v>
      </c>
      <c r="K5074" s="2" t="s">
        <v>6046</v>
      </c>
      <c r="L5074" s="2" t="s">
        <v>24656</v>
      </c>
      <c r="M5074" s="2" t="s">
        <v>25172</v>
      </c>
      <c r="N5074" s="2" t="s">
        <v>25173</v>
      </c>
      <c r="O5074" s="2" t="s">
        <v>25174</v>
      </c>
      <c r="P5074" s="2" t="s">
        <v>869</v>
      </c>
    </row>
    <row r="5075" ht="15.75" customHeight="1">
      <c r="H5075" s="2" t="s">
        <v>25175</v>
      </c>
      <c r="I5075" s="2" t="s">
        <v>12927</v>
      </c>
      <c r="J5075" s="2" t="s">
        <v>12928</v>
      </c>
      <c r="K5075" s="2" t="s">
        <v>25176</v>
      </c>
      <c r="L5075" s="2" t="s">
        <v>24656</v>
      </c>
      <c r="M5075" s="2" t="s">
        <v>25177</v>
      </c>
      <c r="N5075" s="2" t="s">
        <v>25178</v>
      </c>
      <c r="O5075" s="2" t="s">
        <v>25179</v>
      </c>
      <c r="P5075" s="2" t="s">
        <v>25180</v>
      </c>
    </row>
    <row r="5076" ht="15.75" customHeight="1">
      <c r="H5076" s="2" t="s">
        <v>25181</v>
      </c>
      <c r="I5076" s="2" t="s">
        <v>1335</v>
      </c>
      <c r="J5076" s="2" t="s">
        <v>1336</v>
      </c>
      <c r="K5076" s="2" t="s">
        <v>24263</v>
      </c>
      <c r="L5076" s="2" t="s">
        <v>24656</v>
      </c>
      <c r="M5076" s="2" t="s">
        <v>25182</v>
      </c>
      <c r="N5076" s="2" t="s">
        <v>25183</v>
      </c>
      <c r="O5076" s="2" t="s">
        <v>25184</v>
      </c>
      <c r="P5076" s="2" t="s">
        <v>869</v>
      </c>
    </row>
    <row r="5077" ht="15.75" customHeight="1">
      <c r="F5077" s="2" t="s">
        <v>4115</v>
      </c>
      <c r="H5077" s="2" t="s">
        <v>25185</v>
      </c>
      <c r="I5077" s="2" t="s">
        <v>4147</v>
      </c>
      <c r="J5077" s="2" t="s">
        <v>4148</v>
      </c>
      <c r="K5077" s="2" t="s">
        <v>22055</v>
      </c>
      <c r="L5077" s="2" t="s">
        <v>24656</v>
      </c>
      <c r="M5077" s="2" t="s">
        <v>25186</v>
      </c>
      <c r="N5077" s="2" t="s">
        <v>25187</v>
      </c>
      <c r="O5077" s="2" t="s">
        <v>25188</v>
      </c>
      <c r="P5077" s="2" t="s">
        <v>869</v>
      </c>
    </row>
    <row r="5078" ht="15.75" customHeight="1">
      <c r="F5078" s="2" t="s">
        <v>746</v>
      </c>
      <c r="H5078" s="2" t="s">
        <v>25189</v>
      </c>
      <c r="I5078" s="2" t="s">
        <v>25190</v>
      </c>
      <c r="J5078" s="2" t="s">
        <v>25191</v>
      </c>
      <c r="K5078" s="2" t="s">
        <v>24578</v>
      </c>
      <c r="L5078" s="2" t="s">
        <v>24656</v>
      </c>
      <c r="M5078" s="2" t="s">
        <v>25192</v>
      </c>
      <c r="N5078" s="2" t="s">
        <v>25193</v>
      </c>
      <c r="O5078" s="2" t="s">
        <v>25194</v>
      </c>
      <c r="P5078" s="2" t="s">
        <v>25195</v>
      </c>
    </row>
    <row r="5079" ht="15.75" customHeight="1">
      <c r="H5079" s="2" t="s">
        <v>25196</v>
      </c>
      <c r="I5079" s="2" t="s">
        <v>4282</v>
      </c>
      <c r="J5079" s="2" t="s">
        <v>4283</v>
      </c>
      <c r="K5079" s="2" t="s">
        <v>6046</v>
      </c>
      <c r="L5079" s="2" t="s">
        <v>24656</v>
      </c>
      <c r="M5079" s="2" t="s">
        <v>25197</v>
      </c>
      <c r="N5079" s="2" t="s">
        <v>25198</v>
      </c>
      <c r="O5079" s="2" t="s">
        <v>25199</v>
      </c>
      <c r="P5079" s="2" t="s">
        <v>869</v>
      </c>
    </row>
    <row r="5080" ht="15.75" customHeight="1">
      <c r="F5080" s="2" t="s">
        <v>4353</v>
      </c>
      <c r="H5080" s="2" t="s">
        <v>25200</v>
      </c>
      <c r="I5080" s="2" t="s">
        <v>4395</v>
      </c>
      <c r="J5080" s="2" t="s">
        <v>4396</v>
      </c>
      <c r="K5080" s="2" t="s">
        <v>24679</v>
      </c>
      <c r="L5080" s="2" t="s">
        <v>24656</v>
      </c>
      <c r="M5080" s="2" t="s">
        <v>25201</v>
      </c>
      <c r="N5080" s="2" t="s">
        <v>25202</v>
      </c>
      <c r="O5080" s="2" t="s">
        <v>25203</v>
      </c>
      <c r="P5080" s="2" t="s">
        <v>869</v>
      </c>
    </row>
    <row r="5081" ht="15.75" customHeight="1">
      <c r="H5081" s="2" t="s">
        <v>25204</v>
      </c>
      <c r="I5081" s="2" t="s">
        <v>6072</v>
      </c>
      <c r="J5081" s="2" t="s">
        <v>6073</v>
      </c>
      <c r="K5081" s="2" t="s">
        <v>6074</v>
      </c>
      <c r="L5081" s="2" t="s">
        <v>24656</v>
      </c>
      <c r="M5081" s="2" t="s">
        <v>25205</v>
      </c>
      <c r="N5081" s="2" t="s">
        <v>25206</v>
      </c>
      <c r="O5081" s="2" t="s">
        <v>25207</v>
      </c>
      <c r="P5081" s="2" t="s">
        <v>869</v>
      </c>
    </row>
    <row r="5082" ht="15.75" customHeight="1">
      <c r="F5082" s="2" t="s">
        <v>755</v>
      </c>
      <c r="H5082" s="2" t="s">
        <v>25208</v>
      </c>
      <c r="I5082" s="2" t="s">
        <v>25209</v>
      </c>
      <c r="J5082" s="2" t="s">
        <v>25210</v>
      </c>
      <c r="K5082" s="2" t="s">
        <v>6025</v>
      </c>
      <c r="L5082" s="2" t="s">
        <v>24656</v>
      </c>
      <c r="M5082" s="2" t="s">
        <v>25211</v>
      </c>
      <c r="N5082" s="2" t="s">
        <v>25212</v>
      </c>
      <c r="O5082" s="2" t="s">
        <v>869</v>
      </c>
      <c r="P5082" s="2" t="s">
        <v>870</v>
      </c>
    </row>
    <row r="5083" ht="15.75" customHeight="1">
      <c r="H5083" s="2" t="s">
        <v>25213</v>
      </c>
      <c r="I5083" s="2" t="s">
        <v>757</v>
      </c>
      <c r="J5083" s="2" t="s">
        <v>758</v>
      </c>
      <c r="K5083" s="2" t="s">
        <v>6006</v>
      </c>
      <c r="L5083" s="2" t="s">
        <v>25214</v>
      </c>
      <c r="M5083" s="2" t="s">
        <v>25215</v>
      </c>
      <c r="N5083" s="2" t="s">
        <v>25216</v>
      </c>
      <c r="O5083" s="2" t="s">
        <v>25217</v>
      </c>
      <c r="P5083" s="2" t="s">
        <v>869</v>
      </c>
    </row>
    <row r="5084" ht="15.75" customHeight="1">
      <c r="F5084" s="2" t="s">
        <v>764</v>
      </c>
      <c r="H5084" s="2" t="s">
        <v>25218</v>
      </c>
      <c r="I5084" s="2" t="s">
        <v>766</v>
      </c>
      <c r="J5084" s="2" t="s">
        <v>767</v>
      </c>
      <c r="K5084" s="2" t="s">
        <v>6081</v>
      </c>
      <c r="L5084" s="2" t="s">
        <v>24656</v>
      </c>
      <c r="M5084" s="2" t="s">
        <v>25219</v>
      </c>
      <c r="N5084" s="2" t="s">
        <v>25220</v>
      </c>
      <c r="O5084" s="2" t="s">
        <v>25221</v>
      </c>
      <c r="P5084" s="2" t="s">
        <v>869</v>
      </c>
    </row>
    <row r="5085" ht="15.75" customHeight="1">
      <c r="F5085" s="2" t="s">
        <v>4802</v>
      </c>
      <c r="H5085" s="2" t="s">
        <v>25222</v>
      </c>
      <c r="I5085" s="2" t="s">
        <v>4804</v>
      </c>
      <c r="J5085" s="2" t="s">
        <v>4805</v>
      </c>
      <c r="K5085" s="2" t="s">
        <v>24518</v>
      </c>
      <c r="L5085" s="2" t="s">
        <v>24656</v>
      </c>
      <c r="M5085" s="2" t="s">
        <v>25223</v>
      </c>
      <c r="N5085" s="2" t="s">
        <v>25224</v>
      </c>
      <c r="O5085" s="2" t="s">
        <v>25225</v>
      </c>
      <c r="P5085" s="2" t="s">
        <v>869</v>
      </c>
    </row>
    <row r="5086" ht="15.75" customHeight="1">
      <c r="F5086" s="2" t="s">
        <v>4825</v>
      </c>
      <c r="H5086" s="2" t="s">
        <v>25226</v>
      </c>
      <c r="I5086" s="2" t="s">
        <v>12983</v>
      </c>
      <c r="J5086" s="2" t="s">
        <v>12984</v>
      </c>
      <c r="K5086" s="2" t="s">
        <v>25227</v>
      </c>
      <c r="L5086" s="2" t="s">
        <v>24656</v>
      </c>
      <c r="M5086" s="2" t="s">
        <v>25228</v>
      </c>
      <c r="N5086" s="2" t="s">
        <v>25229</v>
      </c>
      <c r="O5086" s="2" t="s">
        <v>25230</v>
      </c>
      <c r="P5086" s="2" t="s">
        <v>25231</v>
      </c>
    </row>
    <row r="5087" ht="15.75" customHeight="1">
      <c r="F5087" s="2" t="s">
        <v>791</v>
      </c>
      <c r="H5087" s="2" t="s">
        <v>25232</v>
      </c>
      <c r="I5087" s="2" t="s">
        <v>25233</v>
      </c>
      <c r="J5087" s="2" t="s">
        <v>25234</v>
      </c>
      <c r="K5087" s="2" t="s">
        <v>25235</v>
      </c>
      <c r="L5087" s="2" t="s">
        <v>24656</v>
      </c>
      <c r="M5087" s="2" t="s">
        <v>25236</v>
      </c>
      <c r="N5087" s="2" t="s">
        <v>25237</v>
      </c>
      <c r="O5087" s="2" t="s">
        <v>25238</v>
      </c>
      <c r="P5087" s="2" t="s">
        <v>869</v>
      </c>
    </row>
    <row r="5088" ht="15.75" customHeight="1">
      <c r="H5088" s="2" t="s">
        <v>25239</v>
      </c>
      <c r="I5088" s="2" t="s">
        <v>4969</v>
      </c>
      <c r="J5088" s="2" t="s">
        <v>4970</v>
      </c>
      <c r="K5088" s="2" t="s">
        <v>6019</v>
      </c>
      <c r="L5088" s="2" t="s">
        <v>24656</v>
      </c>
      <c r="M5088" s="2" t="s">
        <v>25240</v>
      </c>
      <c r="N5088" s="2" t="s">
        <v>25241</v>
      </c>
      <c r="O5088" s="2" t="s">
        <v>25242</v>
      </c>
      <c r="P5088" s="2" t="s">
        <v>869</v>
      </c>
    </row>
    <row r="5089" ht="15.75" customHeight="1">
      <c r="F5089" s="2" t="s">
        <v>800</v>
      </c>
      <c r="H5089" s="2" t="s">
        <v>25243</v>
      </c>
      <c r="I5089" s="2" t="s">
        <v>25244</v>
      </c>
      <c r="J5089" s="2" t="s">
        <v>25245</v>
      </c>
      <c r="K5089" s="2" t="s">
        <v>22462</v>
      </c>
      <c r="L5089" s="2" t="s">
        <v>24656</v>
      </c>
      <c r="M5089" s="2" t="s">
        <v>25246</v>
      </c>
      <c r="N5089" s="2" t="s">
        <v>25247</v>
      </c>
      <c r="O5089" s="2" t="s">
        <v>25248</v>
      </c>
      <c r="P5089" s="2" t="s">
        <v>869</v>
      </c>
    </row>
    <row r="5090" ht="15.75" customHeight="1">
      <c r="H5090" s="2" t="s">
        <v>25249</v>
      </c>
      <c r="I5090" s="2" t="s">
        <v>4994</v>
      </c>
      <c r="J5090" s="2" t="s">
        <v>4995</v>
      </c>
      <c r="K5090" s="2" t="s">
        <v>15897</v>
      </c>
      <c r="L5090" s="2" t="s">
        <v>24656</v>
      </c>
      <c r="M5090" s="2" t="s">
        <v>22413</v>
      </c>
      <c r="N5090" s="2" t="s">
        <v>25250</v>
      </c>
      <c r="O5090" s="2" t="s">
        <v>25251</v>
      </c>
      <c r="P5090" s="2" t="s">
        <v>869</v>
      </c>
    </row>
    <row r="5091" ht="15.75" customHeight="1">
      <c r="H5091" s="2" t="s">
        <v>25252</v>
      </c>
      <c r="I5091" s="2" t="s">
        <v>11561</v>
      </c>
      <c r="J5091" s="2" t="s">
        <v>11562</v>
      </c>
      <c r="K5091" s="2" t="s">
        <v>15801</v>
      </c>
      <c r="L5091" s="2" t="s">
        <v>24656</v>
      </c>
      <c r="M5091" s="2" t="s">
        <v>25253</v>
      </c>
      <c r="N5091" s="2" t="s">
        <v>25254</v>
      </c>
      <c r="O5091" s="2" t="s">
        <v>25255</v>
      </c>
      <c r="P5091" s="2" t="s">
        <v>869</v>
      </c>
    </row>
    <row r="5092" ht="15.75" customHeight="1">
      <c r="H5092" s="2" t="s">
        <v>25256</v>
      </c>
      <c r="I5092" s="2" t="s">
        <v>5022</v>
      </c>
      <c r="J5092" s="2" t="s">
        <v>5023</v>
      </c>
      <c r="K5092" s="2" t="s">
        <v>24263</v>
      </c>
      <c r="L5092" s="2" t="s">
        <v>24656</v>
      </c>
      <c r="M5092" s="2" t="s">
        <v>25257</v>
      </c>
      <c r="N5092" s="2" t="s">
        <v>25258</v>
      </c>
      <c r="O5092" s="2" t="s">
        <v>25259</v>
      </c>
      <c r="P5092" s="2" t="s">
        <v>869</v>
      </c>
    </row>
    <row r="5093" ht="15.75" customHeight="1">
      <c r="H5093" s="2" t="s">
        <v>25260</v>
      </c>
      <c r="I5093" s="2" t="s">
        <v>352</v>
      </c>
      <c r="J5093" s="2" t="s">
        <v>353</v>
      </c>
      <c r="K5093" s="2" t="s">
        <v>6074</v>
      </c>
      <c r="L5093" s="2" t="s">
        <v>24656</v>
      </c>
      <c r="M5093" s="2" t="s">
        <v>25261</v>
      </c>
      <c r="N5093" s="2" t="s">
        <v>25262</v>
      </c>
      <c r="O5093" s="2" t="s">
        <v>25263</v>
      </c>
      <c r="P5093" s="2" t="s">
        <v>869</v>
      </c>
    </row>
    <row r="5094" ht="15.75" customHeight="1">
      <c r="H5094" s="2" t="s">
        <v>25264</v>
      </c>
      <c r="I5094" s="2" t="s">
        <v>2262</v>
      </c>
      <c r="J5094" s="2" t="s">
        <v>2263</v>
      </c>
      <c r="K5094" s="2" t="s">
        <v>25265</v>
      </c>
      <c r="L5094" s="2" t="s">
        <v>24656</v>
      </c>
      <c r="M5094" s="2" t="s">
        <v>25266</v>
      </c>
      <c r="N5094" s="2" t="s">
        <v>25267</v>
      </c>
      <c r="O5094" s="2" t="s">
        <v>25268</v>
      </c>
      <c r="P5094" s="2" t="s">
        <v>869</v>
      </c>
    </row>
    <row r="5095" ht="15.75" customHeight="1">
      <c r="H5095" s="2" t="s">
        <v>25269</v>
      </c>
      <c r="I5095" s="2" t="s">
        <v>16470</v>
      </c>
      <c r="J5095" s="2" t="s">
        <v>16471</v>
      </c>
      <c r="K5095" s="2" t="s">
        <v>25270</v>
      </c>
      <c r="L5095" s="2" t="s">
        <v>24656</v>
      </c>
      <c r="M5095" s="2" t="s">
        <v>25271</v>
      </c>
      <c r="N5095" s="2" t="s">
        <v>25272</v>
      </c>
      <c r="O5095" s="2" t="s">
        <v>25273</v>
      </c>
      <c r="P5095" s="2" t="s">
        <v>869</v>
      </c>
    </row>
    <row r="5096" ht="15.75" customHeight="1">
      <c r="H5096" s="2" t="s">
        <v>25274</v>
      </c>
      <c r="I5096" s="2" t="s">
        <v>5986</v>
      </c>
      <c r="J5096" s="2" t="s">
        <v>5987</v>
      </c>
      <c r="K5096" s="2" t="s">
        <v>6091</v>
      </c>
      <c r="L5096" s="2" t="s">
        <v>25275</v>
      </c>
      <c r="M5096" s="2" t="s">
        <v>21914</v>
      </c>
      <c r="N5096" s="2" t="s">
        <v>25276</v>
      </c>
      <c r="O5096" s="2" t="s">
        <v>25277</v>
      </c>
      <c r="P5096" s="2" t="s">
        <v>869</v>
      </c>
    </row>
    <row r="5097" ht="15.75" customHeight="1">
      <c r="H5097" s="2" t="s">
        <v>25278</v>
      </c>
      <c r="I5097" s="2" t="s">
        <v>827</v>
      </c>
      <c r="J5097" s="2" t="s">
        <v>828</v>
      </c>
      <c r="K5097" s="2" t="s">
        <v>24438</v>
      </c>
      <c r="L5097" s="2" t="s">
        <v>24656</v>
      </c>
      <c r="M5097" s="2" t="s">
        <v>25279</v>
      </c>
      <c r="N5097" s="2" t="s">
        <v>25280</v>
      </c>
      <c r="O5097" s="2" t="s">
        <v>25281</v>
      </c>
      <c r="P5097" s="2" t="s">
        <v>869</v>
      </c>
    </row>
    <row r="5098" ht="15.75" customHeight="1">
      <c r="H5098" s="2" t="s">
        <v>25282</v>
      </c>
      <c r="I5098" s="2" t="s">
        <v>12458</v>
      </c>
      <c r="J5098" s="2" t="s">
        <v>12459</v>
      </c>
      <c r="K5098" s="2" t="s">
        <v>24967</v>
      </c>
      <c r="L5098" s="2" t="s">
        <v>24656</v>
      </c>
      <c r="M5098" s="2" t="s">
        <v>25283</v>
      </c>
      <c r="N5098" s="2" t="s">
        <v>25284</v>
      </c>
      <c r="O5098" s="2" t="s">
        <v>25285</v>
      </c>
      <c r="P5098" s="2" t="s">
        <v>869</v>
      </c>
    </row>
    <row r="5099" ht="15.75" customHeight="1">
      <c r="F5099" s="2" t="s">
        <v>843</v>
      </c>
      <c r="H5099" s="2" t="s">
        <v>25286</v>
      </c>
      <c r="I5099" s="2" t="s">
        <v>1167</v>
      </c>
      <c r="J5099" s="2" t="s">
        <v>1168</v>
      </c>
      <c r="K5099" s="2" t="s">
        <v>25287</v>
      </c>
      <c r="L5099" s="2" t="s">
        <v>24656</v>
      </c>
      <c r="M5099" s="2" t="s">
        <v>25288</v>
      </c>
      <c r="N5099" s="2" t="s">
        <v>25289</v>
      </c>
      <c r="O5099" s="2" t="s">
        <v>25290</v>
      </c>
      <c r="P5099" s="2" t="s">
        <v>869</v>
      </c>
    </row>
    <row r="5100" ht="15.75" customHeight="1">
      <c r="H5100" s="2" t="s">
        <v>25291</v>
      </c>
      <c r="I5100" s="2" t="s">
        <v>845</v>
      </c>
      <c r="J5100" s="2" t="s">
        <v>846</v>
      </c>
      <c r="K5100" s="2" t="s">
        <v>6419</v>
      </c>
      <c r="L5100" s="2" t="s">
        <v>24656</v>
      </c>
      <c r="M5100" s="2" t="s">
        <v>25292</v>
      </c>
      <c r="N5100" s="2" t="s">
        <v>25293</v>
      </c>
      <c r="O5100" s="2" t="s">
        <v>25294</v>
      </c>
      <c r="P5100" s="2" t="s">
        <v>869</v>
      </c>
    </row>
    <row r="5101" ht="15.75" customHeight="1">
      <c r="F5101" s="2" t="s">
        <v>5257</v>
      </c>
      <c r="H5101" s="2" t="s">
        <v>25295</v>
      </c>
      <c r="I5101" s="2" t="s">
        <v>13035</v>
      </c>
      <c r="J5101" s="2" t="s">
        <v>13036</v>
      </c>
      <c r="K5101" s="2" t="s">
        <v>25296</v>
      </c>
      <c r="L5101" s="2" t="s">
        <v>24656</v>
      </c>
      <c r="M5101" s="2" t="s">
        <v>25297</v>
      </c>
      <c r="N5101" s="2" t="s">
        <v>25298</v>
      </c>
      <c r="O5101" s="2" t="s">
        <v>25299</v>
      </c>
      <c r="P5101" s="2" t="s">
        <v>25300</v>
      </c>
    </row>
    <row r="5102" ht="15.75" customHeight="1">
      <c r="B5102" s="2" t="s">
        <v>25301</v>
      </c>
      <c r="C5102" s="2" t="s">
        <v>1157</v>
      </c>
      <c r="D5102" s="2" t="s">
        <v>25302</v>
      </c>
      <c r="F5102" s="2" t="s">
        <v>855</v>
      </c>
      <c r="H5102" s="2" t="s">
        <v>25303</v>
      </c>
      <c r="I5102" s="2" t="s">
        <v>6105</v>
      </c>
      <c r="J5102" s="2" t="s">
        <v>6106</v>
      </c>
      <c r="K5102" s="2" t="s">
        <v>861</v>
      </c>
      <c r="L5102" s="2" t="s">
        <v>25304</v>
      </c>
      <c r="M5102" s="2" t="s">
        <v>25305</v>
      </c>
      <c r="N5102" s="2" t="s">
        <v>25306</v>
      </c>
      <c r="O5102" s="2" t="s">
        <v>25307</v>
      </c>
      <c r="P5102" s="2" t="s">
        <v>869</v>
      </c>
    </row>
    <row r="5103" ht="15.75" customHeight="1">
      <c r="H5103" s="2" t="s">
        <v>25308</v>
      </c>
      <c r="I5103" s="2" t="s">
        <v>5280</v>
      </c>
      <c r="J5103" s="2" t="s">
        <v>5281</v>
      </c>
      <c r="K5103" s="2" t="s">
        <v>1508</v>
      </c>
      <c r="L5103" s="2" t="s">
        <v>25304</v>
      </c>
      <c r="M5103" s="2" t="s">
        <v>6177</v>
      </c>
      <c r="N5103" s="2" t="s">
        <v>25309</v>
      </c>
      <c r="O5103" s="2" t="s">
        <v>25310</v>
      </c>
      <c r="P5103" s="2" t="s">
        <v>869</v>
      </c>
    </row>
    <row r="5104" ht="15.75" customHeight="1">
      <c r="F5104" s="2" t="s">
        <v>927</v>
      </c>
      <c r="H5104" s="2" t="s">
        <v>25311</v>
      </c>
      <c r="I5104" s="2" t="s">
        <v>6234</v>
      </c>
      <c r="J5104" s="2" t="s">
        <v>6235</v>
      </c>
      <c r="K5104" s="2" t="s">
        <v>947</v>
      </c>
      <c r="L5104" s="2" t="s">
        <v>25304</v>
      </c>
      <c r="M5104" s="2" t="s">
        <v>25312</v>
      </c>
      <c r="N5104" s="2" t="s">
        <v>25313</v>
      </c>
      <c r="O5104" s="2" t="s">
        <v>25314</v>
      </c>
      <c r="P5104" s="2" t="s">
        <v>869</v>
      </c>
    </row>
    <row r="5105" ht="15.75" customHeight="1">
      <c r="F5105" s="2" t="s">
        <v>938</v>
      </c>
      <c r="H5105" s="2" t="s">
        <v>25315</v>
      </c>
      <c r="I5105" s="2" t="s">
        <v>6280</v>
      </c>
      <c r="J5105" s="2" t="s">
        <v>6281</v>
      </c>
      <c r="K5105" s="2" t="s">
        <v>853</v>
      </c>
      <c r="L5105" s="2" t="s">
        <v>25304</v>
      </c>
      <c r="M5105" s="2" t="s">
        <v>6283</v>
      </c>
      <c r="N5105" s="2" t="s">
        <v>25316</v>
      </c>
      <c r="O5105" s="2" t="s">
        <v>25317</v>
      </c>
      <c r="P5105" s="2" t="s">
        <v>869</v>
      </c>
    </row>
    <row r="5106" ht="15.75" customHeight="1">
      <c r="H5106" s="2" t="s">
        <v>25318</v>
      </c>
      <c r="I5106" s="2" t="s">
        <v>945</v>
      </c>
      <c r="J5106" s="2" t="s">
        <v>946</v>
      </c>
      <c r="K5106" s="2" t="s">
        <v>947</v>
      </c>
      <c r="L5106" s="2" t="s">
        <v>25304</v>
      </c>
      <c r="M5106" s="2" t="s">
        <v>25319</v>
      </c>
      <c r="N5106" s="2" t="s">
        <v>25320</v>
      </c>
      <c r="O5106" s="2" t="s">
        <v>869</v>
      </c>
      <c r="P5106" s="2" t="s">
        <v>870</v>
      </c>
    </row>
    <row r="5107" ht="15.75" customHeight="1">
      <c r="F5107" s="2" t="s">
        <v>19</v>
      </c>
      <c r="H5107" s="2" t="s">
        <v>25321</v>
      </c>
      <c r="I5107" s="2" t="s">
        <v>6368</v>
      </c>
      <c r="J5107" s="2" t="s">
        <v>6369</v>
      </c>
      <c r="K5107" s="2" t="s">
        <v>277</v>
      </c>
      <c r="L5107" s="2" t="s">
        <v>25304</v>
      </c>
      <c r="M5107" s="2" t="s">
        <v>25322</v>
      </c>
      <c r="N5107" s="2" t="s">
        <v>25323</v>
      </c>
      <c r="O5107" s="2" t="s">
        <v>25324</v>
      </c>
      <c r="P5107" s="2" t="s">
        <v>869</v>
      </c>
    </row>
    <row r="5108" ht="15.75" customHeight="1">
      <c r="H5108" s="2" t="s">
        <v>25325</v>
      </c>
      <c r="I5108" s="2" t="s">
        <v>21</v>
      </c>
      <c r="J5108" s="2" t="s">
        <v>22</v>
      </c>
      <c r="K5108" s="2" t="s">
        <v>865</v>
      </c>
      <c r="L5108" s="2" t="s">
        <v>25326</v>
      </c>
      <c r="M5108" s="2" t="s">
        <v>25327</v>
      </c>
      <c r="N5108" s="2" t="s">
        <v>25328</v>
      </c>
      <c r="O5108" s="2" t="s">
        <v>25329</v>
      </c>
      <c r="P5108" s="2" t="s">
        <v>869</v>
      </c>
    </row>
    <row r="5109" ht="15.75" customHeight="1">
      <c r="H5109" s="2" t="s">
        <v>25330</v>
      </c>
      <c r="I5109" s="2" t="s">
        <v>18424</v>
      </c>
      <c r="J5109" s="2" t="s">
        <v>18425</v>
      </c>
      <c r="K5109" s="2" t="s">
        <v>1288</v>
      </c>
      <c r="L5109" s="2" t="s">
        <v>25304</v>
      </c>
      <c r="M5109" s="2" t="s">
        <v>25331</v>
      </c>
      <c r="N5109" s="2" t="s">
        <v>25332</v>
      </c>
      <c r="O5109" s="2" t="s">
        <v>25333</v>
      </c>
      <c r="P5109" s="2" t="s">
        <v>869</v>
      </c>
    </row>
    <row r="5110" ht="15.75" customHeight="1">
      <c r="H5110" s="2" t="s">
        <v>25334</v>
      </c>
      <c r="I5110" s="2" t="s">
        <v>6423</v>
      </c>
      <c r="J5110" s="2" t="s">
        <v>6424</v>
      </c>
      <c r="K5110" s="2" t="s">
        <v>900</v>
      </c>
      <c r="L5110" s="2" t="s">
        <v>25304</v>
      </c>
      <c r="M5110" s="2" t="s">
        <v>25335</v>
      </c>
      <c r="N5110" s="2" t="s">
        <v>25336</v>
      </c>
      <c r="O5110" s="2" t="s">
        <v>869</v>
      </c>
      <c r="P5110" s="2" t="s">
        <v>870</v>
      </c>
    </row>
    <row r="5111" ht="15.75" customHeight="1">
      <c r="H5111" s="2" t="s">
        <v>25337</v>
      </c>
      <c r="I5111" s="2" t="s">
        <v>25338</v>
      </c>
      <c r="J5111" s="2" t="s">
        <v>25339</v>
      </c>
      <c r="K5111" s="2" t="s">
        <v>2937</v>
      </c>
      <c r="L5111" s="2" t="s">
        <v>25304</v>
      </c>
      <c r="M5111" s="2" t="s">
        <v>25340</v>
      </c>
      <c r="N5111" s="2" t="s">
        <v>25341</v>
      </c>
      <c r="O5111" s="2" t="s">
        <v>869</v>
      </c>
      <c r="P5111" s="2" t="s">
        <v>870</v>
      </c>
    </row>
    <row r="5112" ht="15.75" customHeight="1">
      <c r="H5112" s="2" t="s">
        <v>25342</v>
      </c>
      <c r="I5112" s="2" t="s">
        <v>25343</v>
      </c>
      <c r="J5112" s="2" t="s">
        <v>25344</v>
      </c>
      <c r="K5112" s="2" t="s">
        <v>2737</v>
      </c>
      <c r="L5112" s="2" t="s">
        <v>25304</v>
      </c>
      <c r="M5112" s="2" t="s">
        <v>25345</v>
      </c>
      <c r="N5112" s="2" t="s">
        <v>25346</v>
      </c>
      <c r="O5112" s="2" t="s">
        <v>869</v>
      </c>
      <c r="P5112" s="2" t="s">
        <v>870</v>
      </c>
    </row>
    <row r="5113" ht="15.75" customHeight="1">
      <c r="H5113" s="2" t="s">
        <v>25347</v>
      </c>
      <c r="I5113" s="2" t="s">
        <v>25348</v>
      </c>
      <c r="J5113" s="2" t="s">
        <v>25349</v>
      </c>
      <c r="K5113" s="2" t="s">
        <v>1319</v>
      </c>
      <c r="L5113" s="2" t="s">
        <v>25304</v>
      </c>
      <c r="M5113" s="2" t="s">
        <v>25350</v>
      </c>
      <c r="N5113" s="2" t="s">
        <v>25351</v>
      </c>
      <c r="O5113" s="2" t="s">
        <v>869</v>
      </c>
      <c r="P5113" s="2" t="s">
        <v>870</v>
      </c>
    </row>
    <row r="5114" ht="15.75" customHeight="1">
      <c r="H5114" s="2" t="s">
        <v>25352</v>
      </c>
      <c r="I5114" s="2" t="s">
        <v>1016</v>
      </c>
      <c r="J5114" s="2" t="s">
        <v>1017</v>
      </c>
      <c r="L5114" s="2" t="s">
        <v>25304</v>
      </c>
      <c r="M5114" s="2" t="s">
        <v>25353</v>
      </c>
      <c r="N5114" s="2" t="s">
        <v>25354</v>
      </c>
      <c r="O5114" s="2" t="s">
        <v>869</v>
      </c>
      <c r="P5114" s="2" t="s">
        <v>870</v>
      </c>
    </row>
    <row r="5115" ht="15.75" customHeight="1">
      <c r="H5115" s="2" t="s">
        <v>25355</v>
      </c>
      <c r="I5115" s="2" t="s">
        <v>25356</v>
      </c>
      <c r="J5115" s="2" t="s">
        <v>25357</v>
      </c>
      <c r="K5115" s="2" t="s">
        <v>4436</v>
      </c>
      <c r="L5115" s="2" t="s">
        <v>25304</v>
      </c>
      <c r="M5115" s="2" t="s">
        <v>25358</v>
      </c>
      <c r="N5115" s="2" t="s">
        <v>25359</v>
      </c>
      <c r="O5115" s="2" t="s">
        <v>25360</v>
      </c>
      <c r="P5115" s="2" t="s">
        <v>869</v>
      </c>
    </row>
    <row r="5116" ht="15.75" customHeight="1">
      <c r="F5116" s="2" t="s">
        <v>1052</v>
      </c>
      <c r="H5116" s="2" t="s">
        <v>25361</v>
      </c>
      <c r="I5116" s="2" t="s">
        <v>1054</v>
      </c>
      <c r="J5116" s="2" t="s">
        <v>1055</v>
      </c>
      <c r="K5116" s="2" t="s">
        <v>853</v>
      </c>
      <c r="L5116" s="2" t="s">
        <v>25304</v>
      </c>
      <c r="M5116" s="2" t="s">
        <v>25362</v>
      </c>
      <c r="N5116" s="2" t="s">
        <v>25363</v>
      </c>
      <c r="O5116" s="2" t="s">
        <v>25364</v>
      </c>
      <c r="P5116" s="2" t="s">
        <v>869</v>
      </c>
    </row>
    <row r="5117" ht="15.75" customHeight="1">
      <c r="H5117" s="2" t="s">
        <v>25365</v>
      </c>
      <c r="I5117" s="2" t="s">
        <v>16554</v>
      </c>
      <c r="J5117" s="2" t="s">
        <v>16555</v>
      </c>
      <c r="L5117" s="2" t="s">
        <v>25304</v>
      </c>
      <c r="M5117" s="2" t="s">
        <v>25366</v>
      </c>
      <c r="N5117" s="2" t="s">
        <v>25367</v>
      </c>
      <c r="O5117" s="2" t="s">
        <v>25368</v>
      </c>
      <c r="P5117" s="2" t="s">
        <v>869</v>
      </c>
    </row>
    <row r="5118" ht="15.75" customHeight="1">
      <c r="F5118" s="2" t="s">
        <v>29</v>
      </c>
      <c r="H5118" s="2" t="s">
        <v>25369</v>
      </c>
      <c r="I5118" s="2" t="s">
        <v>31</v>
      </c>
      <c r="J5118" s="2" t="s">
        <v>32</v>
      </c>
      <c r="K5118" s="2" t="s">
        <v>874</v>
      </c>
      <c r="L5118" s="2" t="s">
        <v>25304</v>
      </c>
      <c r="M5118" s="2" t="s">
        <v>25370</v>
      </c>
      <c r="N5118" s="2" t="s">
        <v>25371</v>
      </c>
      <c r="O5118" s="2" t="s">
        <v>25372</v>
      </c>
      <c r="P5118" s="2" t="s">
        <v>869</v>
      </c>
    </row>
    <row r="5119" ht="15.75" customHeight="1">
      <c r="H5119" s="2" t="s">
        <v>25373</v>
      </c>
      <c r="I5119" s="2" t="s">
        <v>1126</v>
      </c>
      <c r="J5119" s="2" t="s">
        <v>1127</v>
      </c>
      <c r="K5119" s="2" t="s">
        <v>1297</v>
      </c>
      <c r="L5119" s="2" t="s">
        <v>25304</v>
      </c>
      <c r="M5119" s="2" t="s">
        <v>25374</v>
      </c>
      <c r="N5119" s="2" t="s">
        <v>25375</v>
      </c>
      <c r="O5119" s="2" t="s">
        <v>25376</v>
      </c>
      <c r="P5119" s="2" t="s">
        <v>869</v>
      </c>
    </row>
    <row r="5120" ht="15.75" customHeight="1">
      <c r="H5120" s="2" t="s">
        <v>25377</v>
      </c>
      <c r="I5120" s="2" t="s">
        <v>25378</v>
      </c>
      <c r="J5120" s="2" t="s">
        <v>25379</v>
      </c>
      <c r="K5120" s="2" t="s">
        <v>5298</v>
      </c>
      <c r="L5120" s="2" t="s">
        <v>25304</v>
      </c>
      <c r="M5120" s="2" t="s">
        <v>25380</v>
      </c>
      <c r="N5120" s="2" t="s">
        <v>25381</v>
      </c>
      <c r="O5120" s="2" t="s">
        <v>25382</v>
      </c>
      <c r="P5120" s="2" t="s">
        <v>869</v>
      </c>
    </row>
    <row r="5121" ht="15.75" customHeight="1">
      <c r="H5121" s="2" t="s">
        <v>25383</v>
      </c>
      <c r="I5121" s="2" t="s">
        <v>18563</v>
      </c>
      <c r="J5121" s="2" t="s">
        <v>18564</v>
      </c>
      <c r="K5121" s="2" t="s">
        <v>2594</v>
      </c>
      <c r="L5121" s="2" t="s">
        <v>25304</v>
      </c>
      <c r="M5121" s="2" t="s">
        <v>25384</v>
      </c>
      <c r="N5121" s="2" t="s">
        <v>25385</v>
      </c>
      <c r="O5121" s="2" t="s">
        <v>25386</v>
      </c>
      <c r="P5121" s="2" t="s">
        <v>869</v>
      </c>
    </row>
    <row r="5122" ht="15.75" customHeight="1">
      <c r="H5122" s="2" t="s">
        <v>25387</v>
      </c>
      <c r="I5122" s="2" t="s">
        <v>25388</v>
      </c>
      <c r="J5122" s="2" t="s">
        <v>25389</v>
      </c>
      <c r="K5122" s="2" t="s">
        <v>3309</v>
      </c>
      <c r="L5122" s="2" t="s">
        <v>25304</v>
      </c>
      <c r="M5122" s="2" t="s">
        <v>25390</v>
      </c>
      <c r="N5122" s="2" t="s">
        <v>25391</v>
      </c>
      <c r="O5122" s="2" t="s">
        <v>25392</v>
      </c>
      <c r="P5122" s="2" t="s">
        <v>869</v>
      </c>
    </row>
    <row r="5123" ht="15.75" customHeight="1">
      <c r="F5123" s="2" t="s">
        <v>39</v>
      </c>
      <c r="H5123" s="2" t="s">
        <v>25393</v>
      </c>
      <c r="I5123" s="2" t="s">
        <v>1268</v>
      </c>
      <c r="J5123" s="2" t="s">
        <v>1269</v>
      </c>
      <c r="K5123" s="2" t="s">
        <v>859</v>
      </c>
      <c r="L5123" s="2" t="s">
        <v>25304</v>
      </c>
      <c r="M5123" s="2" t="s">
        <v>25394</v>
      </c>
      <c r="N5123" s="2" t="s">
        <v>25395</v>
      </c>
      <c r="O5123" s="2" t="s">
        <v>25396</v>
      </c>
      <c r="P5123" s="2" t="s">
        <v>869</v>
      </c>
    </row>
    <row r="5124" ht="15.75" customHeight="1">
      <c r="H5124" s="2" t="s">
        <v>25397</v>
      </c>
      <c r="I5124" s="2" t="s">
        <v>41</v>
      </c>
      <c r="J5124" s="2" t="s">
        <v>42</v>
      </c>
      <c r="K5124" s="2" t="s">
        <v>853</v>
      </c>
      <c r="L5124" s="2" t="s">
        <v>25304</v>
      </c>
      <c r="M5124" s="2" t="s">
        <v>25398</v>
      </c>
      <c r="N5124" s="2" t="s">
        <v>25399</v>
      </c>
      <c r="O5124" s="2" t="s">
        <v>25400</v>
      </c>
      <c r="P5124" s="2" t="s">
        <v>869</v>
      </c>
    </row>
    <row r="5125" ht="15.75" customHeight="1">
      <c r="H5125" s="2" t="s">
        <v>25401</v>
      </c>
      <c r="I5125" s="2" t="s">
        <v>25402</v>
      </c>
      <c r="J5125" s="2" t="s">
        <v>25403</v>
      </c>
      <c r="K5125" s="2" t="s">
        <v>1117</v>
      </c>
      <c r="L5125" s="2" t="s">
        <v>25304</v>
      </c>
      <c r="M5125" s="2" t="s">
        <v>25404</v>
      </c>
      <c r="N5125" s="2" t="s">
        <v>25405</v>
      </c>
      <c r="O5125" s="2" t="s">
        <v>25406</v>
      </c>
      <c r="P5125" s="2" t="s">
        <v>869</v>
      </c>
    </row>
    <row r="5126" ht="15.75" customHeight="1">
      <c r="H5126" s="2" t="s">
        <v>25407</v>
      </c>
      <c r="I5126" s="2" t="s">
        <v>6721</v>
      </c>
      <c r="J5126" s="2" t="s">
        <v>6722</v>
      </c>
      <c r="L5126" s="2" t="s">
        <v>25304</v>
      </c>
      <c r="M5126" s="2" t="s">
        <v>25408</v>
      </c>
      <c r="N5126" s="2" t="s">
        <v>25409</v>
      </c>
      <c r="O5126" s="2" t="s">
        <v>25410</v>
      </c>
      <c r="P5126" s="2" t="s">
        <v>869</v>
      </c>
    </row>
    <row r="5127" ht="15.75" customHeight="1">
      <c r="H5127" s="2" t="s">
        <v>25411</v>
      </c>
      <c r="I5127" s="2" t="s">
        <v>25412</v>
      </c>
      <c r="J5127" s="2" t="s">
        <v>25413</v>
      </c>
      <c r="K5127" s="2" t="s">
        <v>1593</v>
      </c>
      <c r="L5127" s="2" t="s">
        <v>25304</v>
      </c>
      <c r="M5127" s="2" t="s">
        <v>25414</v>
      </c>
      <c r="N5127" s="2" t="s">
        <v>25415</v>
      </c>
      <c r="O5127" s="2" t="s">
        <v>25416</v>
      </c>
      <c r="P5127" s="2" t="s">
        <v>869</v>
      </c>
    </row>
    <row r="5128" ht="15.75" customHeight="1">
      <c r="F5128" s="2" t="s">
        <v>56</v>
      </c>
      <c r="H5128" s="2" t="s">
        <v>25417</v>
      </c>
      <c r="I5128" s="2" t="s">
        <v>25418</v>
      </c>
      <c r="J5128" s="2" t="s">
        <v>25419</v>
      </c>
      <c r="K5128" s="2" t="s">
        <v>861</v>
      </c>
      <c r="L5128" s="2" t="s">
        <v>25304</v>
      </c>
      <c r="M5128" s="2" t="s">
        <v>25420</v>
      </c>
      <c r="N5128" s="2" t="s">
        <v>25421</v>
      </c>
      <c r="O5128" s="2" t="s">
        <v>25422</v>
      </c>
      <c r="P5128" s="2" t="s">
        <v>869</v>
      </c>
    </row>
    <row r="5129" ht="15.75" customHeight="1">
      <c r="H5129" s="2" t="s">
        <v>25423</v>
      </c>
      <c r="I5129" s="2" t="s">
        <v>58</v>
      </c>
      <c r="J5129" s="2" t="s">
        <v>59</v>
      </c>
      <c r="K5129" s="2" t="s">
        <v>1117</v>
      </c>
      <c r="L5129" s="2" t="s">
        <v>25304</v>
      </c>
      <c r="M5129" s="2" t="s">
        <v>25424</v>
      </c>
      <c r="N5129" s="2" t="s">
        <v>25425</v>
      </c>
      <c r="O5129" s="2" t="s">
        <v>25426</v>
      </c>
      <c r="P5129" s="2" t="s">
        <v>869</v>
      </c>
    </row>
    <row r="5130" ht="15.75" customHeight="1">
      <c r="H5130" s="2" t="s">
        <v>25427</v>
      </c>
      <c r="I5130" s="2" t="s">
        <v>25428</v>
      </c>
      <c r="J5130" s="2" t="s">
        <v>25429</v>
      </c>
      <c r="K5130" s="2" t="s">
        <v>958</v>
      </c>
      <c r="L5130" s="2" t="s">
        <v>25304</v>
      </c>
      <c r="M5130" s="2" t="s">
        <v>25430</v>
      </c>
      <c r="N5130" s="2" t="s">
        <v>25431</v>
      </c>
      <c r="O5130" s="2" t="s">
        <v>25432</v>
      </c>
      <c r="P5130" s="2" t="s">
        <v>869</v>
      </c>
    </row>
    <row r="5131" ht="15.75" customHeight="1">
      <c r="H5131" s="2" t="s">
        <v>25433</v>
      </c>
      <c r="I5131" s="2" t="s">
        <v>25434</v>
      </c>
      <c r="J5131" s="2" t="s">
        <v>25435</v>
      </c>
      <c r="K5131" s="2" t="s">
        <v>1551</v>
      </c>
      <c r="L5131" s="2" t="s">
        <v>25304</v>
      </c>
      <c r="M5131" s="2" t="s">
        <v>25436</v>
      </c>
      <c r="N5131" s="2" t="s">
        <v>25437</v>
      </c>
      <c r="O5131" s="2" t="s">
        <v>869</v>
      </c>
      <c r="P5131" s="2" t="s">
        <v>870</v>
      </c>
    </row>
    <row r="5132" ht="15.75" customHeight="1">
      <c r="H5132" s="2" t="s">
        <v>25438</v>
      </c>
      <c r="I5132" s="2" t="s">
        <v>25439</v>
      </c>
      <c r="J5132" s="2" t="s">
        <v>25440</v>
      </c>
      <c r="K5132" s="2" t="s">
        <v>1136</v>
      </c>
      <c r="L5132" s="2" t="s">
        <v>25304</v>
      </c>
      <c r="M5132" s="2" t="s">
        <v>25441</v>
      </c>
      <c r="N5132" s="2" t="s">
        <v>25442</v>
      </c>
      <c r="O5132" s="2" t="s">
        <v>25443</v>
      </c>
      <c r="P5132" s="2" t="s">
        <v>869</v>
      </c>
    </row>
    <row r="5133" ht="15.75" customHeight="1">
      <c r="H5133" s="2" t="s">
        <v>25444</v>
      </c>
      <c r="I5133" s="2" t="s">
        <v>1387</v>
      </c>
      <c r="J5133" s="2" t="s">
        <v>1388</v>
      </c>
      <c r="K5133" s="2" t="s">
        <v>283</v>
      </c>
      <c r="L5133" s="2" t="s">
        <v>25304</v>
      </c>
      <c r="M5133" s="2" t="s">
        <v>1389</v>
      </c>
      <c r="N5133" s="2" t="s">
        <v>25445</v>
      </c>
      <c r="O5133" s="2" t="s">
        <v>869</v>
      </c>
      <c r="P5133" s="2" t="s">
        <v>870</v>
      </c>
    </row>
    <row r="5134" ht="15.75" customHeight="1">
      <c r="H5134" s="2" t="s">
        <v>25446</v>
      </c>
      <c r="I5134" s="2" t="s">
        <v>1397</v>
      </c>
      <c r="J5134" s="2" t="s">
        <v>1398</v>
      </c>
      <c r="K5134" s="2" t="s">
        <v>1141</v>
      </c>
      <c r="L5134" s="2" t="s">
        <v>25304</v>
      </c>
      <c r="M5134" s="2" t="s">
        <v>25447</v>
      </c>
      <c r="N5134" s="2" t="s">
        <v>25448</v>
      </c>
      <c r="O5134" s="2" t="s">
        <v>25449</v>
      </c>
      <c r="P5134" s="2" t="s">
        <v>869</v>
      </c>
    </row>
    <row r="5135" ht="15.75" customHeight="1">
      <c r="H5135" s="2" t="s">
        <v>25450</v>
      </c>
      <c r="I5135" s="2" t="s">
        <v>4528</v>
      </c>
      <c r="J5135" s="2" t="s">
        <v>4529</v>
      </c>
      <c r="K5135" s="2" t="s">
        <v>1424</v>
      </c>
      <c r="L5135" s="2" t="s">
        <v>25304</v>
      </c>
      <c r="M5135" s="2" t="s">
        <v>25451</v>
      </c>
      <c r="N5135" s="2" t="s">
        <v>25452</v>
      </c>
      <c r="O5135" s="2" t="s">
        <v>25453</v>
      </c>
      <c r="P5135" s="2" t="s">
        <v>869</v>
      </c>
    </row>
    <row r="5136" ht="15.75" customHeight="1">
      <c r="H5136" s="2" t="s">
        <v>25454</v>
      </c>
      <c r="I5136" s="2" t="s">
        <v>25455</v>
      </c>
      <c r="J5136" s="2" t="s">
        <v>25456</v>
      </c>
      <c r="K5136" s="2" t="s">
        <v>2203</v>
      </c>
      <c r="L5136" s="2" t="s">
        <v>25304</v>
      </c>
      <c r="M5136" s="2" t="s">
        <v>25457</v>
      </c>
      <c r="N5136" s="2" t="s">
        <v>25458</v>
      </c>
      <c r="O5136" s="2" t="s">
        <v>869</v>
      </c>
      <c r="P5136" s="2" t="s">
        <v>870</v>
      </c>
    </row>
    <row r="5137" ht="15.75" customHeight="1">
      <c r="H5137" s="2" t="s">
        <v>25459</v>
      </c>
      <c r="I5137" s="2" t="s">
        <v>25460</v>
      </c>
      <c r="J5137" s="2" t="s">
        <v>25461</v>
      </c>
      <c r="K5137" s="2" t="s">
        <v>1157</v>
      </c>
      <c r="L5137" s="2" t="s">
        <v>25304</v>
      </c>
      <c r="M5137" s="2" t="s">
        <v>25462</v>
      </c>
      <c r="N5137" s="2" t="s">
        <v>25463</v>
      </c>
      <c r="O5137" s="2" t="s">
        <v>869</v>
      </c>
      <c r="P5137" s="2" t="s">
        <v>870</v>
      </c>
    </row>
    <row r="5138" ht="15.75" customHeight="1">
      <c r="F5138" s="2" t="s">
        <v>65</v>
      </c>
      <c r="H5138" s="2" t="s">
        <v>25464</v>
      </c>
      <c r="I5138" s="2" t="s">
        <v>67</v>
      </c>
      <c r="J5138" s="2" t="s">
        <v>68</v>
      </c>
      <c r="K5138" s="2" t="s">
        <v>280</v>
      </c>
      <c r="L5138" s="2" t="s">
        <v>25304</v>
      </c>
      <c r="M5138" s="2" t="s">
        <v>25465</v>
      </c>
      <c r="N5138" s="2" t="s">
        <v>25466</v>
      </c>
      <c r="O5138" s="2" t="s">
        <v>25467</v>
      </c>
      <c r="P5138" s="2" t="s">
        <v>869</v>
      </c>
    </row>
    <row r="5139" ht="15.75" customHeight="1">
      <c r="H5139" s="2" t="s">
        <v>25468</v>
      </c>
      <c r="I5139" s="2" t="s">
        <v>25469</v>
      </c>
      <c r="J5139" s="2" t="s">
        <v>25470</v>
      </c>
      <c r="K5139" s="2" t="s">
        <v>966</v>
      </c>
      <c r="L5139" s="2" t="s">
        <v>25304</v>
      </c>
      <c r="M5139" s="2" t="s">
        <v>25471</v>
      </c>
      <c r="N5139" s="2" t="s">
        <v>25472</v>
      </c>
      <c r="O5139" s="2" t="s">
        <v>869</v>
      </c>
      <c r="P5139" s="2" t="s">
        <v>870</v>
      </c>
    </row>
    <row r="5140" ht="15.75" customHeight="1">
      <c r="F5140" s="2" t="s">
        <v>74</v>
      </c>
      <c r="H5140" s="2" t="s">
        <v>25473</v>
      </c>
      <c r="I5140" s="2" t="s">
        <v>76</v>
      </c>
      <c r="J5140" s="2" t="s">
        <v>77</v>
      </c>
      <c r="K5140" s="2" t="s">
        <v>947</v>
      </c>
      <c r="L5140" s="2" t="s">
        <v>25474</v>
      </c>
      <c r="M5140" s="2" t="s">
        <v>25475</v>
      </c>
      <c r="N5140" s="2" t="s">
        <v>25476</v>
      </c>
      <c r="O5140" s="2" t="s">
        <v>25477</v>
      </c>
      <c r="P5140" s="2" t="s">
        <v>869</v>
      </c>
    </row>
    <row r="5141" ht="15.75" customHeight="1">
      <c r="H5141" s="2" t="s">
        <v>25478</v>
      </c>
      <c r="I5141" s="2" t="s">
        <v>25479</v>
      </c>
      <c r="J5141" s="2" t="s">
        <v>25480</v>
      </c>
      <c r="K5141" s="2" t="s">
        <v>280</v>
      </c>
      <c r="L5141" s="2" t="s">
        <v>25304</v>
      </c>
      <c r="M5141" s="2" t="s">
        <v>25481</v>
      </c>
      <c r="N5141" s="2" t="s">
        <v>25482</v>
      </c>
      <c r="O5141" s="2" t="s">
        <v>25483</v>
      </c>
      <c r="P5141" s="2" t="s">
        <v>869</v>
      </c>
    </row>
    <row r="5142" ht="15.75" customHeight="1">
      <c r="H5142" s="2" t="s">
        <v>25484</v>
      </c>
      <c r="I5142" s="2" t="s">
        <v>85</v>
      </c>
      <c r="J5142" s="2" t="s">
        <v>86</v>
      </c>
      <c r="K5142" s="2" t="s">
        <v>1368</v>
      </c>
      <c r="L5142" s="2" t="s">
        <v>25304</v>
      </c>
      <c r="M5142" s="2" t="s">
        <v>25485</v>
      </c>
      <c r="N5142" s="2" t="s">
        <v>25486</v>
      </c>
      <c r="O5142" s="2" t="s">
        <v>25487</v>
      </c>
      <c r="P5142" s="2" t="s">
        <v>869</v>
      </c>
    </row>
    <row r="5143" ht="15.75" customHeight="1">
      <c r="H5143" s="2" t="s">
        <v>25488</v>
      </c>
      <c r="I5143" s="2" t="s">
        <v>6964</v>
      </c>
      <c r="J5143" s="2" t="s">
        <v>6965</v>
      </c>
      <c r="K5143" s="2" t="s">
        <v>963</v>
      </c>
      <c r="L5143" s="2" t="s">
        <v>25304</v>
      </c>
      <c r="M5143" s="2" t="s">
        <v>6967</v>
      </c>
      <c r="N5143" s="2" t="s">
        <v>25489</v>
      </c>
      <c r="O5143" s="2" t="s">
        <v>25490</v>
      </c>
      <c r="P5143" s="2" t="s">
        <v>869</v>
      </c>
    </row>
    <row r="5144" ht="15.75" customHeight="1">
      <c r="H5144" s="2" t="s">
        <v>25491</v>
      </c>
      <c r="I5144" s="2" t="s">
        <v>18806</v>
      </c>
      <c r="J5144" s="2" t="s">
        <v>18807</v>
      </c>
      <c r="K5144" s="2" t="s">
        <v>966</v>
      </c>
      <c r="L5144" s="2" t="s">
        <v>25304</v>
      </c>
      <c r="M5144" s="2" t="s">
        <v>25492</v>
      </c>
      <c r="N5144" s="2" t="s">
        <v>25493</v>
      </c>
      <c r="O5144" s="2" t="s">
        <v>25494</v>
      </c>
      <c r="P5144" s="2" t="s">
        <v>869</v>
      </c>
    </row>
    <row r="5145" ht="15.75" customHeight="1">
      <c r="H5145" s="2" t="s">
        <v>25495</v>
      </c>
      <c r="I5145" s="2" t="s">
        <v>12134</v>
      </c>
      <c r="J5145" s="2" t="s">
        <v>12135</v>
      </c>
      <c r="K5145" s="2" t="s">
        <v>1551</v>
      </c>
      <c r="L5145" s="2" t="s">
        <v>25304</v>
      </c>
      <c r="M5145" s="2" t="s">
        <v>25496</v>
      </c>
      <c r="N5145" s="2" t="s">
        <v>25497</v>
      </c>
      <c r="O5145" s="2" t="s">
        <v>25498</v>
      </c>
      <c r="P5145" s="2" t="s">
        <v>869</v>
      </c>
    </row>
    <row r="5146" ht="15.75" customHeight="1">
      <c r="H5146" s="2" t="s">
        <v>25499</v>
      </c>
      <c r="I5146" s="2" t="s">
        <v>101</v>
      </c>
      <c r="J5146" s="2" t="s">
        <v>102</v>
      </c>
      <c r="K5146" s="2" t="s">
        <v>900</v>
      </c>
      <c r="L5146" s="2" t="s">
        <v>25304</v>
      </c>
      <c r="M5146" s="2" t="s">
        <v>25500</v>
      </c>
      <c r="N5146" s="2" t="s">
        <v>25501</v>
      </c>
      <c r="O5146" s="2" t="s">
        <v>25502</v>
      </c>
      <c r="P5146" s="2" t="s">
        <v>869</v>
      </c>
    </row>
    <row r="5147" ht="15.75" customHeight="1">
      <c r="H5147" s="2" t="s">
        <v>25503</v>
      </c>
      <c r="I5147" s="2" t="s">
        <v>25504</v>
      </c>
      <c r="J5147" s="2" t="s">
        <v>25505</v>
      </c>
      <c r="K5147" s="2" t="s">
        <v>1313</v>
      </c>
      <c r="L5147" s="2" t="s">
        <v>25304</v>
      </c>
      <c r="M5147" s="2" t="s">
        <v>25506</v>
      </c>
      <c r="N5147" s="2" t="s">
        <v>25507</v>
      </c>
      <c r="O5147" s="2" t="s">
        <v>869</v>
      </c>
      <c r="P5147" s="2" t="s">
        <v>870</v>
      </c>
    </row>
    <row r="5148" ht="15.75" customHeight="1">
      <c r="H5148" s="2" t="s">
        <v>25508</v>
      </c>
      <c r="I5148" s="2" t="s">
        <v>25509</v>
      </c>
      <c r="J5148" s="2" t="s">
        <v>25510</v>
      </c>
      <c r="L5148" s="2" t="s">
        <v>25304</v>
      </c>
      <c r="M5148" s="2" t="s">
        <v>25511</v>
      </c>
      <c r="N5148" s="2" t="s">
        <v>25512</v>
      </c>
      <c r="O5148" s="2" t="s">
        <v>25513</v>
      </c>
      <c r="P5148" s="2" t="s">
        <v>869</v>
      </c>
    </row>
    <row r="5149" ht="15.75" customHeight="1">
      <c r="H5149" s="2" t="s">
        <v>25514</v>
      </c>
      <c r="I5149" s="2" t="s">
        <v>25515</v>
      </c>
      <c r="J5149" s="2" t="s">
        <v>25516</v>
      </c>
      <c r="K5149" s="2" t="s">
        <v>2737</v>
      </c>
      <c r="L5149" s="2" t="s">
        <v>25304</v>
      </c>
      <c r="M5149" s="2" t="s">
        <v>25517</v>
      </c>
      <c r="N5149" s="2" t="s">
        <v>25518</v>
      </c>
      <c r="O5149" s="2" t="s">
        <v>869</v>
      </c>
      <c r="P5149" s="2" t="s">
        <v>870</v>
      </c>
    </row>
    <row r="5150" ht="15.75" customHeight="1">
      <c r="H5150" s="2" t="s">
        <v>25519</v>
      </c>
      <c r="I5150" s="2" t="s">
        <v>117</v>
      </c>
      <c r="J5150" s="2" t="s">
        <v>118</v>
      </c>
      <c r="K5150" s="2" t="s">
        <v>1424</v>
      </c>
      <c r="L5150" s="2" t="s">
        <v>25520</v>
      </c>
      <c r="M5150" s="2" t="s">
        <v>25521</v>
      </c>
      <c r="N5150" s="2" t="s">
        <v>25522</v>
      </c>
      <c r="O5150" s="2" t="s">
        <v>25523</v>
      </c>
      <c r="P5150" s="2" t="s">
        <v>869</v>
      </c>
    </row>
    <row r="5151" ht="15.75" customHeight="1">
      <c r="H5151" s="2" t="s">
        <v>25524</v>
      </c>
      <c r="I5151" s="2" t="s">
        <v>1573</v>
      </c>
      <c r="J5151" s="2" t="s">
        <v>1574</v>
      </c>
      <c r="K5151" s="2" t="s">
        <v>1157</v>
      </c>
      <c r="L5151" s="2" t="s">
        <v>25304</v>
      </c>
      <c r="M5151" s="2" t="s">
        <v>25525</v>
      </c>
      <c r="N5151" s="2" t="s">
        <v>25526</v>
      </c>
      <c r="O5151" s="2" t="s">
        <v>25527</v>
      </c>
      <c r="P5151" s="2" t="s">
        <v>869</v>
      </c>
    </row>
    <row r="5152" ht="15.75" customHeight="1">
      <c r="H5152" s="2" t="s">
        <v>25528</v>
      </c>
      <c r="I5152" s="2" t="s">
        <v>7042</v>
      </c>
      <c r="J5152" s="2" t="s">
        <v>7043</v>
      </c>
      <c r="K5152" s="2" t="s">
        <v>1038</v>
      </c>
      <c r="L5152" s="2" t="s">
        <v>25304</v>
      </c>
      <c r="M5152" s="2" t="s">
        <v>25529</v>
      </c>
      <c r="N5152" s="2" t="s">
        <v>25530</v>
      </c>
      <c r="O5152" s="2" t="s">
        <v>25531</v>
      </c>
      <c r="P5152" s="2" t="s">
        <v>869</v>
      </c>
    </row>
    <row r="5153" ht="15.75" customHeight="1">
      <c r="H5153" s="2" t="s">
        <v>25532</v>
      </c>
      <c r="I5153" s="2" t="s">
        <v>1000</v>
      </c>
      <c r="J5153" s="2" t="s">
        <v>1001</v>
      </c>
      <c r="K5153" s="2" t="s">
        <v>4429</v>
      </c>
      <c r="L5153" s="2" t="s">
        <v>25304</v>
      </c>
      <c r="M5153" s="2" t="s">
        <v>25533</v>
      </c>
      <c r="N5153" s="2" t="s">
        <v>25534</v>
      </c>
      <c r="O5153" s="2" t="s">
        <v>25535</v>
      </c>
      <c r="P5153" s="2" t="s">
        <v>869</v>
      </c>
    </row>
    <row r="5154" ht="15.75" customHeight="1">
      <c r="H5154" s="2" t="s">
        <v>25536</v>
      </c>
      <c r="I5154" s="2" t="s">
        <v>17220</v>
      </c>
      <c r="J5154" s="2" t="s">
        <v>17221</v>
      </c>
      <c r="K5154" s="2" t="s">
        <v>1199</v>
      </c>
      <c r="L5154" s="2" t="s">
        <v>25304</v>
      </c>
      <c r="M5154" s="2" t="s">
        <v>25537</v>
      </c>
      <c r="N5154" s="2" t="s">
        <v>25538</v>
      </c>
      <c r="O5154" s="2" t="s">
        <v>25539</v>
      </c>
      <c r="P5154" s="2" t="s">
        <v>869</v>
      </c>
    </row>
    <row r="5155" ht="15.75" customHeight="1">
      <c r="H5155" s="2" t="s">
        <v>25540</v>
      </c>
      <c r="I5155" s="2" t="s">
        <v>25541</v>
      </c>
      <c r="J5155" s="2" t="s">
        <v>25542</v>
      </c>
      <c r="K5155" s="2" t="s">
        <v>1205</v>
      </c>
    </row>
    <row r="5156" ht="15.75" customHeight="1">
      <c r="H5156" s="2" t="s">
        <v>25543</v>
      </c>
      <c r="I5156" s="2" t="s">
        <v>19197</v>
      </c>
      <c r="J5156" s="2" t="s">
        <v>19198</v>
      </c>
      <c r="K5156" s="2" t="s">
        <v>3309</v>
      </c>
      <c r="L5156" s="2" t="s">
        <v>25304</v>
      </c>
      <c r="M5156" s="2" t="s">
        <v>25544</v>
      </c>
      <c r="N5156" s="2" t="s">
        <v>25545</v>
      </c>
      <c r="O5156" s="2" t="s">
        <v>25546</v>
      </c>
      <c r="P5156" s="2" t="s">
        <v>869</v>
      </c>
    </row>
    <row r="5157" ht="15.75" customHeight="1">
      <c r="H5157" s="2" t="s">
        <v>25547</v>
      </c>
      <c r="I5157" s="2" t="s">
        <v>25548</v>
      </c>
      <c r="J5157" s="2" t="s">
        <v>25549</v>
      </c>
      <c r="K5157" s="2" t="s">
        <v>1251</v>
      </c>
      <c r="L5157" s="2" t="s">
        <v>25304</v>
      </c>
      <c r="M5157" s="2" t="s">
        <v>25550</v>
      </c>
      <c r="N5157" s="2" t="s">
        <v>25551</v>
      </c>
      <c r="O5157" s="2" t="s">
        <v>25552</v>
      </c>
      <c r="P5157" s="2" t="s">
        <v>869</v>
      </c>
    </row>
    <row r="5158" ht="15.75" customHeight="1">
      <c r="H5158" s="2" t="s">
        <v>25553</v>
      </c>
      <c r="I5158" s="2" t="s">
        <v>1663</v>
      </c>
      <c r="J5158" s="2" t="s">
        <v>1664</v>
      </c>
      <c r="K5158" s="2" t="s">
        <v>1257</v>
      </c>
      <c r="L5158" s="2" t="s">
        <v>25304</v>
      </c>
      <c r="M5158" s="2" t="s">
        <v>25554</v>
      </c>
      <c r="N5158" s="2" t="s">
        <v>25555</v>
      </c>
      <c r="O5158" s="2" t="s">
        <v>869</v>
      </c>
      <c r="P5158" s="2" t="s">
        <v>870</v>
      </c>
    </row>
    <row r="5159" ht="15.75" customHeight="1">
      <c r="H5159" s="2" t="s">
        <v>25556</v>
      </c>
      <c r="I5159" s="2" t="s">
        <v>159</v>
      </c>
      <c r="J5159" s="2" t="s">
        <v>160</v>
      </c>
      <c r="K5159" s="2" t="s">
        <v>1264</v>
      </c>
      <c r="L5159" s="2" t="s">
        <v>25304</v>
      </c>
      <c r="M5159" s="2" t="s">
        <v>7101</v>
      </c>
      <c r="N5159" s="2" t="s">
        <v>25557</v>
      </c>
      <c r="O5159" s="2" t="s">
        <v>25558</v>
      </c>
      <c r="P5159" s="2" t="s">
        <v>869</v>
      </c>
    </row>
    <row r="5160" ht="15.75" customHeight="1">
      <c r="H5160" s="2" t="s">
        <v>25559</v>
      </c>
      <c r="I5160" s="2" t="s">
        <v>2262</v>
      </c>
      <c r="J5160" s="2" t="s">
        <v>2263</v>
      </c>
      <c r="K5160" s="2" t="s">
        <v>12460</v>
      </c>
      <c r="L5160" s="2" t="s">
        <v>25304</v>
      </c>
      <c r="M5160" s="2" t="s">
        <v>25560</v>
      </c>
      <c r="N5160" s="2" t="s">
        <v>25561</v>
      </c>
      <c r="O5160" s="2" t="s">
        <v>25562</v>
      </c>
      <c r="P5160" s="2" t="s">
        <v>869</v>
      </c>
    </row>
    <row r="5161" ht="15.75" customHeight="1">
      <c r="H5161" s="2" t="s">
        <v>25563</v>
      </c>
      <c r="I5161" s="2" t="s">
        <v>7123</v>
      </c>
      <c r="J5161" s="2" t="s">
        <v>7124</v>
      </c>
      <c r="L5161" s="2" t="s">
        <v>25304</v>
      </c>
      <c r="M5161" s="2" t="s">
        <v>7126</v>
      </c>
      <c r="N5161" s="2" t="s">
        <v>25564</v>
      </c>
      <c r="O5161" s="2" t="s">
        <v>25565</v>
      </c>
      <c r="P5161" s="2" t="s">
        <v>869</v>
      </c>
    </row>
    <row r="5162" ht="15.75" customHeight="1">
      <c r="H5162" s="2" t="s">
        <v>25566</v>
      </c>
      <c r="I5162" s="2" t="s">
        <v>25567</v>
      </c>
      <c r="J5162" s="2" t="s">
        <v>25568</v>
      </c>
      <c r="K5162" s="2" t="s">
        <v>1704</v>
      </c>
      <c r="L5162" s="2" t="s">
        <v>25304</v>
      </c>
      <c r="M5162" s="2" t="s">
        <v>25569</v>
      </c>
      <c r="N5162" s="2" t="s">
        <v>25570</v>
      </c>
      <c r="O5162" s="2" t="s">
        <v>25571</v>
      </c>
      <c r="P5162" s="2" t="s">
        <v>869</v>
      </c>
    </row>
    <row r="5163" ht="15.75" customHeight="1">
      <c r="H5163" s="2" t="s">
        <v>25572</v>
      </c>
      <c r="I5163" s="2" t="s">
        <v>176</v>
      </c>
      <c r="J5163" s="2" t="s">
        <v>177</v>
      </c>
      <c r="K5163" s="2" t="s">
        <v>1708</v>
      </c>
      <c r="L5163" s="2" t="s">
        <v>25573</v>
      </c>
      <c r="M5163" s="2" t="s">
        <v>25574</v>
      </c>
      <c r="N5163" s="2" t="s">
        <v>25575</v>
      </c>
      <c r="O5163" s="2" t="s">
        <v>25576</v>
      </c>
      <c r="P5163" s="2" t="s">
        <v>869</v>
      </c>
    </row>
    <row r="5164" ht="15.75" customHeight="1">
      <c r="H5164" s="2" t="s">
        <v>25577</v>
      </c>
      <c r="I5164" s="2" t="s">
        <v>25578</v>
      </c>
      <c r="J5164" s="2" t="s">
        <v>25579</v>
      </c>
      <c r="K5164" s="2" t="s">
        <v>2305</v>
      </c>
      <c r="L5164" s="2" t="s">
        <v>25304</v>
      </c>
      <c r="M5164" s="2" t="s">
        <v>25580</v>
      </c>
      <c r="N5164" s="2" t="s">
        <v>25581</v>
      </c>
      <c r="O5164" s="2" t="s">
        <v>25582</v>
      </c>
      <c r="P5164" s="2" t="s">
        <v>869</v>
      </c>
    </row>
    <row r="5165" ht="15.75" customHeight="1">
      <c r="H5165" s="2" t="s">
        <v>25583</v>
      </c>
      <c r="I5165" s="2" t="s">
        <v>25584</v>
      </c>
      <c r="J5165" s="2" t="s">
        <v>25585</v>
      </c>
      <c r="K5165" s="2" t="s">
        <v>2309</v>
      </c>
      <c r="L5165" s="2" t="s">
        <v>25304</v>
      </c>
      <c r="M5165" s="2" t="s">
        <v>25586</v>
      </c>
      <c r="N5165" s="2" t="s">
        <v>25587</v>
      </c>
      <c r="O5165" s="2" t="s">
        <v>25588</v>
      </c>
      <c r="P5165" s="2" t="s">
        <v>869</v>
      </c>
    </row>
    <row r="5166" ht="15.75" customHeight="1">
      <c r="H5166" s="2" t="s">
        <v>25589</v>
      </c>
      <c r="I5166" s="2" t="s">
        <v>1716</v>
      </c>
      <c r="J5166" s="2" t="s">
        <v>1717</v>
      </c>
      <c r="K5166" s="2" t="s">
        <v>1718</v>
      </c>
      <c r="L5166" s="2" t="s">
        <v>25590</v>
      </c>
      <c r="M5166" s="2" t="s">
        <v>25591</v>
      </c>
      <c r="N5166" s="2" t="s">
        <v>25592</v>
      </c>
      <c r="O5166" s="2" t="s">
        <v>25593</v>
      </c>
      <c r="P5166" s="2" t="s">
        <v>869</v>
      </c>
    </row>
    <row r="5167" ht="15.75" customHeight="1">
      <c r="H5167" s="2" t="s">
        <v>25594</v>
      </c>
      <c r="I5167" s="2" t="s">
        <v>193</v>
      </c>
      <c r="J5167" s="2" t="s">
        <v>194</v>
      </c>
      <c r="K5167" s="2" t="s">
        <v>2322</v>
      </c>
      <c r="L5167" s="2" t="s">
        <v>25304</v>
      </c>
      <c r="M5167" s="2" t="s">
        <v>25595</v>
      </c>
      <c r="N5167" s="2" t="s">
        <v>25596</v>
      </c>
      <c r="O5167" s="2" t="s">
        <v>869</v>
      </c>
      <c r="P5167" s="2" t="s">
        <v>870</v>
      </c>
    </row>
    <row r="5168" ht="15.75" customHeight="1">
      <c r="H5168" s="2" t="s">
        <v>25597</v>
      </c>
      <c r="I5168" s="2" t="s">
        <v>25598</v>
      </c>
      <c r="J5168" s="2" t="s">
        <v>25599</v>
      </c>
      <c r="K5168" s="2" t="s">
        <v>16166</v>
      </c>
      <c r="L5168" s="2" t="s">
        <v>25304</v>
      </c>
      <c r="M5168" s="2" t="s">
        <v>25600</v>
      </c>
      <c r="N5168" s="2" t="s">
        <v>25601</v>
      </c>
      <c r="O5168" s="2" t="s">
        <v>25602</v>
      </c>
      <c r="P5168" s="2" t="s">
        <v>869</v>
      </c>
    </row>
    <row r="5169" ht="15.75" customHeight="1">
      <c r="H5169" s="2" t="s">
        <v>25603</v>
      </c>
      <c r="I5169" s="2" t="s">
        <v>14379</v>
      </c>
      <c r="J5169" s="2" t="s">
        <v>14380</v>
      </c>
      <c r="K5169" s="2" t="s">
        <v>25604</v>
      </c>
      <c r="L5169" s="2" t="s">
        <v>25304</v>
      </c>
      <c r="M5169" s="2" t="s">
        <v>25605</v>
      </c>
      <c r="N5169" s="2" t="s">
        <v>25606</v>
      </c>
      <c r="O5169" s="2" t="s">
        <v>25607</v>
      </c>
      <c r="P5169" s="2" t="s">
        <v>869</v>
      </c>
    </row>
    <row r="5170" ht="15.75" customHeight="1">
      <c r="H5170" s="2" t="s">
        <v>25608</v>
      </c>
      <c r="I5170" s="2" t="s">
        <v>25609</v>
      </c>
      <c r="J5170" s="2" t="s">
        <v>25610</v>
      </c>
      <c r="K5170" s="2" t="s">
        <v>19759</v>
      </c>
      <c r="L5170" s="2" t="s">
        <v>25304</v>
      </c>
      <c r="M5170" s="2" t="s">
        <v>25611</v>
      </c>
      <c r="N5170" s="2" t="s">
        <v>25612</v>
      </c>
      <c r="O5170" s="2" t="s">
        <v>869</v>
      </c>
      <c r="P5170" s="2" t="s">
        <v>870</v>
      </c>
    </row>
    <row r="5171" ht="15.75" customHeight="1">
      <c r="H5171" s="2" t="s">
        <v>25613</v>
      </c>
      <c r="I5171" s="2" t="s">
        <v>24320</v>
      </c>
      <c r="J5171" s="2" t="s">
        <v>24321</v>
      </c>
      <c r="K5171" s="2" t="s">
        <v>2365</v>
      </c>
      <c r="L5171" s="2" t="s">
        <v>25304</v>
      </c>
      <c r="M5171" s="2" t="s">
        <v>25614</v>
      </c>
      <c r="N5171" s="2" t="s">
        <v>25615</v>
      </c>
      <c r="O5171" s="2" t="s">
        <v>25616</v>
      </c>
      <c r="P5171" s="2" t="s">
        <v>869</v>
      </c>
    </row>
    <row r="5172" ht="15.75" customHeight="1">
      <c r="H5172" s="2" t="s">
        <v>25617</v>
      </c>
      <c r="I5172" s="2" t="s">
        <v>25618</v>
      </c>
      <c r="J5172" s="2" t="s">
        <v>25619</v>
      </c>
      <c r="K5172" s="2" t="s">
        <v>2031</v>
      </c>
      <c r="L5172" s="2" t="s">
        <v>25304</v>
      </c>
      <c r="M5172" s="2" t="s">
        <v>25620</v>
      </c>
      <c r="N5172" s="2" t="s">
        <v>25621</v>
      </c>
      <c r="O5172" s="2" t="s">
        <v>25622</v>
      </c>
      <c r="P5172" s="2" t="s">
        <v>869</v>
      </c>
    </row>
    <row r="5173" ht="15.75" customHeight="1">
      <c r="H5173" s="2" t="s">
        <v>25623</v>
      </c>
      <c r="I5173" s="2" t="s">
        <v>1753</v>
      </c>
      <c r="J5173" s="2" t="s">
        <v>1754</v>
      </c>
      <c r="K5173" s="2" t="s">
        <v>1755</v>
      </c>
      <c r="L5173" s="2" t="s">
        <v>25304</v>
      </c>
      <c r="M5173" s="2" t="s">
        <v>25624</v>
      </c>
      <c r="N5173" s="2" t="s">
        <v>25625</v>
      </c>
      <c r="O5173" s="2" t="s">
        <v>25626</v>
      </c>
      <c r="P5173" s="2" t="s">
        <v>869</v>
      </c>
    </row>
    <row r="5174" ht="15.75" customHeight="1">
      <c r="H5174" s="2" t="s">
        <v>25627</v>
      </c>
      <c r="I5174" s="2" t="s">
        <v>25628</v>
      </c>
      <c r="J5174" s="2" t="s">
        <v>25629</v>
      </c>
      <c r="K5174" s="2" t="s">
        <v>25630</v>
      </c>
      <c r="L5174" s="2" t="s">
        <v>25304</v>
      </c>
      <c r="M5174" s="2" t="s">
        <v>25631</v>
      </c>
      <c r="N5174" s="2" t="s">
        <v>25632</v>
      </c>
      <c r="O5174" s="2" t="s">
        <v>25633</v>
      </c>
      <c r="P5174" s="2" t="s">
        <v>869</v>
      </c>
    </row>
    <row r="5175" ht="15.75" customHeight="1">
      <c r="H5175" s="2" t="s">
        <v>25634</v>
      </c>
      <c r="I5175" s="2" t="s">
        <v>25635</v>
      </c>
      <c r="J5175" s="2" t="s">
        <v>25636</v>
      </c>
      <c r="K5175" s="2" t="s">
        <v>12315</v>
      </c>
      <c r="L5175" s="2" t="s">
        <v>25304</v>
      </c>
      <c r="M5175" s="2" t="s">
        <v>25637</v>
      </c>
      <c r="N5175" s="2" t="s">
        <v>25638</v>
      </c>
      <c r="O5175" s="2" t="s">
        <v>25639</v>
      </c>
      <c r="P5175" s="2" t="s">
        <v>869</v>
      </c>
    </row>
    <row r="5176" ht="15.75" customHeight="1">
      <c r="H5176" s="2" t="s">
        <v>25640</v>
      </c>
      <c r="I5176" s="2" t="s">
        <v>19011</v>
      </c>
      <c r="J5176" s="2" t="s">
        <v>19012</v>
      </c>
      <c r="K5176" s="2" t="s">
        <v>2473</v>
      </c>
      <c r="L5176" s="2" t="s">
        <v>25304</v>
      </c>
      <c r="M5176" s="2" t="s">
        <v>25641</v>
      </c>
      <c r="N5176" s="2" t="s">
        <v>25642</v>
      </c>
      <c r="O5176" s="2" t="s">
        <v>869</v>
      </c>
      <c r="P5176" s="2" t="s">
        <v>870</v>
      </c>
    </row>
    <row r="5177" ht="15.75" customHeight="1">
      <c r="H5177" s="2" t="s">
        <v>25643</v>
      </c>
      <c r="I5177" s="2" t="s">
        <v>1766</v>
      </c>
      <c r="J5177" s="2" t="s">
        <v>1767</v>
      </c>
      <c r="K5177" s="2" t="s">
        <v>1768</v>
      </c>
      <c r="L5177" s="2" t="s">
        <v>25304</v>
      </c>
      <c r="M5177" s="2" t="s">
        <v>25644</v>
      </c>
      <c r="N5177" s="2" t="s">
        <v>25645</v>
      </c>
      <c r="O5177" s="2" t="s">
        <v>25646</v>
      </c>
      <c r="P5177" s="2" t="s">
        <v>869</v>
      </c>
    </row>
    <row r="5178" ht="15.75" customHeight="1">
      <c r="H5178" s="2" t="s">
        <v>25647</v>
      </c>
      <c r="I5178" s="2" t="s">
        <v>25648</v>
      </c>
      <c r="J5178" s="2" t="s">
        <v>25649</v>
      </c>
      <c r="K5178" s="2" t="s">
        <v>25650</v>
      </c>
      <c r="L5178" s="2" t="s">
        <v>25304</v>
      </c>
      <c r="M5178" s="2" t="s">
        <v>25651</v>
      </c>
      <c r="N5178" s="2" t="s">
        <v>25652</v>
      </c>
      <c r="O5178" s="2" t="s">
        <v>25653</v>
      </c>
      <c r="P5178" s="2" t="s">
        <v>869</v>
      </c>
    </row>
    <row r="5179" ht="15.75" customHeight="1">
      <c r="H5179" s="2" t="s">
        <v>25654</v>
      </c>
      <c r="I5179" s="2" t="s">
        <v>1772</v>
      </c>
      <c r="J5179" s="2" t="s">
        <v>1773</v>
      </c>
      <c r="K5179" s="2" t="s">
        <v>1774</v>
      </c>
      <c r="L5179" s="2" t="s">
        <v>25304</v>
      </c>
      <c r="M5179" s="2" t="s">
        <v>1775</v>
      </c>
      <c r="N5179" s="2" t="s">
        <v>25655</v>
      </c>
      <c r="O5179" s="2" t="s">
        <v>25656</v>
      </c>
      <c r="P5179" s="2" t="s">
        <v>869</v>
      </c>
    </row>
    <row r="5180" ht="15.75" customHeight="1">
      <c r="H5180" s="2" t="s">
        <v>25657</v>
      </c>
      <c r="I5180" s="2" t="s">
        <v>25658</v>
      </c>
      <c r="J5180" s="2" t="s">
        <v>25659</v>
      </c>
      <c r="K5180" s="2" t="s">
        <v>25660</v>
      </c>
      <c r="L5180" s="2" t="s">
        <v>25304</v>
      </c>
      <c r="M5180" s="2" t="s">
        <v>25661</v>
      </c>
      <c r="N5180" s="2" t="s">
        <v>25662</v>
      </c>
      <c r="O5180" s="2" t="s">
        <v>25663</v>
      </c>
      <c r="P5180" s="2" t="s">
        <v>869</v>
      </c>
    </row>
    <row r="5181" ht="15.75" customHeight="1">
      <c r="H5181" s="2" t="s">
        <v>25664</v>
      </c>
      <c r="I5181" s="2" t="s">
        <v>7221</v>
      </c>
      <c r="J5181" s="2" t="s">
        <v>7222</v>
      </c>
      <c r="K5181" s="2" t="s">
        <v>25665</v>
      </c>
      <c r="L5181" s="2" t="s">
        <v>25304</v>
      </c>
      <c r="M5181" s="2" t="s">
        <v>7224</v>
      </c>
      <c r="N5181" s="2" t="s">
        <v>25666</v>
      </c>
      <c r="O5181" s="2" t="s">
        <v>25667</v>
      </c>
      <c r="P5181" s="2" t="s">
        <v>869</v>
      </c>
    </row>
    <row r="5182" ht="15.75" customHeight="1">
      <c r="H5182" s="2" t="s">
        <v>25668</v>
      </c>
      <c r="I5182" s="2" t="s">
        <v>15301</v>
      </c>
      <c r="J5182" s="2" t="s">
        <v>15302</v>
      </c>
      <c r="K5182" s="2" t="s">
        <v>25669</v>
      </c>
      <c r="L5182" s="2" t="s">
        <v>25304</v>
      </c>
      <c r="M5182" s="2" t="s">
        <v>25670</v>
      </c>
      <c r="N5182" s="2" t="s">
        <v>25671</v>
      </c>
      <c r="O5182" s="2" t="s">
        <v>25672</v>
      </c>
      <c r="P5182" s="2" t="s">
        <v>869</v>
      </c>
    </row>
    <row r="5183" ht="15.75" customHeight="1">
      <c r="H5183" s="2" t="s">
        <v>25673</v>
      </c>
      <c r="I5183" s="2" t="s">
        <v>1789</v>
      </c>
      <c r="J5183" s="2" t="s">
        <v>1790</v>
      </c>
      <c r="K5183" s="2" t="s">
        <v>1791</v>
      </c>
      <c r="L5183" s="2" t="s">
        <v>25304</v>
      </c>
      <c r="M5183" s="2" t="s">
        <v>25674</v>
      </c>
      <c r="N5183" s="2" t="s">
        <v>25675</v>
      </c>
      <c r="O5183" s="2" t="s">
        <v>25676</v>
      </c>
      <c r="P5183" s="2" t="s">
        <v>869</v>
      </c>
    </row>
    <row r="5184" ht="15.75" customHeight="1">
      <c r="H5184" s="2" t="s">
        <v>25677</v>
      </c>
      <c r="I5184" s="2" t="s">
        <v>19030</v>
      </c>
      <c r="J5184" s="2" t="s">
        <v>19031</v>
      </c>
      <c r="K5184" s="2" t="s">
        <v>1797</v>
      </c>
      <c r="L5184" s="2" t="s">
        <v>25304</v>
      </c>
      <c r="M5184" s="2" t="s">
        <v>25678</v>
      </c>
      <c r="N5184" s="2" t="s">
        <v>25679</v>
      </c>
      <c r="O5184" s="2" t="s">
        <v>25680</v>
      </c>
      <c r="P5184" s="2" t="s">
        <v>869</v>
      </c>
    </row>
    <row r="5185" ht="15.75" customHeight="1">
      <c r="H5185" s="2" t="s">
        <v>25681</v>
      </c>
      <c r="I5185" s="2" t="s">
        <v>1501</v>
      </c>
      <c r="J5185" s="2" t="s">
        <v>1502</v>
      </c>
      <c r="K5185" s="2" t="s">
        <v>1801</v>
      </c>
      <c r="L5185" s="2" t="s">
        <v>25304</v>
      </c>
      <c r="M5185" s="2" t="s">
        <v>25682</v>
      </c>
      <c r="N5185" s="2" t="s">
        <v>25683</v>
      </c>
      <c r="O5185" s="2" t="s">
        <v>25684</v>
      </c>
      <c r="P5185" s="2" t="s">
        <v>869</v>
      </c>
    </row>
    <row r="5186" ht="15.75" customHeight="1">
      <c r="H5186" s="2" t="s">
        <v>25685</v>
      </c>
      <c r="I5186" s="2" t="s">
        <v>25686</v>
      </c>
      <c r="J5186" s="2" t="s">
        <v>25687</v>
      </c>
      <c r="K5186" s="2" t="s">
        <v>19735</v>
      </c>
    </row>
    <row r="5187" ht="15.75" customHeight="1">
      <c r="H5187" s="2" t="s">
        <v>25688</v>
      </c>
      <c r="I5187" s="2" t="s">
        <v>241</v>
      </c>
      <c r="J5187" s="2" t="s">
        <v>242</v>
      </c>
      <c r="K5187" s="2" t="s">
        <v>16807</v>
      </c>
      <c r="L5187" s="2" t="s">
        <v>25304</v>
      </c>
      <c r="M5187" s="2" t="s">
        <v>25689</v>
      </c>
      <c r="N5187" s="2" t="s">
        <v>25690</v>
      </c>
      <c r="O5187" s="2" t="s">
        <v>25691</v>
      </c>
      <c r="P5187" s="2" t="s">
        <v>869</v>
      </c>
    </row>
    <row r="5188" ht="15.75" customHeight="1">
      <c r="H5188" s="2" t="s">
        <v>25692</v>
      </c>
      <c r="I5188" s="2" t="s">
        <v>7241</v>
      </c>
      <c r="J5188" s="2" t="s">
        <v>7242</v>
      </c>
      <c r="K5188" s="2" t="s">
        <v>25693</v>
      </c>
      <c r="L5188" s="2" t="s">
        <v>25304</v>
      </c>
      <c r="M5188" s="2" t="s">
        <v>7244</v>
      </c>
      <c r="N5188" s="2" t="s">
        <v>25694</v>
      </c>
      <c r="O5188" s="2" t="s">
        <v>25695</v>
      </c>
      <c r="P5188" s="2" t="s">
        <v>869</v>
      </c>
    </row>
    <row r="5189" ht="15.75" customHeight="1">
      <c r="H5189" s="2" t="s">
        <v>25696</v>
      </c>
      <c r="I5189" s="2" t="s">
        <v>25697</v>
      </c>
      <c r="J5189" s="2" t="s">
        <v>25698</v>
      </c>
      <c r="K5189" s="2" t="s">
        <v>25699</v>
      </c>
      <c r="L5189" s="2" t="s">
        <v>25304</v>
      </c>
      <c r="M5189" s="2" t="s">
        <v>25700</v>
      </c>
      <c r="N5189" s="2" t="s">
        <v>25701</v>
      </c>
      <c r="O5189" s="2" t="s">
        <v>869</v>
      </c>
      <c r="P5189" s="2" t="s">
        <v>870</v>
      </c>
    </row>
    <row r="5190" ht="15.75" customHeight="1">
      <c r="H5190" s="2" t="s">
        <v>25702</v>
      </c>
      <c r="I5190" s="2" t="s">
        <v>5362</v>
      </c>
      <c r="J5190" s="2" t="s">
        <v>5363</v>
      </c>
      <c r="K5190" s="2" t="s">
        <v>25703</v>
      </c>
      <c r="L5190" s="2" t="s">
        <v>25304</v>
      </c>
      <c r="M5190" s="2" t="s">
        <v>25704</v>
      </c>
      <c r="N5190" s="2" t="s">
        <v>25705</v>
      </c>
      <c r="O5190" s="2" t="s">
        <v>869</v>
      </c>
      <c r="P5190" s="2" t="s">
        <v>870</v>
      </c>
    </row>
    <row r="5191" ht="15.75" customHeight="1">
      <c r="H5191" s="2" t="s">
        <v>25706</v>
      </c>
      <c r="I5191" s="2" t="s">
        <v>25707</v>
      </c>
      <c r="J5191" s="2" t="s">
        <v>25708</v>
      </c>
      <c r="K5191" s="2" t="s">
        <v>25709</v>
      </c>
      <c r="L5191" s="2" t="s">
        <v>25304</v>
      </c>
      <c r="M5191" s="2" t="s">
        <v>25710</v>
      </c>
      <c r="N5191" s="2" t="s">
        <v>25711</v>
      </c>
      <c r="O5191" s="2" t="s">
        <v>869</v>
      </c>
      <c r="P5191" s="2" t="s">
        <v>870</v>
      </c>
    </row>
    <row r="5192" ht="15.75" customHeight="1">
      <c r="H5192" s="2" t="s">
        <v>25712</v>
      </c>
      <c r="I5192" s="2" t="s">
        <v>19081</v>
      </c>
      <c r="J5192" s="2" t="s">
        <v>19082</v>
      </c>
      <c r="K5192" s="2" t="s">
        <v>16000</v>
      </c>
      <c r="L5192" s="2" t="s">
        <v>25304</v>
      </c>
      <c r="M5192" s="2" t="s">
        <v>25713</v>
      </c>
      <c r="N5192" s="2" t="s">
        <v>25714</v>
      </c>
      <c r="O5192" s="2" t="s">
        <v>25715</v>
      </c>
      <c r="P5192" s="2" t="s">
        <v>869</v>
      </c>
    </row>
    <row r="5193" ht="15.75" customHeight="1">
      <c r="F5193" s="2" t="s">
        <v>1854</v>
      </c>
      <c r="H5193" s="2" t="s">
        <v>25716</v>
      </c>
      <c r="I5193" s="2" t="s">
        <v>1856</v>
      </c>
      <c r="J5193" s="2" t="s">
        <v>1857</v>
      </c>
      <c r="L5193" s="2" t="s">
        <v>25304</v>
      </c>
      <c r="M5193" s="2" t="s">
        <v>25717</v>
      </c>
      <c r="N5193" s="2" t="s">
        <v>25718</v>
      </c>
      <c r="O5193" s="2" t="s">
        <v>25719</v>
      </c>
      <c r="P5193" s="2" t="s">
        <v>869</v>
      </c>
    </row>
    <row r="5194" ht="15.75" customHeight="1">
      <c r="H5194" s="2" t="s">
        <v>25720</v>
      </c>
      <c r="I5194" s="2" t="s">
        <v>25721</v>
      </c>
      <c r="J5194" s="2" t="s">
        <v>25722</v>
      </c>
      <c r="K5194" s="2" t="s">
        <v>861</v>
      </c>
      <c r="L5194" s="2" t="s">
        <v>25304</v>
      </c>
      <c r="M5194" s="2" t="s">
        <v>25723</v>
      </c>
      <c r="N5194" s="2" t="s">
        <v>25724</v>
      </c>
      <c r="O5194" s="2" t="s">
        <v>25725</v>
      </c>
      <c r="P5194" s="2" t="s">
        <v>869</v>
      </c>
    </row>
    <row r="5195" ht="15.75" customHeight="1">
      <c r="H5195" s="2" t="s">
        <v>25726</v>
      </c>
      <c r="I5195" s="2" t="s">
        <v>1871</v>
      </c>
      <c r="J5195" s="2" t="s">
        <v>1872</v>
      </c>
      <c r="K5195" s="2" t="s">
        <v>1061</v>
      </c>
      <c r="L5195" s="2" t="s">
        <v>25304</v>
      </c>
      <c r="M5195" s="2" t="s">
        <v>25727</v>
      </c>
      <c r="N5195" s="2" t="s">
        <v>25728</v>
      </c>
      <c r="O5195" s="2" t="s">
        <v>25729</v>
      </c>
      <c r="P5195" s="2" t="s">
        <v>869</v>
      </c>
    </row>
    <row r="5196" ht="15.75" customHeight="1">
      <c r="H5196" s="2" t="s">
        <v>25730</v>
      </c>
      <c r="I5196" s="2" t="s">
        <v>25731</v>
      </c>
      <c r="J5196" s="2" t="s">
        <v>25732</v>
      </c>
      <c r="K5196" s="2" t="s">
        <v>896</v>
      </c>
      <c r="L5196" s="2" t="s">
        <v>25304</v>
      </c>
      <c r="M5196" s="2" t="s">
        <v>25733</v>
      </c>
      <c r="N5196" s="2" t="s">
        <v>25734</v>
      </c>
      <c r="O5196" s="2" t="s">
        <v>869</v>
      </c>
      <c r="P5196" s="2" t="s">
        <v>870</v>
      </c>
    </row>
    <row r="5197" ht="15.75" customHeight="1">
      <c r="F5197" s="2" t="s">
        <v>265</v>
      </c>
      <c r="H5197" s="2" t="s">
        <v>25735</v>
      </c>
      <c r="I5197" s="2" t="s">
        <v>7376</v>
      </c>
      <c r="J5197" s="2" t="s">
        <v>7377</v>
      </c>
      <c r="K5197" s="2" t="s">
        <v>1288</v>
      </c>
      <c r="L5197" s="2" t="s">
        <v>25304</v>
      </c>
      <c r="M5197" s="2" t="s">
        <v>25736</v>
      </c>
      <c r="N5197" s="2" t="s">
        <v>25737</v>
      </c>
      <c r="O5197" s="2" t="s">
        <v>869</v>
      </c>
      <c r="P5197" s="2" t="s">
        <v>870</v>
      </c>
    </row>
    <row r="5198" ht="15.75" customHeight="1">
      <c r="H5198" s="2" t="s">
        <v>25738</v>
      </c>
      <c r="I5198" s="2" t="s">
        <v>7440</v>
      </c>
      <c r="J5198" s="2" t="s">
        <v>7441</v>
      </c>
      <c r="K5198" s="2" t="s">
        <v>912</v>
      </c>
      <c r="L5198" s="2" t="s">
        <v>25304</v>
      </c>
      <c r="M5198" s="2" t="s">
        <v>25739</v>
      </c>
      <c r="N5198" s="2" t="s">
        <v>25740</v>
      </c>
      <c r="O5198" s="2" t="s">
        <v>869</v>
      </c>
      <c r="P5198" s="2" t="s">
        <v>870</v>
      </c>
    </row>
    <row r="5199" ht="15.75" customHeight="1">
      <c r="H5199" s="2" t="s">
        <v>25741</v>
      </c>
      <c r="I5199" s="2" t="s">
        <v>1000</v>
      </c>
      <c r="J5199" s="2" t="s">
        <v>1001</v>
      </c>
      <c r="K5199" s="2" t="s">
        <v>900</v>
      </c>
      <c r="L5199" s="2" t="s">
        <v>25304</v>
      </c>
      <c r="M5199" s="2" t="s">
        <v>25742</v>
      </c>
      <c r="N5199" s="2" t="s">
        <v>25743</v>
      </c>
      <c r="O5199" s="2" t="s">
        <v>25744</v>
      </c>
      <c r="P5199" s="2" t="s">
        <v>869</v>
      </c>
    </row>
    <row r="5200" ht="15.75" customHeight="1">
      <c r="H5200" s="2" t="s">
        <v>25745</v>
      </c>
      <c r="I5200" s="2" t="s">
        <v>25746</v>
      </c>
      <c r="J5200" s="2" t="s">
        <v>25747</v>
      </c>
      <c r="K5200" s="2" t="s">
        <v>2937</v>
      </c>
      <c r="L5200" s="2" t="s">
        <v>25304</v>
      </c>
      <c r="M5200" s="2" t="s">
        <v>25748</v>
      </c>
      <c r="N5200" s="2" t="s">
        <v>25749</v>
      </c>
      <c r="O5200" s="2" t="s">
        <v>25750</v>
      </c>
      <c r="P5200" s="2" t="s">
        <v>869</v>
      </c>
    </row>
    <row r="5201" ht="15.75" customHeight="1">
      <c r="H5201" s="2" t="s">
        <v>25751</v>
      </c>
      <c r="I5201" s="2" t="s">
        <v>267</v>
      </c>
      <c r="J5201" s="2" t="s">
        <v>268</v>
      </c>
      <c r="K5201" s="2" t="s">
        <v>1412</v>
      </c>
      <c r="L5201" s="2" t="s">
        <v>25752</v>
      </c>
      <c r="M5201" s="2" t="s">
        <v>25753</v>
      </c>
      <c r="N5201" s="2" t="s">
        <v>25754</v>
      </c>
      <c r="O5201" s="2" t="s">
        <v>25755</v>
      </c>
      <c r="P5201" s="2" t="s">
        <v>869</v>
      </c>
    </row>
    <row r="5202" ht="15.75" customHeight="1">
      <c r="H5202" s="2" t="s">
        <v>25756</v>
      </c>
      <c r="I5202" s="2" t="s">
        <v>1950</v>
      </c>
      <c r="J5202" s="2" t="s">
        <v>1951</v>
      </c>
      <c r="K5202" s="2" t="s">
        <v>1952</v>
      </c>
      <c r="L5202" s="2" t="s">
        <v>25304</v>
      </c>
      <c r="M5202" s="2" t="s">
        <v>25757</v>
      </c>
      <c r="N5202" s="2" t="s">
        <v>25758</v>
      </c>
      <c r="O5202" s="2" t="s">
        <v>869</v>
      </c>
      <c r="P5202" s="2" t="s">
        <v>870</v>
      </c>
    </row>
    <row r="5203" ht="15.75" customHeight="1">
      <c r="H5203" s="2" t="s">
        <v>25759</v>
      </c>
      <c r="I5203" s="2" t="s">
        <v>25760</v>
      </c>
      <c r="J5203" s="2" t="s">
        <v>25761</v>
      </c>
      <c r="K5203" s="2" t="s">
        <v>2203</v>
      </c>
      <c r="L5203" s="2" t="s">
        <v>25304</v>
      </c>
      <c r="M5203" s="2" t="s">
        <v>25762</v>
      </c>
      <c r="N5203" s="2" t="s">
        <v>25763</v>
      </c>
      <c r="O5203" s="2" t="s">
        <v>25764</v>
      </c>
      <c r="P5203" s="2" t="s">
        <v>869</v>
      </c>
    </row>
    <row r="5204" ht="15.75" customHeight="1">
      <c r="H5204" s="2" t="s">
        <v>25765</v>
      </c>
      <c r="I5204" s="2" t="s">
        <v>7465</v>
      </c>
      <c r="J5204" s="2" t="s">
        <v>7466</v>
      </c>
      <c r="K5204" s="2" t="s">
        <v>1151</v>
      </c>
      <c r="L5204" s="2" t="s">
        <v>25304</v>
      </c>
      <c r="M5204" s="2" t="s">
        <v>7468</v>
      </c>
      <c r="N5204" s="2" t="s">
        <v>25766</v>
      </c>
      <c r="O5204" s="2" t="s">
        <v>25767</v>
      </c>
      <c r="P5204" s="2" t="s">
        <v>869</v>
      </c>
    </row>
    <row r="5205" ht="15.75" customHeight="1">
      <c r="H5205" s="2" t="s">
        <v>25768</v>
      </c>
      <c r="I5205" s="2" t="s">
        <v>25769</v>
      </c>
      <c r="J5205" s="2" t="s">
        <v>25770</v>
      </c>
      <c r="K5205" s="2" t="s">
        <v>1038</v>
      </c>
      <c r="L5205" s="2" t="s">
        <v>25304</v>
      </c>
      <c r="M5205" s="2" t="s">
        <v>25771</v>
      </c>
      <c r="N5205" s="2" t="s">
        <v>25772</v>
      </c>
      <c r="O5205" s="2" t="s">
        <v>25773</v>
      </c>
      <c r="P5205" s="2" t="s">
        <v>869</v>
      </c>
    </row>
    <row r="5206" ht="15.75" customHeight="1">
      <c r="H5206" s="2" t="s">
        <v>25774</v>
      </c>
      <c r="I5206" s="2" t="s">
        <v>25775</v>
      </c>
      <c r="J5206" s="2" t="s">
        <v>25776</v>
      </c>
      <c r="K5206" s="2" t="s">
        <v>1433</v>
      </c>
      <c r="L5206" s="2" t="s">
        <v>25304</v>
      </c>
      <c r="M5206" s="2" t="s">
        <v>25777</v>
      </c>
      <c r="N5206" s="2" t="s">
        <v>25778</v>
      </c>
      <c r="O5206" s="2" t="s">
        <v>25779</v>
      </c>
      <c r="P5206" s="2" t="s">
        <v>869</v>
      </c>
    </row>
    <row r="5207" ht="15.75" customHeight="1">
      <c r="H5207" s="2" t="s">
        <v>25780</v>
      </c>
      <c r="I5207" s="2" t="s">
        <v>5388</v>
      </c>
      <c r="J5207" s="2" t="s">
        <v>5389</v>
      </c>
      <c r="K5207" s="2" t="s">
        <v>3298</v>
      </c>
      <c r="L5207" s="2" t="s">
        <v>25304</v>
      </c>
      <c r="M5207" s="2" t="s">
        <v>25781</v>
      </c>
      <c r="N5207" s="2" t="s">
        <v>25782</v>
      </c>
      <c r="O5207" s="2" t="s">
        <v>869</v>
      </c>
      <c r="P5207" s="2" t="s">
        <v>870</v>
      </c>
    </row>
    <row r="5208" ht="15.75" customHeight="1">
      <c r="H5208" s="2" t="s">
        <v>25783</v>
      </c>
      <c r="I5208" s="2" t="s">
        <v>25784</v>
      </c>
      <c r="J5208" s="2" t="s">
        <v>25785</v>
      </c>
      <c r="K5208" s="2" t="s">
        <v>25786</v>
      </c>
      <c r="L5208" s="2" t="s">
        <v>25304</v>
      </c>
      <c r="M5208" s="2" t="s">
        <v>25787</v>
      </c>
      <c r="N5208" s="2" t="s">
        <v>25788</v>
      </c>
      <c r="O5208" s="2" t="s">
        <v>25789</v>
      </c>
      <c r="P5208" s="2" t="s">
        <v>869</v>
      </c>
    </row>
    <row r="5209" ht="15.75" customHeight="1">
      <c r="H5209" s="2" t="s">
        <v>25790</v>
      </c>
      <c r="I5209" s="2" t="s">
        <v>25791</v>
      </c>
      <c r="J5209" s="2" t="s">
        <v>25792</v>
      </c>
      <c r="K5209" s="2" t="s">
        <v>5106</v>
      </c>
      <c r="L5209" s="2" t="s">
        <v>25304</v>
      </c>
      <c r="M5209" s="2" t="s">
        <v>25793</v>
      </c>
      <c r="N5209" s="2" t="s">
        <v>25794</v>
      </c>
      <c r="O5209" s="2" t="s">
        <v>869</v>
      </c>
      <c r="P5209" s="2" t="s">
        <v>870</v>
      </c>
    </row>
    <row r="5210" ht="15.75" customHeight="1">
      <c r="H5210" s="2" t="s">
        <v>25795</v>
      </c>
      <c r="I5210" s="2" t="s">
        <v>2041</v>
      </c>
      <c r="J5210" s="2" t="s">
        <v>2042</v>
      </c>
      <c r="K5210" s="2" t="s">
        <v>2043</v>
      </c>
      <c r="L5210" s="2" t="s">
        <v>25304</v>
      </c>
      <c r="M5210" s="2" t="s">
        <v>25796</v>
      </c>
      <c r="N5210" s="2" t="s">
        <v>25797</v>
      </c>
      <c r="O5210" s="2" t="s">
        <v>869</v>
      </c>
      <c r="P5210" s="2" t="s">
        <v>870</v>
      </c>
    </row>
    <row r="5211" ht="15.75" customHeight="1">
      <c r="H5211" s="2" t="s">
        <v>25798</v>
      </c>
      <c r="I5211" s="2" t="s">
        <v>25799</v>
      </c>
      <c r="J5211" s="2" t="s">
        <v>25800</v>
      </c>
      <c r="K5211" s="2" t="s">
        <v>5142</v>
      </c>
      <c r="L5211" s="2" t="s">
        <v>25304</v>
      </c>
      <c r="M5211" s="2" t="s">
        <v>25801</v>
      </c>
      <c r="N5211" s="2" t="s">
        <v>25802</v>
      </c>
      <c r="O5211" s="2" t="s">
        <v>25803</v>
      </c>
      <c r="P5211" s="2" t="s">
        <v>869</v>
      </c>
    </row>
    <row r="5212" ht="15.75" customHeight="1">
      <c r="H5212" s="2" t="s">
        <v>25804</v>
      </c>
      <c r="I5212" s="2" t="s">
        <v>25805</v>
      </c>
      <c r="J5212" s="2" t="s">
        <v>25806</v>
      </c>
      <c r="K5212" s="2" t="s">
        <v>2431</v>
      </c>
      <c r="L5212" s="2" t="s">
        <v>25304</v>
      </c>
      <c r="M5212" s="2" t="s">
        <v>25807</v>
      </c>
      <c r="N5212" s="2" t="s">
        <v>25808</v>
      </c>
      <c r="O5212" s="2" t="s">
        <v>25809</v>
      </c>
      <c r="P5212" s="2" t="s">
        <v>869</v>
      </c>
    </row>
    <row r="5213" ht="15.75" customHeight="1">
      <c r="F5213" s="2" t="s">
        <v>274</v>
      </c>
      <c r="H5213" s="2" t="s">
        <v>25810</v>
      </c>
      <c r="I5213" s="2" t="s">
        <v>276</v>
      </c>
      <c r="J5213" s="2" t="s">
        <v>276</v>
      </c>
      <c r="K5213" s="2" t="s">
        <v>277</v>
      </c>
    </row>
    <row r="5214" ht="15.75" customHeight="1">
      <c r="H5214" s="2" t="s">
        <v>25811</v>
      </c>
      <c r="I5214" s="2" t="s">
        <v>279</v>
      </c>
      <c r="J5214" s="2" t="s">
        <v>274</v>
      </c>
      <c r="K5214" s="2" t="s">
        <v>280</v>
      </c>
    </row>
    <row r="5215" ht="15.75" customHeight="1">
      <c r="H5215" s="2" t="s">
        <v>25812</v>
      </c>
      <c r="I5215" s="2" t="s">
        <v>25813</v>
      </c>
      <c r="J5215" s="2" t="s">
        <v>25813</v>
      </c>
      <c r="K5215" s="2" t="s">
        <v>1551</v>
      </c>
    </row>
    <row r="5216" ht="15.75" customHeight="1">
      <c r="H5216" s="2" t="s">
        <v>25814</v>
      </c>
      <c r="I5216" s="2" t="s">
        <v>7686</v>
      </c>
      <c r="J5216" s="2" t="s">
        <v>7686</v>
      </c>
      <c r="K5216" s="2" t="s">
        <v>1508</v>
      </c>
    </row>
    <row r="5217" ht="15.75" customHeight="1">
      <c r="F5217" s="2" t="s">
        <v>284</v>
      </c>
      <c r="H5217" s="2" t="s">
        <v>25815</v>
      </c>
      <c r="I5217" s="2" t="s">
        <v>25816</v>
      </c>
      <c r="J5217" s="2" t="s">
        <v>25817</v>
      </c>
      <c r="K5217" s="2" t="s">
        <v>861</v>
      </c>
      <c r="L5217" s="2" t="s">
        <v>25304</v>
      </c>
      <c r="M5217" s="2" t="s">
        <v>25818</v>
      </c>
      <c r="N5217" s="2" t="s">
        <v>25819</v>
      </c>
      <c r="O5217" s="2" t="s">
        <v>25820</v>
      </c>
      <c r="P5217" s="2" t="s">
        <v>869</v>
      </c>
    </row>
    <row r="5218" ht="15.75" customHeight="1">
      <c r="H5218" s="2" t="s">
        <v>25821</v>
      </c>
      <c r="I5218" s="2" t="s">
        <v>25822</v>
      </c>
      <c r="J5218" s="2" t="s">
        <v>25823</v>
      </c>
      <c r="K5218" s="2" t="s">
        <v>277</v>
      </c>
      <c r="L5218" s="2" t="s">
        <v>25304</v>
      </c>
      <c r="M5218" s="2" t="s">
        <v>25824</v>
      </c>
      <c r="N5218" s="2" t="s">
        <v>25825</v>
      </c>
      <c r="O5218" s="2" t="s">
        <v>25826</v>
      </c>
      <c r="P5218" s="2" t="s">
        <v>869</v>
      </c>
    </row>
    <row r="5219" ht="15.75" customHeight="1">
      <c r="H5219" s="2" t="s">
        <v>25827</v>
      </c>
      <c r="I5219" s="2" t="s">
        <v>6023</v>
      </c>
      <c r="J5219" s="2" t="s">
        <v>6024</v>
      </c>
      <c r="K5219" s="2" t="s">
        <v>1362</v>
      </c>
      <c r="L5219" s="2" t="s">
        <v>25304</v>
      </c>
      <c r="M5219" s="2" t="s">
        <v>25828</v>
      </c>
      <c r="N5219" s="2" t="s">
        <v>25829</v>
      </c>
      <c r="O5219" s="2" t="s">
        <v>25830</v>
      </c>
      <c r="P5219" s="2" t="s">
        <v>869</v>
      </c>
    </row>
    <row r="5220" ht="15.75" customHeight="1">
      <c r="H5220" s="2" t="s">
        <v>25831</v>
      </c>
      <c r="I5220" s="2" t="s">
        <v>5403</v>
      </c>
      <c r="J5220" s="2" t="s">
        <v>5404</v>
      </c>
      <c r="K5220" s="2" t="s">
        <v>1467</v>
      </c>
      <c r="L5220" s="2" t="s">
        <v>25304</v>
      </c>
      <c r="M5220" s="2" t="s">
        <v>25832</v>
      </c>
      <c r="N5220" s="2" t="s">
        <v>25833</v>
      </c>
      <c r="O5220" s="2" t="s">
        <v>25834</v>
      </c>
      <c r="P5220" s="2" t="s">
        <v>869</v>
      </c>
    </row>
    <row r="5221" ht="15.75" customHeight="1">
      <c r="H5221" s="2" t="s">
        <v>25835</v>
      </c>
      <c r="I5221" s="2" t="s">
        <v>11959</v>
      </c>
      <c r="J5221" s="2" t="s">
        <v>11960</v>
      </c>
      <c r="K5221" s="2" t="s">
        <v>996</v>
      </c>
      <c r="L5221" s="2" t="s">
        <v>25304</v>
      </c>
      <c r="M5221" s="2" t="s">
        <v>25836</v>
      </c>
      <c r="N5221" s="2" t="s">
        <v>25837</v>
      </c>
      <c r="O5221" s="2" t="s">
        <v>25838</v>
      </c>
      <c r="P5221" s="2" t="s">
        <v>869</v>
      </c>
    </row>
    <row r="5222" ht="15.75" customHeight="1">
      <c r="H5222" s="2" t="s">
        <v>25839</v>
      </c>
      <c r="I5222" s="2" t="s">
        <v>286</v>
      </c>
      <c r="J5222" s="2" t="s">
        <v>287</v>
      </c>
      <c r="K5222" s="2" t="s">
        <v>1117</v>
      </c>
      <c r="L5222" s="2" t="s">
        <v>25304</v>
      </c>
      <c r="M5222" s="2" t="s">
        <v>25840</v>
      </c>
      <c r="N5222" s="2" t="s">
        <v>25841</v>
      </c>
      <c r="O5222" s="2" t="s">
        <v>25842</v>
      </c>
      <c r="P5222" s="2" t="s">
        <v>869</v>
      </c>
    </row>
    <row r="5223" ht="15.75" customHeight="1">
      <c r="H5223" s="2" t="s">
        <v>25843</v>
      </c>
      <c r="I5223" s="2" t="s">
        <v>12601</v>
      </c>
      <c r="J5223" s="2" t="s">
        <v>12602</v>
      </c>
      <c r="K5223" s="2" t="s">
        <v>14427</v>
      </c>
      <c r="L5223" s="2" t="s">
        <v>25304</v>
      </c>
      <c r="M5223" s="2" t="s">
        <v>25844</v>
      </c>
      <c r="N5223" s="2" t="s">
        <v>25845</v>
      </c>
      <c r="O5223" s="2" t="s">
        <v>25846</v>
      </c>
      <c r="P5223" s="2" t="s">
        <v>869</v>
      </c>
    </row>
    <row r="5224" ht="15.75" customHeight="1">
      <c r="H5224" s="2" t="s">
        <v>25847</v>
      </c>
      <c r="I5224" s="2" t="s">
        <v>2103</v>
      </c>
      <c r="J5224" s="2" t="s">
        <v>2104</v>
      </c>
      <c r="K5224" s="2" t="s">
        <v>1117</v>
      </c>
      <c r="L5224" s="2" t="s">
        <v>25848</v>
      </c>
      <c r="M5224" s="2" t="s">
        <v>25849</v>
      </c>
      <c r="N5224" s="2" t="s">
        <v>25850</v>
      </c>
      <c r="O5224" s="2" t="s">
        <v>25851</v>
      </c>
      <c r="P5224" s="2" t="s">
        <v>869</v>
      </c>
    </row>
    <row r="5225" ht="15.75" customHeight="1">
      <c r="H5225" s="2" t="s">
        <v>25852</v>
      </c>
      <c r="I5225" s="2" t="s">
        <v>5889</v>
      </c>
      <c r="J5225" s="2" t="s">
        <v>5890</v>
      </c>
      <c r="K5225" s="2" t="s">
        <v>1136</v>
      </c>
      <c r="L5225" s="2" t="s">
        <v>25853</v>
      </c>
      <c r="M5225" s="2" t="s">
        <v>25854</v>
      </c>
      <c r="N5225" s="2" t="s">
        <v>25855</v>
      </c>
      <c r="O5225" s="2" t="s">
        <v>25856</v>
      </c>
      <c r="P5225" s="2" t="s">
        <v>869</v>
      </c>
    </row>
    <row r="5226" ht="15.75" customHeight="1">
      <c r="H5226" s="2" t="s">
        <v>25857</v>
      </c>
      <c r="I5226" s="2" t="s">
        <v>13211</v>
      </c>
      <c r="J5226" s="2" t="s">
        <v>13212</v>
      </c>
      <c r="K5226" s="2" t="s">
        <v>963</v>
      </c>
      <c r="L5226" s="2" t="s">
        <v>25304</v>
      </c>
      <c r="M5226" s="2" t="s">
        <v>25858</v>
      </c>
      <c r="N5226" s="2" t="s">
        <v>25859</v>
      </c>
      <c r="O5226" s="2" t="s">
        <v>25860</v>
      </c>
      <c r="P5226" s="2" t="s">
        <v>869</v>
      </c>
    </row>
    <row r="5227" ht="15.75" customHeight="1">
      <c r="H5227" s="2" t="s">
        <v>25861</v>
      </c>
      <c r="I5227" s="2" t="s">
        <v>25862</v>
      </c>
      <c r="J5227" s="2" t="s">
        <v>25863</v>
      </c>
      <c r="K5227" s="2" t="s">
        <v>1508</v>
      </c>
      <c r="L5227" s="2" t="s">
        <v>25304</v>
      </c>
      <c r="M5227" s="2" t="s">
        <v>25864</v>
      </c>
      <c r="N5227" s="2" t="s">
        <v>25865</v>
      </c>
      <c r="O5227" s="2" t="s">
        <v>25866</v>
      </c>
      <c r="P5227" s="2" t="s">
        <v>869</v>
      </c>
    </row>
    <row r="5228" ht="15.75" customHeight="1">
      <c r="H5228" s="2" t="s">
        <v>25867</v>
      </c>
      <c r="I5228" s="2" t="s">
        <v>2124</v>
      </c>
      <c r="J5228" s="2" t="s">
        <v>2125</v>
      </c>
      <c r="K5228" s="2" t="s">
        <v>900</v>
      </c>
      <c r="L5228" s="2" t="s">
        <v>25304</v>
      </c>
      <c r="M5228" s="2" t="s">
        <v>25868</v>
      </c>
      <c r="N5228" s="2" t="s">
        <v>25869</v>
      </c>
      <c r="O5228" s="2" t="s">
        <v>25870</v>
      </c>
      <c r="P5228" s="2" t="s">
        <v>869</v>
      </c>
    </row>
    <row r="5229" ht="15.75" customHeight="1">
      <c r="H5229" s="2" t="s">
        <v>25871</v>
      </c>
      <c r="I5229" s="2" t="s">
        <v>2134</v>
      </c>
      <c r="J5229" s="2" t="s">
        <v>2135</v>
      </c>
      <c r="K5229" s="2" t="s">
        <v>912</v>
      </c>
      <c r="L5229" s="2" t="s">
        <v>25304</v>
      </c>
      <c r="M5229" s="2" t="s">
        <v>25872</v>
      </c>
      <c r="N5229" s="2" t="s">
        <v>25873</v>
      </c>
      <c r="O5229" s="2" t="s">
        <v>25874</v>
      </c>
      <c r="P5229" s="2" t="s">
        <v>869</v>
      </c>
    </row>
    <row r="5230" ht="15.75" customHeight="1">
      <c r="H5230" s="2" t="s">
        <v>25875</v>
      </c>
      <c r="I5230" s="2" t="s">
        <v>1000</v>
      </c>
      <c r="J5230" s="2" t="s">
        <v>1001</v>
      </c>
      <c r="K5230" s="2" t="s">
        <v>924</v>
      </c>
      <c r="L5230" s="2" t="s">
        <v>25876</v>
      </c>
      <c r="M5230" s="2" t="s">
        <v>25877</v>
      </c>
      <c r="N5230" s="2" t="s">
        <v>25878</v>
      </c>
      <c r="O5230" s="2" t="s">
        <v>25879</v>
      </c>
      <c r="P5230" s="2" t="s">
        <v>869</v>
      </c>
    </row>
    <row r="5231" ht="15.75" customHeight="1">
      <c r="H5231" s="2" t="s">
        <v>25880</v>
      </c>
      <c r="I5231" s="2" t="s">
        <v>25881</v>
      </c>
      <c r="J5231" s="2" t="s">
        <v>25882</v>
      </c>
      <c r="K5231" s="2" t="s">
        <v>1128</v>
      </c>
      <c r="L5231" s="2" t="s">
        <v>25304</v>
      </c>
      <c r="M5231" s="2" t="s">
        <v>25883</v>
      </c>
      <c r="N5231" s="2" t="s">
        <v>25884</v>
      </c>
      <c r="O5231" s="2" t="s">
        <v>25885</v>
      </c>
      <c r="P5231" s="2" t="s">
        <v>869</v>
      </c>
    </row>
    <row r="5232" ht="15.75" customHeight="1">
      <c r="H5232" s="2" t="s">
        <v>25886</v>
      </c>
      <c r="I5232" s="2" t="s">
        <v>12227</v>
      </c>
      <c r="J5232" s="2" t="s">
        <v>12228</v>
      </c>
      <c r="L5232" s="2" t="s">
        <v>25304</v>
      </c>
      <c r="M5232" s="2" t="s">
        <v>25887</v>
      </c>
      <c r="N5232" s="2" t="s">
        <v>25888</v>
      </c>
      <c r="O5232" s="2" t="s">
        <v>869</v>
      </c>
      <c r="P5232" s="2" t="s">
        <v>870</v>
      </c>
    </row>
    <row r="5233" ht="15.75" customHeight="1">
      <c r="H5233" s="2" t="s">
        <v>25889</v>
      </c>
      <c r="I5233" s="2" t="s">
        <v>25890</v>
      </c>
      <c r="J5233" s="2" t="s">
        <v>25891</v>
      </c>
      <c r="K5233" s="2" t="s">
        <v>1193</v>
      </c>
      <c r="L5233" s="2" t="s">
        <v>25304</v>
      </c>
      <c r="M5233" s="2" t="s">
        <v>25892</v>
      </c>
      <c r="N5233" s="2" t="s">
        <v>25893</v>
      </c>
      <c r="O5233" s="2" t="s">
        <v>25894</v>
      </c>
      <c r="P5233" s="2" t="s">
        <v>869</v>
      </c>
    </row>
    <row r="5234" ht="15.75" customHeight="1">
      <c r="H5234" s="2" t="s">
        <v>25895</v>
      </c>
      <c r="I5234" s="2" t="s">
        <v>2152</v>
      </c>
      <c r="J5234" s="2" t="s">
        <v>2153</v>
      </c>
      <c r="K5234" s="2" t="s">
        <v>1688</v>
      </c>
      <c r="L5234" s="2" t="s">
        <v>25304</v>
      </c>
      <c r="M5234" s="2" t="s">
        <v>25896</v>
      </c>
      <c r="N5234" s="2" t="s">
        <v>25897</v>
      </c>
      <c r="O5234" s="2" t="s">
        <v>25898</v>
      </c>
      <c r="P5234" s="2" t="s">
        <v>869</v>
      </c>
    </row>
    <row r="5235" ht="15.75" customHeight="1">
      <c r="H5235" s="2" t="s">
        <v>25899</v>
      </c>
      <c r="I5235" s="2" t="s">
        <v>25900</v>
      </c>
      <c r="J5235" s="2" t="s">
        <v>25901</v>
      </c>
      <c r="K5235" s="2" t="s">
        <v>1151</v>
      </c>
      <c r="L5235" s="2" t="s">
        <v>25304</v>
      </c>
      <c r="M5235" s="2" t="s">
        <v>25902</v>
      </c>
      <c r="N5235" s="2" t="s">
        <v>25903</v>
      </c>
      <c r="O5235" s="2" t="s">
        <v>25904</v>
      </c>
      <c r="P5235" s="2" t="s">
        <v>869</v>
      </c>
    </row>
    <row r="5236" ht="15.75" customHeight="1">
      <c r="H5236" s="2" t="s">
        <v>25905</v>
      </c>
      <c r="I5236" s="2" t="s">
        <v>25906</v>
      </c>
      <c r="J5236" s="2" t="s">
        <v>25907</v>
      </c>
      <c r="K5236" s="2" t="s">
        <v>1027</v>
      </c>
      <c r="L5236" s="2" t="s">
        <v>25908</v>
      </c>
      <c r="M5236" s="2" t="s">
        <v>25909</v>
      </c>
      <c r="N5236" s="2" t="s">
        <v>25910</v>
      </c>
      <c r="O5236" s="2" t="s">
        <v>25911</v>
      </c>
      <c r="P5236" s="2" t="s">
        <v>869</v>
      </c>
    </row>
    <row r="5237" ht="15.75" customHeight="1">
      <c r="H5237" s="2" t="s">
        <v>25912</v>
      </c>
      <c r="I5237" s="2" t="s">
        <v>25913</v>
      </c>
      <c r="J5237" s="2" t="s">
        <v>25914</v>
      </c>
      <c r="K5237" s="2" t="s">
        <v>2171</v>
      </c>
      <c r="L5237" s="2" t="s">
        <v>25304</v>
      </c>
      <c r="M5237" s="2" t="s">
        <v>25915</v>
      </c>
      <c r="N5237" s="2" t="s">
        <v>25916</v>
      </c>
      <c r="O5237" s="2" t="s">
        <v>25917</v>
      </c>
      <c r="P5237" s="2" t="s">
        <v>869</v>
      </c>
    </row>
    <row r="5238" ht="15.75" customHeight="1">
      <c r="H5238" s="2" t="s">
        <v>25918</v>
      </c>
      <c r="I5238" s="2" t="s">
        <v>12234</v>
      </c>
      <c r="J5238" s="2" t="s">
        <v>12235</v>
      </c>
      <c r="K5238" s="2" t="s">
        <v>2551</v>
      </c>
      <c r="L5238" s="2" t="s">
        <v>25304</v>
      </c>
      <c r="M5238" s="2" t="s">
        <v>25919</v>
      </c>
      <c r="N5238" s="2" t="s">
        <v>25920</v>
      </c>
      <c r="O5238" s="2" t="s">
        <v>25921</v>
      </c>
      <c r="P5238" s="2" t="s">
        <v>869</v>
      </c>
    </row>
    <row r="5239" ht="15.75" customHeight="1">
      <c r="H5239" s="2" t="s">
        <v>25922</v>
      </c>
      <c r="I5239" s="2" t="s">
        <v>2175</v>
      </c>
      <c r="J5239" s="2" t="s">
        <v>2176</v>
      </c>
      <c r="K5239" s="2" t="s">
        <v>1406</v>
      </c>
      <c r="L5239" s="2" t="s">
        <v>25304</v>
      </c>
      <c r="M5239" s="2" t="s">
        <v>25923</v>
      </c>
      <c r="N5239" s="2" t="s">
        <v>25924</v>
      </c>
      <c r="O5239" s="2" t="s">
        <v>25925</v>
      </c>
      <c r="P5239" s="2" t="s">
        <v>869</v>
      </c>
    </row>
    <row r="5240" ht="15.75" customHeight="1">
      <c r="H5240" s="2" t="s">
        <v>25926</v>
      </c>
      <c r="I5240" s="2" t="s">
        <v>19431</v>
      </c>
      <c r="J5240" s="2" t="s">
        <v>19432</v>
      </c>
      <c r="K5240" s="2" t="s">
        <v>1193</v>
      </c>
      <c r="L5240" s="2" t="s">
        <v>25304</v>
      </c>
      <c r="M5240" s="2" t="s">
        <v>25927</v>
      </c>
      <c r="N5240" s="2" t="s">
        <v>25928</v>
      </c>
      <c r="O5240" s="2" t="s">
        <v>869</v>
      </c>
      <c r="P5240" s="2" t="s">
        <v>870</v>
      </c>
    </row>
    <row r="5241" ht="15.75" customHeight="1">
      <c r="H5241" s="2" t="s">
        <v>25929</v>
      </c>
      <c r="I5241" s="2" t="s">
        <v>16957</v>
      </c>
      <c r="J5241" s="2" t="s">
        <v>16958</v>
      </c>
      <c r="K5241" s="2" t="s">
        <v>1418</v>
      </c>
      <c r="L5241" s="2" t="s">
        <v>25930</v>
      </c>
      <c r="M5241" s="2" t="s">
        <v>25931</v>
      </c>
      <c r="N5241" s="2" t="s">
        <v>25932</v>
      </c>
      <c r="O5241" s="2" t="s">
        <v>25933</v>
      </c>
      <c r="P5241" s="2" t="s">
        <v>869</v>
      </c>
    </row>
    <row r="5242" ht="15.75" customHeight="1">
      <c r="H5242" s="2" t="s">
        <v>25934</v>
      </c>
      <c r="I5242" s="2" t="s">
        <v>2195</v>
      </c>
      <c r="J5242" s="2" t="s">
        <v>2196</v>
      </c>
      <c r="K5242" s="2" t="s">
        <v>1624</v>
      </c>
      <c r="L5242" s="2" t="s">
        <v>25935</v>
      </c>
      <c r="M5242" s="2" t="s">
        <v>25936</v>
      </c>
      <c r="N5242" s="2" t="s">
        <v>25937</v>
      </c>
      <c r="O5242" s="2" t="s">
        <v>25938</v>
      </c>
      <c r="P5242" s="2" t="s">
        <v>869</v>
      </c>
    </row>
    <row r="5243" ht="15.75" customHeight="1">
      <c r="H5243" s="2" t="s">
        <v>25939</v>
      </c>
      <c r="I5243" s="2" t="s">
        <v>25940</v>
      </c>
      <c r="J5243" s="2" t="s">
        <v>25941</v>
      </c>
      <c r="K5243" s="2" t="s">
        <v>3309</v>
      </c>
      <c r="L5243" s="2" t="s">
        <v>25304</v>
      </c>
      <c r="M5243" s="2" t="s">
        <v>25942</v>
      </c>
      <c r="N5243" s="2" t="s">
        <v>25943</v>
      </c>
      <c r="O5243" s="2" t="s">
        <v>25944</v>
      </c>
      <c r="P5243" s="2" t="s">
        <v>869</v>
      </c>
    </row>
    <row r="5244" ht="15.75" customHeight="1">
      <c r="H5244" s="2" t="s">
        <v>25945</v>
      </c>
      <c r="I5244" s="2" t="s">
        <v>25946</v>
      </c>
      <c r="J5244" s="2" t="s">
        <v>25947</v>
      </c>
      <c r="K5244" s="2" t="s">
        <v>1163</v>
      </c>
      <c r="L5244" s="2" t="s">
        <v>25948</v>
      </c>
      <c r="M5244" s="2" t="s">
        <v>25949</v>
      </c>
      <c r="N5244" s="2" t="s">
        <v>25950</v>
      </c>
      <c r="O5244" s="2" t="s">
        <v>25951</v>
      </c>
      <c r="P5244" s="2" t="s">
        <v>869</v>
      </c>
    </row>
    <row r="5245" ht="15.75" customHeight="1">
      <c r="H5245" s="2" t="s">
        <v>25952</v>
      </c>
      <c r="I5245" s="2" t="s">
        <v>25953</v>
      </c>
      <c r="J5245" s="2" t="s">
        <v>25954</v>
      </c>
      <c r="K5245" s="2" t="s">
        <v>1217</v>
      </c>
      <c r="L5245" s="2" t="s">
        <v>25304</v>
      </c>
      <c r="M5245" s="2" t="s">
        <v>25955</v>
      </c>
      <c r="N5245" s="2" t="s">
        <v>25956</v>
      </c>
      <c r="O5245" s="2" t="s">
        <v>25957</v>
      </c>
      <c r="P5245" s="2" t="s">
        <v>869</v>
      </c>
    </row>
    <row r="5246" ht="15.75" customHeight="1">
      <c r="H5246" s="2" t="s">
        <v>25958</v>
      </c>
      <c r="I5246" s="2" t="s">
        <v>335</v>
      </c>
      <c r="J5246" s="2" t="s">
        <v>336</v>
      </c>
      <c r="K5246" s="2" t="s">
        <v>1637</v>
      </c>
      <c r="L5246" s="2" t="s">
        <v>25304</v>
      </c>
      <c r="M5246" s="2" t="s">
        <v>25959</v>
      </c>
      <c r="N5246" s="2" t="s">
        <v>25960</v>
      </c>
      <c r="O5246" s="2" t="s">
        <v>25961</v>
      </c>
      <c r="P5246" s="2" t="s">
        <v>869</v>
      </c>
    </row>
    <row r="5247" ht="15.75" customHeight="1">
      <c r="H5247" s="2" t="s">
        <v>25962</v>
      </c>
      <c r="I5247" s="2" t="s">
        <v>352</v>
      </c>
      <c r="J5247" s="2" t="s">
        <v>353</v>
      </c>
      <c r="K5247" s="2" t="s">
        <v>2236</v>
      </c>
      <c r="L5247" s="2" t="s">
        <v>25304</v>
      </c>
      <c r="M5247" s="2" t="s">
        <v>25963</v>
      </c>
      <c r="N5247" s="2" t="s">
        <v>25964</v>
      </c>
      <c r="O5247" s="2" t="s">
        <v>25965</v>
      </c>
      <c r="P5247" s="2" t="s">
        <v>869</v>
      </c>
    </row>
    <row r="5248" ht="15.75" customHeight="1">
      <c r="H5248" s="2" t="s">
        <v>25966</v>
      </c>
      <c r="I5248" s="2" t="s">
        <v>25967</v>
      </c>
      <c r="J5248" s="2" t="s">
        <v>25968</v>
      </c>
      <c r="K5248" s="2" t="s">
        <v>1672</v>
      </c>
      <c r="L5248" s="2" t="s">
        <v>25304</v>
      </c>
      <c r="M5248" s="2" t="s">
        <v>25969</v>
      </c>
      <c r="N5248" s="2" t="s">
        <v>25970</v>
      </c>
      <c r="O5248" s="2" t="s">
        <v>25971</v>
      </c>
      <c r="P5248" s="2" t="s">
        <v>869</v>
      </c>
    </row>
    <row r="5249" ht="15.75" customHeight="1">
      <c r="H5249" s="2" t="s">
        <v>25972</v>
      </c>
      <c r="I5249" s="2" t="s">
        <v>25973</v>
      </c>
      <c r="J5249" s="2" t="s">
        <v>25974</v>
      </c>
      <c r="K5249" s="2" t="s">
        <v>1981</v>
      </c>
      <c r="L5249" s="2" t="s">
        <v>25304</v>
      </c>
      <c r="M5249" s="2" t="s">
        <v>25975</v>
      </c>
      <c r="N5249" s="2" t="s">
        <v>25976</v>
      </c>
      <c r="O5249" s="2" t="s">
        <v>25977</v>
      </c>
      <c r="P5249" s="2" t="s">
        <v>869</v>
      </c>
    </row>
    <row r="5250" ht="15.75" customHeight="1">
      <c r="H5250" s="2" t="s">
        <v>25978</v>
      </c>
      <c r="I5250" s="2" t="s">
        <v>415</v>
      </c>
      <c r="J5250" s="2" t="s">
        <v>416</v>
      </c>
      <c r="K5250" s="2" t="s">
        <v>11991</v>
      </c>
      <c r="L5250" s="2" t="s">
        <v>25979</v>
      </c>
      <c r="M5250" s="2" t="s">
        <v>25980</v>
      </c>
      <c r="N5250" s="2" t="s">
        <v>25981</v>
      </c>
      <c r="O5250" s="2" t="s">
        <v>25982</v>
      </c>
      <c r="P5250" s="2" t="s">
        <v>869</v>
      </c>
    </row>
    <row r="5251" ht="15.75" customHeight="1">
      <c r="H5251" s="2" t="s">
        <v>25983</v>
      </c>
      <c r="I5251" s="2" t="s">
        <v>25984</v>
      </c>
      <c r="J5251" s="2" t="s">
        <v>25985</v>
      </c>
      <c r="K5251" s="2" t="s">
        <v>12460</v>
      </c>
      <c r="L5251" s="2" t="s">
        <v>25304</v>
      </c>
      <c r="M5251" s="2" t="s">
        <v>25986</v>
      </c>
      <c r="N5251" s="2" t="s">
        <v>25987</v>
      </c>
      <c r="O5251" s="2" t="s">
        <v>25988</v>
      </c>
      <c r="P5251" s="2" t="s">
        <v>869</v>
      </c>
    </row>
    <row r="5252" ht="15.75" customHeight="1">
      <c r="H5252" s="2" t="s">
        <v>25989</v>
      </c>
      <c r="I5252" s="2" t="s">
        <v>25990</v>
      </c>
      <c r="J5252" s="2" t="s">
        <v>25991</v>
      </c>
      <c r="K5252" s="2" t="s">
        <v>15166</v>
      </c>
      <c r="L5252" s="2" t="s">
        <v>25304</v>
      </c>
      <c r="M5252" s="2" t="s">
        <v>25992</v>
      </c>
      <c r="N5252" s="2" t="s">
        <v>25993</v>
      </c>
      <c r="O5252" s="2" t="s">
        <v>25994</v>
      </c>
      <c r="P5252" s="2" t="s">
        <v>869</v>
      </c>
    </row>
    <row r="5253" ht="15.75" customHeight="1">
      <c r="H5253" s="2" t="s">
        <v>25995</v>
      </c>
      <c r="I5253" s="2" t="s">
        <v>25996</v>
      </c>
      <c r="J5253" s="2" t="s">
        <v>25997</v>
      </c>
      <c r="K5253" s="2" t="s">
        <v>2003</v>
      </c>
      <c r="L5253" s="2" t="s">
        <v>25304</v>
      </c>
      <c r="M5253" s="2" t="s">
        <v>25998</v>
      </c>
      <c r="N5253" s="2" t="s">
        <v>25999</v>
      </c>
      <c r="O5253" s="2" t="s">
        <v>26000</v>
      </c>
      <c r="P5253" s="2" t="s">
        <v>869</v>
      </c>
    </row>
    <row r="5254" ht="15.75" customHeight="1">
      <c r="H5254" s="2" t="s">
        <v>26001</v>
      </c>
      <c r="I5254" s="2" t="s">
        <v>424</v>
      </c>
      <c r="J5254" s="2" t="s">
        <v>425</v>
      </c>
      <c r="K5254" s="2" t="s">
        <v>2282</v>
      </c>
      <c r="L5254" s="2" t="s">
        <v>25304</v>
      </c>
      <c r="M5254" s="2" t="s">
        <v>26002</v>
      </c>
      <c r="N5254" s="2" t="s">
        <v>26003</v>
      </c>
      <c r="O5254" s="2" t="s">
        <v>26004</v>
      </c>
      <c r="P5254" s="2" t="s">
        <v>869</v>
      </c>
    </row>
    <row r="5255" ht="15.75" customHeight="1">
      <c r="H5255" s="2" t="s">
        <v>26005</v>
      </c>
      <c r="I5255" s="2" t="s">
        <v>432</v>
      </c>
      <c r="J5255" s="2" t="s">
        <v>433</v>
      </c>
      <c r="K5255" s="2" t="s">
        <v>2236</v>
      </c>
      <c r="L5255" s="2" t="s">
        <v>25304</v>
      </c>
      <c r="M5255" s="2" t="s">
        <v>26006</v>
      </c>
      <c r="N5255" s="2" t="s">
        <v>26007</v>
      </c>
      <c r="O5255" s="2" t="s">
        <v>26008</v>
      </c>
      <c r="P5255" s="2" t="s">
        <v>869</v>
      </c>
    </row>
    <row r="5256" ht="15.75" customHeight="1">
      <c r="H5256" s="2" t="s">
        <v>26009</v>
      </c>
      <c r="I5256" s="2" t="s">
        <v>26010</v>
      </c>
      <c r="J5256" s="2" t="s">
        <v>26011</v>
      </c>
      <c r="K5256" s="2" t="s">
        <v>5142</v>
      </c>
      <c r="L5256" s="2" t="s">
        <v>25304</v>
      </c>
      <c r="M5256" s="2" t="s">
        <v>26012</v>
      </c>
      <c r="N5256" s="2" t="s">
        <v>26013</v>
      </c>
      <c r="O5256" s="2" t="s">
        <v>26014</v>
      </c>
      <c r="P5256" s="2" t="s">
        <v>869</v>
      </c>
    </row>
    <row r="5257" ht="15.75" customHeight="1">
      <c r="H5257" s="2" t="s">
        <v>26015</v>
      </c>
      <c r="I5257" s="2" t="s">
        <v>12278</v>
      </c>
      <c r="J5257" s="2" t="s">
        <v>12279</v>
      </c>
      <c r="K5257" s="2" t="s">
        <v>1704</v>
      </c>
      <c r="L5257" s="2" t="s">
        <v>26016</v>
      </c>
      <c r="M5257" s="2" t="s">
        <v>26017</v>
      </c>
      <c r="N5257" s="2" t="s">
        <v>26018</v>
      </c>
      <c r="O5257" s="2" t="s">
        <v>26019</v>
      </c>
      <c r="P5257" s="2" t="s">
        <v>869</v>
      </c>
    </row>
    <row r="5258" ht="15.75" customHeight="1">
      <c r="H5258" s="2" t="s">
        <v>26020</v>
      </c>
      <c r="I5258" s="2" t="s">
        <v>440</v>
      </c>
      <c r="J5258" s="2" t="s">
        <v>441</v>
      </c>
      <c r="K5258" s="2" t="s">
        <v>2252</v>
      </c>
      <c r="L5258" s="2" t="s">
        <v>26021</v>
      </c>
      <c r="M5258" s="2" t="s">
        <v>26022</v>
      </c>
      <c r="N5258" s="2" t="s">
        <v>26023</v>
      </c>
      <c r="O5258" s="2" t="s">
        <v>26024</v>
      </c>
      <c r="P5258" s="2" t="s">
        <v>869</v>
      </c>
    </row>
    <row r="5259" ht="15.75" customHeight="1">
      <c r="H5259" s="2" t="s">
        <v>26025</v>
      </c>
      <c r="I5259" s="2" t="s">
        <v>2298</v>
      </c>
      <c r="J5259" s="2" t="s">
        <v>2299</v>
      </c>
      <c r="K5259" s="2" t="s">
        <v>2025</v>
      </c>
      <c r="L5259" s="2" t="s">
        <v>25304</v>
      </c>
      <c r="M5259" s="2" t="s">
        <v>26026</v>
      </c>
      <c r="N5259" s="2" t="s">
        <v>26027</v>
      </c>
      <c r="O5259" s="2" t="s">
        <v>26028</v>
      </c>
      <c r="P5259" s="2" t="s">
        <v>869</v>
      </c>
    </row>
    <row r="5260" ht="15.75" customHeight="1">
      <c r="H5260" s="2" t="s">
        <v>26029</v>
      </c>
      <c r="I5260" s="2" t="s">
        <v>449</v>
      </c>
      <c r="J5260" s="2" t="s">
        <v>450</v>
      </c>
      <c r="K5260" s="2" t="s">
        <v>5500</v>
      </c>
      <c r="L5260" s="2" t="s">
        <v>26030</v>
      </c>
      <c r="M5260" s="2" t="s">
        <v>26031</v>
      </c>
      <c r="N5260" s="2" t="s">
        <v>26032</v>
      </c>
      <c r="O5260" s="2" t="s">
        <v>26033</v>
      </c>
      <c r="P5260" s="2" t="s">
        <v>869</v>
      </c>
    </row>
    <row r="5261" ht="15.75" customHeight="1">
      <c r="H5261" s="2" t="s">
        <v>26034</v>
      </c>
      <c r="I5261" s="2" t="s">
        <v>2341</v>
      </c>
      <c r="J5261" s="2" t="s">
        <v>2342</v>
      </c>
      <c r="K5261" s="2" t="s">
        <v>16166</v>
      </c>
      <c r="L5261" s="2" t="s">
        <v>25304</v>
      </c>
      <c r="M5261" s="2" t="s">
        <v>26035</v>
      </c>
      <c r="N5261" s="2" t="s">
        <v>26036</v>
      </c>
      <c r="O5261" s="2" t="s">
        <v>26037</v>
      </c>
      <c r="P5261" s="2" t="s">
        <v>869</v>
      </c>
    </row>
    <row r="5262" ht="15.75" customHeight="1">
      <c r="H5262" s="2" t="s">
        <v>26038</v>
      </c>
      <c r="I5262" s="2" t="s">
        <v>13823</v>
      </c>
      <c r="J5262" s="2" t="s">
        <v>13824</v>
      </c>
      <c r="K5262" s="2" t="s">
        <v>22276</v>
      </c>
      <c r="L5262" s="2" t="s">
        <v>25304</v>
      </c>
      <c r="M5262" s="2" t="s">
        <v>26039</v>
      </c>
      <c r="N5262" s="2" t="s">
        <v>26040</v>
      </c>
      <c r="O5262" s="2" t="s">
        <v>26041</v>
      </c>
      <c r="P5262" s="2" t="s">
        <v>869</v>
      </c>
    </row>
    <row r="5263" ht="15.75" customHeight="1">
      <c r="H5263" s="2" t="s">
        <v>26042</v>
      </c>
      <c r="I5263" s="2" t="s">
        <v>16173</v>
      </c>
      <c r="J5263" s="2" t="s">
        <v>16174</v>
      </c>
      <c r="K5263" s="2" t="s">
        <v>16175</v>
      </c>
      <c r="L5263" s="2" t="s">
        <v>26043</v>
      </c>
      <c r="M5263" s="2" t="s">
        <v>26044</v>
      </c>
      <c r="N5263" s="2" t="s">
        <v>26045</v>
      </c>
      <c r="O5263" s="2" t="s">
        <v>26046</v>
      </c>
      <c r="P5263" s="2" t="s">
        <v>869</v>
      </c>
    </row>
    <row r="5264" ht="15.75" customHeight="1">
      <c r="H5264" s="2" t="s">
        <v>26047</v>
      </c>
      <c r="I5264" s="2" t="s">
        <v>19609</v>
      </c>
      <c r="J5264" s="2" t="s">
        <v>19610</v>
      </c>
      <c r="K5264" s="2" t="s">
        <v>1602</v>
      </c>
      <c r="L5264" s="2" t="s">
        <v>25304</v>
      </c>
      <c r="M5264" s="2" t="s">
        <v>26048</v>
      </c>
      <c r="N5264" s="2" t="s">
        <v>26049</v>
      </c>
      <c r="O5264" s="2" t="s">
        <v>26050</v>
      </c>
      <c r="P5264" s="2" t="s">
        <v>869</v>
      </c>
    </row>
    <row r="5265" ht="15.75" customHeight="1">
      <c r="H5265" s="2" t="s">
        <v>26051</v>
      </c>
      <c r="I5265" s="2" t="s">
        <v>2352</v>
      </c>
      <c r="J5265" s="2" t="s">
        <v>2353</v>
      </c>
      <c r="L5265" s="2" t="s">
        <v>25304</v>
      </c>
      <c r="M5265" s="2" t="s">
        <v>26052</v>
      </c>
      <c r="N5265" s="2" t="s">
        <v>26053</v>
      </c>
      <c r="O5265" s="2" t="s">
        <v>26054</v>
      </c>
      <c r="P5265" s="2" t="s">
        <v>869</v>
      </c>
    </row>
    <row r="5266" ht="15.75" customHeight="1">
      <c r="H5266" s="2" t="s">
        <v>26055</v>
      </c>
      <c r="I5266" s="2" t="s">
        <v>2357</v>
      </c>
      <c r="J5266" s="2" t="s">
        <v>2358</v>
      </c>
      <c r="K5266" s="2" t="s">
        <v>2359</v>
      </c>
      <c r="L5266" s="2" t="s">
        <v>26056</v>
      </c>
      <c r="M5266" s="2" t="s">
        <v>2360</v>
      </c>
      <c r="N5266" s="2" t="s">
        <v>26057</v>
      </c>
      <c r="O5266" s="2" t="s">
        <v>26058</v>
      </c>
      <c r="P5266" s="2" t="s">
        <v>869</v>
      </c>
    </row>
    <row r="5267" ht="15.75" customHeight="1">
      <c r="H5267" s="2" t="s">
        <v>26059</v>
      </c>
      <c r="I5267" s="2" t="s">
        <v>26060</v>
      </c>
      <c r="J5267" s="2" t="s">
        <v>26061</v>
      </c>
      <c r="K5267" s="2" t="s">
        <v>12544</v>
      </c>
      <c r="L5267" s="2" t="s">
        <v>25304</v>
      </c>
      <c r="M5267" s="2" t="s">
        <v>26062</v>
      </c>
      <c r="N5267" s="2" t="s">
        <v>26063</v>
      </c>
      <c r="O5267" s="2" t="s">
        <v>26064</v>
      </c>
      <c r="P5267" s="2" t="s">
        <v>869</v>
      </c>
    </row>
    <row r="5268" ht="15.75" customHeight="1">
      <c r="H5268" s="2" t="s">
        <v>26065</v>
      </c>
      <c r="I5268" s="2" t="s">
        <v>5541</v>
      </c>
      <c r="J5268" s="2" t="s">
        <v>5542</v>
      </c>
      <c r="K5268" s="2" t="s">
        <v>1467</v>
      </c>
      <c r="L5268" s="2" t="s">
        <v>25304</v>
      </c>
      <c r="M5268" s="2" t="s">
        <v>26066</v>
      </c>
      <c r="N5268" s="2" t="s">
        <v>26067</v>
      </c>
      <c r="O5268" s="2" t="s">
        <v>26068</v>
      </c>
      <c r="P5268" s="2" t="s">
        <v>869</v>
      </c>
    </row>
    <row r="5269" ht="15.75" customHeight="1">
      <c r="H5269" s="2" t="s">
        <v>26069</v>
      </c>
      <c r="I5269" s="2" t="s">
        <v>485</v>
      </c>
      <c r="J5269" s="2" t="s">
        <v>486</v>
      </c>
      <c r="K5269" s="2" t="s">
        <v>2375</v>
      </c>
      <c r="L5269" s="2" t="s">
        <v>26070</v>
      </c>
      <c r="M5269" s="2" t="s">
        <v>26071</v>
      </c>
      <c r="N5269" s="2" t="s">
        <v>26072</v>
      </c>
      <c r="O5269" s="2" t="s">
        <v>26073</v>
      </c>
      <c r="P5269" s="2" t="s">
        <v>869</v>
      </c>
    </row>
    <row r="5270" ht="15.75" customHeight="1">
      <c r="H5270" s="2" t="s">
        <v>26074</v>
      </c>
      <c r="I5270" s="2" t="s">
        <v>2406</v>
      </c>
      <c r="J5270" s="2" t="s">
        <v>2407</v>
      </c>
      <c r="K5270" s="2" t="s">
        <v>18953</v>
      </c>
      <c r="L5270" s="2" t="s">
        <v>25304</v>
      </c>
      <c r="M5270" s="2" t="s">
        <v>26075</v>
      </c>
      <c r="N5270" s="2" t="s">
        <v>26076</v>
      </c>
      <c r="O5270" s="2" t="s">
        <v>25463</v>
      </c>
      <c r="P5270" s="2" t="s">
        <v>869</v>
      </c>
    </row>
    <row r="5271" ht="15.75" customHeight="1">
      <c r="H5271" s="2" t="s">
        <v>26077</v>
      </c>
      <c r="I5271" s="2" t="s">
        <v>26078</v>
      </c>
      <c r="J5271" s="2" t="s">
        <v>26079</v>
      </c>
      <c r="K5271" s="2" t="s">
        <v>26080</v>
      </c>
      <c r="L5271" s="2" t="s">
        <v>25304</v>
      </c>
      <c r="M5271" s="2" t="s">
        <v>26081</v>
      </c>
      <c r="N5271" s="2" t="s">
        <v>26082</v>
      </c>
      <c r="O5271" s="2" t="s">
        <v>26083</v>
      </c>
      <c r="P5271" s="2" t="s">
        <v>869</v>
      </c>
    </row>
    <row r="5272" ht="15.75" customHeight="1">
      <c r="H5272" s="2" t="s">
        <v>26084</v>
      </c>
      <c r="I5272" s="2" t="s">
        <v>1501</v>
      </c>
      <c r="J5272" s="2" t="s">
        <v>1502</v>
      </c>
      <c r="K5272" s="2" t="s">
        <v>1768</v>
      </c>
      <c r="L5272" s="2" t="s">
        <v>26085</v>
      </c>
      <c r="M5272" s="2" t="s">
        <v>26086</v>
      </c>
      <c r="N5272" s="2" t="s">
        <v>26087</v>
      </c>
      <c r="O5272" s="2" t="s">
        <v>26088</v>
      </c>
      <c r="P5272" s="2" t="s">
        <v>869</v>
      </c>
    </row>
    <row r="5273" ht="15.75" customHeight="1">
      <c r="H5273" s="2" t="s">
        <v>26089</v>
      </c>
      <c r="I5273" s="2" t="s">
        <v>2421</v>
      </c>
      <c r="J5273" s="2" t="s">
        <v>2422</v>
      </c>
      <c r="K5273" s="2" t="s">
        <v>1698</v>
      </c>
      <c r="L5273" s="2" t="s">
        <v>25304</v>
      </c>
      <c r="M5273" s="2" t="s">
        <v>26090</v>
      </c>
      <c r="N5273" s="2" t="s">
        <v>26091</v>
      </c>
      <c r="O5273" s="2" t="s">
        <v>26092</v>
      </c>
      <c r="P5273" s="2" t="s">
        <v>869</v>
      </c>
    </row>
    <row r="5274" ht="15.75" customHeight="1">
      <c r="H5274" s="2" t="s">
        <v>26093</v>
      </c>
      <c r="I5274" s="2" t="s">
        <v>510</v>
      </c>
      <c r="J5274" s="2" t="s">
        <v>511</v>
      </c>
      <c r="K5274" s="2" t="s">
        <v>2068</v>
      </c>
      <c r="L5274" s="2" t="s">
        <v>25304</v>
      </c>
      <c r="M5274" s="2" t="s">
        <v>26094</v>
      </c>
      <c r="N5274" s="2" t="s">
        <v>26095</v>
      </c>
      <c r="O5274" s="2" t="s">
        <v>26096</v>
      </c>
      <c r="P5274" s="2" t="s">
        <v>869</v>
      </c>
    </row>
    <row r="5275" ht="15.75" customHeight="1">
      <c r="H5275" s="2" t="s">
        <v>26097</v>
      </c>
      <c r="I5275" s="2" t="s">
        <v>26098</v>
      </c>
      <c r="J5275" s="2" t="s">
        <v>26099</v>
      </c>
      <c r="K5275" s="2" t="s">
        <v>25660</v>
      </c>
      <c r="L5275" s="2" t="s">
        <v>25304</v>
      </c>
      <c r="M5275" s="2" t="s">
        <v>26100</v>
      </c>
      <c r="N5275" s="2" t="s">
        <v>26101</v>
      </c>
      <c r="O5275" s="2" t="s">
        <v>26102</v>
      </c>
      <c r="P5275" s="2" t="s">
        <v>869</v>
      </c>
    </row>
    <row r="5276" ht="15.75" customHeight="1">
      <c r="H5276" s="2" t="s">
        <v>26103</v>
      </c>
      <c r="I5276" s="2" t="s">
        <v>2435</v>
      </c>
      <c r="J5276" s="2" t="s">
        <v>2436</v>
      </c>
      <c r="K5276" s="2" t="s">
        <v>1785</v>
      </c>
      <c r="L5276" s="2" t="s">
        <v>25304</v>
      </c>
      <c r="M5276" s="2" t="s">
        <v>26104</v>
      </c>
      <c r="N5276" s="2" t="s">
        <v>26105</v>
      </c>
      <c r="O5276" s="2" t="s">
        <v>26106</v>
      </c>
      <c r="P5276" s="2" t="s">
        <v>869</v>
      </c>
    </row>
    <row r="5277" ht="15.75" customHeight="1">
      <c r="H5277" s="2" t="s">
        <v>26107</v>
      </c>
      <c r="I5277" s="2" t="s">
        <v>2441</v>
      </c>
      <c r="J5277" s="2" t="s">
        <v>2442</v>
      </c>
      <c r="K5277" s="2" t="s">
        <v>1708</v>
      </c>
      <c r="L5277" s="2" t="s">
        <v>25304</v>
      </c>
      <c r="M5277" s="2" t="s">
        <v>26108</v>
      </c>
      <c r="N5277" s="2" t="s">
        <v>26109</v>
      </c>
      <c r="O5277" s="2" t="s">
        <v>26110</v>
      </c>
      <c r="P5277" s="2" t="s">
        <v>869</v>
      </c>
    </row>
    <row r="5278" ht="15.75" customHeight="1">
      <c r="H5278" s="2" t="s">
        <v>26111</v>
      </c>
      <c r="I5278" s="2" t="s">
        <v>26112</v>
      </c>
      <c r="J5278" s="2" t="s">
        <v>26113</v>
      </c>
      <c r="K5278" s="2" t="s">
        <v>25669</v>
      </c>
      <c r="L5278" s="2" t="s">
        <v>25304</v>
      </c>
      <c r="M5278" s="2" t="s">
        <v>26114</v>
      </c>
      <c r="N5278" s="2" t="s">
        <v>26115</v>
      </c>
      <c r="O5278" s="2" t="s">
        <v>26116</v>
      </c>
      <c r="P5278" s="2" t="s">
        <v>869</v>
      </c>
    </row>
    <row r="5279" ht="15.75" customHeight="1">
      <c r="H5279" s="2" t="s">
        <v>26117</v>
      </c>
      <c r="I5279" s="2" t="s">
        <v>26118</v>
      </c>
      <c r="J5279" s="2" t="s">
        <v>26119</v>
      </c>
      <c r="L5279" s="2" t="s">
        <v>25304</v>
      </c>
      <c r="M5279" s="2" t="s">
        <v>26120</v>
      </c>
      <c r="N5279" s="2" t="s">
        <v>26121</v>
      </c>
      <c r="O5279" s="2" t="s">
        <v>26122</v>
      </c>
      <c r="P5279" s="2" t="s">
        <v>869</v>
      </c>
    </row>
    <row r="5280" ht="15.75" customHeight="1">
      <c r="H5280" s="2" t="s">
        <v>26123</v>
      </c>
      <c r="I5280" s="2" t="s">
        <v>26124</v>
      </c>
      <c r="J5280" s="2" t="s">
        <v>26125</v>
      </c>
      <c r="K5280" s="2" t="s">
        <v>2305</v>
      </c>
      <c r="L5280" s="2" t="s">
        <v>25304</v>
      </c>
      <c r="M5280" s="2" t="s">
        <v>26126</v>
      </c>
      <c r="N5280" s="2" t="s">
        <v>26127</v>
      </c>
      <c r="O5280" s="2" t="s">
        <v>26128</v>
      </c>
      <c r="P5280" s="2" t="s">
        <v>869</v>
      </c>
    </row>
    <row r="5281" ht="15.75" customHeight="1">
      <c r="H5281" s="2" t="s">
        <v>26129</v>
      </c>
      <c r="I5281" s="2" t="s">
        <v>14560</v>
      </c>
      <c r="J5281" s="2" t="s">
        <v>14561</v>
      </c>
      <c r="K5281" s="2" t="s">
        <v>14562</v>
      </c>
      <c r="L5281" s="2" t="s">
        <v>25304</v>
      </c>
      <c r="M5281" s="2" t="s">
        <v>26130</v>
      </c>
      <c r="N5281" s="2" t="s">
        <v>26131</v>
      </c>
      <c r="O5281" s="2" t="s">
        <v>26132</v>
      </c>
      <c r="P5281" s="2" t="s">
        <v>869</v>
      </c>
    </row>
    <row r="5282" ht="15.75" customHeight="1">
      <c r="H5282" s="2" t="s">
        <v>26133</v>
      </c>
      <c r="I5282" s="2" t="s">
        <v>26134</v>
      </c>
      <c r="J5282" s="2" t="s">
        <v>26135</v>
      </c>
      <c r="K5282" s="2" t="s">
        <v>19058</v>
      </c>
      <c r="L5282" s="2" t="s">
        <v>25304</v>
      </c>
      <c r="M5282" s="2" t="s">
        <v>26136</v>
      </c>
      <c r="N5282" s="2" t="s">
        <v>26137</v>
      </c>
      <c r="O5282" s="2" t="s">
        <v>26138</v>
      </c>
      <c r="P5282" s="2" t="s">
        <v>869</v>
      </c>
    </row>
    <row r="5283" ht="15.75" customHeight="1">
      <c r="H5283" s="2" t="s">
        <v>26139</v>
      </c>
      <c r="I5283" s="2" t="s">
        <v>2477</v>
      </c>
      <c r="J5283" s="2" t="s">
        <v>2478</v>
      </c>
      <c r="K5283" s="2" t="s">
        <v>18286</v>
      </c>
      <c r="L5283" s="2" t="s">
        <v>25304</v>
      </c>
      <c r="M5283" s="2" t="s">
        <v>26140</v>
      </c>
      <c r="N5283" s="2" t="s">
        <v>26141</v>
      </c>
      <c r="O5283" s="2" t="s">
        <v>26142</v>
      </c>
      <c r="P5283" s="2" t="s">
        <v>869</v>
      </c>
    </row>
    <row r="5284" ht="15.75" customHeight="1">
      <c r="H5284" s="2" t="s">
        <v>26143</v>
      </c>
      <c r="I5284" s="2" t="s">
        <v>2489</v>
      </c>
      <c r="J5284" s="2" t="s">
        <v>2490</v>
      </c>
      <c r="K5284" s="2" t="s">
        <v>1731</v>
      </c>
      <c r="L5284" s="2" t="s">
        <v>25304</v>
      </c>
      <c r="M5284" s="2" t="s">
        <v>26144</v>
      </c>
      <c r="N5284" s="2" t="s">
        <v>26145</v>
      </c>
      <c r="O5284" s="2" t="s">
        <v>26146</v>
      </c>
      <c r="P5284" s="2" t="s">
        <v>869</v>
      </c>
    </row>
    <row r="5285" ht="15.75" customHeight="1">
      <c r="F5285" s="2" t="s">
        <v>534</v>
      </c>
      <c r="H5285" s="2" t="s">
        <v>26147</v>
      </c>
      <c r="I5285" s="2" t="s">
        <v>536</v>
      </c>
      <c r="J5285" s="2" t="s">
        <v>537</v>
      </c>
      <c r="K5285" s="2" t="s">
        <v>538</v>
      </c>
    </row>
    <row r="5286" ht="15.75" customHeight="1">
      <c r="F5286" s="2" t="s">
        <v>539</v>
      </c>
      <c r="H5286" s="2" t="s">
        <v>26148</v>
      </c>
      <c r="I5286" s="2" t="s">
        <v>541</v>
      </c>
      <c r="J5286" s="2" t="s">
        <v>542</v>
      </c>
      <c r="K5286" s="2" t="s">
        <v>886</v>
      </c>
      <c r="L5286" s="2" t="s">
        <v>25304</v>
      </c>
      <c r="M5286" s="2" t="s">
        <v>26149</v>
      </c>
      <c r="N5286" s="2" t="s">
        <v>26150</v>
      </c>
      <c r="O5286" s="2" t="s">
        <v>26151</v>
      </c>
      <c r="P5286" s="2" t="s">
        <v>869</v>
      </c>
    </row>
    <row r="5287" ht="15.75" customHeight="1">
      <c r="H5287" s="2" t="s">
        <v>26152</v>
      </c>
      <c r="I5287" s="2" t="s">
        <v>5591</v>
      </c>
      <c r="J5287" s="2" t="s">
        <v>5592</v>
      </c>
      <c r="K5287" s="2" t="s">
        <v>2171</v>
      </c>
      <c r="L5287" s="2" t="s">
        <v>25304</v>
      </c>
      <c r="M5287" s="2" t="s">
        <v>26153</v>
      </c>
      <c r="N5287" s="2" t="s">
        <v>26154</v>
      </c>
      <c r="O5287" s="2" t="s">
        <v>869</v>
      </c>
      <c r="P5287" s="2" t="s">
        <v>870</v>
      </c>
    </row>
    <row r="5288" ht="15.75" customHeight="1">
      <c r="H5288" s="2" t="s">
        <v>26155</v>
      </c>
      <c r="I5288" s="2" t="s">
        <v>2564</v>
      </c>
      <c r="J5288" s="2" t="s">
        <v>2565</v>
      </c>
      <c r="K5288" s="2" t="s">
        <v>1038</v>
      </c>
      <c r="L5288" s="2" t="s">
        <v>25304</v>
      </c>
      <c r="M5288" s="2" t="s">
        <v>26156</v>
      </c>
      <c r="N5288" s="2" t="s">
        <v>26157</v>
      </c>
      <c r="O5288" s="2" t="s">
        <v>26158</v>
      </c>
      <c r="P5288" s="2" t="s">
        <v>869</v>
      </c>
    </row>
    <row r="5289" ht="15.75" customHeight="1">
      <c r="F5289" s="2" t="s">
        <v>2597</v>
      </c>
      <c r="H5289" s="2" t="s">
        <v>26159</v>
      </c>
      <c r="I5289" s="2" t="s">
        <v>2604</v>
      </c>
      <c r="J5289" s="2" t="s">
        <v>2605</v>
      </c>
      <c r="K5289" s="2" t="s">
        <v>865</v>
      </c>
      <c r="L5289" s="2" t="s">
        <v>25304</v>
      </c>
      <c r="M5289" s="2" t="s">
        <v>7880</v>
      </c>
      <c r="N5289" s="2" t="s">
        <v>26160</v>
      </c>
      <c r="O5289" s="2" t="s">
        <v>869</v>
      </c>
      <c r="P5289" s="2" t="s">
        <v>870</v>
      </c>
    </row>
    <row r="5290" ht="15.75" customHeight="1">
      <c r="H5290" s="2" t="s">
        <v>26161</v>
      </c>
      <c r="I5290" s="2" t="s">
        <v>2624</v>
      </c>
      <c r="J5290" s="2" t="s">
        <v>2625</v>
      </c>
      <c r="K5290" s="2" t="s">
        <v>963</v>
      </c>
      <c r="L5290" s="2" t="s">
        <v>25304</v>
      </c>
      <c r="M5290" s="2" t="s">
        <v>26162</v>
      </c>
      <c r="N5290" s="2" t="s">
        <v>26163</v>
      </c>
      <c r="O5290" s="2" t="s">
        <v>26164</v>
      </c>
      <c r="P5290" s="2" t="s">
        <v>869</v>
      </c>
    </row>
    <row r="5291" ht="15.75" customHeight="1">
      <c r="H5291" s="2" t="s">
        <v>26165</v>
      </c>
      <c r="I5291" s="2" t="s">
        <v>22449</v>
      </c>
      <c r="J5291" s="2" t="s">
        <v>22450</v>
      </c>
      <c r="K5291" s="2" t="s">
        <v>283</v>
      </c>
      <c r="L5291" s="2" t="s">
        <v>25304</v>
      </c>
      <c r="M5291" s="2" t="s">
        <v>26166</v>
      </c>
      <c r="N5291" s="2" t="s">
        <v>26167</v>
      </c>
      <c r="O5291" s="2" t="s">
        <v>26168</v>
      </c>
      <c r="P5291" s="2" t="s">
        <v>869</v>
      </c>
    </row>
    <row r="5292" ht="15.75" customHeight="1">
      <c r="H5292" s="2" t="s">
        <v>26169</v>
      </c>
      <c r="I5292" s="2" t="s">
        <v>2645</v>
      </c>
      <c r="J5292" s="2" t="s">
        <v>2646</v>
      </c>
      <c r="L5292" s="2" t="s">
        <v>25304</v>
      </c>
      <c r="M5292" s="2" t="s">
        <v>26170</v>
      </c>
      <c r="N5292" s="2" t="s">
        <v>26171</v>
      </c>
      <c r="O5292" s="2" t="s">
        <v>869</v>
      </c>
      <c r="P5292" s="2" t="s">
        <v>870</v>
      </c>
    </row>
    <row r="5293" ht="15.75" customHeight="1">
      <c r="F5293" s="2" t="s">
        <v>548</v>
      </c>
      <c r="H5293" s="2" t="s">
        <v>26172</v>
      </c>
      <c r="I5293" s="2" t="s">
        <v>5884</v>
      </c>
      <c r="J5293" s="2" t="s">
        <v>5885</v>
      </c>
      <c r="K5293" s="2" t="s">
        <v>1362</v>
      </c>
      <c r="L5293" s="2" t="s">
        <v>25304</v>
      </c>
      <c r="M5293" s="2" t="s">
        <v>26173</v>
      </c>
      <c r="N5293" s="2" t="s">
        <v>26174</v>
      </c>
      <c r="O5293" s="2" t="s">
        <v>869</v>
      </c>
      <c r="P5293" s="2" t="s">
        <v>870</v>
      </c>
    </row>
    <row r="5294" ht="15.75" customHeight="1">
      <c r="H5294" s="2" t="s">
        <v>26175</v>
      </c>
      <c r="I5294" s="2" t="s">
        <v>2663</v>
      </c>
      <c r="J5294" s="2" t="s">
        <v>2664</v>
      </c>
      <c r="K5294" s="2" t="s">
        <v>1878</v>
      </c>
      <c r="L5294" s="2" t="s">
        <v>25304</v>
      </c>
      <c r="M5294" s="2" t="s">
        <v>26176</v>
      </c>
      <c r="N5294" s="2" t="s">
        <v>26177</v>
      </c>
      <c r="O5294" s="2" t="s">
        <v>869</v>
      </c>
      <c r="P5294" s="2" t="s">
        <v>870</v>
      </c>
    </row>
    <row r="5295" ht="15.75" customHeight="1">
      <c r="H5295" s="2" t="s">
        <v>26178</v>
      </c>
      <c r="I5295" s="2" t="s">
        <v>8036</v>
      </c>
      <c r="J5295" s="2" t="s">
        <v>8037</v>
      </c>
      <c r="K5295" s="2" t="s">
        <v>874</v>
      </c>
      <c r="L5295" s="2" t="s">
        <v>25304</v>
      </c>
      <c r="M5295" s="2" t="s">
        <v>26179</v>
      </c>
      <c r="N5295" s="2" t="s">
        <v>26180</v>
      </c>
      <c r="O5295" s="2" t="s">
        <v>869</v>
      </c>
      <c r="P5295" s="2" t="s">
        <v>870</v>
      </c>
    </row>
    <row r="5296" ht="15.75" customHeight="1">
      <c r="H5296" s="2" t="s">
        <v>26181</v>
      </c>
      <c r="I5296" s="2" t="s">
        <v>26182</v>
      </c>
      <c r="J5296" s="2" t="s">
        <v>26183</v>
      </c>
      <c r="K5296" s="2" t="s">
        <v>996</v>
      </c>
      <c r="L5296" s="2" t="s">
        <v>25304</v>
      </c>
      <c r="M5296" s="2" t="s">
        <v>26184</v>
      </c>
      <c r="N5296" s="2" t="s">
        <v>26185</v>
      </c>
      <c r="O5296" s="2" t="s">
        <v>26186</v>
      </c>
      <c r="P5296" s="2" t="s">
        <v>869</v>
      </c>
    </row>
    <row r="5297" ht="15.75" customHeight="1">
      <c r="H5297" s="2" t="s">
        <v>26187</v>
      </c>
      <c r="I5297" s="2" t="s">
        <v>550</v>
      </c>
      <c r="J5297" s="2" t="s">
        <v>551</v>
      </c>
      <c r="K5297" s="2" t="s">
        <v>963</v>
      </c>
      <c r="L5297" s="2" t="s">
        <v>25304</v>
      </c>
      <c r="M5297" s="2" t="s">
        <v>26188</v>
      </c>
      <c r="N5297" s="2" t="s">
        <v>26189</v>
      </c>
      <c r="O5297" s="2" t="s">
        <v>26190</v>
      </c>
      <c r="P5297" s="2" t="s">
        <v>869</v>
      </c>
    </row>
    <row r="5298" ht="15.75" customHeight="1">
      <c r="H5298" s="2" t="s">
        <v>26191</v>
      </c>
      <c r="I5298" s="2" t="s">
        <v>8055</v>
      </c>
      <c r="J5298" s="2" t="s">
        <v>8056</v>
      </c>
      <c r="K5298" s="2" t="s">
        <v>880</v>
      </c>
      <c r="L5298" s="2" t="s">
        <v>25304</v>
      </c>
      <c r="M5298" s="2" t="s">
        <v>26192</v>
      </c>
      <c r="N5298" s="2" t="s">
        <v>26193</v>
      </c>
      <c r="O5298" s="2" t="s">
        <v>26194</v>
      </c>
      <c r="P5298" s="2" t="s">
        <v>869</v>
      </c>
    </row>
    <row r="5299" ht="15.75" customHeight="1">
      <c r="H5299" s="2" t="s">
        <v>26195</v>
      </c>
      <c r="I5299" s="2" t="s">
        <v>6436</v>
      </c>
      <c r="J5299" s="2" t="s">
        <v>6437</v>
      </c>
      <c r="K5299" s="2" t="s">
        <v>896</v>
      </c>
      <c r="L5299" s="2" t="s">
        <v>25304</v>
      </c>
      <c r="M5299" s="2" t="s">
        <v>26196</v>
      </c>
      <c r="N5299" s="2" t="s">
        <v>26197</v>
      </c>
      <c r="O5299" s="2" t="s">
        <v>869</v>
      </c>
      <c r="P5299" s="2" t="s">
        <v>870</v>
      </c>
    </row>
    <row r="5300" ht="15.75" customHeight="1">
      <c r="H5300" s="2" t="s">
        <v>26198</v>
      </c>
      <c r="I5300" s="2" t="s">
        <v>2681</v>
      </c>
      <c r="J5300" s="2" t="s">
        <v>2682</v>
      </c>
      <c r="K5300" s="2" t="s">
        <v>1424</v>
      </c>
      <c r="L5300" s="2" t="s">
        <v>25304</v>
      </c>
      <c r="M5300" s="2" t="s">
        <v>26199</v>
      </c>
      <c r="N5300" s="2" t="s">
        <v>26200</v>
      </c>
      <c r="O5300" s="2" t="s">
        <v>869</v>
      </c>
      <c r="P5300" s="2" t="s">
        <v>870</v>
      </c>
    </row>
    <row r="5301" ht="15.75" customHeight="1">
      <c r="F5301" s="2" t="s">
        <v>2693</v>
      </c>
      <c r="H5301" s="2" t="s">
        <v>26201</v>
      </c>
      <c r="I5301" s="2" t="s">
        <v>2710</v>
      </c>
      <c r="J5301" s="2" t="s">
        <v>2711</v>
      </c>
      <c r="K5301" s="2" t="s">
        <v>963</v>
      </c>
      <c r="L5301" s="2" t="s">
        <v>25304</v>
      </c>
      <c r="M5301" s="2" t="s">
        <v>26202</v>
      </c>
      <c r="N5301" s="2" t="s">
        <v>26203</v>
      </c>
      <c r="O5301" s="2" t="s">
        <v>26204</v>
      </c>
      <c r="P5301" s="2" t="s">
        <v>869</v>
      </c>
    </row>
    <row r="5302" ht="15.75" customHeight="1">
      <c r="H5302" s="2" t="s">
        <v>26205</v>
      </c>
      <c r="I5302" s="2" t="s">
        <v>11431</v>
      </c>
      <c r="J5302" s="2" t="s">
        <v>11432</v>
      </c>
      <c r="K5302" s="2" t="s">
        <v>1297</v>
      </c>
      <c r="L5302" s="2" t="s">
        <v>25304</v>
      </c>
      <c r="M5302" s="2" t="s">
        <v>26206</v>
      </c>
      <c r="N5302" s="2" t="s">
        <v>26207</v>
      </c>
      <c r="O5302" s="2" t="s">
        <v>869</v>
      </c>
      <c r="P5302" s="2" t="s">
        <v>870</v>
      </c>
    </row>
    <row r="5303" ht="15.75" customHeight="1">
      <c r="H5303" s="2" t="s">
        <v>26208</v>
      </c>
      <c r="I5303" s="2" t="s">
        <v>26209</v>
      </c>
      <c r="J5303" s="2" t="s">
        <v>26210</v>
      </c>
      <c r="K5303" s="2" t="s">
        <v>900</v>
      </c>
      <c r="L5303" s="2" t="s">
        <v>25304</v>
      </c>
      <c r="M5303" s="2" t="s">
        <v>26211</v>
      </c>
      <c r="N5303" s="2" t="s">
        <v>26212</v>
      </c>
      <c r="O5303" s="2" t="s">
        <v>26213</v>
      </c>
      <c r="P5303" s="2" t="s">
        <v>869</v>
      </c>
    </row>
    <row r="5304" ht="15.75" customHeight="1">
      <c r="H5304" s="2" t="s">
        <v>26214</v>
      </c>
      <c r="I5304" s="2" t="s">
        <v>26215</v>
      </c>
      <c r="J5304" s="2" t="s">
        <v>26216</v>
      </c>
      <c r="K5304" s="2" t="s">
        <v>1313</v>
      </c>
      <c r="L5304" s="2" t="s">
        <v>25304</v>
      </c>
      <c r="M5304" s="2" t="s">
        <v>26217</v>
      </c>
      <c r="N5304" s="2" t="s">
        <v>26218</v>
      </c>
      <c r="O5304" s="2" t="s">
        <v>26219</v>
      </c>
      <c r="P5304" s="2" t="s">
        <v>869</v>
      </c>
    </row>
    <row r="5305" ht="15.75" customHeight="1">
      <c r="F5305" s="2" t="s">
        <v>556</v>
      </c>
      <c r="H5305" s="2" t="s">
        <v>26220</v>
      </c>
      <c r="I5305" s="2" t="s">
        <v>5599</v>
      </c>
      <c r="J5305" s="2" t="s">
        <v>5600</v>
      </c>
      <c r="K5305" s="2" t="s">
        <v>970</v>
      </c>
      <c r="L5305" s="2" t="s">
        <v>25304</v>
      </c>
      <c r="M5305" s="2" t="s">
        <v>26221</v>
      </c>
      <c r="N5305" s="2" t="s">
        <v>26222</v>
      </c>
      <c r="O5305" s="2" t="s">
        <v>26223</v>
      </c>
      <c r="P5305" s="2" t="s">
        <v>869</v>
      </c>
    </row>
    <row r="5306" ht="15.75" customHeight="1">
      <c r="H5306" s="2" t="s">
        <v>26224</v>
      </c>
      <c r="I5306" s="2" t="s">
        <v>3110</v>
      </c>
      <c r="J5306" s="2" t="s">
        <v>3111</v>
      </c>
      <c r="K5306" s="2" t="s">
        <v>1007</v>
      </c>
      <c r="L5306" s="2" t="s">
        <v>25304</v>
      </c>
      <c r="M5306" s="2" t="s">
        <v>26225</v>
      </c>
      <c r="N5306" s="2" t="s">
        <v>26226</v>
      </c>
      <c r="O5306" s="2" t="s">
        <v>26227</v>
      </c>
      <c r="P5306" s="2" t="s">
        <v>869</v>
      </c>
    </row>
    <row r="5307" ht="15.75" customHeight="1">
      <c r="H5307" s="2" t="s">
        <v>26228</v>
      </c>
      <c r="I5307" s="2" t="s">
        <v>2798</v>
      </c>
      <c r="J5307" s="2" t="s">
        <v>2799</v>
      </c>
      <c r="K5307" s="2" t="s">
        <v>283</v>
      </c>
      <c r="L5307" s="2" t="s">
        <v>25304</v>
      </c>
      <c r="M5307" s="2" t="s">
        <v>26229</v>
      </c>
      <c r="N5307" s="2" t="s">
        <v>26230</v>
      </c>
      <c r="O5307" s="2" t="s">
        <v>26231</v>
      </c>
      <c r="P5307" s="2" t="s">
        <v>869</v>
      </c>
    </row>
    <row r="5308" ht="15.75" customHeight="1">
      <c r="H5308" s="2" t="s">
        <v>26232</v>
      </c>
      <c r="I5308" s="2" t="s">
        <v>12033</v>
      </c>
      <c r="J5308" s="2" t="s">
        <v>12034</v>
      </c>
      <c r="L5308" s="2" t="s">
        <v>25304</v>
      </c>
      <c r="M5308" s="2" t="s">
        <v>26233</v>
      </c>
      <c r="N5308" s="2" t="s">
        <v>869</v>
      </c>
      <c r="O5308" s="2" t="s">
        <v>870</v>
      </c>
    </row>
    <row r="5309" ht="15.75" customHeight="1">
      <c r="H5309" s="2" t="s">
        <v>26234</v>
      </c>
      <c r="I5309" s="2" t="s">
        <v>574</v>
      </c>
      <c r="J5309" s="2" t="s">
        <v>575</v>
      </c>
      <c r="K5309" s="2" t="s">
        <v>2223</v>
      </c>
      <c r="L5309" s="2" t="s">
        <v>25304</v>
      </c>
      <c r="M5309" s="2" t="s">
        <v>26235</v>
      </c>
      <c r="N5309" s="2" t="s">
        <v>26236</v>
      </c>
      <c r="O5309" s="2" t="s">
        <v>26237</v>
      </c>
      <c r="P5309" s="2" t="s">
        <v>869</v>
      </c>
    </row>
    <row r="5310" ht="15.75" customHeight="1">
      <c r="F5310" s="2" t="s">
        <v>2827</v>
      </c>
      <c r="H5310" s="2" t="s">
        <v>26238</v>
      </c>
      <c r="I5310" s="2" t="s">
        <v>2842</v>
      </c>
      <c r="J5310" s="2" t="s">
        <v>2843</v>
      </c>
      <c r="K5310" s="2" t="s">
        <v>874</v>
      </c>
      <c r="L5310" s="2" t="s">
        <v>25304</v>
      </c>
      <c r="M5310" s="2" t="s">
        <v>26239</v>
      </c>
      <c r="N5310" s="2" t="s">
        <v>26240</v>
      </c>
      <c r="O5310" s="2" t="s">
        <v>26241</v>
      </c>
      <c r="P5310" s="2" t="s">
        <v>869</v>
      </c>
    </row>
    <row r="5311" ht="15.75" customHeight="1">
      <c r="F5311" s="2" t="s">
        <v>581</v>
      </c>
      <c r="H5311" s="2" t="s">
        <v>26242</v>
      </c>
      <c r="I5311" s="2" t="s">
        <v>8331</v>
      </c>
      <c r="J5311" s="2" t="s">
        <v>8332</v>
      </c>
      <c r="K5311" s="2" t="s">
        <v>859</v>
      </c>
      <c r="L5311" s="2" t="s">
        <v>25304</v>
      </c>
      <c r="M5311" s="2" t="s">
        <v>8334</v>
      </c>
      <c r="N5311" s="2" t="s">
        <v>26243</v>
      </c>
      <c r="O5311" s="2" t="s">
        <v>26244</v>
      </c>
      <c r="P5311" s="2" t="s">
        <v>869</v>
      </c>
    </row>
    <row r="5312" ht="15.75" customHeight="1">
      <c r="H5312" s="2" t="s">
        <v>26245</v>
      </c>
      <c r="I5312" s="2" t="s">
        <v>26246</v>
      </c>
      <c r="J5312" s="2" t="s">
        <v>26247</v>
      </c>
      <c r="K5312" s="2" t="s">
        <v>277</v>
      </c>
      <c r="L5312" s="2" t="s">
        <v>25304</v>
      </c>
      <c r="M5312" s="2" t="s">
        <v>26248</v>
      </c>
      <c r="N5312" s="2" t="s">
        <v>26249</v>
      </c>
      <c r="O5312" s="2" t="s">
        <v>26250</v>
      </c>
      <c r="P5312" s="2" t="s">
        <v>869</v>
      </c>
    </row>
    <row r="5313" ht="15.75" customHeight="1">
      <c r="H5313" s="2" t="s">
        <v>26251</v>
      </c>
      <c r="I5313" s="2" t="s">
        <v>8361</v>
      </c>
      <c r="J5313" s="2" t="s">
        <v>8362</v>
      </c>
      <c r="K5313" s="2" t="s">
        <v>1467</v>
      </c>
      <c r="L5313" s="2" t="s">
        <v>25304</v>
      </c>
      <c r="M5313" s="2" t="s">
        <v>8364</v>
      </c>
      <c r="N5313" s="2" t="s">
        <v>26252</v>
      </c>
      <c r="O5313" s="2" t="s">
        <v>26253</v>
      </c>
      <c r="P5313" s="2" t="s">
        <v>869</v>
      </c>
    </row>
    <row r="5314" ht="15.75" customHeight="1">
      <c r="H5314" s="2" t="s">
        <v>26254</v>
      </c>
      <c r="I5314" s="2" t="s">
        <v>26255</v>
      </c>
      <c r="J5314" s="2" t="s">
        <v>26256</v>
      </c>
      <c r="K5314" s="2" t="s">
        <v>874</v>
      </c>
      <c r="L5314" s="2" t="s">
        <v>25304</v>
      </c>
      <c r="M5314" s="2" t="s">
        <v>26257</v>
      </c>
      <c r="N5314" s="2" t="s">
        <v>26258</v>
      </c>
      <c r="O5314" s="2" t="s">
        <v>869</v>
      </c>
      <c r="P5314" s="2" t="s">
        <v>870</v>
      </c>
    </row>
    <row r="5315" ht="15.75" customHeight="1">
      <c r="H5315" s="2" t="s">
        <v>26259</v>
      </c>
      <c r="I5315" s="2" t="s">
        <v>2769</v>
      </c>
      <c r="J5315" s="2" t="s">
        <v>2770</v>
      </c>
      <c r="K5315" s="2" t="s">
        <v>1368</v>
      </c>
      <c r="L5315" s="2" t="s">
        <v>25304</v>
      </c>
      <c r="M5315" s="2" t="s">
        <v>26260</v>
      </c>
      <c r="N5315" s="2" t="s">
        <v>26261</v>
      </c>
      <c r="O5315" s="2" t="s">
        <v>869</v>
      </c>
      <c r="P5315" s="2" t="s">
        <v>870</v>
      </c>
    </row>
    <row r="5316" ht="15.75" customHeight="1">
      <c r="H5316" s="2" t="s">
        <v>26262</v>
      </c>
      <c r="I5316" s="2" t="s">
        <v>26263</v>
      </c>
      <c r="J5316" s="2" t="s">
        <v>26264</v>
      </c>
      <c r="K5316" s="2" t="s">
        <v>958</v>
      </c>
      <c r="L5316" s="2" t="s">
        <v>25304</v>
      </c>
      <c r="M5316" s="2" t="s">
        <v>26265</v>
      </c>
      <c r="N5316" s="2" t="s">
        <v>26266</v>
      </c>
      <c r="O5316" s="2" t="s">
        <v>869</v>
      </c>
      <c r="P5316" s="2" t="s">
        <v>870</v>
      </c>
    </row>
    <row r="5317" ht="15.75" customHeight="1">
      <c r="H5317" s="2" t="s">
        <v>26267</v>
      </c>
      <c r="I5317" s="2" t="s">
        <v>26268</v>
      </c>
      <c r="J5317" s="2" t="s">
        <v>26269</v>
      </c>
      <c r="K5317" s="2" t="s">
        <v>1297</v>
      </c>
      <c r="L5317" s="2" t="s">
        <v>25304</v>
      </c>
      <c r="M5317" s="2" t="s">
        <v>26270</v>
      </c>
      <c r="N5317" s="2" t="s">
        <v>26271</v>
      </c>
      <c r="O5317" s="2" t="s">
        <v>869</v>
      </c>
      <c r="P5317" s="2" t="s">
        <v>870</v>
      </c>
    </row>
    <row r="5318" ht="15.75" customHeight="1">
      <c r="H5318" s="2" t="s">
        <v>26272</v>
      </c>
      <c r="I5318" s="2" t="s">
        <v>26273</v>
      </c>
      <c r="J5318" s="2" t="s">
        <v>26274</v>
      </c>
      <c r="K5318" s="2" t="s">
        <v>1061</v>
      </c>
      <c r="L5318" s="2" t="s">
        <v>25304</v>
      </c>
      <c r="M5318" s="2" t="s">
        <v>26275</v>
      </c>
      <c r="N5318" s="2" t="s">
        <v>26276</v>
      </c>
      <c r="O5318" s="2" t="s">
        <v>26277</v>
      </c>
      <c r="P5318" s="2" t="s">
        <v>869</v>
      </c>
    </row>
    <row r="5319" ht="15.75" customHeight="1">
      <c r="H5319" s="2" t="s">
        <v>26278</v>
      </c>
      <c r="I5319" s="2" t="s">
        <v>583</v>
      </c>
      <c r="J5319" s="2" t="s">
        <v>584</v>
      </c>
      <c r="K5319" s="2" t="s">
        <v>880</v>
      </c>
      <c r="L5319" s="2" t="s">
        <v>25304</v>
      </c>
      <c r="M5319" s="2" t="s">
        <v>26279</v>
      </c>
      <c r="N5319" s="2" t="s">
        <v>26280</v>
      </c>
      <c r="O5319" s="2" t="s">
        <v>26281</v>
      </c>
      <c r="P5319" s="2" t="s">
        <v>869</v>
      </c>
    </row>
    <row r="5320" ht="15.75" customHeight="1">
      <c r="H5320" s="2" t="s">
        <v>26282</v>
      </c>
      <c r="I5320" s="2" t="s">
        <v>591</v>
      </c>
      <c r="J5320" s="2" t="s">
        <v>592</v>
      </c>
      <c r="K5320" s="2" t="s">
        <v>1136</v>
      </c>
      <c r="L5320" s="2" t="s">
        <v>25304</v>
      </c>
      <c r="M5320" s="2" t="s">
        <v>8420</v>
      </c>
      <c r="N5320" s="2" t="s">
        <v>26283</v>
      </c>
      <c r="O5320" s="2" t="s">
        <v>26284</v>
      </c>
      <c r="P5320" s="2" t="s">
        <v>869</v>
      </c>
    </row>
    <row r="5321" ht="15.75" customHeight="1">
      <c r="H5321" s="2" t="s">
        <v>26285</v>
      </c>
      <c r="I5321" s="2" t="s">
        <v>2895</v>
      </c>
      <c r="J5321" s="2" t="s">
        <v>2896</v>
      </c>
      <c r="K5321" s="2" t="s">
        <v>1145</v>
      </c>
      <c r="L5321" s="2" t="s">
        <v>25304</v>
      </c>
      <c r="M5321" s="2" t="s">
        <v>8440</v>
      </c>
      <c r="N5321" s="2" t="s">
        <v>26286</v>
      </c>
      <c r="O5321" s="2" t="s">
        <v>26287</v>
      </c>
      <c r="P5321" s="2" t="s">
        <v>869</v>
      </c>
    </row>
    <row r="5322" ht="15.75" customHeight="1">
      <c r="H5322" s="2" t="s">
        <v>26288</v>
      </c>
      <c r="I5322" s="2" t="s">
        <v>26289</v>
      </c>
      <c r="J5322" s="2" t="s">
        <v>26290</v>
      </c>
      <c r="K5322" s="2" t="s">
        <v>24226</v>
      </c>
      <c r="L5322" s="2" t="s">
        <v>25304</v>
      </c>
      <c r="M5322" s="2" t="s">
        <v>26291</v>
      </c>
      <c r="N5322" s="2" t="s">
        <v>26292</v>
      </c>
      <c r="O5322" s="2" t="s">
        <v>869</v>
      </c>
      <c r="P5322" s="2" t="s">
        <v>870</v>
      </c>
    </row>
    <row r="5323" ht="15.75" customHeight="1">
      <c r="H5323" s="2" t="s">
        <v>26293</v>
      </c>
      <c r="I5323" s="2" t="s">
        <v>26294</v>
      </c>
      <c r="J5323" s="2" t="s">
        <v>26295</v>
      </c>
      <c r="L5323" s="2" t="s">
        <v>25304</v>
      </c>
      <c r="M5323" s="2" t="s">
        <v>26296</v>
      </c>
      <c r="N5323" s="2" t="s">
        <v>26297</v>
      </c>
      <c r="O5323" s="2" t="s">
        <v>26298</v>
      </c>
      <c r="P5323" s="2" t="s">
        <v>869</v>
      </c>
    </row>
    <row r="5324" ht="15.75" customHeight="1">
      <c r="H5324" s="2" t="s">
        <v>26299</v>
      </c>
      <c r="I5324" s="2" t="s">
        <v>20055</v>
      </c>
      <c r="J5324" s="2" t="s">
        <v>20056</v>
      </c>
      <c r="K5324" s="2" t="s">
        <v>1412</v>
      </c>
      <c r="L5324" s="2" t="s">
        <v>25304</v>
      </c>
      <c r="M5324" s="2" t="s">
        <v>26300</v>
      </c>
      <c r="N5324" s="2" t="s">
        <v>26301</v>
      </c>
      <c r="O5324" s="2" t="s">
        <v>26302</v>
      </c>
      <c r="P5324" s="2" t="s">
        <v>869</v>
      </c>
    </row>
    <row r="5325" ht="15.75" customHeight="1">
      <c r="H5325" s="2" t="s">
        <v>26303</v>
      </c>
      <c r="I5325" s="2" t="s">
        <v>26304</v>
      </c>
      <c r="J5325" s="2" t="s">
        <v>26305</v>
      </c>
      <c r="K5325" s="2" t="s">
        <v>1424</v>
      </c>
      <c r="L5325" s="2" t="s">
        <v>25304</v>
      </c>
      <c r="M5325" s="2" t="s">
        <v>26306</v>
      </c>
      <c r="N5325" s="2" t="s">
        <v>26307</v>
      </c>
      <c r="O5325" s="2" t="s">
        <v>869</v>
      </c>
      <c r="P5325" s="2" t="s">
        <v>870</v>
      </c>
    </row>
    <row r="5326" ht="15.75" customHeight="1">
      <c r="H5326" s="2" t="s">
        <v>26308</v>
      </c>
      <c r="I5326" s="2" t="s">
        <v>26309</v>
      </c>
      <c r="J5326" s="2" t="s">
        <v>26310</v>
      </c>
      <c r="K5326" s="2" t="s">
        <v>1952</v>
      </c>
      <c r="L5326" s="2" t="s">
        <v>25304</v>
      </c>
      <c r="M5326" s="2" t="s">
        <v>26311</v>
      </c>
      <c r="N5326" s="2" t="s">
        <v>26312</v>
      </c>
      <c r="O5326" s="2" t="s">
        <v>869</v>
      </c>
      <c r="P5326" s="2" t="s">
        <v>870</v>
      </c>
    </row>
    <row r="5327" ht="15.75" customHeight="1">
      <c r="H5327" s="2" t="s">
        <v>26313</v>
      </c>
      <c r="I5327" s="2" t="s">
        <v>26314</v>
      </c>
      <c r="J5327" s="2" t="s">
        <v>26315</v>
      </c>
      <c r="K5327" s="2" t="s">
        <v>1325</v>
      </c>
      <c r="L5327" s="2" t="s">
        <v>25304</v>
      </c>
      <c r="M5327" s="2" t="s">
        <v>26316</v>
      </c>
      <c r="N5327" s="2" t="s">
        <v>26317</v>
      </c>
      <c r="O5327" s="2" t="s">
        <v>26318</v>
      </c>
      <c r="P5327" s="2" t="s">
        <v>869</v>
      </c>
    </row>
    <row r="5328" ht="15.75" customHeight="1">
      <c r="F5328" s="2" t="s">
        <v>2902</v>
      </c>
      <c r="H5328" s="2" t="s">
        <v>26319</v>
      </c>
      <c r="I5328" s="2" t="s">
        <v>26320</v>
      </c>
      <c r="J5328" s="2" t="s">
        <v>26321</v>
      </c>
      <c r="K5328" s="2" t="s">
        <v>277</v>
      </c>
      <c r="L5328" s="2" t="s">
        <v>25304</v>
      </c>
      <c r="M5328" s="2" t="s">
        <v>26322</v>
      </c>
      <c r="N5328" s="2" t="s">
        <v>26323</v>
      </c>
      <c r="O5328" s="2" t="s">
        <v>26324</v>
      </c>
      <c r="P5328" s="2" t="s">
        <v>869</v>
      </c>
    </row>
    <row r="5329" ht="15.75" customHeight="1">
      <c r="H5329" s="2" t="s">
        <v>26325</v>
      </c>
      <c r="I5329" s="2" t="s">
        <v>2925</v>
      </c>
      <c r="J5329" s="2" t="s">
        <v>2926</v>
      </c>
      <c r="K5329" s="2" t="s">
        <v>896</v>
      </c>
      <c r="L5329" s="2" t="s">
        <v>25304</v>
      </c>
      <c r="M5329" s="2" t="s">
        <v>26326</v>
      </c>
      <c r="N5329" s="2" t="s">
        <v>26327</v>
      </c>
      <c r="O5329" s="2" t="s">
        <v>26328</v>
      </c>
      <c r="P5329" s="2" t="s">
        <v>869</v>
      </c>
    </row>
    <row r="5330" ht="15.75" customHeight="1">
      <c r="H5330" s="2" t="s">
        <v>26329</v>
      </c>
      <c r="I5330" s="2" t="s">
        <v>26330</v>
      </c>
      <c r="J5330" s="2" t="s">
        <v>26331</v>
      </c>
      <c r="K5330" s="2" t="s">
        <v>1569</v>
      </c>
      <c r="L5330" s="2" t="s">
        <v>25304</v>
      </c>
      <c r="M5330" s="2" t="s">
        <v>26332</v>
      </c>
      <c r="N5330" s="2" t="s">
        <v>26333</v>
      </c>
      <c r="O5330" s="2" t="s">
        <v>26334</v>
      </c>
      <c r="P5330" s="2" t="s">
        <v>869</v>
      </c>
    </row>
    <row r="5331" ht="15.75" customHeight="1">
      <c r="H5331" s="2" t="s">
        <v>26335</v>
      </c>
      <c r="I5331" s="2" t="s">
        <v>2956</v>
      </c>
      <c r="J5331" s="2" t="s">
        <v>2957</v>
      </c>
      <c r="K5331" s="2" t="s">
        <v>1424</v>
      </c>
      <c r="L5331" s="2" t="s">
        <v>25304</v>
      </c>
      <c r="M5331" s="2" t="s">
        <v>26336</v>
      </c>
      <c r="N5331" s="2" t="s">
        <v>26337</v>
      </c>
      <c r="O5331" s="2" t="s">
        <v>26338</v>
      </c>
      <c r="P5331" s="2" t="s">
        <v>869</v>
      </c>
    </row>
    <row r="5332" ht="15.75" customHeight="1">
      <c r="F5332" s="2" t="s">
        <v>598</v>
      </c>
      <c r="H5332" s="2" t="s">
        <v>26339</v>
      </c>
      <c r="I5332" s="2" t="s">
        <v>600</v>
      </c>
      <c r="J5332" s="2" t="s">
        <v>601</v>
      </c>
      <c r="K5332" s="2" t="s">
        <v>865</v>
      </c>
      <c r="L5332" s="2" t="s">
        <v>25304</v>
      </c>
      <c r="M5332" s="2" t="s">
        <v>26340</v>
      </c>
      <c r="N5332" s="2" t="s">
        <v>26341</v>
      </c>
      <c r="O5332" s="2" t="s">
        <v>26342</v>
      </c>
      <c r="P5332" s="2" t="s">
        <v>869</v>
      </c>
    </row>
    <row r="5333" ht="15.75" customHeight="1">
      <c r="H5333" s="2" t="s">
        <v>26343</v>
      </c>
      <c r="I5333" s="2" t="s">
        <v>608</v>
      </c>
      <c r="J5333" s="2" t="s">
        <v>609</v>
      </c>
      <c r="K5333" s="2" t="s">
        <v>1508</v>
      </c>
      <c r="L5333" s="2" t="s">
        <v>26344</v>
      </c>
      <c r="M5333" s="2" t="s">
        <v>26345</v>
      </c>
      <c r="N5333" s="2" t="s">
        <v>26346</v>
      </c>
      <c r="O5333" s="2" t="s">
        <v>26347</v>
      </c>
      <c r="P5333" s="2" t="s">
        <v>869</v>
      </c>
    </row>
    <row r="5334" ht="15.75" customHeight="1">
      <c r="H5334" s="2" t="s">
        <v>26348</v>
      </c>
      <c r="I5334" s="2" t="s">
        <v>26349</v>
      </c>
      <c r="J5334" s="2" t="s">
        <v>26350</v>
      </c>
      <c r="K5334" s="2" t="s">
        <v>26351</v>
      </c>
      <c r="L5334" s="2" t="s">
        <v>25304</v>
      </c>
      <c r="M5334" s="2" t="s">
        <v>26352</v>
      </c>
      <c r="N5334" s="2" t="s">
        <v>26353</v>
      </c>
      <c r="O5334" s="2" t="s">
        <v>869</v>
      </c>
      <c r="P5334" s="2" t="s">
        <v>870</v>
      </c>
    </row>
    <row r="5335" ht="15.75" customHeight="1">
      <c r="H5335" s="2" t="s">
        <v>26354</v>
      </c>
      <c r="I5335" s="2" t="s">
        <v>8761</v>
      </c>
      <c r="J5335" s="2" t="s">
        <v>8762</v>
      </c>
      <c r="K5335" s="2" t="s">
        <v>1593</v>
      </c>
      <c r="L5335" s="2" t="s">
        <v>25304</v>
      </c>
      <c r="M5335" s="2" t="s">
        <v>26355</v>
      </c>
      <c r="N5335" s="2" t="s">
        <v>26356</v>
      </c>
      <c r="O5335" s="2" t="s">
        <v>26357</v>
      </c>
      <c r="P5335" s="2" t="s">
        <v>869</v>
      </c>
    </row>
    <row r="5336" ht="15.75" customHeight="1">
      <c r="F5336" s="2" t="s">
        <v>3062</v>
      </c>
      <c r="H5336" s="2" t="s">
        <v>26358</v>
      </c>
      <c r="I5336" s="2" t="s">
        <v>3064</v>
      </c>
      <c r="J5336" s="2" t="s">
        <v>3065</v>
      </c>
      <c r="K5336" s="2" t="s">
        <v>1878</v>
      </c>
      <c r="L5336" s="2" t="s">
        <v>25304</v>
      </c>
      <c r="M5336" s="2" t="s">
        <v>26359</v>
      </c>
      <c r="N5336" s="2" t="s">
        <v>26360</v>
      </c>
      <c r="O5336" s="2" t="s">
        <v>26361</v>
      </c>
      <c r="P5336" s="2" t="s">
        <v>869</v>
      </c>
    </row>
    <row r="5337" ht="15.75" customHeight="1">
      <c r="H5337" s="2" t="s">
        <v>26362</v>
      </c>
      <c r="I5337" s="2" t="s">
        <v>8847</v>
      </c>
      <c r="J5337" s="2" t="s">
        <v>8848</v>
      </c>
      <c r="K5337" s="2" t="s">
        <v>958</v>
      </c>
      <c r="L5337" s="2" t="s">
        <v>25304</v>
      </c>
      <c r="M5337" s="2" t="s">
        <v>26363</v>
      </c>
      <c r="N5337" s="2" t="s">
        <v>26364</v>
      </c>
      <c r="O5337" s="2" t="s">
        <v>26365</v>
      </c>
      <c r="P5337" s="2" t="s">
        <v>869</v>
      </c>
    </row>
    <row r="5338" ht="15.75" customHeight="1">
      <c r="H5338" s="2" t="s">
        <v>26366</v>
      </c>
      <c r="I5338" s="2" t="s">
        <v>8859</v>
      </c>
      <c r="J5338" s="2" t="s">
        <v>8860</v>
      </c>
      <c r="K5338" s="2" t="s">
        <v>996</v>
      </c>
      <c r="L5338" s="2" t="s">
        <v>25304</v>
      </c>
      <c r="M5338" s="2" t="s">
        <v>26367</v>
      </c>
      <c r="N5338" s="2" t="s">
        <v>26368</v>
      </c>
      <c r="O5338" s="2" t="s">
        <v>869</v>
      </c>
      <c r="P5338" s="2" t="s">
        <v>870</v>
      </c>
    </row>
    <row r="5339" ht="15.75" customHeight="1">
      <c r="F5339" s="2" t="s">
        <v>3079</v>
      </c>
      <c r="H5339" s="2" t="s">
        <v>26369</v>
      </c>
      <c r="I5339" s="2" t="s">
        <v>3101</v>
      </c>
      <c r="J5339" s="2" t="s">
        <v>3102</v>
      </c>
      <c r="K5339" s="2" t="s">
        <v>966</v>
      </c>
      <c r="L5339" s="2" t="s">
        <v>25304</v>
      </c>
      <c r="M5339" s="2" t="s">
        <v>26370</v>
      </c>
      <c r="N5339" s="2" t="s">
        <v>26371</v>
      </c>
      <c r="O5339" s="2" t="s">
        <v>26372</v>
      </c>
      <c r="P5339" s="2" t="s">
        <v>869</v>
      </c>
    </row>
    <row r="5340" ht="15.75" customHeight="1">
      <c r="F5340" s="2" t="s">
        <v>3129</v>
      </c>
      <c r="H5340" s="2" t="s">
        <v>26373</v>
      </c>
      <c r="I5340" s="2" t="s">
        <v>20229</v>
      </c>
      <c r="J5340" s="2" t="s">
        <v>20230</v>
      </c>
      <c r="K5340" s="2" t="s">
        <v>874</v>
      </c>
      <c r="L5340" s="2" t="s">
        <v>25304</v>
      </c>
      <c r="M5340" s="2" t="s">
        <v>26374</v>
      </c>
      <c r="N5340" s="2" t="s">
        <v>26375</v>
      </c>
      <c r="O5340" s="2" t="s">
        <v>26376</v>
      </c>
      <c r="P5340" s="2" t="s">
        <v>869</v>
      </c>
    </row>
    <row r="5341" ht="15.75" customHeight="1">
      <c r="H5341" s="2" t="s">
        <v>26377</v>
      </c>
      <c r="I5341" s="2" t="s">
        <v>3146</v>
      </c>
      <c r="J5341" s="2" t="s">
        <v>3147</v>
      </c>
      <c r="K5341" s="2" t="s">
        <v>1288</v>
      </c>
      <c r="L5341" s="2" t="s">
        <v>25304</v>
      </c>
      <c r="M5341" s="2" t="s">
        <v>26378</v>
      </c>
      <c r="N5341" s="2" t="s">
        <v>26379</v>
      </c>
      <c r="O5341" s="2" t="s">
        <v>26380</v>
      </c>
      <c r="P5341" s="2" t="s">
        <v>869</v>
      </c>
    </row>
    <row r="5342" ht="15.75" customHeight="1">
      <c r="F5342" s="2" t="s">
        <v>3170</v>
      </c>
      <c r="H5342" s="2" t="s">
        <v>26381</v>
      </c>
      <c r="I5342" s="2" t="s">
        <v>3172</v>
      </c>
      <c r="J5342" s="2" t="s">
        <v>3173</v>
      </c>
      <c r="K5342" s="2" t="s">
        <v>861</v>
      </c>
      <c r="L5342" s="2" t="s">
        <v>25304</v>
      </c>
      <c r="M5342" s="2" t="s">
        <v>26382</v>
      </c>
      <c r="N5342" s="2" t="s">
        <v>26383</v>
      </c>
      <c r="O5342" s="2" t="s">
        <v>26384</v>
      </c>
      <c r="P5342" s="2" t="s">
        <v>869</v>
      </c>
    </row>
    <row r="5343" ht="15.75" customHeight="1">
      <c r="F5343" s="2" t="s">
        <v>624</v>
      </c>
      <c r="H5343" s="2" t="s">
        <v>26385</v>
      </c>
      <c r="I5343" s="2" t="s">
        <v>9020</v>
      </c>
      <c r="J5343" s="2" t="s">
        <v>9021</v>
      </c>
      <c r="K5343" s="2" t="s">
        <v>1878</v>
      </c>
      <c r="L5343" s="2" t="s">
        <v>25304</v>
      </c>
      <c r="M5343" s="2" t="s">
        <v>26386</v>
      </c>
      <c r="N5343" s="2" t="s">
        <v>26387</v>
      </c>
      <c r="O5343" s="2" t="s">
        <v>869</v>
      </c>
      <c r="P5343" s="2" t="s">
        <v>870</v>
      </c>
    </row>
    <row r="5344" ht="15.75" customHeight="1">
      <c r="H5344" s="2" t="s">
        <v>26388</v>
      </c>
      <c r="I5344" s="2" t="s">
        <v>3221</v>
      </c>
      <c r="J5344" s="2" t="s">
        <v>3222</v>
      </c>
      <c r="K5344" s="2" t="s">
        <v>890</v>
      </c>
      <c r="L5344" s="2" t="s">
        <v>25304</v>
      </c>
      <c r="M5344" s="2" t="s">
        <v>26389</v>
      </c>
      <c r="N5344" s="2" t="s">
        <v>26390</v>
      </c>
      <c r="O5344" s="2" t="s">
        <v>26391</v>
      </c>
      <c r="P5344" s="2" t="s">
        <v>869</v>
      </c>
    </row>
    <row r="5345" ht="15.75" customHeight="1">
      <c r="H5345" s="2" t="s">
        <v>26392</v>
      </c>
      <c r="I5345" s="2" t="s">
        <v>26393</v>
      </c>
      <c r="J5345" s="2" t="s">
        <v>26394</v>
      </c>
      <c r="K5345" s="2" t="s">
        <v>1406</v>
      </c>
      <c r="L5345" s="2" t="s">
        <v>25304</v>
      </c>
      <c r="M5345" s="2" t="s">
        <v>26395</v>
      </c>
      <c r="N5345" s="2" t="s">
        <v>26396</v>
      </c>
      <c r="O5345" s="2" t="s">
        <v>26397</v>
      </c>
      <c r="P5345" s="2" t="s">
        <v>869</v>
      </c>
    </row>
    <row r="5346" ht="15.75" customHeight="1">
      <c r="H5346" s="2" t="s">
        <v>26398</v>
      </c>
      <c r="I5346" s="2" t="s">
        <v>3256</v>
      </c>
      <c r="J5346" s="2" t="s">
        <v>3257</v>
      </c>
      <c r="K5346" s="2" t="s">
        <v>1418</v>
      </c>
      <c r="L5346" s="2" t="s">
        <v>25304</v>
      </c>
      <c r="M5346" s="2" t="s">
        <v>26399</v>
      </c>
      <c r="N5346" s="2" t="s">
        <v>26400</v>
      </c>
      <c r="O5346" s="2" t="s">
        <v>26401</v>
      </c>
      <c r="P5346" s="2" t="s">
        <v>869</v>
      </c>
    </row>
    <row r="5347" ht="15.75" customHeight="1">
      <c r="H5347" s="2" t="s">
        <v>26402</v>
      </c>
      <c r="I5347" s="2" t="s">
        <v>626</v>
      </c>
      <c r="J5347" s="2" t="s">
        <v>627</v>
      </c>
      <c r="K5347" s="2" t="s">
        <v>1331</v>
      </c>
      <c r="L5347" s="2" t="s">
        <v>26403</v>
      </c>
      <c r="M5347" s="2" t="s">
        <v>26404</v>
      </c>
      <c r="N5347" s="2" t="s">
        <v>26405</v>
      </c>
      <c r="O5347" s="2" t="s">
        <v>26406</v>
      </c>
      <c r="P5347" s="2" t="s">
        <v>869</v>
      </c>
    </row>
    <row r="5348" ht="15.75" customHeight="1">
      <c r="H5348" s="2" t="s">
        <v>26407</v>
      </c>
      <c r="I5348" s="2" t="s">
        <v>20304</v>
      </c>
      <c r="J5348" s="2" t="s">
        <v>20305</v>
      </c>
      <c r="K5348" s="2" t="s">
        <v>2171</v>
      </c>
      <c r="L5348" s="2" t="s">
        <v>25304</v>
      </c>
      <c r="M5348" s="2" t="s">
        <v>26408</v>
      </c>
      <c r="N5348" s="2" t="s">
        <v>26409</v>
      </c>
      <c r="O5348" s="2" t="s">
        <v>26410</v>
      </c>
      <c r="P5348" s="2" t="s">
        <v>869</v>
      </c>
    </row>
    <row r="5349" ht="15.75" customHeight="1">
      <c r="H5349" s="2" t="s">
        <v>26411</v>
      </c>
      <c r="I5349" s="2" t="s">
        <v>3296</v>
      </c>
      <c r="J5349" s="2" t="s">
        <v>3297</v>
      </c>
      <c r="L5349" s="2" t="s">
        <v>25304</v>
      </c>
      <c r="M5349" s="2" t="s">
        <v>26412</v>
      </c>
      <c r="N5349" s="2" t="s">
        <v>26413</v>
      </c>
      <c r="O5349" s="2" t="s">
        <v>26414</v>
      </c>
      <c r="P5349" s="2" t="s">
        <v>869</v>
      </c>
    </row>
    <row r="5350" ht="15.75" customHeight="1">
      <c r="H5350" s="2" t="s">
        <v>26415</v>
      </c>
      <c r="I5350" s="2" t="s">
        <v>26416</v>
      </c>
      <c r="J5350" s="2" t="s">
        <v>26417</v>
      </c>
      <c r="K5350" s="2" t="s">
        <v>5089</v>
      </c>
      <c r="L5350" s="2" t="s">
        <v>25304</v>
      </c>
      <c r="M5350" s="2" t="s">
        <v>26418</v>
      </c>
      <c r="N5350" s="2" t="s">
        <v>26419</v>
      </c>
      <c r="O5350" s="2" t="s">
        <v>26420</v>
      </c>
      <c r="P5350" s="2" t="s">
        <v>869</v>
      </c>
    </row>
    <row r="5351" ht="15.75" customHeight="1">
      <c r="H5351" s="2" t="s">
        <v>26421</v>
      </c>
      <c r="I5351" s="2" t="s">
        <v>26422</v>
      </c>
      <c r="J5351" s="2" t="s">
        <v>26423</v>
      </c>
      <c r="K5351" s="2" t="s">
        <v>2514</v>
      </c>
      <c r="L5351" s="2" t="s">
        <v>25304</v>
      </c>
      <c r="M5351" s="2" t="s">
        <v>26424</v>
      </c>
      <c r="N5351" s="2" t="s">
        <v>26425</v>
      </c>
      <c r="O5351" s="2" t="s">
        <v>26426</v>
      </c>
      <c r="P5351" s="2" t="s">
        <v>869</v>
      </c>
    </row>
    <row r="5352" ht="15.75" customHeight="1">
      <c r="F5352" s="2" t="s">
        <v>634</v>
      </c>
      <c r="H5352" s="2" t="s">
        <v>26427</v>
      </c>
      <c r="I5352" s="2" t="s">
        <v>644</v>
      </c>
      <c r="J5352" s="2" t="s">
        <v>645</v>
      </c>
      <c r="K5352" s="2" t="s">
        <v>1362</v>
      </c>
      <c r="L5352" s="2" t="s">
        <v>25304</v>
      </c>
      <c r="M5352" s="2" t="s">
        <v>26428</v>
      </c>
      <c r="N5352" s="2" t="s">
        <v>26429</v>
      </c>
      <c r="O5352" s="2" t="s">
        <v>26430</v>
      </c>
      <c r="P5352" s="2" t="s">
        <v>869</v>
      </c>
    </row>
    <row r="5353" ht="15.75" customHeight="1">
      <c r="H5353" s="2" t="s">
        <v>26431</v>
      </c>
      <c r="I5353" s="2" t="s">
        <v>26432</v>
      </c>
      <c r="J5353" s="2" t="s">
        <v>26433</v>
      </c>
      <c r="K5353" s="2" t="s">
        <v>963</v>
      </c>
      <c r="L5353" s="2" t="s">
        <v>25304</v>
      </c>
      <c r="M5353" s="2" t="s">
        <v>26434</v>
      </c>
      <c r="N5353" s="2" t="s">
        <v>26435</v>
      </c>
      <c r="O5353" s="2" t="s">
        <v>26436</v>
      </c>
      <c r="P5353" s="2" t="s">
        <v>869</v>
      </c>
    </row>
    <row r="5354" ht="15.75" customHeight="1">
      <c r="H5354" s="2" t="s">
        <v>26437</v>
      </c>
      <c r="I5354" s="2" t="s">
        <v>3357</v>
      </c>
      <c r="J5354" s="2" t="s">
        <v>3358</v>
      </c>
      <c r="K5354" s="2" t="s">
        <v>886</v>
      </c>
      <c r="L5354" s="2" t="s">
        <v>25304</v>
      </c>
      <c r="M5354" s="2" t="s">
        <v>26438</v>
      </c>
      <c r="N5354" s="2" t="s">
        <v>26439</v>
      </c>
      <c r="O5354" s="2" t="s">
        <v>26440</v>
      </c>
      <c r="P5354" s="2" t="s">
        <v>869</v>
      </c>
    </row>
    <row r="5355" ht="15.75" customHeight="1">
      <c r="F5355" s="2" t="s">
        <v>3384</v>
      </c>
      <c r="H5355" s="2" t="s">
        <v>26441</v>
      </c>
      <c r="I5355" s="2" t="s">
        <v>5591</v>
      </c>
      <c r="J5355" s="2" t="s">
        <v>5592</v>
      </c>
      <c r="K5355" s="2" t="s">
        <v>1061</v>
      </c>
      <c r="L5355" s="2" t="s">
        <v>25304</v>
      </c>
      <c r="M5355" s="2" t="s">
        <v>26442</v>
      </c>
      <c r="N5355" s="2" t="s">
        <v>26443</v>
      </c>
      <c r="O5355" s="2" t="s">
        <v>869</v>
      </c>
      <c r="P5355" s="2" t="s">
        <v>870</v>
      </c>
    </row>
    <row r="5356" ht="15.75" customHeight="1">
      <c r="H5356" s="2" t="s">
        <v>26444</v>
      </c>
      <c r="I5356" s="2" t="s">
        <v>3401</v>
      </c>
      <c r="J5356" s="2" t="s">
        <v>3402</v>
      </c>
      <c r="K5356" s="2" t="s">
        <v>1288</v>
      </c>
      <c r="L5356" s="2" t="s">
        <v>25304</v>
      </c>
      <c r="M5356" s="2" t="s">
        <v>26445</v>
      </c>
      <c r="N5356" s="2" t="s">
        <v>26446</v>
      </c>
      <c r="O5356" s="2" t="s">
        <v>26447</v>
      </c>
      <c r="P5356" s="2" t="s">
        <v>869</v>
      </c>
    </row>
    <row r="5357" ht="15.75" customHeight="1">
      <c r="F5357" s="2" t="s">
        <v>651</v>
      </c>
      <c r="H5357" s="2" t="s">
        <v>26448</v>
      </c>
      <c r="I5357" s="2" t="s">
        <v>3439</v>
      </c>
      <c r="J5357" s="2" t="s">
        <v>3440</v>
      </c>
      <c r="K5357" s="2" t="s">
        <v>865</v>
      </c>
      <c r="L5357" s="2" t="s">
        <v>25304</v>
      </c>
      <c r="M5357" s="2" t="s">
        <v>26449</v>
      </c>
      <c r="N5357" s="2" t="s">
        <v>26450</v>
      </c>
      <c r="O5357" s="2" t="s">
        <v>26451</v>
      </c>
      <c r="P5357" s="2" t="s">
        <v>869</v>
      </c>
    </row>
    <row r="5358" ht="15.75" customHeight="1">
      <c r="H5358" s="2" t="s">
        <v>26452</v>
      </c>
      <c r="I5358" s="2" t="s">
        <v>653</v>
      </c>
      <c r="J5358" s="2" t="s">
        <v>654</v>
      </c>
      <c r="K5358" s="2" t="s">
        <v>1508</v>
      </c>
      <c r="L5358" s="2" t="s">
        <v>25304</v>
      </c>
      <c r="M5358" s="2" t="s">
        <v>26453</v>
      </c>
      <c r="N5358" s="2" t="s">
        <v>26454</v>
      </c>
      <c r="O5358" s="2" t="s">
        <v>26455</v>
      </c>
      <c r="P5358" s="2" t="s">
        <v>869</v>
      </c>
    </row>
    <row r="5359" ht="15.75" customHeight="1">
      <c r="F5359" s="2" t="s">
        <v>3521</v>
      </c>
      <c r="H5359" s="2" t="s">
        <v>26456</v>
      </c>
      <c r="I5359" s="2" t="s">
        <v>3538</v>
      </c>
      <c r="J5359" s="2" t="s">
        <v>3539</v>
      </c>
      <c r="K5359" s="2" t="s">
        <v>970</v>
      </c>
      <c r="L5359" s="2" t="s">
        <v>25304</v>
      </c>
      <c r="M5359" s="2" t="s">
        <v>26457</v>
      </c>
      <c r="N5359" s="2" t="s">
        <v>26458</v>
      </c>
      <c r="O5359" s="2" t="s">
        <v>26459</v>
      </c>
      <c r="P5359" s="2" t="s">
        <v>869</v>
      </c>
    </row>
    <row r="5360" ht="15.75" customHeight="1">
      <c r="H5360" s="2" t="s">
        <v>26460</v>
      </c>
      <c r="I5360" s="2" t="s">
        <v>26461</v>
      </c>
      <c r="J5360" s="2" t="s">
        <v>26462</v>
      </c>
      <c r="K5360" s="2" t="s">
        <v>896</v>
      </c>
      <c r="L5360" s="2" t="s">
        <v>25304</v>
      </c>
      <c r="M5360" s="2" t="s">
        <v>26463</v>
      </c>
      <c r="N5360" s="2" t="s">
        <v>26464</v>
      </c>
      <c r="O5360" s="2" t="s">
        <v>26465</v>
      </c>
      <c r="P5360" s="2" t="s">
        <v>869</v>
      </c>
    </row>
    <row r="5361" ht="15.75" customHeight="1">
      <c r="H5361" s="2" t="s">
        <v>26466</v>
      </c>
      <c r="I5361" s="2" t="s">
        <v>3553</v>
      </c>
      <c r="J5361" s="2" t="s">
        <v>3554</v>
      </c>
      <c r="K5361" s="2" t="s">
        <v>900</v>
      </c>
      <c r="L5361" s="2" t="s">
        <v>25304</v>
      </c>
      <c r="M5361" s="2" t="s">
        <v>26467</v>
      </c>
      <c r="N5361" s="2" t="s">
        <v>26468</v>
      </c>
      <c r="O5361" s="2" t="s">
        <v>869</v>
      </c>
      <c r="P5361" s="2" t="s">
        <v>870</v>
      </c>
    </row>
    <row r="5362" ht="15.75" customHeight="1">
      <c r="H5362" s="2" t="s">
        <v>26469</v>
      </c>
      <c r="I5362" s="2" t="s">
        <v>3558</v>
      </c>
      <c r="J5362" s="2" t="s">
        <v>3559</v>
      </c>
      <c r="K5362" s="2" t="s">
        <v>906</v>
      </c>
      <c r="L5362" s="2" t="s">
        <v>25304</v>
      </c>
      <c r="M5362" s="2" t="s">
        <v>26470</v>
      </c>
      <c r="N5362" s="2" t="s">
        <v>26471</v>
      </c>
      <c r="O5362" s="2" t="s">
        <v>26472</v>
      </c>
      <c r="P5362" s="2" t="s">
        <v>869</v>
      </c>
    </row>
    <row r="5363" ht="15.75" customHeight="1">
      <c r="F5363" s="2" t="s">
        <v>3567</v>
      </c>
      <c r="H5363" s="2" t="s">
        <v>26473</v>
      </c>
      <c r="I5363" s="2" t="s">
        <v>3569</v>
      </c>
      <c r="J5363" s="2" t="s">
        <v>3570</v>
      </c>
      <c r="K5363" s="2" t="s">
        <v>1368</v>
      </c>
      <c r="L5363" s="2" t="s">
        <v>25304</v>
      </c>
      <c r="M5363" s="2" t="s">
        <v>26474</v>
      </c>
      <c r="N5363" s="2" t="s">
        <v>26475</v>
      </c>
      <c r="O5363" s="2" t="s">
        <v>26476</v>
      </c>
      <c r="P5363" s="2" t="s">
        <v>869</v>
      </c>
    </row>
    <row r="5364" ht="15.75" customHeight="1">
      <c r="H5364" s="2" t="s">
        <v>26477</v>
      </c>
      <c r="I5364" s="2" t="s">
        <v>26478</v>
      </c>
      <c r="J5364" s="2" t="s">
        <v>26479</v>
      </c>
      <c r="K5364" s="2" t="s">
        <v>890</v>
      </c>
      <c r="L5364" s="2" t="s">
        <v>25304</v>
      </c>
      <c r="M5364" s="2" t="s">
        <v>26480</v>
      </c>
      <c r="N5364" s="2" t="s">
        <v>26481</v>
      </c>
      <c r="O5364" s="2" t="s">
        <v>869</v>
      </c>
      <c r="P5364" s="2" t="s">
        <v>870</v>
      </c>
    </row>
    <row r="5365" ht="15.75" customHeight="1">
      <c r="F5365" s="2" t="s">
        <v>3577</v>
      </c>
      <c r="H5365" s="2" t="s">
        <v>26482</v>
      </c>
      <c r="I5365" s="2" t="s">
        <v>3593</v>
      </c>
      <c r="J5365" s="2" t="s">
        <v>3594</v>
      </c>
      <c r="K5365" s="2" t="s">
        <v>1288</v>
      </c>
      <c r="L5365" s="2" t="s">
        <v>25304</v>
      </c>
      <c r="M5365" s="2" t="s">
        <v>26483</v>
      </c>
      <c r="N5365" s="2" t="s">
        <v>26484</v>
      </c>
      <c r="O5365" s="2" t="s">
        <v>26485</v>
      </c>
      <c r="P5365" s="2" t="s">
        <v>869</v>
      </c>
    </row>
    <row r="5366" ht="15.75" customHeight="1">
      <c r="F5366" s="2" t="s">
        <v>3605</v>
      </c>
      <c r="H5366" s="2" t="s">
        <v>26486</v>
      </c>
      <c r="I5366" s="2" t="s">
        <v>3622</v>
      </c>
      <c r="J5366" s="2" t="s">
        <v>3623</v>
      </c>
      <c r="K5366" s="2" t="s">
        <v>996</v>
      </c>
      <c r="L5366" s="2" t="s">
        <v>25304</v>
      </c>
      <c r="M5366" s="2" t="s">
        <v>26487</v>
      </c>
      <c r="N5366" s="2" t="s">
        <v>26488</v>
      </c>
      <c r="O5366" s="2" t="s">
        <v>26489</v>
      </c>
      <c r="P5366" s="2" t="s">
        <v>869</v>
      </c>
    </row>
    <row r="5367" ht="15.75" customHeight="1">
      <c r="F5367" s="2" t="s">
        <v>3629</v>
      </c>
      <c r="H5367" s="2" t="s">
        <v>26490</v>
      </c>
      <c r="I5367" s="2" t="s">
        <v>3221</v>
      </c>
      <c r="J5367" s="2" t="s">
        <v>3222</v>
      </c>
      <c r="K5367" s="2" t="s">
        <v>865</v>
      </c>
      <c r="L5367" s="2" t="s">
        <v>25304</v>
      </c>
      <c r="M5367" s="2" t="s">
        <v>9650</v>
      </c>
      <c r="N5367" s="2" t="s">
        <v>26491</v>
      </c>
      <c r="O5367" s="2" t="s">
        <v>26492</v>
      </c>
      <c r="P5367" s="2" t="s">
        <v>869</v>
      </c>
    </row>
    <row r="5368" ht="15.75" customHeight="1">
      <c r="H5368" s="2" t="s">
        <v>26493</v>
      </c>
      <c r="I5368" s="2" t="s">
        <v>3661</v>
      </c>
      <c r="J5368" s="2" t="s">
        <v>3662</v>
      </c>
      <c r="K5368" s="2" t="s">
        <v>880</v>
      </c>
      <c r="L5368" s="2" t="s">
        <v>25304</v>
      </c>
      <c r="M5368" s="2" t="s">
        <v>26494</v>
      </c>
      <c r="N5368" s="2" t="s">
        <v>26495</v>
      </c>
      <c r="O5368" s="2" t="s">
        <v>26496</v>
      </c>
      <c r="P5368" s="2" t="s">
        <v>869</v>
      </c>
    </row>
    <row r="5369" ht="15.75" customHeight="1">
      <c r="H5369" s="2" t="s">
        <v>26497</v>
      </c>
      <c r="I5369" s="2" t="s">
        <v>3676</v>
      </c>
      <c r="J5369" s="2" t="s">
        <v>3677</v>
      </c>
      <c r="K5369" s="2" t="s">
        <v>1007</v>
      </c>
      <c r="L5369" s="2" t="s">
        <v>25304</v>
      </c>
      <c r="M5369" s="2" t="s">
        <v>26498</v>
      </c>
      <c r="N5369" s="2" t="s">
        <v>26499</v>
      </c>
      <c r="O5369" s="2" t="s">
        <v>26500</v>
      </c>
      <c r="P5369" s="2" t="s">
        <v>869</v>
      </c>
    </row>
    <row r="5370" ht="15.75" customHeight="1">
      <c r="F5370" s="2" t="s">
        <v>3685</v>
      </c>
      <c r="H5370" s="2" t="s">
        <v>26501</v>
      </c>
      <c r="I5370" s="2" t="s">
        <v>3697</v>
      </c>
      <c r="J5370" s="2" t="s">
        <v>3698</v>
      </c>
      <c r="K5370" s="2" t="s">
        <v>874</v>
      </c>
      <c r="L5370" s="2" t="s">
        <v>25304</v>
      </c>
      <c r="M5370" s="2" t="s">
        <v>26502</v>
      </c>
      <c r="N5370" s="2" t="s">
        <v>26503</v>
      </c>
      <c r="O5370" s="2" t="s">
        <v>26504</v>
      </c>
      <c r="P5370" s="2" t="s">
        <v>869</v>
      </c>
    </row>
    <row r="5371" ht="15.75" customHeight="1">
      <c r="F5371" s="2" t="s">
        <v>660</v>
      </c>
      <c r="H5371" s="2" t="s">
        <v>26505</v>
      </c>
      <c r="I5371" s="2" t="s">
        <v>9131</v>
      </c>
      <c r="J5371" s="2" t="s">
        <v>9132</v>
      </c>
      <c r="K5371" s="2" t="s">
        <v>859</v>
      </c>
      <c r="L5371" s="2" t="s">
        <v>25304</v>
      </c>
      <c r="M5371" s="2" t="s">
        <v>26506</v>
      </c>
      <c r="N5371" s="2" t="s">
        <v>26507</v>
      </c>
      <c r="O5371" s="2" t="s">
        <v>26508</v>
      </c>
      <c r="P5371" s="2" t="s">
        <v>869</v>
      </c>
    </row>
    <row r="5372" ht="15.75" customHeight="1">
      <c r="H5372" s="2" t="s">
        <v>26509</v>
      </c>
      <c r="I5372" s="2" t="s">
        <v>9751</v>
      </c>
      <c r="J5372" s="2" t="s">
        <v>9752</v>
      </c>
      <c r="K5372" s="2" t="s">
        <v>853</v>
      </c>
      <c r="L5372" s="2" t="s">
        <v>25304</v>
      </c>
      <c r="M5372" s="2" t="s">
        <v>26510</v>
      </c>
      <c r="N5372" s="2" t="s">
        <v>26511</v>
      </c>
      <c r="O5372" s="2" t="s">
        <v>869</v>
      </c>
      <c r="P5372" s="2" t="s">
        <v>870</v>
      </c>
    </row>
    <row r="5373" ht="15.75" customHeight="1">
      <c r="H5373" s="2" t="s">
        <v>26512</v>
      </c>
      <c r="I5373" s="2" t="s">
        <v>26513</v>
      </c>
      <c r="J5373" s="2" t="s">
        <v>26514</v>
      </c>
      <c r="K5373" s="2" t="s">
        <v>280</v>
      </c>
      <c r="L5373" s="2" t="s">
        <v>25304</v>
      </c>
      <c r="M5373" s="2" t="s">
        <v>26515</v>
      </c>
      <c r="N5373" s="2" t="s">
        <v>26516</v>
      </c>
      <c r="O5373" s="2" t="s">
        <v>869</v>
      </c>
      <c r="P5373" s="2" t="s">
        <v>870</v>
      </c>
    </row>
    <row r="5374" ht="15.75" customHeight="1">
      <c r="H5374" s="2" t="s">
        <v>26517</v>
      </c>
      <c r="I5374" s="2" t="s">
        <v>26518</v>
      </c>
      <c r="J5374" s="2" t="s">
        <v>26519</v>
      </c>
      <c r="K5374" s="2" t="s">
        <v>874</v>
      </c>
      <c r="L5374" s="2" t="s">
        <v>25304</v>
      </c>
      <c r="M5374" s="2" t="s">
        <v>26520</v>
      </c>
      <c r="N5374" s="2" t="s">
        <v>26521</v>
      </c>
      <c r="O5374" s="2" t="s">
        <v>26522</v>
      </c>
      <c r="P5374" s="2" t="s">
        <v>869</v>
      </c>
    </row>
    <row r="5375" ht="15.75" customHeight="1">
      <c r="H5375" s="2" t="s">
        <v>26523</v>
      </c>
      <c r="I5375" s="2" t="s">
        <v>26524</v>
      </c>
      <c r="J5375" s="2" t="s">
        <v>26525</v>
      </c>
      <c r="K5375" s="2" t="s">
        <v>1117</v>
      </c>
      <c r="L5375" s="2" t="s">
        <v>25304</v>
      </c>
      <c r="M5375" s="2" t="s">
        <v>26526</v>
      </c>
      <c r="N5375" s="2" t="s">
        <v>26527</v>
      </c>
      <c r="O5375" s="2" t="s">
        <v>26528</v>
      </c>
      <c r="P5375" s="2" t="s">
        <v>869</v>
      </c>
    </row>
    <row r="5376" ht="15.75" customHeight="1">
      <c r="H5376" s="2" t="s">
        <v>26529</v>
      </c>
      <c r="I5376" s="2" t="s">
        <v>26530</v>
      </c>
      <c r="J5376" s="2" t="s">
        <v>26531</v>
      </c>
      <c r="K5376" s="2" t="s">
        <v>12092</v>
      </c>
      <c r="L5376" s="2" t="s">
        <v>25304</v>
      </c>
      <c r="M5376" s="2" t="s">
        <v>26532</v>
      </c>
      <c r="N5376" s="2" t="s">
        <v>26533</v>
      </c>
      <c r="O5376" s="2" t="s">
        <v>26534</v>
      </c>
      <c r="P5376" s="2" t="s">
        <v>869</v>
      </c>
    </row>
    <row r="5377" ht="15.75" customHeight="1">
      <c r="H5377" s="2" t="s">
        <v>26535</v>
      </c>
      <c r="I5377" s="2" t="s">
        <v>9769</v>
      </c>
      <c r="J5377" s="2" t="s">
        <v>9770</v>
      </c>
      <c r="K5377" s="2" t="s">
        <v>886</v>
      </c>
      <c r="L5377" s="2" t="s">
        <v>25304</v>
      </c>
      <c r="M5377" s="2" t="s">
        <v>26536</v>
      </c>
      <c r="N5377" s="2" t="s">
        <v>26537</v>
      </c>
      <c r="O5377" s="2" t="s">
        <v>869</v>
      </c>
      <c r="P5377" s="2" t="s">
        <v>870</v>
      </c>
    </row>
    <row r="5378" ht="15.75" customHeight="1">
      <c r="H5378" s="2" t="s">
        <v>26538</v>
      </c>
      <c r="I5378" s="2" t="s">
        <v>9782</v>
      </c>
      <c r="J5378" s="2" t="s">
        <v>9783</v>
      </c>
      <c r="K5378" s="2" t="s">
        <v>1128</v>
      </c>
      <c r="L5378" s="2" t="s">
        <v>25304</v>
      </c>
      <c r="M5378" s="2" t="s">
        <v>9785</v>
      </c>
      <c r="N5378" s="2" t="s">
        <v>26539</v>
      </c>
      <c r="O5378" s="2" t="s">
        <v>26540</v>
      </c>
      <c r="P5378" s="2" t="s">
        <v>869</v>
      </c>
    </row>
    <row r="5379" ht="15.75" customHeight="1">
      <c r="H5379" s="2" t="s">
        <v>26541</v>
      </c>
      <c r="I5379" s="2" t="s">
        <v>3727</v>
      </c>
      <c r="J5379" s="2" t="s">
        <v>3728</v>
      </c>
      <c r="K5379" s="2" t="s">
        <v>1508</v>
      </c>
      <c r="L5379" s="2" t="s">
        <v>25304</v>
      </c>
      <c r="M5379" s="2" t="s">
        <v>26542</v>
      </c>
      <c r="N5379" s="2" t="s">
        <v>26543</v>
      </c>
      <c r="O5379" s="2" t="s">
        <v>26544</v>
      </c>
      <c r="P5379" s="2" t="s">
        <v>869</v>
      </c>
    </row>
    <row r="5380" ht="15.75" customHeight="1">
      <c r="H5380" s="2" t="s">
        <v>26545</v>
      </c>
      <c r="I5380" s="2" t="s">
        <v>662</v>
      </c>
      <c r="J5380" s="2" t="s">
        <v>663</v>
      </c>
      <c r="K5380" s="2" t="s">
        <v>1567</v>
      </c>
      <c r="L5380" s="2" t="s">
        <v>25304</v>
      </c>
      <c r="M5380" s="2" t="s">
        <v>26546</v>
      </c>
      <c r="N5380" s="2" t="s">
        <v>26547</v>
      </c>
      <c r="O5380" s="2" t="s">
        <v>26548</v>
      </c>
      <c r="P5380" s="2" t="s">
        <v>869</v>
      </c>
    </row>
    <row r="5381" ht="15.75" customHeight="1">
      <c r="H5381" s="2" t="s">
        <v>26549</v>
      </c>
      <c r="I5381" s="2" t="s">
        <v>26550</v>
      </c>
      <c r="J5381" s="2" t="s">
        <v>26551</v>
      </c>
      <c r="K5381" s="2" t="s">
        <v>1151</v>
      </c>
      <c r="L5381" s="2" t="s">
        <v>25304</v>
      </c>
      <c r="M5381" s="2" t="s">
        <v>26552</v>
      </c>
      <c r="N5381" s="2" t="s">
        <v>26539</v>
      </c>
      <c r="O5381" s="2" t="s">
        <v>26553</v>
      </c>
      <c r="P5381" s="2" t="s">
        <v>869</v>
      </c>
    </row>
    <row r="5382" ht="15.75" customHeight="1">
      <c r="H5382" s="2" t="s">
        <v>26554</v>
      </c>
      <c r="I5382" s="2" t="s">
        <v>1215</v>
      </c>
      <c r="J5382" s="2" t="s">
        <v>1216</v>
      </c>
      <c r="K5382" s="2" t="s">
        <v>1593</v>
      </c>
      <c r="L5382" s="2" t="s">
        <v>25304</v>
      </c>
      <c r="M5382" s="2" t="s">
        <v>9823</v>
      </c>
      <c r="N5382" s="2" t="s">
        <v>26555</v>
      </c>
      <c r="O5382" s="2" t="s">
        <v>869</v>
      </c>
      <c r="P5382" s="2" t="s">
        <v>870</v>
      </c>
    </row>
    <row r="5383" ht="15.75" customHeight="1">
      <c r="H5383" s="2" t="s">
        <v>26556</v>
      </c>
      <c r="I5383" s="2" t="s">
        <v>670</v>
      </c>
      <c r="J5383" s="2" t="s">
        <v>671</v>
      </c>
      <c r="K5383" s="2" t="s">
        <v>1331</v>
      </c>
      <c r="L5383" s="2" t="s">
        <v>25304</v>
      </c>
      <c r="M5383" s="2" t="s">
        <v>26557</v>
      </c>
      <c r="N5383" s="2" t="s">
        <v>26558</v>
      </c>
      <c r="O5383" s="2" t="s">
        <v>26559</v>
      </c>
      <c r="P5383" s="2" t="s">
        <v>869</v>
      </c>
    </row>
    <row r="5384" ht="15.75" customHeight="1">
      <c r="H5384" s="2" t="s">
        <v>26560</v>
      </c>
      <c r="I5384" s="2" t="s">
        <v>26561</v>
      </c>
      <c r="J5384" s="2" t="s">
        <v>26562</v>
      </c>
      <c r="K5384" s="2" t="s">
        <v>1433</v>
      </c>
      <c r="L5384" s="2" t="s">
        <v>25304</v>
      </c>
      <c r="M5384" s="2" t="s">
        <v>26563</v>
      </c>
      <c r="N5384" s="2" t="s">
        <v>26564</v>
      </c>
      <c r="O5384" s="2" t="s">
        <v>26565</v>
      </c>
      <c r="P5384" s="2" t="s">
        <v>869</v>
      </c>
    </row>
    <row r="5385" ht="15.75" customHeight="1">
      <c r="H5385" s="2" t="s">
        <v>26566</v>
      </c>
      <c r="I5385" s="2" t="s">
        <v>26567</v>
      </c>
      <c r="J5385" s="2" t="s">
        <v>26568</v>
      </c>
      <c r="K5385" s="2" t="s">
        <v>1163</v>
      </c>
      <c r="L5385" s="2" t="s">
        <v>25304</v>
      </c>
      <c r="M5385" s="2" t="s">
        <v>9828</v>
      </c>
      <c r="N5385" s="2" t="s">
        <v>26569</v>
      </c>
      <c r="O5385" s="2" t="s">
        <v>26570</v>
      </c>
      <c r="P5385" s="2" t="s">
        <v>869</v>
      </c>
    </row>
    <row r="5386" ht="15.75" customHeight="1">
      <c r="F5386" s="2" t="s">
        <v>3755</v>
      </c>
      <c r="H5386" s="2" t="s">
        <v>26571</v>
      </c>
      <c r="I5386" s="2" t="s">
        <v>26572</v>
      </c>
      <c r="J5386" s="2" t="s">
        <v>26572</v>
      </c>
      <c r="K5386" s="2" t="s">
        <v>958</v>
      </c>
    </row>
    <row r="5387" ht="15.75" customHeight="1">
      <c r="F5387" s="2" t="s">
        <v>3762</v>
      </c>
      <c r="H5387" s="2" t="s">
        <v>26573</v>
      </c>
      <c r="I5387" s="2" t="s">
        <v>9850</v>
      </c>
      <c r="J5387" s="2" t="s">
        <v>9851</v>
      </c>
      <c r="K5387" s="2" t="s">
        <v>865</v>
      </c>
      <c r="L5387" s="2" t="s">
        <v>25304</v>
      </c>
      <c r="M5387" s="2" t="s">
        <v>26574</v>
      </c>
      <c r="N5387" s="2" t="s">
        <v>26575</v>
      </c>
      <c r="O5387" s="2" t="s">
        <v>26576</v>
      </c>
      <c r="P5387" s="2" t="s">
        <v>869</v>
      </c>
    </row>
    <row r="5388" ht="15.75" customHeight="1">
      <c r="H5388" s="2" t="s">
        <v>26577</v>
      </c>
      <c r="I5388" s="2" t="s">
        <v>26578</v>
      </c>
      <c r="J5388" s="2" t="s">
        <v>26579</v>
      </c>
      <c r="K5388" s="2" t="s">
        <v>874</v>
      </c>
      <c r="L5388" s="2" t="s">
        <v>25304</v>
      </c>
      <c r="M5388" s="2" t="s">
        <v>26580</v>
      </c>
      <c r="N5388" s="2" t="s">
        <v>26581</v>
      </c>
      <c r="O5388" s="2" t="s">
        <v>26582</v>
      </c>
      <c r="P5388" s="2" t="s">
        <v>869</v>
      </c>
    </row>
    <row r="5389" ht="15.75" customHeight="1">
      <c r="H5389" s="2" t="s">
        <v>26583</v>
      </c>
      <c r="I5389" s="2" t="s">
        <v>9862</v>
      </c>
      <c r="J5389" s="2" t="s">
        <v>9863</v>
      </c>
      <c r="K5389" s="2" t="s">
        <v>1368</v>
      </c>
      <c r="L5389" s="2" t="s">
        <v>25304</v>
      </c>
      <c r="M5389" s="2" t="s">
        <v>9865</v>
      </c>
      <c r="N5389" s="2" t="s">
        <v>26584</v>
      </c>
      <c r="O5389" s="2" t="s">
        <v>869</v>
      </c>
      <c r="P5389" s="2" t="s">
        <v>870</v>
      </c>
    </row>
    <row r="5390" ht="15.75" customHeight="1">
      <c r="H5390" s="2" t="s">
        <v>26585</v>
      </c>
      <c r="I5390" s="2" t="s">
        <v>26586</v>
      </c>
      <c r="J5390" s="2" t="s">
        <v>26586</v>
      </c>
      <c r="K5390" s="2" t="s">
        <v>1128</v>
      </c>
    </row>
    <row r="5391" ht="15.75" customHeight="1">
      <c r="H5391" s="2" t="s">
        <v>26587</v>
      </c>
      <c r="I5391" s="2" t="s">
        <v>3809</v>
      </c>
      <c r="J5391" s="2" t="s">
        <v>3810</v>
      </c>
      <c r="K5391" s="2" t="s">
        <v>906</v>
      </c>
      <c r="L5391" s="2" t="s">
        <v>25304</v>
      </c>
      <c r="M5391" s="2" t="s">
        <v>26588</v>
      </c>
      <c r="N5391" s="2" t="s">
        <v>26589</v>
      </c>
      <c r="O5391" s="2" t="s">
        <v>26590</v>
      </c>
      <c r="P5391" s="2" t="s">
        <v>869</v>
      </c>
    </row>
    <row r="5392" ht="15.75" customHeight="1">
      <c r="H5392" s="2" t="s">
        <v>26591</v>
      </c>
      <c r="I5392" s="2" t="s">
        <v>26592</v>
      </c>
      <c r="J5392" s="2" t="s">
        <v>26593</v>
      </c>
      <c r="K5392" s="2" t="s">
        <v>1145</v>
      </c>
      <c r="L5392" s="2" t="s">
        <v>25304</v>
      </c>
      <c r="M5392" s="2" t="s">
        <v>26594</v>
      </c>
      <c r="N5392" s="2" t="s">
        <v>26595</v>
      </c>
      <c r="O5392" s="2" t="s">
        <v>26596</v>
      </c>
      <c r="P5392" s="2" t="s">
        <v>869</v>
      </c>
    </row>
    <row r="5393" ht="15.75" customHeight="1">
      <c r="H5393" s="2" t="s">
        <v>26597</v>
      </c>
      <c r="I5393" s="2" t="s">
        <v>21299</v>
      </c>
      <c r="J5393" s="2" t="s">
        <v>21300</v>
      </c>
      <c r="K5393" s="2" t="s">
        <v>918</v>
      </c>
      <c r="L5393" s="2" t="s">
        <v>25304</v>
      </c>
      <c r="M5393" s="2" t="s">
        <v>26598</v>
      </c>
      <c r="N5393" s="2" t="s">
        <v>26599</v>
      </c>
      <c r="O5393" s="2" t="s">
        <v>26600</v>
      </c>
      <c r="P5393" s="2" t="s">
        <v>869</v>
      </c>
    </row>
    <row r="5394" ht="15.75" customHeight="1">
      <c r="H5394" s="2" t="s">
        <v>26601</v>
      </c>
      <c r="I5394" s="2" t="s">
        <v>3826</v>
      </c>
      <c r="J5394" s="2" t="s">
        <v>3827</v>
      </c>
      <c r="L5394" s="2" t="s">
        <v>25304</v>
      </c>
      <c r="M5394" s="2" t="s">
        <v>9921</v>
      </c>
      <c r="N5394" s="2" t="s">
        <v>26602</v>
      </c>
      <c r="O5394" s="2" t="s">
        <v>26603</v>
      </c>
      <c r="P5394" s="2" t="s">
        <v>869</v>
      </c>
    </row>
    <row r="5395" ht="15.75" customHeight="1">
      <c r="F5395" s="2" t="s">
        <v>677</v>
      </c>
      <c r="H5395" s="2" t="s">
        <v>26604</v>
      </c>
      <c r="I5395" s="2" t="s">
        <v>3841</v>
      </c>
      <c r="J5395" s="2" t="s">
        <v>3842</v>
      </c>
      <c r="L5395" s="2" t="s">
        <v>25304</v>
      </c>
      <c r="M5395" s="2" t="s">
        <v>26605</v>
      </c>
      <c r="N5395" s="2" t="s">
        <v>26606</v>
      </c>
      <c r="O5395" s="2" t="s">
        <v>869</v>
      </c>
      <c r="P5395" s="2" t="s">
        <v>870</v>
      </c>
    </row>
    <row r="5396" ht="15.75" customHeight="1">
      <c r="H5396" s="2" t="s">
        <v>26607</v>
      </c>
      <c r="I5396" s="2" t="s">
        <v>20685</v>
      </c>
      <c r="J5396" s="2" t="s">
        <v>20686</v>
      </c>
      <c r="K5396" s="2" t="s">
        <v>958</v>
      </c>
      <c r="L5396" s="2" t="s">
        <v>25304</v>
      </c>
      <c r="M5396" s="2" t="s">
        <v>26608</v>
      </c>
      <c r="N5396" s="2" t="s">
        <v>26609</v>
      </c>
      <c r="O5396" s="2" t="s">
        <v>26610</v>
      </c>
      <c r="P5396" s="2" t="s">
        <v>869</v>
      </c>
    </row>
    <row r="5397" ht="15.75" customHeight="1">
      <c r="H5397" s="2" t="s">
        <v>26611</v>
      </c>
      <c r="I5397" s="2" t="s">
        <v>26612</v>
      </c>
      <c r="J5397" s="2" t="s">
        <v>26613</v>
      </c>
      <c r="K5397" s="2" t="s">
        <v>966</v>
      </c>
      <c r="L5397" s="2" t="s">
        <v>25304</v>
      </c>
      <c r="M5397" s="2" t="s">
        <v>26614</v>
      </c>
      <c r="N5397" s="2" t="s">
        <v>26615</v>
      </c>
      <c r="O5397" s="2" t="s">
        <v>869</v>
      </c>
      <c r="P5397" s="2" t="s">
        <v>870</v>
      </c>
    </row>
    <row r="5398" ht="15.75" customHeight="1">
      <c r="H5398" s="2" t="s">
        <v>26616</v>
      </c>
      <c r="I5398" s="2" t="s">
        <v>3885</v>
      </c>
      <c r="J5398" s="2" t="s">
        <v>3886</v>
      </c>
      <c r="K5398" s="2" t="s">
        <v>1027</v>
      </c>
      <c r="L5398" s="2" t="s">
        <v>25304</v>
      </c>
      <c r="M5398" s="2" t="s">
        <v>26617</v>
      </c>
      <c r="N5398" s="2" t="s">
        <v>26618</v>
      </c>
      <c r="O5398" s="2" t="s">
        <v>26619</v>
      </c>
      <c r="P5398" s="2" t="s">
        <v>869</v>
      </c>
    </row>
    <row r="5399" ht="15.75" customHeight="1">
      <c r="H5399" s="2" t="s">
        <v>26620</v>
      </c>
      <c r="I5399" s="2" t="s">
        <v>679</v>
      </c>
      <c r="J5399" s="2" t="s">
        <v>680</v>
      </c>
      <c r="K5399" s="2" t="s">
        <v>1163</v>
      </c>
      <c r="L5399" s="2" t="s">
        <v>26621</v>
      </c>
      <c r="M5399" s="2" t="s">
        <v>26622</v>
      </c>
      <c r="N5399" s="2" t="s">
        <v>26623</v>
      </c>
      <c r="O5399" s="2" t="s">
        <v>26624</v>
      </c>
      <c r="P5399" s="2" t="s">
        <v>869</v>
      </c>
    </row>
    <row r="5400" ht="15.75" customHeight="1">
      <c r="H5400" s="2" t="s">
        <v>26625</v>
      </c>
      <c r="I5400" s="2" t="s">
        <v>26626</v>
      </c>
      <c r="J5400" s="2" t="s">
        <v>26627</v>
      </c>
      <c r="K5400" s="2" t="s">
        <v>1193</v>
      </c>
      <c r="L5400" s="2" t="s">
        <v>25304</v>
      </c>
      <c r="M5400" s="2" t="s">
        <v>26628</v>
      </c>
      <c r="N5400" s="2" t="s">
        <v>26629</v>
      </c>
      <c r="O5400" s="2" t="s">
        <v>26630</v>
      </c>
      <c r="P5400" s="2" t="s">
        <v>869</v>
      </c>
    </row>
    <row r="5401" ht="15.75" customHeight="1">
      <c r="H5401" s="2" t="s">
        <v>26631</v>
      </c>
      <c r="I5401" s="2" t="s">
        <v>8871</v>
      </c>
      <c r="J5401" s="2" t="s">
        <v>8872</v>
      </c>
      <c r="K5401" s="2" t="s">
        <v>1049</v>
      </c>
      <c r="L5401" s="2" t="s">
        <v>25304</v>
      </c>
      <c r="M5401" s="2" t="s">
        <v>26632</v>
      </c>
      <c r="N5401" s="2" t="s">
        <v>26633</v>
      </c>
      <c r="O5401" s="2" t="s">
        <v>26634</v>
      </c>
      <c r="P5401" s="2" t="s">
        <v>869</v>
      </c>
    </row>
    <row r="5402" ht="15.75" customHeight="1">
      <c r="H5402" s="2" t="s">
        <v>26635</v>
      </c>
      <c r="I5402" s="2" t="s">
        <v>26636</v>
      </c>
      <c r="J5402" s="2" t="s">
        <v>26637</v>
      </c>
      <c r="K5402" s="2" t="s">
        <v>2594</v>
      </c>
      <c r="L5402" s="2" t="s">
        <v>25304</v>
      </c>
      <c r="M5402" s="2" t="s">
        <v>26638</v>
      </c>
      <c r="N5402" s="2" t="s">
        <v>26639</v>
      </c>
      <c r="O5402" s="2" t="s">
        <v>26640</v>
      </c>
      <c r="P5402" s="2" t="s">
        <v>869</v>
      </c>
    </row>
    <row r="5403" ht="15.75" customHeight="1">
      <c r="F5403" s="2" t="s">
        <v>22982</v>
      </c>
      <c r="H5403" s="2" t="s">
        <v>22982</v>
      </c>
      <c r="I5403" s="2" t="s">
        <v>26641</v>
      </c>
      <c r="J5403" s="2" t="s">
        <v>26642</v>
      </c>
    </row>
    <row r="5404" ht="15.75" customHeight="1">
      <c r="F5404" s="2" t="s">
        <v>694</v>
      </c>
      <c r="H5404" s="2" t="s">
        <v>26643</v>
      </c>
      <c r="I5404" s="2" t="s">
        <v>26644</v>
      </c>
      <c r="J5404" s="2" t="s">
        <v>26645</v>
      </c>
      <c r="L5404" s="2" t="s">
        <v>25304</v>
      </c>
      <c r="M5404" s="2" t="s">
        <v>26646</v>
      </c>
      <c r="N5404" s="2" t="s">
        <v>26647</v>
      </c>
      <c r="O5404" s="2" t="s">
        <v>869</v>
      </c>
      <c r="P5404" s="2" t="s">
        <v>870</v>
      </c>
    </row>
    <row r="5405" ht="15.75" customHeight="1">
      <c r="H5405" s="2" t="s">
        <v>26648</v>
      </c>
      <c r="I5405" s="2" t="s">
        <v>5650</v>
      </c>
      <c r="J5405" s="2" t="s">
        <v>5651</v>
      </c>
      <c r="K5405" s="2" t="s">
        <v>1145</v>
      </c>
      <c r="L5405" s="2" t="s">
        <v>25304</v>
      </c>
      <c r="M5405" s="2" t="s">
        <v>26649</v>
      </c>
      <c r="N5405" s="2" t="s">
        <v>26650</v>
      </c>
      <c r="O5405" s="2" t="s">
        <v>869</v>
      </c>
      <c r="P5405" s="2" t="s">
        <v>870</v>
      </c>
    </row>
    <row r="5406" ht="15.75" customHeight="1">
      <c r="H5406" s="2" t="s">
        <v>26651</v>
      </c>
      <c r="I5406" s="2" t="s">
        <v>696</v>
      </c>
      <c r="J5406" s="2" t="s">
        <v>697</v>
      </c>
      <c r="K5406" s="2" t="s">
        <v>1567</v>
      </c>
      <c r="L5406" s="2" t="s">
        <v>25304</v>
      </c>
      <c r="M5406" s="2" t="s">
        <v>26652</v>
      </c>
      <c r="N5406" s="2" t="s">
        <v>26653</v>
      </c>
      <c r="O5406" s="2" t="s">
        <v>26654</v>
      </c>
      <c r="P5406" s="2" t="s">
        <v>869</v>
      </c>
    </row>
    <row r="5407" ht="15.75" customHeight="1">
      <c r="F5407" s="2" t="s">
        <v>3972</v>
      </c>
      <c r="H5407" s="2" t="s">
        <v>26655</v>
      </c>
      <c r="I5407" s="2" t="s">
        <v>4001</v>
      </c>
      <c r="J5407" s="2" t="s">
        <v>4002</v>
      </c>
      <c r="K5407" s="2" t="s">
        <v>966</v>
      </c>
      <c r="L5407" s="2" t="s">
        <v>25304</v>
      </c>
      <c r="M5407" s="2" t="s">
        <v>26656</v>
      </c>
      <c r="N5407" s="2" t="s">
        <v>26657</v>
      </c>
      <c r="O5407" s="2" t="s">
        <v>26658</v>
      </c>
      <c r="P5407" s="2" t="s">
        <v>869</v>
      </c>
    </row>
    <row r="5408" ht="15.75" customHeight="1">
      <c r="F5408" s="2" t="s">
        <v>703</v>
      </c>
      <c r="H5408" s="2" t="s">
        <v>26659</v>
      </c>
      <c r="I5408" s="2" t="s">
        <v>4011</v>
      </c>
      <c r="J5408" s="2" t="s">
        <v>4012</v>
      </c>
      <c r="K5408" s="2" t="s">
        <v>859</v>
      </c>
      <c r="L5408" s="2" t="s">
        <v>25304</v>
      </c>
      <c r="M5408" s="2" t="s">
        <v>26660</v>
      </c>
      <c r="N5408" s="2" t="s">
        <v>26661</v>
      </c>
      <c r="O5408" s="2" t="s">
        <v>26662</v>
      </c>
      <c r="P5408" s="2" t="s">
        <v>869</v>
      </c>
    </row>
    <row r="5409" ht="15.75" customHeight="1">
      <c r="H5409" s="2" t="s">
        <v>26663</v>
      </c>
      <c r="I5409" s="2" t="s">
        <v>26664</v>
      </c>
      <c r="J5409" s="2" t="s">
        <v>26665</v>
      </c>
      <c r="K5409" s="2" t="s">
        <v>958</v>
      </c>
      <c r="L5409" s="2" t="s">
        <v>25304</v>
      </c>
      <c r="M5409" s="2" t="s">
        <v>26666</v>
      </c>
      <c r="N5409" s="2" t="s">
        <v>26667</v>
      </c>
      <c r="O5409" s="2" t="s">
        <v>869</v>
      </c>
      <c r="P5409" s="2" t="s">
        <v>870</v>
      </c>
    </row>
    <row r="5410" ht="15.75" customHeight="1">
      <c r="H5410" s="2" t="s">
        <v>26668</v>
      </c>
      <c r="I5410" s="2" t="s">
        <v>6869</v>
      </c>
      <c r="J5410" s="2" t="s">
        <v>6870</v>
      </c>
      <c r="K5410" s="2" t="s">
        <v>970</v>
      </c>
      <c r="L5410" s="2" t="s">
        <v>25304</v>
      </c>
      <c r="M5410" s="2" t="s">
        <v>26669</v>
      </c>
      <c r="N5410" s="2" t="s">
        <v>26670</v>
      </c>
      <c r="O5410" s="2" t="s">
        <v>26671</v>
      </c>
      <c r="P5410" s="2" t="s">
        <v>869</v>
      </c>
    </row>
    <row r="5411" ht="15.75" customHeight="1">
      <c r="H5411" s="2" t="s">
        <v>26672</v>
      </c>
      <c r="I5411" s="2" t="s">
        <v>713</v>
      </c>
      <c r="J5411" s="2" t="s">
        <v>714</v>
      </c>
      <c r="K5411" s="2" t="s">
        <v>1567</v>
      </c>
      <c r="L5411" s="2" t="s">
        <v>26673</v>
      </c>
      <c r="M5411" s="2" t="s">
        <v>26674</v>
      </c>
      <c r="N5411" s="2" t="s">
        <v>26675</v>
      </c>
      <c r="O5411" s="2" t="s">
        <v>26676</v>
      </c>
      <c r="P5411" s="2" t="s">
        <v>869</v>
      </c>
    </row>
    <row r="5412" ht="15.75" customHeight="1">
      <c r="H5412" s="2" t="s">
        <v>26677</v>
      </c>
      <c r="I5412" s="2" t="s">
        <v>14122</v>
      </c>
      <c r="J5412" s="2" t="s">
        <v>14123</v>
      </c>
      <c r="L5412" s="2" t="s">
        <v>25304</v>
      </c>
      <c r="M5412" s="2" t="s">
        <v>26678</v>
      </c>
      <c r="N5412" s="2" t="s">
        <v>26679</v>
      </c>
      <c r="O5412" s="2" t="s">
        <v>869</v>
      </c>
      <c r="P5412" s="2" t="s">
        <v>870</v>
      </c>
    </row>
    <row r="5413" ht="15.75" customHeight="1">
      <c r="H5413" s="2" t="s">
        <v>26680</v>
      </c>
      <c r="I5413" s="2" t="s">
        <v>26681</v>
      </c>
      <c r="J5413" s="2" t="s">
        <v>26682</v>
      </c>
      <c r="K5413" s="2" t="s">
        <v>16586</v>
      </c>
      <c r="L5413" s="2" t="s">
        <v>25304</v>
      </c>
      <c r="M5413" s="2" t="s">
        <v>26683</v>
      </c>
      <c r="N5413" s="2" t="s">
        <v>26684</v>
      </c>
      <c r="O5413" s="2" t="s">
        <v>26685</v>
      </c>
      <c r="P5413" s="2" t="s">
        <v>869</v>
      </c>
    </row>
    <row r="5414" ht="15.75" customHeight="1">
      <c r="H5414" s="2" t="s">
        <v>26686</v>
      </c>
      <c r="I5414" s="2" t="s">
        <v>4065</v>
      </c>
      <c r="J5414" s="2" t="s">
        <v>4066</v>
      </c>
      <c r="K5414" s="2" t="s">
        <v>1157</v>
      </c>
      <c r="L5414" s="2" t="s">
        <v>25304</v>
      </c>
      <c r="M5414" s="2" t="s">
        <v>26687</v>
      </c>
      <c r="N5414" s="2" t="s">
        <v>26688</v>
      </c>
      <c r="O5414" s="2" t="s">
        <v>26689</v>
      </c>
      <c r="P5414" s="2" t="s">
        <v>869</v>
      </c>
    </row>
    <row r="5415" ht="15.75" customHeight="1">
      <c r="F5415" s="2" t="s">
        <v>728</v>
      </c>
      <c r="H5415" s="2" t="s">
        <v>26690</v>
      </c>
      <c r="I5415" s="2" t="s">
        <v>26691</v>
      </c>
      <c r="J5415" s="2" t="s">
        <v>26692</v>
      </c>
      <c r="K5415" s="2" t="s">
        <v>1467</v>
      </c>
      <c r="L5415" s="2" t="s">
        <v>25304</v>
      </c>
      <c r="M5415" s="2" t="s">
        <v>26693</v>
      </c>
      <c r="N5415" s="2" t="s">
        <v>26694</v>
      </c>
      <c r="O5415" s="2" t="s">
        <v>26695</v>
      </c>
      <c r="P5415" s="2" t="s">
        <v>869</v>
      </c>
    </row>
    <row r="5416" ht="15.75" customHeight="1">
      <c r="H5416" s="2" t="s">
        <v>26696</v>
      </c>
      <c r="I5416" s="2" t="s">
        <v>10316</v>
      </c>
      <c r="J5416" s="2" t="s">
        <v>10317</v>
      </c>
      <c r="K5416" s="2" t="s">
        <v>958</v>
      </c>
      <c r="L5416" s="2" t="s">
        <v>25304</v>
      </c>
      <c r="M5416" s="2" t="s">
        <v>26697</v>
      </c>
      <c r="N5416" s="2" t="s">
        <v>26698</v>
      </c>
      <c r="O5416" s="2" t="s">
        <v>26699</v>
      </c>
      <c r="P5416" s="2" t="s">
        <v>869</v>
      </c>
    </row>
    <row r="5417" ht="15.75" customHeight="1">
      <c r="H5417" s="2" t="s">
        <v>26700</v>
      </c>
      <c r="I5417" s="2" t="s">
        <v>730</v>
      </c>
      <c r="J5417" s="2" t="s">
        <v>731</v>
      </c>
      <c r="K5417" s="2" t="s">
        <v>886</v>
      </c>
      <c r="L5417" s="2" t="s">
        <v>25304</v>
      </c>
      <c r="M5417" s="2" t="s">
        <v>26701</v>
      </c>
      <c r="N5417" s="2" t="s">
        <v>26702</v>
      </c>
      <c r="O5417" s="2" t="s">
        <v>869</v>
      </c>
      <c r="P5417" s="2" t="s">
        <v>870</v>
      </c>
    </row>
    <row r="5418" ht="15.75" customHeight="1">
      <c r="H5418" s="2" t="s">
        <v>26703</v>
      </c>
      <c r="I5418" s="2" t="s">
        <v>4096</v>
      </c>
      <c r="J5418" s="2" t="s">
        <v>4097</v>
      </c>
      <c r="K5418" s="2" t="s">
        <v>896</v>
      </c>
      <c r="L5418" s="2" t="s">
        <v>25304</v>
      </c>
      <c r="M5418" s="2" t="s">
        <v>26704</v>
      </c>
      <c r="N5418" s="2" t="s">
        <v>26705</v>
      </c>
      <c r="O5418" s="2" t="s">
        <v>26706</v>
      </c>
      <c r="P5418" s="2" t="s">
        <v>869</v>
      </c>
    </row>
    <row r="5419" ht="15.75" customHeight="1">
      <c r="H5419" s="2" t="s">
        <v>26707</v>
      </c>
      <c r="I5419" s="2" t="s">
        <v>10363</v>
      </c>
      <c r="J5419" s="2" t="s">
        <v>10364</v>
      </c>
      <c r="K5419" s="2" t="s">
        <v>283</v>
      </c>
      <c r="L5419" s="2" t="s">
        <v>25304</v>
      </c>
      <c r="M5419" s="2" t="s">
        <v>26708</v>
      </c>
      <c r="N5419" s="2" t="s">
        <v>26709</v>
      </c>
      <c r="O5419" s="2" t="s">
        <v>26710</v>
      </c>
      <c r="P5419" s="2" t="s">
        <v>869</v>
      </c>
    </row>
    <row r="5420" ht="15.75" customHeight="1">
      <c r="F5420" s="2" t="s">
        <v>4115</v>
      </c>
      <c r="H5420" s="2" t="s">
        <v>26711</v>
      </c>
      <c r="I5420" s="2" t="s">
        <v>26712</v>
      </c>
      <c r="J5420" s="2" t="s">
        <v>26713</v>
      </c>
      <c r="K5420" s="2" t="s">
        <v>896</v>
      </c>
      <c r="L5420" s="2" t="s">
        <v>25304</v>
      </c>
      <c r="M5420" s="2" t="s">
        <v>26714</v>
      </c>
      <c r="N5420" s="2" t="s">
        <v>26715</v>
      </c>
      <c r="O5420" s="2" t="s">
        <v>26716</v>
      </c>
      <c r="P5420" s="2" t="s">
        <v>869</v>
      </c>
    </row>
    <row r="5421" ht="15.75" customHeight="1">
      <c r="H5421" s="2" t="s">
        <v>26717</v>
      </c>
      <c r="I5421" s="2" t="s">
        <v>4147</v>
      </c>
      <c r="J5421" s="2" t="s">
        <v>4148</v>
      </c>
      <c r="K5421" s="2" t="s">
        <v>1145</v>
      </c>
      <c r="L5421" s="2" t="s">
        <v>25304</v>
      </c>
      <c r="M5421" s="2" t="s">
        <v>26718</v>
      </c>
      <c r="N5421" s="2" t="s">
        <v>26719</v>
      </c>
      <c r="O5421" s="2" t="s">
        <v>26720</v>
      </c>
      <c r="P5421" s="2" t="s">
        <v>869</v>
      </c>
    </row>
    <row r="5422" ht="15.75" customHeight="1">
      <c r="F5422" s="2" t="s">
        <v>4180</v>
      </c>
      <c r="H5422" s="2" t="s">
        <v>26721</v>
      </c>
      <c r="I5422" s="2" t="s">
        <v>10476</v>
      </c>
      <c r="J5422" s="2" t="s">
        <v>10477</v>
      </c>
      <c r="K5422" s="2" t="s">
        <v>880</v>
      </c>
      <c r="L5422" s="2" t="s">
        <v>25304</v>
      </c>
      <c r="M5422" s="2" t="s">
        <v>26722</v>
      </c>
      <c r="N5422" s="2" t="s">
        <v>26723</v>
      </c>
      <c r="O5422" s="2" t="s">
        <v>869</v>
      </c>
      <c r="P5422" s="2" t="s">
        <v>870</v>
      </c>
    </row>
    <row r="5423" ht="15.75" customHeight="1">
      <c r="H5423" s="2" t="s">
        <v>26724</v>
      </c>
      <c r="I5423" s="2" t="s">
        <v>4215</v>
      </c>
      <c r="J5423" s="2" t="s">
        <v>4216</v>
      </c>
      <c r="K5423" s="2" t="s">
        <v>970</v>
      </c>
      <c r="L5423" s="2" t="s">
        <v>25304</v>
      </c>
      <c r="M5423" s="2" t="s">
        <v>26725</v>
      </c>
      <c r="N5423" s="2" t="s">
        <v>26726</v>
      </c>
      <c r="O5423" s="2" t="s">
        <v>26727</v>
      </c>
      <c r="P5423" s="2" t="s">
        <v>869</v>
      </c>
    </row>
    <row r="5424" ht="15.75" customHeight="1">
      <c r="F5424" s="2" t="s">
        <v>737</v>
      </c>
      <c r="H5424" s="2" t="s">
        <v>26728</v>
      </c>
      <c r="I5424" s="2" t="s">
        <v>4237</v>
      </c>
      <c r="J5424" s="2" t="s">
        <v>4238</v>
      </c>
      <c r="K5424" s="2" t="s">
        <v>970</v>
      </c>
      <c r="L5424" s="2" t="s">
        <v>25304</v>
      </c>
      <c r="M5424" s="2" t="s">
        <v>26729</v>
      </c>
      <c r="N5424" s="2" t="s">
        <v>26730</v>
      </c>
      <c r="O5424" s="2" t="s">
        <v>26731</v>
      </c>
      <c r="P5424" s="2" t="s">
        <v>869</v>
      </c>
    </row>
    <row r="5425" ht="15.75" customHeight="1">
      <c r="H5425" s="2" t="s">
        <v>26732</v>
      </c>
      <c r="I5425" s="2" t="s">
        <v>739</v>
      </c>
      <c r="J5425" s="2" t="s">
        <v>740</v>
      </c>
      <c r="K5425" s="2" t="s">
        <v>1551</v>
      </c>
      <c r="L5425" s="2" t="s">
        <v>25304</v>
      </c>
      <c r="M5425" s="2" t="s">
        <v>26733</v>
      </c>
      <c r="N5425" s="2" t="s">
        <v>26734</v>
      </c>
      <c r="O5425" s="2" t="s">
        <v>26735</v>
      </c>
      <c r="P5425" s="2" t="s">
        <v>869</v>
      </c>
    </row>
    <row r="5426" ht="15.75" customHeight="1">
      <c r="H5426" s="2" t="s">
        <v>26736</v>
      </c>
      <c r="I5426" s="2" t="s">
        <v>26737</v>
      </c>
      <c r="J5426" s="2" t="s">
        <v>26738</v>
      </c>
      <c r="L5426" s="2" t="s">
        <v>25304</v>
      </c>
      <c r="M5426" s="2" t="s">
        <v>26739</v>
      </c>
      <c r="N5426" s="2" t="s">
        <v>26740</v>
      </c>
      <c r="O5426" s="2" t="s">
        <v>869</v>
      </c>
      <c r="P5426" s="2" t="s">
        <v>870</v>
      </c>
    </row>
    <row r="5427" ht="15.75" customHeight="1">
      <c r="F5427" s="2" t="s">
        <v>746</v>
      </c>
      <c r="H5427" s="2" t="s">
        <v>26741</v>
      </c>
      <c r="I5427" s="2" t="s">
        <v>26742</v>
      </c>
      <c r="J5427" s="2" t="s">
        <v>26743</v>
      </c>
      <c r="K5427" s="2" t="s">
        <v>859</v>
      </c>
      <c r="L5427" s="2" t="s">
        <v>25304</v>
      </c>
      <c r="M5427" s="2" t="s">
        <v>26744</v>
      </c>
      <c r="N5427" s="2" t="s">
        <v>26745</v>
      </c>
      <c r="O5427" s="2" t="s">
        <v>26746</v>
      </c>
      <c r="P5427" s="2" t="s">
        <v>869</v>
      </c>
    </row>
    <row r="5428" ht="15.75" customHeight="1">
      <c r="H5428" s="2" t="s">
        <v>26747</v>
      </c>
      <c r="I5428" s="2" t="s">
        <v>4260</v>
      </c>
      <c r="J5428" s="2" t="s">
        <v>4261</v>
      </c>
      <c r="K5428" s="2" t="s">
        <v>280</v>
      </c>
      <c r="L5428" s="2" t="s">
        <v>25304</v>
      </c>
      <c r="M5428" s="2" t="s">
        <v>26748</v>
      </c>
      <c r="N5428" s="2" t="s">
        <v>26749</v>
      </c>
      <c r="O5428" s="2" t="s">
        <v>869</v>
      </c>
      <c r="P5428" s="2" t="s">
        <v>870</v>
      </c>
    </row>
    <row r="5429" ht="15.75" customHeight="1">
      <c r="H5429" s="2" t="s">
        <v>26750</v>
      </c>
      <c r="I5429" s="2" t="s">
        <v>4282</v>
      </c>
      <c r="J5429" s="2" t="s">
        <v>4283</v>
      </c>
      <c r="K5429" s="2" t="s">
        <v>886</v>
      </c>
      <c r="L5429" s="2" t="s">
        <v>25304</v>
      </c>
      <c r="M5429" s="2" t="s">
        <v>26751</v>
      </c>
      <c r="N5429" s="2" t="s">
        <v>26752</v>
      </c>
      <c r="O5429" s="2" t="s">
        <v>26753</v>
      </c>
      <c r="P5429" s="2" t="s">
        <v>869</v>
      </c>
    </row>
    <row r="5430" ht="15.75" customHeight="1">
      <c r="H5430" s="2" t="s">
        <v>26754</v>
      </c>
      <c r="I5430" s="2" t="s">
        <v>4293</v>
      </c>
      <c r="J5430" s="2" t="s">
        <v>4294</v>
      </c>
      <c r="K5430" s="2" t="s">
        <v>1551</v>
      </c>
      <c r="L5430" s="2" t="s">
        <v>25304</v>
      </c>
      <c r="M5430" s="2" t="s">
        <v>26755</v>
      </c>
      <c r="N5430" s="2" t="s">
        <v>26756</v>
      </c>
      <c r="O5430" s="2" t="s">
        <v>26757</v>
      </c>
      <c r="P5430" s="2" t="s">
        <v>869</v>
      </c>
    </row>
    <row r="5431" ht="15.75" customHeight="1">
      <c r="H5431" s="2" t="s">
        <v>26758</v>
      </c>
      <c r="I5431" s="2" t="s">
        <v>4323</v>
      </c>
      <c r="J5431" s="2" t="s">
        <v>4324</v>
      </c>
      <c r="K5431" s="2" t="s">
        <v>1325</v>
      </c>
      <c r="L5431" s="2" t="s">
        <v>25304</v>
      </c>
      <c r="M5431" s="2" t="s">
        <v>26759</v>
      </c>
      <c r="N5431" s="2" t="s">
        <v>26760</v>
      </c>
      <c r="O5431" s="2" t="s">
        <v>26761</v>
      </c>
      <c r="P5431" s="2" t="s">
        <v>869</v>
      </c>
    </row>
    <row r="5432" ht="15.75" customHeight="1">
      <c r="H5432" s="2" t="s">
        <v>26762</v>
      </c>
      <c r="I5432" s="2" t="s">
        <v>26763</v>
      </c>
      <c r="J5432" s="2" t="s">
        <v>26764</v>
      </c>
      <c r="K5432" s="2" t="s">
        <v>4436</v>
      </c>
      <c r="L5432" s="2" t="s">
        <v>25304</v>
      </c>
      <c r="M5432" s="2" t="s">
        <v>26765</v>
      </c>
      <c r="N5432" s="2" t="s">
        <v>26766</v>
      </c>
      <c r="O5432" s="2" t="s">
        <v>26767</v>
      </c>
      <c r="P5432" s="2" t="s">
        <v>869</v>
      </c>
    </row>
    <row r="5433" ht="15.75" customHeight="1">
      <c r="H5433" s="2" t="s">
        <v>26768</v>
      </c>
      <c r="I5433" s="2" t="s">
        <v>26769</v>
      </c>
      <c r="J5433" s="2" t="s">
        <v>26770</v>
      </c>
      <c r="K5433" s="2" t="s">
        <v>16606</v>
      </c>
      <c r="L5433" s="2" t="s">
        <v>25304</v>
      </c>
      <c r="M5433" s="2" t="s">
        <v>26771</v>
      </c>
      <c r="N5433" s="2" t="s">
        <v>26772</v>
      </c>
      <c r="O5433" s="2" t="s">
        <v>26773</v>
      </c>
      <c r="P5433" s="2" t="s">
        <v>869</v>
      </c>
    </row>
    <row r="5434" ht="15.75" customHeight="1">
      <c r="F5434" s="2" t="s">
        <v>4353</v>
      </c>
      <c r="H5434" s="2" t="s">
        <v>26774</v>
      </c>
      <c r="I5434" s="2" t="s">
        <v>26775</v>
      </c>
      <c r="J5434" s="2" t="s">
        <v>26776</v>
      </c>
      <c r="K5434" s="2" t="s">
        <v>1362</v>
      </c>
      <c r="L5434" s="2" t="s">
        <v>25304</v>
      </c>
      <c r="M5434" s="2" t="s">
        <v>26777</v>
      </c>
      <c r="N5434" s="2" t="s">
        <v>26778</v>
      </c>
      <c r="O5434" s="2" t="s">
        <v>26779</v>
      </c>
      <c r="P5434" s="2" t="s">
        <v>869</v>
      </c>
    </row>
    <row r="5435" ht="15.75" customHeight="1">
      <c r="H5435" s="2" t="s">
        <v>26780</v>
      </c>
      <c r="I5435" s="2" t="s">
        <v>4395</v>
      </c>
      <c r="J5435" s="2" t="s">
        <v>4396</v>
      </c>
      <c r="K5435" s="2" t="s">
        <v>1141</v>
      </c>
      <c r="L5435" s="2" t="s">
        <v>25304</v>
      </c>
      <c r="M5435" s="2" t="s">
        <v>26781</v>
      </c>
      <c r="N5435" s="2" t="s">
        <v>26782</v>
      </c>
      <c r="O5435" s="2" t="s">
        <v>869</v>
      </c>
      <c r="P5435" s="2" t="s">
        <v>870</v>
      </c>
    </row>
    <row r="5436" ht="15.75" customHeight="1">
      <c r="H5436" s="2" t="s">
        <v>26783</v>
      </c>
      <c r="I5436" s="2" t="s">
        <v>26784</v>
      </c>
      <c r="J5436" s="2" t="s">
        <v>26785</v>
      </c>
      <c r="K5436" s="2" t="s">
        <v>1418</v>
      </c>
      <c r="L5436" s="2" t="s">
        <v>25304</v>
      </c>
      <c r="M5436" s="2" t="s">
        <v>26786</v>
      </c>
      <c r="N5436" s="2" t="s">
        <v>26787</v>
      </c>
      <c r="O5436" s="2" t="s">
        <v>26788</v>
      </c>
      <c r="P5436" s="2" t="s">
        <v>869</v>
      </c>
    </row>
    <row r="5437" ht="15.75" customHeight="1">
      <c r="H5437" s="2" t="s">
        <v>26789</v>
      </c>
      <c r="I5437" s="2" t="s">
        <v>6072</v>
      </c>
      <c r="J5437" s="2" t="s">
        <v>6073</v>
      </c>
      <c r="K5437" s="2" t="s">
        <v>1433</v>
      </c>
      <c r="L5437" s="2" t="s">
        <v>25304</v>
      </c>
      <c r="M5437" s="2" t="s">
        <v>26790</v>
      </c>
      <c r="N5437" s="2" t="s">
        <v>26791</v>
      </c>
      <c r="O5437" s="2" t="s">
        <v>26792</v>
      </c>
      <c r="P5437" s="2" t="s">
        <v>869</v>
      </c>
    </row>
    <row r="5438" ht="15.75" customHeight="1">
      <c r="H5438" s="2" t="s">
        <v>26793</v>
      </c>
      <c r="I5438" s="2" t="s">
        <v>26794</v>
      </c>
      <c r="J5438" s="2" t="s">
        <v>26795</v>
      </c>
      <c r="K5438" s="2" t="s">
        <v>1187</v>
      </c>
      <c r="L5438" s="2" t="s">
        <v>25304</v>
      </c>
      <c r="M5438" s="2" t="s">
        <v>26796</v>
      </c>
      <c r="N5438" s="2" t="s">
        <v>26797</v>
      </c>
      <c r="O5438" s="2" t="s">
        <v>26798</v>
      </c>
      <c r="P5438" s="2" t="s">
        <v>869</v>
      </c>
    </row>
    <row r="5439" ht="15.75" customHeight="1">
      <c r="F5439" s="2" t="s">
        <v>4462</v>
      </c>
      <c r="H5439" s="2" t="s">
        <v>26799</v>
      </c>
      <c r="I5439" s="2" t="s">
        <v>4477</v>
      </c>
      <c r="J5439" s="2" t="s">
        <v>4478</v>
      </c>
      <c r="K5439" s="2" t="s">
        <v>996</v>
      </c>
      <c r="L5439" s="2" t="s">
        <v>25304</v>
      </c>
      <c r="M5439" s="2" t="s">
        <v>26800</v>
      </c>
      <c r="N5439" s="2" t="s">
        <v>26801</v>
      </c>
      <c r="O5439" s="2" t="s">
        <v>26802</v>
      </c>
      <c r="P5439" s="2" t="s">
        <v>869</v>
      </c>
    </row>
    <row r="5440" ht="15.75" customHeight="1">
      <c r="F5440" s="2" t="s">
        <v>4491</v>
      </c>
      <c r="H5440" s="2" t="s">
        <v>26803</v>
      </c>
      <c r="I5440" s="2" t="s">
        <v>4503</v>
      </c>
      <c r="J5440" s="2" t="s">
        <v>4504</v>
      </c>
      <c r="L5440" s="2" t="s">
        <v>25304</v>
      </c>
      <c r="M5440" s="2" t="s">
        <v>26804</v>
      </c>
      <c r="N5440" s="2" t="s">
        <v>26805</v>
      </c>
      <c r="O5440" s="2" t="s">
        <v>26806</v>
      </c>
      <c r="P5440" s="2" t="s">
        <v>869</v>
      </c>
    </row>
    <row r="5441" ht="15.75" customHeight="1">
      <c r="H5441" s="2" t="s">
        <v>26807</v>
      </c>
      <c r="I5441" s="2" t="s">
        <v>26808</v>
      </c>
      <c r="J5441" s="2" t="s">
        <v>26809</v>
      </c>
      <c r="K5441" s="2" t="s">
        <v>1297</v>
      </c>
      <c r="L5441" s="2" t="s">
        <v>25304</v>
      </c>
      <c r="M5441" s="2" t="s">
        <v>26810</v>
      </c>
      <c r="N5441" s="2" t="s">
        <v>26811</v>
      </c>
      <c r="O5441" s="2" t="s">
        <v>26812</v>
      </c>
      <c r="P5441" s="2" t="s">
        <v>869</v>
      </c>
    </row>
    <row r="5442" ht="15.75" customHeight="1">
      <c r="H5442" s="2" t="s">
        <v>26813</v>
      </c>
      <c r="I5442" s="2" t="s">
        <v>10786</v>
      </c>
      <c r="J5442" s="2" t="s">
        <v>10787</v>
      </c>
      <c r="K5442" s="2" t="s">
        <v>1145</v>
      </c>
      <c r="L5442" s="2" t="s">
        <v>25304</v>
      </c>
      <c r="M5442" s="2" t="s">
        <v>15649</v>
      </c>
      <c r="N5442" s="2" t="s">
        <v>26814</v>
      </c>
      <c r="O5442" s="2" t="s">
        <v>26815</v>
      </c>
      <c r="P5442" s="2" t="s">
        <v>869</v>
      </c>
    </row>
    <row r="5443" ht="15.75" customHeight="1">
      <c r="H5443" s="2" t="s">
        <v>26816</v>
      </c>
      <c r="I5443" s="2" t="s">
        <v>10799</v>
      </c>
      <c r="J5443" s="2" t="s">
        <v>10800</v>
      </c>
      <c r="L5443" s="2" t="s">
        <v>25304</v>
      </c>
      <c r="M5443" s="2" t="s">
        <v>26817</v>
      </c>
      <c r="N5443" s="2" t="s">
        <v>869</v>
      </c>
      <c r="O5443" s="2" t="s">
        <v>870</v>
      </c>
    </row>
    <row r="5444" ht="15.75" customHeight="1">
      <c r="F5444" s="2" t="s">
        <v>4544</v>
      </c>
      <c r="H5444" s="2" t="s">
        <v>26818</v>
      </c>
      <c r="I5444" s="2" t="s">
        <v>26819</v>
      </c>
      <c r="J5444" s="2" t="s">
        <v>26819</v>
      </c>
      <c r="K5444" s="2" t="s">
        <v>947</v>
      </c>
    </row>
    <row r="5445" ht="15.75" customHeight="1">
      <c r="H5445" s="2" t="s">
        <v>26820</v>
      </c>
      <c r="I5445" s="2" t="s">
        <v>4556</v>
      </c>
      <c r="J5445" s="2" t="s">
        <v>4557</v>
      </c>
      <c r="K5445" s="2" t="s">
        <v>963</v>
      </c>
      <c r="L5445" s="2" t="s">
        <v>25304</v>
      </c>
      <c r="M5445" s="2" t="s">
        <v>10888</v>
      </c>
      <c r="N5445" s="2" t="s">
        <v>26821</v>
      </c>
      <c r="O5445" s="2" t="s">
        <v>26822</v>
      </c>
      <c r="P5445" s="2" t="s">
        <v>869</v>
      </c>
    </row>
    <row r="5446" ht="15.75" customHeight="1">
      <c r="H5446" s="2" t="s">
        <v>26823</v>
      </c>
      <c r="I5446" s="2" t="s">
        <v>10609</v>
      </c>
      <c r="J5446" s="2" t="s">
        <v>10610</v>
      </c>
      <c r="K5446" s="2" t="s">
        <v>1297</v>
      </c>
      <c r="L5446" s="2" t="s">
        <v>25304</v>
      </c>
      <c r="M5446" s="2" t="s">
        <v>26824</v>
      </c>
      <c r="N5446" s="2" t="s">
        <v>26825</v>
      </c>
      <c r="O5446" s="2" t="s">
        <v>869</v>
      </c>
      <c r="P5446" s="2" t="s">
        <v>870</v>
      </c>
    </row>
    <row r="5447" ht="15.75" customHeight="1">
      <c r="H5447" s="2" t="s">
        <v>26826</v>
      </c>
      <c r="I5447" s="2" t="s">
        <v>17570</v>
      </c>
      <c r="J5447" s="2" t="s">
        <v>17571</v>
      </c>
      <c r="K5447" s="2" t="s">
        <v>890</v>
      </c>
      <c r="L5447" s="2" t="s">
        <v>25304</v>
      </c>
      <c r="M5447" s="2" t="s">
        <v>26827</v>
      </c>
      <c r="N5447" s="2" t="s">
        <v>26828</v>
      </c>
      <c r="O5447" s="2" t="s">
        <v>26829</v>
      </c>
      <c r="P5447" s="2" t="s">
        <v>869</v>
      </c>
    </row>
    <row r="5448" ht="15.75" customHeight="1">
      <c r="H5448" s="2" t="s">
        <v>26830</v>
      </c>
      <c r="I5448" s="2" t="s">
        <v>10908</v>
      </c>
      <c r="J5448" s="2" t="s">
        <v>10909</v>
      </c>
      <c r="K5448" s="2" t="s">
        <v>1128</v>
      </c>
      <c r="L5448" s="2" t="s">
        <v>25304</v>
      </c>
      <c r="M5448" s="2" t="s">
        <v>26831</v>
      </c>
      <c r="N5448" s="2" t="s">
        <v>26832</v>
      </c>
      <c r="O5448" s="2" t="s">
        <v>26833</v>
      </c>
      <c r="P5448" s="2" t="s">
        <v>869</v>
      </c>
    </row>
    <row r="5449" ht="15.75" customHeight="1">
      <c r="H5449" s="2" t="s">
        <v>26834</v>
      </c>
      <c r="I5449" s="2" t="s">
        <v>26835</v>
      </c>
      <c r="J5449" s="2" t="s">
        <v>26836</v>
      </c>
      <c r="K5449" s="2" t="s">
        <v>896</v>
      </c>
      <c r="L5449" s="2" t="s">
        <v>25304</v>
      </c>
      <c r="M5449" s="2" t="s">
        <v>26837</v>
      </c>
      <c r="N5449" s="2" t="s">
        <v>26838</v>
      </c>
      <c r="O5449" s="2" t="s">
        <v>26839</v>
      </c>
      <c r="P5449" s="2" t="s">
        <v>869</v>
      </c>
    </row>
    <row r="5450" ht="15.75" customHeight="1">
      <c r="F5450" s="2" t="s">
        <v>4576</v>
      </c>
      <c r="H5450" s="2" t="s">
        <v>26840</v>
      </c>
      <c r="I5450" s="2" t="s">
        <v>4584</v>
      </c>
      <c r="J5450" s="2" t="s">
        <v>4585</v>
      </c>
      <c r="K5450" s="2" t="s">
        <v>22974</v>
      </c>
      <c r="L5450" s="2" t="s">
        <v>25304</v>
      </c>
      <c r="M5450" s="2" t="s">
        <v>10996</v>
      </c>
      <c r="N5450" s="2" t="s">
        <v>26841</v>
      </c>
      <c r="O5450" s="2" t="s">
        <v>26842</v>
      </c>
      <c r="P5450" s="2" t="s">
        <v>869</v>
      </c>
    </row>
    <row r="5451" ht="15.75" customHeight="1">
      <c r="H5451" s="2" t="s">
        <v>26843</v>
      </c>
      <c r="I5451" s="2" t="s">
        <v>4589</v>
      </c>
      <c r="J5451" s="2" t="s">
        <v>4590</v>
      </c>
      <c r="K5451" s="2" t="s">
        <v>970</v>
      </c>
      <c r="L5451" s="2" t="s">
        <v>25304</v>
      </c>
      <c r="M5451" s="2" t="s">
        <v>26844</v>
      </c>
      <c r="N5451" s="2" t="s">
        <v>26845</v>
      </c>
      <c r="O5451" s="2" t="s">
        <v>26846</v>
      </c>
      <c r="P5451" s="2" t="s">
        <v>869</v>
      </c>
    </row>
    <row r="5452" ht="15.75" customHeight="1">
      <c r="F5452" s="2" t="s">
        <v>755</v>
      </c>
      <c r="H5452" s="2" t="s">
        <v>26847</v>
      </c>
      <c r="I5452" s="2" t="s">
        <v>26848</v>
      </c>
      <c r="J5452" s="2" t="s">
        <v>26848</v>
      </c>
      <c r="K5452" s="2" t="s">
        <v>1319</v>
      </c>
    </row>
    <row r="5453" ht="15.75" customHeight="1">
      <c r="H5453" s="2" t="s">
        <v>26849</v>
      </c>
      <c r="I5453" s="2" t="s">
        <v>757</v>
      </c>
      <c r="J5453" s="2" t="s">
        <v>758</v>
      </c>
      <c r="K5453" s="2" t="s">
        <v>4429</v>
      </c>
      <c r="L5453" s="2" t="s">
        <v>26850</v>
      </c>
      <c r="M5453" s="2" t="s">
        <v>26851</v>
      </c>
      <c r="N5453" s="2" t="s">
        <v>26852</v>
      </c>
      <c r="O5453" s="2" t="s">
        <v>26853</v>
      </c>
      <c r="P5453" s="2" t="s">
        <v>869</v>
      </c>
    </row>
    <row r="5454" ht="15.75" customHeight="1">
      <c r="H5454" s="2" t="s">
        <v>26854</v>
      </c>
      <c r="I5454" s="2" t="s">
        <v>4655</v>
      </c>
      <c r="J5454" s="2" t="s">
        <v>4656</v>
      </c>
      <c r="K5454" s="2" t="s">
        <v>2223</v>
      </c>
      <c r="L5454" s="2" t="s">
        <v>25304</v>
      </c>
      <c r="M5454" s="2" t="s">
        <v>26855</v>
      </c>
      <c r="N5454" s="2" t="s">
        <v>26856</v>
      </c>
      <c r="O5454" s="2" t="s">
        <v>26857</v>
      </c>
      <c r="P5454" s="2" t="s">
        <v>869</v>
      </c>
    </row>
    <row r="5455" ht="15.75" customHeight="1">
      <c r="H5455" s="2" t="s">
        <v>26858</v>
      </c>
      <c r="I5455" s="2" t="s">
        <v>26859</v>
      </c>
      <c r="J5455" s="2" t="s">
        <v>26860</v>
      </c>
      <c r="K5455" s="2" t="s">
        <v>1049</v>
      </c>
      <c r="L5455" s="2" t="s">
        <v>25304</v>
      </c>
      <c r="M5455" s="2" t="s">
        <v>26861</v>
      </c>
      <c r="N5455" s="2" t="s">
        <v>26862</v>
      </c>
      <c r="O5455" s="2" t="s">
        <v>26863</v>
      </c>
      <c r="P5455" s="2" t="s">
        <v>869</v>
      </c>
    </row>
    <row r="5456" ht="15.75" customHeight="1">
      <c r="F5456" s="2" t="s">
        <v>4677</v>
      </c>
      <c r="H5456" s="2" t="s">
        <v>26864</v>
      </c>
      <c r="I5456" s="2" t="s">
        <v>4694</v>
      </c>
      <c r="J5456" s="2" t="s">
        <v>4695</v>
      </c>
      <c r="K5456" s="2" t="s">
        <v>963</v>
      </c>
      <c r="L5456" s="2" t="s">
        <v>25304</v>
      </c>
      <c r="M5456" s="2" t="s">
        <v>26865</v>
      </c>
      <c r="N5456" s="2" t="s">
        <v>26866</v>
      </c>
      <c r="O5456" s="2" t="s">
        <v>26867</v>
      </c>
      <c r="P5456" s="2" t="s">
        <v>869</v>
      </c>
    </row>
    <row r="5457" ht="15.75" customHeight="1">
      <c r="F5457" s="2" t="s">
        <v>764</v>
      </c>
      <c r="H5457" s="2" t="s">
        <v>26868</v>
      </c>
      <c r="I5457" s="2" t="s">
        <v>766</v>
      </c>
      <c r="J5457" s="2" t="s">
        <v>767</v>
      </c>
      <c r="K5457" s="2" t="s">
        <v>1418</v>
      </c>
      <c r="L5457" s="2" t="s">
        <v>25304</v>
      </c>
      <c r="M5457" s="2" t="s">
        <v>26869</v>
      </c>
      <c r="N5457" s="2" t="s">
        <v>26870</v>
      </c>
      <c r="O5457" s="2" t="s">
        <v>26871</v>
      </c>
      <c r="P5457" s="2" t="s">
        <v>869</v>
      </c>
    </row>
    <row r="5458" ht="15.75" customHeight="1">
      <c r="H5458" s="2" t="s">
        <v>26872</v>
      </c>
      <c r="I5458" s="2" t="s">
        <v>26873</v>
      </c>
      <c r="J5458" s="2" t="s">
        <v>26874</v>
      </c>
      <c r="K5458" s="2" t="s">
        <v>1157</v>
      </c>
      <c r="L5458" s="2" t="s">
        <v>25304</v>
      </c>
      <c r="M5458" s="2" t="s">
        <v>26875</v>
      </c>
      <c r="N5458" s="2" t="s">
        <v>26876</v>
      </c>
      <c r="O5458" s="2" t="s">
        <v>26877</v>
      </c>
      <c r="P5458" s="2" t="s">
        <v>869</v>
      </c>
    </row>
    <row r="5459" ht="15.75" customHeight="1">
      <c r="H5459" s="2" t="s">
        <v>26878</v>
      </c>
      <c r="I5459" s="2" t="s">
        <v>257</v>
      </c>
      <c r="J5459" s="2" t="s">
        <v>258</v>
      </c>
      <c r="K5459" s="2" t="s">
        <v>2171</v>
      </c>
      <c r="L5459" s="2" t="s">
        <v>25304</v>
      </c>
      <c r="M5459" s="2" t="s">
        <v>26879</v>
      </c>
      <c r="N5459" s="2" t="s">
        <v>26880</v>
      </c>
      <c r="O5459" s="2" t="s">
        <v>26881</v>
      </c>
      <c r="P5459" s="2" t="s">
        <v>869</v>
      </c>
    </row>
    <row r="5460" ht="15.75" customHeight="1">
      <c r="F5460" s="2" t="s">
        <v>773</v>
      </c>
      <c r="H5460" s="2" t="s">
        <v>26882</v>
      </c>
      <c r="I5460" s="2" t="s">
        <v>4790</v>
      </c>
      <c r="J5460" s="2" t="s">
        <v>4791</v>
      </c>
      <c r="L5460" s="2" t="s">
        <v>25304</v>
      </c>
      <c r="M5460" s="2" t="s">
        <v>26883</v>
      </c>
      <c r="N5460" s="2" t="s">
        <v>26884</v>
      </c>
      <c r="O5460" s="2" t="s">
        <v>869</v>
      </c>
      <c r="P5460" s="2" t="s">
        <v>870</v>
      </c>
    </row>
    <row r="5461" ht="15.75" customHeight="1">
      <c r="H5461" s="2" t="s">
        <v>26885</v>
      </c>
      <c r="I5461" s="2" t="s">
        <v>775</v>
      </c>
      <c r="J5461" s="2" t="s">
        <v>776</v>
      </c>
      <c r="K5461" s="2" t="s">
        <v>1145</v>
      </c>
      <c r="L5461" s="2" t="s">
        <v>25304</v>
      </c>
      <c r="M5461" s="2" t="s">
        <v>26886</v>
      </c>
      <c r="N5461" s="2" t="s">
        <v>26887</v>
      </c>
      <c r="O5461" s="2" t="s">
        <v>26888</v>
      </c>
      <c r="P5461" s="2" t="s">
        <v>869</v>
      </c>
    </row>
    <row r="5462" ht="15.75" customHeight="1">
      <c r="F5462" s="2" t="s">
        <v>4802</v>
      </c>
      <c r="H5462" s="2" t="s">
        <v>26889</v>
      </c>
      <c r="I5462" s="2" t="s">
        <v>4814</v>
      </c>
      <c r="J5462" s="2" t="s">
        <v>4815</v>
      </c>
      <c r="L5462" s="2" t="s">
        <v>25304</v>
      </c>
      <c r="M5462" s="2" t="s">
        <v>26890</v>
      </c>
      <c r="N5462" s="2" t="s">
        <v>25920</v>
      </c>
      <c r="O5462" s="2" t="s">
        <v>26891</v>
      </c>
      <c r="P5462" s="2" t="s">
        <v>869</v>
      </c>
    </row>
    <row r="5463" ht="15.75" customHeight="1">
      <c r="H5463" s="2" t="s">
        <v>26892</v>
      </c>
      <c r="I5463" s="2" t="s">
        <v>4819</v>
      </c>
      <c r="J5463" s="2" t="s">
        <v>4820</v>
      </c>
      <c r="K5463" s="2" t="s">
        <v>886</v>
      </c>
      <c r="L5463" s="2" t="s">
        <v>25304</v>
      </c>
      <c r="M5463" s="2" t="s">
        <v>26893</v>
      </c>
      <c r="N5463" s="2" t="s">
        <v>26894</v>
      </c>
      <c r="O5463" s="2" t="s">
        <v>26895</v>
      </c>
      <c r="P5463" s="2" t="s">
        <v>869</v>
      </c>
    </row>
    <row r="5464" ht="15.75" customHeight="1">
      <c r="F5464" s="2" t="s">
        <v>4825</v>
      </c>
      <c r="H5464" s="2" t="s">
        <v>26896</v>
      </c>
      <c r="I5464" s="2" t="s">
        <v>1215</v>
      </c>
      <c r="J5464" s="2" t="s">
        <v>1216</v>
      </c>
      <c r="K5464" s="2" t="s">
        <v>1297</v>
      </c>
      <c r="L5464" s="2" t="s">
        <v>25304</v>
      </c>
      <c r="M5464" s="2" t="s">
        <v>26897</v>
      </c>
      <c r="N5464" s="2" t="s">
        <v>26898</v>
      </c>
      <c r="O5464" s="2" t="s">
        <v>26899</v>
      </c>
      <c r="P5464" s="2" t="s">
        <v>869</v>
      </c>
    </row>
    <row r="5465" ht="15.75" customHeight="1">
      <c r="F5465" s="2" t="s">
        <v>782</v>
      </c>
      <c r="H5465" s="2" t="s">
        <v>26900</v>
      </c>
      <c r="I5465" s="2" t="s">
        <v>26901</v>
      </c>
      <c r="J5465" s="2" t="s">
        <v>26902</v>
      </c>
      <c r="K5465" s="2" t="s">
        <v>918</v>
      </c>
      <c r="L5465" s="2" t="s">
        <v>25304</v>
      </c>
      <c r="M5465" s="2" t="s">
        <v>26903</v>
      </c>
      <c r="N5465" s="2" t="s">
        <v>26904</v>
      </c>
      <c r="O5465" s="2" t="s">
        <v>26905</v>
      </c>
      <c r="P5465" s="2" t="s">
        <v>869</v>
      </c>
    </row>
    <row r="5466" ht="15.75" customHeight="1">
      <c r="H5466" s="2" t="s">
        <v>26906</v>
      </c>
      <c r="I5466" s="2" t="s">
        <v>784</v>
      </c>
      <c r="J5466" s="2" t="s">
        <v>785</v>
      </c>
      <c r="K5466" s="2" t="s">
        <v>2171</v>
      </c>
      <c r="L5466" s="2" t="s">
        <v>25304</v>
      </c>
      <c r="M5466" s="2" t="s">
        <v>26907</v>
      </c>
      <c r="N5466" s="2" t="s">
        <v>26908</v>
      </c>
      <c r="O5466" s="2" t="s">
        <v>869</v>
      </c>
      <c r="P5466" s="2" t="s">
        <v>870</v>
      </c>
    </row>
    <row r="5467" ht="15.75" customHeight="1">
      <c r="H5467" s="2" t="s">
        <v>26909</v>
      </c>
      <c r="I5467" s="2" t="s">
        <v>21788</v>
      </c>
      <c r="J5467" s="2" t="s">
        <v>21789</v>
      </c>
      <c r="K5467" s="2" t="s">
        <v>2585</v>
      </c>
      <c r="L5467" s="2" t="s">
        <v>25304</v>
      </c>
      <c r="M5467" s="2" t="s">
        <v>26910</v>
      </c>
      <c r="N5467" s="2" t="s">
        <v>26911</v>
      </c>
      <c r="O5467" s="2" t="s">
        <v>26912</v>
      </c>
      <c r="P5467" s="2" t="s">
        <v>869</v>
      </c>
    </row>
    <row r="5468" ht="15.75" customHeight="1">
      <c r="F5468" s="2" t="s">
        <v>791</v>
      </c>
      <c r="H5468" s="2" t="s">
        <v>26913</v>
      </c>
      <c r="I5468" s="2" t="s">
        <v>793</v>
      </c>
      <c r="J5468" s="2" t="s">
        <v>794</v>
      </c>
      <c r="K5468" s="2" t="s">
        <v>1362</v>
      </c>
      <c r="L5468" s="2" t="s">
        <v>25304</v>
      </c>
      <c r="M5468" s="2" t="s">
        <v>26914</v>
      </c>
      <c r="N5468" s="2" t="s">
        <v>26915</v>
      </c>
      <c r="O5468" s="2" t="s">
        <v>869</v>
      </c>
      <c r="P5468" s="2" t="s">
        <v>870</v>
      </c>
    </row>
    <row r="5469" ht="15.75" customHeight="1">
      <c r="H5469" s="2" t="s">
        <v>26916</v>
      </c>
      <c r="I5469" s="2" t="s">
        <v>4959</v>
      </c>
      <c r="J5469" s="2" t="s">
        <v>4960</v>
      </c>
      <c r="K5469" s="2" t="s">
        <v>280</v>
      </c>
      <c r="L5469" s="2" t="s">
        <v>25304</v>
      </c>
      <c r="M5469" s="2" t="s">
        <v>26917</v>
      </c>
      <c r="N5469" s="2" t="s">
        <v>26918</v>
      </c>
      <c r="O5469" s="2" t="s">
        <v>869</v>
      </c>
      <c r="P5469" s="2" t="s">
        <v>870</v>
      </c>
    </row>
    <row r="5470" ht="15.75" customHeight="1">
      <c r="H5470" s="2" t="s">
        <v>26919</v>
      </c>
      <c r="I5470" s="2" t="s">
        <v>11431</v>
      </c>
      <c r="J5470" s="2" t="s">
        <v>11432</v>
      </c>
      <c r="K5470" s="2" t="s">
        <v>1117</v>
      </c>
      <c r="L5470" s="2" t="s">
        <v>25304</v>
      </c>
      <c r="M5470" s="2" t="s">
        <v>26920</v>
      </c>
      <c r="N5470" s="2" t="s">
        <v>26921</v>
      </c>
      <c r="O5470" s="2" t="s">
        <v>869</v>
      </c>
      <c r="P5470" s="2" t="s">
        <v>870</v>
      </c>
    </row>
    <row r="5471" ht="15.75" customHeight="1">
      <c r="H5471" s="2" t="s">
        <v>26922</v>
      </c>
      <c r="I5471" s="2" t="s">
        <v>7306</v>
      </c>
      <c r="J5471" s="2" t="s">
        <v>7307</v>
      </c>
      <c r="K5471" s="2" t="s">
        <v>958</v>
      </c>
      <c r="L5471" s="2" t="s">
        <v>25304</v>
      </c>
      <c r="M5471" s="2" t="s">
        <v>26923</v>
      </c>
      <c r="N5471" s="2" t="s">
        <v>26924</v>
      </c>
      <c r="O5471" s="2" t="s">
        <v>26925</v>
      </c>
      <c r="P5471" s="2" t="s">
        <v>869</v>
      </c>
    </row>
    <row r="5472" ht="15.75" customHeight="1">
      <c r="H5472" s="2" t="s">
        <v>26926</v>
      </c>
      <c r="I5472" s="2" t="s">
        <v>20229</v>
      </c>
      <c r="J5472" s="2" t="s">
        <v>20230</v>
      </c>
      <c r="K5472" s="2" t="s">
        <v>963</v>
      </c>
      <c r="L5472" s="2" t="s">
        <v>25304</v>
      </c>
      <c r="M5472" s="2" t="s">
        <v>26927</v>
      </c>
      <c r="N5472" s="2" t="s">
        <v>26928</v>
      </c>
      <c r="O5472" s="2" t="s">
        <v>869</v>
      </c>
      <c r="P5472" s="2" t="s">
        <v>870</v>
      </c>
    </row>
    <row r="5473" ht="15.75" customHeight="1">
      <c r="H5473" s="2" t="s">
        <v>26929</v>
      </c>
      <c r="I5473" s="2" t="s">
        <v>3902</v>
      </c>
      <c r="J5473" s="2" t="s">
        <v>3903</v>
      </c>
      <c r="K5473" s="2" t="s">
        <v>1007</v>
      </c>
      <c r="L5473" s="2" t="s">
        <v>25304</v>
      </c>
      <c r="M5473" s="2" t="s">
        <v>26930</v>
      </c>
      <c r="N5473" s="2" t="s">
        <v>26931</v>
      </c>
      <c r="O5473" s="2" t="s">
        <v>869</v>
      </c>
      <c r="P5473" s="2" t="s">
        <v>870</v>
      </c>
    </row>
    <row r="5474" ht="15.75" customHeight="1">
      <c r="H5474" s="2" t="s">
        <v>26932</v>
      </c>
      <c r="I5474" s="2" t="s">
        <v>26933</v>
      </c>
      <c r="J5474" s="2" t="s">
        <v>26934</v>
      </c>
      <c r="K5474" s="2" t="s">
        <v>900</v>
      </c>
      <c r="L5474" s="2" t="s">
        <v>25304</v>
      </c>
      <c r="M5474" s="2" t="s">
        <v>26935</v>
      </c>
      <c r="N5474" s="2" t="s">
        <v>26936</v>
      </c>
      <c r="O5474" s="2" t="s">
        <v>869</v>
      </c>
      <c r="P5474" s="2" t="s">
        <v>870</v>
      </c>
    </row>
    <row r="5475" ht="15.75" customHeight="1">
      <c r="H5475" s="2" t="s">
        <v>26937</v>
      </c>
      <c r="I5475" s="2" t="s">
        <v>26938</v>
      </c>
      <c r="J5475" s="2" t="s">
        <v>26939</v>
      </c>
      <c r="K5475" s="2" t="s">
        <v>1145</v>
      </c>
      <c r="L5475" s="2" t="s">
        <v>25304</v>
      </c>
      <c r="M5475" s="2" t="s">
        <v>26940</v>
      </c>
      <c r="N5475" s="2" t="s">
        <v>26941</v>
      </c>
      <c r="O5475" s="2" t="s">
        <v>869</v>
      </c>
      <c r="P5475" s="2" t="s">
        <v>870</v>
      </c>
    </row>
    <row r="5476" ht="15.75" customHeight="1">
      <c r="H5476" s="2" t="s">
        <v>26942</v>
      </c>
      <c r="I5476" s="2" t="s">
        <v>4969</v>
      </c>
      <c r="J5476" s="2" t="s">
        <v>4970</v>
      </c>
      <c r="K5476" s="2" t="s">
        <v>918</v>
      </c>
      <c r="L5476" s="2" t="s">
        <v>26943</v>
      </c>
      <c r="M5476" s="2" t="s">
        <v>26944</v>
      </c>
      <c r="N5476" s="2" t="s">
        <v>26945</v>
      </c>
      <c r="O5476" s="2" t="s">
        <v>26946</v>
      </c>
      <c r="P5476" s="2" t="s">
        <v>869</v>
      </c>
    </row>
    <row r="5477" ht="15.75" customHeight="1">
      <c r="H5477" s="2" t="s">
        <v>26947</v>
      </c>
      <c r="I5477" s="2" t="s">
        <v>26948</v>
      </c>
      <c r="J5477" s="2" t="s">
        <v>26948</v>
      </c>
      <c r="K5477" s="2" t="s">
        <v>2737</v>
      </c>
    </row>
    <row r="5478" ht="15.75" customHeight="1">
      <c r="F5478" s="2" t="s">
        <v>800</v>
      </c>
      <c r="H5478" s="2" t="s">
        <v>26949</v>
      </c>
      <c r="I5478" s="2" t="s">
        <v>26950</v>
      </c>
      <c r="J5478" s="2" t="s">
        <v>26951</v>
      </c>
      <c r="K5478" s="2" t="s">
        <v>853</v>
      </c>
      <c r="L5478" s="2" t="s">
        <v>25304</v>
      </c>
      <c r="M5478" s="2" t="s">
        <v>26952</v>
      </c>
      <c r="N5478" s="2" t="s">
        <v>26953</v>
      </c>
      <c r="O5478" s="2" t="s">
        <v>26954</v>
      </c>
      <c r="P5478" s="2" t="s">
        <v>869</v>
      </c>
    </row>
    <row r="5479" ht="15.75" customHeight="1">
      <c r="H5479" s="2" t="s">
        <v>26955</v>
      </c>
      <c r="I5479" s="2" t="s">
        <v>4984</v>
      </c>
      <c r="J5479" s="2" t="s">
        <v>4985</v>
      </c>
      <c r="K5479" s="2" t="s">
        <v>277</v>
      </c>
      <c r="L5479" s="2" t="s">
        <v>25304</v>
      </c>
      <c r="M5479" s="2" t="s">
        <v>26956</v>
      </c>
      <c r="N5479" s="2" t="s">
        <v>26957</v>
      </c>
      <c r="O5479" s="2" t="s">
        <v>26958</v>
      </c>
      <c r="P5479" s="2" t="s">
        <v>869</v>
      </c>
    </row>
    <row r="5480" ht="15.75" customHeight="1">
      <c r="H5480" s="2" t="s">
        <v>26959</v>
      </c>
      <c r="I5480" s="2" t="s">
        <v>4989</v>
      </c>
      <c r="J5480" s="2" t="s">
        <v>4990</v>
      </c>
      <c r="L5480" s="2" t="s">
        <v>25304</v>
      </c>
      <c r="M5480" s="2" t="s">
        <v>26960</v>
      </c>
      <c r="N5480" s="2" t="s">
        <v>26961</v>
      </c>
      <c r="O5480" s="2" t="s">
        <v>869</v>
      </c>
      <c r="P5480" s="2" t="s">
        <v>870</v>
      </c>
    </row>
    <row r="5481" ht="15.75" customHeight="1">
      <c r="H5481" s="2" t="s">
        <v>26962</v>
      </c>
      <c r="I5481" s="2" t="s">
        <v>26963</v>
      </c>
      <c r="J5481" s="2" t="s">
        <v>26964</v>
      </c>
      <c r="K5481" s="2" t="s">
        <v>865</v>
      </c>
      <c r="L5481" s="2" t="s">
        <v>25304</v>
      </c>
      <c r="M5481" s="2" t="s">
        <v>26965</v>
      </c>
      <c r="N5481" s="2" t="s">
        <v>26966</v>
      </c>
      <c r="O5481" s="2" t="s">
        <v>869</v>
      </c>
      <c r="P5481" s="2" t="s">
        <v>870</v>
      </c>
    </row>
    <row r="5482" ht="15.75" customHeight="1">
      <c r="H5482" s="2" t="s">
        <v>26967</v>
      </c>
      <c r="I5482" s="2" t="s">
        <v>26968</v>
      </c>
      <c r="J5482" s="2" t="s">
        <v>26969</v>
      </c>
      <c r="K5482" s="2" t="s">
        <v>280</v>
      </c>
      <c r="L5482" s="2" t="s">
        <v>25304</v>
      </c>
      <c r="M5482" s="2" t="s">
        <v>26970</v>
      </c>
      <c r="N5482" s="2" t="s">
        <v>26971</v>
      </c>
      <c r="O5482" s="2" t="s">
        <v>26972</v>
      </c>
      <c r="P5482" s="2" t="s">
        <v>869</v>
      </c>
    </row>
    <row r="5483" ht="15.75" customHeight="1">
      <c r="H5483" s="2" t="s">
        <v>26973</v>
      </c>
      <c r="I5483" s="2" t="s">
        <v>4994</v>
      </c>
      <c r="J5483" s="2" t="s">
        <v>4995</v>
      </c>
      <c r="K5483" s="2" t="s">
        <v>1878</v>
      </c>
      <c r="L5483" s="2" t="s">
        <v>25304</v>
      </c>
      <c r="M5483" s="2" t="s">
        <v>26974</v>
      </c>
      <c r="N5483" s="2" t="s">
        <v>26975</v>
      </c>
      <c r="O5483" s="2" t="s">
        <v>26976</v>
      </c>
      <c r="P5483" s="2" t="s">
        <v>869</v>
      </c>
    </row>
    <row r="5484" ht="15.75" customHeight="1">
      <c r="H5484" s="2" t="s">
        <v>26977</v>
      </c>
      <c r="I5484" s="2" t="s">
        <v>11561</v>
      </c>
      <c r="J5484" s="2" t="s">
        <v>11562</v>
      </c>
      <c r="K5484" s="2" t="s">
        <v>1117</v>
      </c>
      <c r="L5484" s="2" t="s">
        <v>25304</v>
      </c>
      <c r="M5484" s="2" t="s">
        <v>26978</v>
      </c>
      <c r="N5484" s="2" t="s">
        <v>26979</v>
      </c>
      <c r="O5484" s="2" t="s">
        <v>26980</v>
      </c>
      <c r="P5484" s="2" t="s">
        <v>869</v>
      </c>
    </row>
    <row r="5485" ht="15.75" customHeight="1">
      <c r="H5485" s="2" t="s">
        <v>26981</v>
      </c>
      <c r="I5485" s="2" t="s">
        <v>26982</v>
      </c>
      <c r="J5485" s="2" t="s">
        <v>26983</v>
      </c>
      <c r="K5485" s="2" t="s">
        <v>996</v>
      </c>
      <c r="L5485" s="2" t="s">
        <v>25304</v>
      </c>
      <c r="M5485" s="2" t="s">
        <v>26984</v>
      </c>
      <c r="N5485" s="2" t="s">
        <v>26985</v>
      </c>
      <c r="O5485" s="2" t="s">
        <v>26986</v>
      </c>
      <c r="P5485" s="2" t="s">
        <v>869</v>
      </c>
    </row>
    <row r="5486" ht="15.75" customHeight="1">
      <c r="H5486" s="2" t="s">
        <v>26987</v>
      </c>
      <c r="I5486" s="2" t="s">
        <v>26988</v>
      </c>
      <c r="J5486" s="2" t="s">
        <v>26989</v>
      </c>
      <c r="K5486" s="2" t="s">
        <v>886</v>
      </c>
      <c r="L5486" s="2" t="s">
        <v>25304</v>
      </c>
      <c r="M5486" s="2" t="s">
        <v>26990</v>
      </c>
      <c r="N5486" s="2" t="s">
        <v>26991</v>
      </c>
      <c r="O5486" s="2" t="s">
        <v>869</v>
      </c>
      <c r="P5486" s="2" t="s">
        <v>870</v>
      </c>
    </row>
    <row r="5487" ht="15.75" customHeight="1">
      <c r="H5487" s="2" t="s">
        <v>26992</v>
      </c>
      <c r="I5487" s="2" t="s">
        <v>2147</v>
      </c>
      <c r="J5487" s="2" t="s">
        <v>2148</v>
      </c>
      <c r="K5487" s="2" t="s">
        <v>1007</v>
      </c>
      <c r="L5487" s="2" t="s">
        <v>25304</v>
      </c>
      <c r="M5487" s="2" t="s">
        <v>26993</v>
      </c>
      <c r="N5487" s="2" t="s">
        <v>26994</v>
      </c>
      <c r="O5487" s="2" t="s">
        <v>869</v>
      </c>
      <c r="P5487" s="2" t="s">
        <v>870</v>
      </c>
    </row>
    <row r="5488" ht="15.75" customHeight="1">
      <c r="H5488" s="2" t="s">
        <v>26995</v>
      </c>
      <c r="I5488" s="2" t="s">
        <v>26996</v>
      </c>
      <c r="J5488" s="2" t="s">
        <v>26997</v>
      </c>
      <c r="K5488" s="2" t="s">
        <v>1136</v>
      </c>
      <c r="L5488" s="2" t="s">
        <v>25304</v>
      </c>
      <c r="M5488" s="2" t="s">
        <v>26998</v>
      </c>
      <c r="N5488" s="2" t="s">
        <v>26999</v>
      </c>
      <c r="O5488" s="2" t="s">
        <v>27000</v>
      </c>
      <c r="P5488" s="2" t="s">
        <v>869</v>
      </c>
    </row>
    <row r="5489" ht="15.75" customHeight="1">
      <c r="H5489" s="2" t="s">
        <v>27001</v>
      </c>
      <c r="I5489" s="2" t="s">
        <v>27002</v>
      </c>
      <c r="J5489" s="2" t="s">
        <v>27003</v>
      </c>
      <c r="K5489" s="2" t="s">
        <v>906</v>
      </c>
      <c r="L5489" s="2" t="s">
        <v>27004</v>
      </c>
      <c r="M5489" s="2" t="s">
        <v>27005</v>
      </c>
      <c r="N5489" s="2" t="s">
        <v>27006</v>
      </c>
      <c r="O5489" s="2" t="s">
        <v>27007</v>
      </c>
      <c r="P5489" s="2" t="s">
        <v>869</v>
      </c>
    </row>
    <row r="5490" ht="15.75" customHeight="1">
      <c r="H5490" s="2" t="s">
        <v>27008</v>
      </c>
      <c r="I5490" s="2" t="s">
        <v>27009</v>
      </c>
      <c r="J5490" s="2" t="s">
        <v>27010</v>
      </c>
      <c r="K5490" s="2" t="s">
        <v>1313</v>
      </c>
      <c r="L5490" s="2" t="s">
        <v>25304</v>
      </c>
      <c r="M5490" s="2" t="s">
        <v>27011</v>
      </c>
      <c r="N5490" s="2" t="s">
        <v>27012</v>
      </c>
      <c r="O5490" s="2" t="s">
        <v>869</v>
      </c>
      <c r="P5490" s="2" t="s">
        <v>870</v>
      </c>
    </row>
    <row r="5491" ht="15.75" customHeight="1">
      <c r="H5491" s="2" t="s">
        <v>27013</v>
      </c>
      <c r="I5491" s="2" t="s">
        <v>5022</v>
      </c>
      <c r="J5491" s="2" t="s">
        <v>5023</v>
      </c>
      <c r="K5491" s="2" t="s">
        <v>1569</v>
      </c>
      <c r="L5491" s="2" t="s">
        <v>25304</v>
      </c>
      <c r="M5491" s="2" t="s">
        <v>27014</v>
      </c>
      <c r="N5491" s="2" t="s">
        <v>27015</v>
      </c>
      <c r="O5491" s="2" t="s">
        <v>27016</v>
      </c>
      <c r="P5491" s="2" t="s">
        <v>869</v>
      </c>
    </row>
    <row r="5492" ht="15.75" customHeight="1">
      <c r="H5492" s="2" t="s">
        <v>27017</v>
      </c>
      <c r="I5492" s="2" t="s">
        <v>27018</v>
      </c>
      <c r="J5492" s="2" t="s">
        <v>27019</v>
      </c>
      <c r="K5492" s="2" t="s">
        <v>2937</v>
      </c>
      <c r="L5492" s="2" t="s">
        <v>25304</v>
      </c>
      <c r="M5492" s="2" t="s">
        <v>27020</v>
      </c>
      <c r="N5492" s="2" t="s">
        <v>27021</v>
      </c>
      <c r="O5492" s="2" t="s">
        <v>869</v>
      </c>
      <c r="P5492" s="2" t="s">
        <v>870</v>
      </c>
    </row>
    <row r="5493" ht="15.75" customHeight="1">
      <c r="H5493" s="2" t="s">
        <v>27022</v>
      </c>
      <c r="I5493" s="2" t="s">
        <v>5027</v>
      </c>
      <c r="J5493" s="2" t="s">
        <v>5028</v>
      </c>
      <c r="K5493" s="2" t="s">
        <v>1319</v>
      </c>
      <c r="L5493" s="2" t="s">
        <v>25304</v>
      </c>
      <c r="M5493" s="2" t="s">
        <v>27023</v>
      </c>
      <c r="N5493" s="2" t="s">
        <v>27024</v>
      </c>
      <c r="O5493" s="2" t="s">
        <v>27025</v>
      </c>
      <c r="P5493" s="2" t="s">
        <v>869</v>
      </c>
    </row>
    <row r="5494" ht="15.75" customHeight="1">
      <c r="H5494" s="2" t="s">
        <v>27026</v>
      </c>
      <c r="I5494" s="2" t="s">
        <v>27027</v>
      </c>
      <c r="J5494" s="2" t="s">
        <v>27028</v>
      </c>
      <c r="K5494" s="2" t="s">
        <v>1952</v>
      </c>
      <c r="L5494" s="2" t="s">
        <v>25304</v>
      </c>
      <c r="M5494" s="2" t="s">
        <v>27029</v>
      </c>
      <c r="N5494" s="2" t="s">
        <v>27030</v>
      </c>
      <c r="O5494" s="2" t="s">
        <v>869</v>
      </c>
      <c r="P5494" s="2" t="s">
        <v>870</v>
      </c>
    </row>
    <row r="5495" ht="15.75" customHeight="1">
      <c r="H5495" s="2" t="s">
        <v>27031</v>
      </c>
      <c r="I5495" s="2" t="s">
        <v>5037</v>
      </c>
      <c r="J5495" s="2" t="s">
        <v>5038</v>
      </c>
      <c r="K5495" s="2" t="s">
        <v>2203</v>
      </c>
      <c r="L5495" s="2" t="s">
        <v>25304</v>
      </c>
      <c r="M5495" s="2" t="s">
        <v>27032</v>
      </c>
      <c r="N5495" s="2" t="s">
        <v>27033</v>
      </c>
      <c r="O5495" s="2" t="s">
        <v>27034</v>
      </c>
      <c r="P5495" s="2" t="s">
        <v>869</v>
      </c>
    </row>
    <row r="5496" ht="15.75" customHeight="1">
      <c r="H5496" s="2" t="s">
        <v>27035</v>
      </c>
      <c r="I5496" s="2" t="s">
        <v>5047</v>
      </c>
      <c r="J5496" s="2" t="s">
        <v>5048</v>
      </c>
      <c r="K5496" s="2" t="s">
        <v>1151</v>
      </c>
      <c r="L5496" s="2" t="s">
        <v>25304</v>
      </c>
      <c r="M5496" s="2" t="s">
        <v>27036</v>
      </c>
      <c r="N5496" s="2" t="s">
        <v>27037</v>
      </c>
      <c r="O5496" s="2" t="s">
        <v>27038</v>
      </c>
      <c r="P5496" s="2" t="s">
        <v>869</v>
      </c>
    </row>
    <row r="5497" ht="15.75" customHeight="1">
      <c r="H5497" s="2" t="s">
        <v>27039</v>
      </c>
      <c r="I5497" s="2" t="s">
        <v>11618</v>
      </c>
      <c r="J5497" s="2" t="s">
        <v>11619</v>
      </c>
      <c r="K5497" s="2" t="s">
        <v>1593</v>
      </c>
      <c r="L5497" s="2" t="s">
        <v>25304</v>
      </c>
      <c r="M5497" s="2" t="s">
        <v>11621</v>
      </c>
      <c r="N5497" s="2" t="s">
        <v>27040</v>
      </c>
      <c r="O5497" s="2" t="s">
        <v>869</v>
      </c>
      <c r="P5497" s="2" t="s">
        <v>870</v>
      </c>
    </row>
    <row r="5498" ht="15.75" customHeight="1">
      <c r="H5498" s="2" t="s">
        <v>27041</v>
      </c>
      <c r="I5498" s="2" t="s">
        <v>27042</v>
      </c>
      <c r="J5498" s="2" t="s">
        <v>27043</v>
      </c>
      <c r="L5498" s="2" t="s">
        <v>25304</v>
      </c>
      <c r="M5498" s="2" t="s">
        <v>27044</v>
      </c>
      <c r="N5498" s="2" t="s">
        <v>27045</v>
      </c>
      <c r="O5498" s="2" t="s">
        <v>27046</v>
      </c>
      <c r="P5498" s="2" t="s">
        <v>869</v>
      </c>
    </row>
    <row r="5499" ht="15.75" customHeight="1">
      <c r="H5499" s="2" t="s">
        <v>27047</v>
      </c>
      <c r="I5499" s="2" t="s">
        <v>27048</v>
      </c>
      <c r="J5499" s="2" t="s">
        <v>27049</v>
      </c>
      <c r="K5499" s="2" t="s">
        <v>27050</v>
      </c>
      <c r="L5499" s="2" t="s">
        <v>25304</v>
      </c>
      <c r="M5499" s="2" t="s">
        <v>27051</v>
      </c>
      <c r="N5499" s="2" t="s">
        <v>27052</v>
      </c>
      <c r="O5499" s="2" t="s">
        <v>27053</v>
      </c>
      <c r="P5499" s="2" t="s">
        <v>869</v>
      </c>
    </row>
    <row r="5500" ht="15.75" customHeight="1">
      <c r="H5500" s="2" t="s">
        <v>27054</v>
      </c>
      <c r="I5500" s="2" t="s">
        <v>2262</v>
      </c>
      <c r="J5500" s="2" t="s">
        <v>2263</v>
      </c>
      <c r="K5500" s="2" t="s">
        <v>1169</v>
      </c>
      <c r="L5500" s="2" t="s">
        <v>25304</v>
      </c>
      <c r="M5500" s="2" t="s">
        <v>27055</v>
      </c>
      <c r="N5500" s="2" t="s">
        <v>27056</v>
      </c>
      <c r="O5500" s="2" t="s">
        <v>25562</v>
      </c>
      <c r="P5500" s="2" t="s">
        <v>869</v>
      </c>
    </row>
    <row r="5501" ht="15.75" customHeight="1">
      <c r="H5501" s="2" t="s">
        <v>27057</v>
      </c>
      <c r="I5501" s="2" t="s">
        <v>3871</v>
      </c>
      <c r="J5501" s="2" t="s">
        <v>3872</v>
      </c>
      <c r="K5501" s="2" t="s">
        <v>4436</v>
      </c>
      <c r="L5501" s="2" t="s">
        <v>25304</v>
      </c>
      <c r="M5501" s="2" t="s">
        <v>27058</v>
      </c>
      <c r="N5501" s="2" t="s">
        <v>27059</v>
      </c>
      <c r="O5501" s="2" t="s">
        <v>27060</v>
      </c>
      <c r="P5501" s="2" t="s">
        <v>869</v>
      </c>
    </row>
    <row r="5502" ht="15.75" customHeight="1">
      <c r="H5502" s="2" t="s">
        <v>27061</v>
      </c>
      <c r="I5502" s="2" t="s">
        <v>27062</v>
      </c>
      <c r="J5502" s="2" t="s">
        <v>27063</v>
      </c>
      <c r="K5502" s="2" t="s">
        <v>1181</v>
      </c>
      <c r="L5502" s="2" t="s">
        <v>25304</v>
      </c>
      <c r="M5502" s="2" t="s">
        <v>27064</v>
      </c>
      <c r="N5502" s="2" t="s">
        <v>27065</v>
      </c>
      <c r="O5502" s="2" t="s">
        <v>27066</v>
      </c>
      <c r="P5502" s="2" t="s">
        <v>869</v>
      </c>
    </row>
    <row r="5503" ht="15.75" customHeight="1">
      <c r="H5503" s="2" t="s">
        <v>27067</v>
      </c>
      <c r="I5503" s="2" t="s">
        <v>11637</v>
      </c>
      <c r="J5503" s="2" t="s">
        <v>11638</v>
      </c>
      <c r="L5503" s="2" t="s">
        <v>25304</v>
      </c>
      <c r="M5503" s="2" t="s">
        <v>27068</v>
      </c>
      <c r="N5503" s="2" t="s">
        <v>27069</v>
      </c>
      <c r="O5503" s="2" t="s">
        <v>27070</v>
      </c>
      <c r="P5503" s="2" t="s">
        <v>869</v>
      </c>
    </row>
    <row r="5504" ht="15.75" customHeight="1">
      <c r="H5504" s="2" t="s">
        <v>27071</v>
      </c>
      <c r="I5504" s="2" t="s">
        <v>5087</v>
      </c>
      <c r="J5504" s="2" t="s">
        <v>5088</v>
      </c>
      <c r="K5504" s="2" t="s">
        <v>5089</v>
      </c>
      <c r="L5504" s="2" t="s">
        <v>25304</v>
      </c>
      <c r="M5504" s="2" t="s">
        <v>27072</v>
      </c>
      <c r="N5504" s="2" t="s">
        <v>27073</v>
      </c>
      <c r="O5504" s="2" t="s">
        <v>27074</v>
      </c>
      <c r="P5504" s="2" t="s">
        <v>869</v>
      </c>
    </row>
    <row r="5505" ht="15.75" customHeight="1">
      <c r="H5505" s="2" t="s">
        <v>27075</v>
      </c>
      <c r="I5505" s="2" t="s">
        <v>19954</v>
      </c>
      <c r="J5505" s="2" t="s">
        <v>19955</v>
      </c>
      <c r="K5505" s="2" t="s">
        <v>1631</v>
      </c>
      <c r="L5505" s="2" t="s">
        <v>25304</v>
      </c>
      <c r="M5505" s="2" t="s">
        <v>27076</v>
      </c>
      <c r="N5505" s="2" t="s">
        <v>27077</v>
      </c>
      <c r="O5505" s="2" t="s">
        <v>869</v>
      </c>
      <c r="P5505" s="2" t="s">
        <v>870</v>
      </c>
    </row>
    <row r="5506" ht="15.75" customHeight="1">
      <c r="H5506" s="2" t="s">
        <v>27078</v>
      </c>
      <c r="I5506" s="2" t="s">
        <v>27079</v>
      </c>
      <c r="J5506" s="2" t="s">
        <v>27080</v>
      </c>
      <c r="K5506" s="2" t="s">
        <v>1217</v>
      </c>
      <c r="L5506" s="2" t="s">
        <v>25304</v>
      </c>
      <c r="M5506" s="2" t="s">
        <v>27081</v>
      </c>
      <c r="N5506" s="2" t="s">
        <v>27082</v>
      </c>
      <c r="O5506" s="2" t="s">
        <v>27083</v>
      </c>
      <c r="P5506" s="2" t="s">
        <v>869</v>
      </c>
    </row>
    <row r="5507" ht="15.75" customHeight="1">
      <c r="H5507" s="2" t="s">
        <v>27084</v>
      </c>
      <c r="I5507" s="2" t="s">
        <v>27085</v>
      </c>
      <c r="J5507" s="2" t="s">
        <v>27086</v>
      </c>
      <c r="K5507" s="2" t="s">
        <v>2009</v>
      </c>
      <c r="L5507" s="2" t="s">
        <v>25304</v>
      </c>
      <c r="M5507" s="2" t="s">
        <v>27087</v>
      </c>
      <c r="N5507" s="2" t="s">
        <v>27088</v>
      </c>
      <c r="O5507" s="2" t="s">
        <v>27089</v>
      </c>
      <c r="P5507" s="2" t="s">
        <v>869</v>
      </c>
    </row>
    <row r="5508" ht="15.75" customHeight="1">
      <c r="H5508" s="2" t="s">
        <v>27090</v>
      </c>
      <c r="I5508" s="2" t="s">
        <v>27091</v>
      </c>
      <c r="J5508" s="2" t="s">
        <v>27092</v>
      </c>
      <c r="K5508" s="2" t="s">
        <v>1223</v>
      </c>
      <c r="L5508" s="2" t="s">
        <v>25304</v>
      </c>
      <c r="M5508" s="2" t="s">
        <v>27093</v>
      </c>
      <c r="N5508" s="2" t="s">
        <v>27094</v>
      </c>
      <c r="O5508" s="2" t="s">
        <v>27095</v>
      </c>
      <c r="P5508" s="2" t="s">
        <v>869</v>
      </c>
    </row>
    <row r="5509" ht="15.75" customHeight="1">
      <c r="H5509" s="2" t="s">
        <v>27096</v>
      </c>
      <c r="I5509" s="2" t="s">
        <v>27097</v>
      </c>
      <c r="J5509" s="2" t="s">
        <v>27098</v>
      </c>
      <c r="K5509" s="2" t="s">
        <v>27099</v>
      </c>
      <c r="L5509" s="2" t="s">
        <v>25304</v>
      </c>
      <c r="M5509" s="2" t="s">
        <v>27100</v>
      </c>
      <c r="N5509" s="2" t="s">
        <v>27101</v>
      </c>
      <c r="O5509" s="2" t="s">
        <v>27102</v>
      </c>
      <c r="P5509" s="2" t="s">
        <v>869</v>
      </c>
    </row>
    <row r="5510" ht="15.75" customHeight="1">
      <c r="H5510" s="2" t="s">
        <v>27103</v>
      </c>
      <c r="I5510" s="2" t="s">
        <v>27104</v>
      </c>
      <c r="J5510" s="2" t="s">
        <v>27105</v>
      </c>
      <c r="K5510" s="2" t="s">
        <v>1264</v>
      </c>
      <c r="L5510" s="2" t="s">
        <v>25304</v>
      </c>
      <c r="M5510" s="2" t="s">
        <v>27106</v>
      </c>
      <c r="N5510" s="2" t="s">
        <v>27107</v>
      </c>
      <c r="O5510" s="2" t="s">
        <v>27108</v>
      </c>
      <c r="P5510" s="2" t="s">
        <v>869</v>
      </c>
    </row>
    <row r="5511" ht="15.75" customHeight="1">
      <c r="H5511" s="2" t="s">
        <v>27109</v>
      </c>
      <c r="I5511" s="2" t="s">
        <v>14286</v>
      </c>
      <c r="J5511" s="2" t="s">
        <v>14287</v>
      </c>
      <c r="K5511" s="2" t="s">
        <v>1672</v>
      </c>
      <c r="L5511" s="2" t="s">
        <v>25304</v>
      </c>
      <c r="M5511" s="2" t="s">
        <v>27110</v>
      </c>
      <c r="N5511" s="2" t="s">
        <v>27111</v>
      </c>
      <c r="O5511" s="2" t="s">
        <v>27112</v>
      </c>
      <c r="P5511" s="2" t="s">
        <v>869</v>
      </c>
    </row>
    <row r="5512" ht="15.75" customHeight="1">
      <c r="H5512" s="2" t="s">
        <v>27113</v>
      </c>
      <c r="I5512" s="2" t="s">
        <v>27114</v>
      </c>
      <c r="J5512" s="2" t="s">
        <v>27115</v>
      </c>
      <c r="K5512" s="2" t="s">
        <v>1251</v>
      </c>
      <c r="L5512" s="2" t="s">
        <v>25304</v>
      </c>
      <c r="M5512" s="2" t="s">
        <v>27116</v>
      </c>
      <c r="N5512" s="2" t="s">
        <v>27117</v>
      </c>
      <c r="O5512" s="2" t="s">
        <v>27118</v>
      </c>
      <c r="P5512" s="2" t="s">
        <v>869</v>
      </c>
    </row>
    <row r="5513" ht="15.75" customHeight="1">
      <c r="H5513" s="2" t="s">
        <v>27119</v>
      </c>
      <c r="I5513" s="2" t="s">
        <v>27120</v>
      </c>
      <c r="J5513" s="2" t="s">
        <v>27121</v>
      </c>
      <c r="K5513" s="2" t="s">
        <v>1682</v>
      </c>
      <c r="L5513" s="2" t="s">
        <v>25304</v>
      </c>
      <c r="M5513" s="2" t="s">
        <v>27122</v>
      </c>
      <c r="N5513" s="2" t="s">
        <v>27123</v>
      </c>
      <c r="O5513" s="2" t="s">
        <v>869</v>
      </c>
      <c r="P5513" s="2" t="s">
        <v>870</v>
      </c>
    </row>
    <row r="5514" ht="15.75" customHeight="1">
      <c r="H5514" s="2" t="s">
        <v>27124</v>
      </c>
      <c r="I5514" s="2" t="s">
        <v>27125</v>
      </c>
      <c r="J5514" s="2" t="s">
        <v>27126</v>
      </c>
      <c r="K5514" s="2" t="s">
        <v>5543</v>
      </c>
      <c r="L5514" s="2" t="s">
        <v>25304</v>
      </c>
      <c r="M5514" s="2" t="s">
        <v>27127</v>
      </c>
      <c r="N5514" s="2" t="s">
        <v>27128</v>
      </c>
      <c r="O5514" s="2" t="s">
        <v>27129</v>
      </c>
      <c r="P5514" s="2" t="s">
        <v>869</v>
      </c>
    </row>
    <row r="5515" ht="15.75" customHeight="1">
      <c r="H5515" s="2" t="s">
        <v>27130</v>
      </c>
      <c r="I5515" s="2" t="s">
        <v>5986</v>
      </c>
      <c r="J5515" s="2" t="s">
        <v>5987</v>
      </c>
      <c r="K5515" s="2" t="s">
        <v>12454</v>
      </c>
      <c r="L5515" s="2" t="s">
        <v>27131</v>
      </c>
      <c r="M5515" s="2" t="s">
        <v>27132</v>
      </c>
      <c r="N5515" s="2" t="s">
        <v>27133</v>
      </c>
      <c r="O5515" s="2" t="s">
        <v>27134</v>
      </c>
      <c r="P5515" s="2" t="s">
        <v>869</v>
      </c>
    </row>
    <row r="5516" ht="15.75" customHeight="1">
      <c r="H5516" s="2" t="s">
        <v>27135</v>
      </c>
      <c r="I5516" s="2" t="s">
        <v>827</v>
      </c>
      <c r="J5516" s="2" t="s">
        <v>828</v>
      </c>
      <c r="K5516" s="2" t="s">
        <v>2062</v>
      </c>
      <c r="L5516" s="2" t="s">
        <v>25304</v>
      </c>
      <c r="M5516" s="2" t="s">
        <v>27136</v>
      </c>
      <c r="N5516" s="2" t="s">
        <v>27137</v>
      </c>
      <c r="O5516" s="2" t="s">
        <v>27138</v>
      </c>
      <c r="P5516" s="2" t="s">
        <v>869</v>
      </c>
    </row>
    <row r="5517" ht="15.75" customHeight="1">
      <c r="H5517" s="2" t="s">
        <v>27139</v>
      </c>
      <c r="I5517" s="2" t="s">
        <v>27140</v>
      </c>
      <c r="J5517" s="2" t="s">
        <v>27141</v>
      </c>
      <c r="K5517" s="2" t="s">
        <v>13302</v>
      </c>
      <c r="L5517" s="2" t="s">
        <v>25304</v>
      </c>
      <c r="M5517" s="2" t="s">
        <v>27142</v>
      </c>
      <c r="N5517" s="2" t="s">
        <v>27143</v>
      </c>
      <c r="O5517" s="2" t="s">
        <v>27144</v>
      </c>
      <c r="P5517" s="2" t="s">
        <v>869</v>
      </c>
    </row>
    <row r="5518" ht="15.75" customHeight="1">
      <c r="H5518" s="2" t="s">
        <v>27145</v>
      </c>
      <c r="I5518" s="2" t="s">
        <v>27146</v>
      </c>
      <c r="J5518" s="2" t="s">
        <v>27147</v>
      </c>
      <c r="L5518" s="2" t="s">
        <v>25304</v>
      </c>
      <c r="M5518" s="2" t="s">
        <v>27148</v>
      </c>
      <c r="N5518" s="2" t="s">
        <v>27149</v>
      </c>
      <c r="O5518" s="2" t="s">
        <v>869</v>
      </c>
      <c r="P5518" s="2" t="s">
        <v>870</v>
      </c>
    </row>
    <row r="5519" ht="15.75" customHeight="1">
      <c r="H5519" s="2" t="s">
        <v>27150</v>
      </c>
      <c r="I5519" s="2" t="s">
        <v>11689</v>
      </c>
      <c r="J5519" s="2" t="s">
        <v>11690</v>
      </c>
      <c r="K5519" s="2" t="s">
        <v>13335</v>
      </c>
      <c r="L5519" s="2" t="s">
        <v>25304</v>
      </c>
      <c r="M5519" s="2" t="s">
        <v>27151</v>
      </c>
      <c r="N5519" s="2" t="s">
        <v>27152</v>
      </c>
      <c r="O5519" s="2" t="s">
        <v>27153</v>
      </c>
      <c r="P5519" s="2" t="s">
        <v>869</v>
      </c>
    </row>
    <row r="5520" ht="15.75" customHeight="1">
      <c r="F5520" s="2" t="s">
        <v>843</v>
      </c>
      <c r="H5520" s="2" t="s">
        <v>27154</v>
      </c>
      <c r="I5520" s="2" t="s">
        <v>27155</v>
      </c>
      <c r="J5520" s="2" t="s">
        <v>27156</v>
      </c>
      <c r="K5520" s="2" t="s">
        <v>861</v>
      </c>
      <c r="L5520" s="2" t="s">
        <v>25304</v>
      </c>
      <c r="M5520" s="2" t="s">
        <v>27157</v>
      </c>
      <c r="N5520" s="2" t="s">
        <v>27158</v>
      </c>
      <c r="O5520" s="2" t="s">
        <v>27159</v>
      </c>
      <c r="P5520" s="2" t="s">
        <v>869</v>
      </c>
    </row>
    <row r="5521" ht="15.75" customHeight="1">
      <c r="H5521" s="2" t="s">
        <v>27160</v>
      </c>
      <c r="I5521" s="2" t="s">
        <v>27161</v>
      </c>
      <c r="J5521" s="2" t="s">
        <v>27162</v>
      </c>
      <c r="L5521" s="2" t="s">
        <v>25304</v>
      </c>
      <c r="M5521" s="2" t="s">
        <v>27163</v>
      </c>
      <c r="N5521" s="2" t="s">
        <v>27164</v>
      </c>
      <c r="O5521" s="2" t="s">
        <v>869</v>
      </c>
      <c r="P5521" s="2" t="s">
        <v>870</v>
      </c>
    </row>
    <row r="5522" ht="15.75" customHeight="1">
      <c r="H5522" s="2" t="s">
        <v>27165</v>
      </c>
      <c r="I5522" s="2" t="s">
        <v>4127</v>
      </c>
      <c r="J5522" s="2" t="s">
        <v>4128</v>
      </c>
      <c r="K5522" s="2" t="s">
        <v>2937</v>
      </c>
      <c r="L5522" s="2" t="s">
        <v>25304</v>
      </c>
      <c r="M5522" s="2" t="s">
        <v>27166</v>
      </c>
      <c r="N5522" s="2" t="s">
        <v>27167</v>
      </c>
      <c r="O5522" s="2" t="s">
        <v>27168</v>
      </c>
      <c r="P5522" s="2" t="s">
        <v>869</v>
      </c>
    </row>
    <row r="5523" ht="15.75" customHeight="1">
      <c r="H5523" s="2" t="s">
        <v>27169</v>
      </c>
      <c r="I5523" s="2" t="s">
        <v>5192</v>
      </c>
      <c r="J5523" s="2" t="s">
        <v>5193</v>
      </c>
      <c r="K5523" s="2" t="s">
        <v>1319</v>
      </c>
      <c r="L5523" s="2" t="s">
        <v>25304</v>
      </c>
      <c r="M5523" s="2" t="s">
        <v>27170</v>
      </c>
      <c r="N5523" s="2" t="s">
        <v>27171</v>
      </c>
      <c r="O5523" s="2" t="s">
        <v>869</v>
      </c>
      <c r="P5523" s="2" t="s">
        <v>870</v>
      </c>
    </row>
    <row r="5524" ht="15.75" customHeight="1">
      <c r="H5524" s="2" t="s">
        <v>27172</v>
      </c>
      <c r="I5524" s="2" t="s">
        <v>27173</v>
      </c>
      <c r="J5524" s="2" t="s">
        <v>27174</v>
      </c>
      <c r="K5524" s="2" t="s">
        <v>1169</v>
      </c>
      <c r="L5524" s="2" t="s">
        <v>25304</v>
      </c>
      <c r="M5524" s="2" t="s">
        <v>27175</v>
      </c>
      <c r="N5524" s="2" t="s">
        <v>27176</v>
      </c>
      <c r="O5524" s="2" t="s">
        <v>869</v>
      </c>
      <c r="P5524" s="2" t="s">
        <v>870</v>
      </c>
    </row>
    <row r="5525" ht="15.75" customHeight="1">
      <c r="H5525" s="2" t="s">
        <v>27177</v>
      </c>
      <c r="I5525" s="2" t="s">
        <v>27178</v>
      </c>
      <c r="J5525" s="2" t="s">
        <v>27179</v>
      </c>
      <c r="K5525" s="2" t="s">
        <v>1175</v>
      </c>
      <c r="L5525" s="2" t="s">
        <v>25304</v>
      </c>
      <c r="M5525" s="2" t="s">
        <v>27180</v>
      </c>
      <c r="N5525" s="2" t="s">
        <v>27181</v>
      </c>
      <c r="O5525" s="2" t="s">
        <v>869</v>
      </c>
      <c r="P5525" s="2" t="s">
        <v>870</v>
      </c>
    </row>
    <row r="5526" ht="15.75" customHeight="1">
      <c r="H5526" s="2" t="s">
        <v>27182</v>
      </c>
      <c r="I5526" s="2" t="s">
        <v>845</v>
      </c>
      <c r="J5526" s="2" t="s">
        <v>846</v>
      </c>
      <c r="K5526" s="2" t="s">
        <v>1975</v>
      </c>
      <c r="L5526" s="2" t="s">
        <v>25304</v>
      </c>
      <c r="M5526" s="2" t="s">
        <v>27183</v>
      </c>
      <c r="N5526" s="2" t="s">
        <v>27184</v>
      </c>
      <c r="O5526" s="2" t="s">
        <v>27185</v>
      </c>
      <c r="P5526" s="2" t="s">
        <v>869</v>
      </c>
    </row>
    <row r="5527" ht="15.75" customHeight="1">
      <c r="H5527" s="2" t="s">
        <v>27186</v>
      </c>
      <c r="I5527" s="2" t="s">
        <v>27187</v>
      </c>
      <c r="J5527" s="2" t="s">
        <v>27188</v>
      </c>
      <c r="K5527" s="2" t="s">
        <v>1205</v>
      </c>
      <c r="L5527" s="2" t="s">
        <v>25304</v>
      </c>
      <c r="M5527" s="2" t="s">
        <v>27189</v>
      </c>
      <c r="N5527" s="2" t="s">
        <v>27190</v>
      </c>
      <c r="O5527" s="2" t="s">
        <v>27191</v>
      </c>
      <c r="P5527" s="2" t="s">
        <v>869</v>
      </c>
    </row>
    <row r="5528" ht="15.75" customHeight="1">
      <c r="F5528" s="2" t="s">
        <v>5257</v>
      </c>
      <c r="H5528" s="2" t="s">
        <v>27192</v>
      </c>
      <c r="I5528" s="2" t="s">
        <v>5272</v>
      </c>
      <c r="J5528" s="2" t="s">
        <v>5273</v>
      </c>
      <c r="K5528" s="2" t="s">
        <v>900</v>
      </c>
      <c r="L5528" s="2" t="s">
        <v>25304</v>
      </c>
      <c r="M5528" s="2" t="s">
        <v>27193</v>
      </c>
      <c r="N5528" s="2" t="s">
        <v>27194</v>
      </c>
      <c r="O5528" s="2" t="s">
        <v>27195</v>
      </c>
      <c r="P5528" s="2" t="s">
        <v>869</v>
      </c>
    </row>
    <row r="5529" ht="15.75" customHeight="1">
      <c r="H5529" s="2" t="s">
        <v>27196</v>
      </c>
      <c r="I5529" s="2" t="s">
        <v>27197</v>
      </c>
      <c r="J5529" s="2" t="s">
        <v>27198</v>
      </c>
      <c r="K5529" s="2" t="s">
        <v>2937</v>
      </c>
      <c r="L5529" s="2" t="s">
        <v>25304</v>
      </c>
      <c r="M5529" s="2" t="s">
        <v>27199</v>
      </c>
      <c r="N5529" s="2" t="s">
        <v>27200</v>
      </c>
      <c r="O5529" s="2" t="s">
        <v>27201</v>
      </c>
      <c r="P5529" s="2" t="s">
        <v>869</v>
      </c>
    </row>
    <row r="5530" ht="15.75" customHeight="1">
      <c r="B5530" s="2" t="s">
        <v>27202</v>
      </c>
      <c r="C5530" s="2" t="s">
        <v>27203</v>
      </c>
      <c r="D5530" s="2" t="s">
        <v>27204</v>
      </c>
      <c r="F5530" s="2" t="s">
        <v>29</v>
      </c>
      <c r="H5530" s="2" t="s">
        <v>27205</v>
      </c>
      <c r="I5530" s="2" t="s">
        <v>18508</v>
      </c>
      <c r="J5530" s="2" t="s">
        <v>18509</v>
      </c>
      <c r="K5530" s="2" t="s">
        <v>859</v>
      </c>
      <c r="L5530" s="2" t="s">
        <v>27206</v>
      </c>
      <c r="M5530" s="2" t="s">
        <v>27207</v>
      </c>
      <c r="N5530" s="2" t="s">
        <v>869</v>
      </c>
      <c r="O5530" s="2" t="s">
        <v>870</v>
      </c>
    </row>
    <row r="5531" ht="15.75" customHeight="1">
      <c r="H5531" s="2" t="s">
        <v>27208</v>
      </c>
      <c r="I5531" s="2" t="s">
        <v>27209</v>
      </c>
      <c r="J5531" s="2" t="s">
        <v>27210</v>
      </c>
      <c r="K5531" s="2" t="s">
        <v>861</v>
      </c>
      <c r="L5531" s="2" t="s">
        <v>27211</v>
      </c>
      <c r="M5531" s="2" t="s">
        <v>869</v>
      </c>
      <c r="N5531" s="2" t="s">
        <v>870</v>
      </c>
    </row>
    <row r="5532" ht="15.75" customHeight="1">
      <c r="H5532" s="2" t="s">
        <v>27212</v>
      </c>
      <c r="I5532" s="2" t="s">
        <v>27213</v>
      </c>
      <c r="J5532" s="2" t="s">
        <v>27214</v>
      </c>
      <c r="K5532" s="2" t="s">
        <v>280</v>
      </c>
      <c r="L5532" s="2" t="s">
        <v>27215</v>
      </c>
      <c r="M5532" s="2" t="s">
        <v>869</v>
      </c>
      <c r="N5532" s="2" t="s">
        <v>870</v>
      </c>
    </row>
    <row r="5533" ht="15.75" customHeight="1">
      <c r="H5533" s="2" t="s">
        <v>27216</v>
      </c>
      <c r="I5533" s="2" t="s">
        <v>1110</v>
      </c>
      <c r="J5533" s="2" t="s">
        <v>1111</v>
      </c>
      <c r="K5533" s="2" t="s">
        <v>865</v>
      </c>
      <c r="L5533" s="2" t="s">
        <v>27217</v>
      </c>
      <c r="M5533" s="2" t="s">
        <v>869</v>
      </c>
      <c r="N5533" s="2" t="s">
        <v>870</v>
      </c>
    </row>
    <row r="5534" ht="15.75" customHeight="1">
      <c r="H5534" s="2" t="s">
        <v>27218</v>
      </c>
      <c r="I5534" s="2" t="s">
        <v>27219</v>
      </c>
      <c r="J5534" s="2" t="s">
        <v>27220</v>
      </c>
      <c r="K5534" s="2" t="s">
        <v>2252</v>
      </c>
      <c r="L5534" s="2" t="s">
        <v>27221</v>
      </c>
      <c r="M5534" s="2" t="s">
        <v>869</v>
      </c>
      <c r="N5534" s="2" t="s">
        <v>870</v>
      </c>
    </row>
    <row r="5535" ht="15.75" customHeight="1">
      <c r="H5535" s="2" t="s">
        <v>27222</v>
      </c>
      <c r="I5535" s="2" t="s">
        <v>27223</v>
      </c>
      <c r="J5535" s="2" t="s">
        <v>27224</v>
      </c>
      <c r="K5535" s="2" t="s">
        <v>1467</v>
      </c>
      <c r="L5535" s="2" t="s">
        <v>27225</v>
      </c>
      <c r="M5535" s="2" t="s">
        <v>869</v>
      </c>
      <c r="N5535" s="2" t="s">
        <v>870</v>
      </c>
    </row>
    <row r="5536" ht="15.75" customHeight="1">
      <c r="H5536" s="2" t="s">
        <v>27226</v>
      </c>
      <c r="I5536" s="2" t="s">
        <v>31</v>
      </c>
      <c r="J5536" s="2" t="s">
        <v>32</v>
      </c>
      <c r="K5536" s="2" t="s">
        <v>874</v>
      </c>
      <c r="L5536" s="2" t="s">
        <v>27227</v>
      </c>
      <c r="M5536" s="2" t="s">
        <v>27228</v>
      </c>
      <c r="N5536" s="2" t="s">
        <v>869</v>
      </c>
      <c r="O5536" s="2" t="s">
        <v>870</v>
      </c>
    </row>
    <row r="5537" ht="15.75" customHeight="1">
      <c r="H5537" s="2" t="s">
        <v>27229</v>
      </c>
      <c r="I5537" s="2" t="s">
        <v>27230</v>
      </c>
      <c r="J5537" s="2" t="s">
        <v>27231</v>
      </c>
      <c r="K5537" s="2" t="s">
        <v>880</v>
      </c>
      <c r="L5537" s="2" t="s">
        <v>27232</v>
      </c>
      <c r="M5537" s="2" t="s">
        <v>869</v>
      </c>
      <c r="N5537" s="2" t="s">
        <v>870</v>
      </c>
    </row>
    <row r="5538" ht="15.75" customHeight="1">
      <c r="H5538" s="2" t="s">
        <v>27233</v>
      </c>
      <c r="I5538" s="2" t="s">
        <v>27234</v>
      </c>
      <c r="J5538" s="2" t="s">
        <v>27235</v>
      </c>
      <c r="K5538" s="2" t="s">
        <v>1038</v>
      </c>
      <c r="L5538" s="2" t="s">
        <v>27236</v>
      </c>
      <c r="M5538" s="2" t="s">
        <v>869</v>
      </c>
      <c r="N5538" s="2" t="s">
        <v>870</v>
      </c>
    </row>
    <row r="5539" ht="15.75" customHeight="1">
      <c r="H5539" s="2" t="s">
        <v>27237</v>
      </c>
      <c r="I5539" s="2" t="s">
        <v>1134</v>
      </c>
      <c r="J5539" s="2" t="s">
        <v>1135</v>
      </c>
      <c r="K5539" s="2" t="s">
        <v>1136</v>
      </c>
      <c r="L5539" s="2" t="s">
        <v>27238</v>
      </c>
      <c r="M5539" s="2" t="s">
        <v>869</v>
      </c>
      <c r="N5539" s="2" t="s">
        <v>870</v>
      </c>
    </row>
    <row r="5540" ht="15.75" customHeight="1">
      <c r="H5540" s="2" t="s">
        <v>27239</v>
      </c>
      <c r="I5540" s="2" t="s">
        <v>27240</v>
      </c>
      <c r="J5540" s="2" t="s">
        <v>27241</v>
      </c>
      <c r="K5540" s="2" t="s">
        <v>896</v>
      </c>
      <c r="L5540" s="2" t="s">
        <v>27242</v>
      </c>
      <c r="M5540" s="2" t="s">
        <v>27243</v>
      </c>
      <c r="N5540" s="2" t="s">
        <v>869</v>
      </c>
      <c r="O5540" s="2" t="s">
        <v>870</v>
      </c>
    </row>
    <row r="5541" ht="15.75" customHeight="1">
      <c r="H5541" s="2" t="s">
        <v>27244</v>
      </c>
      <c r="I5541" s="2" t="s">
        <v>27245</v>
      </c>
      <c r="J5541" s="2" t="s">
        <v>27246</v>
      </c>
      <c r="K5541" s="2" t="s">
        <v>283</v>
      </c>
      <c r="L5541" s="2" t="s">
        <v>27247</v>
      </c>
      <c r="M5541" s="2" t="s">
        <v>27248</v>
      </c>
      <c r="N5541" s="2" t="s">
        <v>869</v>
      </c>
      <c r="O5541" s="2" t="s">
        <v>870</v>
      </c>
    </row>
    <row r="5542" ht="15.75" customHeight="1">
      <c r="H5542" s="2" t="s">
        <v>27249</v>
      </c>
      <c r="I5542" s="2" t="s">
        <v>27250</v>
      </c>
      <c r="J5542" s="2" t="s">
        <v>27251</v>
      </c>
      <c r="K5542" s="2" t="s">
        <v>1508</v>
      </c>
      <c r="L5542" s="2" t="s">
        <v>27252</v>
      </c>
      <c r="M5542" s="2" t="s">
        <v>869</v>
      </c>
      <c r="N5542" s="2" t="s">
        <v>870</v>
      </c>
    </row>
    <row r="5543" ht="15.75" customHeight="1">
      <c r="H5543" s="2" t="s">
        <v>27253</v>
      </c>
      <c r="I5543" s="2" t="s">
        <v>2201</v>
      </c>
      <c r="J5543" s="2" t="s">
        <v>2202</v>
      </c>
      <c r="K5543" s="2" t="s">
        <v>906</v>
      </c>
      <c r="L5543" s="2" t="s">
        <v>27254</v>
      </c>
      <c r="M5543" s="2" t="s">
        <v>27255</v>
      </c>
      <c r="N5543" s="2" t="s">
        <v>869</v>
      </c>
      <c r="O5543" s="2" t="s">
        <v>870</v>
      </c>
    </row>
    <row r="5544" ht="15.75" customHeight="1">
      <c r="H5544" s="2" t="s">
        <v>27256</v>
      </c>
      <c r="I5544" s="2" t="s">
        <v>27257</v>
      </c>
      <c r="J5544" s="2" t="s">
        <v>27258</v>
      </c>
      <c r="K5544" s="2" t="s">
        <v>1418</v>
      </c>
      <c r="L5544" s="2" t="s">
        <v>27259</v>
      </c>
      <c r="M5544" s="2" t="s">
        <v>869</v>
      </c>
      <c r="N5544" s="2" t="s">
        <v>870</v>
      </c>
    </row>
    <row r="5545" ht="15.75" customHeight="1">
      <c r="H5545" s="2" t="s">
        <v>27260</v>
      </c>
      <c r="I5545" s="2" t="s">
        <v>27261</v>
      </c>
      <c r="J5545" s="2" t="s">
        <v>27262</v>
      </c>
      <c r="K5545" s="2" t="s">
        <v>1952</v>
      </c>
      <c r="L5545" s="2" t="s">
        <v>27263</v>
      </c>
      <c r="M5545" s="2" t="s">
        <v>869</v>
      </c>
      <c r="N5545" s="2" t="s">
        <v>870</v>
      </c>
    </row>
    <row r="5546" ht="15.75" customHeight="1">
      <c r="H5546" s="2" t="s">
        <v>27264</v>
      </c>
      <c r="I5546" s="2" t="s">
        <v>27265</v>
      </c>
      <c r="J5546" s="2" t="s">
        <v>27266</v>
      </c>
      <c r="K5546" s="2" t="s">
        <v>2203</v>
      </c>
      <c r="L5546" s="2" t="s">
        <v>27267</v>
      </c>
      <c r="M5546" s="2" t="s">
        <v>27268</v>
      </c>
      <c r="N5546" s="2" t="s">
        <v>869</v>
      </c>
      <c r="O5546" s="2" t="s">
        <v>870</v>
      </c>
    </row>
    <row r="5547" ht="15.75" customHeight="1">
      <c r="H5547" s="2" t="s">
        <v>27269</v>
      </c>
      <c r="I5547" s="2" t="s">
        <v>27270</v>
      </c>
      <c r="J5547" s="2" t="s">
        <v>27271</v>
      </c>
      <c r="K5547" s="2" t="s">
        <v>1331</v>
      </c>
      <c r="L5547" s="2" t="s">
        <v>27272</v>
      </c>
      <c r="M5547" s="2" t="s">
        <v>869</v>
      </c>
      <c r="N5547" s="2" t="s">
        <v>870</v>
      </c>
    </row>
    <row r="5548" ht="15.75" customHeight="1">
      <c r="H5548" s="2" t="s">
        <v>27273</v>
      </c>
      <c r="I5548" s="2" t="s">
        <v>3472</v>
      </c>
      <c r="J5548" s="2" t="s">
        <v>3473</v>
      </c>
      <c r="K5548" s="2" t="s">
        <v>2171</v>
      </c>
      <c r="L5548" s="2" t="s">
        <v>27274</v>
      </c>
      <c r="M5548" s="2" t="s">
        <v>869</v>
      </c>
      <c r="N5548" s="2" t="s">
        <v>870</v>
      </c>
    </row>
    <row r="5549" ht="15.75" customHeight="1">
      <c r="H5549" s="2" t="s">
        <v>27275</v>
      </c>
      <c r="I5549" s="2" t="s">
        <v>1179</v>
      </c>
      <c r="J5549" s="2" t="s">
        <v>1180</v>
      </c>
      <c r="K5549" s="2" t="s">
        <v>1181</v>
      </c>
      <c r="L5549" s="2" t="s">
        <v>27276</v>
      </c>
      <c r="M5549" s="2" t="s">
        <v>27277</v>
      </c>
      <c r="N5549" s="2" t="s">
        <v>869</v>
      </c>
      <c r="O5549" s="2" t="s">
        <v>870</v>
      </c>
    </row>
    <row r="5550" ht="15.75" customHeight="1">
      <c r="H5550" s="2" t="s">
        <v>27278</v>
      </c>
      <c r="I5550" s="2" t="s">
        <v>27279</v>
      </c>
      <c r="J5550" s="2" t="s">
        <v>27280</v>
      </c>
      <c r="K5550" s="2" t="s">
        <v>1439</v>
      </c>
      <c r="L5550" s="2" t="s">
        <v>27281</v>
      </c>
      <c r="M5550" s="2" t="s">
        <v>869</v>
      </c>
      <c r="N5550" s="2" t="s">
        <v>870</v>
      </c>
    </row>
    <row r="5551" ht="15.75" customHeight="1">
      <c r="H5551" s="2" t="s">
        <v>27282</v>
      </c>
      <c r="I5551" s="2" t="s">
        <v>27283</v>
      </c>
      <c r="J5551" s="2" t="s">
        <v>27284</v>
      </c>
      <c r="K5551" s="2" t="s">
        <v>3298</v>
      </c>
      <c r="L5551" s="2" t="s">
        <v>27285</v>
      </c>
      <c r="M5551" s="2" t="s">
        <v>869</v>
      </c>
      <c r="N5551" s="2" t="s">
        <v>870</v>
      </c>
    </row>
    <row r="5552" ht="15.75" customHeight="1">
      <c r="H5552" s="2" t="s">
        <v>27286</v>
      </c>
      <c r="I5552" s="2" t="s">
        <v>27287</v>
      </c>
      <c r="J5552" s="2" t="s">
        <v>27288</v>
      </c>
      <c r="K5552" s="2" t="s">
        <v>1049</v>
      </c>
      <c r="L5552" s="2" t="s">
        <v>27289</v>
      </c>
      <c r="M5552" s="2" t="s">
        <v>869</v>
      </c>
      <c r="N5552" s="2" t="s">
        <v>870</v>
      </c>
    </row>
    <row r="5553" ht="15.75" customHeight="1">
      <c r="H5553" s="2" t="s">
        <v>27290</v>
      </c>
      <c r="I5553" s="2" t="s">
        <v>27291</v>
      </c>
      <c r="J5553" s="2" t="s">
        <v>27292</v>
      </c>
      <c r="K5553" s="2" t="s">
        <v>1618</v>
      </c>
      <c r="L5553" s="2" t="s">
        <v>27293</v>
      </c>
      <c r="M5553" s="2" t="s">
        <v>869</v>
      </c>
      <c r="N5553" s="2" t="s">
        <v>870</v>
      </c>
    </row>
    <row r="5554" ht="15.75" customHeight="1">
      <c r="H5554" s="2" t="s">
        <v>27294</v>
      </c>
      <c r="I5554" s="2" t="s">
        <v>27295</v>
      </c>
      <c r="J5554" s="2" t="s">
        <v>27296</v>
      </c>
      <c r="K5554" s="2" t="s">
        <v>1199</v>
      </c>
      <c r="L5554" s="2" t="s">
        <v>27297</v>
      </c>
      <c r="M5554" s="2" t="s">
        <v>27298</v>
      </c>
      <c r="N5554" s="2" t="s">
        <v>869</v>
      </c>
      <c r="O5554" s="2" t="s">
        <v>870</v>
      </c>
    </row>
    <row r="5555" ht="15.75" customHeight="1">
      <c r="H5555" s="2" t="s">
        <v>27299</v>
      </c>
      <c r="I5555" s="2" t="s">
        <v>18563</v>
      </c>
      <c r="J5555" s="2" t="s">
        <v>18564</v>
      </c>
      <c r="K5555" s="2" t="s">
        <v>2594</v>
      </c>
      <c r="L5555" s="2" t="s">
        <v>27300</v>
      </c>
      <c r="M5555" s="2" t="s">
        <v>27301</v>
      </c>
      <c r="N5555" s="2" t="s">
        <v>869</v>
      </c>
      <c r="O5555" s="2" t="s">
        <v>870</v>
      </c>
    </row>
    <row r="5556" ht="15.75" customHeight="1">
      <c r="H5556" s="2" t="s">
        <v>27302</v>
      </c>
      <c r="I5556" s="2" t="s">
        <v>27303</v>
      </c>
      <c r="J5556" s="2" t="s">
        <v>27304</v>
      </c>
      <c r="K5556" s="2" t="s">
        <v>5089</v>
      </c>
      <c r="L5556" s="2" t="s">
        <v>27305</v>
      </c>
      <c r="M5556" s="2" t="s">
        <v>869</v>
      </c>
      <c r="N5556" s="2" t="s">
        <v>870</v>
      </c>
    </row>
    <row r="5557" ht="15.75" customHeight="1">
      <c r="H5557" s="2" t="s">
        <v>27306</v>
      </c>
      <c r="I5557" s="2" t="s">
        <v>27307</v>
      </c>
      <c r="J5557" s="2" t="s">
        <v>27308</v>
      </c>
      <c r="K5557" s="2" t="s">
        <v>11991</v>
      </c>
      <c r="L5557" s="2" t="s">
        <v>27309</v>
      </c>
      <c r="M5557" s="2" t="s">
        <v>869</v>
      </c>
      <c r="N5557" s="2" t="s">
        <v>870</v>
      </c>
    </row>
    <row r="5558" ht="15.75" customHeight="1">
      <c r="H5558" s="2" t="s">
        <v>27310</v>
      </c>
      <c r="I5558" s="2" t="s">
        <v>27311</v>
      </c>
      <c r="J5558" s="2" t="s">
        <v>27312</v>
      </c>
      <c r="K5558" s="2" t="s">
        <v>27313</v>
      </c>
      <c r="L5558" s="2" t="s">
        <v>27314</v>
      </c>
      <c r="M5558" s="2" t="s">
        <v>869</v>
      </c>
      <c r="N5558" s="2" t="s">
        <v>870</v>
      </c>
    </row>
    <row r="5559" ht="15.75" customHeight="1">
      <c r="H5559" s="2" t="s">
        <v>27315</v>
      </c>
      <c r="I5559" s="2" t="s">
        <v>27316</v>
      </c>
      <c r="J5559" s="2" t="s">
        <v>27317</v>
      </c>
      <c r="K5559" s="2" t="s">
        <v>2003</v>
      </c>
      <c r="L5559" s="2" t="s">
        <v>27318</v>
      </c>
      <c r="M5559" s="2" t="s">
        <v>869</v>
      </c>
      <c r="N5559" s="2" t="s">
        <v>870</v>
      </c>
    </row>
    <row r="5560" ht="15.75" customHeight="1">
      <c r="H5560" s="2" t="s">
        <v>27319</v>
      </c>
      <c r="I5560" s="2" t="s">
        <v>27320</v>
      </c>
      <c r="J5560" s="2" t="s">
        <v>27321</v>
      </c>
      <c r="K5560" s="2" t="s">
        <v>5101</v>
      </c>
      <c r="L5560" s="2" t="s">
        <v>27322</v>
      </c>
      <c r="M5560" s="2" t="s">
        <v>869</v>
      </c>
      <c r="N5560" s="2" t="s">
        <v>870</v>
      </c>
    </row>
    <row r="5561" ht="15.75" customHeight="1">
      <c r="H5561" s="2" t="s">
        <v>27323</v>
      </c>
      <c r="I5561" s="2" t="s">
        <v>1215</v>
      </c>
      <c r="J5561" s="2" t="s">
        <v>1216</v>
      </c>
      <c r="K5561" s="2" t="s">
        <v>1217</v>
      </c>
      <c r="L5561" s="2" t="s">
        <v>27324</v>
      </c>
      <c r="M5561" s="2" t="s">
        <v>869</v>
      </c>
      <c r="N5561" s="2" t="s">
        <v>870</v>
      </c>
    </row>
    <row r="5562" ht="15.75" customHeight="1">
      <c r="H5562" s="2" t="s">
        <v>27325</v>
      </c>
      <c r="I5562" s="2" t="s">
        <v>1506</v>
      </c>
      <c r="J5562" s="2" t="s">
        <v>1507</v>
      </c>
      <c r="K5562" s="2" t="s">
        <v>1637</v>
      </c>
      <c r="L5562" s="2" t="s">
        <v>27326</v>
      </c>
      <c r="M5562" s="2" t="s">
        <v>27327</v>
      </c>
      <c r="N5562" s="2" t="s">
        <v>869</v>
      </c>
      <c r="O5562" s="2" t="s">
        <v>870</v>
      </c>
    </row>
    <row r="5563" ht="15.75" customHeight="1">
      <c r="H5563" s="2" t="s">
        <v>27328</v>
      </c>
      <c r="I5563" s="2" t="s">
        <v>27329</v>
      </c>
      <c r="J5563" s="2" t="s">
        <v>27330</v>
      </c>
      <c r="K5563" s="2" t="s">
        <v>5106</v>
      </c>
      <c r="L5563" s="2" t="s">
        <v>27331</v>
      </c>
      <c r="M5563" s="2" t="s">
        <v>869</v>
      </c>
      <c r="N5563" s="2" t="s">
        <v>870</v>
      </c>
    </row>
    <row r="5564" ht="15.75" customHeight="1">
      <c r="H5564" s="2" t="s">
        <v>27332</v>
      </c>
      <c r="I5564" s="2" t="s">
        <v>18578</v>
      </c>
      <c r="J5564" s="2" t="s">
        <v>18579</v>
      </c>
      <c r="K5564" s="2" t="s">
        <v>2236</v>
      </c>
      <c r="L5564" s="2" t="s">
        <v>27333</v>
      </c>
      <c r="M5564" s="2" t="s">
        <v>27334</v>
      </c>
      <c r="N5564" s="2" t="s">
        <v>869</v>
      </c>
      <c r="O5564" s="2" t="s">
        <v>870</v>
      </c>
    </row>
    <row r="5565" ht="15.75" customHeight="1">
      <c r="F5565" s="2" t="s">
        <v>27335</v>
      </c>
      <c r="H5565" s="2" t="s">
        <v>27336</v>
      </c>
      <c r="I5565" s="2" t="s">
        <v>1447</v>
      </c>
      <c r="J5565" s="2" t="s">
        <v>1448</v>
      </c>
      <c r="K5565" s="2" t="s">
        <v>859</v>
      </c>
      <c r="L5565" s="2" t="s">
        <v>27337</v>
      </c>
      <c r="M5565" s="2" t="s">
        <v>869</v>
      </c>
      <c r="N5565" s="2" t="s">
        <v>870</v>
      </c>
    </row>
    <row r="5566" ht="15.75" customHeight="1">
      <c r="H5566" s="2" t="s">
        <v>27338</v>
      </c>
      <c r="I5566" s="2" t="s">
        <v>27339</v>
      </c>
      <c r="J5566" s="2" t="s">
        <v>27340</v>
      </c>
      <c r="K5566" s="2" t="s">
        <v>861</v>
      </c>
      <c r="L5566" s="2" t="s">
        <v>27341</v>
      </c>
      <c r="M5566" s="2" t="s">
        <v>869</v>
      </c>
      <c r="N5566" s="2" t="s">
        <v>870</v>
      </c>
    </row>
    <row r="5567" ht="15.75" customHeight="1">
      <c r="H5567" s="2" t="s">
        <v>27342</v>
      </c>
      <c r="I5567" s="2" t="s">
        <v>27343</v>
      </c>
      <c r="J5567" s="2" t="s">
        <v>27344</v>
      </c>
      <c r="K5567" s="2" t="s">
        <v>277</v>
      </c>
      <c r="L5567" s="2" t="s">
        <v>27345</v>
      </c>
      <c r="M5567" s="2" t="s">
        <v>27346</v>
      </c>
      <c r="N5567" s="2" t="s">
        <v>869</v>
      </c>
      <c r="O5567" s="2" t="s">
        <v>870</v>
      </c>
    </row>
    <row r="5568" ht="15.75" customHeight="1">
      <c r="H5568" s="2" t="s">
        <v>27347</v>
      </c>
      <c r="I5568" s="2" t="s">
        <v>27348</v>
      </c>
      <c r="J5568" s="2" t="s">
        <v>27349</v>
      </c>
      <c r="K5568" s="2" t="s">
        <v>1362</v>
      </c>
      <c r="L5568" s="2" t="s">
        <v>27350</v>
      </c>
      <c r="M5568" s="2" t="s">
        <v>869</v>
      </c>
      <c r="N5568" s="2" t="s">
        <v>870</v>
      </c>
    </row>
    <row r="5569" ht="15.75" customHeight="1">
      <c r="H5569" s="2" t="s">
        <v>27351</v>
      </c>
      <c r="I5569" s="2" t="s">
        <v>67</v>
      </c>
      <c r="J5569" s="2" t="s">
        <v>68</v>
      </c>
      <c r="K5569" s="2" t="s">
        <v>280</v>
      </c>
      <c r="L5569" s="2" t="s">
        <v>27352</v>
      </c>
      <c r="M5569" s="2" t="s">
        <v>27353</v>
      </c>
      <c r="N5569" s="2" t="s">
        <v>869</v>
      </c>
      <c r="O5569" s="2" t="s">
        <v>870</v>
      </c>
    </row>
    <row r="5570" ht="15.75" customHeight="1">
      <c r="H5570" s="2" t="s">
        <v>27354</v>
      </c>
      <c r="I5570" s="2" t="s">
        <v>27355</v>
      </c>
      <c r="J5570" s="2" t="s">
        <v>27356</v>
      </c>
      <c r="K5570" s="2" t="s">
        <v>1878</v>
      </c>
      <c r="L5570" s="2" t="s">
        <v>27357</v>
      </c>
      <c r="M5570" s="2" t="s">
        <v>869</v>
      </c>
      <c r="N5570" s="2" t="s">
        <v>870</v>
      </c>
    </row>
    <row r="5571" ht="15.75" customHeight="1">
      <c r="H5571" s="2" t="s">
        <v>27358</v>
      </c>
      <c r="I5571" s="2" t="s">
        <v>27359</v>
      </c>
      <c r="J5571" s="2" t="s">
        <v>27360</v>
      </c>
      <c r="K5571" s="2" t="s">
        <v>1117</v>
      </c>
      <c r="L5571" s="2" t="s">
        <v>27361</v>
      </c>
      <c r="M5571" s="2" t="s">
        <v>869</v>
      </c>
      <c r="N5571" s="2" t="s">
        <v>870</v>
      </c>
    </row>
    <row r="5572" ht="15.75" customHeight="1">
      <c r="H5572" s="2" t="s">
        <v>27362</v>
      </c>
      <c r="I5572" s="2" t="s">
        <v>27363</v>
      </c>
      <c r="J5572" s="2" t="s">
        <v>27364</v>
      </c>
      <c r="K5572" s="2" t="s">
        <v>1368</v>
      </c>
      <c r="L5572" s="2" t="s">
        <v>27365</v>
      </c>
      <c r="M5572" s="2" t="s">
        <v>869</v>
      </c>
      <c r="N5572" s="2" t="s">
        <v>870</v>
      </c>
    </row>
    <row r="5573" ht="15.75" customHeight="1">
      <c r="H5573" s="2" t="s">
        <v>27366</v>
      </c>
      <c r="I5573" s="2" t="s">
        <v>27367</v>
      </c>
      <c r="J5573" s="2" t="s">
        <v>27368</v>
      </c>
      <c r="K5573" s="2" t="s">
        <v>958</v>
      </c>
      <c r="L5573" s="2" t="s">
        <v>27369</v>
      </c>
      <c r="M5573" s="2" t="s">
        <v>869</v>
      </c>
      <c r="N5573" s="2" t="s">
        <v>870</v>
      </c>
    </row>
    <row r="5574" ht="15.75" customHeight="1">
      <c r="H5574" s="2" t="s">
        <v>27370</v>
      </c>
      <c r="I5574" s="2" t="s">
        <v>27371</v>
      </c>
      <c r="J5574" s="2" t="s">
        <v>27372</v>
      </c>
      <c r="K5574" s="2" t="s">
        <v>970</v>
      </c>
      <c r="L5574" s="2" t="s">
        <v>27373</v>
      </c>
      <c r="M5574" s="2" t="s">
        <v>27374</v>
      </c>
      <c r="N5574" s="2" t="s">
        <v>869</v>
      </c>
      <c r="O5574" s="2" t="s">
        <v>870</v>
      </c>
    </row>
    <row r="5575" ht="15.75" customHeight="1">
      <c r="H5575" s="2" t="s">
        <v>27375</v>
      </c>
      <c r="I5575" s="2" t="s">
        <v>27376</v>
      </c>
      <c r="J5575" s="2" t="s">
        <v>27377</v>
      </c>
      <c r="K5575" s="2" t="s">
        <v>1551</v>
      </c>
      <c r="L5575" s="2" t="s">
        <v>27378</v>
      </c>
      <c r="M5575" s="2" t="s">
        <v>869</v>
      </c>
      <c r="N5575" s="2" t="s">
        <v>870</v>
      </c>
    </row>
    <row r="5576" ht="15.75" customHeight="1">
      <c r="H5576" s="2" t="s">
        <v>27379</v>
      </c>
      <c r="I5576" s="2" t="s">
        <v>27380</v>
      </c>
      <c r="J5576" s="2" t="s">
        <v>27381</v>
      </c>
      <c r="K5576" s="2" t="s">
        <v>1136</v>
      </c>
      <c r="L5576" s="2" t="s">
        <v>27382</v>
      </c>
      <c r="M5576" s="2" t="s">
        <v>27383</v>
      </c>
      <c r="N5576" s="2" t="s">
        <v>869</v>
      </c>
      <c r="O5576" s="2" t="s">
        <v>870</v>
      </c>
    </row>
    <row r="5577" ht="15.75" customHeight="1">
      <c r="H5577" s="2" t="s">
        <v>27384</v>
      </c>
      <c r="I5577" s="2" t="s">
        <v>1506</v>
      </c>
      <c r="J5577" s="2" t="s">
        <v>1507</v>
      </c>
      <c r="K5577" s="2" t="s">
        <v>1508</v>
      </c>
      <c r="L5577" s="2" t="s">
        <v>27385</v>
      </c>
      <c r="M5577" s="2" t="s">
        <v>27386</v>
      </c>
      <c r="N5577" s="2" t="s">
        <v>869</v>
      </c>
      <c r="O5577" s="2" t="s">
        <v>870</v>
      </c>
    </row>
    <row r="5578" ht="15.75" customHeight="1">
      <c r="H5578" s="2" t="s">
        <v>27387</v>
      </c>
      <c r="I5578" s="2" t="s">
        <v>17156</v>
      </c>
      <c r="J5578" s="2" t="s">
        <v>17157</v>
      </c>
      <c r="K5578" s="2" t="s">
        <v>900</v>
      </c>
      <c r="L5578" s="2" t="s">
        <v>27388</v>
      </c>
      <c r="M5578" s="2" t="s">
        <v>869</v>
      </c>
      <c r="N5578" s="2" t="s">
        <v>870</v>
      </c>
    </row>
    <row r="5579" ht="15.75" customHeight="1">
      <c r="H5579" s="2" t="s">
        <v>27389</v>
      </c>
      <c r="I5579" s="2" t="s">
        <v>27390</v>
      </c>
      <c r="J5579" s="2" t="s">
        <v>27391</v>
      </c>
      <c r="K5579" s="2" t="s">
        <v>2937</v>
      </c>
      <c r="L5579" s="2" t="s">
        <v>27392</v>
      </c>
      <c r="M5579" s="2" t="s">
        <v>869</v>
      </c>
      <c r="N5579" s="2" t="s">
        <v>870</v>
      </c>
    </row>
    <row r="5580" ht="15.75" customHeight="1">
      <c r="H5580" s="2" t="s">
        <v>27393</v>
      </c>
      <c r="I5580" s="2" t="s">
        <v>27394</v>
      </c>
      <c r="J5580" s="2" t="s">
        <v>27395</v>
      </c>
      <c r="K5580" s="2" t="s">
        <v>906</v>
      </c>
      <c r="L5580" s="2" t="s">
        <v>27396</v>
      </c>
      <c r="M5580" s="2" t="s">
        <v>869</v>
      </c>
      <c r="N5580" s="2" t="s">
        <v>870</v>
      </c>
    </row>
    <row r="5581" ht="15.75" customHeight="1">
      <c r="F5581" s="2" t="s">
        <v>534</v>
      </c>
      <c r="H5581" s="2" t="s">
        <v>27397</v>
      </c>
      <c r="I5581" s="2" t="s">
        <v>284</v>
      </c>
      <c r="J5581" s="2" t="s">
        <v>284</v>
      </c>
      <c r="K5581" s="2" t="s">
        <v>1952</v>
      </c>
    </row>
    <row r="5582" ht="15.75" customHeight="1">
      <c r="H5582" s="2" t="s">
        <v>27398</v>
      </c>
      <c r="I5582" s="2" t="s">
        <v>536</v>
      </c>
      <c r="J5582" s="2" t="s">
        <v>537</v>
      </c>
      <c r="K5582" s="2" t="s">
        <v>538</v>
      </c>
    </row>
    <row r="5583" ht="15.75" customHeight="1">
      <c r="F5583" s="2" t="s">
        <v>539</v>
      </c>
      <c r="H5583" s="2" t="s">
        <v>27399</v>
      </c>
      <c r="I5583" s="2" t="s">
        <v>27400</v>
      </c>
      <c r="J5583" s="2" t="s">
        <v>27401</v>
      </c>
      <c r="L5583" s="2" t="s">
        <v>27402</v>
      </c>
      <c r="M5583" s="2" t="s">
        <v>869</v>
      </c>
      <c r="N5583" s="2" t="s">
        <v>870</v>
      </c>
    </row>
    <row r="5584" ht="15.75" customHeight="1">
      <c r="H5584" s="2" t="s">
        <v>27403</v>
      </c>
      <c r="I5584" s="2" t="s">
        <v>27213</v>
      </c>
      <c r="J5584" s="2" t="s">
        <v>27214</v>
      </c>
      <c r="K5584" s="2" t="s">
        <v>947</v>
      </c>
      <c r="L5584" s="2" t="s">
        <v>27404</v>
      </c>
      <c r="M5584" s="2" t="s">
        <v>869</v>
      </c>
      <c r="N5584" s="2" t="s">
        <v>870</v>
      </c>
    </row>
    <row r="5585" ht="15.75" customHeight="1">
      <c r="H5585" s="2" t="s">
        <v>27405</v>
      </c>
      <c r="I5585" s="2" t="s">
        <v>27406</v>
      </c>
      <c r="J5585" s="2" t="s">
        <v>27407</v>
      </c>
      <c r="K5585" s="2" t="s">
        <v>1362</v>
      </c>
      <c r="L5585" s="2" t="s">
        <v>27408</v>
      </c>
      <c r="M5585" s="2" t="s">
        <v>869</v>
      </c>
      <c r="N5585" s="2" t="s">
        <v>870</v>
      </c>
    </row>
    <row r="5586" ht="15.75" customHeight="1">
      <c r="H5586" s="2" t="s">
        <v>27409</v>
      </c>
      <c r="I5586" s="2" t="s">
        <v>2528</v>
      </c>
      <c r="J5586" s="2" t="s">
        <v>2529</v>
      </c>
      <c r="K5586" s="2" t="s">
        <v>1467</v>
      </c>
      <c r="L5586" s="2" t="s">
        <v>27410</v>
      </c>
      <c r="M5586" s="2" t="s">
        <v>869</v>
      </c>
      <c r="N5586" s="2" t="s">
        <v>870</v>
      </c>
    </row>
    <row r="5587" ht="15.75" customHeight="1">
      <c r="H5587" s="2" t="s">
        <v>27411</v>
      </c>
      <c r="I5587" s="2" t="s">
        <v>27412</v>
      </c>
      <c r="J5587" s="2" t="s">
        <v>27413</v>
      </c>
      <c r="K5587" s="2" t="s">
        <v>874</v>
      </c>
      <c r="L5587" s="2" t="s">
        <v>27414</v>
      </c>
      <c r="M5587" s="2" t="s">
        <v>27415</v>
      </c>
      <c r="N5587" s="2" t="s">
        <v>869</v>
      </c>
      <c r="O5587" s="2" t="s">
        <v>870</v>
      </c>
    </row>
    <row r="5588" ht="15.75" customHeight="1">
      <c r="H5588" s="2" t="s">
        <v>27416</v>
      </c>
      <c r="I5588" s="2" t="s">
        <v>27417</v>
      </c>
      <c r="J5588" s="2" t="s">
        <v>27418</v>
      </c>
      <c r="K5588" s="2" t="s">
        <v>1288</v>
      </c>
      <c r="L5588" s="2" t="s">
        <v>27419</v>
      </c>
      <c r="M5588" s="2" t="s">
        <v>27420</v>
      </c>
      <c r="N5588" s="2" t="s">
        <v>869</v>
      </c>
      <c r="O5588" s="2" t="s">
        <v>870</v>
      </c>
    </row>
    <row r="5589" ht="15.75" customHeight="1">
      <c r="H5589" s="2" t="s">
        <v>27421</v>
      </c>
      <c r="I5589" s="2" t="s">
        <v>27422</v>
      </c>
      <c r="J5589" s="2" t="s">
        <v>27423</v>
      </c>
      <c r="K5589" s="2" t="s">
        <v>1117</v>
      </c>
      <c r="L5589" s="2" t="s">
        <v>27424</v>
      </c>
      <c r="M5589" s="2" t="s">
        <v>869</v>
      </c>
      <c r="N5589" s="2" t="s">
        <v>870</v>
      </c>
    </row>
    <row r="5590" ht="15.75" customHeight="1">
      <c r="H5590" s="2" t="s">
        <v>27425</v>
      </c>
      <c r="I5590" s="2" t="s">
        <v>27426</v>
      </c>
      <c r="J5590" s="2" t="s">
        <v>27427</v>
      </c>
      <c r="K5590" s="2" t="s">
        <v>1368</v>
      </c>
      <c r="L5590" s="2" t="s">
        <v>27428</v>
      </c>
      <c r="M5590" s="2" t="s">
        <v>869</v>
      </c>
      <c r="N5590" s="2" t="s">
        <v>870</v>
      </c>
    </row>
    <row r="5591" ht="15.75" customHeight="1">
      <c r="H5591" s="2" t="s">
        <v>27429</v>
      </c>
      <c r="I5591" s="2" t="s">
        <v>27430</v>
      </c>
      <c r="J5591" s="2" t="s">
        <v>27431</v>
      </c>
      <c r="K5591" s="2" t="s">
        <v>963</v>
      </c>
      <c r="L5591" s="2" t="s">
        <v>27432</v>
      </c>
      <c r="M5591" s="2" t="s">
        <v>869</v>
      </c>
      <c r="N5591" s="2" t="s">
        <v>870</v>
      </c>
    </row>
    <row r="5592" ht="15.75" customHeight="1">
      <c r="H5592" s="2" t="s">
        <v>27433</v>
      </c>
      <c r="I5592" s="2" t="s">
        <v>27434</v>
      </c>
      <c r="J5592" s="2" t="s">
        <v>27435</v>
      </c>
      <c r="K5592" s="2" t="s">
        <v>1297</v>
      </c>
      <c r="L5592" s="2" t="s">
        <v>27436</v>
      </c>
      <c r="M5592" s="2" t="s">
        <v>869</v>
      </c>
      <c r="N5592" s="2" t="s">
        <v>870</v>
      </c>
    </row>
    <row r="5593" ht="15.75" customHeight="1">
      <c r="H5593" s="2" t="s">
        <v>27437</v>
      </c>
      <c r="I5593" s="2" t="s">
        <v>27438</v>
      </c>
      <c r="J5593" s="2" t="s">
        <v>27439</v>
      </c>
      <c r="K5593" s="2" t="s">
        <v>966</v>
      </c>
      <c r="L5593" s="2" t="s">
        <v>27440</v>
      </c>
      <c r="M5593" s="2" t="s">
        <v>869</v>
      </c>
      <c r="N5593" s="2" t="s">
        <v>870</v>
      </c>
    </row>
    <row r="5594" ht="15.75" customHeight="1">
      <c r="H5594" s="2" t="s">
        <v>27441</v>
      </c>
      <c r="I5594" s="2" t="s">
        <v>541</v>
      </c>
      <c r="J5594" s="2" t="s">
        <v>542</v>
      </c>
      <c r="K5594" s="2" t="s">
        <v>2737</v>
      </c>
      <c r="L5594" s="2" t="s">
        <v>27442</v>
      </c>
      <c r="M5594" s="2" t="s">
        <v>27443</v>
      </c>
      <c r="N5594" s="2" t="s">
        <v>869</v>
      </c>
      <c r="O5594" s="2" t="s">
        <v>870</v>
      </c>
    </row>
    <row r="5595" ht="15.75" customHeight="1">
      <c r="H5595" s="2" t="s">
        <v>27444</v>
      </c>
      <c r="I5595" s="2" t="s">
        <v>27445</v>
      </c>
      <c r="J5595" s="2" t="s">
        <v>27446</v>
      </c>
      <c r="K5595" s="2" t="s">
        <v>1128</v>
      </c>
      <c r="L5595" s="2" t="s">
        <v>27447</v>
      </c>
      <c r="M5595" s="2" t="s">
        <v>869</v>
      </c>
      <c r="N5595" s="2" t="s">
        <v>870</v>
      </c>
    </row>
    <row r="5596" ht="15.75" customHeight="1">
      <c r="H5596" s="2" t="s">
        <v>27448</v>
      </c>
      <c r="I5596" s="2" t="s">
        <v>5591</v>
      </c>
      <c r="J5596" s="2" t="s">
        <v>5592</v>
      </c>
      <c r="K5596" s="2" t="s">
        <v>2171</v>
      </c>
      <c r="L5596" s="2" t="s">
        <v>26153</v>
      </c>
      <c r="M5596" s="2" t="s">
        <v>27449</v>
      </c>
      <c r="N5596" s="2" t="s">
        <v>869</v>
      </c>
      <c r="O5596" s="2" t="s">
        <v>870</v>
      </c>
    </row>
    <row r="5597" ht="15.75" customHeight="1">
      <c r="H5597" s="2" t="s">
        <v>27450</v>
      </c>
      <c r="I5597" s="2" t="s">
        <v>27451</v>
      </c>
      <c r="J5597" s="2" t="s">
        <v>27452</v>
      </c>
      <c r="K5597" s="2" t="s">
        <v>1007</v>
      </c>
      <c r="L5597" s="2" t="s">
        <v>27453</v>
      </c>
      <c r="M5597" s="2" t="s">
        <v>869</v>
      </c>
      <c r="N5597" s="2" t="s">
        <v>870</v>
      </c>
    </row>
    <row r="5598" ht="15.75" customHeight="1">
      <c r="H5598" s="2" t="s">
        <v>27454</v>
      </c>
      <c r="I5598" s="2" t="s">
        <v>27455</v>
      </c>
      <c r="J5598" s="2" t="s">
        <v>27456</v>
      </c>
      <c r="K5598" s="2" t="s">
        <v>896</v>
      </c>
      <c r="L5598" s="2" t="s">
        <v>27457</v>
      </c>
      <c r="M5598" s="2" t="s">
        <v>869</v>
      </c>
      <c r="N5598" s="2" t="s">
        <v>870</v>
      </c>
    </row>
    <row r="5599" ht="15.75" customHeight="1">
      <c r="H5599" s="2" t="s">
        <v>27458</v>
      </c>
      <c r="I5599" s="2" t="s">
        <v>2533</v>
      </c>
      <c r="J5599" s="2" t="s">
        <v>2534</v>
      </c>
      <c r="K5599" s="2" t="s">
        <v>283</v>
      </c>
      <c r="L5599" s="2" t="s">
        <v>27459</v>
      </c>
      <c r="M5599" s="2" t="s">
        <v>27460</v>
      </c>
      <c r="N5599" s="2" t="s">
        <v>869</v>
      </c>
      <c r="O5599" s="2" t="s">
        <v>870</v>
      </c>
    </row>
    <row r="5600" ht="15.75" customHeight="1">
      <c r="H5600" s="2" t="s">
        <v>27461</v>
      </c>
      <c r="I5600" s="2" t="s">
        <v>21973</v>
      </c>
      <c r="J5600" s="2" t="s">
        <v>21974</v>
      </c>
      <c r="K5600" s="2" t="s">
        <v>1508</v>
      </c>
      <c r="L5600" s="2" t="s">
        <v>27462</v>
      </c>
      <c r="M5600" s="2" t="s">
        <v>869</v>
      </c>
      <c r="N5600" s="2" t="s">
        <v>870</v>
      </c>
    </row>
    <row r="5601" ht="15.75" customHeight="1">
      <c r="H5601" s="2" t="s">
        <v>27463</v>
      </c>
      <c r="I5601" s="2" t="s">
        <v>27464</v>
      </c>
      <c r="J5601" s="2" t="s">
        <v>27465</v>
      </c>
      <c r="K5601" s="2" t="s">
        <v>1145</v>
      </c>
      <c r="L5601" s="2" t="s">
        <v>27466</v>
      </c>
      <c r="M5601" s="2" t="s">
        <v>27467</v>
      </c>
      <c r="N5601" s="2" t="s">
        <v>869</v>
      </c>
      <c r="O5601" s="2" t="s">
        <v>870</v>
      </c>
    </row>
    <row r="5602" ht="15.75" customHeight="1">
      <c r="H5602" s="2" t="s">
        <v>27468</v>
      </c>
      <c r="I5602" s="2" t="s">
        <v>27469</v>
      </c>
      <c r="J5602" s="2" t="s">
        <v>27470</v>
      </c>
      <c r="K5602" s="2" t="s">
        <v>918</v>
      </c>
      <c r="L5602" s="2" t="s">
        <v>27471</v>
      </c>
      <c r="M5602" s="2" t="s">
        <v>869</v>
      </c>
      <c r="N5602" s="2" t="s">
        <v>870</v>
      </c>
    </row>
    <row r="5603" ht="15.75" customHeight="1">
      <c r="H5603" s="2" t="s">
        <v>27472</v>
      </c>
      <c r="I5603" s="2" t="s">
        <v>27473</v>
      </c>
      <c r="J5603" s="2" t="s">
        <v>27474</v>
      </c>
      <c r="K5603" s="2" t="s">
        <v>1567</v>
      </c>
      <c r="L5603" s="2" t="s">
        <v>27475</v>
      </c>
      <c r="M5603" s="2" t="s">
        <v>869</v>
      </c>
      <c r="N5603" s="2" t="s">
        <v>870</v>
      </c>
    </row>
    <row r="5604" ht="15.75" customHeight="1">
      <c r="H5604" s="2" t="s">
        <v>27476</v>
      </c>
      <c r="I5604" s="2" t="s">
        <v>27477</v>
      </c>
      <c r="J5604" s="2" t="s">
        <v>27478</v>
      </c>
      <c r="K5604" s="2" t="s">
        <v>1141</v>
      </c>
      <c r="L5604" s="2" t="s">
        <v>27479</v>
      </c>
      <c r="M5604" s="2" t="s">
        <v>869</v>
      </c>
      <c r="N5604" s="2" t="s">
        <v>870</v>
      </c>
    </row>
    <row r="5605" ht="15.75" customHeight="1">
      <c r="H5605" s="2" t="s">
        <v>27480</v>
      </c>
      <c r="I5605" s="2" t="s">
        <v>27481</v>
      </c>
      <c r="J5605" s="2" t="s">
        <v>27482</v>
      </c>
      <c r="K5605" s="2" t="s">
        <v>924</v>
      </c>
      <c r="L5605" s="2" t="s">
        <v>27483</v>
      </c>
      <c r="M5605" s="2" t="s">
        <v>869</v>
      </c>
      <c r="N5605" s="2" t="s">
        <v>870</v>
      </c>
    </row>
    <row r="5606" ht="15.75" customHeight="1">
      <c r="H5606" s="2" t="s">
        <v>27484</v>
      </c>
      <c r="I5606" s="2" t="s">
        <v>27485</v>
      </c>
      <c r="J5606" s="2" t="s">
        <v>27486</v>
      </c>
      <c r="L5606" s="2" t="s">
        <v>27487</v>
      </c>
      <c r="M5606" s="2" t="s">
        <v>869</v>
      </c>
      <c r="N5606" s="2" t="s">
        <v>870</v>
      </c>
    </row>
    <row r="5607" ht="15.75" customHeight="1">
      <c r="H5607" s="2" t="s">
        <v>27488</v>
      </c>
      <c r="I5607" s="2" t="s">
        <v>27489</v>
      </c>
      <c r="J5607" s="2" t="s">
        <v>27490</v>
      </c>
      <c r="K5607" s="2" t="s">
        <v>1412</v>
      </c>
      <c r="L5607" s="2" t="s">
        <v>27491</v>
      </c>
      <c r="M5607" s="2" t="s">
        <v>27492</v>
      </c>
      <c r="N5607" s="2" t="s">
        <v>869</v>
      </c>
      <c r="O5607" s="2" t="s">
        <v>870</v>
      </c>
    </row>
    <row r="5608" ht="15.75" customHeight="1">
      <c r="H5608" s="2" t="s">
        <v>27493</v>
      </c>
      <c r="I5608" s="2" t="s">
        <v>27494</v>
      </c>
      <c r="J5608" s="2" t="s">
        <v>27495</v>
      </c>
      <c r="K5608" s="2" t="s">
        <v>1424</v>
      </c>
      <c r="L5608" s="2" t="s">
        <v>27496</v>
      </c>
      <c r="M5608" s="2" t="s">
        <v>869</v>
      </c>
      <c r="N5608" s="2" t="s">
        <v>870</v>
      </c>
    </row>
    <row r="5609" ht="15.75" customHeight="1">
      <c r="H5609" s="2" t="s">
        <v>27497</v>
      </c>
      <c r="I5609" s="2" t="s">
        <v>3732</v>
      </c>
      <c r="J5609" s="2" t="s">
        <v>3733</v>
      </c>
      <c r="K5609" s="2" t="s">
        <v>2203</v>
      </c>
      <c r="L5609" s="2" t="s">
        <v>27498</v>
      </c>
      <c r="M5609" s="2" t="s">
        <v>869</v>
      </c>
      <c r="N5609" s="2" t="s">
        <v>870</v>
      </c>
    </row>
    <row r="5610" ht="15.75" customHeight="1">
      <c r="H5610" s="2" t="s">
        <v>27499</v>
      </c>
      <c r="I5610" s="2" t="s">
        <v>2331</v>
      </c>
      <c r="J5610" s="2" t="s">
        <v>2332</v>
      </c>
      <c r="K5610" s="2" t="s">
        <v>2223</v>
      </c>
      <c r="L5610" s="2" t="s">
        <v>27500</v>
      </c>
      <c r="M5610" s="2" t="s">
        <v>27501</v>
      </c>
      <c r="N5610" s="2" t="s">
        <v>869</v>
      </c>
      <c r="O5610" s="2" t="s">
        <v>870</v>
      </c>
    </row>
    <row r="5611" ht="15.75" customHeight="1">
      <c r="H5611" s="2" t="s">
        <v>27502</v>
      </c>
      <c r="I5611" s="2" t="s">
        <v>27503</v>
      </c>
      <c r="J5611" s="2" t="s">
        <v>27504</v>
      </c>
      <c r="K5611" s="2" t="s">
        <v>1027</v>
      </c>
      <c r="L5611" s="2" t="s">
        <v>27505</v>
      </c>
      <c r="M5611" s="2" t="s">
        <v>869</v>
      </c>
      <c r="N5611" s="2" t="s">
        <v>870</v>
      </c>
    </row>
    <row r="5612" ht="15.75" customHeight="1">
      <c r="H5612" s="2" t="s">
        <v>27506</v>
      </c>
      <c r="I5612" s="2" t="s">
        <v>27507</v>
      </c>
      <c r="J5612" s="2" t="s">
        <v>27508</v>
      </c>
      <c r="K5612" s="2" t="s">
        <v>1433</v>
      </c>
      <c r="L5612" s="2" t="s">
        <v>27509</v>
      </c>
      <c r="M5612" s="2" t="s">
        <v>869</v>
      </c>
      <c r="N5612" s="2" t="s">
        <v>870</v>
      </c>
    </row>
    <row r="5613" ht="15.75" customHeight="1">
      <c r="H5613" s="2" t="s">
        <v>27510</v>
      </c>
      <c r="I5613" s="2" t="s">
        <v>2564</v>
      </c>
      <c r="J5613" s="2" t="s">
        <v>2565</v>
      </c>
      <c r="K5613" s="2" t="s">
        <v>1038</v>
      </c>
      <c r="L5613" s="2" t="s">
        <v>27511</v>
      </c>
      <c r="M5613" s="2" t="s">
        <v>27512</v>
      </c>
      <c r="N5613" s="2" t="s">
        <v>869</v>
      </c>
      <c r="O5613" s="2" t="s">
        <v>870</v>
      </c>
    </row>
    <row r="5614" ht="15.75" customHeight="1">
      <c r="H5614" s="2" t="s">
        <v>27513</v>
      </c>
      <c r="I5614" s="2" t="s">
        <v>27514</v>
      </c>
      <c r="J5614" s="2" t="s">
        <v>27515</v>
      </c>
      <c r="K5614" s="2" t="s">
        <v>4436</v>
      </c>
      <c r="L5614" s="2" t="s">
        <v>27516</v>
      </c>
      <c r="M5614" s="2" t="s">
        <v>869</v>
      </c>
      <c r="N5614" s="2" t="s">
        <v>870</v>
      </c>
    </row>
    <row r="5615" ht="15.75" customHeight="1">
      <c r="H5615" s="2" t="s">
        <v>27517</v>
      </c>
      <c r="I5615" s="2" t="s">
        <v>27518</v>
      </c>
      <c r="J5615" s="2" t="s">
        <v>27519</v>
      </c>
      <c r="K5615" s="2" t="s">
        <v>1443</v>
      </c>
      <c r="L5615" s="2" t="s">
        <v>27520</v>
      </c>
      <c r="M5615" s="2" t="s">
        <v>869</v>
      </c>
      <c r="N5615" s="2" t="s">
        <v>870</v>
      </c>
    </row>
    <row r="5616" ht="15.75" customHeight="1">
      <c r="H5616" s="2" t="s">
        <v>27521</v>
      </c>
      <c r="I5616" s="2" t="s">
        <v>6488</v>
      </c>
      <c r="J5616" s="2" t="s">
        <v>6489</v>
      </c>
      <c r="K5616" s="2" t="s">
        <v>1187</v>
      </c>
      <c r="L5616" s="2" t="s">
        <v>27522</v>
      </c>
      <c r="M5616" s="2" t="s">
        <v>869</v>
      </c>
      <c r="N5616" s="2" t="s">
        <v>870</v>
      </c>
    </row>
    <row r="5617" ht="15.75" customHeight="1">
      <c r="H5617" s="2" t="s">
        <v>27523</v>
      </c>
      <c r="I5617" s="2" t="s">
        <v>2583</v>
      </c>
      <c r="J5617" s="2" t="s">
        <v>2584</v>
      </c>
      <c r="K5617" s="2" t="s">
        <v>2585</v>
      </c>
      <c r="L5617" s="2" t="s">
        <v>27524</v>
      </c>
      <c r="M5617" s="2" t="s">
        <v>869</v>
      </c>
      <c r="N5617" s="2" t="s">
        <v>870</v>
      </c>
    </row>
    <row r="5618" ht="15.75" customHeight="1">
      <c r="H5618" s="2" t="s">
        <v>27525</v>
      </c>
      <c r="I5618" s="2" t="s">
        <v>4443</v>
      </c>
      <c r="J5618" s="2" t="s">
        <v>4444</v>
      </c>
      <c r="K5618" s="2" t="s">
        <v>1199</v>
      </c>
      <c r="L5618" s="2" t="s">
        <v>27526</v>
      </c>
      <c r="M5618" s="2" t="s">
        <v>869</v>
      </c>
      <c r="N5618" s="2" t="s">
        <v>870</v>
      </c>
    </row>
    <row r="5619" ht="15.75" customHeight="1">
      <c r="H5619" s="2" t="s">
        <v>27527</v>
      </c>
      <c r="I5619" s="2" t="s">
        <v>27528</v>
      </c>
      <c r="J5619" s="2" t="s">
        <v>27529</v>
      </c>
      <c r="K5619" s="2" t="s">
        <v>1981</v>
      </c>
      <c r="L5619" s="2" t="s">
        <v>27530</v>
      </c>
      <c r="M5619" s="2" t="s">
        <v>869</v>
      </c>
      <c r="N5619" s="2" t="s">
        <v>870</v>
      </c>
    </row>
    <row r="5620" ht="15.75" customHeight="1">
      <c r="F5620" s="2" t="s">
        <v>2693</v>
      </c>
      <c r="H5620" s="2" t="s">
        <v>27531</v>
      </c>
      <c r="I5620" s="2" t="s">
        <v>27532</v>
      </c>
      <c r="J5620" s="2" t="s">
        <v>27533</v>
      </c>
      <c r="K5620" s="2" t="s">
        <v>861</v>
      </c>
      <c r="L5620" s="2" t="s">
        <v>27534</v>
      </c>
      <c r="M5620" s="2" t="s">
        <v>869</v>
      </c>
      <c r="N5620" s="2" t="s">
        <v>870</v>
      </c>
    </row>
    <row r="5621" ht="15.75" customHeight="1">
      <c r="H5621" s="2" t="s">
        <v>27535</v>
      </c>
      <c r="I5621" s="2" t="s">
        <v>27536</v>
      </c>
      <c r="J5621" s="2" t="s">
        <v>27537</v>
      </c>
      <c r="K5621" s="2" t="s">
        <v>947</v>
      </c>
      <c r="L5621" s="2" t="s">
        <v>27538</v>
      </c>
      <c r="M5621" s="2" t="s">
        <v>869</v>
      </c>
      <c r="N5621" s="2" t="s">
        <v>870</v>
      </c>
    </row>
    <row r="5622" ht="15.75" customHeight="1">
      <c r="H5622" s="2" t="s">
        <v>27539</v>
      </c>
      <c r="I5622" s="2" t="s">
        <v>2695</v>
      </c>
      <c r="J5622" s="2" t="s">
        <v>2696</v>
      </c>
      <c r="K5622" s="2" t="s">
        <v>1362</v>
      </c>
      <c r="L5622" s="2" t="s">
        <v>27540</v>
      </c>
      <c r="M5622" s="2" t="s">
        <v>869</v>
      </c>
      <c r="N5622" s="2" t="s">
        <v>870</v>
      </c>
    </row>
    <row r="5623" ht="15.75" customHeight="1">
      <c r="H5623" s="2" t="s">
        <v>27541</v>
      </c>
      <c r="I5623" s="2" t="s">
        <v>9714</v>
      </c>
      <c r="J5623" s="2" t="s">
        <v>9715</v>
      </c>
      <c r="K5623" s="2" t="s">
        <v>865</v>
      </c>
      <c r="L5623" s="2" t="s">
        <v>27542</v>
      </c>
      <c r="M5623" s="2" t="s">
        <v>869</v>
      </c>
      <c r="N5623" s="2" t="s">
        <v>870</v>
      </c>
    </row>
    <row r="5624" ht="15.75" customHeight="1">
      <c r="H5624" s="2" t="s">
        <v>27543</v>
      </c>
      <c r="I5624" s="2" t="s">
        <v>19197</v>
      </c>
      <c r="J5624" s="2" t="s">
        <v>19198</v>
      </c>
      <c r="K5624" s="2" t="s">
        <v>1467</v>
      </c>
      <c r="L5624" s="2" t="s">
        <v>27544</v>
      </c>
      <c r="M5624" s="2" t="s">
        <v>869</v>
      </c>
      <c r="N5624" s="2" t="s">
        <v>870</v>
      </c>
    </row>
    <row r="5625" ht="15.75" customHeight="1">
      <c r="H5625" s="2" t="s">
        <v>27545</v>
      </c>
      <c r="I5625" s="2" t="s">
        <v>2700</v>
      </c>
      <c r="J5625" s="2" t="s">
        <v>2701</v>
      </c>
      <c r="K5625" s="2" t="s">
        <v>874</v>
      </c>
      <c r="L5625" s="2" t="s">
        <v>2702</v>
      </c>
      <c r="M5625" s="2" t="s">
        <v>869</v>
      </c>
      <c r="N5625" s="2" t="s">
        <v>870</v>
      </c>
    </row>
    <row r="5626" ht="15.75" customHeight="1">
      <c r="H5626" s="2" t="s">
        <v>27546</v>
      </c>
      <c r="I5626" s="2" t="s">
        <v>27547</v>
      </c>
      <c r="J5626" s="2" t="s">
        <v>27548</v>
      </c>
      <c r="K5626" s="2" t="s">
        <v>1288</v>
      </c>
      <c r="L5626" s="2" t="s">
        <v>27549</v>
      </c>
      <c r="M5626" s="2" t="s">
        <v>869</v>
      </c>
      <c r="N5626" s="2" t="s">
        <v>870</v>
      </c>
    </row>
    <row r="5627" ht="15.75" customHeight="1">
      <c r="H5627" s="2" t="s">
        <v>27550</v>
      </c>
      <c r="I5627" s="2" t="s">
        <v>27551</v>
      </c>
      <c r="J5627" s="2" t="s">
        <v>27552</v>
      </c>
      <c r="K5627" s="2" t="s">
        <v>1368</v>
      </c>
      <c r="L5627" s="2" t="s">
        <v>27553</v>
      </c>
      <c r="M5627" s="2" t="s">
        <v>27554</v>
      </c>
      <c r="N5627" s="2" t="s">
        <v>869</v>
      </c>
      <c r="O5627" s="2" t="s">
        <v>870</v>
      </c>
    </row>
    <row r="5628" ht="15.75" customHeight="1">
      <c r="H5628" s="2" t="s">
        <v>27555</v>
      </c>
      <c r="I5628" s="2" t="s">
        <v>2710</v>
      </c>
      <c r="J5628" s="2" t="s">
        <v>2711</v>
      </c>
      <c r="K5628" s="2" t="s">
        <v>963</v>
      </c>
      <c r="L5628" s="2" t="s">
        <v>27556</v>
      </c>
      <c r="M5628" s="2" t="s">
        <v>27557</v>
      </c>
      <c r="N5628" s="2" t="s">
        <v>869</v>
      </c>
      <c r="O5628" s="2" t="s">
        <v>870</v>
      </c>
    </row>
    <row r="5629" ht="15.75" customHeight="1">
      <c r="H5629" s="2" t="s">
        <v>27558</v>
      </c>
      <c r="I5629" s="2" t="s">
        <v>11431</v>
      </c>
      <c r="J5629" s="2" t="s">
        <v>11432</v>
      </c>
      <c r="K5629" s="2" t="s">
        <v>1297</v>
      </c>
      <c r="L5629" s="2" t="s">
        <v>26206</v>
      </c>
      <c r="M5629" s="2" t="s">
        <v>27559</v>
      </c>
      <c r="N5629" s="2" t="s">
        <v>869</v>
      </c>
      <c r="O5629" s="2" t="s">
        <v>870</v>
      </c>
    </row>
    <row r="5630" ht="15.75" customHeight="1">
      <c r="H5630" s="2" t="s">
        <v>27560</v>
      </c>
      <c r="I5630" s="2" t="s">
        <v>27561</v>
      </c>
      <c r="J5630" s="2" t="s">
        <v>27562</v>
      </c>
      <c r="K5630" s="2" t="s">
        <v>966</v>
      </c>
      <c r="L5630" s="2" t="s">
        <v>27563</v>
      </c>
      <c r="M5630" s="2" t="s">
        <v>869</v>
      </c>
      <c r="N5630" s="2" t="s">
        <v>870</v>
      </c>
    </row>
    <row r="5631" ht="15.75" customHeight="1">
      <c r="H5631" s="2" t="s">
        <v>27564</v>
      </c>
      <c r="I5631" s="2" t="s">
        <v>27565</v>
      </c>
      <c r="J5631" s="2" t="s">
        <v>27566</v>
      </c>
      <c r="L5631" s="2" t="s">
        <v>27567</v>
      </c>
      <c r="M5631" s="2" t="s">
        <v>869</v>
      </c>
      <c r="N5631" s="2" t="s">
        <v>870</v>
      </c>
    </row>
    <row r="5632" ht="15.75" customHeight="1">
      <c r="H5632" s="2" t="s">
        <v>27568</v>
      </c>
      <c r="I5632" s="2" t="s">
        <v>27569</v>
      </c>
      <c r="J5632" s="2" t="s">
        <v>27570</v>
      </c>
      <c r="K5632" s="2" t="s">
        <v>896</v>
      </c>
      <c r="L5632" s="2" t="s">
        <v>27571</v>
      </c>
      <c r="M5632" s="2" t="s">
        <v>869</v>
      </c>
      <c r="N5632" s="2" t="s">
        <v>870</v>
      </c>
    </row>
    <row r="5633" ht="15.75" customHeight="1">
      <c r="H5633" s="2" t="s">
        <v>27572</v>
      </c>
      <c r="I5633" s="2" t="s">
        <v>27573</v>
      </c>
      <c r="J5633" s="2" t="s">
        <v>27574</v>
      </c>
      <c r="K5633" s="2" t="s">
        <v>1128</v>
      </c>
      <c r="L5633" s="2" t="s">
        <v>27575</v>
      </c>
      <c r="M5633" s="2" t="s">
        <v>869</v>
      </c>
      <c r="N5633" s="2" t="s">
        <v>870</v>
      </c>
    </row>
    <row r="5634" ht="15.75" customHeight="1">
      <c r="H5634" s="2" t="s">
        <v>27576</v>
      </c>
      <c r="I5634" s="2" t="s">
        <v>27577</v>
      </c>
      <c r="J5634" s="2" t="s">
        <v>27578</v>
      </c>
      <c r="K5634" s="2" t="s">
        <v>1551</v>
      </c>
      <c r="L5634" s="2" t="s">
        <v>27579</v>
      </c>
      <c r="M5634" s="2" t="s">
        <v>869</v>
      </c>
      <c r="N5634" s="2" t="s">
        <v>870</v>
      </c>
    </row>
    <row r="5635" ht="15.75" customHeight="1">
      <c r="H5635" s="2" t="s">
        <v>27580</v>
      </c>
      <c r="I5635" s="2" t="s">
        <v>27581</v>
      </c>
      <c r="J5635" s="2" t="s">
        <v>27582</v>
      </c>
      <c r="K5635" s="2" t="s">
        <v>1007</v>
      </c>
      <c r="L5635" s="2" t="s">
        <v>27583</v>
      </c>
      <c r="M5635" s="2" t="s">
        <v>869</v>
      </c>
      <c r="N5635" s="2" t="s">
        <v>870</v>
      </c>
    </row>
    <row r="5636" ht="15.75" customHeight="1">
      <c r="H5636" s="2" t="s">
        <v>27584</v>
      </c>
      <c r="I5636" s="2" t="s">
        <v>27585</v>
      </c>
      <c r="J5636" s="2" t="s">
        <v>27586</v>
      </c>
      <c r="K5636" s="2" t="s">
        <v>1136</v>
      </c>
      <c r="L5636" s="2" t="s">
        <v>27587</v>
      </c>
      <c r="M5636" s="2" t="s">
        <v>869</v>
      </c>
      <c r="N5636" s="2" t="s">
        <v>870</v>
      </c>
    </row>
    <row r="5637" ht="15.75" customHeight="1">
      <c r="H5637" s="2" t="s">
        <v>27588</v>
      </c>
      <c r="I5637" s="2" t="s">
        <v>27589</v>
      </c>
      <c r="J5637" s="2" t="s">
        <v>27590</v>
      </c>
      <c r="K5637" s="2" t="s">
        <v>900</v>
      </c>
      <c r="L5637" s="2" t="s">
        <v>27591</v>
      </c>
      <c r="M5637" s="2" t="s">
        <v>869</v>
      </c>
      <c r="N5637" s="2" t="s">
        <v>870</v>
      </c>
    </row>
    <row r="5638" ht="15.75" customHeight="1">
      <c r="H5638" s="2" t="s">
        <v>27592</v>
      </c>
      <c r="I5638" s="2" t="s">
        <v>27593</v>
      </c>
      <c r="J5638" s="2" t="s">
        <v>27594</v>
      </c>
      <c r="K5638" s="2" t="s">
        <v>2937</v>
      </c>
      <c r="L5638" s="2" t="s">
        <v>27595</v>
      </c>
      <c r="M5638" s="2" t="s">
        <v>869</v>
      </c>
      <c r="N5638" s="2" t="s">
        <v>870</v>
      </c>
    </row>
    <row r="5639" ht="15.75" customHeight="1">
      <c r="H5639" s="2" t="s">
        <v>27596</v>
      </c>
      <c r="I5639" s="2" t="s">
        <v>21820</v>
      </c>
      <c r="J5639" s="2" t="s">
        <v>21821</v>
      </c>
      <c r="K5639" s="2" t="s">
        <v>912</v>
      </c>
      <c r="L5639" s="2" t="s">
        <v>27597</v>
      </c>
      <c r="M5639" s="2" t="s">
        <v>869</v>
      </c>
      <c r="N5639" s="2" t="s">
        <v>870</v>
      </c>
    </row>
    <row r="5640" ht="15.75" customHeight="1">
      <c r="H5640" s="2" t="s">
        <v>27598</v>
      </c>
      <c r="I5640" s="2" t="s">
        <v>19958</v>
      </c>
      <c r="J5640" s="2" t="s">
        <v>19959</v>
      </c>
      <c r="K5640" s="2" t="s">
        <v>1145</v>
      </c>
      <c r="L5640" s="2" t="s">
        <v>27599</v>
      </c>
      <c r="M5640" s="2" t="s">
        <v>27600</v>
      </c>
      <c r="N5640" s="2" t="s">
        <v>869</v>
      </c>
      <c r="O5640" s="2" t="s">
        <v>870</v>
      </c>
    </row>
    <row r="5641" ht="15.75" customHeight="1">
      <c r="H5641" s="2" t="s">
        <v>27601</v>
      </c>
      <c r="I5641" s="2" t="s">
        <v>2735</v>
      </c>
      <c r="J5641" s="2" t="s">
        <v>2736</v>
      </c>
      <c r="K5641" s="2" t="s">
        <v>2737</v>
      </c>
      <c r="L5641" s="2" t="s">
        <v>27602</v>
      </c>
      <c r="M5641" s="2" t="s">
        <v>27603</v>
      </c>
      <c r="N5641" s="2" t="s">
        <v>869</v>
      </c>
      <c r="O5641" s="2" t="s">
        <v>870</v>
      </c>
    </row>
    <row r="5642" ht="15.75" customHeight="1">
      <c r="H5642" s="2" t="s">
        <v>27604</v>
      </c>
      <c r="I5642" s="2" t="s">
        <v>2741</v>
      </c>
      <c r="J5642" s="2" t="s">
        <v>2742</v>
      </c>
      <c r="K5642" s="2" t="s">
        <v>924</v>
      </c>
      <c r="L5642" s="2" t="s">
        <v>27605</v>
      </c>
      <c r="M5642" s="2" t="s">
        <v>869</v>
      </c>
      <c r="N5642" s="2" t="s">
        <v>870</v>
      </c>
    </row>
    <row r="5643" ht="15.75" customHeight="1">
      <c r="H5643" s="2" t="s">
        <v>27606</v>
      </c>
      <c r="I5643" s="2" t="s">
        <v>2746</v>
      </c>
      <c r="J5643" s="2" t="s">
        <v>2747</v>
      </c>
      <c r="K5643" s="2" t="s">
        <v>1569</v>
      </c>
      <c r="L5643" s="2" t="s">
        <v>27607</v>
      </c>
      <c r="M5643" s="2" t="s">
        <v>27608</v>
      </c>
      <c r="N5643" s="2" t="s">
        <v>869</v>
      </c>
      <c r="O5643" s="2" t="s">
        <v>870</v>
      </c>
    </row>
    <row r="5644" ht="15.75" customHeight="1">
      <c r="H5644" s="2" t="s">
        <v>27609</v>
      </c>
      <c r="I5644" s="2" t="s">
        <v>27610</v>
      </c>
      <c r="J5644" s="2" t="s">
        <v>27611</v>
      </c>
      <c r="K5644" s="2" t="s">
        <v>1406</v>
      </c>
      <c r="L5644" s="2" t="s">
        <v>27612</v>
      </c>
      <c r="M5644" s="2" t="s">
        <v>869</v>
      </c>
      <c r="N5644" s="2" t="s">
        <v>870</v>
      </c>
    </row>
    <row r="5645" ht="15.75" customHeight="1">
      <c r="F5645" s="2" t="s">
        <v>3129</v>
      </c>
      <c r="H5645" s="2" t="s">
        <v>27613</v>
      </c>
      <c r="I5645" s="2" t="s">
        <v>3131</v>
      </c>
      <c r="J5645" s="2" t="s">
        <v>3132</v>
      </c>
      <c r="K5645" s="2" t="s">
        <v>859</v>
      </c>
      <c r="L5645" s="2" t="s">
        <v>27614</v>
      </c>
      <c r="M5645" s="2" t="s">
        <v>27615</v>
      </c>
      <c r="N5645" s="2" t="s">
        <v>869</v>
      </c>
      <c r="O5645" s="2" t="s">
        <v>870</v>
      </c>
    </row>
    <row r="5646" ht="15.75" customHeight="1">
      <c r="H5646" s="2" t="s">
        <v>27616</v>
      </c>
      <c r="I5646" s="2" t="s">
        <v>27617</v>
      </c>
      <c r="J5646" s="2" t="s">
        <v>27618</v>
      </c>
      <c r="K5646" s="2" t="s">
        <v>861</v>
      </c>
      <c r="L5646" s="2" t="s">
        <v>27619</v>
      </c>
      <c r="M5646" s="2" t="s">
        <v>869</v>
      </c>
      <c r="N5646" s="2" t="s">
        <v>870</v>
      </c>
    </row>
    <row r="5647" ht="15.75" customHeight="1">
      <c r="H5647" s="2" t="s">
        <v>27620</v>
      </c>
      <c r="I5647" s="2" t="s">
        <v>27621</v>
      </c>
      <c r="J5647" s="2" t="s">
        <v>27622</v>
      </c>
      <c r="K5647" s="2" t="s">
        <v>947</v>
      </c>
      <c r="L5647" s="2" t="s">
        <v>27623</v>
      </c>
      <c r="M5647" s="2" t="s">
        <v>869</v>
      </c>
      <c r="N5647" s="2" t="s">
        <v>870</v>
      </c>
    </row>
    <row r="5648" ht="15.75" customHeight="1">
      <c r="H5648" s="2" t="s">
        <v>27624</v>
      </c>
      <c r="I5648" s="2" t="s">
        <v>27625</v>
      </c>
      <c r="J5648" s="2" t="s">
        <v>27626</v>
      </c>
      <c r="K5648" s="2" t="s">
        <v>277</v>
      </c>
      <c r="L5648" s="2" t="s">
        <v>27627</v>
      </c>
      <c r="M5648" s="2" t="s">
        <v>27628</v>
      </c>
      <c r="N5648" s="2" t="s">
        <v>869</v>
      </c>
      <c r="O5648" s="2" t="s">
        <v>870</v>
      </c>
    </row>
    <row r="5649" ht="15.75" customHeight="1">
      <c r="H5649" s="2" t="s">
        <v>27629</v>
      </c>
      <c r="I5649" s="2" t="s">
        <v>27630</v>
      </c>
      <c r="J5649" s="2" t="s">
        <v>27631</v>
      </c>
      <c r="K5649" s="2" t="s">
        <v>1061</v>
      </c>
      <c r="L5649" s="2" t="s">
        <v>27632</v>
      </c>
      <c r="M5649" s="2" t="s">
        <v>869</v>
      </c>
      <c r="N5649" s="2" t="s">
        <v>870</v>
      </c>
    </row>
    <row r="5650" ht="15.75" customHeight="1">
      <c r="H5650" s="2" t="s">
        <v>27633</v>
      </c>
      <c r="I5650" s="2" t="s">
        <v>27634</v>
      </c>
      <c r="J5650" s="2" t="s">
        <v>27635</v>
      </c>
      <c r="K5650" s="2" t="s">
        <v>280</v>
      </c>
      <c r="L5650" s="2" t="s">
        <v>27636</v>
      </c>
      <c r="M5650" s="2" t="s">
        <v>869</v>
      </c>
      <c r="N5650" s="2" t="s">
        <v>870</v>
      </c>
    </row>
    <row r="5651" ht="15.75" customHeight="1">
      <c r="H5651" s="2" t="s">
        <v>27637</v>
      </c>
      <c r="I5651" s="2" t="s">
        <v>27638</v>
      </c>
      <c r="J5651" s="2" t="s">
        <v>27639</v>
      </c>
      <c r="K5651" s="2" t="s">
        <v>865</v>
      </c>
      <c r="L5651" s="2" t="s">
        <v>27640</v>
      </c>
      <c r="M5651" s="2" t="s">
        <v>869</v>
      </c>
      <c r="N5651" s="2" t="s">
        <v>870</v>
      </c>
    </row>
    <row r="5652" ht="15.75" customHeight="1">
      <c r="H5652" s="2" t="s">
        <v>27641</v>
      </c>
      <c r="I5652" s="2" t="s">
        <v>3146</v>
      </c>
      <c r="J5652" s="2" t="s">
        <v>3147</v>
      </c>
      <c r="K5652" s="2" t="s">
        <v>1288</v>
      </c>
      <c r="L5652" s="2" t="s">
        <v>27642</v>
      </c>
      <c r="M5652" s="2" t="s">
        <v>27643</v>
      </c>
      <c r="N5652" s="2" t="s">
        <v>869</v>
      </c>
      <c r="O5652" s="2" t="s">
        <v>870</v>
      </c>
    </row>
    <row r="5653" ht="15.75" customHeight="1">
      <c r="H5653" s="2" t="s">
        <v>27644</v>
      </c>
      <c r="I5653" s="2" t="s">
        <v>3151</v>
      </c>
      <c r="J5653" s="2" t="s">
        <v>3152</v>
      </c>
      <c r="K5653" s="2" t="s">
        <v>1368</v>
      </c>
      <c r="L5653" s="2" t="s">
        <v>27645</v>
      </c>
      <c r="M5653" s="2" t="s">
        <v>27646</v>
      </c>
      <c r="N5653" s="2" t="s">
        <v>869</v>
      </c>
      <c r="O5653" s="2" t="s">
        <v>870</v>
      </c>
    </row>
    <row r="5654" ht="15.75" customHeight="1">
      <c r="H5654" s="2" t="s">
        <v>27647</v>
      </c>
      <c r="I5654" s="2" t="s">
        <v>27648</v>
      </c>
      <c r="J5654" s="2" t="s">
        <v>27649</v>
      </c>
      <c r="K5654" s="2" t="s">
        <v>958</v>
      </c>
      <c r="L5654" s="2" t="s">
        <v>27650</v>
      </c>
      <c r="M5654" s="2" t="s">
        <v>869</v>
      </c>
      <c r="N5654" s="2" t="s">
        <v>870</v>
      </c>
    </row>
    <row r="5655" ht="15.75" customHeight="1">
      <c r="H5655" s="2" t="s">
        <v>27651</v>
      </c>
      <c r="I5655" s="2" t="s">
        <v>27652</v>
      </c>
      <c r="J5655" s="2" t="s">
        <v>27653</v>
      </c>
      <c r="K5655" s="2" t="s">
        <v>996</v>
      </c>
      <c r="L5655" s="2" t="s">
        <v>27654</v>
      </c>
      <c r="M5655" s="2" t="s">
        <v>869</v>
      </c>
      <c r="N5655" s="2" t="s">
        <v>870</v>
      </c>
    </row>
    <row r="5656" ht="15.75" customHeight="1">
      <c r="H5656" s="2" t="s">
        <v>27655</v>
      </c>
      <c r="I5656" s="2" t="s">
        <v>27656</v>
      </c>
      <c r="J5656" s="2" t="s">
        <v>27657</v>
      </c>
      <c r="K5656" s="2" t="s">
        <v>966</v>
      </c>
      <c r="L5656" s="2" t="s">
        <v>27658</v>
      </c>
      <c r="M5656" s="2" t="s">
        <v>869</v>
      </c>
      <c r="N5656" s="2" t="s">
        <v>870</v>
      </c>
    </row>
    <row r="5657" ht="15.75" customHeight="1">
      <c r="H5657" s="2" t="s">
        <v>27659</v>
      </c>
      <c r="I5657" s="2" t="s">
        <v>3166</v>
      </c>
      <c r="J5657" s="2" t="s">
        <v>3167</v>
      </c>
      <c r="K5657" s="2" t="s">
        <v>886</v>
      </c>
      <c r="L5657" s="2" t="s">
        <v>27660</v>
      </c>
      <c r="M5657" s="2" t="s">
        <v>27661</v>
      </c>
      <c r="N5657" s="2" t="s">
        <v>869</v>
      </c>
      <c r="O5657" s="2" t="s">
        <v>870</v>
      </c>
    </row>
    <row r="5658" ht="15.75" customHeight="1">
      <c r="H5658" s="2" t="s">
        <v>27662</v>
      </c>
      <c r="I5658" s="2" t="s">
        <v>27663</v>
      </c>
      <c r="J5658" s="2" t="s">
        <v>27664</v>
      </c>
      <c r="K5658" s="2" t="s">
        <v>970</v>
      </c>
      <c r="L5658" s="2" t="s">
        <v>27665</v>
      </c>
      <c r="M5658" s="2" t="s">
        <v>27666</v>
      </c>
      <c r="N5658" s="2" t="s">
        <v>869</v>
      </c>
      <c r="O5658" s="2" t="s">
        <v>870</v>
      </c>
    </row>
    <row r="5659" ht="15.75" customHeight="1">
      <c r="H5659" s="2" t="s">
        <v>27667</v>
      </c>
      <c r="I5659" s="2" t="s">
        <v>27668</v>
      </c>
      <c r="J5659" s="2" t="s">
        <v>27669</v>
      </c>
      <c r="K5659" s="2" t="s">
        <v>1128</v>
      </c>
      <c r="L5659" s="2" t="s">
        <v>27670</v>
      </c>
      <c r="M5659" s="2" t="s">
        <v>869</v>
      </c>
      <c r="N5659" s="2" t="s">
        <v>870</v>
      </c>
    </row>
    <row r="5660" ht="15.75" customHeight="1">
      <c r="F5660" s="2" t="s">
        <v>3384</v>
      </c>
      <c r="H5660" s="2" t="s">
        <v>27671</v>
      </c>
      <c r="I5660" s="2" t="s">
        <v>27672</v>
      </c>
      <c r="J5660" s="2" t="s">
        <v>27673</v>
      </c>
      <c r="K5660" s="2" t="s">
        <v>859</v>
      </c>
      <c r="L5660" s="2" t="s">
        <v>27674</v>
      </c>
      <c r="M5660" s="2" t="s">
        <v>869</v>
      </c>
      <c r="N5660" s="2" t="s">
        <v>870</v>
      </c>
    </row>
    <row r="5661" ht="15.75" customHeight="1">
      <c r="H5661" s="2" t="s">
        <v>27675</v>
      </c>
      <c r="I5661" s="2" t="s">
        <v>3391</v>
      </c>
      <c r="J5661" s="2" t="s">
        <v>3392</v>
      </c>
      <c r="K5661" s="2" t="s">
        <v>853</v>
      </c>
      <c r="L5661" s="2" t="s">
        <v>27676</v>
      </c>
      <c r="M5661" s="2" t="s">
        <v>869</v>
      </c>
      <c r="N5661" s="2" t="s">
        <v>870</v>
      </c>
    </row>
    <row r="5662" ht="15.75" customHeight="1">
      <c r="H5662" s="2" t="s">
        <v>27677</v>
      </c>
      <c r="I5662" s="2" t="s">
        <v>27678</v>
      </c>
      <c r="J5662" s="2" t="s">
        <v>27679</v>
      </c>
      <c r="K5662" s="2" t="s">
        <v>880</v>
      </c>
      <c r="L5662" s="2" t="s">
        <v>27680</v>
      </c>
      <c r="M5662" s="2" t="s">
        <v>27681</v>
      </c>
      <c r="N5662" s="2" t="s">
        <v>869</v>
      </c>
      <c r="O5662" s="2" t="s">
        <v>870</v>
      </c>
    </row>
    <row r="5663" ht="15.75" customHeight="1">
      <c r="H5663" s="2" t="s">
        <v>27682</v>
      </c>
      <c r="I5663" s="2" t="s">
        <v>3396</v>
      </c>
      <c r="J5663" s="2" t="s">
        <v>3397</v>
      </c>
      <c r="K5663" s="2" t="s">
        <v>947</v>
      </c>
      <c r="L5663" s="2" t="s">
        <v>27683</v>
      </c>
      <c r="M5663" s="2" t="s">
        <v>27684</v>
      </c>
      <c r="N5663" s="2" t="s">
        <v>869</v>
      </c>
      <c r="O5663" s="2" t="s">
        <v>870</v>
      </c>
    </row>
    <row r="5664" ht="15.75" customHeight="1">
      <c r="H5664" s="2" t="s">
        <v>27685</v>
      </c>
      <c r="I5664" s="2" t="s">
        <v>6326</v>
      </c>
      <c r="J5664" s="2" t="s">
        <v>6327</v>
      </c>
      <c r="K5664" s="2" t="s">
        <v>1362</v>
      </c>
      <c r="L5664" s="2" t="s">
        <v>27686</v>
      </c>
      <c r="M5664" s="2" t="s">
        <v>869</v>
      </c>
      <c r="N5664" s="2" t="s">
        <v>870</v>
      </c>
    </row>
    <row r="5665" ht="15.75" customHeight="1">
      <c r="H5665" s="2" t="s">
        <v>27687</v>
      </c>
      <c r="I5665" s="2" t="s">
        <v>27688</v>
      </c>
      <c r="J5665" s="2" t="s">
        <v>27689</v>
      </c>
      <c r="K5665" s="2" t="s">
        <v>280</v>
      </c>
      <c r="L5665" s="2" t="s">
        <v>27690</v>
      </c>
      <c r="M5665" s="2" t="s">
        <v>869</v>
      </c>
      <c r="N5665" s="2" t="s">
        <v>870</v>
      </c>
    </row>
    <row r="5666" ht="15.75" customHeight="1">
      <c r="H5666" s="2" t="s">
        <v>27691</v>
      </c>
      <c r="I5666" s="2" t="s">
        <v>27692</v>
      </c>
      <c r="J5666" s="2" t="s">
        <v>27693</v>
      </c>
      <c r="K5666" s="2" t="s">
        <v>865</v>
      </c>
      <c r="L5666" s="2" t="s">
        <v>27694</v>
      </c>
      <c r="M5666" s="2" t="s">
        <v>869</v>
      </c>
      <c r="N5666" s="2" t="s">
        <v>870</v>
      </c>
    </row>
    <row r="5667" ht="15.75" customHeight="1">
      <c r="H5667" s="2" t="s">
        <v>27695</v>
      </c>
      <c r="I5667" s="2" t="s">
        <v>27696</v>
      </c>
      <c r="J5667" s="2" t="s">
        <v>27697</v>
      </c>
      <c r="K5667" s="2" t="s">
        <v>1467</v>
      </c>
      <c r="L5667" s="2" t="s">
        <v>27698</v>
      </c>
      <c r="M5667" s="2" t="s">
        <v>869</v>
      </c>
      <c r="N5667" s="2" t="s">
        <v>870</v>
      </c>
    </row>
    <row r="5668" ht="15.75" customHeight="1">
      <c r="H5668" s="2" t="s">
        <v>27699</v>
      </c>
      <c r="I5668" s="2" t="s">
        <v>27700</v>
      </c>
      <c r="J5668" s="2" t="s">
        <v>27701</v>
      </c>
      <c r="K5668" s="2" t="s">
        <v>1878</v>
      </c>
      <c r="L5668" s="2" t="s">
        <v>27702</v>
      </c>
      <c r="M5668" s="2" t="s">
        <v>869</v>
      </c>
      <c r="N5668" s="2" t="s">
        <v>870</v>
      </c>
    </row>
    <row r="5669" ht="15.75" customHeight="1">
      <c r="H5669" s="2" t="s">
        <v>27703</v>
      </c>
      <c r="I5669" s="2" t="s">
        <v>27704</v>
      </c>
      <c r="J5669" s="2" t="s">
        <v>27705</v>
      </c>
      <c r="K5669" s="2" t="s">
        <v>874</v>
      </c>
    </row>
    <row r="5670" ht="15.75" customHeight="1">
      <c r="H5670" s="2" t="s">
        <v>27706</v>
      </c>
      <c r="I5670" s="2" t="s">
        <v>3401</v>
      </c>
      <c r="J5670" s="2" t="s">
        <v>3402</v>
      </c>
      <c r="K5670" s="2" t="s">
        <v>1288</v>
      </c>
      <c r="L5670" s="2" t="s">
        <v>27707</v>
      </c>
      <c r="M5670" s="2" t="s">
        <v>27708</v>
      </c>
      <c r="N5670" s="2" t="s">
        <v>869</v>
      </c>
      <c r="O5670" s="2" t="s">
        <v>870</v>
      </c>
    </row>
    <row r="5671" ht="15.75" customHeight="1">
      <c r="H5671" s="2" t="s">
        <v>27709</v>
      </c>
      <c r="I5671" s="2" t="s">
        <v>27710</v>
      </c>
      <c r="J5671" s="2" t="s">
        <v>27711</v>
      </c>
      <c r="K5671" s="2" t="s">
        <v>1117</v>
      </c>
      <c r="L5671" s="2" t="s">
        <v>27712</v>
      </c>
      <c r="M5671" s="2" t="s">
        <v>869</v>
      </c>
      <c r="N5671" s="2" t="s">
        <v>870</v>
      </c>
    </row>
    <row r="5672" ht="15.75" customHeight="1">
      <c r="H5672" s="2" t="s">
        <v>27713</v>
      </c>
      <c r="I5672" s="2" t="s">
        <v>3406</v>
      </c>
      <c r="J5672" s="2" t="s">
        <v>3407</v>
      </c>
      <c r="K5672" s="2" t="s">
        <v>1368</v>
      </c>
      <c r="L5672" s="2" t="s">
        <v>27714</v>
      </c>
      <c r="M5672" s="2" t="s">
        <v>27715</v>
      </c>
      <c r="N5672" s="2" t="s">
        <v>869</v>
      </c>
      <c r="O5672" s="2" t="s">
        <v>870</v>
      </c>
    </row>
    <row r="5673" ht="15.75" customHeight="1">
      <c r="H5673" s="2" t="s">
        <v>27716</v>
      </c>
      <c r="I5673" s="2" t="s">
        <v>27717</v>
      </c>
      <c r="J5673" s="2" t="s">
        <v>27718</v>
      </c>
      <c r="K5673" s="2" t="s">
        <v>963</v>
      </c>
      <c r="L5673" s="2" t="s">
        <v>27719</v>
      </c>
      <c r="M5673" s="2" t="s">
        <v>869</v>
      </c>
      <c r="N5673" s="2" t="s">
        <v>870</v>
      </c>
    </row>
    <row r="5674" ht="15.75" customHeight="1">
      <c r="H5674" s="2" t="s">
        <v>27720</v>
      </c>
      <c r="I5674" s="2" t="s">
        <v>2568</v>
      </c>
      <c r="J5674" s="2" t="s">
        <v>2569</v>
      </c>
      <c r="K5674" s="2" t="s">
        <v>1061</v>
      </c>
      <c r="L5674" s="2" t="s">
        <v>27721</v>
      </c>
      <c r="M5674" s="2" t="s">
        <v>27722</v>
      </c>
      <c r="N5674" s="2" t="s">
        <v>869</v>
      </c>
      <c r="O5674" s="2" t="s">
        <v>870</v>
      </c>
    </row>
    <row r="5675" ht="15.75" customHeight="1">
      <c r="H5675" s="2" t="s">
        <v>27723</v>
      </c>
      <c r="I5675" s="2" t="s">
        <v>4918</v>
      </c>
      <c r="J5675" s="2" t="s">
        <v>4919</v>
      </c>
      <c r="K5675" s="2" t="s">
        <v>996</v>
      </c>
      <c r="L5675" s="2" t="s">
        <v>27724</v>
      </c>
      <c r="M5675" s="2" t="s">
        <v>869</v>
      </c>
      <c r="N5675" s="2" t="s">
        <v>870</v>
      </c>
    </row>
    <row r="5676" ht="15.75" customHeight="1">
      <c r="H5676" s="2" t="s">
        <v>27725</v>
      </c>
      <c r="I5676" s="2" t="s">
        <v>3053</v>
      </c>
      <c r="J5676" s="2" t="s">
        <v>3054</v>
      </c>
      <c r="K5676" s="2" t="s">
        <v>1297</v>
      </c>
      <c r="L5676" s="2" t="s">
        <v>27726</v>
      </c>
      <c r="M5676" s="2" t="s">
        <v>27727</v>
      </c>
      <c r="N5676" s="2" t="s">
        <v>869</v>
      </c>
      <c r="O5676" s="2" t="s">
        <v>870</v>
      </c>
    </row>
    <row r="5677" ht="15.75" customHeight="1">
      <c r="H5677" s="2" t="s">
        <v>27728</v>
      </c>
      <c r="I5677" s="2" t="s">
        <v>17431</v>
      </c>
      <c r="J5677" s="2" t="s">
        <v>17432</v>
      </c>
      <c r="K5677" s="2" t="s">
        <v>966</v>
      </c>
      <c r="L5677" s="2" t="s">
        <v>27729</v>
      </c>
      <c r="M5677" s="2" t="s">
        <v>27730</v>
      </c>
      <c r="N5677" s="2" t="s">
        <v>869</v>
      </c>
      <c r="O5677" s="2" t="s">
        <v>870</v>
      </c>
    </row>
    <row r="5678" ht="15.75" customHeight="1">
      <c r="H5678" s="2" t="s">
        <v>27731</v>
      </c>
      <c r="I5678" s="2" t="s">
        <v>27732</v>
      </c>
      <c r="J5678" s="2" t="s">
        <v>27733</v>
      </c>
      <c r="K5678" s="2" t="s">
        <v>886</v>
      </c>
      <c r="L5678" s="2" t="s">
        <v>27734</v>
      </c>
      <c r="M5678" s="2" t="s">
        <v>869</v>
      </c>
      <c r="N5678" s="2" t="s">
        <v>870</v>
      </c>
    </row>
    <row r="5679" ht="15.75" customHeight="1">
      <c r="H5679" s="2" t="s">
        <v>27735</v>
      </c>
      <c r="I5679" s="2" t="s">
        <v>3419</v>
      </c>
      <c r="J5679" s="2" t="s">
        <v>3420</v>
      </c>
      <c r="K5679" s="2" t="s">
        <v>890</v>
      </c>
      <c r="L5679" s="2" t="s">
        <v>27736</v>
      </c>
      <c r="M5679" s="2" t="s">
        <v>27737</v>
      </c>
      <c r="N5679" s="2" t="s">
        <v>869</v>
      </c>
      <c r="O5679" s="2" t="s">
        <v>870</v>
      </c>
    </row>
    <row r="5680" ht="15.75" customHeight="1">
      <c r="F5680" s="2" t="s">
        <v>3567</v>
      </c>
      <c r="H5680" s="2" t="s">
        <v>27738</v>
      </c>
      <c r="I5680" s="2" t="s">
        <v>27739</v>
      </c>
      <c r="J5680" s="2" t="s">
        <v>27740</v>
      </c>
      <c r="K5680" s="2" t="s">
        <v>859</v>
      </c>
      <c r="L5680" s="2" t="s">
        <v>27741</v>
      </c>
      <c r="M5680" s="2" t="s">
        <v>27742</v>
      </c>
      <c r="N5680" s="2" t="s">
        <v>869</v>
      </c>
      <c r="O5680" s="2" t="s">
        <v>870</v>
      </c>
    </row>
    <row r="5681" ht="15.75" customHeight="1">
      <c r="H5681" s="2" t="s">
        <v>27743</v>
      </c>
      <c r="I5681" s="2" t="s">
        <v>27744</v>
      </c>
      <c r="J5681" s="2" t="s">
        <v>27745</v>
      </c>
      <c r="K5681" s="2" t="s">
        <v>1362</v>
      </c>
      <c r="L5681" s="2" t="s">
        <v>27746</v>
      </c>
      <c r="M5681" s="2" t="s">
        <v>869</v>
      </c>
      <c r="N5681" s="2" t="s">
        <v>870</v>
      </c>
    </row>
    <row r="5682" ht="15.75" customHeight="1">
      <c r="H5682" s="2" t="s">
        <v>27747</v>
      </c>
      <c r="I5682" s="2" t="s">
        <v>27748</v>
      </c>
      <c r="J5682" s="2" t="s">
        <v>27749</v>
      </c>
      <c r="K5682" s="2" t="s">
        <v>280</v>
      </c>
      <c r="L5682" s="2" t="s">
        <v>27750</v>
      </c>
      <c r="M5682" s="2" t="s">
        <v>869</v>
      </c>
      <c r="N5682" s="2" t="s">
        <v>870</v>
      </c>
    </row>
    <row r="5683" ht="15.75" customHeight="1">
      <c r="H5683" s="2" t="s">
        <v>27751</v>
      </c>
      <c r="I5683" s="2" t="s">
        <v>27752</v>
      </c>
      <c r="J5683" s="2" t="s">
        <v>27753</v>
      </c>
      <c r="K5683" s="2" t="s">
        <v>865</v>
      </c>
      <c r="L5683" s="2" t="s">
        <v>27754</v>
      </c>
      <c r="M5683" s="2" t="s">
        <v>869</v>
      </c>
      <c r="N5683" s="2" t="s">
        <v>870</v>
      </c>
    </row>
    <row r="5684" ht="15.75" customHeight="1">
      <c r="H5684" s="2" t="s">
        <v>27755</v>
      </c>
      <c r="I5684" s="2" t="s">
        <v>27756</v>
      </c>
      <c r="J5684" s="2" t="s">
        <v>27757</v>
      </c>
      <c r="K5684" s="2" t="s">
        <v>1878</v>
      </c>
      <c r="L5684" s="2" t="s">
        <v>27758</v>
      </c>
      <c r="M5684" s="2" t="s">
        <v>869</v>
      </c>
      <c r="N5684" s="2" t="s">
        <v>870</v>
      </c>
    </row>
    <row r="5685" ht="15.75" customHeight="1">
      <c r="H5685" s="2" t="s">
        <v>27759</v>
      </c>
      <c r="I5685" s="2" t="s">
        <v>27760</v>
      </c>
      <c r="J5685" s="2" t="s">
        <v>27761</v>
      </c>
      <c r="K5685" s="2" t="s">
        <v>1467</v>
      </c>
      <c r="L5685" s="2" t="s">
        <v>27762</v>
      </c>
      <c r="M5685" s="2" t="s">
        <v>869</v>
      </c>
      <c r="N5685" s="2" t="s">
        <v>870</v>
      </c>
    </row>
    <row r="5686" ht="15.75" customHeight="1">
      <c r="H5686" s="2" t="s">
        <v>27763</v>
      </c>
      <c r="I5686" s="2" t="s">
        <v>27764</v>
      </c>
      <c r="J5686" s="2" t="s">
        <v>27765</v>
      </c>
      <c r="K5686" s="2" t="s">
        <v>874</v>
      </c>
      <c r="L5686" s="2" t="s">
        <v>27766</v>
      </c>
      <c r="M5686" s="2" t="s">
        <v>869</v>
      </c>
      <c r="N5686" s="2" t="s">
        <v>870</v>
      </c>
    </row>
    <row r="5687" ht="15.75" customHeight="1">
      <c r="H5687" s="2" t="s">
        <v>27767</v>
      </c>
      <c r="I5687" s="2" t="s">
        <v>27768</v>
      </c>
      <c r="J5687" s="2" t="s">
        <v>27769</v>
      </c>
      <c r="K5687" s="2" t="s">
        <v>1288</v>
      </c>
      <c r="L5687" s="2" t="s">
        <v>27770</v>
      </c>
      <c r="M5687" s="2" t="s">
        <v>27771</v>
      </c>
      <c r="N5687" s="2" t="s">
        <v>869</v>
      </c>
      <c r="O5687" s="2" t="s">
        <v>870</v>
      </c>
    </row>
    <row r="5688" ht="15.75" customHeight="1">
      <c r="H5688" s="2" t="s">
        <v>27772</v>
      </c>
      <c r="I5688" s="2" t="s">
        <v>3110</v>
      </c>
      <c r="J5688" s="2" t="s">
        <v>3111</v>
      </c>
      <c r="K5688" s="2" t="s">
        <v>1117</v>
      </c>
      <c r="L5688" s="2" t="s">
        <v>27773</v>
      </c>
      <c r="M5688" s="2" t="s">
        <v>27774</v>
      </c>
      <c r="N5688" s="2" t="s">
        <v>869</v>
      </c>
      <c r="O5688" s="2" t="s">
        <v>870</v>
      </c>
    </row>
    <row r="5689" ht="15.75" customHeight="1">
      <c r="H5689" s="2" t="s">
        <v>27775</v>
      </c>
      <c r="I5689" s="2" t="s">
        <v>3569</v>
      </c>
      <c r="J5689" s="2" t="s">
        <v>3570</v>
      </c>
      <c r="K5689" s="2" t="s">
        <v>1368</v>
      </c>
      <c r="L5689" s="2" t="s">
        <v>27776</v>
      </c>
      <c r="M5689" s="2" t="s">
        <v>27777</v>
      </c>
      <c r="N5689" s="2" t="s">
        <v>869</v>
      </c>
      <c r="O5689" s="2" t="s">
        <v>870</v>
      </c>
    </row>
    <row r="5690" ht="15.75" customHeight="1">
      <c r="H5690" s="2" t="s">
        <v>27778</v>
      </c>
      <c r="I5690" s="2" t="s">
        <v>27779</v>
      </c>
      <c r="J5690" s="2" t="s">
        <v>27780</v>
      </c>
      <c r="K5690" s="2" t="s">
        <v>958</v>
      </c>
      <c r="L5690" s="2" t="s">
        <v>27781</v>
      </c>
      <c r="M5690" s="2" t="s">
        <v>869</v>
      </c>
      <c r="N5690" s="2" t="s">
        <v>870</v>
      </c>
    </row>
    <row r="5691" ht="15.75" customHeight="1">
      <c r="H5691" s="2" t="s">
        <v>27782</v>
      </c>
      <c r="I5691" s="2" t="s">
        <v>27783</v>
      </c>
      <c r="J5691" s="2" t="s">
        <v>27784</v>
      </c>
      <c r="K5691" s="2" t="s">
        <v>996</v>
      </c>
      <c r="L5691" s="2" t="s">
        <v>27785</v>
      </c>
      <c r="M5691" s="2" t="s">
        <v>869</v>
      </c>
      <c r="N5691" s="2" t="s">
        <v>870</v>
      </c>
    </row>
    <row r="5692" ht="15.75" customHeight="1">
      <c r="H5692" s="2" t="s">
        <v>27786</v>
      </c>
      <c r="I5692" s="2" t="s">
        <v>20525</v>
      </c>
      <c r="J5692" s="2" t="s">
        <v>20526</v>
      </c>
      <c r="K5692" s="2" t="s">
        <v>1297</v>
      </c>
      <c r="L5692" s="2" t="s">
        <v>27787</v>
      </c>
      <c r="M5692" s="2" t="s">
        <v>27788</v>
      </c>
      <c r="N5692" s="2" t="s">
        <v>869</v>
      </c>
      <c r="O5692" s="2" t="s">
        <v>870</v>
      </c>
    </row>
    <row r="5693" ht="15.75" customHeight="1">
      <c r="H5693" s="2" t="s">
        <v>27789</v>
      </c>
      <c r="I5693" s="2" t="s">
        <v>27790</v>
      </c>
      <c r="J5693" s="2" t="s">
        <v>27791</v>
      </c>
      <c r="K5693" s="2" t="s">
        <v>880</v>
      </c>
      <c r="L5693" s="2" t="s">
        <v>27792</v>
      </c>
      <c r="M5693" s="2" t="s">
        <v>27793</v>
      </c>
      <c r="N5693" s="2" t="s">
        <v>869</v>
      </c>
      <c r="O5693" s="2" t="s">
        <v>870</v>
      </c>
    </row>
    <row r="5694" ht="15.75" customHeight="1">
      <c r="H5694" s="2" t="s">
        <v>27794</v>
      </c>
      <c r="I5694" s="2" t="s">
        <v>27795</v>
      </c>
      <c r="J5694" s="2" t="s">
        <v>27796</v>
      </c>
      <c r="K5694" s="2" t="s">
        <v>966</v>
      </c>
      <c r="L5694" s="2" t="s">
        <v>27797</v>
      </c>
      <c r="M5694" s="2" t="s">
        <v>869</v>
      </c>
      <c r="N5694" s="2" t="s">
        <v>870</v>
      </c>
    </row>
    <row r="5695" ht="15.75" customHeight="1">
      <c r="H5695" s="2" t="s">
        <v>27798</v>
      </c>
      <c r="I5695" s="2" t="s">
        <v>27799</v>
      </c>
      <c r="J5695" s="2" t="s">
        <v>27800</v>
      </c>
      <c r="K5695" s="2" t="s">
        <v>886</v>
      </c>
      <c r="L5695" s="2" t="s">
        <v>27801</v>
      </c>
      <c r="M5695" s="2" t="s">
        <v>869</v>
      </c>
      <c r="N5695" s="2" t="s">
        <v>870</v>
      </c>
    </row>
    <row r="5696" ht="15.75" customHeight="1">
      <c r="H5696" s="2" t="s">
        <v>27802</v>
      </c>
      <c r="I5696" s="2" t="s">
        <v>27803</v>
      </c>
      <c r="J5696" s="2" t="s">
        <v>27804</v>
      </c>
      <c r="K5696" s="2" t="s">
        <v>970</v>
      </c>
      <c r="L5696" s="2" t="s">
        <v>27805</v>
      </c>
      <c r="M5696" s="2" t="s">
        <v>869</v>
      </c>
      <c r="N5696" s="2" t="s">
        <v>870</v>
      </c>
    </row>
    <row r="5697" ht="15.75" customHeight="1">
      <c r="F5697" s="2" t="s">
        <v>694</v>
      </c>
      <c r="H5697" s="2" t="s">
        <v>27806</v>
      </c>
      <c r="I5697" s="2" t="s">
        <v>27807</v>
      </c>
      <c r="J5697" s="2" t="s">
        <v>27807</v>
      </c>
      <c r="K5697" s="2" t="s">
        <v>277</v>
      </c>
    </row>
    <row r="5698" ht="15.75" customHeight="1">
      <c r="H5698" s="2" t="s">
        <v>27808</v>
      </c>
      <c r="I5698" s="2" t="s">
        <v>27809</v>
      </c>
      <c r="J5698" s="2" t="s">
        <v>27810</v>
      </c>
      <c r="K5698" s="2" t="s">
        <v>1061</v>
      </c>
      <c r="L5698" s="2" t="s">
        <v>27811</v>
      </c>
      <c r="M5698" s="2" t="s">
        <v>27812</v>
      </c>
      <c r="N5698" s="2" t="s">
        <v>869</v>
      </c>
      <c r="O5698" s="2" t="s">
        <v>870</v>
      </c>
    </row>
    <row r="5699" ht="15.75" customHeight="1">
      <c r="H5699" s="2" t="s">
        <v>27813</v>
      </c>
      <c r="I5699" s="2" t="s">
        <v>21529</v>
      </c>
      <c r="J5699" s="2" t="s">
        <v>21530</v>
      </c>
      <c r="K5699" s="2" t="s">
        <v>1878</v>
      </c>
      <c r="L5699" s="2" t="s">
        <v>27814</v>
      </c>
      <c r="M5699" s="2" t="s">
        <v>869</v>
      </c>
      <c r="N5699" s="2" t="s">
        <v>870</v>
      </c>
    </row>
    <row r="5700" ht="15.75" customHeight="1">
      <c r="H5700" s="2" t="s">
        <v>27815</v>
      </c>
      <c r="I5700" s="2" t="s">
        <v>20772</v>
      </c>
      <c r="J5700" s="2" t="s">
        <v>20773</v>
      </c>
      <c r="K5700" s="2" t="s">
        <v>958</v>
      </c>
      <c r="L5700" s="2" t="s">
        <v>27816</v>
      </c>
      <c r="M5700" s="2" t="s">
        <v>27817</v>
      </c>
      <c r="N5700" s="2" t="s">
        <v>869</v>
      </c>
      <c r="O5700" s="2" t="s">
        <v>870</v>
      </c>
    </row>
    <row r="5701" ht="15.75" customHeight="1">
      <c r="H5701" s="2" t="s">
        <v>27818</v>
      </c>
      <c r="I5701" s="2" t="s">
        <v>27819</v>
      </c>
      <c r="J5701" s="2" t="s">
        <v>27820</v>
      </c>
      <c r="K5701" s="2" t="s">
        <v>963</v>
      </c>
      <c r="L5701" s="2" t="s">
        <v>27821</v>
      </c>
      <c r="M5701" s="2" t="s">
        <v>869</v>
      </c>
      <c r="N5701" s="2" t="s">
        <v>870</v>
      </c>
    </row>
    <row r="5702" ht="15.75" customHeight="1">
      <c r="H5702" s="2" t="s">
        <v>27822</v>
      </c>
      <c r="I5702" s="2" t="s">
        <v>27823</v>
      </c>
      <c r="J5702" s="2" t="s">
        <v>27824</v>
      </c>
      <c r="K5702" s="2" t="s">
        <v>996</v>
      </c>
      <c r="L5702" s="2" t="s">
        <v>27825</v>
      </c>
      <c r="M5702" s="2" t="s">
        <v>869</v>
      </c>
      <c r="N5702" s="2" t="s">
        <v>870</v>
      </c>
    </row>
    <row r="5703" ht="15.75" customHeight="1">
      <c r="H5703" s="2" t="s">
        <v>27826</v>
      </c>
      <c r="I5703" s="2" t="s">
        <v>27827</v>
      </c>
      <c r="J5703" s="2" t="s">
        <v>27828</v>
      </c>
      <c r="K5703" s="2" t="s">
        <v>890</v>
      </c>
      <c r="L5703" s="2" t="s">
        <v>27829</v>
      </c>
      <c r="M5703" s="2" t="s">
        <v>869</v>
      </c>
      <c r="N5703" s="2" t="s">
        <v>870</v>
      </c>
    </row>
    <row r="5704" ht="15.75" customHeight="1">
      <c r="H5704" s="2" t="s">
        <v>27830</v>
      </c>
      <c r="I5704" s="2" t="s">
        <v>27831</v>
      </c>
      <c r="J5704" s="2" t="s">
        <v>27832</v>
      </c>
      <c r="K5704" s="2" t="s">
        <v>886</v>
      </c>
      <c r="L5704" s="2" t="s">
        <v>27833</v>
      </c>
      <c r="M5704" s="2" t="s">
        <v>869</v>
      </c>
      <c r="N5704" s="2" t="s">
        <v>870</v>
      </c>
    </row>
    <row r="5705" ht="15.75" customHeight="1">
      <c r="H5705" s="2" t="s">
        <v>27834</v>
      </c>
      <c r="I5705" s="2" t="s">
        <v>27835</v>
      </c>
      <c r="J5705" s="2" t="s">
        <v>27836</v>
      </c>
      <c r="K5705" s="2" t="s">
        <v>1128</v>
      </c>
      <c r="L5705" s="2" t="s">
        <v>27837</v>
      </c>
      <c r="M5705" s="2" t="s">
        <v>869</v>
      </c>
      <c r="N5705" s="2" t="s">
        <v>870</v>
      </c>
    </row>
    <row r="5706" ht="15.75" customHeight="1">
      <c r="H5706" s="2" t="s">
        <v>27838</v>
      </c>
      <c r="I5706" s="2" t="s">
        <v>27839</v>
      </c>
      <c r="J5706" s="2" t="s">
        <v>27840</v>
      </c>
      <c r="K5706" s="2" t="s">
        <v>896</v>
      </c>
      <c r="L5706" s="2" t="s">
        <v>27841</v>
      </c>
      <c r="M5706" s="2" t="s">
        <v>869</v>
      </c>
      <c r="N5706" s="2" t="s">
        <v>870</v>
      </c>
    </row>
    <row r="5707" ht="15.75" customHeight="1">
      <c r="H5707" s="2" t="s">
        <v>27842</v>
      </c>
      <c r="I5707" s="2" t="s">
        <v>3656</v>
      </c>
      <c r="J5707" s="2" t="s">
        <v>3657</v>
      </c>
      <c r="K5707" s="2" t="s">
        <v>1136</v>
      </c>
      <c r="L5707" s="2" t="s">
        <v>27843</v>
      </c>
      <c r="M5707" s="2" t="s">
        <v>869</v>
      </c>
      <c r="N5707" s="2" t="s">
        <v>870</v>
      </c>
    </row>
    <row r="5708" ht="15.75" customHeight="1">
      <c r="H5708" s="2" t="s">
        <v>27844</v>
      </c>
      <c r="I5708" s="2" t="s">
        <v>18256</v>
      </c>
      <c r="J5708" s="2" t="s">
        <v>18257</v>
      </c>
      <c r="K5708" s="2" t="s">
        <v>1145</v>
      </c>
      <c r="L5708" s="2" t="s">
        <v>27845</v>
      </c>
      <c r="M5708" s="2" t="s">
        <v>27846</v>
      </c>
      <c r="N5708" s="2" t="s">
        <v>869</v>
      </c>
      <c r="O5708" s="2" t="s">
        <v>870</v>
      </c>
    </row>
    <row r="5709" ht="15.75" customHeight="1">
      <c r="H5709" s="2" t="s">
        <v>27847</v>
      </c>
      <c r="I5709" s="2" t="s">
        <v>27848</v>
      </c>
      <c r="J5709" s="2" t="s">
        <v>27849</v>
      </c>
      <c r="K5709" s="2" t="s">
        <v>24226</v>
      </c>
      <c r="L5709" s="2" t="s">
        <v>27850</v>
      </c>
      <c r="M5709" s="2" t="s">
        <v>869</v>
      </c>
      <c r="N5709" s="2" t="s">
        <v>870</v>
      </c>
    </row>
    <row r="5710" ht="15.75" customHeight="1">
      <c r="H5710" s="2" t="s">
        <v>27851</v>
      </c>
      <c r="I5710" s="2" t="s">
        <v>696</v>
      </c>
      <c r="J5710" s="2" t="s">
        <v>697</v>
      </c>
      <c r="K5710" s="2" t="s">
        <v>1567</v>
      </c>
      <c r="L5710" s="2" t="s">
        <v>27852</v>
      </c>
      <c r="M5710" s="2" t="s">
        <v>27853</v>
      </c>
      <c r="N5710" s="2" t="s">
        <v>869</v>
      </c>
      <c r="O5710" s="2" t="s">
        <v>870</v>
      </c>
    </row>
    <row r="5711" ht="15.75" customHeight="1">
      <c r="H5711" s="2" t="s">
        <v>27854</v>
      </c>
      <c r="I5711" s="2" t="s">
        <v>20821</v>
      </c>
      <c r="J5711" s="2" t="s">
        <v>20822</v>
      </c>
      <c r="K5711" s="2" t="s">
        <v>924</v>
      </c>
      <c r="L5711" s="2" t="s">
        <v>27855</v>
      </c>
      <c r="M5711" s="2" t="s">
        <v>27856</v>
      </c>
      <c r="N5711" s="2" t="s">
        <v>869</v>
      </c>
      <c r="O5711" s="2" t="s">
        <v>870</v>
      </c>
    </row>
    <row r="5712" ht="15.75" customHeight="1">
      <c r="H5712" s="2" t="s">
        <v>27857</v>
      </c>
      <c r="I5712" s="2" t="s">
        <v>27858</v>
      </c>
      <c r="J5712" s="2" t="s">
        <v>27858</v>
      </c>
      <c r="K5712" s="2" t="s">
        <v>1319</v>
      </c>
    </row>
    <row r="5713" ht="15.75" customHeight="1">
      <c r="H5713" s="2" t="s">
        <v>27859</v>
      </c>
      <c r="I5713" s="2" t="s">
        <v>27860</v>
      </c>
      <c r="J5713" s="2" t="s">
        <v>27860</v>
      </c>
      <c r="K5713" s="2" t="s">
        <v>1412</v>
      </c>
    </row>
    <row r="5714" ht="15.75" customHeight="1">
      <c r="H5714" s="2" t="s">
        <v>27861</v>
      </c>
      <c r="I5714" s="2" t="s">
        <v>27862</v>
      </c>
      <c r="J5714" s="2" t="s">
        <v>27863</v>
      </c>
      <c r="K5714" s="2" t="s">
        <v>2551</v>
      </c>
    </row>
    <row r="5715" ht="15.75" customHeight="1">
      <c r="H5715" s="2" t="s">
        <v>27864</v>
      </c>
      <c r="I5715" s="2" t="s">
        <v>27865</v>
      </c>
      <c r="J5715" s="2" t="s">
        <v>27865</v>
      </c>
      <c r="K5715" s="2" t="s">
        <v>1418</v>
      </c>
    </row>
    <row r="5716" ht="15.75" customHeight="1">
      <c r="H5716" s="2" t="s">
        <v>27866</v>
      </c>
      <c r="I5716" s="2" t="s">
        <v>27867</v>
      </c>
      <c r="J5716" s="2" t="s">
        <v>27868</v>
      </c>
      <c r="K5716" s="2" t="s">
        <v>1952</v>
      </c>
      <c r="L5716" s="2" t="s">
        <v>27869</v>
      </c>
      <c r="M5716" s="2" t="s">
        <v>869</v>
      </c>
      <c r="N5716" s="2" t="s">
        <v>870</v>
      </c>
    </row>
    <row r="5717" ht="15.75" customHeight="1">
      <c r="H5717" s="2" t="s">
        <v>27870</v>
      </c>
      <c r="I5717" s="2" t="s">
        <v>27871</v>
      </c>
      <c r="J5717" s="2" t="s">
        <v>27872</v>
      </c>
      <c r="K5717" s="2" t="s">
        <v>2203</v>
      </c>
      <c r="L5717" s="2" t="s">
        <v>20807</v>
      </c>
      <c r="M5717" s="2" t="s">
        <v>27873</v>
      </c>
      <c r="N5717" s="2" t="s">
        <v>869</v>
      </c>
      <c r="O5717" s="2" t="s">
        <v>870</v>
      </c>
    </row>
    <row r="5718" ht="15.75" customHeight="1">
      <c r="H5718" s="2" t="s">
        <v>27874</v>
      </c>
      <c r="I5718" s="2" t="s">
        <v>27875</v>
      </c>
      <c r="J5718" s="2" t="s">
        <v>27876</v>
      </c>
      <c r="K5718" s="2" t="s">
        <v>1325</v>
      </c>
      <c r="L5718" s="2" t="s">
        <v>27877</v>
      </c>
      <c r="M5718" s="2" t="s">
        <v>869</v>
      </c>
      <c r="N5718" s="2" t="s">
        <v>870</v>
      </c>
    </row>
    <row r="5719" ht="15.75" customHeight="1">
      <c r="H5719" s="2" t="s">
        <v>27878</v>
      </c>
      <c r="I5719" s="2" t="s">
        <v>27879</v>
      </c>
      <c r="J5719" s="2" t="s">
        <v>27880</v>
      </c>
      <c r="K5719" s="2" t="s">
        <v>1151</v>
      </c>
      <c r="L5719" s="2" t="s">
        <v>27881</v>
      </c>
      <c r="M5719" s="2" t="s">
        <v>27882</v>
      </c>
      <c r="N5719" s="2" t="s">
        <v>869</v>
      </c>
      <c r="O5719" s="2" t="s">
        <v>870</v>
      </c>
    </row>
    <row r="5720" ht="15.75" customHeight="1">
      <c r="H5720" s="2" t="s">
        <v>27883</v>
      </c>
      <c r="I5720" s="2" t="s">
        <v>27884</v>
      </c>
      <c r="J5720" s="2" t="s">
        <v>27885</v>
      </c>
      <c r="K5720" s="2" t="s">
        <v>1593</v>
      </c>
      <c r="L5720" s="2" t="s">
        <v>27886</v>
      </c>
      <c r="M5720" s="2" t="s">
        <v>869</v>
      </c>
      <c r="N5720" s="2" t="s">
        <v>870</v>
      </c>
    </row>
    <row r="5721" ht="15.75" customHeight="1">
      <c r="H5721" s="2" t="s">
        <v>27887</v>
      </c>
      <c r="I5721" s="2" t="s">
        <v>27888</v>
      </c>
      <c r="J5721" s="2" t="s">
        <v>27889</v>
      </c>
      <c r="K5721" s="2" t="s">
        <v>1038</v>
      </c>
      <c r="L5721" s="2" t="s">
        <v>27890</v>
      </c>
      <c r="M5721" s="2" t="s">
        <v>869</v>
      </c>
      <c r="N5721" s="2" t="s">
        <v>870</v>
      </c>
    </row>
    <row r="5722" ht="15.75" customHeight="1">
      <c r="H5722" s="2" t="s">
        <v>27891</v>
      </c>
      <c r="I5722" s="2" t="s">
        <v>3968</v>
      </c>
      <c r="J5722" s="2" t="s">
        <v>3969</v>
      </c>
      <c r="K5722" s="2" t="s">
        <v>1157</v>
      </c>
      <c r="L5722" s="2" t="s">
        <v>27892</v>
      </c>
      <c r="M5722" s="2" t="s">
        <v>27893</v>
      </c>
      <c r="N5722" s="2" t="s">
        <v>869</v>
      </c>
      <c r="O5722" s="2" t="s">
        <v>870</v>
      </c>
    </row>
    <row r="5723" ht="15.75" customHeight="1">
      <c r="H5723" s="2" t="s">
        <v>27894</v>
      </c>
      <c r="I5723" s="2" t="s">
        <v>27895</v>
      </c>
      <c r="J5723" s="2" t="s">
        <v>27896</v>
      </c>
      <c r="K5723" s="2" t="s">
        <v>1433</v>
      </c>
      <c r="L5723" s="2" t="s">
        <v>27897</v>
      </c>
      <c r="M5723" s="2" t="s">
        <v>869</v>
      </c>
      <c r="N5723" s="2" t="s">
        <v>870</v>
      </c>
    </row>
    <row r="5724" ht="15.75" customHeight="1">
      <c r="H5724" s="2" t="s">
        <v>27898</v>
      </c>
      <c r="I5724" s="2" t="s">
        <v>27899</v>
      </c>
      <c r="J5724" s="2" t="s">
        <v>27900</v>
      </c>
      <c r="K5724" s="2" t="s">
        <v>1331</v>
      </c>
      <c r="L5724" s="2" t="s">
        <v>27901</v>
      </c>
      <c r="M5724" s="2" t="s">
        <v>869</v>
      </c>
      <c r="N5724" s="2" t="s">
        <v>870</v>
      </c>
    </row>
    <row r="5725" ht="15.75" customHeight="1">
      <c r="H5725" s="2" t="s">
        <v>27902</v>
      </c>
      <c r="I5725" s="2" t="s">
        <v>27903</v>
      </c>
      <c r="J5725" s="2" t="s">
        <v>27904</v>
      </c>
      <c r="K5725" s="2" t="s">
        <v>1175</v>
      </c>
      <c r="L5725" s="2" t="s">
        <v>27905</v>
      </c>
      <c r="M5725" s="2" t="s">
        <v>869</v>
      </c>
      <c r="N5725" s="2" t="s">
        <v>870</v>
      </c>
    </row>
    <row r="5726" ht="15.75" customHeight="1">
      <c r="F5726" s="2" t="s">
        <v>4115</v>
      </c>
      <c r="H5726" s="2" t="s">
        <v>27906</v>
      </c>
      <c r="I5726" s="2" t="s">
        <v>27907</v>
      </c>
      <c r="J5726" s="2" t="s">
        <v>27908</v>
      </c>
      <c r="K5726" s="2" t="s">
        <v>859</v>
      </c>
      <c r="L5726" s="2" t="s">
        <v>27909</v>
      </c>
      <c r="M5726" s="2" t="s">
        <v>869</v>
      </c>
      <c r="N5726" s="2" t="s">
        <v>870</v>
      </c>
    </row>
    <row r="5727" ht="15.75" customHeight="1">
      <c r="H5727" s="2" t="s">
        <v>27910</v>
      </c>
      <c r="I5727" s="2" t="s">
        <v>27911</v>
      </c>
      <c r="J5727" s="2" t="s">
        <v>27912</v>
      </c>
      <c r="K5727" s="2" t="s">
        <v>861</v>
      </c>
      <c r="L5727" s="2" t="s">
        <v>27913</v>
      </c>
      <c r="M5727" s="2" t="s">
        <v>869</v>
      </c>
      <c r="N5727" s="2" t="s">
        <v>870</v>
      </c>
    </row>
    <row r="5728" ht="15.75" customHeight="1">
      <c r="H5728" s="2" t="s">
        <v>27914</v>
      </c>
      <c r="I5728" s="2" t="s">
        <v>4117</v>
      </c>
      <c r="J5728" s="2" t="s">
        <v>4118</v>
      </c>
      <c r="K5728" s="2" t="s">
        <v>947</v>
      </c>
      <c r="L5728" s="2" t="s">
        <v>27915</v>
      </c>
      <c r="M5728" s="2" t="s">
        <v>27916</v>
      </c>
      <c r="N5728" s="2" t="s">
        <v>869</v>
      </c>
      <c r="O5728" s="2" t="s">
        <v>870</v>
      </c>
    </row>
    <row r="5729" ht="15.75" customHeight="1">
      <c r="H5729" s="2" t="s">
        <v>27917</v>
      </c>
      <c r="I5729" s="2" t="s">
        <v>27918</v>
      </c>
      <c r="J5729" s="2" t="s">
        <v>27919</v>
      </c>
      <c r="K5729" s="2" t="s">
        <v>277</v>
      </c>
      <c r="L5729" s="2" t="s">
        <v>27920</v>
      </c>
      <c r="M5729" s="2" t="s">
        <v>27921</v>
      </c>
      <c r="N5729" s="2" t="s">
        <v>869</v>
      </c>
      <c r="O5729" s="2" t="s">
        <v>870</v>
      </c>
    </row>
    <row r="5730" ht="15.75" customHeight="1">
      <c r="H5730" s="2" t="s">
        <v>27922</v>
      </c>
      <c r="I5730" s="2" t="s">
        <v>27923</v>
      </c>
      <c r="J5730" s="2" t="s">
        <v>27924</v>
      </c>
      <c r="K5730" s="2" t="s">
        <v>1362</v>
      </c>
      <c r="L5730" s="2" t="s">
        <v>27925</v>
      </c>
      <c r="M5730" s="2" t="s">
        <v>869</v>
      </c>
      <c r="N5730" s="2" t="s">
        <v>870</v>
      </c>
    </row>
    <row r="5731" ht="15.75" customHeight="1">
      <c r="H5731" s="2" t="s">
        <v>27926</v>
      </c>
      <c r="I5731" s="2" t="s">
        <v>27927</v>
      </c>
      <c r="J5731" s="2" t="s">
        <v>27928</v>
      </c>
      <c r="K5731" s="2" t="s">
        <v>1467</v>
      </c>
      <c r="L5731" s="2" t="s">
        <v>27929</v>
      </c>
      <c r="M5731" s="2" t="s">
        <v>869</v>
      </c>
      <c r="N5731" s="2" t="s">
        <v>870</v>
      </c>
    </row>
    <row r="5732" ht="15.75" customHeight="1">
      <c r="H5732" s="2" t="s">
        <v>27930</v>
      </c>
      <c r="I5732" s="2" t="s">
        <v>27931</v>
      </c>
      <c r="J5732" s="2" t="s">
        <v>27932</v>
      </c>
      <c r="K5732" s="2" t="s">
        <v>874</v>
      </c>
      <c r="L5732" s="2" t="s">
        <v>27933</v>
      </c>
      <c r="M5732" s="2" t="s">
        <v>869</v>
      </c>
      <c r="N5732" s="2" t="s">
        <v>870</v>
      </c>
    </row>
    <row r="5733" ht="15.75" customHeight="1">
      <c r="H5733" s="2" t="s">
        <v>27934</v>
      </c>
      <c r="I5733" s="2" t="s">
        <v>4127</v>
      </c>
      <c r="J5733" s="2" t="s">
        <v>4128</v>
      </c>
      <c r="K5733" s="2" t="s">
        <v>958</v>
      </c>
      <c r="L5733" s="2" t="s">
        <v>27935</v>
      </c>
      <c r="M5733" s="2" t="s">
        <v>869</v>
      </c>
      <c r="N5733" s="2" t="s">
        <v>870</v>
      </c>
    </row>
    <row r="5734" ht="15.75" customHeight="1">
      <c r="H5734" s="2" t="s">
        <v>27936</v>
      </c>
      <c r="I5734" s="2" t="s">
        <v>5388</v>
      </c>
      <c r="J5734" s="2" t="s">
        <v>5389</v>
      </c>
      <c r="K5734" s="2" t="s">
        <v>963</v>
      </c>
      <c r="L5734" s="2" t="s">
        <v>27937</v>
      </c>
      <c r="M5734" s="2" t="s">
        <v>27938</v>
      </c>
      <c r="N5734" s="2" t="s">
        <v>869</v>
      </c>
      <c r="O5734" s="2" t="s">
        <v>870</v>
      </c>
    </row>
    <row r="5735" ht="15.75" customHeight="1">
      <c r="H5735" s="2" t="s">
        <v>27939</v>
      </c>
      <c r="I5735" s="2" t="s">
        <v>21072</v>
      </c>
      <c r="J5735" s="2" t="s">
        <v>21073</v>
      </c>
      <c r="K5735" s="2" t="s">
        <v>996</v>
      </c>
      <c r="L5735" s="2" t="s">
        <v>27940</v>
      </c>
      <c r="M5735" s="2" t="s">
        <v>27941</v>
      </c>
      <c r="N5735" s="2" t="s">
        <v>869</v>
      </c>
      <c r="O5735" s="2" t="s">
        <v>870</v>
      </c>
    </row>
    <row r="5736" ht="15.75" customHeight="1">
      <c r="H5736" s="2" t="s">
        <v>27942</v>
      </c>
      <c r="I5736" s="2" t="s">
        <v>27943</v>
      </c>
      <c r="J5736" s="2" t="s">
        <v>27944</v>
      </c>
      <c r="K5736" s="2" t="s">
        <v>1297</v>
      </c>
      <c r="L5736" s="2" t="s">
        <v>27945</v>
      </c>
      <c r="M5736" s="2" t="s">
        <v>869</v>
      </c>
      <c r="N5736" s="2" t="s">
        <v>870</v>
      </c>
    </row>
    <row r="5737" ht="15.75" customHeight="1">
      <c r="H5737" s="2" t="s">
        <v>27946</v>
      </c>
      <c r="I5737" s="2" t="s">
        <v>27947</v>
      </c>
      <c r="J5737" s="2" t="s">
        <v>27948</v>
      </c>
      <c r="K5737" s="2" t="s">
        <v>966</v>
      </c>
    </row>
    <row r="5738" ht="15.75" customHeight="1">
      <c r="H5738" s="2" t="s">
        <v>27949</v>
      </c>
      <c r="I5738" s="2" t="s">
        <v>27950</v>
      </c>
      <c r="J5738" s="2" t="s">
        <v>27951</v>
      </c>
      <c r="K5738" s="2" t="s">
        <v>970</v>
      </c>
      <c r="L5738" s="2" t="s">
        <v>27952</v>
      </c>
      <c r="M5738" s="2" t="s">
        <v>869</v>
      </c>
      <c r="N5738" s="2" t="s">
        <v>870</v>
      </c>
    </row>
    <row r="5739" ht="15.75" customHeight="1">
      <c r="H5739" s="2" t="s">
        <v>27953</v>
      </c>
      <c r="I5739" s="2" t="s">
        <v>27954</v>
      </c>
      <c r="J5739" s="2" t="s">
        <v>27955</v>
      </c>
      <c r="K5739" s="2" t="s">
        <v>1128</v>
      </c>
      <c r="L5739" s="2" t="s">
        <v>27956</v>
      </c>
      <c r="M5739" s="2" t="s">
        <v>869</v>
      </c>
      <c r="N5739" s="2" t="s">
        <v>870</v>
      </c>
    </row>
    <row r="5740" ht="15.75" customHeight="1">
      <c r="H5740" s="2" t="s">
        <v>27957</v>
      </c>
      <c r="I5740" s="2" t="s">
        <v>27958</v>
      </c>
      <c r="J5740" s="2" t="s">
        <v>27959</v>
      </c>
      <c r="L5740" s="2" t="s">
        <v>27960</v>
      </c>
      <c r="M5740" s="2" t="s">
        <v>869</v>
      </c>
      <c r="N5740" s="2" t="s">
        <v>870</v>
      </c>
    </row>
    <row r="5741" ht="15.75" customHeight="1">
      <c r="H5741" s="2" t="s">
        <v>27961</v>
      </c>
      <c r="I5741" s="2" t="s">
        <v>27962</v>
      </c>
      <c r="J5741" s="2" t="s">
        <v>27963</v>
      </c>
      <c r="K5741" s="2" t="s">
        <v>1007</v>
      </c>
      <c r="L5741" s="2" t="s">
        <v>27964</v>
      </c>
      <c r="M5741" s="2" t="s">
        <v>869</v>
      </c>
      <c r="N5741" s="2" t="s">
        <v>870</v>
      </c>
    </row>
    <row r="5742" ht="15.75" customHeight="1">
      <c r="H5742" s="2" t="s">
        <v>27965</v>
      </c>
      <c r="I5742" s="2" t="s">
        <v>27966</v>
      </c>
      <c r="J5742" s="2" t="s">
        <v>27967</v>
      </c>
      <c r="K5742" s="2" t="s">
        <v>283</v>
      </c>
      <c r="L5742" s="2" t="s">
        <v>4129</v>
      </c>
      <c r="M5742" s="2" t="s">
        <v>869</v>
      </c>
      <c r="N5742" s="2" t="s">
        <v>870</v>
      </c>
    </row>
    <row r="5743" ht="15.75" customHeight="1">
      <c r="H5743" s="2" t="s">
        <v>27968</v>
      </c>
      <c r="I5743" s="2" t="s">
        <v>27969</v>
      </c>
      <c r="J5743" s="2" t="s">
        <v>27970</v>
      </c>
      <c r="K5743" s="2" t="s">
        <v>912</v>
      </c>
      <c r="L5743" s="2" t="s">
        <v>27971</v>
      </c>
      <c r="M5743" s="2" t="s">
        <v>27972</v>
      </c>
      <c r="N5743" s="2" t="s">
        <v>869</v>
      </c>
      <c r="O5743" s="2" t="s">
        <v>870</v>
      </c>
    </row>
    <row r="5744" ht="15.75" customHeight="1">
      <c r="H5744" s="2" t="s">
        <v>27973</v>
      </c>
      <c r="I5744" s="2" t="s">
        <v>4147</v>
      </c>
      <c r="J5744" s="2" t="s">
        <v>4148</v>
      </c>
      <c r="K5744" s="2" t="s">
        <v>1145</v>
      </c>
      <c r="L5744" s="2" t="s">
        <v>27974</v>
      </c>
      <c r="M5744" s="2" t="s">
        <v>27975</v>
      </c>
      <c r="N5744" s="2" t="s">
        <v>869</v>
      </c>
      <c r="O5744" s="2" t="s">
        <v>870</v>
      </c>
    </row>
    <row r="5745" ht="15.75" customHeight="1">
      <c r="H5745" s="2" t="s">
        <v>27976</v>
      </c>
      <c r="I5745" s="2" t="s">
        <v>27977</v>
      </c>
      <c r="J5745" s="2" t="s">
        <v>27978</v>
      </c>
      <c r="L5745" s="2" t="s">
        <v>27979</v>
      </c>
      <c r="M5745" s="2" t="s">
        <v>869</v>
      </c>
      <c r="N5745" s="2" t="s">
        <v>870</v>
      </c>
    </row>
    <row r="5746" ht="15.75" customHeight="1">
      <c r="H5746" s="2" t="s">
        <v>27980</v>
      </c>
      <c r="I5746" s="2" t="s">
        <v>4176</v>
      </c>
      <c r="J5746" s="2" t="s">
        <v>4177</v>
      </c>
      <c r="K5746" s="2" t="s">
        <v>1424</v>
      </c>
      <c r="L5746" s="2" t="s">
        <v>27981</v>
      </c>
      <c r="M5746" s="2" t="s">
        <v>27982</v>
      </c>
      <c r="N5746" s="2" t="s">
        <v>869</v>
      </c>
      <c r="O5746" s="2" t="s">
        <v>870</v>
      </c>
    </row>
    <row r="5747" ht="15.75" customHeight="1">
      <c r="H5747" s="2" t="s">
        <v>27983</v>
      </c>
      <c r="I5747" s="2" t="s">
        <v>27984</v>
      </c>
      <c r="J5747" s="2" t="s">
        <v>27985</v>
      </c>
      <c r="K5747" s="2" t="s">
        <v>1325</v>
      </c>
      <c r="L5747" s="2" t="s">
        <v>27986</v>
      </c>
      <c r="M5747" s="2" t="s">
        <v>869</v>
      </c>
      <c r="N5747" s="2" t="s">
        <v>870</v>
      </c>
    </row>
    <row r="5748" ht="15.75" customHeight="1">
      <c r="F5748" s="2" t="s">
        <v>737</v>
      </c>
      <c r="H5748" s="2" t="s">
        <v>27987</v>
      </c>
      <c r="I5748" s="2" t="s">
        <v>27988</v>
      </c>
      <c r="J5748" s="2" t="s">
        <v>27989</v>
      </c>
      <c r="K5748" s="2" t="s">
        <v>859</v>
      </c>
      <c r="L5748" s="2" t="s">
        <v>27990</v>
      </c>
      <c r="M5748" s="2" t="s">
        <v>869</v>
      </c>
      <c r="N5748" s="2" t="s">
        <v>870</v>
      </c>
    </row>
    <row r="5749" ht="15.75" customHeight="1">
      <c r="H5749" s="2" t="s">
        <v>27991</v>
      </c>
      <c r="I5749" s="2" t="s">
        <v>27992</v>
      </c>
      <c r="J5749" s="2" t="s">
        <v>27993</v>
      </c>
      <c r="K5749" s="2" t="s">
        <v>861</v>
      </c>
      <c r="L5749" s="2" t="s">
        <v>27994</v>
      </c>
      <c r="M5749" s="2" t="s">
        <v>869</v>
      </c>
      <c r="N5749" s="2" t="s">
        <v>870</v>
      </c>
    </row>
    <row r="5750" ht="15.75" customHeight="1">
      <c r="H5750" s="2" t="s">
        <v>27995</v>
      </c>
      <c r="I5750" s="2" t="s">
        <v>27996</v>
      </c>
      <c r="J5750" s="2" t="s">
        <v>27997</v>
      </c>
      <c r="K5750" s="2" t="s">
        <v>853</v>
      </c>
      <c r="L5750" s="2" t="s">
        <v>27998</v>
      </c>
      <c r="M5750" s="2" t="s">
        <v>869</v>
      </c>
      <c r="N5750" s="2" t="s">
        <v>870</v>
      </c>
    </row>
    <row r="5751" ht="15.75" customHeight="1">
      <c r="H5751" s="2" t="s">
        <v>27999</v>
      </c>
      <c r="I5751" s="2" t="s">
        <v>28000</v>
      </c>
      <c r="J5751" s="2" t="s">
        <v>28001</v>
      </c>
      <c r="K5751" s="2" t="s">
        <v>277</v>
      </c>
      <c r="L5751" s="2" t="s">
        <v>28002</v>
      </c>
      <c r="M5751" s="2" t="s">
        <v>869</v>
      </c>
      <c r="N5751" s="2" t="s">
        <v>870</v>
      </c>
    </row>
    <row r="5752" ht="15.75" customHeight="1">
      <c r="H5752" s="2" t="s">
        <v>28003</v>
      </c>
      <c r="I5752" s="2" t="s">
        <v>28004</v>
      </c>
      <c r="J5752" s="2" t="s">
        <v>28005</v>
      </c>
      <c r="K5752" s="2" t="s">
        <v>1061</v>
      </c>
      <c r="L5752" s="2" t="s">
        <v>28006</v>
      </c>
      <c r="M5752" s="2" t="s">
        <v>869</v>
      </c>
      <c r="N5752" s="2" t="s">
        <v>870</v>
      </c>
    </row>
    <row r="5753" ht="15.75" customHeight="1">
      <c r="H5753" s="2" t="s">
        <v>28007</v>
      </c>
      <c r="I5753" s="2" t="s">
        <v>28008</v>
      </c>
      <c r="J5753" s="2" t="s">
        <v>28009</v>
      </c>
      <c r="K5753" s="2" t="s">
        <v>1878</v>
      </c>
      <c r="L5753" s="2" t="s">
        <v>28010</v>
      </c>
      <c r="M5753" s="2" t="s">
        <v>28011</v>
      </c>
      <c r="N5753" s="2" t="s">
        <v>869</v>
      </c>
      <c r="O5753" s="2" t="s">
        <v>870</v>
      </c>
    </row>
    <row r="5754" ht="15.75" customHeight="1">
      <c r="H5754" s="2" t="s">
        <v>28012</v>
      </c>
      <c r="I5754" s="2" t="s">
        <v>21171</v>
      </c>
      <c r="J5754" s="2" t="s">
        <v>21172</v>
      </c>
      <c r="K5754" s="2" t="s">
        <v>1467</v>
      </c>
      <c r="L5754" s="2" t="s">
        <v>28013</v>
      </c>
      <c r="M5754" s="2" t="s">
        <v>28014</v>
      </c>
      <c r="N5754" s="2" t="s">
        <v>869</v>
      </c>
      <c r="O5754" s="2" t="s">
        <v>870</v>
      </c>
    </row>
    <row r="5755" ht="15.75" customHeight="1">
      <c r="H5755" s="2" t="s">
        <v>28015</v>
      </c>
      <c r="I5755" s="2" t="s">
        <v>28016</v>
      </c>
      <c r="J5755" s="2" t="s">
        <v>28017</v>
      </c>
      <c r="K5755" s="2" t="s">
        <v>874</v>
      </c>
      <c r="L5755" s="2" t="s">
        <v>28018</v>
      </c>
      <c r="M5755" s="2" t="s">
        <v>869</v>
      </c>
      <c r="N5755" s="2" t="s">
        <v>870</v>
      </c>
    </row>
    <row r="5756" ht="15.75" customHeight="1">
      <c r="H5756" s="2" t="s">
        <v>28019</v>
      </c>
      <c r="I5756" s="2" t="s">
        <v>28020</v>
      </c>
      <c r="J5756" s="2" t="s">
        <v>28021</v>
      </c>
      <c r="K5756" s="2" t="s">
        <v>1288</v>
      </c>
      <c r="L5756" s="2" t="s">
        <v>28022</v>
      </c>
      <c r="M5756" s="2" t="s">
        <v>869</v>
      </c>
      <c r="N5756" s="2" t="s">
        <v>870</v>
      </c>
    </row>
    <row r="5757" ht="15.75" customHeight="1">
      <c r="H5757" s="2" t="s">
        <v>28023</v>
      </c>
      <c r="I5757" s="2" t="s">
        <v>28024</v>
      </c>
      <c r="J5757" s="2" t="s">
        <v>28025</v>
      </c>
      <c r="K5757" s="2" t="s">
        <v>1117</v>
      </c>
      <c r="L5757" s="2" t="s">
        <v>28026</v>
      </c>
      <c r="M5757" s="2" t="s">
        <v>869</v>
      </c>
      <c r="N5757" s="2" t="s">
        <v>870</v>
      </c>
    </row>
    <row r="5758" ht="15.75" customHeight="1">
      <c r="H5758" s="2" t="s">
        <v>28027</v>
      </c>
      <c r="I5758" s="2" t="s">
        <v>17653</v>
      </c>
      <c r="J5758" s="2" t="s">
        <v>17654</v>
      </c>
      <c r="K5758" s="2" t="s">
        <v>1368</v>
      </c>
      <c r="L5758" s="2" t="s">
        <v>28028</v>
      </c>
      <c r="M5758" s="2" t="s">
        <v>28029</v>
      </c>
      <c r="N5758" s="2" t="s">
        <v>869</v>
      </c>
      <c r="O5758" s="2" t="s">
        <v>870</v>
      </c>
    </row>
    <row r="5759" ht="15.75" customHeight="1">
      <c r="H5759" s="2" t="s">
        <v>28030</v>
      </c>
      <c r="I5759" s="2" t="s">
        <v>6436</v>
      </c>
      <c r="J5759" s="2" t="s">
        <v>6437</v>
      </c>
      <c r="K5759" s="2" t="s">
        <v>996</v>
      </c>
      <c r="L5759" s="2" t="s">
        <v>28031</v>
      </c>
      <c r="M5759" s="2" t="s">
        <v>869</v>
      </c>
      <c r="N5759" s="2" t="s">
        <v>870</v>
      </c>
    </row>
    <row r="5760" ht="15.75" customHeight="1">
      <c r="H5760" s="2" t="s">
        <v>28032</v>
      </c>
      <c r="I5760" s="2" t="s">
        <v>3357</v>
      </c>
      <c r="J5760" s="2" t="s">
        <v>3358</v>
      </c>
      <c r="K5760" s="2" t="s">
        <v>1297</v>
      </c>
      <c r="L5760" s="2" t="s">
        <v>28033</v>
      </c>
      <c r="M5760" s="2" t="s">
        <v>28034</v>
      </c>
      <c r="N5760" s="2" t="s">
        <v>869</v>
      </c>
      <c r="O5760" s="2" t="s">
        <v>870</v>
      </c>
    </row>
    <row r="5761" ht="15.75" customHeight="1">
      <c r="H5761" s="2" t="s">
        <v>28035</v>
      </c>
      <c r="I5761" s="2" t="s">
        <v>28036</v>
      </c>
      <c r="J5761" s="2" t="s">
        <v>28037</v>
      </c>
      <c r="K5761" s="2" t="s">
        <v>880</v>
      </c>
      <c r="L5761" s="2" t="s">
        <v>28038</v>
      </c>
      <c r="M5761" s="2" t="s">
        <v>869</v>
      </c>
      <c r="N5761" s="2" t="s">
        <v>870</v>
      </c>
    </row>
    <row r="5762" ht="15.75" customHeight="1">
      <c r="H5762" s="2" t="s">
        <v>28039</v>
      </c>
      <c r="I5762" s="2" t="s">
        <v>4523</v>
      </c>
      <c r="J5762" s="2" t="s">
        <v>4524</v>
      </c>
      <c r="K5762" s="2" t="s">
        <v>886</v>
      </c>
      <c r="L5762" s="2" t="s">
        <v>28040</v>
      </c>
      <c r="M5762" s="2" t="s">
        <v>869</v>
      </c>
      <c r="N5762" s="2" t="s">
        <v>870</v>
      </c>
    </row>
    <row r="5763" ht="15.75" customHeight="1">
      <c r="H5763" s="2" t="s">
        <v>28041</v>
      </c>
      <c r="I5763" s="2" t="s">
        <v>28042</v>
      </c>
      <c r="J5763" s="2" t="s">
        <v>28043</v>
      </c>
      <c r="K5763" s="2" t="s">
        <v>890</v>
      </c>
      <c r="L5763" s="2" t="s">
        <v>28044</v>
      </c>
      <c r="M5763" s="2" t="s">
        <v>869</v>
      </c>
      <c r="N5763" s="2" t="s">
        <v>870</v>
      </c>
    </row>
    <row r="5764" ht="15.75" customHeight="1">
      <c r="H5764" s="2" t="s">
        <v>28045</v>
      </c>
      <c r="I5764" s="2" t="s">
        <v>4237</v>
      </c>
      <c r="J5764" s="2" t="s">
        <v>4238</v>
      </c>
      <c r="K5764" s="2" t="s">
        <v>970</v>
      </c>
      <c r="L5764" s="2" t="s">
        <v>28046</v>
      </c>
      <c r="M5764" s="2" t="s">
        <v>28047</v>
      </c>
      <c r="N5764" s="2" t="s">
        <v>869</v>
      </c>
      <c r="O5764" s="2" t="s">
        <v>870</v>
      </c>
    </row>
    <row r="5765" ht="15.75" customHeight="1">
      <c r="H5765" s="2" t="s">
        <v>28048</v>
      </c>
      <c r="I5765" s="2" t="s">
        <v>739</v>
      </c>
      <c r="J5765" s="2" t="s">
        <v>740</v>
      </c>
      <c r="K5765" s="2" t="s">
        <v>1551</v>
      </c>
      <c r="L5765" s="2" t="s">
        <v>28049</v>
      </c>
      <c r="M5765" s="2" t="s">
        <v>28050</v>
      </c>
      <c r="N5765" s="2" t="s">
        <v>869</v>
      </c>
      <c r="O5765" s="2" t="s">
        <v>870</v>
      </c>
    </row>
    <row r="5766" ht="15.75" customHeight="1">
      <c r="H5766" s="2" t="s">
        <v>28051</v>
      </c>
      <c r="I5766" s="2" t="s">
        <v>28052</v>
      </c>
      <c r="J5766" s="2" t="s">
        <v>28053</v>
      </c>
      <c r="K5766" s="2" t="s">
        <v>896</v>
      </c>
      <c r="L5766" s="2" t="s">
        <v>28054</v>
      </c>
      <c r="M5766" s="2" t="s">
        <v>869</v>
      </c>
      <c r="N5766" s="2" t="s">
        <v>870</v>
      </c>
    </row>
    <row r="5767" ht="15.75" customHeight="1">
      <c r="H5767" s="2" t="s">
        <v>28055</v>
      </c>
      <c r="I5767" s="2" t="s">
        <v>28056</v>
      </c>
      <c r="J5767" s="2" t="s">
        <v>28057</v>
      </c>
      <c r="K5767" s="2" t="s">
        <v>1136</v>
      </c>
      <c r="L5767" s="2" t="s">
        <v>28058</v>
      </c>
      <c r="M5767" s="2" t="s">
        <v>869</v>
      </c>
      <c r="N5767" s="2" t="s">
        <v>870</v>
      </c>
    </row>
    <row r="5768" ht="15.75" customHeight="1">
      <c r="F5768" s="2" t="s">
        <v>4353</v>
      </c>
      <c r="H5768" s="2" t="s">
        <v>28059</v>
      </c>
      <c r="I5768" s="2" t="s">
        <v>28060</v>
      </c>
      <c r="J5768" s="2" t="s">
        <v>28061</v>
      </c>
      <c r="K5768" s="2" t="s">
        <v>861</v>
      </c>
      <c r="L5768" s="2" t="s">
        <v>28062</v>
      </c>
      <c r="M5768" s="2" t="s">
        <v>869</v>
      </c>
      <c r="N5768" s="2" t="s">
        <v>870</v>
      </c>
    </row>
    <row r="5769" ht="15.75" customHeight="1">
      <c r="H5769" s="2" t="s">
        <v>28063</v>
      </c>
      <c r="I5769" s="2" t="s">
        <v>4362</v>
      </c>
      <c r="J5769" s="2" t="s">
        <v>4363</v>
      </c>
      <c r="K5769" s="2" t="s">
        <v>280</v>
      </c>
      <c r="L5769" s="2" t="s">
        <v>28064</v>
      </c>
      <c r="M5769" s="2" t="s">
        <v>869</v>
      </c>
      <c r="N5769" s="2" t="s">
        <v>870</v>
      </c>
    </row>
    <row r="5770" ht="15.75" customHeight="1">
      <c r="H5770" s="2" t="s">
        <v>28065</v>
      </c>
      <c r="I5770" s="2" t="s">
        <v>28066</v>
      </c>
      <c r="J5770" s="2" t="s">
        <v>28067</v>
      </c>
      <c r="K5770" s="2" t="s">
        <v>947</v>
      </c>
      <c r="L5770" s="2" t="s">
        <v>28068</v>
      </c>
      <c r="M5770" s="2" t="s">
        <v>28069</v>
      </c>
      <c r="N5770" s="2" t="s">
        <v>869</v>
      </c>
      <c r="O5770" s="2" t="s">
        <v>870</v>
      </c>
    </row>
    <row r="5771" ht="15.75" customHeight="1">
      <c r="H5771" s="2" t="s">
        <v>28070</v>
      </c>
      <c r="I5771" s="2" t="s">
        <v>28071</v>
      </c>
      <c r="J5771" s="2" t="s">
        <v>28072</v>
      </c>
      <c r="K5771" s="2" t="s">
        <v>1297</v>
      </c>
      <c r="L5771" s="2" t="s">
        <v>28073</v>
      </c>
      <c r="M5771" s="2" t="s">
        <v>28074</v>
      </c>
      <c r="N5771" s="2" t="s">
        <v>869</v>
      </c>
      <c r="O5771" s="2" t="s">
        <v>870</v>
      </c>
    </row>
    <row r="5772" ht="15.75" customHeight="1">
      <c r="H5772" s="2" t="s">
        <v>28075</v>
      </c>
      <c r="I5772" s="2" t="s">
        <v>21265</v>
      </c>
      <c r="J5772" s="2" t="s">
        <v>21266</v>
      </c>
      <c r="K5772" s="2" t="s">
        <v>1368</v>
      </c>
      <c r="L5772" s="2" t="s">
        <v>28076</v>
      </c>
      <c r="M5772" s="2" t="s">
        <v>28077</v>
      </c>
      <c r="N5772" s="2" t="s">
        <v>869</v>
      </c>
      <c r="O5772" s="2" t="s">
        <v>870</v>
      </c>
    </row>
    <row r="5773" ht="15.75" customHeight="1">
      <c r="H5773" s="2" t="s">
        <v>28078</v>
      </c>
      <c r="I5773" s="2" t="s">
        <v>28079</v>
      </c>
      <c r="J5773" s="2" t="s">
        <v>28080</v>
      </c>
      <c r="K5773" s="2" t="s">
        <v>958</v>
      </c>
      <c r="L5773" s="2" t="s">
        <v>28081</v>
      </c>
      <c r="M5773" s="2" t="s">
        <v>28082</v>
      </c>
      <c r="N5773" s="2" t="s">
        <v>869</v>
      </c>
      <c r="O5773" s="2" t="s">
        <v>870</v>
      </c>
    </row>
    <row r="5774" ht="15.75" customHeight="1">
      <c r="H5774" s="2" t="s">
        <v>28083</v>
      </c>
      <c r="I5774" s="2" t="s">
        <v>28084</v>
      </c>
      <c r="J5774" s="2" t="s">
        <v>28085</v>
      </c>
      <c r="K5774" s="2" t="s">
        <v>996</v>
      </c>
      <c r="L5774" s="2" t="s">
        <v>28086</v>
      </c>
      <c r="M5774" s="2" t="s">
        <v>869</v>
      </c>
      <c r="N5774" s="2" t="s">
        <v>870</v>
      </c>
    </row>
    <row r="5775" ht="15.75" customHeight="1">
      <c r="H5775" s="2" t="s">
        <v>28087</v>
      </c>
      <c r="I5775" s="2" t="s">
        <v>21270</v>
      </c>
      <c r="J5775" s="2" t="s">
        <v>21271</v>
      </c>
      <c r="K5775" s="2" t="s">
        <v>966</v>
      </c>
      <c r="L5775" s="2" t="s">
        <v>28088</v>
      </c>
      <c r="M5775" s="2" t="s">
        <v>28089</v>
      </c>
      <c r="N5775" s="2" t="s">
        <v>869</v>
      </c>
      <c r="O5775" s="2" t="s">
        <v>870</v>
      </c>
    </row>
    <row r="5776" ht="15.75" customHeight="1">
      <c r="H5776" s="2" t="s">
        <v>28090</v>
      </c>
      <c r="I5776" s="2" t="s">
        <v>28091</v>
      </c>
      <c r="J5776" s="2" t="s">
        <v>28092</v>
      </c>
      <c r="K5776" s="2" t="s">
        <v>886</v>
      </c>
      <c r="L5776" s="2" t="s">
        <v>28093</v>
      </c>
      <c r="M5776" s="2" t="s">
        <v>869</v>
      </c>
      <c r="N5776" s="2" t="s">
        <v>870</v>
      </c>
    </row>
    <row r="5777" ht="15.75" customHeight="1">
      <c r="H5777" s="2" t="s">
        <v>28094</v>
      </c>
      <c r="I5777" s="2" t="s">
        <v>28095</v>
      </c>
      <c r="J5777" s="2" t="s">
        <v>28096</v>
      </c>
      <c r="K5777" s="2" t="s">
        <v>1128</v>
      </c>
      <c r="L5777" s="2" t="s">
        <v>28097</v>
      </c>
      <c r="M5777" s="2" t="s">
        <v>28098</v>
      </c>
      <c r="N5777" s="2" t="s">
        <v>869</v>
      </c>
      <c r="O5777" s="2" t="s">
        <v>870</v>
      </c>
    </row>
    <row r="5778" ht="15.75" customHeight="1">
      <c r="H5778" s="2" t="s">
        <v>28099</v>
      </c>
      <c r="I5778" s="2" t="s">
        <v>28100</v>
      </c>
      <c r="J5778" s="2" t="s">
        <v>28101</v>
      </c>
      <c r="K5778" s="2" t="s">
        <v>1136</v>
      </c>
      <c r="L5778" s="2" t="s">
        <v>28102</v>
      </c>
      <c r="M5778" s="2" t="s">
        <v>869</v>
      </c>
      <c r="N5778" s="2" t="s">
        <v>870</v>
      </c>
    </row>
    <row r="5779" ht="15.75" customHeight="1">
      <c r="H5779" s="2" t="s">
        <v>28103</v>
      </c>
      <c r="I5779" s="2" t="s">
        <v>1629</v>
      </c>
      <c r="J5779" s="2" t="s">
        <v>1630</v>
      </c>
      <c r="K5779" s="2" t="s">
        <v>2937</v>
      </c>
      <c r="L5779" s="2" t="s">
        <v>28104</v>
      </c>
      <c r="M5779" s="2" t="s">
        <v>28105</v>
      </c>
      <c r="N5779" s="2" t="s">
        <v>869</v>
      </c>
      <c r="O5779" s="2" t="s">
        <v>870</v>
      </c>
    </row>
    <row r="5780" ht="15.75" customHeight="1">
      <c r="H5780" s="2" t="s">
        <v>28106</v>
      </c>
      <c r="I5780" s="2" t="s">
        <v>28107</v>
      </c>
      <c r="J5780" s="2" t="s">
        <v>28108</v>
      </c>
      <c r="K5780" s="2" t="s">
        <v>912</v>
      </c>
      <c r="L5780" s="2" t="s">
        <v>28109</v>
      </c>
      <c r="M5780" s="2" t="s">
        <v>869</v>
      </c>
      <c r="N5780" s="2" t="s">
        <v>870</v>
      </c>
    </row>
    <row r="5781" ht="15.75" customHeight="1">
      <c r="H5781" s="2" t="s">
        <v>28110</v>
      </c>
      <c r="I5781" s="2" t="s">
        <v>28111</v>
      </c>
      <c r="J5781" s="2" t="s">
        <v>28112</v>
      </c>
      <c r="K5781" s="2" t="s">
        <v>1313</v>
      </c>
      <c r="L5781" s="2" t="s">
        <v>28113</v>
      </c>
      <c r="M5781" s="2" t="s">
        <v>869</v>
      </c>
      <c r="N5781" s="2" t="s">
        <v>870</v>
      </c>
    </row>
    <row r="5782" ht="15.75" customHeight="1">
      <c r="H5782" s="2" t="s">
        <v>28114</v>
      </c>
      <c r="I5782" s="2" t="s">
        <v>28115</v>
      </c>
      <c r="J5782" s="2" t="s">
        <v>28116</v>
      </c>
      <c r="K5782" s="2" t="s">
        <v>1567</v>
      </c>
      <c r="L5782" s="2" t="s">
        <v>28117</v>
      </c>
      <c r="M5782" s="2" t="s">
        <v>869</v>
      </c>
      <c r="N5782" s="2" t="s">
        <v>870</v>
      </c>
    </row>
    <row r="5783" ht="15.75" customHeight="1">
      <c r="H5783" s="2" t="s">
        <v>28118</v>
      </c>
      <c r="I5783" s="2" t="s">
        <v>4395</v>
      </c>
      <c r="J5783" s="2" t="s">
        <v>4396</v>
      </c>
      <c r="K5783" s="2" t="s">
        <v>1141</v>
      </c>
      <c r="L5783" s="2" t="s">
        <v>28119</v>
      </c>
      <c r="M5783" s="2" t="s">
        <v>28120</v>
      </c>
      <c r="N5783" s="2" t="s">
        <v>869</v>
      </c>
      <c r="O5783" s="2" t="s">
        <v>870</v>
      </c>
    </row>
    <row r="5784" ht="15.75" customHeight="1">
      <c r="H5784" s="2" t="s">
        <v>28121</v>
      </c>
      <c r="I5784" s="2" t="s">
        <v>21140</v>
      </c>
      <c r="J5784" s="2" t="s">
        <v>21141</v>
      </c>
      <c r="K5784" s="2" t="s">
        <v>2737</v>
      </c>
      <c r="L5784" s="2" t="s">
        <v>28122</v>
      </c>
      <c r="M5784" s="2" t="s">
        <v>869</v>
      </c>
      <c r="N5784" s="2" t="s">
        <v>870</v>
      </c>
    </row>
    <row r="5785" ht="15.75" customHeight="1">
      <c r="H5785" s="2" t="s">
        <v>28123</v>
      </c>
      <c r="I5785" s="2" t="s">
        <v>28124</v>
      </c>
      <c r="J5785" s="2" t="s">
        <v>28125</v>
      </c>
      <c r="L5785" s="2" t="s">
        <v>28126</v>
      </c>
      <c r="M5785" s="2" t="s">
        <v>869</v>
      </c>
      <c r="N5785" s="2" t="s">
        <v>870</v>
      </c>
    </row>
    <row r="5786" ht="15.75" customHeight="1">
      <c r="H5786" s="2" t="s">
        <v>28127</v>
      </c>
      <c r="I5786" s="2" t="s">
        <v>28128</v>
      </c>
      <c r="J5786" s="2" t="s">
        <v>28129</v>
      </c>
      <c r="K5786" s="2" t="s">
        <v>1319</v>
      </c>
      <c r="L5786" s="2" t="s">
        <v>28130</v>
      </c>
      <c r="M5786" s="2" t="s">
        <v>869</v>
      </c>
      <c r="N5786" s="2" t="s">
        <v>870</v>
      </c>
    </row>
    <row r="5787" ht="15.75" customHeight="1">
      <c r="H5787" s="2" t="s">
        <v>28131</v>
      </c>
      <c r="I5787" s="2" t="s">
        <v>28132</v>
      </c>
      <c r="J5787" s="2" t="s">
        <v>28133</v>
      </c>
      <c r="K5787" s="2" t="s">
        <v>2551</v>
      </c>
      <c r="L5787" s="2" t="s">
        <v>28134</v>
      </c>
      <c r="M5787" s="2" t="s">
        <v>869</v>
      </c>
      <c r="N5787" s="2" t="s">
        <v>870</v>
      </c>
    </row>
    <row r="5788" ht="15.75" customHeight="1">
      <c r="H5788" s="2" t="s">
        <v>28135</v>
      </c>
      <c r="I5788" s="2" t="s">
        <v>6072</v>
      </c>
      <c r="J5788" s="2" t="s">
        <v>6073</v>
      </c>
      <c r="K5788" s="2" t="s">
        <v>1433</v>
      </c>
      <c r="L5788" s="2" t="s">
        <v>28136</v>
      </c>
      <c r="M5788" s="2" t="s">
        <v>28137</v>
      </c>
      <c r="N5788" s="2" t="s">
        <v>869</v>
      </c>
      <c r="O5788" s="2" t="s">
        <v>870</v>
      </c>
    </row>
    <row r="5789" ht="15.75" customHeight="1">
      <c r="H5789" s="2" t="s">
        <v>28138</v>
      </c>
      <c r="I5789" s="2" t="s">
        <v>17731</v>
      </c>
      <c r="J5789" s="2" t="s">
        <v>17732</v>
      </c>
      <c r="K5789" s="2" t="s">
        <v>1439</v>
      </c>
      <c r="L5789" s="2" t="s">
        <v>28139</v>
      </c>
      <c r="M5789" s="2" t="s">
        <v>869</v>
      </c>
      <c r="N5789" s="2" t="s">
        <v>870</v>
      </c>
    </row>
    <row r="5790" ht="15.75" customHeight="1">
      <c r="H5790" s="2" t="s">
        <v>28140</v>
      </c>
      <c r="I5790" s="2" t="s">
        <v>18736</v>
      </c>
      <c r="J5790" s="2" t="s">
        <v>18737</v>
      </c>
      <c r="K5790" s="2" t="s">
        <v>1443</v>
      </c>
      <c r="L5790" s="2" t="s">
        <v>28141</v>
      </c>
      <c r="M5790" s="2" t="s">
        <v>28142</v>
      </c>
      <c r="N5790" s="2" t="s">
        <v>869</v>
      </c>
      <c r="O5790" s="2" t="s">
        <v>870</v>
      </c>
    </row>
    <row r="5791" ht="15.75" customHeight="1">
      <c r="H5791" s="2" t="s">
        <v>28143</v>
      </c>
      <c r="I5791" s="2" t="s">
        <v>28144</v>
      </c>
      <c r="J5791" s="2" t="s">
        <v>28145</v>
      </c>
      <c r="L5791" s="2" t="s">
        <v>28146</v>
      </c>
      <c r="M5791" s="2" t="s">
        <v>869</v>
      </c>
      <c r="N5791" s="2" t="s">
        <v>870</v>
      </c>
    </row>
    <row r="5792" ht="15.75" customHeight="1">
      <c r="H5792" s="2" t="s">
        <v>28147</v>
      </c>
      <c r="I5792" s="2" t="s">
        <v>28148</v>
      </c>
      <c r="J5792" s="2" t="s">
        <v>28149</v>
      </c>
      <c r="K5792" s="2" t="s">
        <v>1049</v>
      </c>
      <c r="L5792" s="2" t="s">
        <v>28150</v>
      </c>
      <c r="M5792" s="2" t="s">
        <v>28151</v>
      </c>
      <c r="N5792" s="2" t="s">
        <v>869</v>
      </c>
      <c r="O5792" s="2" t="s">
        <v>870</v>
      </c>
    </row>
    <row r="5793" ht="15.75" customHeight="1">
      <c r="H5793" s="2" t="s">
        <v>28152</v>
      </c>
      <c r="I5793" s="2" t="s">
        <v>4453</v>
      </c>
      <c r="J5793" s="2" t="s">
        <v>4454</v>
      </c>
      <c r="K5793" s="2" t="s">
        <v>1199</v>
      </c>
      <c r="L5793" s="2" t="s">
        <v>28153</v>
      </c>
      <c r="M5793" s="2" t="s">
        <v>28154</v>
      </c>
      <c r="N5793" s="2" t="s">
        <v>869</v>
      </c>
      <c r="O5793" s="2" t="s">
        <v>870</v>
      </c>
    </row>
    <row r="5794" ht="15.75" customHeight="1">
      <c r="F5794" s="2" t="s">
        <v>4462</v>
      </c>
      <c r="H5794" s="2" t="s">
        <v>28155</v>
      </c>
      <c r="I5794" s="2" t="s">
        <v>21328</v>
      </c>
      <c r="J5794" s="2" t="s">
        <v>21329</v>
      </c>
      <c r="K5794" s="2" t="s">
        <v>859</v>
      </c>
      <c r="L5794" s="2" t="s">
        <v>28156</v>
      </c>
      <c r="M5794" s="2" t="s">
        <v>28157</v>
      </c>
      <c r="N5794" s="2" t="s">
        <v>869</v>
      </c>
      <c r="O5794" s="2" t="s">
        <v>870</v>
      </c>
    </row>
    <row r="5795" ht="15.75" customHeight="1">
      <c r="H5795" s="2" t="s">
        <v>28158</v>
      </c>
      <c r="I5795" s="2" t="s">
        <v>28159</v>
      </c>
      <c r="J5795" s="2" t="s">
        <v>28160</v>
      </c>
      <c r="K5795" s="2" t="s">
        <v>853</v>
      </c>
      <c r="L5795" s="2" t="s">
        <v>28161</v>
      </c>
      <c r="M5795" s="2" t="s">
        <v>869</v>
      </c>
      <c r="N5795" s="2" t="s">
        <v>870</v>
      </c>
    </row>
    <row r="5796" ht="15.75" customHeight="1">
      <c r="H5796" s="2" t="s">
        <v>28162</v>
      </c>
      <c r="I5796" s="2" t="s">
        <v>28163</v>
      </c>
      <c r="J5796" s="2" t="s">
        <v>28164</v>
      </c>
      <c r="K5796" s="2" t="s">
        <v>947</v>
      </c>
      <c r="L5796" s="2" t="s">
        <v>28165</v>
      </c>
      <c r="M5796" s="2" t="s">
        <v>28166</v>
      </c>
      <c r="N5796" s="2" t="s">
        <v>869</v>
      </c>
      <c r="O5796" s="2" t="s">
        <v>870</v>
      </c>
    </row>
    <row r="5797" ht="15.75" customHeight="1">
      <c r="H5797" s="2" t="s">
        <v>28167</v>
      </c>
      <c r="I5797" s="2" t="s">
        <v>21338</v>
      </c>
      <c r="J5797" s="2" t="s">
        <v>21339</v>
      </c>
      <c r="K5797" s="2" t="s">
        <v>1061</v>
      </c>
      <c r="L5797" s="2" t="s">
        <v>28168</v>
      </c>
      <c r="M5797" s="2" t="s">
        <v>28169</v>
      </c>
      <c r="N5797" s="2" t="s">
        <v>869</v>
      </c>
      <c r="O5797" s="2" t="s">
        <v>870</v>
      </c>
    </row>
    <row r="5798" ht="15.75" customHeight="1">
      <c r="H5798" s="2" t="s">
        <v>28170</v>
      </c>
      <c r="I5798" s="2" t="s">
        <v>28171</v>
      </c>
      <c r="J5798" s="2" t="s">
        <v>28172</v>
      </c>
      <c r="K5798" s="2" t="s">
        <v>1362</v>
      </c>
      <c r="L5798" s="2" t="s">
        <v>28173</v>
      </c>
      <c r="M5798" s="2" t="s">
        <v>28174</v>
      </c>
      <c r="N5798" s="2" t="s">
        <v>869</v>
      </c>
      <c r="O5798" s="2" t="s">
        <v>870</v>
      </c>
    </row>
    <row r="5799" ht="15.75" customHeight="1">
      <c r="H5799" s="2" t="s">
        <v>28175</v>
      </c>
      <c r="I5799" s="2" t="s">
        <v>28176</v>
      </c>
      <c r="J5799" s="2" t="s">
        <v>28177</v>
      </c>
      <c r="K5799" s="2" t="s">
        <v>865</v>
      </c>
      <c r="L5799" s="2" t="s">
        <v>28178</v>
      </c>
      <c r="M5799" s="2" t="s">
        <v>869</v>
      </c>
      <c r="N5799" s="2" t="s">
        <v>870</v>
      </c>
    </row>
    <row r="5800" ht="15.75" customHeight="1">
      <c r="H5800" s="2" t="s">
        <v>28179</v>
      </c>
      <c r="I5800" s="2" t="s">
        <v>28180</v>
      </c>
      <c r="J5800" s="2" t="s">
        <v>28181</v>
      </c>
      <c r="K5800" s="2" t="s">
        <v>1878</v>
      </c>
      <c r="L5800" s="2" t="s">
        <v>28182</v>
      </c>
      <c r="M5800" s="2" t="s">
        <v>869</v>
      </c>
      <c r="N5800" s="2" t="s">
        <v>870</v>
      </c>
    </row>
    <row r="5801" ht="15.75" customHeight="1">
      <c r="H5801" s="2" t="s">
        <v>28183</v>
      </c>
      <c r="I5801" s="2" t="s">
        <v>28184</v>
      </c>
      <c r="J5801" s="2" t="s">
        <v>28185</v>
      </c>
      <c r="K5801" s="2" t="s">
        <v>966</v>
      </c>
      <c r="L5801" s="2" t="s">
        <v>28186</v>
      </c>
      <c r="M5801" s="2" t="s">
        <v>869</v>
      </c>
      <c r="N5801" s="2" t="s">
        <v>870</v>
      </c>
    </row>
    <row r="5802" ht="15.75" customHeight="1">
      <c r="H5802" s="2" t="s">
        <v>28187</v>
      </c>
      <c r="I5802" s="2" t="s">
        <v>28188</v>
      </c>
      <c r="J5802" s="2" t="s">
        <v>28189</v>
      </c>
      <c r="K5802" s="2" t="s">
        <v>874</v>
      </c>
      <c r="L5802" s="2" t="s">
        <v>28190</v>
      </c>
      <c r="M5802" s="2" t="s">
        <v>869</v>
      </c>
      <c r="N5802" s="2" t="s">
        <v>870</v>
      </c>
    </row>
    <row r="5803" ht="15.75" customHeight="1">
      <c r="H5803" s="2" t="s">
        <v>28191</v>
      </c>
      <c r="I5803" s="2" t="s">
        <v>28192</v>
      </c>
      <c r="J5803" s="2" t="s">
        <v>28193</v>
      </c>
      <c r="K5803" s="2" t="s">
        <v>1117</v>
      </c>
      <c r="L5803" s="2" t="s">
        <v>28194</v>
      </c>
      <c r="M5803" s="2" t="s">
        <v>869</v>
      </c>
      <c r="N5803" s="2" t="s">
        <v>870</v>
      </c>
    </row>
    <row r="5804" ht="15.75" customHeight="1">
      <c r="H5804" s="2" t="s">
        <v>28195</v>
      </c>
      <c r="I5804" s="2" t="s">
        <v>27469</v>
      </c>
      <c r="J5804" s="2" t="s">
        <v>27470</v>
      </c>
      <c r="K5804" s="2" t="s">
        <v>1288</v>
      </c>
      <c r="L5804" s="2" t="s">
        <v>28196</v>
      </c>
      <c r="M5804" s="2" t="s">
        <v>869</v>
      </c>
      <c r="N5804" s="2" t="s">
        <v>870</v>
      </c>
    </row>
    <row r="5805" ht="15.75" customHeight="1">
      <c r="H5805" s="2" t="s">
        <v>28197</v>
      </c>
      <c r="I5805" s="2" t="s">
        <v>28198</v>
      </c>
      <c r="J5805" s="2" t="s">
        <v>28199</v>
      </c>
      <c r="K5805" s="2" t="s">
        <v>1368</v>
      </c>
      <c r="L5805" s="2" t="s">
        <v>28200</v>
      </c>
      <c r="M5805" s="2" t="s">
        <v>869</v>
      </c>
      <c r="N5805" s="2" t="s">
        <v>870</v>
      </c>
    </row>
    <row r="5806" ht="15.75" customHeight="1">
      <c r="H5806" s="2" t="s">
        <v>28201</v>
      </c>
      <c r="I5806" s="2" t="s">
        <v>1167</v>
      </c>
      <c r="J5806" s="2" t="s">
        <v>1168</v>
      </c>
      <c r="K5806" s="2" t="s">
        <v>963</v>
      </c>
      <c r="L5806" s="2" t="s">
        <v>28202</v>
      </c>
      <c r="M5806" s="2" t="s">
        <v>869</v>
      </c>
      <c r="N5806" s="2" t="s">
        <v>870</v>
      </c>
    </row>
    <row r="5807" ht="15.75" customHeight="1">
      <c r="H5807" s="2" t="s">
        <v>28203</v>
      </c>
      <c r="I5807" s="2" t="s">
        <v>4477</v>
      </c>
      <c r="J5807" s="2" t="s">
        <v>4478</v>
      </c>
      <c r="K5807" s="2" t="s">
        <v>996</v>
      </c>
      <c r="L5807" s="2" t="s">
        <v>28204</v>
      </c>
      <c r="M5807" s="2" t="s">
        <v>28205</v>
      </c>
      <c r="N5807" s="2" t="s">
        <v>869</v>
      </c>
      <c r="O5807" s="2" t="s">
        <v>870</v>
      </c>
    </row>
    <row r="5808" ht="15.75" customHeight="1">
      <c r="H5808" s="2" t="s">
        <v>28206</v>
      </c>
      <c r="I5808" s="2" t="s">
        <v>28207</v>
      </c>
      <c r="J5808" s="2" t="s">
        <v>28208</v>
      </c>
      <c r="K5808" s="2" t="s">
        <v>1297</v>
      </c>
      <c r="L5808" s="2" t="s">
        <v>28209</v>
      </c>
      <c r="M5808" s="2" t="s">
        <v>869</v>
      </c>
      <c r="N5808" s="2" t="s">
        <v>870</v>
      </c>
    </row>
    <row r="5809" ht="15.75" customHeight="1">
      <c r="H5809" s="2" t="s">
        <v>28210</v>
      </c>
      <c r="I5809" s="2" t="s">
        <v>28211</v>
      </c>
      <c r="J5809" s="2" t="s">
        <v>28212</v>
      </c>
      <c r="K5809" s="2" t="s">
        <v>970</v>
      </c>
      <c r="L5809" s="2" t="s">
        <v>28213</v>
      </c>
      <c r="M5809" s="2" t="s">
        <v>28214</v>
      </c>
      <c r="N5809" s="2" t="s">
        <v>869</v>
      </c>
      <c r="O5809" s="2" t="s">
        <v>870</v>
      </c>
    </row>
    <row r="5810" ht="15.75" customHeight="1">
      <c r="H5810" s="2" t="s">
        <v>28215</v>
      </c>
      <c r="I5810" s="2" t="s">
        <v>28216</v>
      </c>
      <c r="J5810" s="2" t="s">
        <v>28217</v>
      </c>
      <c r="K5810" s="2" t="s">
        <v>886</v>
      </c>
      <c r="L5810" s="2" t="s">
        <v>28218</v>
      </c>
      <c r="M5810" s="2" t="s">
        <v>869</v>
      </c>
      <c r="N5810" s="2" t="s">
        <v>870</v>
      </c>
    </row>
    <row r="5811" ht="15.75" customHeight="1">
      <c r="H5811" s="2" t="s">
        <v>28219</v>
      </c>
      <c r="I5811" s="2" t="s">
        <v>28220</v>
      </c>
      <c r="J5811" s="2" t="s">
        <v>28221</v>
      </c>
      <c r="K5811" s="2" t="s">
        <v>890</v>
      </c>
      <c r="L5811" s="2" t="s">
        <v>28222</v>
      </c>
      <c r="M5811" s="2" t="s">
        <v>869</v>
      </c>
      <c r="N5811" s="2" t="s">
        <v>870</v>
      </c>
    </row>
    <row r="5812" ht="15.75" customHeight="1">
      <c r="F5812" s="2" t="s">
        <v>755</v>
      </c>
      <c r="H5812" s="2" t="s">
        <v>28223</v>
      </c>
      <c r="I5812" s="2" t="s">
        <v>28224</v>
      </c>
      <c r="J5812" s="2" t="s">
        <v>28225</v>
      </c>
      <c r="K5812" s="2" t="s">
        <v>859</v>
      </c>
      <c r="L5812" s="2" t="s">
        <v>28226</v>
      </c>
      <c r="M5812" s="2" t="s">
        <v>869</v>
      </c>
      <c r="N5812" s="2" t="s">
        <v>870</v>
      </c>
    </row>
    <row r="5813" ht="15.75" customHeight="1">
      <c r="H5813" s="2" t="s">
        <v>28227</v>
      </c>
      <c r="I5813" s="2" t="s">
        <v>28228</v>
      </c>
      <c r="J5813" s="2" t="s">
        <v>28229</v>
      </c>
      <c r="K5813" s="2" t="s">
        <v>853</v>
      </c>
      <c r="L5813" s="2" t="s">
        <v>28230</v>
      </c>
      <c r="M5813" s="2" t="s">
        <v>28231</v>
      </c>
      <c r="N5813" s="2" t="s">
        <v>869</v>
      </c>
      <c r="O5813" s="2" t="s">
        <v>870</v>
      </c>
    </row>
    <row r="5814" ht="15.75" customHeight="1">
      <c r="H5814" s="2" t="s">
        <v>28232</v>
      </c>
      <c r="I5814" s="2" t="s">
        <v>28233</v>
      </c>
      <c r="J5814" s="2" t="s">
        <v>28234</v>
      </c>
      <c r="K5814" s="2" t="s">
        <v>280</v>
      </c>
      <c r="L5814" s="2" t="s">
        <v>28235</v>
      </c>
      <c r="M5814" s="2" t="s">
        <v>28236</v>
      </c>
      <c r="N5814" s="2" t="s">
        <v>869</v>
      </c>
      <c r="O5814" s="2" t="s">
        <v>870</v>
      </c>
    </row>
    <row r="5815" ht="15.75" customHeight="1">
      <c r="H5815" s="2" t="s">
        <v>28237</v>
      </c>
      <c r="I5815" s="2" t="s">
        <v>21414</v>
      </c>
      <c r="J5815" s="2" t="s">
        <v>21415</v>
      </c>
      <c r="K5815" s="2" t="s">
        <v>1467</v>
      </c>
      <c r="L5815" s="2" t="s">
        <v>21416</v>
      </c>
      <c r="M5815" s="2" t="s">
        <v>28238</v>
      </c>
      <c r="N5815" s="2" t="s">
        <v>869</v>
      </c>
      <c r="O5815" s="2" t="s">
        <v>870</v>
      </c>
    </row>
    <row r="5816" ht="15.75" customHeight="1">
      <c r="H5816" s="2" t="s">
        <v>28239</v>
      </c>
      <c r="I5816" s="2" t="s">
        <v>1457</v>
      </c>
      <c r="J5816" s="2" t="s">
        <v>1458</v>
      </c>
      <c r="K5816" s="2" t="s">
        <v>1878</v>
      </c>
      <c r="L5816" s="2" t="s">
        <v>28240</v>
      </c>
      <c r="M5816" s="2" t="s">
        <v>28241</v>
      </c>
      <c r="N5816" s="2" t="s">
        <v>869</v>
      </c>
      <c r="O5816" s="2" t="s">
        <v>870</v>
      </c>
    </row>
    <row r="5817" ht="15.75" customHeight="1">
      <c r="H5817" s="2" t="s">
        <v>28242</v>
      </c>
      <c r="I5817" s="2" t="s">
        <v>1629</v>
      </c>
      <c r="J5817" s="2" t="s">
        <v>1630</v>
      </c>
      <c r="K5817" s="2" t="s">
        <v>996</v>
      </c>
      <c r="L5817" s="2" t="s">
        <v>28243</v>
      </c>
      <c r="M5817" s="2" t="s">
        <v>28244</v>
      </c>
      <c r="N5817" s="2" t="s">
        <v>869</v>
      </c>
      <c r="O5817" s="2" t="s">
        <v>870</v>
      </c>
    </row>
    <row r="5818" ht="15.75" customHeight="1">
      <c r="H5818" s="2" t="s">
        <v>28245</v>
      </c>
      <c r="I5818" s="2" t="s">
        <v>21432</v>
      </c>
      <c r="J5818" s="2" t="s">
        <v>21433</v>
      </c>
      <c r="K5818" s="2" t="s">
        <v>880</v>
      </c>
      <c r="L5818" s="2" t="s">
        <v>28246</v>
      </c>
      <c r="M5818" s="2" t="s">
        <v>28247</v>
      </c>
      <c r="N5818" s="2" t="s">
        <v>869</v>
      </c>
      <c r="O5818" s="2" t="s">
        <v>870</v>
      </c>
    </row>
    <row r="5819" ht="15.75" customHeight="1">
      <c r="H5819" s="2" t="s">
        <v>28248</v>
      </c>
      <c r="I5819" s="2" t="s">
        <v>28249</v>
      </c>
      <c r="J5819" s="2" t="s">
        <v>28250</v>
      </c>
      <c r="K5819" s="2" t="s">
        <v>966</v>
      </c>
      <c r="L5819" s="2" t="s">
        <v>28251</v>
      </c>
      <c r="M5819" s="2" t="s">
        <v>869</v>
      </c>
      <c r="N5819" s="2" t="s">
        <v>870</v>
      </c>
    </row>
    <row r="5820" ht="15.75" customHeight="1">
      <c r="H5820" s="2" t="s">
        <v>28252</v>
      </c>
      <c r="I5820" s="2" t="s">
        <v>28253</v>
      </c>
      <c r="J5820" s="2" t="s">
        <v>28254</v>
      </c>
      <c r="K5820" s="2" t="s">
        <v>896</v>
      </c>
      <c r="L5820" s="2" t="s">
        <v>28255</v>
      </c>
      <c r="M5820" s="2" t="s">
        <v>869</v>
      </c>
      <c r="N5820" s="2" t="s">
        <v>870</v>
      </c>
    </row>
    <row r="5821" ht="15.75" customHeight="1">
      <c r="H5821" s="2" t="s">
        <v>28256</v>
      </c>
      <c r="I5821" s="2" t="s">
        <v>3110</v>
      </c>
      <c r="J5821" s="2" t="s">
        <v>3111</v>
      </c>
      <c r="K5821" s="2" t="s">
        <v>900</v>
      </c>
      <c r="L5821" s="2" t="s">
        <v>28257</v>
      </c>
      <c r="M5821" s="2" t="s">
        <v>28258</v>
      </c>
      <c r="N5821" s="2" t="s">
        <v>869</v>
      </c>
      <c r="O5821" s="2" t="s">
        <v>870</v>
      </c>
    </row>
    <row r="5822" ht="15.75" customHeight="1">
      <c r="H5822" s="2" t="s">
        <v>28259</v>
      </c>
      <c r="I5822" s="2" t="s">
        <v>28260</v>
      </c>
      <c r="J5822" s="2" t="s">
        <v>28261</v>
      </c>
      <c r="K5822" s="2" t="s">
        <v>2937</v>
      </c>
      <c r="L5822" s="2" t="s">
        <v>28262</v>
      </c>
      <c r="M5822" s="2" t="s">
        <v>869</v>
      </c>
      <c r="N5822" s="2" t="s">
        <v>870</v>
      </c>
    </row>
    <row r="5823" ht="15.75" customHeight="1">
      <c r="H5823" s="2" t="s">
        <v>28263</v>
      </c>
      <c r="I5823" s="2" t="s">
        <v>28264</v>
      </c>
      <c r="J5823" s="2" t="s">
        <v>28265</v>
      </c>
      <c r="L5823" s="2" t="s">
        <v>28266</v>
      </c>
      <c r="M5823" s="2" t="s">
        <v>869</v>
      </c>
      <c r="N5823" s="2" t="s">
        <v>870</v>
      </c>
    </row>
    <row r="5824" ht="15.75" customHeight="1">
      <c r="H5824" s="2" t="s">
        <v>28267</v>
      </c>
      <c r="I5824" s="2" t="s">
        <v>28268</v>
      </c>
      <c r="J5824" s="2" t="s">
        <v>28269</v>
      </c>
      <c r="K5824" s="2" t="s">
        <v>1145</v>
      </c>
      <c r="L5824" s="2" t="s">
        <v>28270</v>
      </c>
      <c r="M5824" s="2" t="s">
        <v>869</v>
      </c>
      <c r="N5824" s="2" t="s">
        <v>870</v>
      </c>
    </row>
    <row r="5825" ht="15.75" customHeight="1">
      <c r="H5825" s="2" t="s">
        <v>28271</v>
      </c>
      <c r="I5825" s="2" t="s">
        <v>28272</v>
      </c>
      <c r="J5825" s="2" t="s">
        <v>28272</v>
      </c>
      <c r="K5825" s="2" t="s">
        <v>918</v>
      </c>
    </row>
    <row r="5826" ht="15.75" customHeight="1">
      <c r="H5826" s="2" t="s">
        <v>28273</v>
      </c>
      <c r="I5826" s="2" t="s">
        <v>28274</v>
      </c>
      <c r="J5826" s="2" t="s">
        <v>28275</v>
      </c>
      <c r="K5826" s="2" t="s">
        <v>1569</v>
      </c>
      <c r="L5826" s="2" t="s">
        <v>28276</v>
      </c>
      <c r="M5826" s="2" t="s">
        <v>28277</v>
      </c>
      <c r="N5826" s="2" t="s">
        <v>869</v>
      </c>
      <c r="O5826" s="2" t="s">
        <v>870</v>
      </c>
    </row>
    <row r="5827" ht="15.75" customHeight="1">
      <c r="H5827" s="2" t="s">
        <v>28278</v>
      </c>
      <c r="I5827" s="2" t="s">
        <v>28279</v>
      </c>
      <c r="J5827" s="2" t="s">
        <v>28280</v>
      </c>
      <c r="K5827" s="2" t="s">
        <v>1141</v>
      </c>
      <c r="L5827" s="2" t="s">
        <v>28281</v>
      </c>
      <c r="M5827" s="2" t="s">
        <v>869</v>
      </c>
      <c r="N5827" s="2" t="s">
        <v>870</v>
      </c>
    </row>
    <row r="5828" ht="15.75" customHeight="1">
      <c r="H5828" s="2" t="s">
        <v>28282</v>
      </c>
      <c r="I5828" s="2" t="s">
        <v>18724</v>
      </c>
      <c r="J5828" s="2" t="s">
        <v>18725</v>
      </c>
      <c r="K5828" s="2" t="s">
        <v>1412</v>
      </c>
      <c r="L5828" s="2" t="s">
        <v>28283</v>
      </c>
      <c r="M5828" s="2" t="s">
        <v>28284</v>
      </c>
      <c r="N5828" s="2" t="s">
        <v>869</v>
      </c>
      <c r="O5828" s="2" t="s">
        <v>870</v>
      </c>
    </row>
    <row r="5829" ht="15.75" customHeight="1">
      <c r="H5829" s="2" t="s">
        <v>28285</v>
      </c>
      <c r="I5829" s="2" t="s">
        <v>28286</v>
      </c>
      <c r="J5829" s="2" t="s">
        <v>28287</v>
      </c>
      <c r="K5829" s="2" t="s">
        <v>1418</v>
      </c>
      <c r="L5829" s="2" t="s">
        <v>28288</v>
      </c>
      <c r="M5829" s="2" t="s">
        <v>869</v>
      </c>
      <c r="N5829" s="2" t="s">
        <v>870</v>
      </c>
    </row>
    <row r="5830" ht="15.75" customHeight="1">
      <c r="H5830" s="2" t="s">
        <v>28289</v>
      </c>
      <c r="I5830" s="2" t="s">
        <v>28290</v>
      </c>
      <c r="J5830" s="2" t="s">
        <v>28291</v>
      </c>
      <c r="K5830" s="2" t="s">
        <v>1027</v>
      </c>
      <c r="L5830" s="2" t="s">
        <v>28292</v>
      </c>
      <c r="M5830" s="2" t="s">
        <v>28241</v>
      </c>
      <c r="N5830" s="2" t="s">
        <v>869</v>
      </c>
      <c r="O5830" s="2" t="s">
        <v>870</v>
      </c>
    </row>
    <row r="5831" ht="15.75" customHeight="1">
      <c r="H5831" s="2" t="s">
        <v>28293</v>
      </c>
      <c r="I5831" s="2" t="s">
        <v>28294</v>
      </c>
      <c r="J5831" s="2" t="s">
        <v>28295</v>
      </c>
      <c r="K5831" s="2" t="s">
        <v>1331</v>
      </c>
      <c r="L5831" s="2" t="s">
        <v>28296</v>
      </c>
      <c r="M5831" s="2" t="s">
        <v>28297</v>
      </c>
      <c r="N5831" s="2" t="s">
        <v>869</v>
      </c>
      <c r="O5831" s="2" t="s">
        <v>870</v>
      </c>
    </row>
    <row r="5832" ht="15.75" customHeight="1">
      <c r="H5832" s="2" t="s">
        <v>28298</v>
      </c>
      <c r="I5832" s="2" t="s">
        <v>28299</v>
      </c>
      <c r="J5832" s="2" t="s">
        <v>28300</v>
      </c>
      <c r="K5832" s="2" t="s">
        <v>1157</v>
      </c>
      <c r="L5832" s="2" t="s">
        <v>28301</v>
      </c>
      <c r="M5832" s="2" t="s">
        <v>869</v>
      </c>
      <c r="N5832" s="2" t="s">
        <v>870</v>
      </c>
    </row>
    <row r="5833" ht="15.75" customHeight="1">
      <c r="H5833" s="2" t="s">
        <v>28302</v>
      </c>
      <c r="I5833" s="2" t="s">
        <v>4640</v>
      </c>
      <c r="J5833" s="2" t="s">
        <v>4641</v>
      </c>
      <c r="K5833" s="2" t="s">
        <v>1163</v>
      </c>
      <c r="L5833" s="2" t="s">
        <v>28303</v>
      </c>
      <c r="M5833" s="2" t="s">
        <v>28304</v>
      </c>
      <c r="N5833" s="2" t="s">
        <v>869</v>
      </c>
      <c r="O5833" s="2" t="s">
        <v>870</v>
      </c>
    </row>
    <row r="5834" ht="15.75" customHeight="1">
      <c r="H5834" s="2" t="s">
        <v>28305</v>
      </c>
      <c r="I5834" s="2" t="s">
        <v>755</v>
      </c>
      <c r="J5834" s="2" t="s">
        <v>755</v>
      </c>
      <c r="K5834" s="2" t="s">
        <v>4429</v>
      </c>
    </row>
    <row r="5835" ht="15.75" customHeight="1">
      <c r="H5835" s="2" t="s">
        <v>28306</v>
      </c>
      <c r="I5835" s="2" t="s">
        <v>28307</v>
      </c>
      <c r="J5835" s="2" t="s">
        <v>28308</v>
      </c>
      <c r="K5835" s="2" t="s">
        <v>1193</v>
      </c>
      <c r="L5835" s="2" t="s">
        <v>28309</v>
      </c>
      <c r="M5835" s="2" t="s">
        <v>28310</v>
      </c>
      <c r="N5835" s="2" t="s">
        <v>869</v>
      </c>
      <c r="O5835" s="2" t="s">
        <v>870</v>
      </c>
    </row>
    <row r="5836" ht="15.75" customHeight="1">
      <c r="H5836" s="2" t="s">
        <v>28311</v>
      </c>
      <c r="I5836" s="2" t="s">
        <v>28312</v>
      </c>
      <c r="J5836" s="2" t="s">
        <v>28313</v>
      </c>
      <c r="L5836" s="2" t="s">
        <v>28314</v>
      </c>
      <c r="M5836" s="2" t="s">
        <v>869</v>
      </c>
      <c r="N5836" s="2" t="s">
        <v>870</v>
      </c>
    </row>
    <row r="5837" ht="15.75" customHeight="1">
      <c r="H5837" s="2" t="s">
        <v>28315</v>
      </c>
      <c r="I5837" s="2" t="s">
        <v>21516</v>
      </c>
      <c r="J5837" s="2" t="s">
        <v>21517</v>
      </c>
      <c r="K5837" s="2" t="s">
        <v>1981</v>
      </c>
      <c r="L5837" s="2" t="s">
        <v>28316</v>
      </c>
      <c r="M5837" s="2" t="s">
        <v>28317</v>
      </c>
      <c r="N5837" s="2" t="s">
        <v>869</v>
      </c>
      <c r="O5837" s="2" t="s">
        <v>870</v>
      </c>
    </row>
    <row r="5838" ht="15.75" customHeight="1">
      <c r="F5838" s="2" t="s">
        <v>764</v>
      </c>
      <c r="H5838" s="2" t="s">
        <v>28318</v>
      </c>
      <c r="I5838" s="2" t="s">
        <v>4704</v>
      </c>
      <c r="J5838" s="2" t="s">
        <v>4705</v>
      </c>
      <c r="K5838" s="2" t="s">
        <v>853</v>
      </c>
      <c r="L5838" s="2" t="s">
        <v>28319</v>
      </c>
      <c r="M5838" s="2" t="s">
        <v>28320</v>
      </c>
      <c r="N5838" s="2" t="s">
        <v>869</v>
      </c>
      <c r="O5838" s="2" t="s">
        <v>870</v>
      </c>
    </row>
    <row r="5839" ht="15.75" customHeight="1">
      <c r="H5839" s="2" t="s">
        <v>28321</v>
      </c>
      <c r="I5839" s="2" t="s">
        <v>28322</v>
      </c>
      <c r="J5839" s="2" t="s">
        <v>28323</v>
      </c>
      <c r="K5839" s="2" t="s">
        <v>277</v>
      </c>
      <c r="L5839" s="2" t="s">
        <v>28324</v>
      </c>
      <c r="M5839" s="2" t="s">
        <v>869</v>
      </c>
      <c r="N5839" s="2" t="s">
        <v>870</v>
      </c>
    </row>
    <row r="5840" ht="15.75" customHeight="1">
      <c r="H5840" s="2" t="s">
        <v>28325</v>
      </c>
      <c r="I5840" s="2" t="s">
        <v>28326</v>
      </c>
      <c r="J5840" s="2" t="s">
        <v>28327</v>
      </c>
      <c r="K5840" s="2" t="s">
        <v>1061</v>
      </c>
      <c r="L5840" s="2" t="s">
        <v>28328</v>
      </c>
      <c r="M5840" s="2" t="s">
        <v>869</v>
      </c>
      <c r="N5840" s="2" t="s">
        <v>870</v>
      </c>
    </row>
    <row r="5841" ht="15.75" customHeight="1">
      <c r="H5841" s="2" t="s">
        <v>28329</v>
      </c>
      <c r="I5841" s="2" t="s">
        <v>28330</v>
      </c>
      <c r="J5841" s="2" t="s">
        <v>28331</v>
      </c>
      <c r="K5841" s="2" t="s">
        <v>947</v>
      </c>
      <c r="L5841" s="2" t="s">
        <v>28332</v>
      </c>
      <c r="M5841" s="2" t="s">
        <v>869</v>
      </c>
      <c r="N5841" s="2" t="s">
        <v>870</v>
      </c>
    </row>
    <row r="5842" ht="15.75" customHeight="1">
      <c r="H5842" s="2" t="s">
        <v>28333</v>
      </c>
      <c r="I5842" s="2" t="s">
        <v>28334</v>
      </c>
      <c r="J5842" s="2" t="s">
        <v>28335</v>
      </c>
      <c r="K5842" s="2" t="s">
        <v>1117</v>
      </c>
      <c r="L5842" s="2" t="s">
        <v>28336</v>
      </c>
      <c r="M5842" s="2" t="s">
        <v>869</v>
      </c>
      <c r="N5842" s="2" t="s">
        <v>870</v>
      </c>
    </row>
    <row r="5843" ht="15.75" customHeight="1">
      <c r="H5843" s="2" t="s">
        <v>28337</v>
      </c>
      <c r="I5843" s="2" t="s">
        <v>28338</v>
      </c>
      <c r="J5843" s="2" t="s">
        <v>28339</v>
      </c>
      <c r="K5843" s="2" t="s">
        <v>1368</v>
      </c>
      <c r="L5843" s="2" t="s">
        <v>28340</v>
      </c>
      <c r="M5843" s="2" t="s">
        <v>869</v>
      </c>
      <c r="N5843" s="2" t="s">
        <v>870</v>
      </c>
    </row>
    <row r="5844" ht="15.75" customHeight="1">
      <c r="H5844" s="2" t="s">
        <v>28341</v>
      </c>
      <c r="I5844" s="2" t="s">
        <v>28342</v>
      </c>
      <c r="J5844" s="2" t="s">
        <v>28343</v>
      </c>
      <c r="K5844" s="2" t="s">
        <v>958</v>
      </c>
      <c r="L5844" s="2" t="s">
        <v>28344</v>
      </c>
      <c r="M5844" s="2" t="s">
        <v>869</v>
      </c>
      <c r="N5844" s="2" t="s">
        <v>870</v>
      </c>
    </row>
    <row r="5845" ht="15.75" customHeight="1">
      <c r="H5845" s="2" t="s">
        <v>28345</v>
      </c>
      <c r="I5845" s="2" t="s">
        <v>21539</v>
      </c>
      <c r="J5845" s="2" t="s">
        <v>21540</v>
      </c>
      <c r="K5845" s="2" t="s">
        <v>880</v>
      </c>
      <c r="L5845" s="2" t="s">
        <v>28346</v>
      </c>
      <c r="M5845" s="2" t="s">
        <v>28347</v>
      </c>
      <c r="N5845" s="2" t="s">
        <v>869</v>
      </c>
      <c r="O5845" s="2" t="s">
        <v>870</v>
      </c>
    </row>
    <row r="5846" ht="15.75" customHeight="1">
      <c r="H5846" s="2" t="s">
        <v>28348</v>
      </c>
      <c r="I5846" s="2" t="s">
        <v>28349</v>
      </c>
      <c r="J5846" s="2" t="s">
        <v>28350</v>
      </c>
      <c r="K5846" s="2" t="s">
        <v>966</v>
      </c>
      <c r="L5846" s="2" t="s">
        <v>28351</v>
      </c>
      <c r="M5846" s="2" t="s">
        <v>869</v>
      </c>
      <c r="N5846" s="2" t="s">
        <v>870</v>
      </c>
    </row>
    <row r="5847" ht="15.75" customHeight="1">
      <c r="H5847" s="2" t="s">
        <v>28352</v>
      </c>
      <c r="I5847" s="2" t="s">
        <v>28353</v>
      </c>
      <c r="J5847" s="2" t="s">
        <v>28354</v>
      </c>
      <c r="K5847" s="2" t="s">
        <v>996</v>
      </c>
      <c r="L5847" s="2" t="s">
        <v>28355</v>
      </c>
      <c r="M5847" s="2" t="s">
        <v>869</v>
      </c>
      <c r="N5847" s="2" t="s">
        <v>870</v>
      </c>
    </row>
    <row r="5848" ht="15.75" customHeight="1">
      <c r="H5848" s="2" t="s">
        <v>28356</v>
      </c>
      <c r="I5848" s="2" t="s">
        <v>21549</v>
      </c>
      <c r="J5848" s="2" t="s">
        <v>21550</v>
      </c>
      <c r="K5848" s="2" t="s">
        <v>1128</v>
      </c>
      <c r="L5848" s="2" t="s">
        <v>28357</v>
      </c>
      <c r="M5848" s="2" t="s">
        <v>28358</v>
      </c>
      <c r="N5848" s="2" t="s">
        <v>869</v>
      </c>
      <c r="O5848" s="2" t="s">
        <v>870</v>
      </c>
    </row>
    <row r="5849" ht="15.75" customHeight="1">
      <c r="H5849" s="2" t="s">
        <v>28359</v>
      </c>
      <c r="I5849" s="2" t="s">
        <v>28360</v>
      </c>
      <c r="J5849" s="2" t="s">
        <v>28361</v>
      </c>
      <c r="K5849" s="2" t="s">
        <v>1007</v>
      </c>
      <c r="L5849" s="2" t="s">
        <v>28362</v>
      </c>
      <c r="M5849" s="2" t="s">
        <v>869</v>
      </c>
      <c r="N5849" s="2" t="s">
        <v>870</v>
      </c>
    </row>
    <row r="5850" ht="15.75" customHeight="1">
      <c r="H5850" s="2" t="s">
        <v>28363</v>
      </c>
      <c r="I5850" s="2" t="s">
        <v>28364</v>
      </c>
      <c r="J5850" s="2" t="s">
        <v>28365</v>
      </c>
      <c r="K5850" s="2" t="s">
        <v>2937</v>
      </c>
      <c r="L5850" s="2" t="s">
        <v>28366</v>
      </c>
      <c r="M5850" s="2" t="s">
        <v>869</v>
      </c>
      <c r="N5850" s="2" t="s">
        <v>870</v>
      </c>
    </row>
    <row r="5851" ht="15.75" customHeight="1">
      <c r="H5851" s="2" t="s">
        <v>28367</v>
      </c>
      <c r="I5851" s="2" t="s">
        <v>28368</v>
      </c>
      <c r="J5851" s="2" t="s">
        <v>28369</v>
      </c>
      <c r="K5851" s="2" t="s">
        <v>1145</v>
      </c>
      <c r="L5851" s="2" t="s">
        <v>28370</v>
      </c>
      <c r="M5851" s="2" t="s">
        <v>28371</v>
      </c>
      <c r="N5851" s="2" t="s">
        <v>869</v>
      </c>
      <c r="O5851" s="2" t="s">
        <v>870</v>
      </c>
    </row>
    <row r="5852" ht="15.75" customHeight="1">
      <c r="H5852" s="2" t="s">
        <v>28372</v>
      </c>
      <c r="I5852" s="2" t="s">
        <v>28373</v>
      </c>
      <c r="J5852" s="2" t="s">
        <v>28374</v>
      </c>
      <c r="K5852" s="2" t="s">
        <v>918</v>
      </c>
      <c r="L5852" s="2" t="s">
        <v>28375</v>
      </c>
      <c r="M5852" s="2" t="s">
        <v>869</v>
      </c>
      <c r="N5852" s="2" t="s">
        <v>870</v>
      </c>
    </row>
    <row r="5853" ht="15.75" customHeight="1">
      <c r="H5853" s="2" t="s">
        <v>28376</v>
      </c>
      <c r="I5853" s="2" t="s">
        <v>28377</v>
      </c>
      <c r="J5853" s="2" t="s">
        <v>28378</v>
      </c>
      <c r="K5853" s="2" t="s">
        <v>1313</v>
      </c>
      <c r="L5853" s="2" t="s">
        <v>28379</v>
      </c>
      <c r="M5853" s="2" t="s">
        <v>869</v>
      </c>
      <c r="N5853" s="2" t="s">
        <v>870</v>
      </c>
    </row>
    <row r="5854" ht="15.75" customHeight="1">
      <c r="H5854" s="2" t="s">
        <v>28380</v>
      </c>
      <c r="I5854" s="2" t="s">
        <v>28381</v>
      </c>
      <c r="J5854" s="2" t="s">
        <v>28382</v>
      </c>
      <c r="K5854" s="2" t="s">
        <v>2737</v>
      </c>
      <c r="L5854" s="2" t="s">
        <v>28383</v>
      </c>
      <c r="M5854" s="2" t="s">
        <v>869</v>
      </c>
      <c r="N5854" s="2" t="s">
        <v>870</v>
      </c>
    </row>
    <row r="5855" ht="15.75" customHeight="1">
      <c r="H5855" s="2" t="s">
        <v>28384</v>
      </c>
      <c r="I5855" s="2" t="s">
        <v>4724</v>
      </c>
      <c r="J5855" s="2" t="s">
        <v>4725</v>
      </c>
      <c r="K5855" s="2" t="s">
        <v>1406</v>
      </c>
      <c r="L5855" s="2" t="s">
        <v>28385</v>
      </c>
      <c r="M5855" s="2" t="s">
        <v>28386</v>
      </c>
      <c r="N5855" s="2" t="s">
        <v>869</v>
      </c>
      <c r="O5855" s="2" t="s">
        <v>870</v>
      </c>
    </row>
    <row r="5856" ht="15.75" customHeight="1">
      <c r="H5856" s="2" t="s">
        <v>28387</v>
      </c>
      <c r="I5856" s="2" t="s">
        <v>21567</v>
      </c>
      <c r="J5856" s="2" t="s">
        <v>21568</v>
      </c>
      <c r="K5856" s="2" t="s">
        <v>1319</v>
      </c>
      <c r="L5856" s="2" t="s">
        <v>28388</v>
      </c>
      <c r="M5856" s="2" t="s">
        <v>28389</v>
      </c>
      <c r="N5856" s="2" t="s">
        <v>869</v>
      </c>
      <c r="O5856" s="2" t="s">
        <v>870</v>
      </c>
    </row>
    <row r="5857" ht="15.75" customHeight="1">
      <c r="H5857" s="2" t="s">
        <v>28390</v>
      </c>
      <c r="I5857" s="2" t="s">
        <v>28391</v>
      </c>
      <c r="J5857" s="2" t="s">
        <v>28392</v>
      </c>
      <c r="K5857" s="2" t="s">
        <v>1412</v>
      </c>
      <c r="L5857" s="2" t="s">
        <v>28393</v>
      </c>
      <c r="M5857" s="2" t="s">
        <v>869</v>
      </c>
      <c r="N5857" s="2" t="s">
        <v>870</v>
      </c>
    </row>
    <row r="5858" ht="15.75" customHeight="1">
      <c r="H5858" s="2" t="s">
        <v>28394</v>
      </c>
      <c r="I5858" s="2" t="s">
        <v>766</v>
      </c>
      <c r="J5858" s="2" t="s">
        <v>767</v>
      </c>
      <c r="K5858" s="2" t="s">
        <v>1418</v>
      </c>
      <c r="L5858" s="2" t="s">
        <v>28395</v>
      </c>
      <c r="M5858" s="2" t="s">
        <v>28396</v>
      </c>
      <c r="N5858" s="2" t="s">
        <v>869</v>
      </c>
      <c r="O5858" s="2" t="s">
        <v>870</v>
      </c>
    </row>
    <row r="5859" ht="15.75" customHeight="1">
      <c r="H5859" s="2" t="s">
        <v>28397</v>
      </c>
      <c r="I5859" s="2" t="s">
        <v>28398</v>
      </c>
      <c r="J5859" s="2" t="s">
        <v>28399</v>
      </c>
      <c r="K5859" s="2" t="s">
        <v>1325</v>
      </c>
      <c r="L5859" s="2" t="s">
        <v>28400</v>
      </c>
      <c r="M5859" s="2" t="s">
        <v>869</v>
      </c>
      <c r="N5859" s="2" t="s">
        <v>870</v>
      </c>
    </row>
    <row r="5860" ht="15.75" customHeight="1">
      <c r="H5860" s="2" t="s">
        <v>28401</v>
      </c>
      <c r="I5860" s="2" t="s">
        <v>28402</v>
      </c>
      <c r="J5860" s="2" t="s">
        <v>28403</v>
      </c>
      <c r="K5860" s="2" t="s">
        <v>2223</v>
      </c>
      <c r="L5860" s="2" t="s">
        <v>28404</v>
      </c>
      <c r="M5860" s="2" t="s">
        <v>869</v>
      </c>
      <c r="N5860" s="2" t="s">
        <v>870</v>
      </c>
    </row>
    <row r="5861" ht="15.75" customHeight="1">
      <c r="H5861" s="2" t="s">
        <v>28405</v>
      </c>
      <c r="I5861" s="2" t="s">
        <v>4747</v>
      </c>
      <c r="J5861" s="2" t="s">
        <v>4748</v>
      </c>
      <c r="K5861" s="2" t="s">
        <v>1038</v>
      </c>
      <c r="L5861" s="2" t="s">
        <v>28406</v>
      </c>
      <c r="M5861" s="2" t="s">
        <v>869</v>
      </c>
      <c r="N5861" s="2" t="s">
        <v>870</v>
      </c>
    </row>
    <row r="5862" ht="15.75" customHeight="1">
      <c r="H5862" s="2" t="s">
        <v>28407</v>
      </c>
      <c r="I5862" s="2" t="s">
        <v>28408</v>
      </c>
      <c r="J5862" s="2" t="s">
        <v>28409</v>
      </c>
      <c r="K5862" s="2" t="s">
        <v>1169</v>
      </c>
      <c r="L5862" s="2" t="s">
        <v>28410</v>
      </c>
      <c r="M5862" s="2" t="s">
        <v>869</v>
      </c>
      <c r="N5862" s="2" t="s">
        <v>870</v>
      </c>
    </row>
    <row r="5863" ht="15.75" customHeight="1">
      <c r="H5863" s="2" t="s">
        <v>28411</v>
      </c>
      <c r="I5863" s="2" t="s">
        <v>4752</v>
      </c>
      <c r="J5863" s="2" t="s">
        <v>4753</v>
      </c>
      <c r="K5863" s="2" t="s">
        <v>4429</v>
      </c>
      <c r="L5863" s="2" t="s">
        <v>28412</v>
      </c>
      <c r="M5863" s="2" t="s">
        <v>28413</v>
      </c>
      <c r="N5863" s="2" t="s">
        <v>869</v>
      </c>
      <c r="O5863" s="2" t="s">
        <v>870</v>
      </c>
    </row>
    <row r="5864" ht="15.75" customHeight="1">
      <c r="H5864" s="2" t="s">
        <v>28414</v>
      </c>
      <c r="I5864" s="2" t="s">
        <v>28415</v>
      </c>
      <c r="J5864" s="2" t="s">
        <v>28416</v>
      </c>
      <c r="L5864" s="2" t="s">
        <v>28417</v>
      </c>
      <c r="M5864" s="2" t="s">
        <v>869</v>
      </c>
      <c r="N5864" s="2" t="s">
        <v>870</v>
      </c>
    </row>
    <row r="5865" ht="15.75" customHeight="1">
      <c r="F5865" s="2" t="s">
        <v>782</v>
      </c>
      <c r="H5865" s="2" t="s">
        <v>28418</v>
      </c>
      <c r="I5865" s="2" t="s">
        <v>4860</v>
      </c>
      <c r="J5865" s="2" t="s">
        <v>4861</v>
      </c>
      <c r="K5865" s="2" t="s">
        <v>1362</v>
      </c>
      <c r="L5865" s="2" t="s">
        <v>28419</v>
      </c>
      <c r="M5865" s="2" t="s">
        <v>28420</v>
      </c>
      <c r="N5865" s="2" t="s">
        <v>869</v>
      </c>
      <c r="O5865" s="2" t="s">
        <v>870</v>
      </c>
    </row>
    <row r="5866" ht="15.75" customHeight="1">
      <c r="H5866" s="2" t="s">
        <v>28421</v>
      </c>
      <c r="I5866" s="2" t="s">
        <v>28422</v>
      </c>
      <c r="J5866" s="2" t="s">
        <v>28423</v>
      </c>
      <c r="K5866" s="2" t="s">
        <v>1878</v>
      </c>
      <c r="L5866" s="2" t="s">
        <v>28424</v>
      </c>
      <c r="M5866" s="2" t="s">
        <v>28425</v>
      </c>
      <c r="N5866" s="2" t="s">
        <v>869</v>
      </c>
      <c r="O5866" s="2" t="s">
        <v>870</v>
      </c>
    </row>
    <row r="5867" ht="15.75" customHeight="1">
      <c r="H5867" s="2" t="s">
        <v>28426</v>
      </c>
      <c r="I5867" s="2" t="s">
        <v>28427</v>
      </c>
      <c r="J5867" s="2" t="s">
        <v>28428</v>
      </c>
      <c r="K5867" s="2" t="s">
        <v>1288</v>
      </c>
      <c r="L5867" s="2" t="s">
        <v>28429</v>
      </c>
      <c r="M5867" s="2" t="s">
        <v>869</v>
      </c>
      <c r="N5867" s="2" t="s">
        <v>870</v>
      </c>
    </row>
    <row r="5868" ht="15.75" customHeight="1">
      <c r="H5868" s="2" t="s">
        <v>28430</v>
      </c>
      <c r="I5868" s="2" t="s">
        <v>28431</v>
      </c>
      <c r="J5868" s="2" t="s">
        <v>28432</v>
      </c>
      <c r="K5868" s="2" t="s">
        <v>1368</v>
      </c>
      <c r="L5868" s="2" t="s">
        <v>28433</v>
      </c>
      <c r="M5868" s="2" t="s">
        <v>869</v>
      </c>
      <c r="N5868" s="2" t="s">
        <v>870</v>
      </c>
    </row>
    <row r="5869" ht="15.75" customHeight="1">
      <c r="H5869" s="2" t="s">
        <v>28434</v>
      </c>
      <c r="I5869" s="2" t="s">
        <v>28435</v>
      </c>
      <c r="J5869" s="2" t="s">
        <v>28436</v>
      </c>
      <c r="K5869" s="2" t="s">
        <v>963</v>
      </c>
      <c r="L5869" s="2" t="s">
        <v>28437</v>
      </c>
      <c r="M5869" s="2" t="s">
        <v>28438</v>
      </c>
      <c r="N5869" s="2" t="s">
        <v>869</v>
      </c>
      <c r="O5869" s="2" t="s">
        <v>870</v>
      </c>
    </row>
    <row r="5870" ht="15.75" customHeight="1">
      <c r="H5870" s="2" t="s">
        <v>28439</v>
      </c>
      <c r="I5870" s="2" t="s">
        <v>28440</v>
      </c>
      <c r="J5870" s="2" t="s">
        <v>28441</v>
      </c>
      <c r="K5870" s="2" t="s">
        <v>896</v>
      </c>
      <c r="L5870" s="2" t="s">
        <v>28442</v>
      </c>
      <c r="M5870" s="2" t="s">
        <v>869</v>
      </c>
      <c r="N5870" s="2" t="s">
        <v>870</v>
      </c>
    </row>
    <row r="5871" ht="15.75" customHeight="1">
      <c r="H5871" s="2" t="s">
        <v>28443</v>
      </c>
      <c r="I5871" s="2" t="s">
        <v>4890</v>
      </c>
      <c r="J5871" s="2" t="s">
        <v>4891</v>
      </c>
      <c r="K5871" s="2" t="s">
        <v>1136</v>
      </c>
      <c r="L5871" s="2" t="s">
        <v>28444</v>
      </c>
      <c r="M5871" s="2" t="s">
        <v>869</v>
      </c>
      <c r="N5871" s="2" t="s">
        <v>870</v>
      </c>
    </row>
    <row r="5872" ht="15.75" customHeight="1">
      <c r="H5872" s="2" t="s">
        <v>28445</v>
      </c>
      <c r="I5872" s="2" t="s">
        <v>28446</v>
      </c>
      <c r="J5872" s="2" t="s">
        <v>28447</v>
      </c>
      <c r="K5872" s="2" t="s">
        <v>906</v>
      </c>
      <c r="L5872" s="2" t="s">
        <v>28448</v>
      </c>
      <c r="M5872" s="2" t="s">
        <v>28449</v>
      </c>
      <c r="N5872" s="2" t="s">
        <v>869</v>
      </c>
      <c r="O5872" s="2" t="s">
        <v>870</v>
      </c>
    </row>
    <row r="5873" ht="15.75" customHeight="1">
      <c r="H5873" s="2" t="s">
        <v>28450</v>
      </c>
      <c r="I5873" s="2" t="s">
        <v>14185</v>
      </c>
      <c r="J5873" s="2" t="s">
        <v>14186</v>
      </c>
      <c r="K5873" s="2" t="s">
        <v>912</v>
      </c>
      <c r="L5873" s="2" t="s">
        <v>28451</v>
      </c>
      <c r="M5873" s="2" t="s">
        <v>869</v>
      </c>
      <c r="N5873" s="2" t="s">
        <v>870</v>
      </c>
    </row>
    <row r="5874" ht="15.75" customHeight="1">
      <c r="H5874" s="2" t="s">
        <v>28452</v>
      </c>
      <c r="I5874" s="2" t="s">
        <v>28453</v>
      </c>
      <c r="J5874" s="2" t="s">
        <v>28454</v>
      </c>
      <c r="K5874" s="2" t="s">
        <v>2737</v>
      </c>
      <c r="L5874" s="2" t="s">
        <v>28455</v>
      </c>
      <c r="M5874" s="2" t="s">
        <v>869</v>
      </c>
      <c r="N5874" s="2" t="s">
        <v>870</v>
      </c>
    </row>
    <row r="5875" ht="15.75" customHeight="1">
      <c r="H5875" s="2" t="s">
        <v>28456</v>
      </c>
      <c r="I5875" s="2" t="s">
        <v>28457</v>
      </c>
      <c r="J5875" s="2" t="s">
        <v>28458</v>
      </c>
      <c r="K5875" s="2" t="s">
        <v>1319</v>
      </c>
      <c r="L5875" s="2" t="s">
        <v>28459</v>
      </c>
      <c r="M5875" s="2" t="s">
        <v>28460</v>
      </c>
      <c r="N5875" s="2" t="s">
        <v>869</v>
      </c>
      <c r="O5875" s="2" t="s">
        <v>870</v>
      </c>
    </row>
    <row r="5876" ht="15.75" customHeight="1">
      <c r="H5876" s="2" t="s">
        <v>28461</v>
      </c>
      <c r="I5876" s="2" t="s">
        <v>28462</v>
      </c>
      <c r="J5876" s="2" t="s">
        <v>28463</v>
      </c>
      <c r="K5876" s="2" t="s">
        <v>1424</v>
      </c>
      <c r="L5876" s="2" t="s">
        <v>28464</v>
      </c>
      <c r="M5876" s="2" t="s">
        <v>28465</v>
      </c>
      <c r="N5876" s="2" t="s">
        <v>869</v>
      </c>
      <c r="O5876" s="2" t="s">
        <v>870</v>
      </c>
    </row>
    <row r="5877" ht="15.75" customHeight="1">
      <c r="H5877" s="2" t="s">
        <v>28466</v>
      </c>
      <c r="I5877" s="2" t="s">
        <v>28467</v>
      </c>
      <c r="J5877" s="2" t="s">
        <v>28468</v>
      </c>
      <c r="K5877" s="2" t="s">
        <v>2203</v>
      </c>
      <c r="L5877" s="2" t="s">
        <v>28469</v>
      </c>
      <c r="M5877" s="2" t="s">
        <v>869</v>
      </c>
      <c r="N5877" s="2" t="s">
        <v>870</v>
      </c>
    </row>
    <row r="5878" ht="15.75" customHeight="1">
      <c r="H5878" s="2" t="s">
        <v>28470</v>
      </c>
      <c r="I5878" s="2" t="s">
        <v>28471</v>
      </c>
      <c r="J5878" s="2" t="s">
        <v>28472</v>
      </c>
      <c r="K5878" s="2" t="s">
        <v>2223</v>
      </c>
      <c r="L5878" s="2" t="s">
        <v>28473</v>
      </c>
      <c r="M5878" s="2" t="s">
        <v>28474</v>
      </c>
      <c r="N5878" s="2" t="s">
        <v>869</v>
      </c>
      <c r="O5878" s="2" t="s">
        <v>870</v>
      </c>
    </row>
    <row r="5879" ht="15.75" customHeight="1">
      <c r="H5879" s="2" t="s">
        <v>28475</v>
      </c>
      <c r="I5879" s="2" t="s">
        <v>4918</v>
      </c>
      <c r="J5879" s="2" t="s">
        <v>4919</v>
      </c>
      <c r="K5879" s="2" t="s">
        <v>1027</v>
      </c>
      <c r="L5879" s="2" t="s">
        <v>28476</v>
      </c>
      <c r="M5879" s="2" t="s">
        <v>28477</v>
      </c>
      <c r="N5879" s="2" t="s">
        <v>869</v>
      </c>
      <c r="O5879" s="2" t="s">
        <v>870</v>
      </c>
    </row>
    <row r="5880" ht="15.75" customHeight="1">
      <c r="H5880" s="2" t="s">
        <v>28478</v>
      </c>
      <c r="I5880" s="2" t="s">
        <v>28479</v>
      </c>
      <c r="J5880" s="2" t="s">
        <v>28480</v>
      </c>
      <c r="K5880" s="2" t="s">
        <v>1038</v>
      </c>
      <c r="L5880" s="2" t="s">
        <v>28481</v>
      </c>
      <c r="M5880" s="2" t="s">
        <v>869</v>
      </c>
      <c r="N5880" s="2" t="s">
        <v>870</v>
      </c>
    </row>
    <row r="5881" ht="15.75" customHeight="1">
      <c r="H5881" s="2" t="s">
        <v>28482</v>
      </c>
      <c r="I5881" s="2" t="s">
        <v>13459</v>
      </c>
      <c r="J5881" s="2" t="s">
        <v>13460</v>
      </c>
      <c r="K5881" s="2" t="s">
        <v>1169</v>
      </c>
      <c r="L5881" s="2" t="s">
        <v>28483</v>
      </c>
      <c r="M5881" s="2" t="s">
        <v>28484</v>
      </c>
      <c r="N5881" s="2" t="s">
        <v>869</v>
      </c>
      <c r="O5881" s="2" t="s">
        <v>870</v>
      </c>
    </row>
    <row r="5882" ht="15.75" customHeight="1">
      <c r="H5882" s="2" t="s">
        <v>28485</v>
      </c>
      <c r="I5882" s="2" t="s">
        <v>784</v>
      </c>
      <c r="J5882" s="2" t="s">
        <v>785</v>
      </c>
      <c r="K5882" s="2" t="s">
        <v>2171</v>
      </c>
      <c r="L5882" s="2" t="s">
        <v>28486</v>
      </c>
      <c r="M5882" s="2" t="s">
        <v>28487</v>
      </c>
      <c r="N5882" s="2" t="s">
        <v>869</v>
      </c>
      <c r="O5882" s="2" t="s">
        <v>870</v>
      </c>
    </row>
    <row r="5883" ht="15.75" customHeight="1">
      <c r="H5883" s="2" t="s">
        <v>28488</v>
      </c>
      <c r="I5883" s="2" t="s">
        <v>21783</v>
      </c>
      <c r="J5883" s="2" t="s">
        <v>21784</v>
      </c>
      <c r="K5883" s="2" t="s">
        <v>3298</v>
      </c>
      <c r="L5883" s="2" t="s">
        <v>28489</v>
      </c>
      <c r="M5883" s="2" t="s">
        <v>28420</v>
      </c>
      <c r="N5883" s="2" t="s">
        <v>869</v>
      </c>
      <c r="O5883" s="2" t="s">
        <v>870</v>
      </c>
    </row>
    <row r="5884" ht="15.75" customHeight="1">
      <c r="H5884" s="2" t="s">
        <v>28490</v>
      </c>
      <c r="I5884" s="2" t="s">
        <v>21788</v>
      </c>
      <c r="J5884" s="2" t="s">
        <v>21789</v>
      </c>
      <c r="K5884" s="2" t="s">
        <v>2585</v>
      </c>
      <c r="L5884" s="2" t="s">
        <v>28491</v>
      </c>
      <c r="M5884" s="2" t="s">
        <v>28492</v>
      </c>
      <c r="N5884" s="2" t="s">
        <v>869</v>
      </c>
      <c r="O5884" s="2" t="s">
        <v>870</v>
      </c>
    </row>
    <row r="5885" ht="15.75" customHeight="1">
      <c r="H5885" s="2" t="s">
        <v>28493</v>
      </c>
      <c r="I5885" s="2" t="s">
        <v>28494</v>
      </c>
      <c r="J5885" s="2" t="s">
        <v>28495</v>
      </c>
      <c r="K5885" s="2" t="s">
        <v>1193</v>
      </c>
      <c r="L5885" s="2" t="s">
        <v>28496</v>
      </c>
      <c r="M5885" s="2" t="s">
        <v>869</v>
      </c>
      <c r="N5885" s="2" t="s">
        <v>870</v>
      </c>
    </row>
    <row r="5886" ht="15.75" customHeight="1">
      <c r="H5886" s="2" t="s">
        <v>28497</v>
      </c>
      <c r="I5886" s="2" t="s">
        <v>4946</v>
      </c>
      <c r="J5886" s="2" t="s">
        <v>4947</v>
      </c>
      <c r="K5886" s="2" t="s">
        <v>1049</v>
      </c>
      <c r="L5886" s="2" t="s">
        <v>28498</v>
      </c>
      <c r="M5886" s="2" t="s">
        <v>28499</v>
      </c>
      <c r="N5886" s="2" t="s">
        <v>869</v>
      </c>
      <c r="O5886" s="2" t="s">
        <v>870</v>
      </c>
    </row>
    <row r="5887" ht="15.75" customHeight="1">
      <c r="F5887" s="2" t="s">
        <v>5257</v>
      </c>
      <c r="H5887" s="2" t="s">
        <v>28500</v>
      </c>
      <c r="I5887" s="2" t="s">
        <v>10661</v>
      </c>
      <c r="J5887" s="2" t="s">
        <v>10662</v>
      </c>
      <c r="K5887" s="2" t="s">
        <v>861</v>
      </c>
      <c r="L5887" s="2" t="s">
        <v>28501</v>
      </c>
      <c r="M5887" s="2" t="s">
        <v>869</v>
      </c>
      <c r="N5887" s="2" t="s">
        <v>870</v>
      </c>
    </row>
    <row r="5888" ht="15.75" customHeight="1">
      <c r="H5888" s="2" t="s">
        <v>28502</v>
      </c>
      <c r="I5888" s="2" t="s">
        <v>28503</v>
      </c>
      <c r="J5888" s="2" t="s">
        <v>28504</v>
      </c>
      <c r="K5888" s="2" t="s">
        <v>853</v>
      </c>
      <c r="L5888" s="2" t="s">
        <v>28505</v>
      </c>
      <c r="M5888" s="2" t="s">
        <v>28506</v>
      </c>
      <c r="N5888" s="2" t="s">
        <v>869</v>
      </c>
      <c r="O5888" s="2" t="s">
        <v>870</v>
      </c>
    </row>
    <row r="5889" ht="15.75" customHeight="1">
      <c r="H5889" s="2" t="s">
        <v>28507</v>
      </c>
      <c r="I5889" s="2" t="s">
        <v>5259</v>
      </c>
      <c r="J5889" s="2" t="s">
        <v>5260</v>
      </c>
      <c r="K5889" s="2" t="s">
        <v>947</v>
      </c>
      <c r="L5889" s="2" t="s">
        <v>28508</v>
      </c>
      <c r="M5889" s="2" t="s">
        <v>869</v>
      </c>
      <c r="N5889" s="2" t="s">
        <v>870</v>
      </c>
    </row>
    <row r="5890" ht="15.75" customHeight="1">
      <c r="H5890" s="2" t="s">
        <v>28509</v>
      </c>
      <c r="I5890" s="2" t="s">
        <v>28510</v>
      </c>
      <c r="J5890" s="2" t="s">
        <v>28511</v>
      </c>
      <c r="K5890" s="2" t="s">
        <v>277</v>
      </c>
      <c r="L5890" s="2" t="s">
        <v>28512</v>
      </c>
      <c r="M5890" s="2" t="s">
        <v>869</v>
      </c>
      <c r="N5890" s="2" t="s">
        <v>870</v>
      </c>
    </row>
    <row r="5891" ht="15.75" customHeight="1">
      <c r="H5891" s="2" t="s">
        <v>28513</v>
      </c>
      <c r="I5891" s="2" t="s">
        <v>28514</v>
      </c>
      <c r="J5891" s="2" t="s">
        <v>28515</v>
      </c>
      <c r="K5891" s="2" t="s">
        <v>912</v>
      </c>
      <c r="L5891" s="2" t="s">
        <v>28516</v>
      </c>
      <c r="M5891" s="2" t="s">
        <v>869</v>
      </c>
      <c r="N5891" s="2" t="s">
        <v>870</v>
      </c>
    </row>
    <row r="5892" ht="15.75" customHeight="1">
      <c r="H5892" s="2" t="s">
        <v>28517</v>
      </c>
      <c r="I5892" s="2" t="s">
        <v>28518</v>
      </c>
      <c r="J5892" s="2" t="s">
        <v>28519</v>
      </c>
      <c r="K5892" s="2" t="s">
        <v>1061</v>
      </c>
      <c r="L5892" s="2" t="s">
        <v>28520</v>
      </c>
      <c r="M5892" s="2" t="s">
        <v>869</v>
      </c>
      <c r="N5892" s="2" t="s">
        <v>870</v>
      </c>
    </row>
    <row r="5893" ht="15.75" customHeight="1">
      <c r="H5893" s="2" t="s">
        <v>28521</v>
      </c>
      <c r="I5893" s="2" t="s">
        <v>28522</v>
      </c>
      <c r="J5893" s="2" t="s">
        <v>28523</v>
      </c>
      <c r="K5893" s="2" t="s">
        <v>280</v>
      </c>
      <c r="L5893" s="2" t="s">
        <v>28524</v>
      </c>
      <c r="M5893" s="2" t="s">
        <v>869</v>
      </c>
      <c r="N5893" s="2" t="s">
        <v>870</v>
      </c>
    </row>
    <row r="5894" ht="15.75" customHeight="1">
      <c r="H5894" s="2" t="s">
        <v>28525</v>
      </c>
      <c r="I5894" s="2" t="s">
        <v>28526</v>
      </c>
      <c r="J5894" s="2" t="s">
        <v>28527</v>
      </c>
      <c r="K5894" s="2" t="s">
        <v>1878</v>
      </c>
      <c r="L5894" s="2" t="s">
        <v>28528</v>
      </c>
      <c r="M5894" s="2" t="s">
        <v>869</v>
      </c>
      <c r="N5894" s="2" t="s">
        <v>870</v>
      </c>
    </row>
    <row r="5895" ht="15.75" customHeight="1">
      <c r="H5895" s="2" t="s">
        <v>28529</v>
      </c>
      <c r="I5895" s="2" t="s">
        <v>28530</v>
      </c>
      <c r="J5895" s="2" t="s">
        <v>28531</v>
      </c>
      <c r="K5895" s="2" t="s">
        <v>1467</v>
      </c>
      <c r="L5895" s="2" t="s">
        <v>28532</v>
      </c>
      <c r="M5895" s="2" t="s">
        <v>869</v>
      </c>
      <c r="N5895" s="2" t="s">
        <v>870</v>
      </c>
    </row>
    <row r="5896" ht="15.75" customHeight="1">
      <c r="H5896" s="2" t="s">
        <v>28533</v>
      </c>
      <c r="I5896" s="2" t="s">
        <v>28534</v>
      </c>
      <c r="J5896" s="2" t="s">
        <v>28535</v>
      </c>
      <c r="K5896" s="2" t="s">
        <v>874</v>
      </c>
      <c r="L5896" s="2" t="s">
        <v>28536</v>
      </c>
      <c r="M5896" s="2" t="s">
        <v>869</v>
      </c>
      <c r="N5896" s="2" t="s">
        <v>870</v>
      </c>
    </row>
    <row r="5897" ht="15.75" customHeight="1">
      <c r="H5897" s="2" t="s">
        <v>28537</v>
      </c>
      <c r="I5897" s="2" t="s">
        <v>28538</v>
      </c>
      <c r="J5897" s="2" t="s">
        <v>28539</v>
      </c>
      <c r="K5897" s="2" t="s">
        <v>1288</v>
      </c>
      <c r="L5897" s="2" t="s">
        <v>28540</v>
      </c>
      <c r="M5897" s="2" t="s">
        <v>869</v>
      </c>
      <c r="N5897" s="2" t="s">
        <v>870</v>
      </c>
    </row>
    <row r="5898" ht="15.75" customHeight="1">
      <c r="H5898" s="2" t="s">
        <v>28541</v>
      </c>
      <c r="I5898" s="2" t="s">
        <v>5264</v>
      </c>
      <c r="J5898" s="2" t="s">
        <v>5265</v>
      </c>
      <c r="K5898" s="2" t="s">
        <v>1368</v>
      </c>
      <c r="L5898" s="2" t="s">
        <v>28542</v>
      </c>
      <c r="M5898" s="2" t="s">
        <v>28543</v>
      </c>
      <c r="N5898" s="2" t="s">
        <v>869</v>
      </c>
      <c r="O5898" s="2" t="s">
        <v>870</v>
      </c>
    </row>
    <row r="5899" ht="15.75" customHeight="1">
      <c r="H5899" s="2" t="s">
        <v>28544</v>
      </c>
      <c r="I5899" s="2" t="s">
        <v>28545</v>
      </c>
      <c r="J5899" s="2" t="s">
        <v>28546</v>
      </c>
      <c r="K5899" s="2" t="s">
        <v>963</v>
      </c>
      <c r="L5899" s="2" t="s">
        <v>28547</v>
      </c>
      <c r="M5899" s="2" t="s">
        <v>869</v>
      </c>
      <c r="N5899" s="2" t="s">
        <v>870</v>
      </c>
    </row>
    <row r="5900" ht="15.75" customHeight="1">
      <c r="H5900" s="2" t="s">
        <v>28548</v>
      </c>
      <c r="I5900" s="2" t="s">
        <v>28549</v>
      </c>
      <c r="J5900" s="2" t="s">
        <v>28550</v>
      </c>
      <c r="K5900" s="2" t="s">
        <v>996</v>
      </c>
      <c r="L5900" s="2" t="s">
        <v>28551</v>
      </c>
      <c r="M5900" s="2" t="s">
        <v>869</v>
      </c>
      <c r="N5900" s="2" t="s">
        <v>870</v>
      </c>
    </row>
    <row r="5901" ht="15.75" customHeight="1">
      <c r="H5901" s="2" t="s">
        <v>28552</v>
      </c>
      <c r="I5901" s="2" t="s">
        <v>28553</v>
      </c>
      <c r="J5901" s="2" t="s">
        <v>28554</v>
      </c>
      <c r="K5901" s="2" t="s">
        <v>966</v>
      </c>
      <c r="L5901" s="2" t="s">
        <v>28555</v>
      </c>
      <c r="M5901" s="2" t="s">
        <v>869</v>
      </c>
      <c r="N5901" s="2" t="s">
        <v>870</v>
      </c>
    </row>
    <row r="5902" ht="15.75" customHeight="1">
      <c r="H5902" s="2" t="s">
        <v>28556</v>
      </c>
      <c r="I5902" s="2" t="s">
        <v>28557</v>
      </c>
      <c r="J5902" s="2" t="s">
        <v>28558</v>
      </c>
      <c r="K5902" s="2" t="s">
        <v>890</v>
      </c>
      <c r="L5902" s="2" t="s">
        <v>28559</v>
      </c>
      <c r="M5902" s="2" t="s">
        <v>869</v>
      </c>
      <c r="N5902" s="2" t="s">
        <v>870</v>
      </c>
    </row>
    <row r="5903" ht="15.75" customHeight="1">
      <c r="H5903" s="2" t="s">
        <v>28560</v>
      </c>
      <c r="I5903" s="2" t="s">
        <v>21567</v>
      </c>
      <c r="J5903" s="2" t="s">
        <v>21568</v>
      </c>
      <c r="K5903" s="2" t="s">
        <v>1128</v>
      </c>
      <c r="L5903" s="2" t="s">
        <v>28561</v>
      </c>
      <c r="M5903" s="2" t="s">
        <v>869</v>
      </c>
      <c r="N5903" s="2" t="s">
        <v>870</v>
      </c>
    </row>
    <row r="5904" ht="15.75" customHeight="1">
      <c r="H5904" s="2" t="s">
        <v>28562</v>
      </c>
      <c r="I5904" s="2" t="s">
        <v>22017</v>
      </c>
      <c r="J5904" s="2" t="s">
        <v>22018</v>
      </c>
      <c r="K5904" s="2" t="s">
        <v>1007</v>
      </c>
      <c r="L5904" s="2" t="s">
        <v>28563</v>
      </c>
      <c r="M5904" s="2" t="s">
        <v>28564</v>
      </c>
      <c r="N5904" s="2" t="s">
        <v>869</v>
      </c>
      <c r="O5904" s="2" t="s">
        <v>870</v>
      </c>
    </row>
    <row r="5905" ht="15.75" customHeight="1">
      <c r="H5905" s="2" t="s">
        <v>28565</v>
      </c>
      <c r="I5905" s="2" t="s">
        <v>5272</v>
      </c>
      <c r="J5905" s="2" t="s">
        <v>5273</v>
      </c>
      <c r="K5905" s="2" t="s">
        <v>900</v>
      </c>
      <c r="L5905" s="2" t="s">
        <v>28566</v>
      </c>
      <c r="M5905" s="2" t="s">
        <v>28567</v>
      </c>
      <c r="N5905" s="2" t="s">
        <v>869</v>
      </c>
      <c r="O5905" s="2" t="s">
        <v>870</v>
      </c>
    </row>
    <row r="5906" ht="15.75" customHeight="1">
      <c r="B5906" s="2" t="s">
        <v>28568</v>
      </c>
      <c r="C5906" s="2" t="s">
        <v>25001</v>
      </c>
      <c r="D5906" s="2" t="s">
        <v>28569</v>
      </c>
      <c r="F5906" s="2" t="s">
        <v>855</v>
      </c>
      <c r="H5906" s="2" t="s">
        <v>28570</v>
      </c>
      <c r="I5906" s="2" t="s">
        <v>6105</v>
      </c>
      <c r="J5906" s="2" t="s">
        <v>6106</v>
      </c>
      <c r="K5906" s="2" t="s">
        <v>28571</v>
      </c>
      <c r="L5906" s="2" t="s">
        <v>28572</v>
      </c>
      <c r="M5906" s="2" t="s">
        <v>28573</v>
      </c>
      <c r="N5906" s="2" t="s">
        <v>28574</v>
      </c>
      <c r="O5906" s="2" t="s">
        <v>869</v>
      </c>
      <c r="P5906" s="2" t="s">
        <v>870</v>
      </c>
    </row>
    <row r="5907" ht="15.75" customHeight="1">
      <c r="H5907" s="2" t="s">
        <v>28575</v>
      </c>
      <c r="I5907" s="2" t="s">
        <v>28576</v>
      </c>
      <c r="J5907" s="2" t="s">
        <v>28577</v>
      </c>
      <c r="K5907" s="2" t="s">
        <v>28578</v>
      </c>
      <c r="L5907" s="2" t="s">
        <v>28572</v>
      </c>
      <c r="M5907" s="2" t="s">
        <v>28579</v>
      </c>
      <c r="N5907" s="2" t="s">
        <v>28580</v>
      </c>
      <c r="O5907" s="2" t="s">
        <v>869</v>
      </c>
      <c r="P5907" s="2" t="s">
        <v>870</v>
      </c>
    </row>
    <row r="5908" ht="15.75" customHeight="1">
      <c r="H5908" s="2" t="s">
        <v>28581</v>
      </c>
      <c r="I5908" s="2" t="s">
        <v>28582</v>
      </c>
      <c r="J5908" s="2" t="s">
        <v>28583</v>
      </c>
      <c r="K5908" s="2" t="s">
        <v>28584</v>
      </c>
      <c r="L5908" s="2" t="s">
        <v>28572</v>
      </c>
      <c r="M5908" s="2" t="s">
        <v>28585</v>
      </c>
      <c r="N5908" s="2" t="s">
        <v>28586</v>
      </c>
      <c r="O5908" s="2" t="s">
        <v>869</v>
      </c>
      <c r="P5908" s="2" t="s">
        <v>870</v>
      </c>
    </row>
    <row r="5909" ht="15.75" customHeight="1">
      <c r="H5909" s="2" t="s">
        <v>28587</v>
      </c>
      <c r="I5909" s="2" t="s">
        <v>6136</v>
      </c>
      <c r="J5909" s="2" t="s">
        <v>6137</v>
      </c>
      <c r="K5909" s="2" t="s">
        <v>28588</v>
      </c>
      <c r="L5909" s="2" t="s">
        <v>28572</v>
      </c>
      <c r="M5909" s="2" t="s">
        <v>28589</v>
      </c>
      <c r="N5909" s="2" t="s">
        <v>28590</v>
      </c>
      <c r="O5909" s="2" t="s">
        <v>869</v>
      </c>
      <c r="P5909" s="2" t="s">
        <v>870</v>
      </c>
    </row>
    <row r="5910" ht="15.75" customHeight="1">
      <c r="H5910" s="2" t="s">
        <v>28591</v>
      </c>
      <c r="I5910" s="2" t="s">
        <v>8924</v>
      </c>
      <c r="J5910" s="2" t="s">
        <v>8925</v>
      </c>
      <c r="K5910" s="2" t="s">
        <v>28592</v>
      </c>
      <c r="L5910" s="2" t="s">
        <v>28572</v>
      </c>
      <c r="M5910" s="2" t="s">
        <v>28593</v>
      </c>
      <c r="N5910" s="2" t="s">
        <v>28594</v>
      </c>
      <c r="O5910" s="2" t="s">
        <v>869</v>
      </c>
      <c r="P5910" s="2" t="s">
        <v>870</v>
      </c>
    </row>
    <row r="5911" ht="15.75" customHeight="1">
      <c r="H5911" s="2" t="s">
        <v>28595</v>
      </c>
      <c r="I5911" s="2" t="s">
        <v>28596</v>
      </c>
      <c r="J5911" s="2" t="s">
        <v>28597</v>
      </c>
      <c r="K5911" s="2" t="s">
        <v>28598</v>
      </c>
      <c r="L5911" s="2" t="s">
        <v>28572</v>
      </c>
      <c r="M5911" s="2" t="s">
        <v>28599</v>
      </c>
      <c r="N5911" s="2" t="s">
        <v>28600</v>
      </c>
      <c r="O5911" s="2" t="s">
        <v>869</v>
      </c>
      <c r="P5911" s="2" t="s">
        <v>870</v>
      </c>
    </row>
    <row r="5912" ht="15.75" customHeight="1">
      <c r="H5912" s="2" t="s">
        <v>28601</v>
      </c>
      <c r="I5912" s="2" t="s">
        <v>6170</v>
      </c>
      <c r="J5912" s="2" t="s">
        <v>6171</v>
      </c>
      <c r="K5912" s="2" t="s">
        <v>28602</v>
      </c>
      <c r="L5912" s="2" t="s">
        <v>28572</v>
      </c>
      <c r="M5912" s="2" t="s">
        <v>28603</v>
      </c>
      <c r="N5912" s="2" t="s">
        <v>28604</v>
      </c>
      <c r="O5912" s="2" t="s">
        <v>869</v>
      </c>
      <c r="P5912" s="2" t="s">
        <v>870</v>
      </c>
    </row>
    <row r="5913" ht="15.75" customHeight="1">
      <c r="H5913" s="2" t="s">
        <v>28605</v>
      </c>
      <c r="I5913" s="2" t="s">
        <v>898</v>
      </c>
      <c r="J5913" s="2" t="s">
        <v>899</v>
      </c>
      <c r="K5913" s="2" t="s">
        <v>28606</v>
      </c>
      <c r="L5913" s="2" t="s">
        <v>28572</v>
      </c>
      <c r="M5913" s="2" t="s">
        <v>28607</v>
      </c>
      <c r="N5913" s="2" t="s">
        <v>28608</v>
      </c>
      <c r="O5913" s="2" t="s">
        <v>869</v>
      </c>
      <c r="P5913" s="2" t="s">
        <v>870</v>
      </c>
    </row>
    <row r="5914" ht="15.75" customHeight="1">
      <c r="H5914" s="2" t="s">
        <v>28609</v>
      </c>
      <c r="I5914" s="2" t="s">
        <v>28610</v>
      </c>
      <c r="J5914" s="2" t="s">
        <v>28611</v>
      </c>
      <c r="K5914" s="2" t="s">
        <v>28612</v>
      </c>
      <c r="L5914" s="2" t="s">
        <v>28572</v>
      </c>
      <c r="M5914" s="2" t="s">
        <v>28613</v>
      </c>
      <c r="N5914" s="2" t="s">
        <v>28614</v>
      </c>
      <c r="O5914" s="2" t="s">
        <v>869</v>
      </c>
      <c r="P5914" s="2" t="s">
        <v>870</v>
      </c>
    </row>
    <row r="5915" ht="15.75" customHeight="1">
      <c r="F5915" s="2" t="s">
        <v>927</v>
      </c>
      <c r="H5915" s="2" t="s">
        <v>28615</v>
      </c>
      <c r="I5915" s="2" t="s">
        <v>6234</v>
      </c>
      <c r="J5915" s="2" t="s">
        <v>6235</v>
      </c>
      <c r="K5915" s="2" t="s">
        <v>28616</v>
      </c>
      <c r="L5915" s="2" t="s">
        <v>28572</v>
      </c>
      <c r="M5915" s="2" t="s">
        <v>6237</v>
      </c>
      <c r="N5915" s="2" t="s">
        <v>28617</v>
      </c>
      <c r="O5915" s="2" t="s">
        <v>869</v>
      </c>
      <c r="P5915" s="2" t="s">
        <v>870</v>
      </c>
    </row>
    <row r="5916" ht="15.75" customHeight="1">
      <c r="F5916" s="2" t="s">
        <v>938</v>
      </c>
      <c r="H5916" s="2" t="s">
        <v>28618</v>
      </c>
      <c r="I5916" s="2" t="s">
        <v>28619</v>
      </c>
      <c r="J5916" s="2" t="s">
        <v>28620</v>
      </c>
      <c r="K5916" s="2" t="s">
        <v>28621</v>
      </c>
      <c r="L5916" s="2" t="s">
        <v>28572</v>
      </c>
      <c r="M5916" s="2" t="s">
        <v>6271</v>
      </c>
      <c r="N5916" s="2" t="s">
        <v>869</v>
      </c>
      <c r="O5916" s="2" t="s">
        <v>870</v>
      </c>
    </row>
    <row r="5917" ht="15.75" customHeight="1">
      <c r="H5917" s="2" t="s">
        <v>28622</v>
      </c>
      <c r="I5917" s="2" t="s">
        <v>945</v>
      </c>
      <c r="J5917" s="2" t="s">
        <v>946</v>
      </c>
      <c r="K5917" s="2" t="s">
        <v>28623</v>
      </c>
      <c r="L5917" s="2" t="s">
        <v>28572</v>
      </c>
      <c r="M5917" s="2" t="s">
        <v>6287</v>
      </c>
      <c r="N5917" s="2" t="s">
        <v>869</v>
      </c>
      <c r="O5917" s="2" t="s">
        <v>870</v>
      </c>
    </row>
    <row r="5918" ht="15.75" customHeight="1">
      <c r="H5918" s="2" t="s">
        <v>28624</v>
      </c>
      <c r="I5918" s="2" t="s">
        <v>6290</v>
      </c>
      <c r="J5918" s="2" t="s">
        <v>6291</v>
      </c>
      <c r="K5918" s="2" t="s">
        <v>28625</v>
      </c>
      <c r="L5918" s="2" t="s">
        <v>28572</v>
      </c>
      <c r="M5918" s="2" t="s">
        <v>6293</v>
      </c>
      <c r="N5918" s="2" t="s">
        <v>28626</v>
      </c>
      <c r="O5918" s="2" t="s">
        <v>869</v>
      </c>
      <c r="P5918" s="2" t="s">
        <v>870</v>
      </c>
    </row>
    <row r="5919" ht="15.75" customHeight="1">
      <c r="F5919" s="2" t="s">
        <v>19</v>
      </c>
      <c r="H5919" s="2" t="s">
        <v>28627</v>
      </c>
      <c r="I5919" s="2" t="s">
        <v>28628</v>
      </c>
      <c r="J5919" s="2" t="s">
        <v>28629</v>
      </c>
      <c r="K5919" s="2" t="s">
        <v>28630</v>
      </c>
      <c r="L5919" s="2" t="s">
        <v>28572</v>
      </c>
      <c r="M5919" s="2" t="s">
        <v>28631</v>
      </c>
      <c r="N5919" s="2" t="s">
        <v>28632</v>
      </c>
      <c r="O5919" s="2" t="s">
        <v>869</v>
      </c>
      <c r="P5919" s="2" t="s">
        <v>870</v>
      </c>
    </row>
    <row r="5920" ht="15.75" customHeight="1">
      <c r="H5920" s="2" t="s">
        <v>28633</v>
      </c>
      <c r="I5920" s="2" t="s">
        <v>18424</v>
      </c>
      <c r="J5920" s="2" t="s">
        <v>18425</v>
      </c>
      <c r="K5920" s="2" t="s">
        <v>28634</v>
      </c>
      <c r="L5920" s="2" t="s">
        <v>28572</v>
      </c>
      <c r="M5920" s="2" t="s">
        <v>28635</v>
      </c>
      <c r="N5920" s="2" t="s">
        <v>28636</v>
      </c>
      <c r="O5920" s="2" t="s">
        <v>869</v>
      </c>
      <c r="P5920" s="2" t="s">
        <v>870</v>
      </c>
    </row>
    <row r="5921" ht="15.75" customHeight="1">
      <c r="H5921" s="2" t="s">
        <v>28637</v>
      </c>
      <c r="I5921" s="2" t="s">
        <v>20181</v>
      </c>
      <c r="J5921" s="2" t="s">
        <v>20182</v>
      </c>
      <c r="K5921" s="2" t="s">
        <v>28638</v>
      </c>
      <c r="L5921" s="2" t="s">
        <v>28572</v>
      </c>
      <c r="M5921" s="2" t="s">
        <v>28639</v>
      </c>
      <c r="N5921" s="2" t="s">
        <v>28640</v>
      </c>
      <c r="O5921" s="2" t="s">
        <v>869</v>
      </c>
      <c r="P5921" s="2" t="s">
        <v>870</v>
      </c>
    </row>
    <row r="5922" ht="15.75" customHeight="1">
      <c r="H5922" s="2" t="s">
        <v>28641</v>
      </c>
      <c r="I5922" s="2" t="s">
        <v>28642</v>
      </c>
      <c r="J5922" s="2" t="s">
        <v>28643</v>
      </c>
      <c r="K5922" s="2" t="s">
        <v>28644</v>
      </c>
      <c r="L5922" s="2" t="s">
        <v>28572</v>
      </c>
      <c r="M5922" s="2" t="s">
        <v>28645</v>
      </c>
      <c r="N5922" s="2" t="s">
        <v>28646</v>
      </c>
      <c r="O5922" s="2" t="s">
        <v>869</v>
      </c>
      <c r="P5922" s="2" t="s">
        <v>870</v>
      </c>
    </row>
    <row r="5923" ht="15.75" customHeight="1">
      <c r="H5923" s="2" t="s">
        <v>28647</v>
      </c>
      <c r="I5923" s="2" t="s">
        <v>28648</v>
      </c>
      <c r="J5923" s="2" t="s">
        <v>28649</v>
      </c>
      <c r="K5923" s="2" t="s">
        <v>28650</v>
      </c>
      <c r="L5923" s="2" t="s">
        <v>28572</v>
      </c>
      <c r="M5923" s="2" t="s">
        <v>28651</v>
      </c>
      <c r="N5923" s="2" t="s">
        <v>28652</v>
      </c>
      <c r="O5923" s="2" t="s">
        <v>869</v>
      </c>
      <c r="P5923" s="2" t="s">
        <v>870</v>
      </c>
    </row>
    <row r="5924" ht="15.75" customHeight="1">
      <c r="H5924" s="2" t="s">
        <v>28653</v>
      </c>
      <c r="I5924" s="2" t="s">
        <v>25348</v>
      </c>
      <c r="J5924" s="2" t="s">
        <v>25349</v>
      </c>
      <c r="K5924" s="2" t="s">
        <v>28654</v>
      </c>
      <c r="L5924" s="2" t="s">
        <v>28572</v>
      </c>
      <c r="M5924" s="2" t="s">
        <v>28655</v>
      </c>
      <c r="N5924" s="2" t="s">
        <v>28656</v>
      </c>
      <c r="O5924" s="2" t="s">
        <v>869</v>
      </c>
      <c r="P5924" s="2" t="s">
        <v>870</v>
      </c>
    </row>
    <row r="5925" ht="15.75" customHeight="1">
      <c r="H5925" s="2" t="s">
        <v>28657</v>
      </c>
      <c r="I5925" s="2" t="s">
        <v>28658</v>
      </c>
      <c r="J5925" s="2" t="s">
        <v>28659</v>
      </c>
      <c r="K5925" s="2" t="s">
        <v>28660</v>
      </c>
      <c r="L5925" s="2" t="s">
        <v>28572</v>
      </c>
      <c r="M5925" s="2" t="s">
        <v>28661</v>
      </c>
      <c r="N5925" s="2" t="s">
        <v>28662</v>
      </c>
      <c r="O5925" s="2" t="s">
        <v>869</v>
      </c>
      <c r="P5925" s="2" t="s">
        <v>870</v>
      </c>
    </row>
    <row r="5926" ht="15.75" customHeight="1">
      <c r="H5926" s="2" t="s">
        <v>28663</v>
      </c>
      <c r="I5926" s="2" t="s">
        <v>28664</v>
      </c>
      <c r="J5926" s="2" t="s">
        <v>28665</v>
      </c>
      <c r="K5926" s="2" t="s">
        <v>28666</v>
      </c>
      <c r="L5926" s="2" t="s">
        <v>28572</v>
      </c>
      <c r="M5926" s="2" t="s">
        <v>28667</v>
      </c>
      <c r="N5926" s="2" t="s">
        <v>28668</v>
      </c>
      <c r="O5926" s="2" t="s">
        <v>869</v>
      </c>
      <c r="P5926" s="2" t="s">
        <v>870</v>
      </c>
    </row>
    <row r="5927" ht="15.75" customHeight="1">
      <c r="H5927" s="2" t="s">
        <v>28669</v>
      </c>
      <c r="I5927" s="2" t="s">
        <v>1036</v>
      </c>
      <c r="J5927" s="2" t="s">
        <v>1037</v>
      </c>
      <c r="K5927" s="2" t="s">
        <v>28670</v>
      </c>
      <c r="L5927" s="2" t="s">
        <v>28572</v>
      </c>
      <c r="M5927" s="2" t="s">
        <v>28671</v>
      </c>
      <c r="N5927" s="2" t="s">
        <v>28672</v>
      </c>
      <c r="O5927" s="2" t="s">
        <v>869</v>
      </c>
      <c r="P5927" s="2" t="s">
        <v>870</v>
      </c>
    </row>
    <row r="5928" ht="15.75" customHeight="1">
      <c r="H5928" s="2" t="s">
        <v>28673</v>
      </c>
      <c r="I5928" s="2" t="s">
        <v>28674</v>
      </c>
      <c r="J5928" s="2" t="s">
        <v>28675</v>
      </c>
      <c r="K5928" s="2" t="s">
        <v>28676</v>
      </c>
      <c r="L5928" s="2" t="s">
        <v>28572</v>
      </c>
      <c r="M5928" s="2" t="s">
        <v>28677</v>
      </c>
      <c r="N5928" s="2" t="s">
        <v>28678</v>
      </c>
      <c r="O5928" s="2" t="s">
        <v>869</v>
      </c>
      <c r="P5928" s="2" t="s">
        <v>870</v>
      </c>
    </row>
    <row r="5929" ht="15.75" customHeight="1">
      <c r="H5929" s="2" t="s">
        <v>28679</v>
      </c>
      <c r="I5929" s="2" t="s">
        <v>27977</v>
      </c>
      <c r="J5929" s="2" t="s">
        <v>27978</v>
      </c>
      <c r="K5929" s="2" t="s">
        <v>28680</v>
      </c>
      <c r="L5929" s="2" t="s">
        <v>28572</v>
      </c>
      <c r="M5929" s="2" t="s">
        <v>28681</v>
      </c>
      <c r="N5929" s="2" t="s">
        <v>28682</v>
      </c>
      <c r="O5929" s="2" t="s">
        <v>869</v>
      </c>
      <c r="P5929" s="2" t="s">
        <v>870</v>
      </c>
    </row>
    <row r="5930" ht="15.75" customHeight="1">
      <c r="F5930" s="2" t="s">
        <v>5738</v>
      </c>
      <c r="H5930" s="2" t="s">
        <v>28683</v>
      </c>
      <c r="I5930" s="2" t="s">
        <v>28684</v>
      </c>
      <c r="J5930" s="2" t="s">
        <v>28685</v>
      </c>
      <c r="K5930" s="2" t="s">
        <v>280</v>
      </c>
    </row>
    <row r="5931" ht="15.75" customHeight="1">
      <c r="F5931" s="2" t="s">
        <v>1052</v>
      </c>
      <c r="H5931" s="2" t="s">
        <v>28686</v>
      </c>
      <c r="I5931" s="2" t="s">
        <v>11381</v>
      </c>
      <c r="J5931" s="2" t="s">
        <v>11382</v>
      </c>
      <c r="K5931" s="2" t="s">
        <v>28687</v>
      </c>
      <c r="L5931" s="2" t="s">
        <v>28572</v>
      </c>
      <c r="M5931" s="2" t="s">
        <v>28688</v>
      </c>
      <c r="N5931" s="2" t="s">
        <v>28689</v>
      </c>
      <c r="O5931" s="2" t="s">
        <v>869</v>
      </c>
      <c r="P5931" s="2" t="s">
        <v>870</v>
      </c>
    </row>
    <row r="5932" ht="15.75" customHeight="1">
      <c r="H5932" s="2" t="s">
        <v>28690</v>
      </c>
      <c r="I5932" s="2" t="s">
        <v>1054</v>
      </c>
      <c r="J5932" s="2" t="s">
        <v>1055</v>
      </c>
      <c r="K5932" s="2" t="s">
        <v>28691</v>
      </c>
      <c r="L5932" s="2" t="s">
        <v>28572</v>
      </c>
      <c r="M5932" s="2" t="s">
        <v>6529</v>
      </c>
      <c r="N5932" s="2" t="s">
        <v>28692</v>
      </c>
      <c r="O5932" s="2" t="s">
        <v>869</v>
      </c>
      <c r="P5932" s="2" t="s">
        <v>870</v>
      </c>
    </row>
    <row r="5933" ht="15.75" customHeight="1">
      <c r="H5933" s="2" t="s">
        <v>28693</v>
      </c>
      <c r="I5933" s="2" t="s">
        <v>28694</v>
      </c>
      <c r="J5933" s="2" t="s">
        <v>28695</v>
      </c>
      <c r="K5933" s="2" t="s">
        <v>28696</v>
      </c>
      <c r="L5933" s="2" t="s">
        <v>28572</v>
      </c>
      <c r="M5933" s="2" t="s">
        <v>28697</v>
      </c>
      <c r="N5933" s="2" t="s">
        <v>28698</v>
      </c>
      <c r="O5933" s="2" t="s">
        <v>869</v>
      </c>
      <c r="P5933" s="2" t="s">
        <v>870</v>
      </c>
    </row>
    <row r="5934" ht="15.75" customHeight="1">
      <c r="H5934" s="2" t="s">
        <v>28699</v>
      </c>
      <c r="I5934" s="2" t="s">
        <v>28700</v>
      </c>
      <c r="J5934" s="2" t="s">
        <v>28701</v>
      </c>
      <c r="K5934" s="2" t="s">
        <v>28702</v>
      </c>
      <c r="L5934" s="2" t="s">
        <v>28572</v>
      </c>
      <c r="M5934" s="2" t="s">
        <v>28703</v>
      </c>
      <c r="N5934" s="2" t="s">
        <v>869</v>
      </c>
      <c r="O5934" s="2" t="s">
        <v>870</v>
      </c>
    </row>
    <row r="5935" ht="15.75" customHeight="1">
      <c r="H5935" s="2" t="s">
        <v>28704</v>
      </c>
      <c r="I5935" s="2" t="s">
        <v>28705</v>
      </c>
      <c r="J5935" s="2" t="s">
        <v>28706</v>
      </c>
      <c r="K5935" s="2" t="s">
        <v>28707</v>
      </c>
      <c r="L5935" s="2" t="s">
        <v>28572</v>
      </c>
      <c r="M5935" s="2" t="s">
        <v>28708</v>
      </c>
      <c r="N5935" s="2" t="s">
        <v>28709</v>
      </c>
      <c r="O5935" s="2" t="s">
        <v>869</v>
      </c>
      <c r="P5935" s="2" t="s">
        <v>870</v>
      </c>
    </row>
    <row r="5936" ht="15.75" customHeight="1">
      <c r="H5936" s="2" t="s">
        <v>28710</v>
      </c>
      <c r="I5936" s="2" t="s">
        <v>28711</v>
      </c>
      <c r="J5936" s="2" t="s">
        <v>28711</v>
      </c>
      <c r="K5936" s="2" t="s">
        <v>966</v>
      </c>
    </row>
    <row r="5937" ht="15.75" customHeight="1">
      <c r="H5937" s="2" t="s">
        <v>28712</v>
      </c>
      <c r="I5937" s="2" t="s">
        <v>28713</v>
      </c>
      <c r="J5937" s="2" t="s">
        <v>28714</v>
      </c>
      <c r="K5937" s="2" t="s">
        <v>28715</v>
      </c>
      <c r="L5937" s="2" t="s">
        <v>28572</v>
      </c>
      <c r="M5937" s="2" t="s">
        <v>28716</v>
      </c>
      <c r="N5937" s="2" t="s">
        <v>28717</v>
      </c>
      <c r="O5937" s="2" t="s">
        <v>869</v>
      </c>
      <c r="P5937" s="2" t="s">
        <v>870</v>
      </c>
    </row>
    <row r="5938" ht="15.75" customHeight="1">
      <c r="H5938" s="2" t="s">
        <v>28718</v>
      </c>
      <c r="I5938" s="2" t="s">
        <v>1090</v>
      </c>
      <c r="J5938" s="2" t="s">
        <v>1091</v>
      </c>
      <c r="K5938" s="2" t="s">
        <v>28719</v>
      </c>
      <c r="L5938" s="2" t="s">
        <v>28572</v>
      </c>
      <c r="M5938" s="2" t="s">
        <v>6590</v>
      </c>
      <c r="N5938" s="2" t="s">
        <v>28720</v>
      </c>
      <c r="O5938" s="2" t="s">
        <v>869</v>
      </c>
      <c r="P5938" s="2" t="s">
        <v>870</v>
      </c>
    </row>
    <row r="5939" ht="15.75" customHeight="1">
      <c r="H5939" s="2" t="s">
        <v>28721</v>
      </c>
      <c r="I5939" s="2" t="s">
        <v>28722</v>
      </c>
      <c r="J5939" s="2" t="s">
        <v>28723</v>
      </c>
      <c r="K5939" s="2" t="s">
        <v>28724</v>
      </c>
      <c r="L5939" s="2" t="s">
        <v>28572</v>
      </c>
      <c r="M5939" s="2" t="s">
        <v>28725</v>
      </c>
      <c r="N5939" s="2" t="s">
        <v>28726</v>
      </c>
      <c r="O5939" s="2" t="s">
        <v>869</v>
      </c>
      <c r="P5939" s="2" t="s">
        <v>870</v>
      </c>
    </row>
    <row r="5940" ht="15.75" customHeight="1">
      <c r="H5940" s="2" t="s">
        <v>28727</v>
      </c>
      <c r="I5940" s="2" t="s">
        <v>6618</v>
      </c>
      <c r="J5940" s="2" t="s">
        <v>6619</v>
      </c>
      <c r="K5940" s="2" t="s">
        <v>28728</v>
      </c>
      <c r="L5940" s="2" t="s">
        <v>28572</v>
      </c>
      <c r="M5940" s="2" t="s">
        <v>6621</v>
      </c>
      <c r="N5940" s="2" t="s">
        <v>28729</v>
      </c>
      <c r="O5940" s="2" t="s">
        <v>869</v>
      </c>
      <c r="P5940" s="2" t="s">
        <v>870</v>
      </c>
    </row>
    <row r="5941" ht="15.75" customHeight="1">
      <c r="F5941" s="2" t="s">
        <v>29</v>
      </c>
      <c r="H5941" s="2" t="s">
        <v>28730</v>
      </c>
      <c r="I5941" s="2" t="s">
        <v>28731</v>
      </c>
      <c r="J5941" s="2" t="s">
        <v>28732</v>
      </c>
      <c r="K5941" s="2" t="s">
        <v>28733</v>
      </c>
      <c r="L5941" s="2" t="s">
        <v>28572</v>
      </c>
      <c r="M5941" s="2" t="s">
        <v>28734</v>
      </c>
      <c r="N5941" s="2" t="s">
        <v>28735</v>
      </c>
      <c r="O5941" s="2" t="s">
        <v>869</v>
      </c>
      <c r="P5941" s="2" t="s">
        <v>870</v>
      </c>
    </row>
    <row r="5942" ht="15.75" customHeight="1">
      <c r="H5942" s="2" t="s">
        <v>28736</v>
      </c>
      <c r="I5942" s="2" t="s">
        <v>28737</v>
      </c>
      <c r="J5942" s="2" t="s">
        <v>28738</v>
      </c>
      <c r="K5942" s="2" t="s">
        <v>28739</v>
      </c>
      <c r="L5942" s="2" t="s">
        <v>28572</v>
      </c>
      <c r="M5942" s="2" t="s">
        <v>28740</v>
      </c>
      <c r="N5942" s="2" t="s">
        <v>28741</v>
      </c>
      <c r="O5942" s="2" t="s">
        <v>869</v>
      </c>
      <c r="P5942" s="2" t="s">
        <v>870</v>
      </c>
    </row>
    <row r="5943" ht="15.75" customHeight="1">
      <c r="H5943" s="2" t="s">
        <v>28742</v>
      </c>
      <c r="I5943" s="2" t="s">
        <v>28743</v>
      </c>
      <c r="J5943" s="2" t="s">
        <v>28744</v>
      </c>
      <c r="K5943" s="2" t="s">
        <v>28745</v>
      </c>
      <c r="L5943" s="2" t="s">
        <v>28572</v>
      </c>
      <c r="M5943" s="2" t="s">
        <v>28746</v>
      </c>
      <c r="N5943" s="2" t="s">
        <v>28747</v>
      </c>
      <c r="O5943" s="2" t="s">
        <v>869</v>
      </c>
      <c r="P5943" s="2" t="s">
        <v>870</v>
      </c>
    </row>
    <row r="5944" ht="15.75" customHeight="1">
      <c r="H5944" s="2" t="s">
        <v>28748</v>
      </c>
      <c r="I5944" s="2" t="s">
        <v>28749</v>
      </c>
      <c r="J5944" s="2" t="s">
        <v>28750</v>
      </c>
      <c r="K5944" s="2" t="s">
        <v>28751</v>
      </c>
      <c r="L5944" s="2" t="s">
        <v>28572</v>
      </c>
      <c r="M5944" s="2" t="s">
        <v>28752</v>
      </c>
      <c r="N5944" s="2" t="s">
        <v>28753</v>
      </c>
      <c r="O5944" s="2" t="s">
        <v>869</v>
      </c>
      <c r="P5944" s="2" t="s">
        <v>870</v>
      </c>
    </row>
    <row r="5945" ht="15.75" customHeight="1">
      <c r="H5945" s="2" t="s">
        <v>28754</v>
      </c>
      <c r="I5945" s="2" t="s">
        <v>28755</v>
      </c>
      <c r="J5945" s="2" t="s">
        <v>28755</v>
      </c>
      <c r="K5945" s="2" t="s">
        <v>958</v>
      </c>
    </row>
    <row r="5946" ht="15.75" customHeight="1">
      <c r="H5946" s="2" t="s">
        <v>28756</v>
      </c>
      <c r="I5946" s="2" t="s">
        <v>2614</v>
      </c>
      <c r="J5946" s="2" t="s">
        <v>2615</v>
      </c>
      <c r="K5946" s="2" t="s">
        <v>28757</v>
      </c>
      <c r="L5946" s="2" t="s">
        <v>28572</v>
      </c>
      <c r="M5946" s="2" t="s">
        <v>28758</v>
      </c>
      <c r="N5946" s="2" t="s">
        <v>28759</v>
      </c>
      <c r="O5946" s="2" t="s">
        <v>869</v>
      </c>
      <c r="P5946" s="2" t="s">
        <v>870</v>
      </c>
    </row>
    <row r="5947" ht="15.75" customHeight="1">
      <c r="H5947" s="2" t="s">
        <v>28760</v>
      </c>
      <c r="I5947" s="2" t="s">
        <v>27245</v>
      </c>
      <c r="J5947" s="2" t="s">
        <v>27246</v>
      </c>
      <c r="K5947" s="2" t="s">
        <v>28761</v>
      </c>
      <c r="L5947" s="2" t="s">
        <v>28572</v>
      </c>
      <c r="M5947" s="2" t="s">
        <v>27247</v>
      </c>
      <c r="N5947" s="2" t="s">
        <v>28762</v>
      </c>
      <c r="O5947" s="2" t="s">
        <v>869</v>
      </c>
      <c r="P5947" s="2" t="s">
        <v>870</v>
      </c>
    </row>
    <row r="5948" ht="15.75" customHeight="1">
      <c r="H5948" s="2" t="s">
        <v>28763</v>
      </c>
      <c r="I5948" s="2" t="s">
        <v>2201</v>
      </c>
      <c r="J5948" s="2" t="s">
        <v>2202</v>
      </c>
      <c r="K5948" s="2" t="s">
        <v>28764</v>
      </c>
      <c r="L5948" s="2" t="s">
        <v>28572</v>
      </c>
      <c r="M5948" s="2" t="s">
        <v>27254</v>
      </c>
      <c r="N5948" s="2" t="s">
        <v>28765</v>
      </c>
      <c r="O5948" s="2" t="s">
        <v>869</v>
      </c>
      <c r="P5948" s="2" t="s">
        <v>870</v>
      </c>
    </row>
    <row r="5949" ht="15.75" customHeight="1">
      <c r="H5949" s="2" t="s">
        <v>28766</v>
      </c>
      <c r="I5949" s="2" t="s">
        <v>28767</v>
      </c>
      <c r="J5949" s="2" t="s">
        <v>28768</v>
      </c>
      <c r="K5949" s="2" t="s">
        <v>28769</v>
      </c>
      <c r="L5949" s="2" t="s">
        <v>28572</v>
      </c>
      <c r="M5949" s="2" t="s">
        <v>28770</v>
      </c>
      <c r="N5949" s="2" t="s">
        <v>28771</v>
      </c>
      <c r="O5949" s="2" t="s">
        <v>869</v>
      </c>
      <c r="P5949" s="2" t="s">
        <v>870</v>
      </c>
    </row>
    <row r="5950" ht="15.75" customHeight="1">
      <c r="H5950" s="2" t="s">
        <v>28772</v>
      </c>
      <c r="I5950" s="2" t="s">
        <v>28773</v>
      </c>
      <c r="J5950" s="2" t="s">
        <v>28774</v>
      </c>
      <c r="K5950" s="2" t="s">
        <v>28775</v>
      </c>
      <c r="L5950" s="2" t="s">
        <v>28572</v>
      </c>
      <c r="M5950" s="2" t="s">
        <v>28776</v>
      </c>
      <c r="N5950" s="2" t="s">
        <v>28777</v>
      </c>
      <c r="O5950" s="2" t="s">
        <v>869</v>
      </c>
      <c r="P5950" s="2" t="s">
        <v>870</v>
      </c>
    </row>
    <row r="5951" ht="15.75" customHeight="1">
      <c r="H5951" s="2" t="s">
        <v>28778</v>
      </c>
      <c r="I5951" s="2" t="s">
        <v>28779</v>
      </c>
      <c r="J5951" s="2" t="s">
        <v>28780</v>
      </c>
      <c r="K5951" s="2" t="s">
        <v>28781</v>
      </c>
      <c r="L5951" s="2" t="s">
        <v>28572</v>
      </c>
      <c r="M5951" s="2" t="s">
        <v>28782</v>
      </c>
      <c r="N5951" s="2" t="s">
        <v>28783</v>
      </c>
      <c r="O5951" s="2" t="s">
        <v>869</v>
      </c>
      <c r="P5951" s="2" t="s">
        <v>870</v>
      </c>
    </row>
    <row r="5952" ht="15.75" customHeight="1">
      <c r="H5952" s="2" t="s">
        <v>28784</v>
      </c>
      <c r="I5952" s="2" t="s">
        <v>28785</v>
      </c>
      <c r="J5952" s="2" t="s">
        <v>28786</v>
      </c>
      <c r="K5952" s="2" t="s">
        <v>28787</v>
      </c>
      <c r="L5952" s="2" t="s">
        <v>28572</v>
      </c>
      <c r="M5952" s="2" t="s">
        <v>28788</v>
      </c>
      <c r="N5952" s="2" t="s">
        <v>28789</v>
      </c>
      <c r="O5952" s="2" t="s">
        <v>869</v>
      </c>
      <c r="P5952" s="2" t="s">
        <v>870</v>
      </c>
    </row>
    <row r="5953" ht="15.75" customHeight="1">
      <c r="H5953" s="2" t="s">
        <v>28790</v>
      </c>
      <c r="I5953" s="2" t="s">
        <v>28791</v>
      </c>
      <c r="J5953" s="2" t="s">
        <v>28792</v>
      </c>
      <c r="K5953" s="2" t="s">
        <v>28793</v>
      </c>
      <c r="L5953" s="2" t="s">
        <v>28572</v>
      </c>
      <c r="M5953" s="2" t="s">
        <v>28794</v>
      </c>
      <c r="N5953" s="2" t="s">
        <v>28795</v>
      </c>
      <c r="O5953" s="2" t="s">
        <v>869</v>
      </c>
      <c r="P5953" s="2" t="s">
        <v>870</v>
      </c>
    </row>
    <row r="5954" ht="15.75" customHeight="1">
      <c r="H5954" s="2" t="s">
        <v>28796</v>
      </c>
      <c r="I5954" s="2" t="s">
        <v>28797</v>
      </c>
      <c r="J5954" s="2" t="s">
        <v>28798</v>
      </c>
      <c r="K5954" s="2" t="s">
        <v>28799</v>
      </c>
      <c r="L5954" s="2" t="s">
        <v>28572</v>
      </c>
      <c r="M5954" s="2" t="s">
        <v>28800</v>
      </c>
      <c r="N5954" s="2" t="s">
        <v>28801</v>
      </c>
      <c r="O5954" s="2" t="s">
        <v>869</v>
      </c>
      <c r="P5954" s="2" t="s">
        <v>870</v>
      </c>
    </row>
    <row r="5955" ht="15.75" customHeight="1">
      <c r="H5955" s="2" t="s">
        <v>28802</v>
      </c>
      <c r="I5955" s="2" t="s">
        <v>28803</v>
      </c>
      <c r="J5955" s="2" t="s">
        <v>28804</v>
      </c>
      <c r="K5955" s="2" t="s">
        <v>28805</v>
      </c>
      <c r="L5955" s="2" t="s">
        <v>28572</v>
      </c>
      <c r="M5955" s="2" t="s">
        <v>28806</v>
      </c>
      <c r="N5955" s="2" t="s">
        <v>28807</v>
      </c>
      <c r="O5955" s="2" t="s">
        <v>869</v>
      </c>
      <c r="P5955" s="2" t="s">
        <v>870</v>
      </c>
    </row>
    <row r="5956" ht="15.75" customHeight="1">
      <c r="H5956" s="2" t="s">
        <v>28808</v>
      </c>
      <c r="I5956" s="2" t="s">
        <v>28809</v>
      </c>
      <c r="J5956" s="2" t="s">
        <v>28810</v>
      </c>
      <c r="K5956" s="2" t="s">
        <v>28811</v>
      </c>
      <c r="L5956" s="2" t="s">
        <v>28572</v>
      </c>
      <c r="M5956" s="2" t="s">
        <v>28812</v>
      </c>
      <c r="N5956" s="2" t="s">
        <v>28813</v>
      </c>
      <c r="O5956" s="2" t="s">
        <v>869</v>
      </c>
      <c r="P5956" s="2" t="s">
        <v>870</v>
      </c>
    </row>
    <row r="5957" ht="15.75" customHeight="1">
      <c r="H5957" s="2" t="s">
        <v>28814</v>
      </c>
      <c r="I5957" s="2" t="s">
        <v>28815</v>
      </c>
      <c r="J5957" s="2" t="s">
        <v>28816</v>
      </c>
      <c r="K5957" s="2" t="s">
        <v>28817</v>
      </c>
      <c r="L5957" s="2" t="s">
        <v>28572</v>
      </c>
      <c r="M5957" s="2" t="s">
        <v>28818</v>
      </c>
      <c r="N5957" s="2" t="s">
        <v>28819</v>
      </c>
      <c r="O5957" s="2" t="s">
        <v>869</v>
      </c>
      <c r="P5957" s="2" t="s">
        <v>870</v>
      </c>
    </row>
    <row r="5958" ht="15.75" customHeight="1">
      <c r="H5958" s="2" t="s">
        <v>28820</v>
      </c>
      <c r="I5958" s="2" t="s">
        <v>28821</v>
      </c>
      <c r="J5958" s="2" t="s">
        <v>28821</v>
      </c>
      <c r="K5958" s="2" t="s">
        <v>1631</v>
      </c>
    </row>
    <row r="5959" ht="15.75" customHeight="1">
      <c r="H5959" s="2" t="s">
        <v>28822</v>
      </c>
      <c r="I5959" s="2" t="s">
        <v>28823</v>
      </c>
      <c r="J5959" s="2" t="s">
        <v>28824</v>
      </c>
      <c r="K5959" s="2" t="s">
        <v>28825</v>
      </c>
      <c r="L5959" s="2" t="s">
        <v>28572</v>
      </c>
      <c r="M5959" s="2" t="s">
        <v>28826</v>
      </c>
      <c r="N5959" s="2" t="s">
        <v>28827</v>
      </c>
      <c r="O5959" s="2" t="s">
        <v>869</v>
      </c>
      <c r="P5959" s="2" t="s">
        <v>870</v>
      </c>
    </row>
    <row r="5960" ht="15.75" customHeight="1">
      <c r="H5960" s="2" t="s">
        <v>28828</v>
      </c>
      <c r="I5960" s="2" t="s">
        <v>1506</v>
      </c>
      <c r="J5960" s="2" t="s">
        <v>1507</v>
      </c>
      <c r="K5960" s="2" t="s">
        <v>28829</v>
      </c>
      <c r="L5960" s="2" t="s">
        <v>28572</v>
      </c>
      <c r="M5960" s="2" t="s">
        <v>27326</v>
      </c>
      <c r="N5960" s="2" t="s">
        <v>28830</v>
      </c>
      <c r="O5960" s="2" t="s">
        <v>869</v>
      </c>
      <c r="P5960" s="2" t="s">
        <v>870</v>
      </c>
    </row>
    <row r="5961" ht="15.75" customHeight="1">
      <c r="H5961" s="2" t="s">
        <v>28831</v>
      </c>
      <c r="I5961" s="2" t="s">
        <v>28832</v>
      </c>
      <c r="J5961" s="2" t="s">
        <v>28833</v>
      </c>
      <c r="K5961" s="2" t="s">
        <v>28834</v>
      </c>
      <c r="L5961" s="2" t="s">
        <v>28572</v>
      </c>
      <c r="M5961" s="2" t="s">
        <v>28835</v>
      </c>
      <c r="N5961" s="2" t="s">
        <v>28836</v>
      </c>
      <c r="O5961" s="2" t="s">
        <v>869</v>
      </c>
      <c r="P5961" s="2" t="s">
        <v>870</v>
      </c>
    </row>
    <row r="5962" ht="15.75" customHeight="1">
      <c r="H5962" s="2" t="s">
        <v>28837</v>
      </c>
      <c r="I5962" s="2" t="s">
        <v>1255</v>
      </c>
      <c r="J5962" s="2" t="s">
        <v>1256</v>
      </c>
      <c r="K5962" s="2" t="s">
        <v>28838</v>
      </c>
      <c r="L5962" s="2" t="s">
        <v>28839</v>
      </c>
      <c r="M5962" s="2" t="s">
        <v>28840</v>
      </c>
      <c r="N5962" s="2" t="s">
        <v>28841</v>
      </c>
      <c r="O5962" s="2" t="s">
        <v>869</v>
      </c>
      <c r="P5962" s="2" t="s">
        <v>870</v>
      </c>
    </row>
    <row r="5963" ht="15.75" customHeight="1">
      <c r="F5963" s="2" t="s">
        <v>39</v>
      </c>
      <c r="H5963" s="2" t="s">
        <v>28842</v>
      </c>
      <c r="I5963" s="2" t="s">
        <v>41</v>
      </c>
      <c r="J5963" s="2" t="s">
        <v>42</v>
      </c>
      <c r="K5963" s="2" t="s">
        <v>28843</v>
      </c>
      <c r="L5963" s="2" t="s">
        <v>28572</v>
      </c>
      <c r="M5963" s="2" t="s">
        <v>6629</v>
      </c>
      <c r="N5963" s="2" t="s">
        <v>869</v>
      </c>
      <c r="O5963" s="2" t="s">
        <v>870</v>
      </c>
    </row>
    <row r="5964" ht="15.75" customHeight="1">
      <c r="H5964" s="2" t="s">
        <v>28844</v>
      </c>
      <c r="I5964" s="2" t="s">
        <v>49</v>
      </c>
      <c r="J5964" s="2" t="s">
        <v>50</v>
      </c>
      <c r="K5964" s="2" t="s">
        <v>28845</v>
      </c>
      <c r="L5964" s="2" t="s">
        <v>28572</v>
      </c>
      <c r="M5964" s="2" t="s">
        <v>28846</v>
      </c>
      <c r="N5964" s="2" t="s">
        <v>28847</v>
      </c>
      <c r="O5964" s="2" t="s">
        <v>869</v>
      </c>
      <c r="P5964" s="2" t="s">
        <v>870</v>
      </c>
    </row>
    <row r="5965" ht="15.75" customHeight="1">
      <c r="H5965" s="2" t="s">
        <v>28848</v>
      </c>
      <c r="I5965" s="2" t="s">
        <v>1317</v>
      </c>
      <c r="J5965" s="2" t="s">
        <v>1318</v>
      </c>
      <c r="K5965" s="2" t="s">
        <v>28849</v>
      </c>
      <c r="L5965" s="2" t="s">
        <v>28572</v>
      </c>
      <c r="M5965" s="2" t="s">
        <v>6738</v>
      </c>
      <c r="N5965" s="2" t="s">
        <v>28850</v>
      </c>
      <c r="O5965" s="2" t="s">
        <v>869</v>
      </c>
      <c r="P5965" s="2" t="s">
        <v>870</v>
      </c>
    </row>
    <row r="5966" ht="15.75" customHeight="1">
      <c r="F5966" s="2" t="s">
        <v>56</v>
      </c>
      <c r="H5966" s="2" t="s">
        <v>28851</v>
      </c>
      <c r="I5966" s="2" t="s">
        <v>28852</v>
      </c>
      <c r="J5966" s="2" t="s">
        <v>28853</v>
      </c>
      <c r="K5966" s="2" t="s">
        <v>28854</v>
      </c>
      <c r="L5966" s="2" t="s">
        <v>28572</v>
      </c>
      <c r="M5966" s="2" t="s">
        <v>28855</v>
      </c>
      <c r="N5966" s="2" t="s">
        <v>28856</v>
      </c>
      <c r="O5966" s="2" t="s">
        <v>869</v>
      </c>
      <c r="P5966" s="2" t="s">
        <v>870</v>
      </c>
    </row>
    <row r="5967" ht="15.75" customHeight="1">
      <c r="H5967" s="2" t="s">
        <v>28857</v>
      </c>
      <c r="I5967" s="2" t="s">
        <v>1382</v>
      </c>
      <c r="J5967" s="2" t="s">
        <v>1383</v>
      </c>
      <c r="K5967" s="2" t="s">
        <v>28858</v>
      </c>
      <c r="L5967" s="2" t="s">
        <v>28572</v>
      </c>
      <c r="M5967" s="2" t="s">
        <v>28859</v>
      </c>
      <c r="N5967" s="2" t="s">
        <v>28860</v>
      </c>
      <c r="O5967" s="2" t="s">
        <v>869</v>
      </c>
      <c r="P5967" s="2" t="s">
        <v>870</v>
      </c>
    </row>
    <row r="5968" ht="15.75" customHeight="1">
      <c r="H5968" s="2" t="s">
        <v>28861</v>
      </c>
      <c r="I5968" s="2" t="s">
        <v>28862</v>
      </c>
      <c r="J5968" s="2" t="s">
        <v>28863</v>
      </c>
      <c r="K5968" s="2" t="s">
        <v>918</v>
      </c>
    </row>
    <row r="5969" ht="15.75" customHeight="1">
      <c r="H5969" s="2" t="s">
        <v>28864</v>
      </c>
      <c r="I5969" s="2" t="s">
        <v>4528</v>
      </c>
      <c r="J5969" s="2" t="s">
        <v>4529</v>
      </c>
      <c r="K5969" s="2" t="s">
        <v>28865</v>
      </c>
      <c r="L5969" s="2" t="s">
        <v>28572</v>
      </c>
      <c r="M5969" s="2" t="s">
        <v>28866</v>
      </c>
      <c r="N5969" s="2" t="s">
        <v>28867</v>
      </c>
      <c r="O5969" s="2" t="s">
        <v>869</v>
      </c>
      <c r="P5969" s="2" t="s">
        <v>870</v>
      </c>
    </row>
    <row r="5970" ht="15.75" customHeight="1">
      <c r="H5970" s="2" t="s">
        <v>28868</v>
      </c>
      <c r="I5970" s="2" t="s">
        <v>28869</v>
      </c>
      <c r="J5970" s="2" t="s">
        <v>28870</v>
      </c>
      <c r="K5970" s="2" t="s">
        <v>28871</v>
      </c>
      <c r="L5970" s="2" t="s">
        <v>28572</v>
      </c>
      <c r="M5970" s="2" t="s">
        <v>28872</v>
      </c>
      <c r="N5970" s="2" t="s">
        <v>28873</v>
      </c>
      <c r="O5970" s="2" t="s">
        <v>869</v>
      </c>
      <c r="P5970" s="2" t="s">
        <v>870</v>
      </c>
    </row>
    <row r="5971" ht="15.75" customHeight="1">
      <c r="H5971" s="2" t="s">
        <v>28874</v>
      </c>
      <c r="I5971" s="2" t="s">
        <v>2900</v>
      </c>
      <c r="J5971" s="2" t="s">
        <v>2901</v>
      </c>
      <c r="K5971" s="2" t="s">
        <v>1593</v>
      </c>
    </row>
    <row r="5972" ht="15.75" customHeight="1">
      <c r="H5972" s="2" t="s">
        <v>28875</v>
      </c>
      <c r="I5972" s="2" t="s">
        <v>25460</v>
      </c>
      <c r="J5972" s="2" t="s">
        <v>25461</v>
      </c>
      <c r="K5972" s="2" t="s">
        <v>28876</v>
      </c>
      <c r="L5972" s="2" t="s">
        <v>28572</v>
      </c>
      <c r="M5972" s="2" t="s">
        <v>28877</v>
      </c>
      <c r="N5972" s="2" t="s">
        <v>28878</v>
      </c>
      <c r="O5972" s="2" t="s">
        <v>869</v>
      </c>
      <c r="P5972" s="2" t="s">
        <v>870</v>
      </c>
    </row>
    <row r="5973" ht="15.75" customHeight="1">
      <c r="H5973" s="2" t="s">
        <v>28879</v>
      </c>
      <c r="I5973" s="2" t="s">
        <v>28880</v>
      </c>
      <c r="J5973" s="2" t="s">
        <v>28881</v>
      </c>
      <c r="K5973" s="2" t="s">
        <v>28882</v>
      </c>
      <c r="L5973" s="2" t="s">
        <v>28572</v>
      </c>
      <c r="M5973" s="2" t="s">
        <v>28883</v>
      </c>
      <c r="N5973" s="2" t="s">
        <v>28884</v>
      </c>
      <c r="O5973" s="2" t="s">
        <v>869</v>
      </c>
      <c r="P5973" s="2" t="s">
        <v>870</v>
      </c>
    </row>
    <row r="5974" ht="15.75" customHeight="1">
      <c r="F5974" s="2" t="s">
        <v>65</v>
      </c>
      <c r="H5974" s="2" t="s">
        <v>28885</v>
      </c>
      <c r="I5974" s="2" t="s">
        <v>28886</v>
      </c>
      <c r="J5974" s="2" t="s">
        <v>28887</v>
      </c>
      <c r="K5974" s="2" t="s">
        <v>28888</v>
      </c>
      <c r="L5974" s="2" t="s">
        <v>28572</v>
      </c>
      <c r="M5974" s="2" t="s">
        <v>28889</v>
      </c>
      <c r="N5974" s="2" t="s">
        <v>28890</v>
      </c>
      <c r="O5974" s="2" t="s">
        <v>869</v>
      </c>
      <c r="P5974" s="2" t="s">
        <v>870</v>
      </c>
    </row>
    <row r="5975" ht="15.75" customHeight="1">
      <c r="H5975" s="2" t="s">
        <v>28891</v>
      </c>
      <c r="I5975" s="2" t="s">
        <v>27343</v>
      </c>
      <c r="J5975" s="2" t="s">
        <v>27344</v>
      </c>
      <c r="K5975" s="2" t="s">
        <v>28892</v>
      </c>
      <c r="L5975" s="2" t="s">
        <v>28572</v>
      </c>
      <c r="M5975" s="2" t="s">
        <v>28893</v>
      </c>
      <c r="N5975" s="2" t="s">
        <v>28894</v>
      </c>
      <c r="O5975" s="2" t="s">
        <v>869</v>
      </c>
      <c r="P5975" s="2" t="s">
        <v>870</v>
      </c>
    </row>
    <row r="5976" ht="15.75" customHeight="1">
      <c r="H5976" s="2" t="s">
        <v>28895</v>
      </c>
      <c r="I5976" s="2" t="s">
        <v>67</v>
      </c>
      <c r="J5976" s="2" t="s">
        <v>68</v>
      </c>
      <c r="K5976" s="2" t="s">
        <v>28896</v>
      </c>
      <c r="L5976" s="2" t="s">
        <v>28572</v>
      </c>
      <c r="M5976" s="2" t="s">
        <v>28897</v>
      </c>
      <c r="N5976" s="2" t="s">
        <v>28898</v>
      </c>
      <c r="O5976" s="2" t="s">
        <v>869</v>
      </c>
      <c r="P5976" s="2" t="s">
        <v>870</v>
      </c>
    </row>
    <row r="5977" ht="15.75" customHeight="1">
      <c r="H5977" s="2" t="s">
        <v>28899</v>
      </c>
      <c r="I5977" s="2" t="s">
        <v>28900</v>
      </c>
      <c r="J5977" s="2" t="s">
        <v>28901</v>
      </c>
      <c r="K5977" s="2" t="s">
        <v>28902</v>
      </c>
      <c r="L5977" s="2" t="s">
        <v>28572</v>
      </c>
      <c r="M5977" s="2" t="s">
        <v>28903</v>
      </c>
      <c r="N5977" s="2" t="s">
        <v>28904</v>
      </c>
      <c r="O5977" s="2" t="s">
        <v>869</v>
      </c>
      <c r="P5977" s="2" t="s">
        <v>870</v>
      </c>
    </row>
    <row r="5978" ht="15.75" customHeight="1">
      <c r="H5978" s="2" t="s">
        <v>28905</v>
      </c>
      <c r="I5978" s="2" t="s">
        <v>1496</v>
      </c>
      <c r="J5978" s="2" t="s">
        <v>1497</v>
      </c>
      <c r="K5978" s="2" t="s">
        <v>28906</v>
      </c>
      <c r="L5978" s="2" t="s">
        <v>28572</v>
      </c>
      <c r="M5978" s="2" t="s">
        <v>28907</v>
      </c>
      <c r="N5978" s="2" t="s">
        <v>28908</v>
      </c>
      <c r="O5978" s="2" t="s">
        <v>869</v>
      </c>
      <c r="P5978" s="2" t="s">
        <v>870</v>
      </c>
    </row>
    <row r="5979" ht="15.75" customHeight="1">
      <c r="F5979" s="2" t="s">
        <v>74</v>
      </c>
      <c r="H5979" s="2" t="s">
        <v>28909</v>
      </c>
      <c r="I5979" s="2" t="s">
        <v>22485</v>
      </c>
      <c r="J5979" s="2" t="s">
        <v>22486</v>
      </c>
      <c r="K5979" s="2" t="s">
        <v>28910</v>
      </c>
      <c r="L5979" s="2" t="s">
        <v>28572</v>
      </c>
      <c r="M5979" s="2" t="s">
        <v>28911</v>
      </c>
      <c r="N5979" s="2" t="s">
        <v>28912</v>
      </c>
      <c r="O5979" s="2" t="s">
        <v>869</v>
      </c>
      <c r="P5979" s="2" t="s">
        <v>870</v>
      </c>
    </row>
    <row r="5980" ht="15.75" customHeight="1">
      <c r="H5980" s="2" t="s">
        <v>28913</v>
      </c>
      <c r="I5980" s="2" t="s">
        <v>76</v>
      </c>
      <c r="J5980" s="2" t="s">
        <v>77</v>
      </c>
      <c r="K5980" s="2" t="s">
        <v>28914</v>
      </c>
      <c r="L5980" s="2" t="s">
        <v>28915</v>
      </c>
      <c r="M5980" s="2" t="s">
        <v>28916</v>
      </c>
      <c r="N5980" s="2" t="s">
        <v>28917</v>
      </c>
      <c r="O5980" s="2" t="s">
        <v>869</v>
      </c>
      <c r="P5980" s="2" t="s">
        <v>870</v>
      </c>
    </row>
    <row r="5981" ht="15.75" customHeight="1">
      <c r="H5981" s="2" t="s">
        <v>28918</v>
      </c>
      <c r="I5981" s="2" t="s">
        <v>18797</v>
      </c>
      <c r="J5981" s="2" t="s">
        <v>18798</v>
      </c>
      <c r="K5981" s="2" t="s">
        <v>28919</v>
      </c>
      <c r="L5981" s="2" t="s">
        <v>28572</v>
      </c>
      <c r="M5981" s="2" t="s">
        <v>28920</v>
      </c>
      <c r="N5981" s="2" t="s">
        <v>28921</v>
      </c>
      <c r="O5981" s="2" t="s">
        <v>869</v>
      </c>
      <c r="P5981" s="2" t="s">
        <v>870</v>
      </c>
    </row>
    <row r="5982" ht="15.75" customHeight="1">
      <c r="H5982" s="2" t="s">
        <v>28922</v>
      </c>
      <c r="I5982" s="2" t="s">
        <v>85</v>
      </c>
      <c r="J5982" s="2" t="s">
        <v>86</v>
      </c>
      <c r="K5982" s="2" t="s">
        <v>28923</v>
      </c>
      <c r="L5982" s="2" t="s">
        <v>28572</v>
      </c>
      <c r="M5982" s="2" t="s">
        <v>28924</v>
      </c>
      <c r="N5982" s="2" t="s">
        <v>28925</v>
      </c>
      <c r="O5982" s="2" t="s">
        <v>869</v>
      </c>
      <c r="P5982" s="2" t="s">
        <v>870</v>
      </c>
    </row>
    <row r="5983" ht="15.75" customHeight="1">
      <c r="H5983" s="2" t="s">
        <v>28926</v>
      </c>
      <c r="I5983" s="2" t="s">
        <v>6964</v>
      </c>
      <c r="J5983" s="2" t="s">
        <v>6965</v>
      </c>
      <c r="K5983" s="2" t="s">
        <v>28927</v>
      </c>
      <c r="L5983" s="2" t="s">
        <v>28572</v>
      </c>
      <c r="M5983" s="2" t="s">
        <v>6967</v>
      </c>
      <c r="N5983" s="2" t="s">
        <v>28928</v>
      </c>
      <c r="O5983" s="2" t="s">
        <v>869</v>
      </c>
      <c r="P5983" s="2" t="s">
        <v>870</v>
      </c>
    </row>
    <row r="5984" ht="15.75" customHeight="1">
      <c r="H5984" s="2" t="s">
        <v>28929</v>
      </c>
      <c r="I5984" s="2" t="s">
        <v>28930</v>
      </c>
      <c r="J5984" s="2" t="s">
        <v>28931</v>
      </c>
      <c r="K5984" s="2" t="s">
        <v>28932</v>
      </c>
      <c r="L5984" s="2" t="s">
        <v>28572</v>
      </c>
      <c r="M5984" s="2" t="s">
        <v>28933</v>
      </c>
      <c r="N5984" s="2" t="s">
        <v>28934</v>
      </c>
      <c r="O5984" s="2" t="s">
        <v>869</v>
      </c>
      <c r="P5984" s="2" t="s">
        <v>870</v>
      </c>
    </row>
    <row r="5985" ht="15.75" customHeight="1">
      <c r="H5985" s="2" t="s">
        <v>28935</v>
      </c>
      <c r="I5985" s="2" t="s">
        <v>25515</v>
      </c>
      <c r="J5985" s="2" t="s">
        <v>25516</v>
      </c>
      <c r="K5985" s="2" t="s">
        <v>28936</v>
      </c>
      <c r="L5985" s="2" t="s">
        <v>28572</v>
      </c>
      <c r="M5985" s="2" t="s">
        <v>25517</v>
      </c>
      <c r="N5985" s="2" t="s">
        <v>28937</v>
      </c>
      <c r="O5985" s="2" t="s">
        <v>869</v>
      </c>
      <c r="P5985" s="2" t="s">
        <v>870</v>
      </c>
    </row>
    <row r="5986" ht="15.75" customHeight="1">
      <c r="H5986" s="2" t="s">
        <v>28938</v>
      </c>
      <c r="I5986" s="2" t="s">
        <v>28939</v>
      </c>
      <c r="J5986" s="2" t="s">
        <v>28940</v>
      </c>
      <c r="K5986" s="2" t="s">
        <v>28941</v>
      </c>
      <c r="L5986" s="2" t="s">
        <v>28572</v>
      </c>
      <c r="M5986" s="2" t="s">
        <v>28942</v>
      </c>
      <c r="N5986" s="2" t="s">
        <v>28943</v>
      </c>
      <c r="O5986" s="2" t="s">
        <v>869</v>
      </c>
      <c r="P5986" s="2" t="s">
        <v>870</v>
      </c>
    </row>
    <row r="5987" ht="15.75" customHeight="1">
      <c r="H5987" s="2" t="s">
        <v>28944</v>
      </c>
      <c r="I5987" s="2" t="s">
        <v>1573</v>
      </c>
      <c r="J5987" s="2" t="s">
        <v>1574</v>
      </c>
      <c r="K5987" s="2" t="s">
        <v>28945</v>
      </c>
      <c r="L5987" s="2" t="s">
        <v>28572</v>
      </c>
      <c r="M5987" s="2" t="s">
        <v>28946</v>
      </c>
      <c r="N5987" s="2" t="s">
        <v>28947</v>
      </c>
      <c r="O5987" s="2" t="s">
        <v>869</v>
      </c>
      <c r="P5987" s="2" t="s">
        <v>870</v>
      </c>
    </row>
    <row r="5988" ht="15.75" customHeight="1">
      <c r="H5988" s="2" t="s">
        <v>28948</v>
      </c>
      <c r="I5988" s="2" t="s">
        <v>14331</v>
      </c>
      <c r="J5988" s="2" t="s">
        <v>14332</v>
      </c>
      <c r="K5988" s="2" t="s">
        <v>28949</v>
      </c>
      <c r="L5988" s="2" t="s">
        <v>28572</v>
      </c>
      <c r="M5988" s="2" t="s">
        <v>28950</v>
      </c>
      <c r="N5988" s="2" t="s">
        <v>28951</v>
      </c>
      <c r="O5988" s="2" t="s">
        <v>869</v>
      </c>
      <c r="P5988" s="2" t="s">
        <v>870</v>
      </c>
    </row>
    <row r="5989" ht="15.75" customHeight="1">
      <c r="H5989" s="2" t="s">
        <v>28952</v>
      </c>
      <c r="I5989" s="2" t="s">
        <v>1000</v>
      </c>
      <c r="J5989" s="2" t="s">
        <v>1001</v>
      </c>
      <c r="K5989" s="2" t="s">
        <v>28953</v>
      </c>
      <c r="L5989" s="2" t="s">
        <v>28572</v>
      </c>
      <c r="M5989" s="2" t="s">
        <v>28954</v>
      </c>
      <c r="N5989" s="2" t="s">
        <v>28955</v>
      </c>
      <c r="O5989" s="2" t="s">
        <v>869</v>
      </c>
      <c r="P5989" s="2" t="s">
        <v>870</v>
      </c>
    </row>
    <row r="5990" ht="15.75" customHeight="1">
      <c r="H5990" s="2" t="s">
        <v>28956</v>
      </c>
      <c r="I5990" s="2" t="s">
        <v>18866</v>
      </c>
      <c r="J5990" s="2" t="s">
        <v>18867</v>
      </c>
      <c r="K5990" s="2" t="s">
        <v>28957</v>
      </c>
      <c r="L5990" s="2" t="s">
        <v>28572</v>
      </c>
      <c r="M5990" s="2" t="s">
        <v>28958</v>
      </c>
      <c r="N5990" s="2" t="s">
        <v>28959</v>
      </c>
      <c r="O5990" s="2" t="s">
        <v>869</v>
      </c>
      <c r="P5990" s="2" t="s">
        <v>870</v>
      </c>
    </row>
    <row r="5991" ht="15.75" customHeight="1">
      <c r="H5991" s="2" t="s">
        <v>28960</v>
      </c>
      <c r="I5991" s="2" t="s">
        <v>28961</v>
      </c>
      <c r="J5991" s="2" t="s">
        <v>28962</v>
      </c>
      <c r="K5991" s="2" t="s">
        <v>28963</v>
      </c>
      <c r="L5991" s="2" t="s">
        <v>28572</v>
      </c>
      <c r="M5991" s="2" t="s">
        <v>28964</v>
      </c>
      <c r="N5991" s="2" t="s">
        <v>28965</v>
      </c>
      <c r="O5991" s="2" t="s">
        <v>869</v>
      </c>
      <c r="P5991" s="2" t="s">
        <v>870</v>
      </c>
    </row>
    <row r="5992" ht="15.75" customHeight="1">
      <c r="H5992" s="2" t="s">
        <v>28966</v>
      </c>
      <c r="I5992" s="2" t="s">
        <v>11590</v>
      </c>
      <c r="J5992" s="2" t="s">
        <v>11591</v>
      </c>
      <c r="K5992" s="2" t="s">
        <v>28967</v>
      </c>
      <c r="L5992" s="2" t="s">
        <v>28572</v>
      </c>
      <c r="M5992" s="2" t="s">
        <v>28968</v>
      </c>
      <c r="N5992" s="2" t="s">
        <v>28969</v>
      </c>
      <c r="O5992" s="2" t="s">
        <v>869</v>
      </c>
      <c r="P5992" s="2" t="s">
        <v>870</v>
      </c>
    </row>
    <row r="5993" ht="15.75" customHeight="1">
      <c r="H5993" s="2" t="s">
        <v>28970</v>
      </c>
      <c r="I5993" s="2" t="s">
        <v>28971</v>
      </c>
      <c r="J5993" s="2" t="s">
        <v>28972</v>
      </c>
      <c r="K5993" s="2" t="s">
        <v>28973</v>
      </c>
      <c r="L5993" s="2" t="s">
        <v>28572</v>
      </c>
      <c r="M5993" s="2" t="s">
        <v>28974</v>
      </c>
      <c r="N5993" s="2" t="s">
        <v>28975</v>
      </c>
      <c r="O5993" s="2" t="s">
        <v>869</v>
      </c>
      <c r="P5993" s="2" t="s">
        <v>870</v>
      </c>
    </row>
    <row r="5994" ht="15.75" customHeight="1">
      <c r="H5994" s="2" t="s">
        <v>28976</v>
      </c>
      <c r="I5994" s="2" t="s">
        <v>4885</v>
      </c>
      <c r="J5994" s="2" t="s">
        <v>4886</v>
      </c>
      <c r="K5994" s="2" t="s">
        <v>28977</v>
      </c>
      <c r="L5994" s="2" t="s">
        <v>28572</v>
      </c>
      <c r="M5994" s="2" t="s">
        <v>28978</v>
      </c>
      <c r="N5994" s="2" t="s">
        <v>28979</v>
      </c>
      <c r="O5994" s="2" t="s">
        <v>869</v>
      </c>
      <c r="P5994" s="2" t="s">
        <v>870</v>
      </c>
    </row>
    <row r="5995" ht="15.75" customHeight="1">
      <c r="H5995" s="2" t="s">
        <v>28980</v>
      </c>
      <c r="I5995" s="2" t="s">
        <v>28981</v>
      </c>
      <c r="J5995" s="2" t="s">
        <v>28982</v>
      </c>
      <c r="K5995" s="2" t="s">
        <v>28983</v>
      </c>
      <c r="L5995" s="2" t="s">
        <v>28572</v>
      </c>
      <c r="M5995" s="2" t="s">
        <v>28984</v>
      </c>
      <c r="N5995" s="2" t="s">
        <v>28985</v>
      </c>
      <c r="O5995" s="2" t="s">
        <v>869</v>
      </c>
      <c r="P5995" s="2" t="s">
        <v>870</v>
      </c>
    </row>
    <row r="5996" ht="15.75" customHeight="1">
      <c r="H5996" s="2" t="s">
        <v>28986</v>
      </c>
      <c r="I5996" s="2" t="s">
        <v>28987</v>
      </c>
      <c r="J5996" s="2" t="s">
        <v>28988</v>
      </c>
      <c r="K5996" s="2" t="s">
        <v>28989</v>
      </c>
      <c r="L5996" s="2" t="s">
        <v>28572</v>
      </c>
      <c r="M5996" s="2" t="s">
        <v>28990</v>
      </c>
      <c r="N5996" s="2" t="s">
        <v>28991</v>
      </c>
      <c r="O5996" s="2" t="s">
        <v>869</v>
      </c>
      <c r="P5996" s="2" t="s">
        <v>870</v>
      </c>
    </row>
    <row r="5997" ht="15.75" customHeight="1">
      <c r="H5997" s="2" t="s">
        <v>28992</v>
      </c>
      <c r="I5997" s="2" t="s">
        <v>18934</v>
      </c>
      <c r="J5997" s="2" t="s">
        <v>18935</v>
      </c>
      <c r="K5997" s="2" t="s">
        <v>1247</v>
      </c>
    </row>
    <row r="5998" ht="15.75" customHeight="1">
      <c r="H5998" s="2" t="s">
        <v>28993</v>
      </c>
      <c r="I5998" s="2" t="s">
        <v>28994</v>
      </c>
      <c r="J5998" s="2" t="s">
        <v>28995</v>
      </c>
      <c r="K5998" s="2" t="s">
        <v>28996</v>
      </c>
      <c r="L5998" s="2" t="s">
        <v>28572</v>
      </c>
      <c r="M5998" s="2" t="s">
        <v>28997</v>
      </c>
      <c r="N5998" s="2" t="s">
        <v>28998</v>
      </c>
      <c r="O5998" s="2" t="s">
        <v>869</v>
      </c>
      <c r="P5998" s="2" t="s">
        <v>870</v>
      </c>
    </row>
    <row r="5999" ht="15.75" customHeight="1">
      <c r="H5999" s="2" t="s">
        <v>28999</v>
      </c>
      <c r="I5999" s="2" t="s">
        <v>29000</v>
      </c>
      <c r="J5999" s="2" t="s">
        <v>29001</v>
      </c>
      <c r="K5999" s="2" t="s">
        <v>2043</v>
      </c>
    </row>
    <row r="6000" ht="15.75" customHeight="1">
      <c r="H6000" s="2" t="s">
        <v>29002</v>
      </c>
      <c r="I6000" s="2" t="s">
        <v>29003</v>
      </c>
      <c r="J6000" s="2" t="s">
        <v>29004</v>
      </c>
      <c r="K6000" s="2" t="s">
        <v>29005</v>
      </c>
      <c r="L6000" s="2" t="s">
        <v>28572</v>
      </c>
      <c r="M6000" s="2" t="s">
        <v>29006</v>
      </c>
      <c r="N6000" s="2" t="s">
        <v>29007</v>
      </c>
      <c r="O6000" s="2" t="s">
        <v>869</v>
      </c>
      <c r="P6000" s="2" t="s">
        <v>870</v>
      </c>
    </row>
    <row r="6001" ht="15.75" customHeight="1">
      <c r="H6001" s="2" t="s">
        <v>29008</v>
      </c>
      <c r="I6001" s="2" t="s">
        <v>167</v>
      </c>
      <c r="J6001" s="2" t="s">
        <v>168</v>
      </c>
      <c r="K6001" s="2" t="s">
        <v>29009</v>
      </c>
      <c r="L6001" s="2" t="s">
        <v>28572</v>
      </c>
      <c r="M6001" s="2" t="s">
        <v>29010</v>
      </c>
      <c r="N6001" s="2" t="s">
        <v>29011</v>
      </c>
      <c r="O6001" s="2" t="s">
        <v>869</v>
      </c>
      <c r="P6001" s="2" t="s">
        <v>870</v>
      </c>
    </row>
    <row r="6002" ht="15.75" customHeight="1">
      <c r="H6002" s="2" t="s">
        <v>29012</v>
      </c>
      <c r="I6002" s="2" t="s">
        <v>18951</v>
      </c>
      <c r="J6002" s="2" t="s">
        <v>18952</v>
      </c>
      <c r="K6002" s="2" t="s">
        <v>29013</v>
      </c>
      <c r="L6002" s="2" t="s">
        <v>28572</v>
      </c>
      <c r="M6002" s="2" t="s">
        <v>29014</v>
      </c>
      <c r="N6002" s="2" t="s">
        <v>29015</v>
      </c>
      <c r="O6002" s="2" t="s">
        <v>869</v>
      </c>
      <c r="P6002" s="2" t="s">
        <v>870</v>
      </c>
    </row>
    <row r="6003" ht="15.75" customHeight="1">
      <c r="H6003" s="2" t="s">
        <v>29016</v>
      </c>
      <c r="I6003" s="2" t="s">
        <v>29017</v>
      </c>
      <c r="J6003" s="2" t="s">
        <v>29017</v>
      </c>
      <c r="K6003" s="2" t="s">
        <v>5500</v>
      </c>
    </row>
    <row r="6004" ht="15.75" customHeight="1">
      <c r="H6004" s="2" t="s">
        <v>29018</v>
      </c>
      <c r="I6004" s="2" t="s">
        <v>25578</v>
      </c>
      <c r="J6004" s="2" t="s">
        <v>25579</v>
      </c>
      <c r="K6004" s="2" t="s">
        <v>29019</v>
      </c>
      <c r="L6004" s="2" t="s">
        <v>28572</v>
      </c>
      <c r="M6004" s="2" t="s">
        <v>29020</v>
      </c>
      <c r="N6004" s="2" t="s">
        <v>29021</v>
      </c>
      <c r="O6004" s="2" t="s">
        <v>869</v>
      </c>
      <c r="P6004" s="2" t="s">
        <v>870</v>
      </c>
    </row>
    <row r="6005" ht="15.75" customHeight="1">
      <c r="H6005" s="2" t="s">
        <v>29022</v>
      </c>
      <c r="I6005" s="2" t="s">
        <v>29023</v>
      </c>
      <c r="J6005" s="2" t="s">
        <v>29024</v>
      </c>
      <c r="K6005" s="2" t="s">
        <v>29025</v>
      </c>
      <c r="L6005" s="2" t="s">
        <v>28572</v>
      </c>
      <c r="M6005" s="2" t="s">
        <v>29026</v>
      </c>
      <c r="N6005" s="2" t="s">
        <v>869</v>
      </c>
      <c r="O6005" s="2" t="s">
        <v>870</v>
      </c>
    </row>
    <row r="6006" ht="15.75" customHeight="1">
      <c r="H6006" s="2" t="s">
        <v>29027</v>
      </c>
      <c r="I6006" s="2" t="s">
        <v>29028</v>
      </c>
      <c r="J6006" s="2" t="s">
        <v>29029</v>
      </c>
      <c r="K6006" s="2" t="s">
        <v>29030</v>
      </c>
      <c r="L6006" s="2" t="s">
        <v>28572</v>
      </c>
      <c r="M6006" s="2" t="s">
        <v>29031</v>
      </c>
      <c r="N6006" s="2" t="s">
        <v>29032</v>
      </c>
      <c r="O6006" s="2" t="s">
        <v>869</v>
      </c>
      <c r="P6006" s="2" t="s">
        <v>870</v>
      </c>
    </row>
    <row r="6007" ht="15.75" customHeight="1">
      <c r="H6007" s="2" t="s">
        <v>29033</v>
      </c>
      <c r="I6007" s="2" t="s">
        <v>29034</v>
      </c>
      <c r="J6007" s="2" t="s">
        <v>29035</v>
      </c>
      <c r="K6007" s="2" t="s">
        <v>29036</v>
      </c>
      <c r="L6007" s="2" t="s">
        <v>28572</v>
      </c>
      <c r="M6007" s="2" t="s">
        <v>29037</v>
      </c>
      <c r="N6007" s="2" t="s">
        <v>29038</v>
      </c>
      <c r="O6007" s="2" t="s">
        <v>869</v>
      </c>
      <c r="P6007" s="2" t="s">
        <v>870</v>
      </c>
    </row>
    <row r="6008" ht="15.75" customHeight="1">
      <c r="H6008" s="2" t="s">
        <v>29039</v>
      </c>
      <c r="I6008" s="2" t="s">
        <v>29040</v>
      </c>
      <c r="J6008" s="2" t="s">
        <v>29041</v>
      </c>
      <c r="K6008" s="2" t="s">
        <v>29042</v>
      </c>
      <c r="L6008" s="2" t="s">
        <v>28572</v>
      </c>
      <c r="M6008" s="2" t="s">
        <v>29043</v>
      </c>
      <c r="N6008" s="2" t="s">
        <v>29044</v>
      </c>
      <c r="O6008" s="2" t="s">
        <v>869</v>
      </c>
      <c r="P6008" s="2" t="s">
        <v>870</v>
      </c>
    </row>
    <row r="6009" ht="15.75" customHeight="1">
      <c r="H6009" s="2" t="s">
        <v>29045</v>
      </c>
      <c r="I6009" s="2" t="s">
        <v>1766</v>
      </c>
      <c r="J6009" s="2" t="s">
        <v>1767</v>
      </c>
      <c r="K6009" s="2" t="s">
        <v>29046</v>
      </c>
      <c r="L6009" s="2" t="s">
        <v>28572</v>
      </c>
      <c r="M6009" s="2" t="s">
        <v>29047</v>
      </c>
      <c r="N6009" s="2" t="s">
        <v>29048</v>
      </c>
      <c r="O6009" s="2" t="s">
        <v>869</v>
      </c>
      <c r="P6009" s="2" t="s">
        <v>870</v>
      </c>
    </row>
    <row r="6010" ht="15.75" customHeight="1">
      <c r="H6010" s="2" t="s">
        <v>29049</v>
      </c>
      <c r="I6010" s="2" t="s">
        <v>14392</v>
      </c>
      <c r="J6010" s="2" t="s">
        <v>14393</v>
      </c>
      <c r="K6010" s="2" t="s">
        <v>29050</v>
      </c>
      <c r="L6010" s="2" t="s">
        <v>28572</v>
      </c>
      <c r="M6010" s="2" t="s">
        <v>29051</v>
      </c>
      <c r="N6010" s="2" t="s">
        <v>29052</v>
      </c>
      <c r="O6010" s="2" t="s">
        <v>869</v>
      </c>
      <c r="P6010" s="2" t="s">
        <v>870</v>
      </c>
    </row>
    <row r="6011" ht="15.75" customHeight="1">
      <c r="H6011" s="2" t="s">
        <v>29053</v>
      </c>
      <c r="I6011" s="2" t="s">
        <v>225</v>
      </c>
      <c r="J6011" s="2" t="s">
        <v>226</v>
      </c>
      <c r="K6011" s="2" t="s">
        <v>29054</v>
      </c>
      <c r="L6011" s="2" t="s">
        <v>28572</v>
      </c>
      <c r="M6011" s="2" t="s">
        <v>29055</v>
      </c>
      <c r="N6011" s="2" t="s">
        <v>29056</v>
      </c>
      <c r="O6011" s="2" t="s">
        <v>869</v>
      </c>
      <c r="P6011" s="2" t="s">
        <v>870</v>
      </c>
    </row>
    <row r="6012" ht="15.75" customHeight="1">
      <c r="H6012" s="2" t="s">
        <v>29057</v>
      </c>
      <c r="I6012" s="2" t="s">
        <v>1772</v>
      </c>
      <c r="J6012" s="2" t="s">
        <v>1773</v>
      </c>
      <c r="K6012" s="2" t="s">
        <v>29058</v>
      </c>
      <c r="L6012" s="2" t="s">
        <v>28572</v>
      </c>
      <c r="M6012" s="2" t="s">
        <v>7212</v>
      </c>
      <c r="N6012" s="2" t="s">
        <v>29059</v>
      </c>
      <c r="O6012" s="2" t="s">
        <v>869</v>
      </c>
      <c r="P6012" s="2" t="s">
        <v>870</v>
      </c>
    </row>
    <row r="6013" ht="15.75" customHeight="1">
      <c r="H6013" s="2" t="s">
        <v>29060</v>
      </c>
      <c r="I6013" s="2" t="s">
        <v>1789</v>
      </c>
      <c r="J6013" s="2" t="s">
        <v>1790</v>
      </c>
      <c r="K6013" s="2" t="s">
        <v>29061</v>
      </c>
      <c r="L6013" s="2" t="s">
        <v>28572</v>
      </c>
      <c r="M6013" s="2" t="s">
        <v>7234</v>
      </c>
      <c r="N6013" s="2" t="s">
        <v>29062</v>
      </c>
      <c r="O6013" s="2" t="s">
        <v>869</v>
      </c>
      <c r="P6013" s="2" t="s">
        <v>870</v>
      </c>
    </row>
    <row r="6014" ht="15.75" customHeight="1">
      <c r="H6014" s="2" t="s">
        <v>29063</v>
      </c>
      <c r="I6014" s="2" t="s">
        <v>29064</v>
      </c>
      <c r="J6014" s="2" t="s">
        <v>29065</v>
      </c>
      <c r="K6014" s="2" t="s">
        <v>29066</v>
      </c>
      <c r="L6014" s="2" t="s">
        <v>29067</v>
      </c>
      <c r="M6014" s="2" t="s">
        <v>29068</v>
      </c>
      <c r="N6014" s="2" t="s">
        <v>29069</v>
      </c>
      <c r="O6014" s="2" t="s">
        <v>869</v>
      </c>
      <c r="P6014" s="2" t="s">
        <v>870</v>
      </c>
    </row>
    <row r="6015" ht="15.75" customHeight="1">
      <c r="H6015" s="2" t="s">
        <v>29070</v>
      </c>
      <c r="I6015" s="2" t="s">
        <v>1501</v>
      </c>
      <c r="J6015" s="2" t="s">
        <v>1502</v>
      </c>
      <c r="K6015" s="2" t="s">
        <v>29071</v>
      </c>
      <c r="L6015" s="2" t="s">
        <v>28572</v>
      </c>
      <c r="M6015" s="2" t="s">
        <v>29072</v>
      </c>
      <c r="N6015" s="2" t="s">
        <v>29073</v>
      </c>
      <c r="O6015" s="2" t="s">
        <v>869</v>
      </c>
      <c r="P6015" s="2" t="s">
        <v>870</v>
      </c>
    </row>
    <row r="6016" ht="15.75" customHeight="1">
      <c r="H6016" s="2" t="s">
        <v>29074</v>
      </c>
      <c r="I6016" s="2" t="s">
        <v>29075</v>
      </c>
      <c r="J6016" s="2" t="s">
        <v>29076</v>
      </c>
      <c r="K6016" s="2" t="s">
        <v>29077</v>
      </c>
      <c r="L6016" s="2" t="s">
        <v>28572</v>
      </c>
      <c r="M6016" s="2" t="s">
        <v>29078</v>
      </c>
      <c r="N6016" s="2" t="s">
        <v>29079</v>
      </c>
      <c r="O6016" s="2" t="s">
        <v>869</v>
      </c>
      <c r="P6016" s="2" t="s">
        <v>870</v>
      </c>
    </row>
    <row r="6017" ht="15.75" customHeight="1">
      <c r="H6017" s="2" t="s">
        <v>29080</v>
      </c>
      <c r="I6017" s="2" t="s">
        <v>29081</v>
      </c>
      <c r="J6017" s="2" t="s">
        <v>29082</v>
      </c>
      <c r="K6017" s="2" t="s">
        <v>29083</v>
      </c>
      <c r="L6017" s="2" t="s">
        <v>28572</v>
      </c>
      <c r="M6017" s="2" t="s">
        <v>29084</v>
      </c>
      <c r="N6017" s="2" t="s">
        <v>29085</v>
      </c>
      <c r="O6017" s="2" t="s">
        <v>869</v>
      </c>
      <c r="P6017" s="2" t="s">
        <v>870</v>
      </c>
    </row>
    <row r="6018" ht="15.75" customHeight="1">
      <c r="H6018" s="2" t="s">
        <v>29086</v>
      </c>
      <c r="I6018" s="2" t="s">
        <v>25697</v>
      </c>
      <c r="J6018" s="2" t="s">
        <v>25698</v>
      </c>
      <c r="K6018" s="2" t="s">
        <v>29087</v>
      </c>
      <c r="L6018" s="2" t="s">
        <v>28572</v>
      </c>
      <c r="M6018" s="2" t="s">
        <v>29088</v>
      </c>
      <c r="N6018" s="2" t="s">
        <v>29089</v>
      </c>
      <c r="O6018" s="2" t="s">
        <v>869</v>
      </c>
      <c r="P6018" s="2" t="s">
        <v>870</v>
      </c>
    </row>
    <row r="6019" ht="15.75" customHeight="1">
      <c r="H6019" s="2" t="s">
        <v>29090</v>
      </c>
      <c r="I6019" s="2" t="s">
        <v>257</v>
      </c>
      <c r="J6019" s="2" t="s">
        <v>258</v>
      </c>
      <c r="K6019" s="2" t="s">
        <v>29091</v>
      </c>
      <c r="L6019" s="2" t="s">
        <v>28572</v>
      </c>
      <c r="M6019" s="2" t="s">
        <v>29092</v>
      </c>
      <c r="N6019" s="2" t="s">
        <v>29093</v>
      </c>
      <c r="O6019" s="2" t="s">
        <v>869</v>
      </c>
      <c r="P6019" s="2" t="s">
        <v>870</v>
      </c>
    </row>
    <row r="6020" ht="15.75" customHeight="1">
      <c r="H6020" s="2" t="s">
        <v>29094</v>
      </c>
      <c r="I6020" s="2" t="s">
        <v>1848</v>
      </c>
      <c r="J6020" s="2" t="s">
        <v>1849</v>
      </c>
      <c r="K6020" s="2" t="s">
        <v>29095</v>
      </c>
      <c r="L6020" s="2" t="s">
        <v>28572</v>
      </c>
      <c r="M6020" s="2" t="s">
        <v>29096</v>
      </c>
      <c r="N6020" s="2" t="s">
        <v>29097</v>
      </c>
      <c r="O6020" s="2" t="s">
        <v>869</v>
      </c>
      <c r="P6020" s="2" t="s">
        <v>870</v>
      </c>
    </row>
    <row r="6021" ht="15.75" customHeight="1">
      <c r="H6021" s="2" t="s">
        <v>29098</v>
      </c>
      <c r="I6021" s="2" t="s">
        <v>19081</v>
      </c>
      <c r="J6021" s="2" t="s">
        <v>19082</v>
      </c>
      <c r="K6021" s="2" t="s">
        <v>29099</v>
      </c>
      <c r="L6021" s="2" t="s">
        <v>28572</v>
      </c>
      <c r="M6021" s="2" t="s">
        <v>29100</v>
      </c>
      <c r="N6021" s="2" t="s">
        <v>29101</v>
      </c>
      <c r="O6021" s="2" t="s">
        <v>869</v>
      </c>
      <c r="P6021" s="2" t="s">
        <v>870</v>
      </c>
    </row>
    <row r="6022" ht="15.75" customHeight="1">
      <c r="H6022" s="2" t="s">
        <v>29102</v>
      </c>
      <c r="I6022" s="2" t="s">
        <v>29103</v>
      </c>
      <c r="J6022" s="2" t="s">
        <v>29104</v>
      </c>
      <c r="K6022" s="2" t="s">
        <v>29105</v>
      </c>
      <c r="L6022" s="2" t="s">
        <v>28572</v>
      </c>
      <c r="M6022" s="2" t="s">
        <v>29106</v>
      </c>
      <c r="N6022" s="2" t="s">
        <v>29107</v>
      </c>
      <c r="O6022" s="2" t="s">
        <v>869</v>
      </c>
      <c r="P6022" s="2" t="s">
        <v>870</v>
      </c>
    </row>
    <row r="6023" ht="15.75" customHeight="1">
      <c r="F6023" s="2" t="s">
        <v>1854</v>
      </c>
      <c r="H6023" s="2" t="s">
        <v>29108</v>
      </c>
      <c r="I6023" s="2" t="s">
        <v>1856</v>
      </c>
      <c r="J6023" s="2" t="s">
        <v>1857</v>
      </c>
      <c r="K6023" s="2" t="s">
        <v>29109</v>
      </c>
      <c r="L6023" s="2" t="s">
        <v>28572</v>
      </c>
      <c r="M6023" s="2" t="s">
        <v>29110</v>
      </c>
      <c r="N6023" s="2" t="s">
        <v>29111</v>
      </c>
      <c r="O6023" s="2" t="s">
        <v>869</v>
      </c>
      <c r="P6023" s="2" t="s">
        <v>870</v>
      </c>
    </row>
    <row r="6024" ht="15.75" customHeight="1">
      <c r="H6024" s="2" t="s">
        <v>29112</v>
      </c>
      <c r="I6024" s="2" t="s">
        <v>1871</v>
      </c>
      <c r="J6024" s="2" t="s">
        <v>1872</v>
      </c>
      <c r="K6024" s="2" t="s">
        <v>29113</v>
      </c>
      <c r="L6024" s="2" t="s">
        <v>28572</v>
      </c>
      <c r="M6024" s="2" t="s">
        <v>29114</v>
      </c>
      <c r="N6024" s="2" t="s">
        <v>29115</v>
      </c>
      <c r="O6024" s="2" t="s">
        <v>869</v>
      </c>
      <c r="P6024" s="2" t="s">
        <v>870</v>
      </c>
    </row>
    <row r="6025" ht="15.75" customHeight="1">
      <c r="H6025" s="2" t="s">
        <v>29116</v>
      </c>
      <c r="I6025" s="2" t="s">
        <v>7288</v>
      </c>
      <c r="J6025" s="2" t="s">
        <v>7289</v>
      </c>
      <c r="K6025" s="2" t="s">
        <v>29117</v>
      </c>
      <c r="L6025" s="2" t="s">
        <v>28572</v>
      </c>
      <c r="M6025" s="2" t="s">
        <v>7291</v>
      </c>
      <c r="N6025" s="2" t="s">
        <v>869</v>
      </c>
      <c r="O6025" s="2" t="s">
        <v>870</v>
      </c>
    </row>
    <row r="6026" ht="15.75" customHeight="1">
      <c r="H6026" s="2" t="s">
        <v>29118</v>
      </c>
      <c r="I6026" s="2" t="s">
        <v>29119</v>
      </c>
      <c r="J6026" s="2" t="s">
        <v>29120</v>
      </c>
      <c r="K6026" s="2" t="s">
        <v>29121</v>
      </c>
      <c r="L6026" s="2" t="s">
        <v>28572</v>
      </c>
      <c r="M6026" s="2" t="s">
        <v>29122</v>
      </c>
      <c r="N6026" s="2" t="s">
        <v>29123</v>
      </c>
      <c r="O6026" s="2" t="s">
        <v>869</v>
      </c>
      <c r="P6026" s="2" t="s">
        <v>870</v>
      </c>
    </row>
    <row r="6027" ht="15.75" customHeight="1">
      <c r="F6027" s="2" t="s">
        <v>265</v>
      </c>
      <c r="H6027" s="2" t="s">
        <v>29124</v>
      </c>
      <c r="I6027" s="2" t="s">
        <v>7370</v>
      </c>
      <c r="J6027" s="2" t="s">
        <v>7371</v>
      </c>
      <c r="K6027" s="2" t="s">
        <v>29125</v>
      </c>
      <c r="L6027" s="2" t="s">
        <v>28572</v>
      </c>
      <c r="M6027" s="2" t="s">
        <v>29126</v>
      </c>
      <c r="N6027" s="2" t="s">
        <v>29127</v>
      </c>
      <c r="O6027" s="2" t="s">
        <v>869</v>
      </c>
      <c r="P6027" s="2" t="s">
        <v>870</v>
      </c>
    </row>
    <row r="6028" ht="15.75" customHeight="1">
      <c r="H6028" s="2" t="s">
        <v>29128</v>
      </c>
      <c r="I6028" s="2" t="s">
        <v>29129</v>
      </c>
      <c r="J6028" s="2" t="s">
        <v>29130</v>
      </c>
      <c r="K6028" s="2" t="s">
        <v>29131</v>
      </c>
      <c r="L6028" s="2" t="s">
        <v>28572</v>
      </c>
      <c r="M6028" s="2" t="s">
        <v>29132</v>
      </c>
      <c r="N6028" s="2" t="s">
        <v>869</v>
      </c>
      <c r="O6028" s="2" t="s">
        <v>870</v>
      </c>
    </row>
    <row r="6029" ht="15.75" customHeight="1">
      <c r="H6029" s="2" t="s">
        <v>29133</v>
      </c>
      <c r="I6029" s="2" t="s">
        <v>29134</v>
      </c>
      <c r="J6029" s="2" t="s">
        <v>29135</v>
      </c>
      <c r="K6029" s="2" t="s">
        <v>29136</v>
      </c>
      <c r="L6029" s="2" t="s">
        <v>28572</v>
      </c>
      <c r="M6029" s="2" t="s">
        <v>29137</v>
      </c>
      <c r="N6029" s="2" t="s">
        <v>29138</v>
      </c>
      <c r="O6029" s="2" t="s">
        <v>869</v>
      </c>
      <c r="P6029" s="2" t="s">
        <v>870</v>
      </c>
    </row>
    <row r="6030" ht="15.75" customHeight="1">
      <c r="H6030" s="2" t="s">
        <v>29139</v>
      </c>
      <c r="I6030" s="2" t="s">
        <v>29140</v>
      </c>
      <c r="J6030" s="2" t="s">
        <v>29141</v>
      </c>
      <c r="K6030" s="2" t="s">
        <v>29142</v>
      </c>
      <c r="L6030" s="2" t="s">
        <v>28572</v>
      </c>
      <c r="M6030" s="2" t="s">
        <v>29143</v>
      </c>
      <c r="N6030" s="2" t="s">
        <v>29144</v>
      </c>
      <c r="O6030" s="2" t="s">
        <v>869</v>
      </c>
      <c r="P6030" s="2" t="s">
        <v>870</v>
      </c>
    </row>
    <row r="6031" ht="15.75" customHeight="1">
      <c r="H6031" s="2" t="s">
        <v>29145</v>
      </c>
      <c r="I6031" s="2" t="s">
        <v>29146</v>
      </c>
      <c r="J6031" s="2" t="s">
        <v>29147</v>
      </c>
      <c r="K6031" s="2" t="s">
        <v>29148</v>
      </c>
      <c r="L6031" s="2" t="s">
        <v>28572</v>
      </c>
      <c r="M6031" s="2" t="s">
        <v>29149</v>
      </c>
      <c r="N6031" s="2" t="s">
        <v>29150</v>
      </c>
      <c r="O6031" s="2" t="s">
        <v>869</v>
      </c>
      <c r="P6031" s="2" t="s">
        <v>870</v>
      </c>
    </row>
    <row r="6032" ht="15.75" customHeight="1">
      <c r="H6032" s="2" t="s">
        <v>29151</v>
      </c>
      <c r="I6032" s="2" t="s">
        <v>29152</v>
      </c>
      <c r="J6032" s="2" t="s">
        <v>29153</v>
      </c>
      <c r="K6032" s="2" t="s">
        <v>29154</v>
      </c>
      <c r="L6032" s="2" t="s">
        <v>28572</v>
      </c>
      <c r="M6032" s="2" t="s">
        <v>29155</v>
      </c>
      <c r="N6032" s="2" t="s">
        <v>29156</v>
      </c>
      <c r="O6032" s="2" t="s">
        <v>869</v>
      </c>
      <c r="P6032" s="2" t="s">
        <v>870</v>
      </c>
    </row>
    <row r="6033" ht="15.75" customHeight="1">
      <c r="H6033" s="2" t="s">
        <v>29157</v>
      </c>
      <c r="I6033" s="2" t="s">
        <v>29158</v>
      </c>
      <c r="J6033" s="2" t="s">
        <v>29159</v>
      </c>
      <c r="K6033" s="2" t="s">
        <v>1325</v>
      </c>
    </row>
    <row r="6034" ht="15.75" customHeight="1">
      <c r="H6034" s="2" t="s">
        <v>29160</v>
      </c>
      <c r="I6034" s="2" t="s">
        <v>29161</v>
      </c>
      <c r="J6034" s="2" t="s">
        <v>29162</v>
      </c>
      <c r="K6034" s="2" t="s">
        <v>29163</v>
      </c>
      <c r="L6034" s="2" t="s">
        <v>28572</v>
      </c>
      <c r="M6034" s="2" t="s">
        <v>29164</v>
      </c>
      <c r="N6034" s="2" t="s">
        <v>29165</v>
      </c>
      <c r="O6034" s="2" t="s">
        <v>869</v>
      </c>
      <c r="P6034" s="2" t="s">
        <v>870</v>
      </c>
    </row>
    <row r="6035" ht="15.75" customHeight="1">
      <c r="H6035" s="2" t="s">
        <v>29166</v>
      </c>
      <c r="I6035" s="2" t="s">
        <v>4772</v>
      </c>
      <c r="J6035" s="2" t="s">
        <v>4773</v>
      </c>
      <c r="K6035" s="2" t="s">
        <v>29167</v>
      </c>
      <c r="L6035" s="2" t="s">
        <v>28572</v>
      </c>
      <c r="M6035" s="2" t="s">
        <v>29168</v>
      </c>
      <c r="N6035" s="2" t="s">
        <v>29169</v>
      </c>
      <c r="O6035" s="2" t="s">
        <v>869</v>
      </c>
      <c r="P6035" s="2" t="s">
        <v>870</v>
      </c>
    </row>
    <row r="6036" ht="15.75" customHeight="1">
      <c r="H6036" s="2" t="s">
        <v>29170</v>
      </c>
      <c r="I6036" s="2" t="s">
        <v>29171</v>
      </c>
      <c r="J6036" s="2" t="s">
        <v>29172</v>
      </c>
      <c r="K6036" s="2" t="s">
        <v>29173</v>
      </c>
      <c r="L6036" s="2" t="s">
        <v>28572</v>
      </c>
      <c r="M6036" s="2" t="s">
        <v>29174</v>
      </c>
      <c r="N6036" s="2" t="s">
        <v>29175</v>
      </c>
      <c r="O6036" s="2" t="s">
        <v>869</v>
      </c>
      <c r="P6036" s="2" t="s">
        <v>870</v>
      </c>
    </row>
    <row r="6037" ht="15.75" customHeight="1">
      <c r="H6037" s="2" t="s">
        <v>29176</v>
      </c>
      <c r="I6037" s="2" t="s">
        <v>29177</v>
      </c>
      <c r="J6037" s="2" t="s">
        <v>29178</v>
      </c>
      <c r="K6037" s="2" t="s">
        <v>29179</v>
      </c>
      <c r="L6037" s="2" t="s">
        <v>28572</v>
      </c>
      <c r="M6037" s="2" t="s">
        <v>29180</v>
      </c>
      <c r="N6037" s="2" t="s">
        <v>29181</v>
      </c>
      <c r="O6037" s="2" t="s">
        <v>869</v>
      </c>
      <c r="P6037" s="2" t="s">
        <v>870</v>
      </c>
    </row>
    <row r="6038" ht="15.75" customHeight="1">
      <c r="H6038" s="2" t="s">
        <v>29182</v>
      </c>
      <c r="I6038" s="2" t="s">
        <v>7570</v>
      </c>
      <c r="J6038" s="2" t="s">
        <v>7571</v>
      </c>
      <c r="K6038" s="2" t="s">
        <v>29183</v>
      </c>
      <c r="L6038" s="2" t="s">
        <v>28572</v>
      </c>
      <c r="M6038" s="2" t="s">
        <v>29184</v>
      </c>
      <c r="N6038" s="2" t="s">
        <v>29185</v>
      </c>
      <c r="O6038" s="2" t="s">
        <v>869</v>
      </c>
      <c r="P6038" s="2" t="s">
        <v>870</v>
      </c>
    </row>
    <row r="6039" ht="15.75" customHeight="1">
      <c r="H6039" s="2" t="s">
        <v>29186</v>
      </c>
      <c r="I6039" s="2" t="s">
        <v>29187</v>
      </c>
      <c r="J6039" s="2" t="s">
        <v>29188</v>
      </c>
      <c r="K6039" s="2" t="s">
        <v>29189</v>
      </c>
      <c r="L6039" s="2" t="s">
        <v>28572</v>
      </c>
      <c r="M6039" s="2" t="s">
        <v>7451</v>
      </c>
      <c r="N6039" s="2" t="s">
        <v>29190</v>
      </c>
      <c r="O6039" s="2" t="s">
        <v>869</v>
      </c>
      <c r="P6039" s="2" t="s">
        <v>870</v>
      </c>
    </row>
    <row r="6040" ht="15.75" customHeight="1">
      <c r="H6040" s="2" t="s">
        <v>29191</v>
      </c>
      <c r="I6040" s="2" t="s">
        <v>29192</v>
      </c>
      <c r="J6040" s="2" t="s">
        <v>29193</v>
      </c>
      <c r="K6040" s="2" t="s">
        <v>29194</v>
      </c>
      <c r="L6040" s="2" t="s">
        <v>28572</v>
      </c>
      <c r="M6040" s="2" t="s">
        <v>29195</v>
      </c>
      <c r="N6040" s="2" t="s">
        <v>29196</v>
      </c>
      <c r="O6040" s="2" t="s">
        <v>869</v>
      </c>
      <c r="P6040" s="2" t="s">
        <v>870</v>
      </c>
    </row>
    <row r="6041" ht="15.75" customHeight="1">
      <c r="H6041" s="2" t="s">
        <v>29197</v>
      </c>
      <c r="I6041" s="2" t="s">
        <v>2047</v>
      </c>
      <c r="J6041" s="2" t="s">
        <v>2048</v>
      </c>
      <c r="K6041" s="2" t="s">
        <v>29198</v>
      </c>
      <c r="L6041" s="2" t="s">
        <v>28572</v>
      </c>
      <c r="M6041" s="2" t="s">
        <v>29199</v>
      </c>
      <c r="N6041" s="2" t="s">
        <v>29200</v>
      </c>
      <c r="O6041" s="2" t="s">
        <v>869</v>
      </c>
      <c r="P6041" s="2" t="s">
        <v>870</v>
      </c>
    </row>
    <row r="6042" ht="15.75" customHeight="1">
      <c r="F6042" s="2" t="s">
        <v>274</v>
      </c>
      <c r="H6042" s="2" t="s">
        <v>29201</v>
      </c>
      <c r="I6042" s="2" t="s">
        <v>29202</v>
      </c>
      <c r="J6042" s="2" t="s">
        <v>29202</v>
      </c>
      <c r="K6042" s="2" t="s">
        <v>947</v>
      </c>
    </row>
    <row r="6043" ht="15.75" customHeight="1">
      <c r="H6043" s="2" t="s">
        <v>29203</v>
      </c>
      <c r="I6043" s="2" t="s">
        <v>7653</v>
      </c>
      <c r="J6043" s="2" t="s">
        <v>7653</v>
      </c>
      <c r="K6043" s="2" t="s">
        <v>1061</v>
      </c>
    </row>
    <row r="6044" ht="15.75" customHeight="1">
      <c r="H6044" s="2" t="s">
        <v>29204</v>
      </c>
      <c r="I6044" s="2" t="s">
        <v>15315</v>
      </c>
      <c r="J6044" s="2" t="s">
        <v>15316</v>
      </c>
      <c r="K6044" s="2" t="s">
        <v>1362</v>
      </c>
    </row>
    <row r="6045" ht="15.75" customHeight="1">
      <c r="H6045" s="2" t="s">
        <v>29205</v>
      </c>
      <c r="I6045" s="2" t="s">
        <v>7661</v>
      </c>
      <c r="J6045" s="2" t="s">
        <v>7661</v>
      </c>
      <c r="K6045" s="2" t="s">
        <v>1288</v>
      </c>
    </row>
    <row r="6046" ht="15.75" customHeight="1">
      <c r="H6046" s="2" t="s">
        <v>29206</v>
      </c>
      <c r="I6046" s="2" t="s">
        <v>7683</v>
      </c>
      <c r="J6046" s="2" t="s">
        <v>7683</v>
      </c>
      <c r="K6046" s="2" t="s">
        <v>896</v>
      </c>
    </row>
    <row r="6047" ht="15.75" customHeight="1">
      <c r="H6047" s="2" t="s">
        <v>29207</v>
      </c>
      <c r="I6047" s="2" t="s">
        <v>29208</v>
      </c>
      <c r="J6047" s="2" t="s">
        <v>29209</v>
      </c>
      <c r="K6047" s="2" t="s">
        <v>1136</v>
      </c>
    </row>
    <row r="6048" ht="15.75" customHeight="1">
      <c r="F6048" s="2" t="s">
        <v>284</v>
      </c>
      <c r="H6048" s="2" t="s">
        <v>29210</v>
      </c>
      <c r="I6048" s="2" t="s">
        <v>6982</v>
      </c>
      <c r="J6048" s="2" t="s">
        <v>6983</v>
      </c>
      <c r="K6048" s="2" t="s">
        <v>29211</v>
      </c>
      <c r="L6048" s="2" t="s">
        <v>28572</v>
      </c>
      <c r="M6048" s="2" t="s">
        <v>29212</v>
      </c>
      <c r="N6048" s="2" t="s">
        <v>29213</v>
      </c>
      <c r="O6048" s="2" t="s">
        <v>869</v>
      </c>
      <c r="P6048" s="2" t="s">
        <v>870</v>
      </c>
    </row>
    <row r="6049" ht="15.75" customHeight="1">
      <c r="H6049" s="2" t="s">
        <v>29214</v>
      </c>
      <c r="I6049" s="2" t="s">
        <v>294</v>
      </c>
      <c r="J6049" s="2" t="s">
        <v>295</v>
      </c>
      <c r="K6049" s="2" t="s">
        <v>29215</v>
      </c>
      <c r="L6049" s="2" t="s">
        <v>28572</v>
      </c>
      <c r="M6049" s="2" t="s">
        <v>29216</v>
      </c>
      <c r="N6049" s="2" t="s">
        <v>29217</v>
      </c>
      <c r="O6049" s="2" t="s">
        <v>869</v>
      </c>
      <c r="P6049" s="2" t="s">
        <v>870</v>
      </c>
    </row>
    <row r="6050" ht="15.75" customHeight="1">
      <c r="H6050" s="2" t="s">
        <v>29218</v>
      </c>
      <c r="I6050" s="2" t="s">
        <v>2103</v>
      </c>
      <c r="J6050" s="2" t="s">
        <v>2104</v>
      </c>
      <c r="K6050" s="2" t="s">
        <v>29219</v>
      </c>
      <c r="L6050" s="2" t="s">
        <v>28572</v>
      </c>
      <c r="M6050" s="2" t="s">
        <v>29220</v>
      </c>
      <c r="N6050" s="2" t="s">
        <v>29221</v>
      </c>
      <c r="O6050" s="2" t="s">
        <v>869</v>
      </c>
      <c r="P6050" s="2" t="s">
        <v>870</v>
      </c>
    </row>
    <row r="6051" ht="15.75" customHeight="1">
      <c r="H6051" s="2" t="s">
        <v>29222</v>
      </c>
      <c r="I6051" s="2" t="s">
        <v>19361</v>
      </c>
      <c r="J6051" s="2" t="s">
        <v>19362</v>
      </c>
      <c r="K6051" s="2" t="s">
        <v>29223</v>
      </c>
      <c r="L6051" s="2" t="s">
        <v>28572</v>
      </c>
      <c r="M6051" s="2" t="s">
        <v>29224</v>
      </c>
      <c r="N6051" s="2" t="s">
        <v>29225</v>
      </c>
      <c r="O6051" s="2" t="s">
        <v>869</v>
      </c>
      <c r="P6051" s="2" t="s">
        <v>870</v>
      </c>
    </row>
    <row r="6052" ht="15.75" customHeight="1">
      <c r="H6052" s="2" t="s">
        <v>29226</v>
      </c>
      <c r="I6052" s="2" t="s">
        <v>1000</v>
      </c>
      <c r="J6052" s="2" t="s">
        <v>1001</v>
      </c>
      <c r="K6052" s="2" t="s">
        <v>29227</v>
      </c>
      <c r="L6052" s="2" t="s">
        <v>28572</v>
      </c>
      <c r="M6052" s="2" t="s">
        <v>29228</v>
      </c>
      <c r="N6052" s="2" t="s">
        <v>29229</v>
      </c>
      <c r="O6052" s="2" t="s">
        <v>869</v>
      </c>
      <c r="P6052" s="2" t="s">
        <v>870</v>
      </c>
    </row>
    <row r="6053" ht="15.75" customHeight="1">
      <c r="H6053" s="2" t="s">
        <v>29230</v>
      </c>
      <c r="I6053" s="2" t="s">
        <v>29231</v>
      </c>
      <c r="J6053" s="2" t="s">
        <v>29232</v>
      </c>
      <c r="K6053" s="2" t="s">
        <v>29233</v>
      </c>
      <c r="L6053" s="2" t="s">
        <v>28572</v>
      </c>
      <c r="M6053" s="2" t="s">
        <v>29234</v>
      </c>
      <c r="N6053" s="2" t="s">
        <v>29235</v>
      </c>
      <c r="O6053" s="2" t="s">
        <v>869</v>
      </c>
      <c r="P6053" s="2" t="s">
        <v>870</v>
      </c>
    </row>
    <row r="6054" ht="15.75" customHeight="1">
      <c r="H6054" s="2" t="s">
        <v>29236</v>
      </c>
      <c r="I6054" s="2" t="s">
        <v>11975</v>
      </c>
      <c r="J6054" s="2" t="s">
        <v>11976</v>
      </c>
      <c r="K6054" s="2" t="s">
        <v>29237</v>
      </c>
      <c r="L6054" s="2" t="s">
        <v>28572</v>
      </c>
      <c r="M6054" s="2" t="s">
        <v>29238</v>
      </c>
      <c r="N6054" s="2" t="s">
        <v>29239</v>
      </c>
      <c r="O6054" s="2" t="s">
        <v>869</v>
      </c>
      <c r="P6054" s="2" t="s">
        <v>870</v>
      </c>
    </row>
    <row r="6055" ht="15.75" customHeight="1">
      <c r="H6055" s="2" t="s">
        <v>29240</v>
      </c>
      <c r="I6055" s="2" t="s">
        <v>29241</v>
      </c>
      <c r="J6055" s="2" t="s">
        <v>29242</v>
      </c>
      <c r="K6055" s="2" t="s">
        <v>29243</v>
      </c>
      <c r="L6055" s="2" t="s">
        <v>28572</v>
      </c>
      <c r="M6055" s="2" t="s">
        <v>29244</v>
      </c>
      <c r="N6055" s="2" t="s">
        <v>29245</v>
      </c>
      <c r="O6055" s="2" t="s">
        <v>869</v>
      </c>
      <c r="P6055" s="2" t="s">
        <v>870</v>
      </c>
    </row>
    <row r="6056" ht="15.75" customHeight="1">
      <c r="H6056" s="2" t="s">
        <v>29246</v>
      </c>
      <c r="I6056" s="2" t="s">
        <v>2152</v>
      </c>
      <c r="J6056" s="2" t="s">
        <v>2153</v>
      </c>
      <c r="K6056" s="2" t="s">
        <v>29247</v>
      </c>
      <c r="L6056" s="2" t="s">
        <v>28572</v>
      </c>
      <c r="M6056" s="2" t="s">
        <v>29248</v>
      </c>
      <c r="N6056" s="2" t="s">
        <v>29249</v>
      </c>
      <c r="O6056" s="2" t="s">
        <v>869</v>
      </c>
      <c r="P6056" s="2" t="s">
        <v>870</v>
      </c>
    </row>
    <row r="6057" ht="15.75" customHeight="1">
      <c r="H6057" s="2" t="s">
        <v>29250</v>
      </c>
      <c r="I6057" s="2" t="s">
        <v>310</v>
      </c>
      <c r="J6057" s="2" t="s">
        <v>311</v>
      </c>
      <c r="K6057" s="2" t="s">
        <v>29251</v>
      </c>
      <c r="L6057" s="2" t="s">
        <v>28572</v>
      </c>
      <c r="M6057" s="2" t="s">
        <v>29252</v>
      </c>
      <c r="N6057" s="2" t="s">
        <v>869</v>
      </c>
      <c r="O6057" s="2" t="s">
        <v>870</v>
      </c>
    </row>
    <row r="6058" ht="15.75" customHeight="1">
      <c r="H6058" s="2" t="s">
        <v>29253</v>
      </c>
      <c r="I6058" s="2" t="s">
        <v>29254</v>
      </c>
      <c r="J6058" s="2" t="s">
        <v>29255</v>
      </c>
      <c r="K6058" s="2" t="s">
        <v>29256</v>
      </c>
      <c r="L6058" s="2" t="s">
        <v>28572</v>
      </c>
      <c r="M6058" s="2" t="s">
        <v>29257</v>
      </c>
      <c r="N6058" s="2" t="s">
        <v>29258</v>
      </c>
      <c r="O6058" s="2" t="s">
        <v>869</v>
      </c>
      <c r="P6058" s="2" t="s">
        <v>870</v>
      </c>
    </row>
    <row r="6059" ht="15.75" customHeight="1">
      <c r="H6059" s="2" t="s">
        <v>29259</v>
      </c>
      <c r="I6059" s="2" t="s">
        <v>16957</v>
      </c>
      <c r="J6059" s="2" t="s">
        <v>16958</v>
      </c>
      <c r="K6059" s="2" t="s">
        <v>29260</v>
      </c>
      <c r="L6059" s="2" t="s">
        <v>28572</v>
      </c>
      <c r="M6059" s="2" t="s">
        <v>29261</v>
      </c>
      <c r="N6059" s="2" t="s">
        <v>29262</v>
      </c>
      <c r="O6059" s="2" t="s">
        <v>869</v>
      </c>
      <c r="P6059" s="2" t="s">
        <v>870</v>
      </c>
    </row>
    <row r="6060" ht="15.75" customHeight="1">
      <c r="H6060" s="2" t="s">
        <v>29263</v>
      </c>
      <c r="I6060" s="2" t="s">
        <v>2195</v>
      </c>
      <c r="J6060" s="2" t="s">
        <v>2196</v>
      </c>
      <c r="K6060" s="2" t="s">
        <v>29264</v>
      </c>
      <c r="L6060" s="2" t="s">
        <v>29265</v>
      </c>
      <c r="M6060" s="2" t="s">
        <v>29266</v>
      </c>
      <c r="N6060" s="2" t="s">
        <v>29267</v>
      </c>
      <c r="O6060" s="2" t="s">
        <v>869</v>
      </c>
      <c r="P6060" s="2" t="s">
        <v>870</v>
      </c>
    </row>
    <row r="6061" ht="15.75" customHeight="1">
      <c r="H6061" s="2" t="s">
        <v>29268</v>
      </c>
      <c r="I6061" s="2" t="s">
        <v>29269</v>
      </c>
      <c r="J6061" s="2" t="s">
        <v>29270</v>
      </c>
      <c r="K6061" s="2" t="s">
        <v>29271</v>
      </c>
      <c r="L6061" s="2" t="s">
        <v>28572</v>
      </c>
      <c r="M6061" s="2" t="s">
        <v>29272</v>
      </c>
      <c r="N6061" s="2" t="s">
        <v>29273</v>
      </c>
      <c r="O6061" s="2" t="s">
        <v>869</v>
      </c>
      <c r="P6061" s="2" t="s">
        <v>870</v>
      </c>
    </row>
    <row r="6062" ht="15.75" customHeight="1">
      <c r="H6062" s="2" t="s">
        <v>29274</v>
      </c>
      <c r="I6062" s="2" t="s">
        <v>16976</v>
      </c>
      <c r="J6062" s="2" t="s">
        <v>16977</v>
      </c>
      <c r="K6062" s="2" t="s">
        <v>29275</v>
      </c>
      <c r="L6062" s="2" t="s">
        <v>28572</v>
      </c>
      <c r="M6062" s="2" t="s">
        <v>29276</v>
      </c>
      <c r="N6062" s="2" t="s">
        <v>29277</v>
      </c>
      <c r="O6062" s="2" t="s">
        <v>869</v>
      </c>
      <c r="P6062" s="2" t="s">
        <v>870</v>
      </c>
    </row>
    <row r="6063" ht="15.75" customHeight="1">
      <c r="H6063" s="2" t="s">
        <v>29278</v>
      </c>
      <c r="I6063" s="2" t="s">
        <v>326</v>
      </c>
      <c r="J6063" s="2" t="s">
        <v>327</v>
      </c>
      <c r="K6063" s="2" t="s">
        <v>29279</v>
      </c>
      <c r="L6063" s="2" t="s">
        <v>28572</v>
      </c>
      <c r="M6063" s="2" t="s">
        <v>29280</v>
      </c>
      <c r="N6063" s="2" t="s">
        <v>29281</v>
      </c>
      <c r="O6063" s="2" t="s">
        <v>869</v>
      </c>
      <c r="P6063" s="2" t="s">
        <v>870</v>
      </c>
    </row>
    <row r="6064" ht="15.75" customHeight="1">
      <c r="H6064" s="2" t="s">
        <v>29282</v>
      </c>
      <c r="I6064" s="2" t="s">
        <v>2216</v>
      </c>
      <c r="J6064" s="2" t="s">
        <v>2217</v>
      </c>
      <c r="K6064" s="2" t="s">
        <v>29283</v>
      </c>
      <c r="L6064" s="2" t="s">
        <v>28572</v>
      </c>
      <c r="M6064" s="2" t="s">
        <v>29284</v>
      </c>
      <c r="N6064" s="2" t="s">
        <v>29285</v>
      </c>
      <c r="O6064" s="2" t="s">
        <v>869</v>
      </c>
      <c r="P6064" s="2" t="s">
        <v>870</v>
      </c>
    </row>
    <row r="6065" ht="15.75" customHeight="1">
      <c r="H6065" s="2" t="s">
        <v>29286</v>
      </c>
      <c r="I6065" s="2" t="s">
        <v>5431</v>
      </c>
      <c r="J6065" s="2" t="s">
        <v>5432</v>
      </c>
      <c r="K6065" s="2" t="s">
        <v>29287</v>
      </c>
      <c r="L6065" s="2" t="s">
        <v>28572</v>
      </c>
      <c r="M6065" s="2" t="s">
        <v>29288</v>
      </c>
      <c r="N6065" s="2" t="s">
        <v>29289</v>
      </c>
      <c r="O6065" s="2" t="s">
        <v>869</v>
      </c>
      <c r="P6065" s="2" t="s">
        <v>870</v>
      </c>
    </row>
    <row r="6066" ht="15.75" customHeight="1">
      <c r="H6066" s="2" t="s">
        <v>29290</v>
      </c>
      <c r="I6066" s="2" t="s">
        <v>17003</v>
      </c>
      <c r="J6066" s="2" t="s">
        <v>17004</v>
      </c>
      <c r="K6066" s="2" t="s">
        <v>2514</v>
      </c>
      <c r="L6066" s="2" t="s">
        <v>28572</v>
      </c>
      <c r="M6066" s="2" t="s">
        <v>29291</v>
      </c>
      <c r="N6066" s="2" t="s">
        <v>29292</v>
      </c>
      <c r="O6066" s="2" t="s">
        <v>869</v>
      </c>
      <c r="P6066" s="2" t="s">
        <v>870</v>
      </c>
    </row>
    <row r="6067" ht="15.75" customHeight="1">
      <c r="H6067" s="2" t="s">
        <v>29293</v>
      </c>
      <c r="I6067" s="2" t="s">
        <v>335</v>
      </c>
      <c r="J6067" s="2" t="s">
        <v>336</v>
      </c>
      <c r="K6067" s="2" t="s">
        <v>29294</v>
      </c>
      <c r="L6067" s="2" t="s">
        <v>28572</v>
      </c>
      <c r="M6067" s="2" t="s">
        <v>29295</v>
      </c>
      <c r="N6067" s="2" t="s">
        <v>29296</v>
      </c>
      <c r="O6067" s="2" t="s">
        <v>869</v>
      </c>
      <c r="P6067" s="2" t="s">
        <v>870</v>
      </c>
    </row>
    <row r="6068" ht="15.75" customHeight="1">
      <c r="H6068" s="2" t="s">
        <v>29297</v>
      </c>
      <c r="I6068" s="2" t="s">
        <v>29298</v>
      </c>
      <c r="J6068" s="2" t="s">
        <v>29299</v>
      </c>
      <c r="K6068" s="2" t="s">
        <v>29300</v>
      </c>
      <c r="L6068" s="2" t="s">
        <v>28572</v>
      </c>
      <c r="M6068" s="2" t="s">
        <v>29301</v>
      </c>
      <c r="N6068" s="2" t="s">
        <v>29302</v>
      </c>
      <c r="O6068" s="2" t="s">
        <v>869</v>
      </c>
      <c r="P6068" s="2" t="s">
        <v>870</v>
      </c>
    </row>
    <row r="6069" ht="15.75" customHeight="1">
      <c r="H6069" s="2" t="s">
        <v>29303</v>
      </c>
      <c r="I6069" s="2" t="s">
        <v>19490</v>
      </c>
      <c r="J6069" s="2" t="s">
        <v>19491</v>
      </c>
      <c r="K6069" s="2" t="s">
        <v>29304</v>
      </c>
      <c r="L6069" s="2" t="s">
        <v>28572</v>
      </c>
      <c r="M6069" s="2" t="s">
        <v>29305</v>
      </c>
      <c r="N6069" s="2" t="s">
        <v>29306</v>
      </c>
      <c r="O6069" s="2" t="s">
        <v>869</v>
      </c>
      <c r="P6069" s="2" t="s">
        <v>870</v>
      </c>
    </row>
    <row r="6070" ht="15.75" customHeight="1">
      <c r="H6070" s="2" t="s">
        <v>29307</v>
      </c>
      <c r="I6070" s="2" t="s">
        <v>25967</v>
      </c>
      <c r="J6070" s="2" t="s">
        <v>25968</v>
      </c>
      <c r="K6070" s="2" t="s">
        <v>29308</v>
      </c>
      <c r="L6070" s="2" t="s">
        <v>29309</v>
      </c>
      <c r="M6070" s="2" t="s">
        <v>29310</v>
      </c>
      <c r="N6070" s="2" t="s">
        <v>29311</v>
      </c>
      <c r="O6070" s="2" t="s">
        <v>869</v>
      </c>
      <c r="P6070" s="2" t="s">
        <v>870</v>
      </c>
    </row>
    <row r="6071" ht="15.75" customHeight="1">
      <c r="H6071" s="2" t="s">
        <v>29312</v>
      </c>
      <c r="I6071" s="2" t="s">
        <v>19519</v>
      </c>
      <c r="J6071" s="2" t="s">
        <v>19520</v>
      </c>
      <c r="K6071" s="2" t="s">
        <v>29313</v>
      </c>
      <c r="L6071" s="2" t="s">
        <v>28572</v>
      </c>
      <c r="M6071" s="2" t="s">
        <v>29314</v>
      </c>
      <c r="N6071" s="2" t="s">
        <v>29315</v>
      </c>
      <c r="O6071" s="2" t="s">
        <v>869</v>
      </c>
      <c r="P6071" s="2" t="s">
        <v>870</v>
      </c>
    </row>
    <row r="6072" ht="15.75" customHeight="1">
      <c r="H6072" s="2" t="s">
        <v>29316</v>
      </c>
      <c r="I6072" s="2" t="s">
        <v>29317</v>
      </c>
      <c r="J6072" s="2" t="s">
        <v>29318</v>
      </c>
      <c r="K6072" s="2" t="s">
        <v>29319</v>
      </c>
      <c r="L6072" s="2" t="s">
        <v>28572</v>
      </c>
      <c r="M6072" s="2" t="s">
        <v>29320</v>
      </c>
      <c r="N6072" s="2" t="s">
        <v>29321</v>
      </c>
      <c r="O6072" s="2" t="s">
        <v>869</v>
      </c>
      <c r="P6072" s="2" t="s">
        <v>870</v>
      </c>
    </row>
    <row r="6073" ht="15.75" customHeight="1">
      <c r="H6073" s="2" t="s">
        <v>29322</v>
      </c>
      <c r="I6073" s="2" t="s">
        <v>13300</v>
      </c>
      <c r="J6073" s="2" t="s">
        <v>13301</v>
      </c>
      <c r="K6073" s="2" t="s">
        <v>29323</v>
      </c>
      <c r="L6073" s="2" t="s">
        <v>29324</v>
      </c>
      <c r="M6073" s="2" t="s">
        <v>29325</v>
      </c>
      <c r="N6073" s="2" t="s">
        <v>869</v>
      </c>
      <c r="O6073" s="2" t="s">
        <v>870</v>
      </c>
    </row>
    <row r="6074" ht="15.75" customHeight="1">
      <c r="H6074" s="2" t="s">
        <v>29326</v>
      </c>
      <c r="I6074" s="2" t="s">
        <v>29327</v>
      </c>
      <c r="J6074" s="2" t="s">
        <v>29328</v>
      </c>
      <c r="K6074" s="2" t="s">
        <v>29329</v>
      </c>
      <c r="L6074" s="2" t="s">
        <v>28572</v>
      </c>
      <c r="M6074" s="2" t="s">
        <v>29330</v>
      </c>
      <c r="N6074" s="2" t="s">
        <v>29331</v>
      </c>
      <c r="O6074" s="2" t="s">
        <v>869</v>
      </c>
      <c r="P6074" s="2" t="s">
        <v>870</v>
      </c>
    </row>
    <row r="6075" ht="15.75" customHeight="1">
      <c r="H6075" s="2" t="s">
        <v>29332</v>
      </c>
      <c r="I6075" s="2" t="s">
        <v>424</v>
      </c>
      <c r="J6075" s="2" t="s">
        <v>425</v>
      </c>
      <c r="K6075" s="2" t="s">
        <v>29333</v>
      </c>
      <c r="L6075" s="2" t="s">
        <v>28572</v>
      </c>
      <c r="M6075" s="2" t="s">
        <v>29334</v>
      </c>
      <c r="N6075" s="2" t="s">
        <v>29335</v>
      </c>
      <c r="O6075" s="2" t="s">
        <v>869</v>
      </c>
      <c r="P6075" s="2" t="s">
        <v>870</v>
      </c>
    </row>
    <row r="6076" ht="15.75" customHeight="1">
      <c r="H6076" s="2" t="s">
        <v>29336</v>
      </c>
      <c r="I6076" s="2" t="s">
        <v>432</v>
      </c>
      <c r="J6076" s="2" t="s">
        <v>433</v>
      </c>
      <c r="K6076" s="2" t="s">
        <v>29337</v>
      </c>
      <c r="L6076" s="2" t="s">
        <v>28572</v>
      </c>
      <c r="M6076" s="2" t="s">
        <v>29338</v>
      </c>
      <c r="N6076" s="2" t="s">
        <v>29339</v>
      </c>
      <c r="O6076" s="2" t="s">
        <v>869</v>
      </c>
      <c r="P6076" s="2" t="s">
        <v>870</v>
      </c>
    </row>
    <row r="6077" ht="15.75" customHeight="1">
      <c r="H6077" s="2" t="s">
        <v>29340</v>
      </c>
      <c r="I6077" s="2" t="s">
        <v>19554</v>
      </c>
      <c r="J6077" s="2" t="s">
        <v>19555</v>
      </c>
      <c r="K6077" s="2" t="s">
        <v>29341</v>
      </c>
      <c r="L6077" s="2" t="s">
        <v>29342</v>
      </c>
      <c r="M6077" s="2" t="s">
        <v>29343</v>
      </c>
      <c r="N6077" s="2" t="s">
        <v>29344</v>
      </c>
      <c r="O6077" s="2" t="s">
        <v>869</v>
      </c>
      <c r="P6077" s="2" t="s">
        <v>870</v>
      </c>
    </row>
    <row r="6078" ht="15.75" customHeight="1">
      <c r="H6078" s="2" t="s">
        <v>29345</v>
      </c>
      <c r="I6078" s="2" t="s">
        <v>12278</v>
      </c>
      <c r="J6078" s="2" t="s">
        <v>12279</v>
      </c>
      <c r="K6078" s="2" t="s">
        <v>29346</v>
      </c>
      <c r="L6078" s="2" t="s">
        <v>28572</v>
      </c>
      <c r="M6078" s="2" t="s">
        <v>29347</v>
      </c>
      <c r="N6078" s="2" t="s">
        <v>29348</v>
      </c>
      <c r="O6078" s="2" t="s">
        <v>869</v>
      </c>
      <c r="P6078" s="2" t="s">
        <v>870</v>
      </c>
    </row>
    <row r="6079" ht="15.75" customHeight="1">
      <c r="H6079" s="2" t="s">
        <v>29349</v>
      </c>
      <c r="I6079" s="2" t="s">
        <v>440</v>
      </c>
      <c r="J6079" s="2" t="s">
        <v>441</v>
      </c>
      <c r="K6079" s="2" t="s">
        <v>29350</v>
      </c>
      <c r="L6079" s="2" t="s">
        <v>28572</v>
      </c>
      <c r="M6079" s="2" t="s">
        <v>29351</v>
      </c>
      <c r="N6079" s="2" t="s">
        <v>29352</v>
      </c>
      <c r="O6079" s="2" t="s">
        <v>869</v>
      </c>
      <c r="P6079" s="2" t="s">
        <v>870</v>
      </c>
    </row>
    <row r="6080" ht="15.75" customHeight="1">
      <c r="H6080" s="2" t="s">
        <v>29353</v>
      </c>
      <c r="I6080" s="2" t="s">
        <v>2298</v>
      </c>
      <c r="J6080" s="2" t="s">
        <v>2299</v>
      </c>
      <c r="K6080" s="2" t="s">
        <v>29354</v>
      </c>
      <c r="L6080" s="2" t="s">
        <v>28572</v>
      </c>
      <c r="M6080" s="2" t="s">
        <v>29355</v>
      </c>
      <c r="N6080" s="2" t="s">
        <v>29356</v>
      </c>
      <c r="O6080" s="2" t="s">
        <v>869</v>
      </c>
      <c r="P6080" s="2" t="s">
        <v>870</v>
      </c>
    </row>
    <row r="6081" ht="15.75" customHeight="1">
      <c r="H6081" s="2" t="s">
        <v>29357</v>
      </c>
      <c r="I6081" s="2" t="s">
        <v>29358</v>
      </c>
      <c r="J6081" s="2" t="s">
        <v>29359</v>
      </c>
      <c r="K6081" s="2" t="s">
        <v>29360</v>
      </c>
      <c r="L6081" s="2" t="s">
        <v>28572</v>
      </c>
      <c r="M6081" s="2" t="s">
        <v>29361</v>
      </c>
      <c r="N6081" s="2" t="s">
        <v>29362</v>
      </c>
      <c r="O6081" s="2" t="s">
        <v>869</v>
      </c>
      <c r="P6081" s="2" t="s">
        <v>870</v>
      </c>
    </row>
    <row r="6082" ht="15.75" customHeight="1">
      <c r="H6082" s="2" t="s">
        <v>29363</v>
      </c>
      <c r="I6082" s="2" t="s">
        <v>29364</v>
      </c>
      <c r="J6082" s="2" t="s">
        <v>29365</v>
      </c>
      <c r="K6082" s="2" t="s">
        <v>29366</v>
      </c>
      <c r="L6082" s="2" t="s">
        <v>28572</v>
      </c>
      <c r="M6082" s="2" t="s">
        <v>29367</v>
      </c>
      <c r="N6082" s="2" t="s">
        <v>29368</v>
      </c>
      <c r="O6082" s="2" t="s">
        <v>869</v>
      </c>
      <c r="P6082" s="2" t="s">
        <v>870</v>
      </c>
    </row>
    <row r="6083" ht="15.75" customHeight="1">
      <c r="H6083" s="2" t="s">
        <v>29369</v>
      </c>
      <c r="I6083" s="2" t="s">
        <v>449</v>
      </c>
      <c r="J6083" s="2" t="s">
        <v>450</v>
      </c>
      <c r="K6083" s="2" t="s">
        <v>29370</v>
      </c>
      <c r="L6083" s="2" t="s">
        <v>29371</v>
      </c>
      <c r="M6083" s="2" t="s">
        <v>29372</v>
      </c>
      <c r="N6083" s="2" t="s">
        <v>29373</v>
      </c>
      <c r="O6083" s="2" t="s">
        <v>869</v>
      </c>
      <c r="P6083" s="2" t="s">
        <v>870</v>
      </c>
    </row>
    <row r="6084" ht="15.75" customHeight="1">
      <c r="H6084" s="2" t="s">
        <v>29374</v>
      </c>
      <c r="I6084" s="2" t="s">
        <v>19584</v>
      </c>
      <c r="J6084" s="2" t="s">
        <v>19585</v>
      </c>
      <c r="K6084" s="2" t="s">
        <v>29375</v>
      </c>
      <c r="L6084" s="2" t="s">
        <v>28572</v>
      </c>
      <c r="M6084" s="2" t="s">
        <v>29376</v>
      </c>
      <c r="N6084" s="2" t="s">
        <v>29377</v>
      </c>
      <c r="O6084" s="2" t="s">
        <v>869</v>
      </c>
      <c r="P6084" s="2" t="s">
        <v>870</v>
      </c>
    </row>
    <row r="6085" ht="15.75" customHeight="1">
      <c r="H6085" s="2" t="s">
        <v>29378</v>
      </c>
      <c r="I6085" s="2" t="s">
        <v>2867</v>
      </c>
      <c r="J6085" s="2" t="s">
        <v>2868</v>
      </c>
      <c r="K6085" s="2" t="s">
        <v>29379</v>
      </c>
      <c r="L6085" s="2" t="s">
        <v>28572</v>
      </c>
      <c r="M6085" s="2" t="s">
        <v>29380</v>
      </c>
      <c r="N6085" s="2" t="s">
        <v>29381</v>
      </c>
      <c r="O6085" s="2" t="s">
        <v>869</v>
      </c>
      <c r="P6085" s="2" t="s">
        <v>870</v>
      </c>
    </row>
    <row r="6086" ht="15.75" customHeight="1">
      <c r="H6086" s="2" t="s">
        <v>29382</v>
      </c>
      <c r="I6086" s="2" t="s">
        <v>2331</v>
      </c>
      <c r="J6086" s="2" t="s">
        <v>2332</v>
      </c>
      <c r="K6086" s="2" t="s">
        <v>29383</v>
      </c>
      <c r="L6086" s="2" t="s">
        <v>28572</v>
      </c>
      <c r="M6086" s="2" t="s">
        <v>29384</v>
      </c>
      <c r="N6086" s="2" t="s">
        <v>29385</v>
      </c>
      <c r="O6086" s="2" t="s">
        <v>869</v>
      </c>
      <c r="P6086" s="2" t="s">
        <v>870</v>
      </c>
    </row>
    <row r="6087" ht="15.75" customHeight="1">
      <c r="H6087" s="2" t="s">
        <v>29386</v>
      </c>
      <c r="I6087" s="2" t="s">
        <v>458</v>
      </c>
      <c r="J6087" s="2" t="s">
        <v>459</v>
      </c>
      <c r="K6087" s="2" t="s">
        <v>29387</v>
      </c>
      <c r="L6087" s="2" t="s">
        <v>28572</v>
      </c>
      <c r="M6087" s="2" t="s">
        <v>29388</v>
      </c>
      <c r="N6087" s="2" t="s">
        <v>29389</v>
      </c>
      <c r="O6087" s="2" t="s">
        <v>869</v>
      </c>
      <c r="P6087" s="2" t="s">
        <v>870</v>
      </c>
    </row>
    <row r="6088" ht="15.75" customHeight="1">
      <c r="H6088" s="2" t="s">
        <v>29390</v>
      </c>
      <c r="I6088" s="2" t="s">
        <v>29391</v>
      </c>
      <c r="J6088" s="2" t="s">
        <v>29392</v>
      </c>
      <c r="K6088" s="2" t="s">
        <v>29393</v>
      </c>
      <c r="L6088" s="2" t="s">
        <v>28572</v>
      </c>
      <c r="M6088" s="2" t="s">
        <v>29394</v>
      </c>
      <c r="N6088" s="2" t="s">
        <v>29395</v>
      </c>
      <c r="O6088" s="2" t="s">
        <v>869</v>
      </c>
      <c r="P6088" s="2" t="s">
        <v>870</v>
      </c>
    </row>
    <row r="6089" ht="15.75" customHeight="1">
      <c r="H6089" s="2" t="s">
        <v>29396</v>
      </c>
      <c r="I6089" s="2" t="s">
        <v>16173</v>
      </c>
      <c r="J6089" s="2" t="s">
        <v>16174</v>
      </c>
      <c r="K6089" s="2" t="s">
        <v>29397</v>
      </c>
      <c r="L6089" s="2" t="s">
        <v>28572</v>
      </c>
      <c r="M6089" s="2" t="s">
        <v>29398</v>
      </c>
      <c r="N6089" s="2" t="s">
        <v>29399</v>
      </c>
      <c r="O6089" s="2" t="s">
        <v>869</v>
      </c>
      <c r="P6089" s="2" t="s">
        <v>870</v>
      </c>
    </row>
    <row r="6090" ht="15.75" customHeight="1">
      <c r="H6090" s="2" t="s">
        <v>29400</v>
      </c>
      <c r="I6090" s="2" t="s">
        <v>467</v>
      </c>
      <c r="J6090" s="2" t="s">
        <v>468</v>
      </c>
      <c r="K6090" s="2" t="s">
        <v>29401</v>
      </c>
      <c r="L6090" s="2" t="s">
        <v>28572</v>
      </c>
      <c r="M6090" s="2" t="s">
        <v>29402</v>
      </c>
      <c r="N6090" s="2" t="s">
        <v>29403</v>
      </c>
      <c r="O6090" s="2" t="s">
        <v>869</v>
      </c>
      <c r="P6090" s="2" t="s">
        <v>870</v>
      </c>
    </row>
    <row r="6091" ht="15.75" customHeight="1">
      <c r="H6091" s="2" t="s">
        <v>29404</v>
      </c>
      <c r="I6091" s="2" t="s">
        <v>29405</v>
      </c>
      <c r="J6091" s="2" t="s">
        <v>29406</v>
      </c>
      <c r="K6091" s="2" t="s">
        <v>29407</v>
      </c>
      <c r="L6091" s="2" t="s">
        <v>28572</v>
      </c>
      <c r="M6091" s="2" t="s">
        <v>29408</v>
      </c>
      <c r="N6091" s="2" t="s">
        <v>29409</v>
      </c>
      <c r="O6091" s="2" t="s">
        <v>869</v>
      </c>
      <c r="P6091" s="2" t="s">
        <v>870</v>
      </c>
    </row>
    <row r="6092" ht="15.75" customHeight="1">
      <c r="H6092" s="2" t="s">
        <v>29410</v>
      </c>
      <c r="I6092" s="2" t="s">
        <v>476</v>
      </c>
      <c r="J6092" s="2" t="s">
        <v>477</v>
      </c>
      <c r="K6092" s="2" t="s">
        <v>29411</v>
      </c>
      <c r="L6092" s="2" t="s">
        <v>28572</v>
      </c>
      <c r="M6092" s="2" t="s">
        <v>29412</v>
      </c>
      <c r="N6092" s="2" t="s">
        <v>29413</v>
      </c>
      <c r="O6092" s="2" t="s">
        <v>869</v>
      </c>
      <c r="P6092" s="2" t="s">
        <v>870</v>
      </c>
    </row>
    <row r="6093" ht="15.75" customHeight="1">
      <c r="H6093" s="2" t="s">
        <v>29414</v>
      </c>
      <c r="I6093" s="2" t="s">
        <v>2352</v>
      </c>
      <c r="J6093" s="2" t="s">
        <v>2353</v>
      </c>
      <c r="K6093" s="2" t="s">
        <v>29415</v>
      </c>
      <c r="L6093" s="2" t="s">
        <v>28572</v>
      </c>
      <c r="M6093" s="2" t="s">
        <v>29416</v>
      </c>
      <c r="N6093" s="2" t="s">
        <v>29417</v>
      </c>
      <c r="O6093" s="2" t="s">
        <v>869</v>
      </c>
      <c r="P6093" s="2" t="s">
        <v>870</v>
      </c>
    </row>
    <row r="6094" ht="15.75" customHeight="1">
      <c r="H6094" s="2" t="s">
        <v>29418</v>
      </c>
      <c r="I6094" s="2" t="s">
        <v>24945</v>
      </c>
      <c r="J6094" s="2" t="s">
        <v>24946</v>
      </c>
      <c r="K6094" s="2" t="s">
        <v>29419</v>
      </c>
      <c r="L6094" s="2" t="s">
        <v>28572</v>
      </c>
      <c r="M6094" s="2" t="s">
        <v>29420</v>
      </c>
      <c r="N6094" s="2" t="s">
        <v>29421</v>
      </c>
      <c r="O6094" s="2" t="s">
        <v>869</v>
      </c>
      <c r="P6094" s="2" t="s">
        <v>870</v>
      </c>
    </row>
    <row r="6095" ht="15.75" customHeight="1">
      <c r="H6095" s="2" t="s">
        <v>29422</v>
      </c>
      <c r="I6095" s="2" t="s">
        <v>19620</v>
      </c>
      <c r="J6095" s="2" t="s">
        <v>19621</v>
      </c>
      <c r="K6095" s="2" t="s">
        <v>29423</v>
      </c>
      <c r="L6095" s="2" t="s">
        <v>28572</v>
      </c>
      <c r="M6095" s="2" t="s">
        <v>29424</v>
      </c>
      <c r="N6095" s="2" t="s">
        <v>29425</v>
      </c>
      <c r="O6095" s="2" t="s">
        <v>869</v>
      </c>
      <c r="P6095" s="2" t="s">
        <v>870</v>
      </c>
    </row>
    <row r="6096" ht="15.75" customHeight="1">
      <c r="H6096" s="2" t="s">
        <v>29426</v>
      </c>
      <c r="I6096" s="2" t="s">
        <v>2380</v>
      </c>
      <c r="J6096" s="2" t="s">
        <v>2381</v>
      </c>
      <c r="K6096" s="2" t="s">
        <v>29427</v>
      </c>
      <c r="L6096" s="2" t="s">
        <v>29428</v>
      </c>
      <c r="M6096" s="2" t="s">
        <v>29429</v>
      </c>
      <c r="N6096" s="2" t="s">
        <v>29430</v>
      </c>
      <c r="O6096" s="2" t="s">
        <v>869</v>
      </c>
      <c r="P6096" s="2" t="s">
        <v>870</v>
      </c>
    </row>
    <row r="6097" ht="15.75" customHeight="1">
      <c r="H6097" s="2" t="s">
        <v>29431</v>
      </c>
      <c r="I6097" s="2" t="s">
        <v>19637</v>
      </c>
      <c r="J6097" s="2" t="s">
        <v>19638</v>
      </c>
      <c r="K6097" s="2" t="s">
        <v>29432</v>
      </c>
      <c r="L6097" s="2" t="s">
        <v>28572</v>
      </c>
      <c r="M6097" s="2" t="s">
        <v>29433</v>
      </c>
      <c r="N6097" s="2" t="s">
        <v>29434</v>
      </c>
      <c r="O6097" s="2" t="s">
        <v>869</v>
      </c>
      <c r="P6097" s="2" t="s">
        <v>870</v>
      </c>
    </row>
    <row r="6098" ht="15.75" customHeight="1">
      <c r="H6098" s="2" t="s">
        <v>29435</v>
      </c>
      <c r="I6098" s="2" t="s">
        <v>2399</v>
      </c>
      <c r="J6098" s="2" t="s">
        <v>2400</v>
      </c>
      <c r="K6098" s="2" t="s">
        <v>29436</v>
      </c>
      <c r="L6098" s="2" t="s">
        <v>29437</v>
      </c>
      <c r="M6098" s="2" t="s">
        <v>29438</v>
      </c>
      <c r="N6098" s="2" t="s">
        <v>29439</v>
      </c>
      <c r="O6098" s="2" t="s">
        <v>869</v>
      </c>
      <c r="P6098" s="2" t="s">
        <v>870</v>
      </c>
    </row>
    <row r="6099" ht="15.75" customHeight="1">
      <c r="H6099" s="2" t="s">
        <v>29440</v>
      </c>
      <c r="I6099" s="2" t="s">
        <v>2406</v>
      </c>
      <c r="J6099" s="2" t="s">
        <v>2407</v>
      </c>
      <c r="K6099" s="2" t="s">
        <v>29441</v>
      </c>
      <c r="L6099" s="2" t="s">
        <v>28572</v>
      </c>
      <c r="M6099" s="2" t="s">
        <v>29442</v>
      </c>
      <c r="N6099" s="2" t="s">
        <v>29443</v>
      </c>
      <c r="O6099" s="2" t="s">
        <v>869</v>
      </c>
      <c r="P6099" s="2" t="s">
        <v>870</v>
      </c>
    </row>
    <row r="6100" ht="15.75" customHeight="1">
      <c r="H6100" s="2" t="s">
        <v>29444</v>
      </c>
      <c r="I6100" s="2" t="s">
        <v>29445</v>
      </c>
      <c r="J6100" s="2" t="s">
        <v>29446</v>
      </c>
      <c r="K6100" s="2" t="s">
        <v>29447</v>
      </c>
      <c r="L6100" s="2" t="s">
        <v>28572</v>
      </c>
      <c r="M6100" s="2" t="s">
        <v>29448</v>
      </c>
      <c r="N6100" s="2" t="s">
        <v>29449</v>
      </c>
      <c r="O6100" s="2" t="s">
        <v>869</v>
      </c>
      <c r="P6100" s="2" t="s">
        <v>870</v>
      </c>
    </row>
    <row r="6101" ht="15.75" customHeight="1">
      <c r="H6101" s="2" t="s">
        <v>29450</v>
      </c>
      <c r="I6101" s="2" t="s">
        <v>12694</v>
      </c>
      <c r="J6101" s="2" t="s">
        <v>12695</v>
      </c>
      <c r="K6101" s="2" t="s">
        <v>29451</v>
      </c>
      <c r="L6101" s="2" t="s">
        <v>28572</v>
      </c>
      <c r="M6101" s="2" t="s">
        <v>29452</v>
      </c>
      <c r="N6101" s="2" t="s">
        <v>29453</v>
      </c>
      <c r="O6101" s="2" t="s">
        <v>869</v>
      </c>
      <c r="P6101" s="2" t="s">
        <v>870</v>
      </c>
    </row>
    <row r="6102" ht="15.75" customHeight="1">
      <c r="H6102" s="2" t="s">
        <v>29454</v>
      </c>
      <c r="I6102" s="2" t="s">
        <v>29064</v>
      </c>
      <c r="J6102" s="2" t="s">
        <v>29065</v>
      </c>
      <c r="K6102" s="2" t="s">
        <v>29455</v>
      </c>
      <c r="L6102" s="2" t="s">
        <v>29456</v>
      </c>
      <c r="M6102" s="2" t="s">
        <v>29457</v>
      </c>
      <c r="N6102" s="2" t="s">
        <v>29458</v>
      </c>
      <c r="O6102" s="2" t="s">
        <v>869</v>
      </c>
      <c r="P6102" s="2" t="s">
        <v>870</v>
      </c>
    </row>
    <row r="6103" ht="15.75" customHeight="1">
      <c r="H6103" s="2" t="s">
        <v>29459</v>
      </c>
      <c r="I6103" s="2" t="s">
        <v>1501</v>
      </c>
      <c r="J6103" s="2" t="s">
        <v>1502</v>
      </c>
      <c r="K6103" s="2" t="s">
        <v>29460</v>
      </c>
      <c r="L6103" s="2" t="s">
        <v>28572</v>
      </c>
      <c r="M6103" s="2" t="s">
        <v>29461</v>
      </c>
      <c r="N6103" s="2" t="s">
        <v>29462</v>
      </c>
      <c r="O6103" s="2" t="s">
        <v>869</v>
      </c>
      <c r="P6103" s="2" t="s">
        <v>870</v>
      </c>
    </row>
    <row r="6104" ht="15.75" customHeight="1">
      <c r="H6104" s="2" t="s">
        <v>29463</v>
      </c>
      <c r="I6104" s="2" t="s">
        <v>510</v>
      </c>
      <c r="J6104" s="2" t="s">
        <v>511</v>
      </c>
      <c r="K6104" s="2" t="s">
        <v>29464</v>
      </c>
      <c r="L6104" s="2" t="s">
        <v>28572</v>
      </c>
      <c r="M6104" s="2" t="s">
        <v>29465</v>
      </c>
      <c r="N6104" s="2" t="s">
        <v>29466</v>
      </c>
      <c r="O6104" s="2" t="s">
        <v>869</v>
      </c>
      <c r="P6104" s="2" t="s">
        <v>870</v>
      </c>
    </row>
    <row r="6105" ht="15.75" customHeight="1">
      <c r="H6105" s="2" t="s">
        <v>29467</v>
      </c>
      <c r="I6105" s="2" t="s">
        <v>29468</v>
      </c>
      <c r="J6105" s="2" t="s">
        <v>29469</v>
      </c>
      <c r="K6105" s="2" t="s">
        <v>29470</v>
      </c>
      <c r="L6105" s="2" t="s">
        <v>28572</v>
      </c>
      <c r="M6105" s="2" t="s">
        <v>29471</v>
      </c>
      <c r="N6105" s="2" t="s">
        <v>29472</v>
      </c>
      <c r="O6105" s="2" t="s">
        <v>869</v>
      </c>
      <c r="P6105" s="2" t="s">
        <v>870</v>
      </c>
    </row>
    <row r="6106" ht="15.75" customHeight="1">
      <c r="H6106" s="2" t="s">
        <v>29473</v>
      </c>
      <c r="I6106" s="2" t="s">
        <v>29474</v>
      </c>
      <c r="J6106" s="2" t="s">
        <v>29475</v>
      </c>
      <c r="K6106" s="2" t="s">
        <v>29476</v>
      </c>
      <c r="L6106" s="2" t="s">
        <v>28572</v>
      </c>
      <c r="M6106" s="2" t="s">
        <v>29477</v>
      </c>
      <c r="N6106" s="2" t="s">
        <v>29478</v>
      </c>
      <c r="O6106" s="2" t="s">
        <v>869</v>
      </c>
      <c r="P6106" s="2" t="s">
        <v>870</v>
      </c>
    </row>
    <row r="6107" ht="15.75" customHeight="1">
      <c r="H6107" s="2" t="s">
        <v>29479</v>
      </c>
      <c r="I6107" s="2" t="s">
        <v>29480</v>
      </c>
      <c r="J6107" s="2" t="s">
        <v>29481</v>
      </c>
      <c r="K6107" s="2" t="s">
        <v>29482</v>
      </c>
      <c r="L6107" s="2" t="s">
        <v>28572</v>
      </c>
      <c r="M6107" s="2" t="s">
        <v>29483</v>
      </c>
      <c r="N6107" s="2" t="s">
        <v>29484</v>
      </c>
      <c r="O6107" s="2" t="s">
        <v>869</v>
      </c>
      <c r="P6107" s="2" t="s">
        <v>870</v>
      </c>
    </row>
    <row r="6108" ht="15.75" customHeight="1">
      <c r="H6108" s="2" t="s">
        <v>29485</v>
      </c>
      <c r="I6108" s="2" t="s">
        <v>518</v>
      </c>
      <c r="J6108" s="2" t="s">
        <v>519</v>
      </c>
      <c r="K6108" s="2" t="s">
        <v>29486</v>
      </c>
      <c r="L6108" s="2" t="s">
        <v>28572</v>
      </c>
      <c r="M6108" s="2" t="s">
        <v>29487</v>
      </c>
      <c r="N6108" s="2" t="s">
        <v>29488</v>
      </c>
      <c r="O6108" s="2" t="s">
        <v>869</v>
      </c>
      <c r="P6108" s="2" t="s">
        <v>870</v>
      </c>
    </row>
    <row r="6109" ht="15.75" customHeight="1">
      <c r="H6109" s="2" t="s">
        <v>29489</v>
      </c>
      <c r="I6109" s="2" t="s">
        <v>29490</v>
      </c>
      <c r="J6109" s="2" t="s">
        <v>29491</v>
      </c>
      <c r="K6109" s="2" t="s">
        <v>29492</v>
      </c>
      <c r="L6109" s="2" t="s">
        <v>29493</v>
      </c>
      <c r="M6109" s="2" t="s">
        <v>29494</v>
      </c>
      <c r="N6109" s="2" t="s">
        <v>29495</v>
      </c>
      <c r="O6109" s="2" t="s">
        <v>869</v>
      </c>
      <c r="P6109" s="2" t="s">
        <v>870</v>
      </c>
    </row>
    <row r="6110" ht="15.75" customHeight="1">
      <c r="H6110" s="2" t="s">
        <v>29496</v>
      </c>
      <c r="I6110" s="2" t="s">
        <v>29497</v>
      </c>
      <c r="J6110" s="2" t="s">
        <v>29498</v>
      </c>
      <c r="K6110" s="2" t="s">
        <v>29499</v>
      </c>
      <c r="L6110" s="2" t="s">
        <v>28572</v>
      </c>
      <c r="M6110" s="2" t="s">
        <v>29500</v>
      </c>
      <c r="N6110" s="2" t="s">
        <v>29501</v>
      </c>
      <c r="O6110" s="2" t="s">
        <v>869</v>
      </c>
      <c r="P6110" s="2" t="s">
        <v>870</v>
      </c>
    </row>
    <row r="6111" ht="15.75" customHeight="1">
      <c r="H6111" s="2" t="s">
        <v>29502</v>
      </c>
      <c r="I6111" s="2" t="s">
        <v>19733</v>
      </c>
      <c r="J6111" s="2" t="s">
        <v>19734</v>
      </c>
      <c r="K6111" s="2" t="s">
        <v>29503</v>
      </c>
      <c r="L6111" s="2" t="s">
        <v>28572</v>
      </c>
      <c r="M6111" s="2" t="s">
        <v>29504</v>
      </c>
      <c r="N6111" s="2" t="s">
        <v>29505</v>
      </c>
      <c r="O6111" s="2" t="s">
        <v>869</v>
      </c>
      <c r="P6111" s="2" t="s">
        <v>870</v>
      </c>
    </row>
    <row r="6112" ht="15.75" customHeight="1">
      <c r="H6112" s="2" t="s">
        <v>29506</v>
      </c>
      <c r="I6112" s="2" t="s">
        <v>2489</v>
      </c>
      <c r="J6112" s="2" t="s">
        <v>2490</v>
      </c>
      <c r="K6112" s="2" t="s">
        <v>29507</v>
      </c>
      <c r="L6112" s="2" t="s">
        <v>28572</v>
      </c>
      <c r="M6112" s="2" t="s">
        <v>29508</v>
      </c>
      <c r="N6112" s="2" t="s">
        <v>29509</v>
      </c>
      <c r="O6112" s="2" t="s">
        <v>869</v>
      </c>
      <c r="P6112" s="2" t="s">
        <v>870</v>
      </c>
    </row>
    <row r="6113" ht="15.75" customHeight="1">
      <c r="H6113" s="2" t="s">
        <v>29510</v>
      </c>
      <c r="I6113" s="2" t="s">
        <v>29511</v>
      </c>
      <c r="J6113" s="2" t="s">
        <v>29512</v>
      </c>
      <c r="K6113" s="2" t="s">
        <v>29513</v>
      </c>
      <c r="L6113" s="2" t="s">
        <v>28572</v>
      </c>
      <c r="M6113" s="2" t="s">
        <v>29514</v>
      </c>
      <c r="N6113" s="2" t="s">
        <v>29515</v>
      </c>
      <c r="O6113" s="2" t="s">
        <v>869</v>
      </c>
      <c r="P6113" s="2" t="s">
        <v>870</v>
      </c>
    </row>
    <row r="6114" ht="15.75" customHeight="1">
      <c r="H6114" s="2" t="s">
        <v>29516</v>
      </c>
      <c r="I6114" s="2" t="s">
        <v>2504</v>
      </c>
      <c r="J6114" s="2" t="s">
        <v>2505</v>
      </c>
      <c r="K6114" s="2" t="s">
        <v>29517</v>
      </c>
      <c r="L6114" s="2" t="s">
        <v>28572</v>
      </c>
      <c r="M6114" s="2" t="s">
        <v>29518</v>
      </c>
      <c r="N6114" s="2" t="s">
        <v>29519</v>
      </c>
      <c r="O6114" s="2" t="s">
        <v>869</v>
      </c>
      <c r="P6114" s="2" t="s">
        <v>870</v>
      </c>
    </row>
    <row r="6115" ht="15.75" customHeight="1">
      <c r="F6115" s="2" t="s">
        <v>2508</v>
      </c>
      <c r="H6115" s="2" t="s">
        <v>29520</v>
      </c>
      <c r="I6115" s="2" t="s">
        <v>29521</v>
      </c>
      <c r="J6115" s="2" t="s">
        <v>29522</v>
      </c>
      <c r="K6115" s="2" t="s">
        <v>1952</v>
      </c>
    </row>
    <row r="6116" ht="15.75" customHeight="1">
      <c r="F6116" s="2" t="s">
        <v>534</v>
      </c>
      <c r="H6116" s="2" t="s">
        <v>29523</v>
      </c>
      <c r="I6116" s="2" t="s">
        <v>536</v>
      </c>
      <c r="J6116" s="2" t="s">
        <v>537</v>
      </c>
      <c r="K6116" s="2" t="s">
        <v>538</v>
      </c>
    </row>
    <row r="6117" ht="15.75" customHeight="1">
      <c r="F6117" s="2" t="s">
        <v>539</v>
      </c>
      <c r="H6117" s="2" t="s">
        <v>29524</v>
      </c>
      <c r="I6117" s="2" t="s">
        <v>29525</v>
      </c>
      <c r="J6117" s="2" t="s">
        <v>29526</v>
      </c>
      <c r="K6117" s="2" t="s">
        <v>29527</v>
      </c>
      <c r="L6117" s="2" t="s">
        <v>28572</v>
      </c>
      <c r="M6117" s="2" t="s">
        <v>29528</v>
      </c>
      <c r="N6117" s="2" t="s">
        <v>29529</v>
      </c>
      <c r="O6117" s="2" t="s">
        <v>869</v>
      </c>
      <c r="P6117" s="2" t="s">
        <v>870</v>
      </c>
    </row>
    <row r="6118" ht="15.75" customHeight="1">
      <c r="H6118" s="2" t="s">
        <v>29530</v>
      </c>
      <c r="I6118" s="2" t="s">
        <v>2528</v>
      </c>
      <c r="J6118" s="2" t="s">
        <v>2529</v>
      </c>
      <c r="K6118" s="2" t="s">
        <v>29531</v>
      </c>
      <c r="L6118" s="2" t="s">
        <v>28572</v>
      </c>
      <c r="M6118" s="2" t="s">
        <v>27410</v>
      </c>
      <c r="N6118" s="2" t="s">
        <v>29532</v>
      </c>
      <c r="O6118" s="2" t="s">
        <v>869</v>
      </c>
      <c r="P6118" s="2" t="s">
        <v>870</v>
      </c>
    </row>
    <row r="6119" ht="15.75" customHeight="1">
      <c r="H6119" s="2" t="s">
        <v>29533</v>
      </c>
      <c r="I6119" s="2" t="s">
        <v>27412</v>
      </c>
      <c r="J6119" s="2" t="s">
        <v>27413</v>
      </c>
      <c r="K6119" s="2" t="s">
        <v>29534</v>
      </c>
      <c r="L6119" s="2" t="s">
        <v>28572</v>
      </c>
      <c r="M6119" s="2" t="s">
        <v>27414</v>
      </c>
      <c r="N6119" s="2" t="s">
        <v>29535</v>
      </c>
      <c r="O6119" s="2" t="s">
        <v>869</v>
      </c>
      <c r="P6119" s="2" t="s">
        <v>870</v>
      </c>
    </row>
    <row r="6120" ht="15.75" customHeight="1">
      <c r="H6120" s="2" t="s">
        <v>29536</v>
      </c>
      <c r="I6120" s="2" t="s">
        <v>29537</v>
      </c>
      <c r="J6120" s="2" t="s">
        <v>29538</v>
      </c>
      <c r="K6120" s="2" t="s">
        <v>29539</v>
      </c>
      <c r="L6120" s="2" t="s">
        <v>28572</v>
      </c>
      <c r="M6120" s="2" t="s">
        <v>29540</v>
      </c>
      <c r="N6120" s="2" t="s">
        <v>29541</v>
      </c>
      <c r="O6120" s="2" t="s">
        <v>869</v>
      </c>
      <c r="P6120" s="2" t="s">
        <v>870</v>
      </c>
    </row>
    <row r="6121" ht="15.75" customHeight="1">
      <c r="H6121" s="2" t="s">
        <v>29542</v>
      </c>
      <c r="I6121" s="2" t="s">
        <v>29543</v>
      </c>
      <c r="J6121" s="2" t="s">
        <v>29544</v>
      </c>
      <c r="K6121" s="2" t="s">
        <v>29545</v>
      </c>
      <c r="L6121" s="2" t="s">
        <v>28572</v>
      </c>
      <c r="M6121" s="2" t="s">
        <v>29546</v>
      </c>
      <c r="N6121" s="2" t="s">
        <v>29547</v>
      </c>
      <c r="O6121" s="2" t="s">
        <v>869</v>
      </c>
      <c r="P6121" s="2" t="s">
        <v>870</v>
      </c>
    </row>
    <row r="6122" ht="15.75" customHeight="1">
      <c r="H6122" s="2" t="s">
        <v>29548</v>
      </c>
      <c r="I6122" s="2" t="s">
        <v>29549</v>
      </c>
      <c r="J6122" s="2" t="s">
        <v>29550</v>
      </c>
      <c r="K6122" s="2" t="s">
        <v>29551</v>
      </c>
      <c r="L6122" s="2" t="s">
        <v>28572</v>
      </c>
      <c r="M6122" s="2" t="s">
        <v>29552</v>
      </c>
      <c r="N6122" s="2" t="s">
        <v>29553</v>
      </c>
      <c r="O6122" s="2" t="s">
        <v>869</v>
      </c>
      <c r="P6122" s="2" t="s">
        <v>870</v>
      </c>
    </row>
    <row r="6123" ht="15.75" customHeight="1">
      <c r="H6123" s="2" t="s">
        <v>29554</v>
      </c>
      <c r="I6123" s="2" t="s">
        <v>29555</v>
      </c>
      <c r="J6123" s="2" t="s">
        <v>29556</v>
      </c>
      <c r="K6123" s="2" t="s">
        <v>29557</v>
      </c>
      <c r="L6123" s="2" t="s">
        <v>28572</v>
      </c>
      <c r="M6123" s="2" t="s">
        <v>29558</v>
      </c>
      <c r="N6123" s="2" t="s">
        <v>29559</v>
      </c>
      <c r="O6123" s="2" t="s">
        <v>869</v>
      </c>
      <c r="P6123" s="2" t="s">
        <v>870</v>
      </c>
    </row>
    <row r="6124" ht="15.75" customHeight="1">
      <c r="H6124" s="2" t="s">
        <v>29560</v>
      </c>
      <c r="I6124" s="2" t="s">
        <v>19821</v>
      </c>
      <c r="J6124" s="2" t="s">
        <v>19822</v>
      </c>
      <c r="K6124" s="2" t="s">
        <v>29561</v>
      </c>
      <c r="L6124" s="2" t="s">
        <v>28572</v>
      </c>
      <c r="M6124" s="2" t="s">
        <v>29562</v>
      </c>
      <c r="N6124" s="2" t="s">
        <v>29563</v>
      </c>
      <c r="O6124" s="2" t="s">
        <v>869</v>
      </c>
      <c r="P6124" s="2" t="s">
        <v>870</v>
      </c>
    </row>
    <row r="6125" ht="15.75" customHeight="1">
      <c r="H6125" s="2" t="s">
        <v>29564</v>
      </c>
      <c r="I6125" s="2" t="s">
        <v>29565</v>
      </c>
      <c r="J6125" s="2" t="s">
        <v>29566</v>
      </c>
      <c r="K6125" s="2" t="s">
        <v>29567</v>
      </c>
      <c r="L6125" s="2" t="s">
        <v>28572</v>
      </c>
      <c r="M6125" s="2" t="s">
        <v>29568</v>
      </c>
      <c r="N6125" s="2" t="s">
        <v>29569</v>
      </c>
      <c r="O6125" s="2" t="s">
        <v>869</v>
      </c>
      <c r="P6125" s="2" t="s">
        <v>870</v>
      </c>
    </row>
    <row r="6126" ht="15.75" customHeight="1">
      <c r="H6126" s="2" t="s">
        <v>29570</v>
      </c>
      <c r="I6126" s="2" t="s">
        <v>12418</v>
      </c>
      <c r="J6126" s="2" t="s">
        <v>12419</v>
      </c>
      <c r="K6126" s="2" t="s">
        <v>29571</v>
      </c>
      <c r="L6126" s="2" t="s">
        <v>28572</v>
      </c>
      <c r="M6126" s="2" t="s">
        <v>29572</v>
      </c>
      <c r="N6126" s="2" t="s">
        <v>29573</v>
      </c>
      <c r="O6126" s="2" t="s">
        <v>869</v>
      </c>
      <c r="P6126" s="2" t="s">
        <v>870</v>
      </c>
    </row>
    <row r="6127" ht="15.75" customHeight="1">
      <c r="H6127" s="2" t="s">
        <v>29574</v>
      </c>
      <c r="I6127" s="2" t="s">
        <v>27518</v>
      </c>
      <c r="J6127" s="2" t="s">
        <v>27519</v>
      </c>
      <c r="K6127" s="2" t="s">
        <v>29575</v>
      </c>
      <c r="L6127" s="2" t="s">
        <v>28572</v>
      </c>
      <c r="M6127" s="2" t="s">
        <v>29576</v>
      </c>
      <c r="N6127" s="2" t="s">
        <v>29577</v>
      </c>
      <c r="O6127" s="2" t="s">
        <v>869</v>
      </c>
      <c r="P6127" s="2" t="s">
        <v>870</v>
      </c>
    </row>
    <row r="6128" ht="15.75" customHeight="1">
      <c r="H6128" s="2" t="s">
        <v>29578</v>
      </c>
      <c r="I6128" s="2" t="s">
        <v>29579</v>
      </c>
      <c r="J6128" s="2" t="s">
        <v>29580</v>
      </c>
      <c r="K6128" s="2" t="s">
        <v>29581</v>
      </c>
      <c r="L6128" s="2" t="s">
        <v>28572</v>
      </c>
      <c r="M6128" s="2" t="s">
        <v>29582</v>
      </c>
      <c r="N6128" s="2" t="s">
        <v>29583</v>
      </c>
      <c r="O6128" s="2" t="s">
        <v>869</v>
      </c>
      <c r="P6128" s="2" t="s">
        <v>870</v>
      </c>
    </row>
    <row r="6129" ht="15.75" customHeight="1">
      <c r="F6129" s="2" t="s">
        <v>2597</v>
      </c>
      <c r="H6129" s="2" t="s">
        <v>29584</v>
      </c>
      <c r="I6129" s="2" t="s">
        <v>7848</v>
      </c>
      <c r="J6129" s="2" t="s">
        <v>7849</v>
      </c>
      <c r="K6129" s="2" t="s">
        <v>29585</v>
      </c>
      <c r="L6129" s="2" t="s">
        <v>28572</v>
      </c>
      <c r="M6129" s="2" t="s">
        <v>7851</v>
      </c>
      <c r="N6129" s="2" t="s">
        <v>29586</v>
      </c>
      <c r="O6129" s="2" t="s">
        <v>869</v>
      </c>
      <c r="P6129" s="2" t="s">
        <v>870</v>
      </c>
    </row>
    <row r="6130" ht="15.75" customHeight="1">
      <c r="H6130" s="2" t="s">
        <v>29587</v>
      </c>
      <c r="I6130" s="2" t="s">
        <v>2599</v>
      </c>
      <c r="J6130" s="2" t="s">
        <v>2600</v>
      </c>
      <c r="K6130" s="2" t="s">
        <v>29588</v>
      </c>
      <c r="L6130" s="2" t="s">
        <v>28572</v>
      </c>
      <c r="M6130" s="2" t="s">
        <v>29589</v>
      </c>
      <c r="N6130" s="2" t="s">
        <v>29590</v>
      </c>
      <c r="O6130" s="2" t="s">
        <v>869</v>
      </c>
      <c r="P6130" s="2" t="s">
        <v>870</v>
      </c>
    </row>
    <row r="6131" ht="15.75" customHeight="1">
      <c r="H6131" s="2" t="s">
        <v>29591</v>
      </c>
      <c r="I6131" s="2" t="s">
        <v>29592</v>
      </c>
      <c r="J6131" s="2" t="s">
        <v>29593</v>
      </c>
      <c r="K6131" s="2" t="s">
        <v>29594</v>
      </c>
      <c r="L6131" s="2" t="s">
        <v>28572</v>
      </c>
      <c r="M6131" s="2" t="s">
        <v>29595</v>
      </c>
      <c r="N6131" s="2" t="s">
        <v>29596</v>
      </c>
      <c r="O6131" s="2" t="s">
        <v>869</v>
      </c>
      <c r="P6131" s="2" t="s">
        <v>870</v>
      </c>
    </row>
    <row r="6132" ht="15.75" customHeight="1">
      <c r="H6132" s="2" t="s">
        <v>29597</v>
      </c>
      <c r="I6132" s="2" t="s">
        <v>29598</v>
      </c>
      <c r="J6132" s="2" t="s">
        <v>29599</v>
      </c>
      <c r="K6132" s="2" t="s">
        <v>29600</v>
      </c>
      <c r="L6132" s="2" t="s">
        <v>28572</v>
      </c>
      <c r="M6132" s="2" t="s">
        <v>29601</v>
      </c>
      <c r="N6132" s="2" t="s">
        <v>29602</v>
      </c>
      <c r="O6132" s="2" t="s">
        <v>869</v>
      </c>
      <c r="P6132" s="2" t="s">
        <v>870</v>
      </c>
    </row>
    <row r="6133" ht="15.75" customHeight="1">
      <c r="H6133" s="2" t="s">
        <v>29603</v>
      </c>
      <c r="I6133" s="2" t="s">
        <v>29604</v>
      </c>
      <c r="J6133" s="2" t="s">
        <v>29605</v>
      </c>
      <c r="K6133" s="2" t="s">
        <v>29606</v>
      </c>
      <c r="L6133" s="2" t="s">
        <v>28572</v>
      </c>
      <c r="M6133" s="2" t="s">
        <v>29607</v>
      </c>
      <c r="N6133" s="2" t="s">
        <v>29608</v>
      </c>
      <c r="O6133" s="2" t="s">
        <v>869</v>
      </c>
      <c r="P6133" s="2" t="s">
        <v>870</v>
      </c>
    </row>
    <row r="6134" ht="15.75" customHeight="1">
      <c r="H6134" s="2" t="s">
        <v>29609</v>
      </c>
      <c r="I6134" s="2" t="s">
        <v>2624</v>
      </c>
      <c r="J6134" s="2" t="s">
        <v>2625</v>
      </c>
      <c r="K6134" s="2" t="s">
        <v>29610</v>
      </c>
      <c r="L6134" s="2" t="s">
        <v>28572</v>
      </c>
      <c r="M6134" s="2" t="s">
        <v>29611</v>
      </c>
      <c r="N6134" s="2" t="s">
        <v>29612</v>
      </c>
      <c r="O6134" s="2" t="s">
        <v>869</v>
      </c>
      <c r="P6134" s="2" t="s">
        <v>870</v>
      </c>
    </row>
    <row r="6135" ht="15.75" customHeight="1">
      <c r="F6135" s="2" t="s">
        <v>548</v>
      </c>
      <c r="H6135" s="2" t="s">
        <v>29613</v>
      </c>
      <c r="I6135" s="2" t="s">
        <v>29614</v>
      </c>
      <c r="J6135" s="2" t="s">
        <v>29615</v>
      </c>
      <c r="K6135" s="2" t="s">
        <v>29616</v>
      </c>
      <c r="L6135" s="2" t="s">
        <v>28572</v>
      </c>
      <c r="M6135" s="2" t="s">
        <v>29617</v>
      </c>
      <c r="N6135" s="2" t="s">
        <v>29618</v>
      </c>
      <c r="O6135" s="2" t="s">
        <v>869</v>
      </c>
      <c r="P6135" s="2" t="s">
        <v>870</v>
      </c>
    </row>
    <row r="6136" ht="15.75" customHeight="1">
      <c r="H6136" s="2" t="s">
        <v>29619</v>
      </c>
      <c r="I6136" s="2" t="s">
        <v>29620</v>
      </c>
      <c r="J6136" s="2" t="s">
        <v>29621</v>
      </c>
      <c r="K6136" s="2" t="s">
        <v>29622</v>
      </c>
      <c r="L6136" s="2" t="s">
        <v>28572</v>
      </c>
      <c r="M6136" s="2" t="s">
        <v>29623</v>
      </c>
      <c r="N6136" s="2" t="s">
        <v>29624</v>
      </c>
      <c r="O6136" s="2" t="s">
        <v>869</v>
      </c>
      <c r="P6136" s="2" t="s">
        <v>870</v>
      </c>
    </row>
    <row r="6137" ht="15.75" customHeight="1">
      <c r="H6137" s="2" t="s">
        <v>29625</v>
      </c>
      <c r="I6137" s="2" t="s">
        <v>29626</v>
      </c>
      <c r="J6137" s="2" t="s">
        <v>29627</v>
      </c>
      <c r="K6137" s="2" t="s">
        <v>29628</v>
      </c>
      <c r="L6137" s="2" t="s">
        <v>28572</v>
      </c>
      <c r="M6137" s="2" t="s">
        <v>29629</v>
      </c>
      <c r="N6137" s="2" t="s">
        <v>29630</v>
      </c>
      <c r="O6137" s="2" t="s">
        <v>869</v>
      </c>
      <c r="P6137" s="2" t="s">
        <v>870</v>
      </c>
    </row>
    <row r="6138" ht="15.75" customHeight="1">
      <c r="H6138" s="2" t="s">
        <v>29631</v>
      </c>
      <c r="I6138" s="2" t="s">
        <v>550</v>
      </c>
      <c r="J6138" s="2" t="s">
        <v>551</v>
      </c>
      <c r="K6138" s="2" t="s">
        <v>29632</v>
      </c>
      <c r="L6138" s="2" t="s">
        <v>28572</v>
      </c>
      <c r="M6138" s="2" t="s">
        <v>29633</v>
      </c>
      <c r="N6138" s="2" t="s">
        <v>29634</v>
      </c>
      <c r="O6138" s="2" t="s">
        <v>869</v>
      </c>
      <c r="P6138" s="2" t="s">
        <v>870</v>
      </c>
    </row>
    <row r="6139" ht="15.75" customHeight="1">
      <c r="H6139" s="2" t="s">
        <v>29635</v>
      </c>
      <c r="I6139" s="2" t="s">
        <v>19490</v>
      </c>
      <c r="J6139" s="2" t="s">
        <v>19491</v>
      </c>
      <c r="K6139" s="2" t="s">
        <v>29636</v>
      </c>
      <c r="L6139" s="2" t="s">
        <v>28572</v>
      </c>
      <c r="M6139" s="2" t="s">
        <v>29637</v>
      </c>
      <c r="N6139" s="2" t="s">
        <v>29638</v>
      </c>
      <c r="O6139" s="2" t="s">
        <v>869</v>
      </c>
      <c r="P6139" s="2" t="s">
        <v>870</v>
      </c>
    </row>
    <row r="6140" ht="15.75" customHeight="1">
      <c r="H6140" s="2" t="s">
        <v>29639</v>
      </c>
      <c r="I6140" s="2" t="s">
        <v>29640</v>
      </c>
      <c r="J6140" s="2" t="s">
        <v>29641</v>
      </c>
      <c r="K6140" s="2" t="s">
        <v>1007</v>
      </c>
    </row>
    <row r="6141" ht="15.75" customHeight="1">
      <c r="H6141" s="2" t="s">
        <v>29642</v>
      </c>
      <c r="I6141" s="2" t="s">
        <v>29643</v>
      </c>
      <c r="J6141" s="2" t="s">
        <v>29644</v>
      </c>
      <c r="K6141" s="2" t="s">
        <v>29645</v>
      </c>
      <c r="L6141" s="2" t="s">
        <v>28572</v>
      </c>
      <c r="M6141" s="2" t="s">
        <v>29646</v>
      </c>
      <c r="N6141" s="2" t="s">
        <v>29647</v>
      </c>
      <c r="O6141" s="2" t="s">
        <v>869</v>
      </c>
      <c r="P6141" s="2" t="s">
        <v>870</v>
      </c>
    </row>
    <row r="6142" ht="15.75" customHeight="1">
      <c r="H6142" s="2" t="s">
        <v>29648</v>
      </c>
      <c r="I6142" s="2" t="s">
        <v>8088</v>
      </c>
      <c r="J6142" s="2" t="s">
        <v>8089</v>
      </c>
      <c r="K6142" s="2" t="s">
        <v>29649</v>
      </c>
      <c r="L6142" s="2" t="s">
        <v>28572</v>
      </c>
      <c r="M6142" s="2" t="s">
        <v>29650</v>
      </c>
      <c r="N6142" s="2" t="s">
        <v>29651</v>
      </c>
      <c r="O6142" s="2" t="s">
        <v>869</v>
      </c>
      <c r="P6142" s="2" t="s">
        <v>870</v>
      </c>
    </row>
    <row r="6143" ht="15.75" customHeight="1">
      <c r="H6143" s="2" t="s">
        <v>29652</v>
      </c>
      <c r="I6143" s="2" t="s">
        <v>19908</v>
      </c>
      <c r="J6143" s="2" t="s">
        <v>19909</v>
      </c>
      <c r="K6143" s="2" t="s">
        <v>29653</v>
      </c>
      <c r="L6143" s="2" t="s">
        <v>28572</v>
      </c>
      <c r="M6143" s="2" t="s">
        <v>19910</v>
      </c>
      <c r="N6143" s="2" t="s">
        <v>29654</v>
      </c>
      <c r="O6143" s="2" t="s">
        <v>869</v>
      </c>
      <c r="P6143" s="2" t="s">
        <v>870</v>
      </c>
    </row>
    <row r="6144" ht="15.75" customHeight="1">
      <c r="H6144" s="2" t="s">
        <v>29655</v>
      </c>
      <c r="I6144" s="2" t="s">
        <v>29656</v>
      </c>
      <c r="J6144" s="2" t="s">
        <v>29657</v>
      </c>
      <c r="K6144" s="2" t="s">
        <v>29658</v>
      </c>
      <c r="L6144" s="2" t="s">
        <v>28572</v>
      </c>
      <c r="M6144" s="2" t="s">
        <v>29659</v>
      </c>
      <c r="N6144" s="2" t="s">
        <v>29660</v>
      </c>
      <c r="O6144" s="2" t="s">
        <v>869</v>
      </c>
      <c r="P6144" s="2" t="s">
        <v>870</v>
      </c>
    </row>
    <row r="6145" ht="15.75" customHeight="1">
      <c r="H6145" s="2" t="s">
        <v>29661</v>
      </c>
      <c r="I6145" s="2" t="s">
        <v>29662</v>
      </c>
      <c r="J6145" s="2" t="s">
        <v>29663</v>
      </c>
      <c r="K6145" s="2" t="s">
        <v>29664</v>
      </c>
      <c r="L6145" s="2" t="s">
        <v>28572</v>
      </c>
      <c r="M6145" s="2" t="s">
        <v>29665</v>
      </c>
      <c r="N6145" s="2" t="s">
        <v>29666</v>
      </c>
      <c r="O6145" s="2" t="s">
        <v>869</v>
      </c>
      <c r="P6145" s="2" t="s">
        <v>870</v>
      </c>
    </row>
    <row r="6146" ht="15.75" customHeight="1">
      <c r="F6146" s="2" t="s">
        <v>2693</v>
      </c>
      <c r="H6146" s="2" t="s">
        <v>29667</v>
      </c>
      <c r="I6146" s="2" t="s">
        <v>29668</v>
      </c>
      <c r="J6146" s="2" t="s">
        <v>29669</v>
      </c>
      <c r="K6146" s="2" t="s">
        <v>29670</v>
      </c>
      <c r="L6146" s="2" t="s">
        <v>28572</v>
      </c>
      <c r="M6146" s="2" t="s">
        <v>29671</v>
      </c>
      <c r="N6146" s="2" t="s">
        <v>29672</v>
      </c>
      <c r="O6146" s="2" t="s">
        <v>869</v>
      </c>
      <c r="P6146" s="2" t="s">
        <v>870</v>
      </c>
    </row>
    <row r="6147" ht="15.75" customHeight="1">
      <c r="H6147" s="2" t="s">
        <v>29673</v>
      </c>
      <c r="I6147" s="2" t="s">
        <v>29674</v>
      </c>
      <c r="J6147" s="2" t="s">
        <v>29675</v>
      </c>
      <c r="K6147" s="2" t="s">
        <v>29676</v>
      </c>
      <c r="L6147" s="2" t="s">
        <v>28572</v>
      </c>
      <c r="M6147" s="2" t="s">
        <v>29677</v>
      </c>
      <c r="N6147" s="2" t="s">
        <v>29678</v>
      </c>
      <c r="O6147" s="2" t="s">
        <v>869</v>
      </c>
      <c r="P6147" s="2" t="s">
        <v>870</v>
      </c>
    </row>
    <row r="6148" ht="15.75" customHeight="1">
      <c r="H6148" s="2" t="s">
        <v>29679</v>
      </c>
      <c r="I6148" s="2" t="s">
        <v>2710</v>
      </c>
      <c r="J6148" s="2" t="s">
        <v>2711</v>
      </c>
      <c r="K6148" s="2" t="s">
        <v>29680</v>
      </c>
      <c r="L6148" s="2" t="s">
        <v>28572</v>
      </c>
      <c r="M6148" s="2" t="s">
        <v>27556</v>
      </c>
      <c r="N6148" s="2" t="s">
        <v>29681</v>
      </c>
      <c r="O6148" s="2" t="s">
        <v>869</v>
      </c>
      <c r="P6148" s="2" t="s">
        <v>870</v>
      </c>
    </row>
    <row r="6149" ht="15.75" customHeight="1">
      <c r="F6149" s="2" t="s">
        <v>556</v>
      </c>
      <c r="H6149" s="2" t="s">
        <v>29682</v>
      </c>
      <c r="I6149" s="2" t="s">
        <v>5599</v>
      </c>
      <c r="J6149" s="2" t="s">
        <v>5600</v>
      </c>
      <c r="K6149" s="2" t="s">
        <v>29683</v>
      </c>
      <c r="L6149" s="2" t="s">
        <v>28572</v>
      </c>
      <c r="M6149" s="2" t="s">
        <v>29684</v>
      </c>
      <c r="N6149" s="2" t="s">
        <v>29685</v>
      </c>
      <c r="O6149" s="2" t="s">
        <v>869</v>
      </c>
      <c r="P6149" s="2" t="s">
        <v>870</v>
      </c>
    </row>
    <row r="6150" ht="15.75" customHeight="1">
      <c r="H6150" s="2" t="s">
        <v>29686</v>
      </c>
      <c r="I6150" s="2" t="s">
        <v>574</v>
      </c>
      <c r="J6150" s="2" t="s">
        <v>575</v>
      </c>
      <c r="K6150" s="2" t="s">
        <v>29687</v>
      </c>
      <c r="L6150" s="2" t="s">
        <v>28572</v>
      </c>
      <c r="M6150" s="2" t="s">
        <v>29688</v>
      </c>
      <c r="N6150" s="2" t="s">
        <v>29689</v>
      </c>
      <c r="O6150" s="2" t="s">
        <v>869</v>
      </c>
      <c r="P6150" s="2" t="s">
        <v>870</v>
      </c>
    </row>
    <row r="6151" ht="15.75" customHeight="1">
      <c r="F6151" s="2" t="s">
        <v>2827</v>
      </c>
      <c r="H6151" s="2" t="s">
        <v>29690</v>
      </c>
      <c r="I6151" s="2" t="s">
        <v>29691</v>
      </c>
      <c r="J6151" s="2" t="s">
        <v>29692</v>
      </c>
      <c r="K6151" s="2" t="s">
        <v>29693</v>
      </c>
      <c r="L6151" s="2" t="s">
        <v>28572</v>
      </c>
      <c r="M6151" s="2" t="s">
        <v>8286</v>
      </c>
      <c r="N6151" s="2" t="s">
        <v>29694</v>
      </c>
      <c r="O6151" s="2" t="s">
        <v>869</v>
      </c>
      <c r="P6151" s="2" t="s">
        <v>870</v>
      </c>
    </row>
    <row r="6152" ht="15.75" customHeight="1">
      <c r="H6152" s="2" t="s">
        <v>29695</v>
      </c>
      <c r="I6152" s="2" t="s">
        <v>2842</v>
      </c>
      <c r="J6152" s="2" t="s">
        <v>2843</v>
      </c>
      <c r="K6152" s="2" t="s">
        <v>29696</v>
      </c>
      <c r="L6152" s="2" t="s">
        <v>28572</v>
      </c>
      <c r="M6152" s="2" t="s">
        <v>8260</v>
      </c>
      <c r="N6152" s="2" t="s">
        <v>29697</v>
      </c>
      <c r="O6152" s="2" t="s">
        <v>869</v>
      </c>
      <c r="P6152" s="2" t="s">
        <v>870</v>
      </c>
    </row>
    <row r="6153" ht="15.75" customHeight="1">
      <c r="H6153" s="2" t="s">
        <v>29698</v>
      </c>
      <c r="I6153" s="2" t="s">
        <v>21140</v>
      </c>
      <c r="J6153" s="2" t="s">
        <v>21141</v>
      </c>
      <c r="K6153" s="2" t="s">
        <v>29699</v>
      </c>
      <c r="L6153" s="2" t="s">
        <v>28572</v>
      </c>
      <c r="M6153" s="2" t="s">
        <v>29700</v>
      </c>
      <c r="N6153" s="2" t="s">
        <v>29701</v>
      </c>
      <c r="O6153" s="2" t="s">
        <v>869</v>
      </c>
      <c r="P6153" s="2" t="s">
        <v>870</v>
      </c>
    </row>
    <row r="6154" ht="15.75" customHeight="1">
      <c r="H6154" s="2" t="s">
        <v>29702</v>
      </c>
      <c r="I6154" s="2" t="s">
        <v>1902</v>
      </c>
      <c r="J6154" s="2" t="s">
        <v>1903</v>
      </c>
      <c r="K6154" s="2" t="s">
        <v>29703</v>
      </c>
      <c r="L6154" s="2" t="s">
        <v>28572</v>
      </c>
      <c r="M6154" s="2" t="s">
        <v>8312</v>
      </c>
      <c r="N6154" s="2" t="s">
        <v>869</v>
      </c>
      <c r="O6154" s="2" t="s">
        <v>870</v>
      </c>
    </row>
    <row r="6155" ht="15.75" customHeight="1">
      <c r="H6155" s="2" t="s">
        <v>29704</v>
      </c>
      <c r="I6155" s="2" t="s">
        <v>2880</v>
      </c>
      <c r="J6155" s="2" t="s">
        <v>2881</v>
      </c>
      <c r="K6155" s="2" t="s">
        <v>29705</v>
      </c>
      <c r="L6155" s="2" t="s">
        <v>28572</v>
      </c>
      <c r="M6155" s="2" t="s">
        <v>8322</v>
      </c>
      <c r="N6155" s="2" t="s">
        <v>29706</v>
      </c>
      <c r="O6155" s="2" t="s">
        <v>869</v>
      </c>
      <c r="P6155" s="2" t="s">
        <v>870</v>
      </c>
    </row>
    <row r="6156" ht="15.75" customHeight="1">
      <c r="F6156" s="2" t="s">
        <v>581</v>
      </c>
      <c r="H6156" s="2" t="s">
        <v>29707</v>
      </c>
      <c r="I6156" s="2" t="s">
        <v>29708</v>
      </c>
      <c r="J6156" s="2" t="s">
        <v>29709</v>
      </c>
      <c r="K6156" s="2" t="s">
        <v>29710</v>
      </c>
      <c r="L6156" s="2" t="s">
        <v>28572</v>
      </c>
      <c r="M6156" s="2" t="s">
        <v>29711</v>
      </c>
      <c r="N6156" s="2" t="s">
        <v>29712</v>
      </c>
      <c r="O6156" s="2" t="s">
        <v>869</v>
      </c>
      <c r="P6156" s="2" t="s">
        <v>870</v>
      </c>
    </row>
    <row r="6157" ht="15.75" customHeight="1">
      <c r="H6157" s="2" t="s">
        <v>29713</v>
      </c>
      <c r="I6157" s="2" t="s">
        <v>29714</v>
      </c>
      <c r="J6157" s="2" t="s">
        <v>29715</v>
      </c>
      <c r="K6157" s="2" t="s">
        <v>29716</v>
      </c>
      <c r="L6157" s="2" t="s">
        <v>28572</v>
      </c>
      <c r="M6157" s="2" t="s">
        <v>29717</v>
      </c>
      <c r="N6157" s="2" t="s">
        <v>29718</v>
      </c>
      <c r="O6157" s="2" t="s">
        <v>869</v>
      </c>
      <c r="P6157" s="2" t="s">
        <v>870</v>
      </c>
    </row>
    <row r="6158" ht="15.75" customHeight="1">
      <c r="H6158" s="2" t="s">
        <v>29719</v>
      </c>
      <c r="I6158" s="2" t="s">
        <v>583</v>
      </c>
      <c r="J6158" s="2" t="s">
        <v>584</v>
      </c>
      <c r="K6158" s="2" t="s">
        <v>29720</v>
      </c>
      <c r="L6158" s="2" t="s">
        <v>28572</v>
      </c>
      <c r="M6158" s="2" t="s">
        <v>8380</v>
      </c>
      <c r="N6158" s="2" t="s">
        <v>29721</v>
      </c>
      <c r="O6158" s="2" t="s">
        <v>869</v>
      </c>
      <c r="P6158" s="2" t="s">
        <v>870</v>
      </c>
    </row>
    <row r="6159" ht="15.75" customHeight="1">
      <c r="F6159" s="2" t="s">
        <v>2902</v>
      </c>
      <c r="H6159" s="2" t="s">
        <v>29722</v>
      </c>
      <c r="I6159" s="2" t="s">
        <v>29723</v>
      </c>
      <c r="J6159" s="2" t="s">
        <v>29724</v>
      </c>
      <c r="K6159" s="2" t="s">
        <v>29725</v>
      </c>
      <c r="L6159" s="2" t="s">
        <v>28572</v>
      </c>
      <c r="M6159" s="2" t="s">
        <v>29726</v>
      </c>
      <c r="N6159" s="2" t="s">
        <v>29727</v>
      </c>
      <c r="O6159" s="2" t="s">
        <v>869</v>
      </c>
      <c r="P6159" s="2" t="s">
        <v>870</v>
      </c>
    </row>
    <row r="6160" ht="15.75" customHeight="1">
      <c r="H6160" s="2" t="s">
        <v>29728</v>
      </c>
      <c r="I6160" s="2" t="s">
        <v>29729</v>
      </c>
      <c r="J6160" s="2" t="s">
        <v>29730</v>
      </c>
      <c r="K6160" s="2" t="s">
        <v>29731</v>
      </c>
      <c r="L6160" s="2" t="s">
        <v>28572</v>
      </c>
      <c r="M6160" s="2" t="s">
        <v>29732</v>
      </c>
      <c r="N6160" s="2" t="s">
        <v>29733</v>
      </c>
      <c r="O6160" s="2" t="s">
        <v>869</v>
      </c>
      <c r="P6160" s="2" t="s">
        <v>870</v>
      </c>
    </row>
    <row r="6161" ht="15.75" customHeight="1">
      <c r="H6161" s="2" t="s">
        <v>29734</v>
      </c>
      <c r="I6161" s="2" t="s">
        <v>29735</v>
      </c>
      <c r="J6161" s="2" t="s">
        <v>29736</v>
      </c>
      <c r="K6161" s="2" t="s">
        <v>29737</v>
      </c>
      <c r="L6161" s="2" t="s">
        <v>28572</v>
      </c>
      <c r="M6161" s="2" t="s">
        <v>29738</v>
      </c>
      <c r="N6161" s="2" t="s">
        <v>29733</v>
      </c>
      <c r="O6161" s="2" t="s">
        <v>869</v>
      </c>
      <c r="P6161" s="2" t="s">
        <v>870</v>
      </c>
    </row>
    <row r="6162" ht="15.75" customHeight="1">
      <c r="H6162" s="2" t="s">
        <v>29739</v>
      </c>
      <c r="I6162" s="2" t="s">
        <v>2925</v>
      </c>
      <c r="J6162" s="2" t="s">
        <v>2926</v>
      </c>
      <c r="K6162" s="2" t="s">
        <v>29740</v>
      </c>
      <c r="L6162" s="2" t="s">
        <v>28572</v>
      </c>
      <c r="M6162" s="2" t="s">
        <v>29741</v>
      </c>
      <c r="N6162" s="2" t="s">
        <v>29742</v>
      </c>
      <c r="O6162" s="2" t="s">
        <v>869</v>
      </c>
      <c r="P6162" s="2" t="s">
        <v>870</v>
      </c>
    </row>
    <row r="6163" ht="15.75" customHeight="1">
      <c r="H6163" s="2" t="s">
        <v>29743</v>
      </c>
      <c r="I6163" s="2" t="s">
        <v>29744</v>
      </c>
      <c r="J6163" s="2" t="s">
        <v>29745</v>
      </c>
      <c r="K6163" s="2" t="s">
        <v>29746</v>
      </c>
      <c r="L6163" s="2" t="s">
        <v>28572</v>
      </c>
      <c r="M6163" s="2" t="s">
        <v>29747</v>
      </c>
      <c r="N6163" s="2" t="s">
        <v>29748</v>
      </c>
      <c r="O6163" s="2" t="s">
        <v>869</v>
      </c>
      <c r="P6163" s="2" t="s">
        <v>870</v>
      </c>
    </row>
    <row r="6164" ht="15.75" customHeight="1">
      <c r="H6164" s="2" t="s">
        <v>29749</v>
      </c>
      <c r="I6164" s="2" t="s">
        <v>29750</v>
      </c>
      <c r="J6164" s="2" t="s">
        <v>29751</v>
      </c>
      <c r="K6164" s="2" t="s">
        <v>29752</v>
      </c>
      <c r="L6164" s="2" t="s">
        <v>28572</v>
      </c>
      <c r="M6164" s="2" t="s">
        <v>29753</v>
      </c>
      <c r="N6164" s="2" t="s">
        <v>29754</v>
      </c>
      <c r="O6164" s="2" t="s">
        <v>869</v>
      </c>
      <c r="P6164" s="2" t="s">
        <v>870</v>
      </c>
    </row>
    <row r="6165" ht="15.75" customHeight="1">
      <c r="H6165" s="2" t="s">
        <v>29755</v>
      </c>
      <c r="I6165" s="2" t="s">
        <v>8591</v>
      </c>
      <c r="J6165" s="2" t="s">
        <v>8592</v>
      </c>
      <c r="K6165" s="2" t="s">
        <v>29756</v>
      </c>
      <c r="L6165" s="2" t="s">
        <v>28572</v>
      </c>
      <c r="M6165" s="2" t="s">
        <v>29757</v>
      </c>
      <c r="N6165" s="2" t="s">
        <v>29758</v>
      </c>
      <c r="O6165" s="2" t="s">
        <v>869</v>
      </c>
      <c r="P6165" s="2" t="s">
        <v>870</v>
      </c>
    </row>
    <row r="6166" ht="15.75" customHeight="1">
      <c r="H6166" s="2" t="s">
        <v>29759</v>
      </c>
      <c r="I6166" s="2" t="s">
        <v>2956</v>
      </c>
      <c r="J6166" s="2" t="s">
        <v>2957</v>
      </c>
      <c r="K6166" s="2" t="s">
        <v>29760</v>
      </c>
      <c r="L6166" s="2" t="s">
        <v>28572</v>
      </c>
      <c r="M6166" s="2" t="s">
        <v>29761</v>
      </c>
      <c r="N6166" s="2" t="s">
        <v>29762</v>
      </c>
      <c r="O6166" s="2" t="s">
        <v>869</v>
      </c>
      <c r="P6166" s="2" t="s">
        <v>870</v>
      </c>
    </row>
    <row r="6167" ht="15.75" customHeight="1">
      <c r="F6167" s="2" t="s">
        <v>598</v>
      </c>
      <c r="H6167" s="2" t="s">
        <v>29763</v>
      </c>
      <c r="I6167" s="2" t="s">
        <v>29764</v>
      </c>
      <c r="J6167" s="2" t="s">
        <v>29765</v>
      </c>
      <c r="K6167" s="2" t="s">
        <v>29766</v>
      </c>
      <c r="L6167" s="2" t="s">
        <v>28572</v>
      </c>
      <c r="M6167" s="2" t="s">
        <v>29767</v>
      </c>
      <c r="N6167" s="2" t="s">
        <v>29768</v>
      </c>
      <c r="O6167" s="2" t="s">
        <v>869</v>
      </c>
      <c r="P6167" s="2" t="s">
        <v>870</v>
      </c>
    </row>
    <row r="6168" ht="15.75" customHeight="1">
      <c r="H6168" s="2" t="s">
        <v>29769</v>
      </c>
      <c r="I6168" s="2" t="s">
        <v>29770</v>
      </c>
      <c r="J6168" s="2" t="s">
        <v>29771</v>
      </c>
      <c r="K6168" s="2" t="s">
        <v>29772</v>
      </c>
      <c r="L6168" s="2" t="s">
        <v>28572</v>
      </c>
      <c r="M6168" s="2" t="s">
        <v>29773</v>
      </c>
      <c r="N6168" s="2" t="s">
        <v>29774</v>
      </c>
      <c r="O6168" s="2" t="s">
        <v>869</v>
      </c>
      <c r="P6168" s="2" t="s">
        <v>870</v>
      </c>
    </row>
    <row r="6169" ht="15.75" customHeight="1">
      <c r="H6169" s="2" t="s">
        <v>29775</v>
      </c>
      <c r="I6169" s="2" t="s">
        <v>29776</v>
      </c>
      <c r="J6169" s="2" t="s">
        <v>29777</v>
      </c>
      <c r="K6169" s="2" t="s">
        <v>29778</v>
      </c>
      <c r="L6169" s="2" t="s">
        <v>28572</v>
      </c>
      <c r="M6169" s="2" t="s">
        <v>29779</v>
      </c>
      <c r="N6169" s="2" t="s">
        <v>29780</v>
      </c>
      <c r="O6169" s="2" t="s">
        <v>869</v>
      </c>
      <c r="P6169" s="2" t="s">
        <v>870</v>
      </c>
    </row>
    <row r="6170" ht="15.75" customHeight="1">
      <c r="H6170" s="2" t="s">
        <v>29781</v>
      </c>
      <c r="I6170" s="2" t="s">
        <v>20153</v>
      </c>
      <c r="J6170" s="2" t="s">
        <v>20154</v>
      </c>
      <c r="K6170" s="2" t="s">
        <v>29782</v>
      </c>
      <c r="L6170" s="2" t="s">
        <v>28572</v>
      </c>
      <c r="M6170" s="2" t="s">
        <v>29783</v>
      </c>
      <c r="N6170" s="2" t="s">
        <v>29784</v>
      </c>
      <c r="O6170" s="2" t="s">
        <v>869</v>
      </c>
      <c r="P6170" s="2" t="s">
        <v>870</v>
      </c>
    </row>
    <row r="6171" ht="15.75" customHeight="1">
      <c r="H6171" s="2" t="s">
        <v>29785</v>
      </c>
      <c r="I6171" s="2" t="s">
        <v>8755</v>
      </c>
      <c r="J6171" s="2" t="s">
        <v>8756</v>
      </c>
      <c r="K6171" s="2" t="s">
        <v>29786</v>
      </c>
      <c r="L6171" s="2" t="s">
        <v>28572</v>
      </c>
      <c r="M6171" s="2" t="s">
        <v>29787</v>
      </c>
      <c r="N6171" s="2" t="s">
        <v>29788</v>
      </c>
      <c r="O6171" s="2" t="s">
        <v>869</v>
      </c>
      <c r="P6171" s="2" t="s">
        <v>870</v>
      </c>
    </row>
    <row r="6172" ht="15.75" customHeight="1">
      <c r="H6172" s="2" t="s">
        <v>29789</v>
      </c>
      <c r="I6172" s="2" t="s">
        <v>29790</v>
      </c>
      <c r="J6172" s="2" t="s">
        <v>29791</v>
      </c>
      <c r="K6172" s="2" t="s">
        <v>29792</v>
      </c>
      <c r="L6172" s="2" t="s">
        <v>28572</v>
      </c>
      <c r="M6172" s="2" t="s">
        <v>29793</v>
      </c>
      <c r="N6172" s="2" t="s">
        <v>29794</v>
      </c>
      <c r="O6172" s="2" t="s">
        <v>869</v>
      </c>
      <c r="P6172" s="2" t="s">
        <v>870</v>
      </c>
    </row>
    <row r="6173" ht="15.75" customHeight="1">
      <c r="H6173" s="2" t="s">
        <v>29795</v>
      </c>
      <c r="I6173" s="2" t="s">
        <v>29796</v>
      </c>
      <c r="J6173" s="2" t="s">
        <v>29797</v>
      </c>
      <c r="K6173" s="2" t="s">
        <v>29798</v>
      </c>
      <c r="L6173" s="2" t="s">
        <v>28572</v>
      </c>
      <c r="M6173" s="2" t="s">
        <v>29799</v>
      </c>
      <c r="N6173" s="2" t="s">
        <v>29800</v>
      </c>
      <c r="O6173" s="2" t="s">
        <v>869</v>
      </c>
      <c r="P6173" s="2" t="s">
        <v>870</v>
      </c>
    </row>
    <row r="6174" ht="15.75" customHeight="1">
      <c r="H6174" s="2" t="s">
        <v>29801</v>
      </c>
      <c r="I6174" s="2" t="s">
        <v>29802</v>
      </c>
      <c r="J6174" s="2" t="s">
        <v>29803</v>
      </c>
      <c r="K6174" s="2" t="s">
        <v>1439</v>
      </c>
    </row>
    <row r="6175" ht="15.75" customHeight="1">
      <c r="F6175" s="2" t="s">
        <v>3062</v>
      </c>
      <c r="H6175" s="2" t="s">
        <v>29804</v>
      </c>
      <c r="I6175" s="2" t="s">
        <v>3064</v>
      </c>
      <c r="J6175" s="2" t="s">
        <v>3065</v>
      </c>
      <c r="K6175" s="2" t="s">
        <v>29805</v>
      </c>
      <c r="L6175" s="2" t="s">
        <v>28572</v>
      </c>
      <c r="M6175" s="2" t="s">
        <v>29806</v>
      </c>
      <c r="N6175" s="2" t="s">
        <v>29807</v>
      </c>
      <c r="O6175" s="2" t="s">
        <v>869</v>
      </c>
      <c r="P6175" s="2" t="s">
        <v>870</v>
      </c>
    </row>
    <row r="6176" ht="15.75" customHeight="1">
      <c r="H6176" s="2" t="s">
        <v>29808</v>
      </c>
      <c r="I6176" s="2" t="s">
        <v>29809</v>
      </c>
      <c r="J6176" s="2" t="s">
        <v>29810</v>
      </c>
      <c r="K6176" s="2" t="s">
        <v>29811</v>
      </c>
      <c r="L6176" s="2" t="s">
        <v>28572</v>
      </c>
      <c r="M6176" s="2" t="s">
        <v>29812</v>
      </c>
      <c r="N6176" s="2" t="s">
        <v>29813</v>
      </c>
      <c r="O6176" s="2" t="s">
        <v>869</v>
      </c>
      <c r="P6176" s="2" t="s">
        <v>870</v>
      </c>
    </row>
    <row r="6177" ht="15.75" customHeight="1">
      <c r="H6177" s="2" t="s">
        <v>29814</v>
      </c>
      <c r="I6177" s="2" t="s">
        <v>29815</v>
      </c>
      <c r="J6177" s="2" t="s">
        <v>29816</v>
      </c>
      <c r="K6177" s="2" t="s">
        <v>29817</v>
      </c>
      <c r="L6177" s="2" t="s">
        <v>28572</v>
      </c>
      <c r="M6177" s="2" t="s">
        <v>29818</v>
      </c>
      <c r="N6177" s="2" t="s">
        <v>29819</v>
      </c>
      <c r="O6177" s="2" t="s">
        <v>869</v>
      </c>
      <c r="P6177" s="2" t="s">
        <v>870</v>
      </c>
    </row>
    <row r="6178" ht="15.75" customHeight="1">
      <c r="F6178" s="2" t="s">
        <v>3079</v>
      </c>
      <c r="H6178" s="2" t="s">
        <v>29820</v>
      </c>
      <c r="I6178" s="2" t="s">
        <v>29821</v>
      </c>
      <c r="J6178" s="2" t="s">
        <v>29822</v>
      </c>
      <c r="K6178" s="2" t="s">
        <v>29823</v>
      </c>
      <c r="L6178" s="2" t="s">
        <v>28572</v>
      </c>
      <c r="M6178" s="2" t="s">
        <v>29824</v>
      </c>
      <c r="N6178" s="2" t="s">
        <v>29825</v>
      </c>
      <c r="O6178" s="2" t="s">
        <v>869</v>
      </c>
      <c r="P6178" s="2" t="s">
        <v>870</v>
      </c>
    </row>
    <row r="6179" ht="15.75" customHeight="1">
      <c r="H6179" s="2" t="s">
        <v>29826</v>
      </c>
      <c r="I6179" s="2" t="s">
        <v>3101</v>
      </c>
      <c r="J6179" s="2" t="s">
        <v>3102</v>
      </c>
      <c r="K6179" s="2" t="s">
        <v>29827</v>
      </c>
      <c r="L6179" s="2" t="s">
        <v>28572</v>
      </c>
      <c r="M6179" s="2" t="s">
        <v>29828</v>
      </c>
      <c r="N6179" s="2" t="s">
        <v>29829</v>
      </c>
      <c r="O6179" s="2" t="s">
        <v>869</v>
      </c>
      <c r="P6179" s="2" t="s">
        <v>870</v>
      </c>
    </row>
    <row r="6180" ht="15.75" customHeight="1">
      <c r="H6180" s="2" t="s">
        <v>29830</v>
      </c>
      <c r="I6180" s="2" t="s">
        <v>3120</v>
      </c>
      <c r="J6180" s="2" t="s">
        <v>3121</v>
      </c>
      <c r="K6180" s="2" t="s">
        <v>29831</v>
      </c>
      <c r="L6180" s="2" t="s">
        <v>28572</v>
      </c>
      <c r="M6180" s="2" t="s">
        <v>3122</v>
      </c>
      <c r="N6180" s="2" t="s">
        <v>29832</v>
      </c>
      <c r="O6180" s="2" t="s">
        <v>869</v>
      </c>
      <c r="P6180" s="2" t="s">
        <v>870</v>
      </c>
    </row>
    <row r="6181" ht="15.75" customHeight="1">
      <c r="H6181" s="2" t="s">
        <v>29833</v>
      </c>
      <c r="I6181" s="2" t="s">
        <v>29834</v>
      </c>
      <c r="J6181" s="2" t="s">
        <v>29835</v>
      </c>
      <c r="K6181" s="2" t="s">
        <v>29836</v>
      </c>
      <c r="L6181" s="2" t="s">
        <v>28572</v>
      </c>
      <c r="M6181" s="2" t="s">
        <v>29837</v>
      </c>
      <c r="N6181" s="2" t="s">
        <v>29838</v>
      </c>
      <c r="O6181" s="2" t="s">
        <v>869</v>
      </c>
      <c r="P6181" s="2" t="s">
        <v>870</v>
      </c>
    </row>
    <row r="6182" ht="15.75" customHeight="1">
      <c r="F6182" s="2" t="s">
        <v>3129</v>
      </c>
      <c r="H6182" s="2" t="s">
        <v>29839</v>
      </c>
      <c r="I6182" s="2" t="s">
        <v>8263</v>
      </c>
      <c r="J6182" s="2" t="s">
        <v>8264</v>
      </c>
      <c r="K6182" s="2" t="s">
        <v>29840</v>
      </c>
      <c r="L6182" s="2" t="s">
        <v>28572</v>
      </c>
      <c r="M6182" s="2" t="s">
        <v>29841</v>
      </c>
      <c r="N6182" s="2" t="s">
        <v>29842</v>
      </c>
      <c r="O6182" s="2" t="s">
        <v>869</v>
      </c>
      <c r="P6182" s="2" t="s">
        <v>870</v>
      </c>
    </row>
    <row r="6183" ht="15.75" customHeight="1">
      <c r="H6183" s="2" t="s">
        <v>29843</v>
      </c>
      <c r="I6183" s="2" t="s">
        <v>3146</v>
      </c>
      <c r="J6183" s="2" t="s">
        <v>3147</v>
      </c>
      <c r="K6183" s="2" t="s">
        <v>29844</v>
      </c>
      <c r="L6183" s="2" t="s">
        <v>28572</v>
      </c>
      <c r="M6183" s="2" t="s">
        <v>27642</v>
      </c>
      <c r="N6183" s="2" t="s">
        <v>29845</v>
      </c>
      <c r="O6183" s="2" t="s">
        <v>869</v>
      </c>
      <c r="P6183" s="2" t="s">
        <v>870</v>
      </c>
    </row>
    <row r="6184" ht="15.75" customHeight="1">
      <c r="H6184" s="2" t="s">
        <v>29846</v>
      </c>
      <c r="I6184" s="2" t="s">
        <v>27648</v>
      </c>
      <c r="J6184" s="2" t="s">
        <v>27649</v>
      </c>
      <c r="K6184" s="2" t="s">
        <v>29847</v>
      </c>
      <c r="L6184" s="2" t="s">
        <v>28572</v>
      </c>
      <c r="M6184" s="2" t="s">
        <v>27650</v>
      </c>
      <c r="N6184" s="2" t="s">
        <v>29848</v>
      </c>
      <c r="O6184" s="2" t="s">
        <v>869</v>
      </c>
      <c r="P6184" s="2" t="s">
        <v>870</v>
      </c>
    </row>
    <row r="6185" ht="15.75" customHeight="1">
      <c r="H6185" s="2" t="s">
        <v>29849</v>
      </c>
      <c r="I6185" s="2" t="s">
        <v>29850</v>
      </c>
      <c r="J6185" s="2" t="s">
        <v>29851</v>
      </c>
      <c r="K6185" s="2" t="s">
        <v>29852</v>
      </c>
      <c r="L6185" s="2" t="s">
        <v>28572</v>
      </c>
      <c r="M6185" s="2" t="s">
        <v>29853</v>
      </c>
      <c r="N6185" s="2" t="s">
        <v>29854</v>
      </c>
      <c r="O6185" s="2" t="s">
        <v>869</v>
      </c>
      <c r="P6185" s="2" t="s">
        <v>870</v>
      </c>
    </row>
    <row r="6186" ht="15.75" customHeight="1">
      <c r="H6186" s="2" t="s">
        <v>29855</v>
      </c>
      <c r="I6186" s="2" t="s">
        <v>29856</v>
      </c>
      <c r="J6186" s="2" t="s">
        <v>29857</v>
      </c>
      <c r="K6186" s="2" t="s">
        <v>1551</v>
      </c>
      <c r="L6186" s="2" t="s">
        <v>28572</v>
      </c>
      <c r="M6186" s="2" t="s">
        <v>29858</v>
      </c>
      <c r="N6186" s="2" t="s">
        <v>869</v>
      </c>
      <c r="O6186" s="2" t="s">
        <v>870</v>
      </c>
    </row>
    <row r="6187" ht="15.75" customHeight="1">
      <c r="F6187" s="2" t="s">
        <v>3170</v>
      </c>
      <c r="H6187" s="2" t="s">
        <v>29859</v>
      </c>
      <c r="I6187" s="2" t="s">
        <v>3177</v>
      </c>
      <c r="J6187" s="2" t="s">
        <v>3178</v>
      </c>
      <c r="K6187" s="2" t="s">
        <v>29860</v>
      </c>
      <c r="L6187" s="2" t="s">
        <v>28572</v>
      </c>
      <c r="M6187" s="2" t="s">
        <v>29861</v>
      </c>
      <c r="N6187" s="2" t="s">
        <v>29862</v>
      </c>
      <c r="O6187" s="2" t="s">
        <v>869</v>
      </c>
      <c r="P6187" s="2" t="s">
        <v>870</v>
      </c>
    </row>
    <row r="6188" ht="15.75" customHeight="1">
      <c r="F6188" s="2" t="s">
        <v>624</v>
      </c>
      <c r="H6188" s="2" t="s">
        <v>29863</v>
      </c>
      <c r="I6188" s="2" t="s">
        <v>3429</v>
      </c>
      <c r="J6188" s="2" t="s">
        <v>3430</v>
      </c>
      <c r="K6188" s="2" t="s">
        <v>29864</v>
      </c>
      <c r="L6188" s="2" t="s">
        <v>28572</v>
      </c>
      <c r="M6188" s="2" t="s">
        <v>29865</v>
      </c>
      <c r="N6188" s="2" t="s">
        <v>29866</v>
      </c>
      <c r="O6188" s="2" t="s">
        <v>869</v>
      </c>
      <c r="P6188" s="2" t="s">
        <v>870</v>
      </c>
    </row>
    <row r="6189" ht="15.75" customHeight="1">
      <c r="H6189" s="2" t="s">
        <v>29867</v>
      </c>
      <c r="I6189" s="2" t="s">
        <v>9020</v>
      </c>
      <c r="J6189" s="2" t="s">
        <v>9021</v>
      </c>
      <c r="K6189" s="2" t="s">
        <v>29868</v>
      </c>
      <c r="L6189" s="2" t="s">
        <v>28572</v>
      </c>
      <c r="M6189" s="2" t="s">
        <v>26386</v>
      </c>
      <c r="N6189" s="2" t="s">
        <v>29869</v>
      </c>
      <c r="O6189" s="2" t="s">
        <v>869</v>
      </c>
      <c r="P6189" s="2" t="s">
        <v>870</v>
      </c>
    </row>
    <row r="6190" ht="15.75" customHeight="1">
      <c r="H6190" s="2" t="s">
        <v>29870</v>
      </c>
      <c r="I6190" s="2" t="s">
        <v>29871</v>
      </c>
      <c r="J6190" s="2" t="s">
        <v>29872</v>
      </c>
      <c r="K6190" s="2" t="s">
        <v>29873</v>
      </c>
      <c r="L6190" s="2" t="s">
        <v>28572</v>
      </c>
      <c r="M6190" s="2" t="s">
        <v>29874</v>
      </c>
      <c r="N6190" s="2" t="s">
        <v>29875</v>
      </c>
      <c r="O6190" s="2" t="s">
        <v>869</v>
      </c>
      <c r="P6190" s="2" t="s">
        <v>870</v>
      </c>
    </row>
    <row r="6191" ht="15.75" customHeight="1">
      <c r="H6191" s="2" t="s">
        <v>29876</v>
      </c>
      <c r="I6191" s="2" t="s">
        <v>3221</v>
      </c>
      <c r="J6191" s="2" t="s">
        <v>3222</v>
      </c>
      <c r="K6191" s="2" t="s">
        <v>29877</v>
      </c>
      <c r="L6191" s="2" t="s">
        <v>29878</v>
      </c>
      <c r="M6191" s="2" t="s">
        <v>29879</v>
      </c>
      <c r="N6191" s="2" t="s">
        <v>29880</v>
      </c>
      <c r="O6191" s="2" t="s">
        <v>869</v>
      </c>
      <c r="P6191" s="2" t="s">
        <v>870</v>
      </c>
    </row>
    <row r="6192" ht="15.75" customHeight="1">
      <c r="H6192" s="2" t="s">
        <v>29881</v>
      </c>
      <c r="I6192" s="2" t="s">
        <v>29882</v>
      </c>
      <c r="J6192" s="2" t="s">
        <v>29883</v>
      </c>
      <c r="K6192" s="2" t="s">
        <v>29884</v>
      </c>
      <c r="L6192" s="2" t="s">
        <v>28572</v>
      </c>
      <c r="M6192" s="2" t="s">
        <v>29885</v>
      </c>
      <c r="N6192" s="2" t="s">
        <v>29886</v>
      </c>
      <c r="O6192" s="2" t="s">
        <v>869</v>
      </c>
      <c r="P6192" s="2" t="s">
        <v>870</v>
      </c>
    </row>
    <row r="6193" ht="15.75" customHeight="1">
      <c r="H6193" s="2" t="s">
        <v>29887</v>
      </c>
      <c r="I6193" s="2" t="s">
        <v>19495</v>
      </c>
      <c r="J6193" s="2" t="s">
        <v>19496</v>
      </c>
      <c r="K6193" s="2" t="s">
        <v>29888</v>
      </c>
      <c r="L6193" s="2" t="s">
        <v>28572</v>
      </c>
      <c r="M6193" s="2" t="s">
        <v>29889</v>
      </c>
      <c r="N6193" s="2" t="s">
        <v>29890</v>
      </c>
      <c r="O6193" s="2" t="s">
        <v>869</v>
      </c>
      <c r="P6193" s="2" t="s">
        <v>870</v>
      </c>
    </row>
    <row r="6194" ht="15.75" customHeight="1">
      <c r="H6194" s="2" t="s">
        <v>29891</v>
      </c>
      <c r="I6194" s="2" t="s">
        <v>29892</v>
      </c>
      <c r="J6194" s="2" t="s">
        <v>29893</v>
      </c>
      <c r="K6194" s="2" t="s">
        <v>29894</v>
      </c>
      <c r="L6194" s="2" t="s">
        <v>28572</v>
      </c>
      <c r="M6194" s="2" t="s">
        <v>29895</v>
      </c>
      <c r="N6194" s="2" t="s">
        <v>29896</v>
      </c>
      <c r="O6194" s="2" t="s">
        <v>869</v>
      </c>
      <c r="P6194" s="2" t="s">
        <v>870</v>
      </c>
    </row>
    <row r="6195" ht="15.75" customHeight="1">
      <c r="H6195" s="2" t="s">
        <v>29897</v>
      </c>
      <c r="I6195" s="2" t="s">
        <v>29898</v>
      </c>
      <c r="J6195" s="2" t="s">
        <v>29899</v>
      </c>
      <c r="K6195" s="2" t="s">
        <v>29900</v>
      </c>
      <c r="L6195" s="2" t="s">
        <v>28572</v>
      </c>
      <c r="M6195" s="2" t="s">
        <v>29901</v>
      </c>
      <c r="N6195" s="2" t="s">
        <v>869</v>
      </c>
      <c r="O6195" s="2" t="s">
        <v>870</v>
      </c>
    </row>
    <row r="6196" ht="15.75" customHeight="1">
      <c r="H6196" s="2" t="s">
        <v>29902</v>
      </c>
      <c r="I6196" s="2" t="s">
        <v>3256</v>
      </c>
      <c r="J6196" s="2" t="s">
        <v>3257</v>
      </c>
      <c r="K6196" s="2" t="s">
        <v>29903</v>
      </c>
      <c r="L6196" s="2" t="s">
        <v>28572</v>
      </c>
      <c r="M6196" s="2" t="s">
        <v>29904</v>
      </c>
      <c r="N6196" s="2" t="s">
        <v>29905</v>
      </c>
      <c r="O6196" s="2" t="s">
        <v>869</v>
      </c>
      <c r="P6196" s="2" t="s">
        <v>870</v>
      </c>
    </row>
    <row r="6197" ht="15.75" customHeight="1">
      <c r="H6197" s="2" t="s">
        <v>29906</v>
      </c>
      <c r="I6197" s="2" t="s">
        <v>4528</v>
      </c>
      <c r="J6197" s="2" t="s">
        <v>4529</v>
      </c>
      <c r="K6197" s="2" t="s">
        <v>29907</v>
      </c>
      <c r="L6197" s="2" t="s">
        <v>28572</v>
      </c>
      <c r="M6197" s="2" t="s">
        <v>29908</v>
      </c>
      <c r="N6197" s="2" t="s">
        <v>29909</v>
      </c>
      <c r="O6197" s="2" t="s">
        <v>869</v>
      </c>
      <c r="P6197" s="2" t="s">
        <v>870</v>
      </c>
    </row>
    <row r="6198" ht="15.75" customHeight="1">
      <c r="H6198" s="2" t="s">
        <v>29910</v>
      </c>
      <c r="I6198" s="2" t="s">
        <v>9107</v>
      </c>
      <c r="J6198" s="2" t="s">
        <v>9108</v>
      </c>
      <c r="K6198" s="2" t="s">
        <v>29911</v>
      </c>
      <c r="L6198" s="2" t="s">
        <v>28572</v>
      </c>
      <c r="M6198" s="2" t="s">
        <v>29912</v>
      </c>
      <c r="N6198" s="2" t="s">
        <v>29913</v>
      </c>
      <c r="O6198" s="2" t="s">
        <v>869</v>
      </c>
      <c r="P6198" s="2" t="s">
        <v>870</v>
      </c>
    </row>
    <row r="6199" ht="15.75" customHeight="1">
      <c r="H6199" s="2" t="s">
        <v>29914</v>
      </c>
      <c r="I6199" s="2" t="s">
        <v>8859</v>
      </c>
      <c r="J6199" s="2" t="s">
        <v>8860</v>
      </c>
      <c r="K6199" s="2" t="s">
        <v>29915</v>
      </c>
      <c r="L6199" s="2" t="s">
        <v>28572</v>
      </c>
      <c r="M6199" s="2" t="s">
        <v>29916</v>
      </c>
      <c r="N6199" s="2" t="s">
        <v>29917</v>
      </c>
      <c r="O6199" s="2" t="s">
        <v>869</v>
      </c>
      <c r="P6199" s="2" t="s">
        <v>870</v>
      </c>
    </row>
    <row r="6200" ht="15.75" customHeight="1">
      <c r="H6200" s="2" t="s">
        <v>29918</v>
      </c>
      <c r="I6200" s="2" t="s">
        <v>29919</v>
      </c>
      <c r="J6200" s="2" t="s">
        <v>29920</v>
      </c>
      <c r="K6200" s="2" t="s">
        <v>29921</v>
      </c>
      <c r="L6200" s="2" t="s">
        <v>29922</v>
      </c>
      <c r="M6200" s="2" t="s">
        <v>29923</v>
      </c>
      <c r="N6200" s="2" t="s">
        <v>29924</v>
      </c>
      <c r="O6200" s="2" t="s">
        <v>869</v>
      </c>
      <c r="P6200" s="2" t="s">
        <v>870</v>
      </c>
    </row>
    <row r="6201" ht="15.75" customHeight="1">
      <c r="F6201" s="2" t="s">
        <v>634</v>
      </c>
      <c r="H6201" s="2" t="s">
        <v>29925</v>
      </c>
      <c r="I6201" s="2" t="s">
        <v>9141</v>
      </c>
      <c r="J6201" s="2" t="s">
        <v>9142</v>
      </c>
      <c r="K6201" s="2" t="s">
        <v>29926</v>
      </c>
      <c r="L6201" s="2" t="s">
        <v>28572</v>
      </c>
      <c r="M6201" s="2" t="s">
        <v>29927</v>
      </c>
      <c r="N6201" s="2" t="s">
        <v>29928</v>
      </c>
      <c r="O6201" s="2" t="s">
        <v>869</v>
      </c>
      <c r="P6201" s="2" t="s">
        <v>870</v>
      </c>
    </row>
    <row r="6202" ht="15.75" customHeight="1">
      <c r="H6202" s="2" t="s">
        <v>29929</v>
      </c>
      <c r="I6202" s="2" t="s">
        <v>644</v>
      </c>
      <c r="J6202" s="2" t="s">
        <v>645</v>
      </c>
      <c r="K6202" s="2" t="s">
        <v>29930</v>
      </c>
      <c r="L6202" s="2" t="s">
        <v>28572</v>
      </c>
      <c r="M6202" s="2" t="s">
        <v>29931</v>
      </c>
      <c r="N6202" s="2" t="s">
        <v>29932</v>
      </c>
      <c r="O6202" s="2" t="s">
        <v>869</v>
      </c>
      <c r="P6202" s="2" t="s">
        <v>870</v>
      </c>
    </row>
    <row r="6203" ht="15.75" customHeight="1">
      <c r="H6203" s="2" t="s">
        <v>29933</v>
      </c>
      <c r="I6203" s="2" t="s">
        <v>3357</v>
      </c>
      <c r="J6203" s="2" t="s">
        <v>3358</v>
      </c>
      <c r="K6203" s="2" t="s">
        <v>29934</v>
      </c>
      <c r="L6203" s="2" t="s">
        <v>28572</v>
      </c>
      <c r="M6203" s="2" t="s">
        <v>29935</v>
      </c>
      <c r="N6203" s="2" t="s">
        <v>29936</v>
      </c>
      <c r="O6203" s="2" t="s">
        <v>869</v>
      </c>
      <c r="P6203" s="2" t="s">
        <v>870</v>
      </c>
    </row>
    <row r="6204" ht="15.75" customHeight="1">
      <c r="H6204" s="2" t="s">
        <v>29937</v>
      </c>
      <c r="I6204" s="2" t="s">
        <v>29938</v>
      </c>
      <c r="J6204" s="2" t="s">
        <v>29939</v>
      </c>
      <c r="K6204" s="2" t="s">
        <v>29940</v>
      </c>
      <c r="L6204" s="2" t="s">
        <v>28572</v>
      </c>
      <c r="M6204" s="2" t="s">
        <v>29941</v>
      </c>
      <c r="N6204" s="2" t="s">
        <v>29942</v>
      </c>
      <c r="O6204" s="2" t="s">
        <v>869</v>
      </c>
      <c r="P6204" s="2" t="s">
        <v>870</v>
      </c>
    </row>
    <row r="6205" ht="15.75" customHeight="1">
      <c r="H6205" s="2" t="s">
        <v>29943</v>
      </c>
      <c r="I6205" s="2" t="s">
        <v>29944</v>
      </c>
      <c r="J6205" s="2" t="s">
        <v>29945</v>
      </c>
      <c r="K6205" s="2" t="s">
        <v>29946</v>
      </c>
      <c r="L6205" s="2" t="s">
        <v>28572</v>
      </c>
      <c r="M6205" s="2" t="s">
        <v>29947</v>
      </c>
      <c r="N6205" s="2" t="s">
        <v>29948</v>
      </c>
      <c r="O6205" s="2" t="s">
        <v>869</v>
      </c>
      <c r="P6205" s="2" t="s">
        <v>870</v>
      </c>
    </row>
    <row r="6206" ht="15.75" customHeight="1">
      <c r="F6206" s="2" t="s">
        <v>3384</v>
      </c>
      <c r="H6206" s="2" t="s">
        <v>29949</v>
      </c>
      <c r="I6206" s="2" t="s">
        <v>3401</v>
      </c>
      <c r="J6206" s="2" t="s">
        <v>3402</v>
      </c>
      <c r="K6206" s="2" t="s">
        <v>29950</v>
      </c>
      <c r="L6206" s="2" t="s">
        <v>28572</v>
      </c>
      <c r="M6206" s="2" t="s">
        <v>29951</v>
      </c>
      <c r="N6206" s="2" t="s">
        <v>29952</v>
      </c>
      <c r="O6206" s="2" t="s">
        <v>869</v>
      </c>
      <c r="P6206" s="2" t="s">
        <v>870</v>
      </c>
    </row>
    <row r="6207" ht="15.75" customHeight="1">
      <c r="F6207" s="2" t="s">
        <v>651</v>
      </c>
      <c r="H6207" s="2" t="s">
        <v>29953</v>
      </c>
      <c r="I6207" s="2" t="s">
        <v>3439</v>
      </c>
      <c r="J6207" s="2" t="s">
        <v>3440</v>
      </c>
      <c r="K6207" s="2" t="s">
        <v>29954</v>
      </c>
      <c r="L6207" s="2" t="s">
        <v>28572</v>
      </c>
      <c r="M6207" s="2" t="s">
        <v>29955</v>
      </c>
      <c r="N6207" s="2" t="s">
        <v>29956</v>
      </c>
      <c r="O6207" s="2" t="s">
        <v>869</v>
      </c>
      <c r="P6207" s="2" t="s">
        <v>870</v>
      </c>
    </row>
    <row r="6208" ht="15.75" customHeight="1">
      <c r="H6208" s="2" t="s">
        <v>29957</v>
      </c>
      <c r="I6208" s="2" t="s">
        <v>29958</v>
      </c>
      <c r="J6208" s="2" t="s">
        <v>29959</v>
      </c>
      <c r="K6208" s="2" t="s">
        <v>29960</v>
      </c>
      <c r="L6208" s="2" t="s">
        <v>28572</v>
      </c>
      <c r="M6208" s="2" t="s">
        <v>29961</v>
      </c>
      <c r="N6208" s="2" t="s">
        <v>29962</v>
      </c>
      <c r="O6208" s="2" t="s">
        <v>869</v>
      </c>
      <c r="P6208" s="2" t="s">
        <v>870</v>
      </c>
    </row>
    <row r="6209" ht="15.75" customHeight="1">
      <c r="H6209" s="2" t="s">
        <v>29963</v>
      </c>
      <c r="I6209" s="2" t="s">
        <v>653</v>
      </c>
      <c r="J6209" s="2" t="s">
        <v>654</v>
      </c>
      <c r="K6209" s="2" t="s">
        <v>29964</v>
      </c>
      <c r="L6209" s="2" t="s">
        <v>28572</v>
      </c>
      <c r="M6209" s="2" t="s">
        <v>29965</v>
      </c>
      <c r="N6209" s="2" t="s">
        <v>29966</v>
      </c>
      <c r="O6209" s="2" t="s">
        <v>869</v>
      </c>
      <c r="P6209" s="2" t="s">
        <v>870</v>
      </c>
    </row>
    <row r="6210" ht="15.75" customHeight="1">
      <c r="H6210" s="2" t="s">
        <v>29967</v>
      </c>
      <c r="I6210" s="2" t="s">
        <v>29968</v>
      </c>
      <c r="J6210" s="2" t="s">
        <v>29969</v>
      </c>
      <c r="K6210" s="2" t="s">
        <v>29970</v>
      </c>
      <c r="L6210" s="2" t="s">
        <v>28572</v>
      </c>
      <c r="M6210" s="2" t="s">
        <v>29971</v>
      </c>
      <c r="N6210" s="2" t="s">
        <v>29972</v>
      </c>
      <c r="O6210" s="2" t="s">
        <v>869</v>
      </c>
      <c r="P6210" s="2" t="s">
        <v>870</v>
      </c>
    </row>
    <row r="6211" ht="15.75" customHeight="1">
      <c r="H6211" s="2" t="s">
        <v>29973</v>
      </c>
      <c r="I6211" s="2" t="s">
        <v>29974</v>
      </c>
      <c r="J6211" s="2" t="s">
        <v>29975</v>
      </c>
      <c r="K6211" s="2" t="s">
        <v>29976</v>
      </c>
      <c r="L6211" s="2" t="s">
        <v>28572</v>
      </c>
      <c r="M6211" s="2" t="s">
        <v>29977</v>
      </c>
      <c r="N6211" s="2" t="s">
        <v>29978</v>
      </c>
      <c r="O6211" s="2" t="s">
        <v>869</v>
      </c>
      <c r="P6211" s="2" t="s">
        <v>870</v>
      </c>
    </row>
    <row r="6212" ht="15.75" customHeight="1">
      <c r="F6212" s="2" t="s">
        <v>3521</v>
      </c>
      <c r="H6212" s="2" t="s">
        <v>29979</v>
      </c>
      <c r="I6212" s="2" t="s">
        <v>29980</v>
      </c>
      <c r="J6212" s="2" t="s">
        <v>29981</v>
      </c>
      <c r="K6212" s="2" t="s">
        <v>29982</v>
      </c>
      <c r="L6212" s="2" t="s">
        <v>28572</v>
      </c>
      <c r="M6212" s="2" t="s">
        <v>29983</v>
      </c>
      <c r="N6212" s="2" t="s">
        <v>29984</v>
      </c>
      <c r="O6212" s="2" t="s">
        <v>869</v>
      </c>
      <c r="P6212" s="2" t="s">
        <v>870</v>
      </c>
    </row>
    <row r="6213" ht="15.75" customHeight="1">
      <c r="H6213" s="2" t="s">
        <v>29985</v>
      </c>
      <c r="I6213" s="2" t="s">
        <v>25515</v>
      </c>
      <c r="J6213" s="2" t="s">
        <v>25516</v>
      </c>
      <c r="K6213" s="2" t="s">
        <v>29986</v>
      </c>
      <c r="L6213" s="2" t="s">
        <v>28572</v>
      </c>
      <c r="M6213" s="2" t="s">
        <v>29987</v>
      </c>
      <c r="N6213" s="2" t="s">
        <v>29988</v>
      </c>
      <c r="O6213" s="2" t="s">
        <v>869</v>
      </c>
      <c r="P6213" s="2" t="s">
        <v>870</v>
      </c>
    </row>
    <row r="6214" ht="15.75" customHeight="1">
      <c r="H6214" s="2" t="s">
        <v>29989</v>
      </c>
      <c r="I6214" s="2" t="s">
        <v>29990</v>
      </c>
      <c r="J6214" s="2" t="s">
        <v>29991</v>
      </c>
      <c r="K6214" s="2" t="s">
        <v>29992</v>
      </c>
      <c r="L6214" s="2" t="s">
        <v>28572</v>
      </c>
      <c r="M6214" s="2" t="s">
        <v>29993</v>
      </c>
      <c r="N6214" s="2" t="s">
        <v>29994</v>
      </c>
      <c r="O6214" s="2" t="s">
        <v>869</v>
      </c>
      <c r="P6214" s="2" t="s">
        <v>870</v>
      </c>
    </row>
    <row r="6215" ht="15.75" customHeight="1">
      <c r="H6215" s="2" t="s">
        <v>29995</v>
      </c>
      <c r="I6215" s="2" t="s">
        <v>29996</v>
      </c>
      <c r="J6215" s="2" t="s">
        <v>29997</v>
      </c>
      <c r="K6215" s="2" t="s">
        <v>29998</v>
      </c>
      <c r="L6215" s="2" t="s">
        <v>28572</v>
      </c>
      <c r="M6215" s="2" t="s">
        <v>29999</v>
      </c>
      <c r="N6215" s="2" t="s">
        <v>30000</v>
      </c>
      <c r="O6215" s="2" t="s">
        <v>869</v>
      </c>
      <c r="P6215" s="2" t="s">
        <v>870</v>
      </c>
    </row>
    <row r="6216" ht="15.75" customHeight="1">
      <c r="H6216" s="2" t="s">
        <v>30001</v>
      </c>
      <c r="I6216" s="2" t="s">
        <v>3538</v>
      </c>
      <c r="J6216" s="2" t="s">
        <v>3539</v>
      </c>
      <c r="K6216" s="2" t="s">
        <v>30002</v>
      </c>
      <c r="L6216" s="2" t="s">
        <v>28572</v>
      </c>
      <c r="M6216" s="2" t="s">
        <v>30003</v>
      </c>
      <c r="N6216" s="2" t="s">
        <v>30004</v>
      </c>
      <c r="O6216" s="2" t="s">
        <v>869</v>
      </c>
      <c r="P6216" s="2" t="s">
        <v>870</v>
      </c>
    </row>
    <row r="6217" ht="15.75" customHeight="1">
      <c r="H6217" s="2" t="s">
        <v>30005</v>
      </c>
      <c r="I6217" s="2" t="s">
        <v>3543</v>
      </c>
      <c r="J6217" s="2" t="s">
        <v>3544</v>
      </c>
      <c r="K6217" s="2" t="s">
        <v>30006</v>
      </c>
      <c r="L6217" s="2" t="s">
        <v>28572</v>
      </c>
      <c r="M6217" s="2" t="s">
        <v>30007</v>
      </c>
      <c r="N6217" s="2" t="s">
        <v>30008</v>
      </c>
      <c r="O6217" s="2" t="s">
        <v>869</v>
      </c>
      <c r="P6217" s="2" t="s">
        <v>870</v>
      </c>
    </row>
    <row r="6218" ht="15.75" customHeight="1">
      <c r="H6218" s="2" t="s">
        <v>30009</v>
      </c>
      <c r="I6218" s="2" t="s">
        <v>9434</v>
      </c>
      <c r="J6218" s="2" t="s">
        <v>9435</v>
      </c>
      <c r="K6218" s="2" t="s">
        <v>30010</v>
      </c>
      <c r="L6218" s="2" t="s">
        <v>28572</v>
      </c>
      <c r="M6218" s="2" t="s">
        <v>30011</v>
      </c>
      <c r="N6218" s="2" t="s">
        <v>30012</v>
      </c>
      <c r="O6218" s="2" t="s">
        <v>869</v>
      </c>
      <c r="P6218" s="2" t="s">
        <v>870</v>
      </c>
    </row>
    <row r="6219" ht="15.75" customHeight="1">
      <c r="H6219" s="2" t="s">
        <v>30013</v>
      </c>
      <c r="I6219" s="2" t="s">
        <v>30014</v>
      </c>
      <c r="J6219" s="2" t="s">
        <v>30015</v>
      </c>
      <c r="K6219" s="2" t="s">
        <v>30016</v>
      </c>
      <c r="L6219" s="2" t="s">
        <v>28572</v>
      </c>
      <c r="M6219" s="2" t="s">
        <v>30017</v>
      </c>
      <c r="N6219" s="2" t="s">
        <v>30018</v>
      </c>
      <c r="O6219" s="2" t="s">
        <v>869</v>
      </c>
      <c r="P6219" s="2" t="s">
        <v>870</v>
      </c>
    </row>
    <row r="6220" ht="15.75" customHeight="1">
      <c r="H6220" s="2" t="s">
        <v>30019</v>
      </c>
      <c r="I6220" s="2" t="s">
        <v>10643</v>
      </c>
      <c r="J6220" s="2" t="s">
        <v>10644</v>
      </c>
      <c r="K6220" s="2" t="s">
        <v>30020</v>
      </c>
      <c r="L6220" s="2" t="s">
        <v>28572</v>
      </c>
      <c r="M6220" s="2" t="s">
        <v>30021</v>
      </c>
      <c r="N6220" s="2" t="s">
        <v>30022</v>
      </c>
      <c r="O6220" s="2" t="s">
        <v>869</v>
      </c>
      <c r="P6220" s="2" t="s">
        <v>870</v>
      </c>
    </row>
    <row r="6221" ht="15.75" customHeight="1">
      <c r="F6221" s="2" t="s">
        <v>3567</v>
      </c>
      <c r="H6221" s="2" t="s">
        <v>30023</v>
      </c>
      <c r="I6221" s="2" t="s">
        <v>20495</v>
      </c>
      <c r="J6221" s="2" t="s">
        <v>20496</v>
      </c>
      <c r="K6221" s="2" t="s">
        <v>30024</v>
      </c>
      <c r="L6221" s="2" t="s">
        <v>28572</v>
      </c>
      <c r="M6221" s="2" t="s">
        <v>30025</v>
      </c>
      <c r="N6221" s="2" t="s">
        <v>30026</v>
      </c>
      <c r="O6221" s="2" t="s">
        <v>869</v>
      </c>
      <c r="P6221" s="2" t="s">
        <v>870</v>
      </c>
    </row>
    <row r="6222" ht="15.75" customHeight="1">
      <c r="H6222" s="2" t="s">
        <v>30027</v>
      </c>
      <c r="I6222" s="2" t="s">
        <v>30028</v>
      </c>
      <c r="J6222" s="2" t="s">
        <v>30029</v>
      </c>
      <c r="K6222" s="2" t="s">
        <v>30030</v>
      </c>
      <c r="L6222" s="2" t="s">
        <v>28572</v>
      </c>
      <c r="M6222" s="2" t="s">
        <v>30031</v>
      </c>
      <c r="N6222" s="2" t="s">
        <v>30032</v>
      </c>
      <c r="O6222" s="2" t="s">
        <v>869</v>
      </c>
      <c r="P6222" s="2" t="s">
        <v>870</v>
      </c>
    </row>
    <row r="6223" ht="15.75" customHeight="1">
      <c r="H6223" s="2" t="s">
        <v>30033</v>
      </c>
      <c r="I6223" s="2" t="s">
        <v>3569</v>
      </c>
      <c r="J6223" s="2" t="s">
        <v>3570</v>
      </c>
      <c r="K6223" s="2" t="s">
        <v>30034</v>
      </c>
      <c r="L6223" s="2" t="s">
        <v>28572</v>
      </c>
      <c r="M6223" s="2" t="s">
        <v>27776</v>
      </c>
      <c r="N6223" s="2" t="s">
        <v>30035</v>
      </c>
      <c r="O6223" s="2" t="s">
        <v>869</v>
      </c>
      <c r="P6223" s="2" t="s">
        <v>870</v>
      </c>
    </row>
    <row r="6224" ht="15.75" customHeight="1">
      <c r="H6224" s="2" t="s">
        <v>30036</v>
      </c>
      <c r="I6224" s="2" t="s">
        <v>20525</v>
      </c>
      <c r="J6224" s="2" t="s">
        <v>20526</v>
      </c>
      <c r="K6224" s="2" t="s">
        <v>30037</v>
      </c>
      <c r="L6224" s="2" t="s">
        <v>28572</v>
      </c>
      <c r="M6224" s="2" t="s">
        <v>27787</v>
      </c>
      <c r="N6224" s="2" t="s">
        <v>30038</v>
      </c>
      <c r="O6224" s="2" t="s">
        <v>869</v>
      </c>
      <c r="P6224" s="2" t="s">
        <v>870</v>
      </c>
    </row>
    <row r="6225" ht="15.75" customHeight="1">
      <c r="F6225" s="2" t="s">
        <v>3577</v>
      </c>
      <c r="H6225" s="2" t="s">
        <v>30039</v>
      </c>
      <c r="I6225" s="2" t="s">
        <v>3593</v>
      </c>
      <c r="J6225" s="2" t="s">
        <v>3594</v>
      </c>
      <c r="K6225" s="2" t="s">
        <v>30040</v>
      </c>
      <c r="L6225" s="2" t="s">
        <v>28572</v>
      </c>
      <c r="M6225" s="2" t="s">
        <v>30041</v>
      </c>
      <c r="N6225" s="2" t="s">
        <v>30042</v>
      </c>
      <c r="O6225" s="2" t="s">
        <v>869</v>
      </c>
      <c r="P6225" s="2" t="s">
        <v>870</v>
      </c>
    </row>
    <row r="6226" ht="15.75" customHeight="1">
      <c r="H6226" s="2" t="s">
        <v>30043</v>
      </c>
      <c r="I6226" s="2" t="s">
        <v>30044</v>
      </c>
      <c r="J6226" s="2" t="s">
        <v>30045</v>
      </c>
      <c r="K6226" s="2" t="s">
        <v>30046</v>
      </c>
      <c r="L6226" s="2" t="s">
        <v>28572</v>
      </c>
      <c r="M6226" s="2" t="s">
        <v>30047</v>
      </c>
      <c r="N6226" s="2" t="s">
        <v>30048</v>
      </c>
      <c r="O6226" s="2" t="s">
        <v>869</v>
      </c>
      <c r="P6226" s="2" t="s">
        <v>870</v>
      </c>
    </row>
    <row r="6227" ht="15.75" customHeight="1">
      <c r="F6227" s="2" t="s">
        <v>3605</v>
      </c>
      <c r="H6227" s="2" t="s">
        <v>30049</v>
      </c>
      <c r="I6227" s="2" t="s">
        <v>30050</v>
      </c>
      <c r="J6227" s="2" t="s">
        <v>30051</v>
      </c>
      <c r="K6227" s="2" t="s">
        <v>865</v>
      </c>
    </row>
    <row r="6228" ht="15.75" customHeight="1">
      <c r="H6228" s="2" t="s">
        <v>30052</v>
      </c>
      <c r="I6228" s="2" t="s">
        <v>3622</v>
      </c>
      <c r="J6228" s="2" t="s">
        <v>3623</v>
      </c>
      <c r="K6228" s="2" t="s">
        <v>30053</v>
      </c>
      <c r="L6228" s="2" t="s">
        <v>28572</v>
      </c>
      <c r="M6228" s="2" t="s">
        <v>30054</v>
      </c>
      <c r="N6228" s="2" t="s">
        <v>30055</v>
      </c>
      <c r="O6228" s="2" t="s">
        <v>869</v>
      </c>
      <c r="P6228" s="2" t="s">
        <v>870</v>
      </c>
    </row>
    <row r="6229" ht="15.75" customHeight="1">
      <c r="F6229" s="2" t="s">
        <v>3629</v>
      </c>
      <c r="H6229" s="2" t="s">
        <v>30056</v>
      </c>
      <c r="I6229" s="2" t="s">
        <v>30057</v>
      </c>
      <c r="J6229" s="2" t="s">
        <v>30058</v>
      </c>
      <c r="K6229" s="2" t="s">
        <v>30059</v>
      </c>
      <c r="L6229" s="2" t="s">
        <v>28572</v>
      </c>
      <c r="M6229" s="2" t="s">
        <v>30060</v>
      </c>
      <c r="N6229" s="2" t="s">
        <v>30061</v>
      </c>
      <c r="O6229" s="2" t="s">
        <v>869</v>
      </c>
      <c r="P6229" s="2" t="s">
        <v>870</v>
      </c>
    </row>
    <row r="6230" ht="15.75" customHeight="1">
      <c r="H6230" s="2" t="s">
        <v>30062</v>
      </c>
      <c r="I6230" s="2" t="s">
        <v>30063</v>
      </c>
      <c r="J6230" s="2" t="s">
        <v>30064</v>
      </c>
      <c r="K6230" s="2" t="s">
        <v>30065</v>
      </c>
      <c r="L6230" s="2" t="s">
        <v>28572</v>
      </c>
      <c r="M6230" s="2" t="s">
        <v>30066</v>
      </c>
      <c r="N6230" s="2" t="s">
        <v>30067</v>
      </c>
      <c r="O6230" s="2" t="s">
        <v>869</v>
      </c>
      <c r="P6230" s="2" t="s">
        <v>870</v>
      </c>
    </row>
    <row r="6231" ht="15.75" customHeight="1">
      <c r="H6231" s="2" t="s">
        <v>30068</v>
      </c>
      <c r="I6231" s="2" t="s">
        <v>30069</v>
      </c>
      <c r="J6231" s="2" t="s">
        <v>30070</v>
      </c>
      <c r="K6231" s="2" t="s">
        <v>30071</v>
      </c>
      <c r="L6231" s="2" t="s">
        <v>28572</v>
      </c>
      <c r="M6231" s="2" t="s">
        <v>30072</v>
      </c>
      <c r="N6231" s="2" t="s">
        <v>30073</v>
      </c>
      <c r="O6231" s="2" t="s">
        <v>869</v>
      </c>
      <c r="P6231" s="2" t="s">
        <v>870</v>
      </c>
    </row>
    <row r="6232" ht="15.75" customHeight="1">
      <c r="H6232" s="2" t="s">
        <v>30074</v>
      </c>
      <c r="I6232" s="2" t="s">
        <v>9653</v>
      </c>
      <c r="J6232" s="2" t="s">
        <v>9654</v>
      </c>
      <c r="K6232" s="2" t="s">
        <v>30075</v>
      </c>
      <c r="L6232" s="2" t="s">
        <v>28572</v>
      </c>
      <c r="M6232" s="2" t="s">
        <v>30076</v>
      </c>
      <c r="N6232" s="2" t="s">
        <v>30077</v>
      </c>
      <c r="O6232" s="2" t="s">
        <v>869</v>
      </c>
      <c r="P6232" s="2" t="s">
        <v>870</v>
      </c>
    </row>
    <row r="6233" ht="15.75" customHeight="1">
      <c r="H6233" s="2" t="s">
        <v>30078</v>
      </c>
      <c r="I6233" s="2" t="s">
        <v>3651</v>
      </c>
      <c r="J6233" s="2" t="s">
        <v>3652</v>
      </c>
      <c r="K6233" s="2" t="s">
        <v>30079</v>
      </c>
      <c r="L6233" s="2" t="s">
        <v>28572</v>
      </c>
      <c r="M6233" s="2" t="s">
        <v>30080</v>
      </c>
      <c r="N6233" s="2" t="s">
        <v>30081</v>
      </c>
      <c r="O6233" s="2" t="s">
        <v>869</v>
      </c>
      <c r="P6233" s="2" t="s">
        <v>870</v>
      </c>
    </row>
    <row r="6234" ht="15.75" customHeight="1">
      <c r="H6234" s="2" t="s">
        <v>30082</v>
      </c>
      <c r="I6234" s="2" t="s">
        <v>3661</v>
      </c>
      <c r="J6234" s="2" t="s">
        <v>3662</v>
      </c>
      <c r="K6234" s="2" t="s">
        <v>30083</v>
      </c>
      <c r="L6234" s="2" t="s">
        <v>28572</v>
      </c>
      <c r="M6234" s="2" t="s">
        <v>30084</v>
      </c>
      <c r="N6234" s="2" t="s">
        <v>30085</v>
      </c>
      <c r="O6234" s="2" t="s">
        <v>869</v>
      </c>
      <c r="P6234" s="2" t="s">
        <v>870</v>
      </c>
    </row>
    <row r="6235" ht="15.75" customHeight="1">
      <c r="H6235" s="2" t="s">
        <v>30086</v>
      </c>
      <c r="I6235" s="2" t="s">
        <v>3671</v>
      </c>
      <c r="J6235" s="2" t="s">
        <v>3672</v>
      </c>
      <c r="K6235" s="2" t="s">
        <v>30087</v>
      </c>
      <c r="L6235" s="2" t="s">
        <v>28572</v>
      </c>
      <c r="M6235" s="2" t="s">
        <v>30088</v>
      </c>
      <c r="N6235" s="2" t="s">
        <v>30089</v>
      </c>
      <c r="O6235" s="2" t="s">
        <v>869</v>
      </c>
      <c r="P6235" s="2" t="s">
        <v>870</v>
      </c>
    </row>
    <row r="6236" ht="15.75" customHeight="1">
      <c r="F6236" s="2" t="s">
        <v>3685</v>
      </c>
      <c r="H6236" s="2" t="s">
        <v>30090</v>
      </c>
      <c r="I6236" s="2" t="s">
        <v>30091</v>
      </c>
      <c r="J6236" s="2" t="s">
        <v>30092</v>
      </c>
      <c r="K6236" s="2" t="s">
        <v>30093</v>
      </c>
      <c r="L6236" s="2" t="s">
        <v>28572</v>
      </c>
      <c r="M6236" s="2" t="s">
        <v>30094</v>
      </c>
      <c r="N6236" s="2" t="s">
        <v>30095</v>
      </c>
      <c r="O6236" s="2" t="s">
        <v>869</v>
      </c>
      <c r="P6236" s="2" t="s">
        <v>870</v>
      </c>
    </row>
    <row r="6237" ht="15.75" customHeight="1">
      <c r="H6237" s="2" t="s">
        <v>30096</v>
      </c>
      <c r="I6237" s="2" t="s">
        <v>3697</v>
      </c>
      <c r="J6237" s="2" t="s">
        <v>3698</v>
      </c>
      <c r="K6237" s="2" t="s">
        <v>30097</v>
      </c>
      <c r="L6237" s="2" t="s">
        <v>28572</v>
      </c>
      <c r="M6237" s="2" t="s">
        <v>30098</v>
      </c>
      <c r="N6237" s="2" t="s">
        <v>30099</v>
      </c>
      <c r="O6237" s="2" t="s">
        <v>869</v>
      </c>
      <c r="P6237" s="2" t="s">
        <v>870</v>
      </c>
    </row>
    <row r="6238" ht="15.75" customHeight="1">
      <c r="F6238" s="2" t="s">
        <v>660</v>
      </c>
      <c r="H6238" s="2" t="s">
        <v>30100</v>
      </c>
      <c r="I6238" s="2" t="s">
        <v>30101</v>
      </c>
      <c r="J6238" s="2" t="s">
        <v>30102</v>
      </c>
      <c r="K6238" s="2" t="s">
        <v>30103</v>
      </c>
      <c r="L6238" s="2" t="s">
        <v>28572</v>
      </c>
      <c r="M6238" s="2" t="s">
        <v>30104</v>
      </c>
      <c r="N6238" s="2" t="s">
        <v>30105</v>
      </c>
      <c r="O6238" s="2" t="s">
        <v>869</v>
      </c>
      <c r="P6238" s="2" t="s">
        <v>870</v>
      </c>
    </row>
    <row r="6239" ht="15.75" customHeight="1">
      <c r="H6239" s="2" t="s">
        <v>30106</v>
      </c>
      <c r="I6239" s="2" t="s">
        <v>30107</v>
      </c>
      <c r="J6239" s="2" t="s">
        <v>30108</v>
      </c>
      <c r="K6239" s="2" t="s">
        <v>30109</v>
      </c>
      <c r="L6239" s="2" t="s">
        <v>28572</v>
      </c>
      <c r="M6239" s="2" t="s">
        <v>30110</v>
      </c>
      <c r="N6239" s="2" t="s">
        <v>30111</v>
      </c>
      <c r="O6239" s="2" t="s">
        <v>869</v>
      </c>
      <c r="P6239" s="2" t="s">
        <v>870</v>
      </c>
    </row>
    <row r="6240" ht="15.75" customHeight="1">
      <c r="H6240" s="2" t="s">
        <v>30112</v>
      </c>
      <c r="I6240" s="2" t="s">
        <v>26518</v>
      </c>
      <c r="J6240" s="2" t="s">
        <v>26519</v>
      </c>
      <c r="K6240" s="2" t="s">
        <v>30113</v>
      </c>
      <c r="L6240" s="2" t="s">
        <v>28572</v>
      </c>
      <c r="M6240" s="2" t="s">
        <v>30114</v>
      </c>
      <c r="N6240" s="2" t="s">
        <v>30115</v>
      </c>
      <c r="O6240" s="2" t="s">
        <v>869</v>
      </c>
      <c r="P6240" s="2" t="s">
        <v>870</v>
      </c>
    </row>
    <row r="6241" ht="15.75" customHeight="1">
      <c r="H6241" s="2" t="s">
        <v>30116</v>
      </c>
      <c r="I6241" s="2" t="s">
        <v>30117</v>
      </c>
      <c r="J6241" s="2" t="s">
        <v>30118</v>
      </c>
      <c r="K6241" s="2" t="s">
        <v>30119</v>
      </c>
      <c r="L6241" s="2" t="s">
        <v>28572</v>
      </c>
      <c r="M6241" s="2" t="s">
        <v>30120</v>
      </c>
      <c r="N6241" s="2" t="s">
        <v>30121</v>
      </c>
      <c r="O6241" s="2" t="s">
        <v>869</v>
      </c>
      <c r="P6241" s="2" t="s">
        <v>870</v>
      </c>
    </row>
    <row r="6242" ht="15.75" customHeight="1">
      <c r="H6242" s="2" t="s">
        <v>30122</v>
      </c>
      <c r="I6242" s="2" t="s">
        <v>30123</v>
      </c>
      <c r="J6242" s="2" t="s">
        <v>30124</v>
      </c>
      <c r="K6242" s="2" t="s">
        <v>30125</v>
      </c>
      <c r="L6242" s="2" t="s">
        <v>28572</v>
      </c>
      <c r="M6242" s="2" t="s">
        <v>30126</v>
      </c>
      <c r="N6242" s="2" t="s">
        <v>30127</v>
      </c>
      <c r="O6242" s="2" t="s">
        <v>869</v>
      </c>
      <c r="P6242" s="2" t="s">
        <v>870</v>
      </c>
    </row>
    <row r="6243" ht="15.75" customHeight="1">
      <c r="H6243" s="2" t="s">
        <v>30128</v>
      </c>
      <c r="I6243" s="2" t="s">
        <v>30129</v>
      </c>
      <c r="J6243" s="2" t="s">
        <v>30130</v>
      </c>
      <c r="K6243" s="2" t="s">
        <v>30131</v>
      </c>
      <c r="L6243" s="2" t="s">
        <v>28572</v>
      </c>
      <c r="M6243" s="2" t="s">
        <v>30132</v>
      </c>
      <c r="N6243" s="2" t="s">
        <v>30133</v>
      </c>
      <c r="O6243" s="2" t="s">
        <v>869</v>
      </c>
      <c r="P6243" s="2" t="s">
        <v>870</v>
      </c>
    </row>
    <row r="6244" ht="15.75" customHeight="1">
      <c r="H6244" s="2" t="s">
        <v>30134</v>
      </c>
      <c r="I6244" s="2" t="s">
        <v>3727</v>
      </c>
      <c r="J6244" s="2" t="s">
        <v>3728</v>
      </c>
      <c r="K6244" s="2" t="s">
        <v>30135</v>
      </c>
      <c r="L6244" s="2" t="s">
        <v>28572</v>
      </c>
      <c r="M6244" s="2" t="s">
        <v>26542</v>
      </c>
      <c r="N6244" s="2" t="s">
        <v>30136</v>
      </c>
      <c r="O6244" s="2" t="s">
        <v>869</v>
      </c>
      <c r="P6244" s="2" t="s">
        <v>870</v>
      </c>
    </row>
    <row r="6245" ht="15.75" customHeight="1">
      <c r="H6245" s="2" t="s">
        <v>30137</v>
      </c>
      <c r="I6245" s="2" t="s">
        <v>4528</v>
      </c>
      <c r="J6245" s="2" t="s">
        <v>4529</v>
      </c>
      <c r="K6245" s="2" t="s">
        <v>30138</v>
      </c>
      <c r="L6245" s="2" t="s">
        <v>28572</v>
      </c>
      <c r="M6245" s="2" t="s">
        <v>30139</v>
      </c>
      <c r="N6245" s="2" t="s">
        <v>30140</v>
      </c>
      <c r="O6245" s="2" t="s">
        <v>869</v>
      </c>
      <c r="P6245" s="2" t="s">
        <v>870</v>
      </c>
    </row>
    <row r="6246" ht="15.75" customHeight="1">
      <c r="H6246" s="2" t="s">
        <v>30141</v>
      </c>
      <c r="I6246" s="2" t="s">
        <v>30142</v>
      </c>
      <c r="J6246" s="2" t="s">
        <v>30143</v>
      </c>
      <c r="K6246" s="2" t="s">
        <v>30144</v>
      </c>
      <c r="L6246" s="2" t="s">
        <v>28572</v>
      </c>
      <c r="M6246" s="2" t="s">
        <v>30145</v>
      </c>
      <c r="N6246" s="2" t="s">
        <v>30146</v>
      </c>
      <c r="O6246" s="2" t="s">
        <v>869</v>
      </c>
      <c r="P6246" s="2" t="s">
        <v>870</v>
      </c>
    </row>
    <row r="6247" ht="15.75" customHeight="1">
      <c r="H6247" s="2" t="s">
        <v>30147</v>
      </c>
      <c r="I6247" s="2" t="s">
        <v>670</v>
      </c>
      <c r="J6247" s="2" t="s">
        <v>671</v>
      </c>
      <c r="K6247" s="2" t="s">
        <v>30148</v>
      </c>
      <c r="L6247" s="2" t="s">
        <v>28572</v>
      </c>
      <c r="M6247" s="2" t="s">
        <v>9828</v>
      </c>
      <c r="N6247" s="2" t="s">
        <v>30149</v>
      </c>
      <c r="O6247" s="2" t="s">
        <v>869</v>
      </c>
      <c r="P6247" s="2" t="s">
        <v>870</v>
      </c>
    </row>
    <row r="6248" ht="15.75" customHeight="1">
      <c r="H6248" s="2" t="s">
        <v>30150</v>
      </c>
      <c r="I6248" s="2" t="s">
        <v>30151</v>
      </c>
      <c r="J6248" s="2" t="s">
        <v>30152</v>
      </c>
      <c r="K6248" s="2" t="s">
        <v>30153</v>
      </c>
      <c r="L6248" s="2" t="s">
        <v>28572</v>
      </c>
      <c r="M6248" s="2" t="s">
        <v>26563</v>
      </c>
      <c r="N6248" s="2" t="s">
        <v>30154</v>
      </c>
      <c r="O6248" s="2" t="s">
        <v>869</v>
      </c>
      <c r="P6248" s="2" t="s">
        <v>870</v>
      </c>
    </row>
    <row r="6249" ht="15.75" customHeight="1">
      <c r="F6249" s="2" t="s">
        <v>3755</v>
      </c>
      <c r="H6249" s="2" t="s">
        <v>30155</v>
      </c>
      <c r="I6249" s="2" t="s">
        <v>30156</v>
      </c>
      <c r="J6249" s="2" t="s">
        <v>30156</v>
      </c>
      <c r="K6249" s="2" t="s">
        <v>912</v>
      </c>
    </row>
    <row r="6250" ht="15.75" customHeight="1">
      <c r="F6250" s="2" t="s">
        <v>3762</v>
      </c>
      <c r="H6250" s="2" t="s">
        <v>30157</v>
      </c>
      <c r="I6250" s="2" t="s">
        <v>30158</v>
      </c>
      <c r="J6250" s="2" t="s">
        <v>30159</v>
      </c>
      <c r="K6250" s="2" t="s">
        <v>30160</v>
      </c>
      <c r="L6250" s="2" t="s">
        <v>28572</v>
      </c>
      <c r="M6250" s="2" t="s">
        <v>30161</v>
      </c>
      <c r="N6250" s="2" t="s">
        <v>30162</v>
      </c>
      <c r="O6250" s="2" t="s">
        <v>869</v>
      </c>
      <c r="P6250" s="2" t="s">
        <v>870</v>
      </c>
    </row>
    <row r="6251" ht="15.75" customHeight="1">
      <c r="H6251" s="2" t="s">
        <v>30163</v>
      </c>
      <c r="I6251" s="2" t="s">
        <v>30164</v>
      </c>
      <c r="J6251" s="2" t="s">
        <v>30165</v>
      </c>
      <c r="K6251" s="2" t="s">
        <v>30166</v>
      </c>
      <c r="L6251" s="2" t="s">
        <v>28572</v>
      </c>
      <c r="M6251" s="2" t="s">
        <v>30167</v>
      </c>
      <c r="N6251" s="2" t="s">
        <v>30168</v>
      </c>
      <c r="O6251" s="2" t="s">
        <v>869</v>
      </c>
      <c r="P6251" s="2" t="s">
        <v>870</v>
      </c>
    </row>
    <row r="6252" ht="15.75" customHeight="1">
      <c r="H6252" s="2" t="s">
        <v>30169</v>
      </c>
      <c r="I6252" s="2" t="s">
        <v>3799</v>
      </c>
      <c r="J6252" s="2" t="s">
        <v>3800</v>
      </c>
      <c r="K6252" s="2" t="s">
        <v>30170</v>
      </c>
      <c r="L6252" s="2" t="s">
        <v>28572</v>
      </c>
      <c r="M6252" s="2" t="s">
        <v>30171</v>
      </c>
      <c r="N6252" s="2" t="s">
        <v>30172</v>
      </c>
      <c r="O6252" s="2" t="s">
        <v>869</v>
      </c>
      <c r="P6252" s="2" t="s">
        <v>870</v>
      </c>
    </row>
    <row r="6253" ht="15.75" customHeight="1">
      <c r="H6253" s="2" t="s">
        <v>30173</v>
      </c>
      <c r="I6253" s="2" t="s">
        <v>3809</v>
      </c>
      <c r="J6253" s="2" t="s">
        <v>3810</v>
      </c>
      <c r="K6253" s="2" t="s">
        <v>30174</v>
      </c>
      <c r="L6253" s="2" t="s">
        <v>28572</v>
      </c>
      <c r="M6253" s="2" t="s">
        <v>20671</v>
      </c>
      <c r="N6253" s="2" t="s">
        <v>30175</v>
      </c>
      <c r="O6253" s="2" t="s">
        <v>869</v>
      </c>
      <c r="P6253" s="2" t="s">
        <v>870</v>
      </c>
    </row>
    <row r="6254" ht="15.75" customHeight="1">
      <c r="F6254" s="2" t="s">
        <v>677</v>
      </c>
      <c r="H6254" s="2" t="s">
        <v>30176</v>
      </c>
      <c r="I6254" s="2" t="s">
        <v>30177</v>
      </c>
      <c r="J6254" s="2" t="s">
        <v>30178</v>
      </c>
      <c r="K6254" s="2" t="s">
        <v>30179</v>
      </c>
      <c r="L6254" s="2" t="s">
        <v>28572</v>
      </c>
      <c r="M6254" s="2" t="s">
        <v>30180</v>
      </c>
      <c r="N6254" s="2" t="s">
        <v>30181</v>
      </c>
      <c r="O6254" s="2" t="s">
        <v>869</v>
      </c>
      <c r="P6254" s="2" t="s">
        <v>870</v>
      </c>
    </row>
    <row r="6255" ht="15.75" customHeight="1">
      <c r="H6255" s="2" t="s">
        <v>30182</v>
      </c>
      <c r="I6255" s="2" t="s">
        <v>30183</v>
      </c>
      <c r="J6255" s="2" t="s">
        <v>30184</v>
      </c>
      <c r="K6255" s="2" t="s">
        <v>30185</v>
      </c>
      <c r="L6255" s="2" t="s">
        <v>30186</v>
      </c>
      <c r="M6255" s="2" t="s">
        <v>30187</v>
      </c>
      <c r="N6255" s="2" t="s">
        <v>30188</v>
      </c>
      <c r="O6255" s="2" t="s">
        <v>869</v>
      </c>
      <c r="P6255" s="2" t="s">
        <v>870</v>
      </c>
    </row>
    <row r="6256" ht="15.75" customHeight="1">
      <c r="H6256" s="2" t="s">
        <v>30189</v>
      </c>
      <c r="I6256" s="2" t="s">
        <v>30190</v>
      </c>
      <c r="J6256" s="2" t="s">
        <v>30191</v>
      </c>
      <c r="K6256" s="2" t="s">
        <v>30192</v>
      </c>
      <c r="L6256" s="2" t="s">
        <v>28572</v>
      </c>
      <c r="M6256" s="2" t="s">
        <v>30193</v>
      </c>
      <c r="N6256" s="2" t="s">
        <v>30194</v>
      </c>
      <c r="O6256" s="2" t="s">
        <v>869</v>
      </c>
      <c r="P6256" s="2" t="s">
        <v>870</v>
      </c>
    </row>
    <row r="6257" ht="15.75" customHeight="1">
      <c r="H6257" s="2" t="s">
        <v>30195</v>
      </c>
      <c r="I6257" s="2" t="s">
        <v>3861</v>
      </c>
      <c r="J6257" s="2" t="s">
        <v>3862</v>
      </c>
      <c r="K6257" s="2" t="s">
        <v>30196</v>
      </c>
      <c r="L6257" s="2" t="s">
        <v>28572</v>
      </c>
      <c r="M6257" s="2" t="s">
        <v>30197</v>
      </c>
      <c r="N6257" s="2" t="s">
        <v>30198</v>
      </c>
      <c r="O6257" s="2" t="s">
        <v>869</v>
      </c>
      <c r="P6257" s="2" t="s">
        <v>870</v>
      </c>
    </row>
    <row r="6258" ht="15.75" customHeight="1">
      <c r="H6258" s="2" t="s">
        <v>30199</v>
      </c>
      <c r="I6258" s="2" t="s">
        <v>30200</v>
      </c>
      <c r="J6258" s="2" t="s">
        <v>30201</v>
      </c>
      <c r="K6258" s="2" t="s">
        <v>30202</v>
      </c>
      <c r="L6258" s="2" t="s">
        <v>28572</v>
      </c>
      <c r="M6258" s="2" t="s">
        <v>30203</v>
      </c>
      <c r="N6258" s="2" t="s">
        <v>30204</v>
      </c>
      <c r="O6258" s="2" t="s">
        <v>869</v>
      </c>
      <c r="P6258" s="2" t="s">
        <v>870</v>
      </c>
    </row>
    <row r="6259" ht="15.75" customHeight="1">
      <c r="H6259" s="2" t="s">
        <v>30205</v>
      </c>
      <c r="I6259" s="2" t="s">
        <v>8130</v>
      </c>
      <c r="J6259" s="2" t="s">
        <v>8131</v>
      </c>
      <c r="K6259" s="2" t="s">
        <v>30206</v>
      </c>
      <c r="L6259" s="2" t="s">
        <v>28572</v>
      </c>
      <c r="M6259" s="2" t="s">
        <v>30207</v>
      </c>
      <c r="N6259" s="2" t="s">
        <v>30208</v>
      </c>
      <c r="O6259" s="2" t="s">
        <v>869</v>
      </c>
      <c r="P6259" s="2" t="s">
        <v>870</v>
      </c>
    </row>
    <row r="6260" ht="15.75" customHeight="1">
      <c r="H6260" s="2" t="s">
        <v>30209</v>
      </c>
      <c r="I6260" s="2" t="s">
        <v>30210</v>
      </c>
      <c r="J6260" s="2" t="s">
        <v>30211</v>
      </c>
      <c r="K6260" s="2" t="s">
        <v>30212</v>
      </c>
      <c r="L6260" s="2" t="s">
        <v>28572</v>
      </c>
      <c r="M6260" s="2" t="s">
        <v>30213</v>
      </c>
      <c r="N6260" s="2" t="s">
        <v>30214</v>
      </c>
      <c r="O6260" s="2" t="s">
        <v>869</v>
      </c>
      <c r="P6260" s="2" t="s">
        <v>870</v>
      </c>
    </row>
    <row r="6261" ht="15.75" customHeight="1">
      <c r="H6261" s="2" t="s">
        <v>30215</v>
      </c>
      <c r="I6261" s="2" t="s">
        <v>30216</v>
      </c>
      <c r="J6261" s="2" t="s">
        <v>30217</v>
      </c>
      <c r="K6261" s="2" t="s">
        <v>30218</v>
      </c>
      <c r="L6261" s="2" t="s">
        <v>28572</v>
      </c>
      <c r="M6261" s="2" t="s">
        <v>30219</v>
      </c>
      <c r="N6261" s="2" t="s">
        <v>30220</v>
      </c>
      <c r="O6261" s="2" t="s">
        <v>869</v>
      </c>
      <c r="P6261" s="2" t="s">
        <v>870</v>
      </c>
    </row>
    <row r="6262" ht="15.75" customHeight="1">
      <c r="H6262" s="2" t="s">
        <v>30221</v>
      </c>
      <c r="I6262" s="2" t="s">
        <v>3885</v>
      </c>
      <c r="J6262" s="2" t="s">
        <v>3886</v>
      </c>
      <c r="K6262" s="2" t="s">
        <v>30222</v>
      </c>
      <c r="L6262" s="2" t="s">
        <v>28572</v>
      </c>
      <c r="M6262" s="2" t="s">
        <v>10100</v>
      </c>
      <c r="N6262" s="2" t="s">
        <v>30223</v>
      </c>
      <c r="O6262" s="2" t="s">
        <v>869</v>
      </c>
      <c r="P6262" s="2" t="s">
        <v>870</v>
      </c>
    </row>
    <row r="6263" ht="15.75" customHeight="1">
      <c r="H6263" s="2" t="s">
        <v>30224</v>
      </c>
      <c r="I6263" s="2" t="s">
        <v>30225</v>
      </c>
      <c r="J6263" s="2" t="s">
        <v>30225</v>
      </c>
      <c r="K6263" s="2" t="s">
        <v>1187</v>
      </c>
    </row>
    <row r="6264" ht="15.75" customHeight="1">
      <c r="H6264" s="2" t="s">
        <v>30226</v>
      </c>
      <c r="I6264" s="2" t="s">
        <v>30227</v>
      </c>
      <c r="J6264" s="2" t="s">
        <v>30228</v>
      </c>
      <c r="K6264" s="2" t="s">
        <v>1193</v>
      </c>
    </row>
    <row r="6265" ht="15.75" customHeight="1">
      <c r="H6265" s="2" t="s">
        <v>30229</v>
      </c>
      <c r="I6265" s="2" t="s">
        <v>30230</v>
      </c>
      <c r="J6265" s="2" t="s">
        <v>30231</v>
      </c>
      <c r="K6265" s="2" t="s">
        <v>30232</v>
      </c>
      <c r="L6265" s="2" t="s">
        <v>28572</v>
      </c>
      <c r="M6265" s="2" t="s">
        <v>30233</v>
      </c>
      <c r="N6265" s="2" t="s">
        <v>30234</v>
      </c>
      <c r="O6265" s="2" t="s">
        <v>869</v>
      </c>
      <c r="P6265" s="2" t="s">
        <v>870</v>
      </c>
    </row>
    <row r="6266" ht="15.75" customHeight="1">
      <c r="H6266" s="2" t="s">
        <v>30235</v>
      </c>
      <c r="I6266" s="2" t="s">
        <v>3912</v>
      </c>
      <c r="J6266" s="2" t="s">
        <v>3913</v>
      </c>
      <c r="K6266" s="2" t="s">
        <v>30236</v>
      </c>
      <c r="L6266" s="2" t="s">
        <v>28572</v>
      </c>
      <c r="M6266" s="2" t="s">
        <v>3914</v>
      </c>
      <c r="N6266" s="2" t="s">
        <v>30237</v>
      </c>
      <c r="O6266" s="2" t="s">
        <v>869</v>
      </c>
      <c r="P6266" s="2" t="s">
        <v>870</v>
      </c>
    </row>
    <row r="6267" ht="15.75" customHeight="1">
      <c r="H6267" s="2" t="s">
        <v>30238</v>
      </c>
      <c r="I6267" s="2" t="s">
        <v>30239</v>
      </c>
      <c r="J6267" s="2" t="s">
        <v>30239</v>
      </c>
      <c r="K6267" s="2" t="s">
        <v>1981</v>
      </c>
    </row>
    <row r="6268" ht="15.75" customHeight="1">
      <c r="F6268" s="2" t="s">
        <v>694</v>
      </c>
      <c r="H6268" s="2" t="s">
        <v>30240</v>
      </c>
      <c r="I6268" s="2" t="s">
        <v>27809</v>
      </c>
      <c r="J6268" s="2" t="s">
        <v>27810</v>
      </c>
      <c r="K6268" s="2" t="s">
        <v>30241</v>
      </c>
      <c r="L6268" s="2" t="s">
        <v>28572</v>
      </c>
      <c r="M6268" s="2" t="s">
        <v>30242</v>
      </c>
      <c r="N6268" s="2" t="s">
        <v>30243</v>
      </c>
      <c r="O6268" s="2" t="s">
        <v>869</v>
      </c>
      <c r="P6268" s="2" t="s">
        <v>870</v>
      </c>
    </row>
    <row r="6269" ht="15.75" customHeight="1">
      <c r="H6269" s="2" t="s">
        <v>30244</v>
      </c>
      <c r="I6269" s="2" t="s">
        <v>25338</v>
      </c>
      <c r="J6269" s="2" t="s">
        <v>25339</v>
      </c>
      <c r="K6269" s="2" t="s">
        <v>30245</v>
      </c>
      <c r="L6269" s="2" t="s">
        <v>28572</v>
      </c>
      <c r="M6269" s="2" t="s">
        <v>30246</v>
      </c>
      <c r="N6269" s="2" t="s">
        <v>30247</v>
      </c>
      <c r="O6269" s="2" t="s">
        <v>869</v>
      </c>
      <c r="P6269" s="2" t="s">
        <v>870</v>
      </c>
    </row>
    <row r="6270" ht="15.75" customHeight="1">
      <c r="H6270" s="2" t="s">
        <v>30248</v>
      </c>
      <c r="I6270" s="2" t="s">
        <v>20821</v>
      </c>
      <c r="J6270" s="2" t="s">
        <v>20822</v>
      </c>
      <c r="K6270" s="2" t="s">
        <v>30249</v>
      </c>
      <c r="L6270" s="2" t="s">
        <v>28572</v>
      </c>
      <c r="M6270" s="2" t="s">
        <v>30250</v>
      </c>
      <c r="N6270" s="2" t="s">
        <v>30251</v>
      </c>
      <c r="O6270" s="2" t="s">
        <v>869</v>
      </c>
      <c r="P6270" s="2" t="s">
        <v>870</v>
      </c>
    </row>
    <row r="6271" ht="15.75" customHeight="1">
      <c r="H6271" s="2" t="s">
        <v>30252</v>
      </c>
      <c r="I6271" s="2" t="s">
        <v>1036</v>
      </c>
      <c r="J6271" s="2" t="s">
        <v>1037</v>
      </c>
      <c r="K6271" s="2" t="s">
        <v>30253</v>
      </c>
      <c r="L6271" s="2" t="s">
        <v>28572</v>
      </c>
      <c r="M6271" s="2" t="s">
        <v>30254</v>
      </c>
      <c r="N6271" s="2" t="s">
        <v>30255</v>
      </c>
      <c r="O6271" s="2" t="s">
        <v>869</v>
      </c>
      <c r="P6271" s="2" t="s">
        <v>870</v>
      </c>
    </row>
    <row r="6272" ht="15.75" customHeight="1">
      <c r="F6272" s="2" t="s">
        <v>3972</v>
      </c>
      <c r="H6272" s="2" t="s">
        <v>30256</v>
      </c>
      <c r="I6272" s="2" t="s">
        <v>30257</v>
      </c>
      <c r="J6272" s="2" t="s">
        <v>30258</v>
      </c>
      <c r="K6272" s="2" t="s">
        <v>958</v>
      </c>
    </row>
    <row r="6273" ht="15.75" customHeight="1">
      <c r="H6273" s="2" t="s">
        <v>30259</v>
      </c>
      <c r="I6273" s="2" t="s">
        <v>4001</v>
      </c>
      <c r="J6273" s="2" t="s">
        <v>4002</v>
      </c>
      <c r="K6273" s="2" t="s">
        <v>30260</v>
      </c>
      <c r="L6273" s="2" t="s">
        <v>28572</v>
      </c>
      <c r="M6273" s="2" t="s">
        <v>30261</v>
      </c>
      <c r="N6273" s="2" t="s">
        <v>30262</v>
      </c>
      <c r="O6273" s="2" t="s">
        <v>869</v>
      </c>
      <c r="P6273" s="2" t="s">
        <v>870</v>
      </c>
    </row>
    <row r="6274" ht="15.75" customHeight="1">
      <c r="F6274" s="2" t="s">
        <v>703</v>
      </c>
      <c r="H6274" s="2" t="s">
        <v>30263</v>
      </c>
      <c r="I6274" s="2" t="s">
        <v>4016</v>
      </c>
      <c r="J6274" s="2" t="s">
        <v>4017</v>
      </c>
      <c r="K6274" s="2" t="s">
        <v>30264</v>
      </c>
      <c r="L6274" s="2" t="s">
        <v>28572</v>
      </c>
      <c r="M6274" s="2" t="s">
        <v>30265</v>
      </c>
      <c r="N6274" s="2" t="s">
        <v>30266</v>
      </c>
      <c r="O6274" s="2" t="s">
        <v>869</v>
      </c>
      <c r="P6274" s="2" t="s">
        <v>870</v>
      </c>
    </row>
    <row r="6275" ht="15.75" customHeight="1">
      <c r="H6275" s="2" t="s">
        <v>30267</v>
      </c>
      <c r="I6275" s="2" t="s">
        <v>5884</v>
      </c>
      <c r="J6275" s="2" t="s">
        <v>5885</v>
      </c>
      <c r="K6275" s="2" t="s">
        <v>30268</v>
      </c>
      <c r="L6275" s="2" t="s">
        <v>28572</v>
      </c>
      <c r="M6275" s="2" t="s">
        <v>30269</v>
      </c>
      <c r="N6275" s="2" t="s">
        <v>30270</v>
      </c>
      <c r="O6275" s="2" t="s">
        <v>869</v>
      </c>
      <c r="P6275" s="2" t="s">
        <v>870</v>
      </c>
    </row>
    <row r="6276" ht="15.75" customHeight="1">
      <c r="H6276" s="2" t="s">
        <v>30271</v>
      </c>
      <c r="I6276" s="2" t="s">
        <v>705</v>
      </c>
      <c r="J6276" s="2" t="s">
        <v>706</v>
      </c>
      <c r="K6276" s="2" t="s">
        <v>30272</v>
      </c>
      <c r="L6276" s="2" t="s">
        <v>28572</v>
      </c>
      <c r="M6276" s="2" t="s">
        <v>30273</v>
      </c>
      <c r="N6276" s="2" t="s">
        <v>30274</v>
      </c>
      <c r="O6276" s="2" t="s">
        <v>869</v>
      </c>
      <c r="P6276" s="2" t="s">
        <v>870</v>
      </c>
    </row>
    <row r="6277" ht="15.75" customHeight="1">
      <c r="H6277" s="2" t="s">
        <v>30275</v>
      </c>
      <c r="I6277" s="2" t="s">
        <v>10199</v>
      </c>
      <c r="J6277" s="2" t="s">
        <v>10200</v>
      </c>
      <c r="K6277" s="2" t="s">
        <v>30276</v>
      </c>
      <c r="L6277" s="2" t="s">
        <v>28572</v>
      </c>
      <c r="M6277" s="2" t="s">
        <v>30277</v>
      </c>
      <c r="N6277" s="2" t="s">
        <v>30278</v>
      </c>
      <c r="O6277" s="2" t="s">
        <v>869</v>
      </c>
      <c r="P6277" s="2" t="s">
        <v>870</v>
      </c>
    </row>
    <row r="6278" ht="15.75" customHeight="1">
      <c r="H6278" s="2" t="s">
        <v>30279</v>
      </c>
      <c r="I6278" s="2" t="s">
        <v>30280</v>
      </c>
      <c r="J6278" s="2" t="s">
        <v>30281</v>
      </c>
      <c r="K6278" s="2" t="s">
        <v>30282</v>
      </c>
      <c r="L6278" s="2" t="s">
        <v>28572</v>
      </c>
      <c r="M6278" s="2" t="s">
        <v>30283</v>
      </c>
      <c r="N6278" s="2" t="s">
        <v>30284</v>
      </c>
      <c r="O6278" s="2" t="s">
        <v>869</v>
      </c>
      <c r="P6278" s="2" t="s">
        <v>870</v>
      </c>
    </row>
    <row r="6279" ht="15.75" customHeight="1">
      <c r="H6279" s="2" t="s">
        <v>30285</v>
      </c>
      <c r="I6279" s="2" t="s">
        <v>30286</v>
      </c>
      <c r="J6279" s="2" t="s">
        <v>30287</v>
      </c>
      <c r="K6279" s="2" t="s">
        <v>2551</v>
      </c>
    </row>
    <row r="6280" ht="15.75" customHeight="1">
      <c r="H6280" s="2" t="s">
        <v>30288</v>
      </c>
      <c r="I6280" s="2" t="s">
        <v>30289</v>
      </c>
      <c r="J6280" s="2" t="s">
        <v>30290</v>
      </c>
      <c r="K6280" s="2" t="s">
        <v>30291</v>
      </c>
      <c r="L6280" s="2" t="s">
        <v>30292</v>
      </c>
      <c r="M6280" s="2" t="s">
        <v>30293</v>
      </c>
      <c r="N6280" s="2" t="s">
        <v>30294</v>
      </c>
      <c r="O6280" s="2" t="s">
        <v>869</v>
      </c>
      <c r="P6280" s="2" t="s">
        <v>870</v>
      </c>
    </row>
    <row r="6281" ht="15.75" customHeight="1">
      <c r="H6281" s="2" t="s">
        <v>30295</v>
      </c>
      <c r="I6281" s="2" t="s">
        <v>4065</v>
      </c>
      <c r="J6281" s="2" t="s">
        <v>4066</v>
      </c>
      <c r="K6281" s="2" t="s">
        <v>30296</v>
      </c>
      <c r="L6281" s="2" t="s">
        <v>28572</v>
      </c>
      <c r="M6281" s="2" t="s">
        <v>30297</v>
      </c>
      <c r="N6281" s="2" t="s">
        <v>30298</v>
      </c>
      <c r="O6281" s="2" t="s">
        <v>869</v>
      </c>
      <c r="P6281" s="2" t="s">
        <v>870</v>
      </c>
    </row>
    <row r="6282" ht="15.75" customHeight="1">
      <c r="F6282" s="2" t="s">
        <v>728</v>
      </c>
      <c r="H6282" s="2" t="s">
        <v>30299</v>
      </c>
      <c r="I6282" s="2" t="s">
        <v>1350</v>
      </c>
      <c r="J6282" s="2" t="s">
        <v>1351</v>
      </c>
      <c r="K6282" s="2" t="s">
        <v>30300</v>
      </c>
      <c r="L6282" s="2" t="s">
        <v>28572</v>
      </c>
      <c r="M6282" s="2" t="s">
        <v>30301</v>
      </c>
      <c r="N6282" s="2" t="s">
        <v>30302</v>
      </c>
      <c r="O6282" s="2" t="s">
        <v>869</v>
      </c>
      <c r="P6282" s="2" t="s">
        <v>870</v>
      </c>
    </row>
    <row r="6283" ht="15.75" customHeight="1">
      <c r="H6283" s="2" t="s">
        <v>30303</v>
      </c>
      <c r="I6283" s="2" t="s">
        <v>4096</v>
      </c>
      <c r="J6283" s="2" t="s">
        <v>4097</v>
      </c>
      <c r="K6283" s="2" t="s">
        <v>30304</v>
      </c>
      <c r="L6283" s="2" t="s">
        <v>28572</v>
      </c>
      <c r="M6283" s="2" t="s">
        <v>30305</v>
      </c>
      <c r="N6283" s="2" t="s">
        <v>30306</v>
      </c>
      <c r="O6283" s="2" t="s">
        <v>869</v>
      </c>
      <c r="P6283" s="2" t="s">
        <v>870</v>
      </c>
    </row>
    <row r="6284" ht="15.75" customHeight="1">
      <c r="F6284" s="2" t="s">
        <v>4115</v>
      </c>
      <c r="H6284" s="2" t="s">
        <v>30307</v>
      </c>
      <c r="I6284" s="2" t="s">
        <v>27907</v>
      </c>
      <c r="J6284" s="2" t="s">
        <v>27908</v>
      </c>
      <c r="K6284" s="2" t="s">
        <v>30308</v>
      </c>
      <c r="L6284" s="2" t="s">
        <v>28572</v>
      </c>
      <c r="M6284" s="2" t="s">
        <v>30309</v>
      </c>
      <c r="N6284" s="2" t="s">
        <v>30310</v>
      </c>
      <c r="O6284" s="2" t="s">
        <v>869</v>
      </c>
      <c r="P6284" s="2" t="s">
        <v>870</v>
      </c>
    </row>
    <row r="6285" ht="15.75" customHeight="1">
      <c r="H6285" s="2" t="s">
        <v>30311</v>
      </c>
      <c r="I6285" s="2" t="s">
        <v>30312</v>
      </c>
      <c r="J6285" s="2" t="s">
        <v>30313</v>
      </c>
      <c r="K6285" s="2" t="s">
        <v>30314</v>
      </c>
      <c r="L6285" s="2" t="s">
        <v>28572</v>
      </c>
      <c r="M6285" s="2" t="s">
        <v>30315</v>
      </c>
      <c r="N6285" s="2" t="s">
        <v>30316</v>
      </c>
      <c r="O6285" s="2" t="s">
        <v>869</v>
      </c>
      <c r="P6285" s="2" t="s">
        <v>870</v>
      </c>
    </row>
    <row r="6286" ht="15.75" customHeight="1">
      <c r="H6286" s="2" t="s">
        <v>30317</v>
      </c>
      <c r="I6286" s="2" t="s">
        <v>30318</v>
      </c>
      <c r="J6286" s="2" t="s">
        <v>30319</v>
      </c>
      <c r="K6286" s="2" t="s">
        <v>30320</v>
      </c>
      <c r="L6286" s="2" t="s">
        <v>28572</v>
      </c>
      <c r="M6286" s="2" t="s">
        <v>30321</v>
      </c>
      <c r="N6286" s="2" t="s">
        <v>30322</v>
      </c>
      <c r="O6286" s="2" t="s">
        <v>869</v>
      </c>
      <c r="P6286" s="2" t="s">
        <v>870</v>
      </c>
    </row>
    <row r="6287" ht="15.75" customHeight="1">
      <c r="H6287" s="2" t="s">
        <v>30323</v>
      </c>
      <c r="I6287" s="2" t="s">
        <v>4147</v>
      </c>
      <c r="J6287" s="2" t="s">
        <v>4148</v>
      </c>
      <c r="K6287" s="2" t="s">
        <v>30324</v>
      </c>
      <c r="L6287" s="2" t="s">
        <v>28572</v>
      </c>
      <c r="M6287" s="2" t="s">
        <v>27974</v>
      </c>
      <c r="N6287" s="2" t="s">
        <v>30325</v>
      </c>
      <c r="O6287" s="2" t="s">
        <v>869</v>
      </c>
      <c r="P6287" s="2" t="s">
        <v>870</v>
      </c>
    </row>
    <row r="6288" ht="15.75" customHeight="1">
      <c r="H6288" s="2" t="s">
        <v>30326</v>
      </c>
      <c r="I6288" s="2" t="s">
        <v>30327</v>
      </c>
      <c r="J6288" s="2" t="s">
        <v>30328</v>
      </c>
      <c r="K6288" s="2" t="s">
        <v>30329</v>
      </c>
      <c r="L6288" s="2" t="s">
        <v>28572</v>
      </c>
      <c r="M6288" s="2" t="s">
        <v>30330</v>
      </c>
      <c r="N6288" s="2" t="s">
        <v>30331</v>
      </c>
      <c r="O6288" s="2" t="s">
        <v>869</v>
      </c>
      <c r="P6288" s="2" t="s">
        <v>870</v>
      </c>
    </row>
    <row r="6289" ht="15.75" customHeight="1">
      <c r="H6289" s="2" t="s">
        <v>30332</v>
      </c>
      <c r="I6289" s="2" t="s">
        <v>4176</v>
      </c>
      <c r="J6289" s="2" t="s">
        <v>4177</v>
      </c>
      <c r="K6289" s="2" t="s">
        <v>30333</v>
      </c>
      <c r="L6289" s="2" t="s">
        <v>28572</v>
      </c>
      <c r="M6289" s="2" t="s">
        <v>27981</v>
      </c>
      <c r="N6289" s="2" t="s">
        <v>30334</v>
      </c>
      <c r="O6289" s="2" t="s">
        <v>869</v>
      </c>
      <c r="P6289" s="2" t="s">
        <v>870</v>
      </c>
    </row>
    <row r="6290" ht="15.75" customHeight="1">
      <c r="F6290" s="2" t="s">
        <v>4180</v>
      </c>
      <c r="H6290" s="2" t="s">
        <v>30335</v>
      </c>
      <c r="I6290" s="2" t="s">
        <v>4205</v>
      </c>
      <c r="J6290" s="2" t="s">
        <v>4206</v>
      </c>
      <c r="K6290" s="2" t="s">
        <v>30336</v>
      </c>
      <c r="L6290" s="2" t="s">
        <v>28572</v>
      </c>
      <c r="M6290" s="2" t="s">
        <v>30337</v>
      </c>
      <c r="N6290" s="2" t="s">
        <v>30338</v>
      </c>
      <c r="O6290" s="2" t="s">
        <v>869</v>
      </c>
      <c r="P6290" s="2" t="s">
        <v>870</v>
      </c>
    </row>
    <row r="6291" ht="15.75" customHeight="1">
      <c r="H6291" s="2" t="s">
        <v>30339</v>
      </c>
      <c r="I6291" s="2" t="s">
        <v>4215</v>
      </c>
      <c r="J6291" s="2" t="s">
        <v>4216</v>
      </c>
      <c r="K6291" s="2" t="s">
        <v>30340</v>
      </c>
      <c r="L6291" s="2" t="s">
        <v>28572</v>
      </c>
      <c r="M6291" s="2" t="s">
        <v>30341</v>
      </c>
      <c r="N6291" s="2" t="s">
        <v>30342</v>
      </c>
      <c r="O6291" s="2" t="s">
        <v>869</v>
      </c>
      <c r="P6291" s="2" t="s">
        <v>870</v>
      </c>
    </row>
    <row r="6292" ht="15.75" customHeight="1">
      <c r="H6292" s="2" t="s">
        <v>30343</v>
      </c>
      <c r="I6292" s="2" t="s">
        <v>30344</v>
      </c>
      <c r="J6292" s="2" t="s">
        <v>30345</v>
      </c>
      <c r="K6292" s="2" t="s">
        <v>1007</v>
      </c>
    </row>
    <row r="6293" ht="15.75" customHeight="1">
      <c r="F6293" s="2" t="s">
        <v>737</v>
      </c>
      <c r="H6293" s="2" t="s">
        <v>30346</v>
      </c>
      <c r="I6293" s="2" t="s">
        <v>30347</v>
      </c>
      <c r="J6293" s="2" t="s">
        <v>30348</v>
      </c>
      <c r="K6293" s="2" t="s">
        <v>30349</v>
      </c>
      <c r="L6293" s="2" t="s">
        <v>28572</v>
      </c>
      <c r="M6293" s="2" t="s">
        <v>30350</v>
      </c>
      <c r="N6293" s="2" t="s">
        <v>30351</v>
      </c>
      <c r="O6293" s="2" t="s">
        <v>869</v>
      </c>
      <c r="P6293" s="2" t="s">
        <v>870</v>
      </c>
    </row>
    <row r="6294" ht="15.75" customHeight="1">
      <c r="H6294" s="2" t="s">
        <v>30352</v>
      </c>
      <c r="I6294" s="2" t="s">
        <v>28008</v>
      </c>
      <c r="J6294" s="2" t="s">
        <v>28009</v>
      </c>
      <c r="K6294" s="2" t="s">
        <v>30353</v>
      </c>
      <c r="L6294" s="2" t="s">
        <v>28572</v>
      </c>
      <c r="M6294" s="2" t="s">
        <v>28010</v>
      </c>
      <c r="N6294" s="2" t="s">
        <v>30354</v>
      </c>
      <c r="O6294" s="2" t="s">
        <v>869</v>
      </c>
      <c r="P6294" s="2" t="s">
        <v>870</v>
      </c>
    </row>
    <row r="6295" ht="15.75" customHeight="1">
      <c r="H6295" s="2" t="s">
        <v>30355</v>
      </c>
      <c r="I6295" s="2" t="s">
        <v>30356</v>
      </c>
      <c r="J6295" s="2" t="s">
        <v>30357</v>
      </c>
      <c r="K6295" s="2" t="s">
        <v>30358</v>
      </c>
      <c r="L6295" s="2" t="s">
        <v>28572</v>
      </c>
      <c r="M6295" s="2" t="s">
        <v>30359</v>
      </c>
      <c r="N6295" s="2" t="s">
        <v>30360</v>
      </c>
      <c r="O6295" s="2" t="s">
        <v>869</v>
      </c>
      <c r="P6295" s="2" t="s">
        <v>870</v>
      </c>
    </row>
    <row r="6296" ht="15.75" customHeight="1">
      <c r="H6296" s="2" t="s">
        <v>30361</v>
      </c>
      <c r="I6296" s="2" t="s">
        <v>4237</v>
      </c>
      <c r="J6296" s="2" t="s">
        <v>4238</v>
      </c>
      <c r="K6296" s="2" t="s">
        <v>30362</v>
      </c>
      <c r="L6296" s="2" t="s">
        <v>28572</v>
      </c>
      <c r="M6296" s="2" t="s">
        <v>28046</v>
      </c>
      <c r="N6296" s="2" t="s">
        <v>30363</v>
      </c>
      <c r="O6296" s="2" t="s">
        <v>869</v>
      </c>
      <c r="P6296" s="2" t="s">
        <v>870</v>
      </c>
    </row>
    <row r="6297" ht="15.75" customHeight="1">
      <c r="H6297" s="2" t="s">
        <v>30364</v>
      </c>
      <c r="I6297" s="2" t="s">
        <v>739</v>
      </c>
      <c r="J6297" s="2" t="s">
        <v>740</v>
      </c>
      <c r="K6297" s="2" t="s">
        <v>30365</v>
      </c>
      <c r="L6297" s="2" t="s">
        <v>28572</v>
      </c>
      <c r="M6297" s="2" t="s">
        <v>28049</v>
      </c>
      <c r="N6297" s="2" t="s">
        <v>30366</v>
      </c>
      <c r="O6297" s="2" t="s">
        <v>869</v>
      </c>
      <c r="P6297" s="2" t="s">
        <v>870</v>
      </c>
    </row>
    <row r="6298" ht="15.75" customHeight="1">
      <c r="F6298" s="2" t="s">
        <v>746</v>
      </c>
      <c r="H6298" s="2" t="s">
        <v>30367</v>
      </c>
      <c r="I6298" s="2" t="s">
        <v>24559</v>
      </c>
      <c r="J6298" s="2" t="s">
        <v>24560</v>
      </c>
      <c r="K6298" s="2" t="s">
        <v>30368</v>
      </c>
      <c r="L6298" s="2" t="s">
        <v>28572</v>
      </c>
      <c r="M6298" s="2" t="s">
        <v>30369</v>
      </c>
      <c r="N6298" s="2" t="s">
        <v>30370</v>
      </c>
      <c r="O6298" s="2" t="s">
        <v>869</v>
      </c>
      <c r="P6298" s="2" t="s">
        <v>870</v>
      </c>
    </row>
    <row r="6299" ht="15.75" customHeight="1">
      <c r="H6299" s="2" t="s">
        <v>30371</v>
      </c>
      <c r="I6299" s="2" t="s">
        <v>7647</v>
      </c>
      <c r="J6299" s="2" t="s">
        <v>7648</v>
      </c>
      <c r="K6299" s="2" t="s">
        <v>1061</v>
      </c>
    </row>
    <row r="6300" ht="15.75" customHeight="1">
      <c r="H6300" s="2" t="s">
        <v>30372</v>
      </c>
      <c r="I6300" s="2" t="s">
        <v>4260</v>
      </c>
      <c r="J6300" s="2" t="s">
        <v>4261</v>
      </c>
      <c r="K6300" s="2" t="s">
        <v>30373</v>
      </c>
      <c r="L6300" s="2" t="s">
        <v>28572</v>
      </c>
      <c r="M6300" s="2" t="s">
        <v>30374</v>
      </c>
      <c r="N6300" s="2" t="s">
        <v>30375</v>
      </c>
      <c r="O6300" s="2" t="s">
        <v>869</v>
      </c>
      <c r="P6300" s="2" t="s">
        <v>870</v>
      </c>
    </row>
    <row r="6301" ht="15.75" customHeight="1">
      <c r="H6301" s="2" t="s">
        <v>30376</v>
      </c>
      <c r="I6301" s="2" t="s">
        <v>4277</v>
      </c>
      <c r="J6301" s="2" t="s">
        <v>4278</v>
      </c>
      <c r="K6301" s="2" t="s">
        <v>30377</v>
      </c>
      <c r="L6301" s="2" t="s">
        <v>28572</v>
      </c>
      <c r="M6301" s="2" t="s">
        <v>30378</v>
      </c>
      <c r="N6301" s="2" t="s">
        <v>30379</v>
      </c>
      <c r="O6301" s="2" t="s">
        <v>869</v>
      </c>
      <c r="P6301" s="2" t="s">
        <v>870</v>
      </c>
    </row>
    <row r="6302" ht="15.75" customHeight="1">
      <c r="H6302" s="2" t="s">
        <v>30380</v>
      </c>
      <c r="I6302" s="2" t="s">
        <v>4282</v>
      </c>
      <c r="J6302" s="2" t="s">
        <v>4283</v>
      </c>
      <c r="K6302" s="2" t="s">
        <v>30381</v>
      </c>
      <c r="L6302" s="2" t="s">
        <v>28572</v>
      </c>
      <c r="M6302" s="2" t="s">
        <v>30382</v>
      </c>
      <c r="N6302" s="2" t="s">
        <v>30383</v>
      </c>
      <c r="O6302" s="2" t="s">
        <v>869</v>
      </c>
      <c r="P6302" s="2" t="s">
        <v>870</v>
      </c>
    </row>
    <row r="6303" ht="15.75" customHeight="1">
      <c r="H6303" s="2" t="s">
        <v>30384</v>
      </c>
      <c r="I6303" s="2" t="s">
        <v>30385</v>
      </c>
      <c r="J6303" s="2" t="s">
        <v>30386</v>
      </c>
      <c r="K6303" s="2" t="s">
        <v>30387</v>
      </c>
      <c r="L6303" s="2" t="s">
        <v>28572</v>
      </c>
      <c r="M6303" s="2" t="s">
        <v>30388</v>
      </c>
      <c r="N6303" s="2" t="s">
        <v>869</v>
      </c>
      <c r="O6303" s="2" t="s">
        <v>870</v>
      </c>
    </row>
    <row r="6304" ht="15.75" customHeight="1">
      <c r="H6304" s="2" t="s">
        <v>30389</v>
      </c>
      <c r="I6304" s="2" t="s">
        <v>30390</v>
      </c>
      <c r="J6304" s="2" t="s">
        <v>30391</v>
      </c>
      <c r="K6304" s="2" t="s">
        <v>30392</v>
      </c>
      <c r="L6304" s="2" t="s">
        <v>28572</v>
      </c>
      <c r="M6304" s="2" t="s">
        <v>30393</v>
      </c>
      <c r="N6304" s="2" t="s">
        <v>30394</v>
      </c>
      <c r="O6304" s="2" t="s">
        <v>869</v>
      </c>
      <c r="P6304" s="2" t="s">
        <v>870</v>
      </c>
    </row>
    <row r="6305" ht="15.75" customHeight="1">
      <c r="H6305" s="2" t="s">
        <v>30395</v>
      </c>
      <c r="I6305" s="2" t="s">
        <v>21214</v>
      </c>
      <c r="J6305" s="2" t="s">
        <v>21215</v>
      </c>
      <c r="K6305" s="2" t="s">
        <v>30396</v>
      </c>
      <c r="L6305" s="2" t="s">
        <v>28572</v>
      </c>
      <c r="M6305" s="2" t="s">
        <v>30397</v>
      </c>
      <c r="N6305" s="2" t="s">
        <v>30398</v>
      </c>
      <c r="O6305" s="2" t="s">
        <v>869</v>
      </c>
      <c r="P6305" s="2" t="s">
        <v>870</v>
      </c>
    </row>
    <row r="6306" ht="15.75" customHeight="1">
      <c r="H6306" s="2" t="s">
        <v>30399</v>
      </c>
      <c r="I6306" s="2" t="s">
        <v>10575</v>
      </c>
      <c r="J6306" s="2" t="s">
        <v>10576</v>
      </c>
      <c r="K6306" s="2" t="s">
        <v>30400</v>
      </c>
      <c r="L6306" s="2" t="s">
        <v>28572</v>
      </c>
      <c r="M6306" s="2" t="s">
        <v>30401</v>
      </c>
      <c r="N6306" s="2" t="s">
        <v>30402</v>
      </c>
      <c r="O6306" s="2" t="s">
        <v>869</v>
      </c>
      <c r="P6306" s="2" t="s">
        <v>870</v>
      </c>
    </row>
    <row r="6307" ht="15.75" customHeight="1">
      <c r="H6307" s="2" t="s">
        <v>30403</v>
      </c>
      <c r="I6307" s="2" t="s">
        <v>30404</v>
      </c>
      <c r="J6307" s="2" t="s">
        <v>30405</v>
      </c>
      <c r="K6307" s="2" t="s">
        <v>30406</v>
      </c>
      <c r="L6307" s="2" t="s">
        <v>28572</v>
      </c>
      <c r="M6307" s="2" t="s">
        <v>30407</v>
      </c>
      <c r="N6307" s="2" t="s">
        <v>30408</v>
      </c>
      <c r="O6307" s="2" t="s">
        <v>869</v>
      </c>
      <c r="P6307" s="2" t="s">
        <v>870</v>
      </c>
    </row>
    <row r="6308" ht="15.75" customHeight="1">
      <c r="H6308" s="2" t="s">
        <v>30409</v>
      </c>
      <c r="I6308" s="2" t="s">
        <v>30410</v>
      </c>
      <c r="J6308" s="2" t="s">
        <v>30411</v>
      </c>
      <c r="K6308" s="2" t="s">
        <v>30412</v>
      </c>
      <c r="L6308" s="2" t="s">
        <v>28572</v>
      </c>
      <c r="M6308" s="2" t="s">
        <v>30413</v>
      </c>
      <c r="N6308" s="2" t="s">
        <v>30414</v>
      </c>
      <c r="O6308" s="2" t="s">
        <v>869</v>
      </c>
      <c r="P6308" s="2" t="s">
        <v>870</v>
      </c>
    </row>
    <row r="6309" ht="15.75" customHeight="1">
      <c r="H6309" s="2" t="s">
        <v>30415</v>
      </c>
      <c r="I6309" s="2" t="s">
        <v>4323</v>
      </c>
      <c r="J6309" s="2" t="s">
        <v>4324</v>
      </c>
      <c r="K6309" s="2" t="s">
        <v>30416</v>
      </c>
      <c r="L6309" s="2" t="s">
        <v>28572</v>
      </c>
      <c r="M6309" s="2" t="s">
        <v>30417</v>
      </c>
      <c r="N6309" s="2" t="s">
        <v>30418</v>
      </c>
      <c r="O6309" s="2" t="s">
        <v>869</v>
      </c>
      <c r="P6309" s="2" t="s">
        <v>870</v>
      </c>
    </row>
    <row r="6310" ht="15.75" customHeight="1">
      <c r="H6310" s="2" t="s">
        <v>30419</v>
      </c>
      <c r="I6310" s="2" t="s">
        <v>30420</v>
      </c>
      <c r="J6310" s="2" t="s">
        <v>30421</v>
      </c>
      <c r="K6310" s="2" t="s">
        <v>30422</v>
      </c>
      <c r="L6310" s="2" t="s">
        <v>28572</v>
      </c>
      <c r="M6310" s="2" t="s">
        <v>30423</v>
      </c>
      <c r="N6310" s="2" t="s">
        <v>30424</v>
      </c>
      <c r="O6310" s="2" t="s">
        <v>869</v>
      </c>
      <c r="P6310" s="2" t="s">
        <v>870</v>
      </c>
    </row>
    <row r="6311" ht="15.75" customHeight="1">
      <c r="H6311" s="2" t="s">
        <v>30425</v>
      </c>
      <c r="I6311" s="2" t="s">
        <v>30426</v>
      </c>
      <c r="J6311" s="2" t="s">
        <v>30427</v>
      </c>
      <c r="K6311" s="2" t="s">
        <v>30428</v>
      </c>
      <c r="L6311" s="2" t="s">
        <v>28572</v>
      </c>
      <c r="M6311" s="2" t="s">
        <v>30429</v>
      </c>
      <c r="N6311" s="2" t="s">
        <v>30430</v>
      </c>
      <c r="O6311" s="2" t="s">
        <v>869</v>
      </c>
      <c r="P6311" s="2" t="s">
        <v>870</v>
      </c>
    </row>
    <row r="6312" ht="15.75" customHeight="1">
      <c r="H6312" s="2" t="s">
        <v>30431</v>
      </c>
      <c r="I6312" s="2" t="s">
        <v>30432</v>
      </c>
      <c r="J6312" s="2" t="s">
        <v>30433</v>
      </c>
      <c r="K6312" s="2" t="s">
        <v>30434</v>
      </c>
      <c r="L6312" s="2" t="s">
        <v>28572</v>
      </c>
      <c r="M6312" s="2" t="s">
        <v>30435</v>
      </c>
      <c r="N6312" s="2" t="s">
        <v>30436</v>
      </c>
      <c r="O6312" s="2" t="s">
        <v>869</v>
      </c>
      <c r="P6312" s="2" t="s">
        <v>870</v>
      </c>
    </row>
    <row r="6313" ht="15.75" customHeight="1">
      <c r="H6313" s="2" t="s">
        <v>30437</v>
      </c>
      <c r="I6313" s="2" t="s">
        <v>30438</v>
      </c>
      <c r="J6313" s="2" t="s">
        <v>30439</v>
      </c>
      <c r="K6313" s="2" t="s">
        <v>30440</v>
      </c>
      <c r="L6313" s="2" t="s">
        <v>28572</v>
      </c>
      <c r="M6313" s="2" t="s">
        <v>30441</v>
      </c>
      <c r="N6313" s="2" t="s">
        <v>30442</v>
      </c>
      <c r="O6313" s="2" t="s">
        <v>869</v>
      </c>
      <c r="P6313" s="2" t="s">
        <v>870</v>
      </c>
    </row>
    <row r="6314" ht="15.75" customHeight="1">
      <c r="F6314" s="2" t="s">
        <v>4353</v>
      </c>
      <c r="H6314" s="2" t="s">
        <v>30443</v>
      </c>
      <c r="I6314" s="2" t="s">
        <v>30444</v>
      </c>
      <c r="J6314" s="2" t="s">
        <v>30445</v>
      </c>
      <c r="K6314" s="2" t="s">
        <v>30446</v>
      </c>
      <c r="L6314" s="2" t="s">
        <v>28572</v>
      </c>
      <c r="M6314" s="2" t="s">
        <v>30447</v>
      </c>
      <c r="N6314" s="2" t="s">
        <v>30448</v>
      </c>
      <c r="O6314" s="2" t="s">
        <v>869</v>
      </c>
      <c r="P6314" s="2" t="s">
        <v>870</v>
      </c>
    </row>
    <row r="6315" ht="15.75" customHeight="1">
      <c r="H6315" s="2" t="s">
        <v>30449</v>
      </c>
      <c r="I6315" s="2" t="s">
        <v>2829</v>
      </c>
      <c r="J6315" s="2" t="s">
        <v>2830</v>
      </c>
      <c r="K6315" s="2" t="s">
        <v>30450</v>
      </c>
      <c r="L6315" s="2" t="s">
        <v>28572</v>
      </c>
      <c r="M6315" s="2" t="s">
        <v>30451</v>
      </c>
      <c r="N6315" s="2" t="s">
        <v>30452</v>
      </c>
      <c r="O6315" s="2" t="s">
        <v>869</v>
      </c>
      <c r="P6315" s="2" t="s">
        <v>870</v>
      </c>
    </row>
    <row r="6316" ht="15.75" customHeight="1">
      <c r="H6316" s="2" t="s">
        <v>30453</v>
      </c>
      <c r="I6316" s="2" t="s">
        <v>30454</v>
      </c>
      <c r="J6316" s="2" t="s">
        <v>30455</v>
      </c>
      <c r="K6316" s="2" t="s">
        <v>30456</v>
      </c>
      <c r="L6316" s="2" t="s">
        <v>28572</v>
      </c>
      <c r="M6316" s="2" t="s">
        <v>30457</v>
      </c>
      <c r="N6316" s="2" t="s">
        <v>30458</v>
      </c>
      <c r="O6316" s="2" t="s">
        <v>869</v>
      </c>
      <c r="P6316" s="2" t="s">
        <v>870</v>
      </c>
    </row>
    <row r="6317" ht="15.75" customHeight="1">
      <c r="H6317" s="2" t="s">
        <v>30459</v>
      </c>
      <c r="I6317" s="2" t="s">
        <v>21265</v>
      </c>
      <c r="J6317" s="2" t="s">
        <v>21266</v>
      </c>
      <c r="K6317" s="2" t="s">
        <v>30460</v>
      </c>
      <c r="L6317" s="2" t="s">
        <v>28572</v>
      </c>
      <c r="M6317" s="2" t="s">
        <v>28076</v>
      </c>
      <c r="N6317" s="2" t="s">
        <v>30461</v>
      </c>
      <c r="O6317" s="2" t="s">
        <v>869</v>
      </c>
      <c r="P6317" s="2" t="s">
        <v>870</v>
      </c>
    </row>
    <row r="6318" ht="15.75" customHeight="1">
      <c r="H6318" s="2" t="s">
        <v>30462</v>
      </c>
      <c r="I6318" s="2" t="s">
        <v>30463</v>
      </c>
      <c r="J6318" s="2" t="s">
        <v>30464</v>
      </c>
      <c r="K6318" s="2" t="s">
        <v>30465</v>
      </c>
      <c r="L6318" s="2" t="s">
        <v>28572</v>
      </c>
      <c r="M6318" s="2" t="s">
        <v>30466</v>
      </c>
      <c r="N6318" s="2" t="s">
        <v>30467</v>
      </c>
      <c r="O6318" s="2" t="s">
        <v>869</v>
      </c>
      <c r="P6318" s="2" t="s">
        <v>870</v>
      </c>
    </row>
    <row r="6319" ht="15.75" customHeight="1">
      <c r="H6319" s="2" t="s">
        <v>30468</v>
      </c>
      <c r="I6319" s="2" t="s">
        <v>27638</v>
      </c>
      <c r="J6319" s="2" t="s">
        <v>27639</v>
      </c>
      <c r="K6319" s="2" t="s">
        <v>30469</v>
      </c>
      <c r="L6319" s="2" t="s">
        <v>28572</v>
      </c>
      <c r="M6319" s="2" t="s">
        <v>30470</v>
      </c>
      <c r="N6319" s="2" t="s">
        <v>30471</v>
      </c>
      <c r="O6319" s="2" t="s">
        <v>869</v>
      </c>
      <c r="P6319" s="2" t="s">
        <v>870</v>
      </c>
    </row>
    <row r="6320" ht="15.75" customHeight="1">
      <c r="H6320" s="2" t="s">
        <v>30472</v>
      </c>
      <c r="I6320" s="2" t="s">
        <v>4127</v>
      </c>
      <c r="J6320" s="2" t="s">
        <v>4128</v>
      </c>
      <c r="K6320" s="2" t="s">
        <v>30473</v>
      </c>
      <c r="L6320" s="2" t="s">
        <v>28572</v>
      </c>
      <c r="M6320" s="2" t="s">
        <v>30474</v>
      </c>
      <c r="N6320" s="2" t="s">
        <v>30475</v>
      </c>
      <c r="O6320" s="2" t="s">
        <v>869</v>
      </c>
      <c r="P6320" s="2" t="s">
        <v>870</v>
      </c>
    </row>
    <row r="6321" ht="15.75" customHeight="1">
      <c r="H6321" s="2" t="s">
        <v>30476</v>
      </c>
      <c r="I6321" s="2" t="s">
        <v>4395</v>
      </c>
      <c r="J6321" s="2" t="s">
        <v>4396</v>
      </c>
      <c r="K6321" s="2" t="s">
        <v>30477</v>
      </c>
      <c r="L6321" s="2" t="s">
        <v>28572</v>
      </c>
      <c r="M6321" s="2" t="s">
        <v>28119</v>
      </c>
      <c r="N6321" s="2" t="s">
        <v>30478</v>
      </c>
      <c r="O6321" s="2" t="s">
        <v>869</v>
      </c>
      <c r="P6321" s="2" t="s">
        <v>870</v>
      </c>
    </row>
    <row r="6322" ht="15.75" customHeight="1">
      <c r="H6322" s="2" t="s">
        <v>30479</v>
      </c>
      <c r="I6322" s="2" t="s">
        <v>30480</v>
      </c>
      <c r="J6322" s="2" t="s">
        <v>30481</v>
      </c>
      <c r="K6322" s="2" t="s">
        <v>30482</v>
      </c>
      <c r="L6322" s="2" t="s">
        <v>28572</v>
      </c>
      <c r="M6322" s="2" t="s">
        <v>30483</v>
      </c>
      <c r="N6322" s="2" t="s">
        <v>30484</v>
      </c>
      <c r="O6322" s="2" t="s">
        <v>869</v>
      </c>
      <c r="P6322" s="2" t="s">
        <v>870</v>
      </c>
    </row>
    <row r="6323" ht="15.75" customHeight="1">
      <c r="H6323" s="2" t="s">
        <v>30485</v>
      </c>
      <c r="I6323" s="2" t="s">
        <v>30486</v>
      </c>
      <c r="J6323" s="2" t="s">
        <v>30487</v>
      </c>
      <c r="K6323" s="2" t="s">
        <v>30488</v>
      </c>
      <c r="L6323" s="2" t="s">
        <v>28572</v>
      </c>
      <c r="M6323" s="2" t="s">
        <v>30489</v>
      </c>
      <c r="N6323" s="2" t="s">
        <v>30490</v>
      </c>
      <c r="O6323" s="2" t="s">
        <v>869</v>
      </c>
      <c r="P6323" s="2" t="s">
        <v>870</v>
      </c>
    </row>
    <row r="6324" ht="15.75" customHeight="1">
      <c r="H6324" s="2" t="s">
        <v>30491</v>
      </c>
      <c r="I6324" s="2" t="s">
        <v>6072</v>
      </c>
      <c r="J6324" s="2" t="s">
        <v>6073</v>
      </c>
      <c r="K6324" s="2" t="s">
        <v>30492</v>
      </c>
      <c r="L6324" s="2" t="s">
        <v>28572</v>
      </c>
      <c r="M6324" s="2" t="s">
        <v>30493</v>
      </c>
      <c r="N6324" s="2" t="s">
        <v>30494</v>
      </c>
      <c r="O6324" s="2" t="s">
        <v>869</v>
      </c>
      <c r="P6324" s="2" t="s">
        <v>870</v>
      </c>
    </row>
    <row r="6325" ht="15.75" customHeight="1">
      <c r="H6325" s="2" t="s">
        <v>30495</v>
      </c>
      <c r="I6325" s="2" t="s">
        <v>30496</v>
      </c>
      <c r="J6325" s="2" t="s">
        <v>30497</v>
      </c>
      <c r="K6325" s="2" t="s">
        <v>30498</v>
      </c>
      <c r="L6325" s="2" t="s">
        <v>28572</v>
      </c>
      <c r="M6325" s="2" t="s">
        <v>30499</v>
      </c>
      <c r="N6325" s="2" t="s">
        <v>30500</v>
      </c>
      <c r="O6325" s="2" t="s">
        <v>869</v>
      </c>
      <c r="P6325" s="2" t="s">
        <v>870</v>
      </c>
    </row>
    <row r="6326" ht="15.75" customHeight="1">
      <c r="H6326" s="2" t="s">
        <v>30501</v>
      </c>
      <c r="I6326" s="2" t="s">
        <v>17731</v>
      </c>
      <c r="J6326" s="2" t="s">
        <v>17732</v>
      </c>
      <c r="K6326" s="2" t="s">
        <v>30502</v>
      </c>
      <c r="L6326" s="2" t="s">
        <v>28572</v>
      </c>
      <c r="M6326" s="2" t="s">
        <v>28139</v>
      </c>
      <c r="N6326" s="2" t="s">
        <v>30503</v>
      </c>
      <c r="O6326" s="2" t="s">
        <v>869</v>
      </c>
      <c r="P6326" s="2" t="s">
        <v>870</v>
      </c>
    </row>
    <row r="6327" ht="15.75" customHeight="1">
      <c r="H6327" s="2" t="s">
        <v>30504</v>
      </c>
      <c r="I6327" s="2" t="s">
        <v>1335</v>
      </c>
      <c r="J6327" s="2" t="s">
        <v>1336</v>
      </c>
      <c r="K6327" s="2" t="s">
        <v>3298</v>
      </c>
      <c r="L6327" s="2" t="s">
        <v>28572</v>
      </c>
      <c r="M6327" s="2" t="s">
        <v>30505</v>
      </c>
      <c r="N6327" s="2" t="s">
        <v>30506</v>
      </c>
      <c r="O6327" s="2" t="s">
        <v>869</v>
      </c>
      <c r="P6327" s="2" t="s">
        <v>870</v>
      </c>
    </row>
    <row r="6328" ht="15.75" customHeight="1">
      <c r="F6328" s="2" t="s">
        <v>4462</v>
      </c>
      <c r="H6328" s="2" t="s">
        <v>30507</v>
      </c>
      <c r="I6328" s="2" t="s">
        <v>30508</v>
      </c>
      <c r="J6328" s="2" t="s">
        <v>30509</v>
      </c>
      <c r="K6328" s="2" t="s">
        <v>30510</v>
      </c>
      <c r="L6328" s="2" t="s">
        <v>28572</v>
      </c>
      <c r="M6328" s="2" t="s">
        <v>30511</v>
      </c>
      <c r="N6328" s="2" t="s">
        <v>30512</v>
      </c>
      <c r="O6328" s="2" t="s">
        <v>869</v>
      </c>
      <c r="P6328" s="2" t="s">
        <v>870</v>
      </c>
    </row>
    <row r="6329" ht="15.75" customHeight="1">
      <c r="H6329" s="2" t="s">
        <v>30513</v>
      </c>
      <c r="I6329" s="2" t="s">
        <v>4477</v>
      </c>
      <c r="J6329" s="2" t="s">
        <v>4478</v>
      </c>
      <c r="K6329" s="2" t="s">
        <v>30514</v>
      </c>
      <c r="L6329" s="2" t="s">
        <v>28572</v>
      </c>
      <c r="M6329" s="2" t="s">
        <v>30515</v>
      </c>
      <c r="N6329" s="2" t="s">
        <v>30516</v>
      </c>
      <c r="O6329" s="2" t="s">
        <v>869</v>
      </c>
      <c r="P6329" s="2" t="s">
        <v>870</v>
      </c>
    </row>
    <row r="6330" ht="15.75" customHeight="1">
      <c r="F6330" s="2" t="s">
        <v>4491</v>
      </c>
      <c r="H6330" s="2" t="s">
        <v>30517</v>
      </c>
      <c r="I6330" s="2" t="s">
        <v>30518</v>
      </c>
      <c r="J6330" s="2" t="s">
        <v>30519</v>
      </c>
      <c r="K6330" s="2" t="s">
        <v>30520</v>
      </c>
      <c r="L6330" s="2" t="s">
        <v>28572</v>
      </c>
      <c r="M6330" s="2" t="s">
        <v>30521</v>
      </c>
      <c r="N6330" s="2" t="s">
        <v>30522</v>
      </c>
      <c r="O6330" s="2" t="s">
        <v>869</v>
      </c>
      <c r="P6330" s="2" t="s">
        <v>870</v>
      </c>
    </row>
    <row r="6331" ht="15.75" customHeight="1">
      <c r="H6331" s="2" t="s">
        <v>30523</v>
      </c>
      <c r="I6331" s="2" t="s">
        <v>30524</v>
      </c>
      <c r="J6331" s="2" t="s">
        <v>30525</v>
      </c>
      <c r="K6331" s="2" t="s">
        <v>30526</v>
      </c>
      <c r="L6331" s="2" t="s">
        <v>28572</v>
      </c>
      <c r="M6331" s="2" t="s">
        <v>30527</v>
      </c>
      <c r="N6331" s="2" t="s">
        <v>30528</v>
      </c>
      <c r="O6331" s="2" t="s">
        <v>869</v>
      </c>
      <c r="P6331" s="2" t="s">
        <v>870</v>
      </c>
    </row>
    <row r="6332" ht="15.75" customHeight="1">
      <c r="H6332" s="2" t="s">
        <v>30529</v>
      </c>
      <c r="I6332" s="2" t="s">
        <v>4503</v>
      </c>
      <c r="J6332" s="2" t="s">
        <v>4504</v>
      </c>
      <c r="K6332" s="2" t="s">
        <v>30530</v>
      </c>
      <c r="L6332" s="2" t="s">
        <v>28572</v>
      </c>
      <c r="M6332" s="2" t="s">
        <v>30531</v>
      </c>
      <c r="N6332" s="2" t="s">
        <v>30532</v>
      </c>
      <c r="O6332" s="2" t="s">
        <v>869</v>
      </c>
      <c r="P6332" s="2" t="s">
        <v>870</v>
      </c>
    </row>
    <row r="6333" ht="15.75" customHeight="1">
      <c r="H6333" s="2" t="s">
        <v>30533</v>
      </c>
      <c r="I6333" s="2" t="s">
        <v>30534</v>
      </c>
      <c r="J6333" s="2" t="s">
        <v>30535</v>
      </c>
      <c r="K6333" s="2" t="s">
        <v>30536</v>
      </c>
      <c r="L6333" s="2" t="s">
        <v>28572</v>
      </c>
      <c r="M6333" s="2" t="s">
        <v>30537</v>
      </c>
      <c r="N6333" s="2" t="s">
        <v>30538</v>
      </c>
      <c r="O6333" s="2" t="s">
        <v>869</v>
      </c>
      <c r="P6333" s="2" t="s">
        <v>870</v>
      </c>
    </row>
    <row r="6334" ht="15.75" customHeight="1">
      <c r="H6334" s="2" t="s">
        <v>30539</v>
      </c>
      <c r="I6334" s="2" t="s">
        <v>4513</v>
      </c>
      <c r="J6334" s="2" t="s">
        <v>4514</v>
      </c>
      <c r="K6334" s="2" t="s">
        <v>30540</v>
      </c>
      <c r="L6334" s="2" t="s">
        <v>28572</v>
      </c>
      <c r="M6334" s="2" t="s">
        <v>30541</v>
      </c>
      <c r="N6334" s="2" t="s">
        <v>30542</v>
      </c>
      <c r="O6334" s="2" t="s">
        <v>869</v>
      </c>
      <c r="P6334" s="2" t="s">
        <v>870</v>
      </c>
    </row>
    <row r="6335" ht="15.75" customHeight="1">
      <c r="H6335" s="2" t="s">
        <v>30543</v>
      </c>
      <c r="I6335" s="2" t="s">
        <v>30544</v>
      </c>
      <c r="J6335" s="2" t="s">
        <v>30545</v>
      </c>
      <c r="K6335" s="2" t="s">
        <v>30546</v>
      </c>
      <c r="L6335" s="2" t="s">
        <v>28572</v>
      </c>
      <c r="M6335" s="2" t="s">
        <v>30547</v>
      </c>
      <c r="N6335" s="2" t="s">
        <v>30548</v>
      </c>
      <c r="O6335" s="2" t="s">
        <v>869</v>
      </c>
      <c r="P6335" s="2" t="s">
        <v>870</v>
      </c>
    </row>
    <row r="6336" ht="15.75" customHeight="1">
      <c r="H6336" s="2" t="s">
        <v>30549</v>
      </c>
      <c r="I6336" s="2" t="s">
        <v>10786</v>
      </c>
      <c r="J6336" s="2" t="s">
        <v>10787</v>
      </c>
      <c r="K6336" s="2" t="s">
        <v>30550</v>
      </c>
      <c r="L6336" s="2" t="s">
        <v>28572</v>
      </c>
      <c r="M6336" s="2" t="s">
        <v>10789</v>
      </c>
      <c r="N6336" s="2" t="s">
        <v>30551</v>
      </c>
      <c r="O6336" s="2" t="s">
        <v>869</v>
      </c>
      <c r="P6336" s="2" t="s">
        <v>870</v>
      </c>
    </row>
    <row r="6337" ht="15.75" customHeight="1">
      <c r="H6337" s="2" t="s">
        <v>30552</v>
      </c>
      <c r="I6337" s="2" t="s">
        <v>30553</v>
      </c>
      <c r="J6337" s="2" t="s">
        <v>30554</v>
      </c>
      <c r="K6337" s="2" t="s">
        <v>918</v>
      </c>
    </row>
    <row r="6338" ht="15.75" customHeight="1">
      <c r="F6338" s="2" t="s">
        <v>4544</v>
      </c>
      <c r="H6338" s="2" t="s">
        <v>30555</v>
      </c>
      <c r="I6338" s="2" t="s">
        <v>4546</v>
      </c>
      <c r="J6338" s="2" t="s">
        <v>4547</v>
      </c>
      <c r="K6338" s="2" t="s">
        <v>30556</v>
      </c>
      <c r="L6338" s="2" t="s">
        <v>28572</v>
      </c>
      <c r="M6338" s="2" t="s">
        <v>10825</v>
      </c>
      <c r="N6338" s="2" t="s">
        <v>30557</v>
      </c>
      <c r="O6338" s="2" t="s">
        <v>869</v>
      </c>
      <c r="P6338" s="2" t="s">
        <v>870</v>
      </c>
    </row>
    <row r="6339" ht="15.75" customHeight="1">
      <c r="H6339" s="2" t="s">
        <v>30558</v>
      </c>
      <c r="I6339" s="2" t="s">
        <v>30559</v>
      </c>
      <c r="J6339" s="2" t="s">
        <v>30560</v>
      </c>
      <c r="K6339" s="2" t="s">
        <v>30561</v>
      </c>
      <c r="L6339" s="2" t="s">
        <v>28572</v>
      </c>
      <c r="M6339" s="2" t="s">
        <v>30562</v>
      </c>
      <c r="N6339" s="2" t="s">
        <v>30563</v>
      </c>
      <c r="O6339" s="2" t="s">
        <v>869</v>
      </c>
      <c r="P6339" s="2" t="s">
        <v>870</v>
      </c>
    </row>
    <row r="6340" ht="15.75" customHeight="1">
      <c r="H6340" s="2" t="s">
        <v>30564</v>
      </c>
      <c r="I6340" s="2" t="s">
        <v>30565</v>
      </c>
      <c r="J6340" s="2" t="s">
        <v>30566</v>
      </c>
      <c r="K6340" s="2" t="s">
        <v>30567</v>
      </c>
      <c r="L6340" s="2" t="s">
        <v>28572</v>
      </c>
      <c r="M6340" s="2" t="s">
        <v>30568</v>
      </c>
      <c r="N6340" s="2" t="s">
        <v>30569</v>
      </c>
      <c r="O6340" s="2" t="s">
        <v>869</v>
      </c>
      <c r="P6340" s="2" t="s">
        <v>870</v>
      </c>
    </row>
    <row r="6341" ht="15.75" customHeight="1">
      <c r="H6341" s="2" t="s">
        <v>30570</v>
      </c>
      <c r="I6341" s="2" t="s">
        <v>11049</v>
      </c>
      <c r="J6341" s="2" t="s">
        <v>11050</v>
      </c>
      <c r="K6341" s="2" t="s">
        <v>30571</v>
      </c>
      <c r="L6341" s="2" t="s">
        <v>28572</v>
      </c>
      <c r="M6341" s="2" t="s">
        <v>30572</v>
      </c>
      <c r="N6341" s="2" t="s">
        <v>30573</v>
      </c>
      <c r="O6341" s="2" t="s">
        <v>869</v>
      </c>
      <c r="P6341" s="2" t="s">
        <v>870</v>
      </c>
    </row>
    <row r="6342" ht="15.75" customHeight="1">
      <c r="H6342" s="2" t="s">
        <v>30574</v>
      </c>
      <c r="I6342" s="2" t="s">
        <v>10875</v>
      </c>
      <c r="J6342" s="2" t="s">
        <v>10876</v>
      </c>
      <c r="K6342" s="2" t="s">
        <v>30575</v>
      </c>
      <c r="L6342" s="2" t="s">
        <v>28572</v>
      </c>
      <c r="M6342" s="2" t="s">
        <v>10878</v>
      </c>
      <c r="N6342" s="2" t="s">
        <v>30576</v>
      </c>
      <c r="O6342" s="2" t="s">
        <v>869</v>
      </c>
      <c r="P6342" s="2" t="s">
        <v>870</v>
      </c>
    </row>
    <row r="6343" ht="15.75" customHeight="1">
      <c r="H6343" s="2" t="s">
        <v>30577</v>
      </c>
      <c r="I6343" s="2" t="s">
        <v>4556</v>
      </c>
      <c r="J6343" s="2" t="s">
        <v>4557</v>
      </c>
      <c r="K6343" s="2" t="s">
        <v>30578</v>
      </c>
      <c r="L6343" s="2" t="s">
        <v>28572</v>
      </c>
      <c r="M6343" s="2" t="s">
        <v>10888</v>
      </c>
      <c r="N6343" s="2" t="s">
        <v>869</v>
      </c>
      <c r="O6343" s="2" t="s">
        <v>870</v>
      </c>
    </row>
    <row r="6344" ht="15.75" customHeight="1">
      <c r="H6344" s="2" t="s">
        <v>30579</v>
      </c>
      <c r="I6344" s="2" t="s">
        <v>10908</v>
      </c>
      <c r="J6344" s="2" t="s">
        <v>10909</v>
      </c>
      <c r="K6344" s="2" t="s">
        <v>30580</v>
      </c>
      <c r="L6344" s="2" t="s">
        <v>28572</v>
      </c>
      <c r="M6344" s="2" t="s">
        <v>10911</v>
      </c>
      <c r="N6344" s="2" t="s">
        <v>30581</v>
      </c>
      <c r="O6344" s="2" t="s">
        <v>869</v>
      </c>
      <c r="P6344" s="2" t="s">
        <v>870</v>
      </c>
    </row>
    <row r="6345" ht="15.75" customHeight="1">
      <c r="H6345" s="2" t="s">
        <v>30582</v>
      </c>
      <c r="I6345" s="2" t="s">
        <v>30583</v>
      </c>
      <c r="J6345" s="2" t="s">
        <v>30584</v>
      </c>
      <c r="K6345" s="2" t="s">
        <v>30585</v>
      </c>
      <c r="L6345" s="2" t="s">
        <v>28572</v>
      </c>
      <c r="M6345" s="2" t="s">
        <v>30586</v>
      </c>
      <c r="N6345" s="2" t="s">
        <v>30587</v>
      </c>
      <c r="O6345" s="2" t="s">
        <v>869</v>
      </c>
      <c r="P6345" s="2" t="s">
        <v>870</v>
      </c>
    </row>
    <row r="6346" ht="15.75" customHeight="1">
      <c r="H6346" s="2" t="s">
        <v>30588</v>
      </c>
      <c r="I6346" s="2" t="s">
        <v>1262</v>
      </c>
      <c r="J6346" s="2" t="s">
        <v>1263</v>
      </c>
      <c r="K6346" s="2" t="s">
        <v>30589</v>
      </c>
      <c r="L6346" s="2" t="s">
        <v>28572</v>
      </c>
      <c r="M6346" s="2" t="s">
        <v>30590</v>
      </c>
      <c r="N6346" s="2" t="s">
        <v>30591</v>
      </c>
      <c r="O6346" s="2" t="s">
        <v>869</v>
      </c>
      <c r="P6346" s="2" t="s">
        <v>870</v>
      </c>
    </row>
    <row r="6347" ht="15.75" customHeight="1">
      <c r="F6347" s="2" t="s">
        <v>4576</v>
      </c>
      <c r="H6347" s="2" t="s">
        <v>30592</v>
      </c>
      <c r="I6347" s="2" t="s">
        <v>30593</v>
      </c>
      <c r="J6347" s="2" t="s">
        <v>30594</v>
      </c>
      <c r="K6347" s="2" t="s">
        <v>30595</v>
      </c>
      <c r="L6347" s="2" t="s">
        <v>28572</v>
      </c>
      <c r="M6347" s="2" t="s">
        <v>30596</v>
      </c>
      <c r="N6347" s="2" t="s">
        <v>30597</v>
      </c>
      <c r="O6347" s="2" t="s">
        <v>869</v>
      </c>
      <c r="P6347" s="2" t="s">
        <v>870</v>
      </c>
    </row>
    <row r="6348" ht="15.75" customHeight="1">
      <c r="H6348" s="2" t="s">
        <v>30598</v>
      </c>
      <c r="I6348" s="2" t="s">
        <v>30599</v>
      </c>
      <c r="J6348" s="2" t="s">
        <v>30600</v>
      </c>
      <c r="K6348" s="2" t="s">
        <v>30601</v>
      </c>
      <c r="L6348" s="2" t="s">
        <v>28572</v>
      </c>
      <c r="M6348" s="2" t="s">
        <v>30602</v>
      </c>
      <c r="N6348" s="2" t="s">
        <v>30603</v>
      </c>
      <c r="O6348" s="2" t="s">
        <v>869</v>
      </c>
      <c r="P6348" s="2" t="s">
        <v>870</v>
      </c>
    </row>
    <row r="6349" ht="15.75" customHeight="1">
      <c r="H6349" s="2" t="s">
        <v>30604</v>
      </c>
      <c r="I6349" s="2" t="s">
        <v>4584</v>
      </c>
      <c r="J6349" s="2" t="s">
        <v>4585</v>
      </c>
      <c r="K6349" s="2" t="s">
        <v>30605</v>
      </c>
      <c r="L6349" s="2" t="s">
        <v>28572</v>
      </c>
      <c r="M6349" s="2" t="s">
        <v>30606</v>
      </c>
      <c r="N6349" s="2" t="s">
        <v>30607</v>
      </c>
      <c r="O6349" s="2" t="s">
        <v>869</v>
      </c>
      <c r="P6349" s="2" t="s">
        <v>870</v>
      </c>
    </row>
    <row r="6350" ht="15.75" customHeight="1">
      <c r="H6350" s="2" t="s">
        <v>30608</v>
      </c>
      <c r="I6350" s="2" t="s">
        <v>30426</v>
      </c>
      <c r="J6350" s="2" t="s">
        <v>30427</v>
      </c>
      <c r="K6350" s="2" t="s">
        <v>30609</v>
      </c>
      <c r="L6350" s="2" t="s">
        <v>28572</v>
      </c>
      <c r="M6350" s="2" t="s">
        <v>30610</v>
      </c>
      <c r="N6350" s="2" t="s">
        <v>30611</v>
      </c>
      <c r="O6350" s="2" t="s">
        <v>869</v>
      </c>
      <c r="P6350" s="2" t="s">
        <v>870</v>
      </c>
    </row>
    <row r="6351" ht="15.75" customHeight="1">
      <c r="H6351" s="2" t="s">
        <v>30612</v>
      </c>
      <c r="I6351" s="2" t="s">
        <v>4589</v>
      </c>
      <c r="J6351" s="2" t="s">
        <v>4590</v>
      </c>
      <c r="K6351" s="2" t="s">
        <v>30613</v>
      </c>
      <c r="L6351" s="2" t="s">
        <v>28572</v>
      </c>
      <c r="M6351" s="2" t="s">
        <v>30614</v>
      </c>
      <c r="N6351" s="2" t="s">
        <v>30615</v>
      </c>
      <c r="O6351" s="2" t="s">
        <v>869</v>
      </c>
      <c r="P6351" s="2" t="s">
        <v>870</v>
      </c>
    </row>
    <row r="6352" ht="15.75" customHeight="1">
      <c r="F6352" s="2" t="s">
        <v>755</v>
      </c>
      <c r="H6352" s="2" t="s">
        <v>30616</v>
      </c>
      <c r="I6352" s="2" t="s">
        <v>21461</v>
      </c>
      <c r="J6352" s="2" t="s">
        <v>21462</v>
      </c>
      <c r="K6352" s="2" t="s">
        <v>30617</v>
      </c>
      <c r="L6352" s="2" t="s">
        <v>28572</v>
      </c>
      <c r="M6352" s="2" t="s">
        <v>30618</v>
      </c>
      <c r="N6352" s="2" t="s">
        <v>30619</v>
      </c>
      <c r="O6352" s="2" t="s">
        <v>869</v>
      </c>
      <c r="P6352" s="2" t="s">
        <v>870</v>
      </c>
    </row>
    <row r="6353" ht="15.75" customHeight="1">
      <c r="H6353" s="2" t="s">
        <v>30620</v>
      </c>
      <c r="I6353" s="2" t="s">
        <v>30621</v>
      </c>
      <c r="J6353" s="2" t="s">
        <v>30622</v>
      </c>
      <c r="K6353" s="2" t="s">
        <v>30623</v>
      </c>
      <c r="L6353" s="2" t="s">
        <v>28572</v>
      </c>
      <c r="M6353" s="2" t="s">
        <v>30624</v>
      </c>
      <c r="N6353" s="2" t="s">
        <v>30625</v>
      </c>
      <c r="O6353" s="2" t="s">
        <v>869</v>
      </c>
      <c r="P6353" s="2" t="s">
        <v>870</v>
      </c>
    </row>
    <row r="6354" ht="15.75" customHeight="1">
      <c r="H6354" s="2" t="s">
        <v>30626</v>
      </c>
      <c r="I6354" s="2" t="s">
        <v>3538</v>
      </c>
      <c r="J6354" s="2" t="s">
        <v>3539</v>
      </c>
      <c r="K6354" s="2" t="s">
        <v>30627</v>
      </c>
      <c r="L6354" s="2" t="s">
        <v>28572</v>
      </c>
      <c r="M6354" s="2" t="s">
        <v>30628</v>
      </c>
      <c r="N6354" s="2" t="s">
        <v>30629</v>
      </c>
      <c r="O6354" s="2" t="s">
        <v>869</v>
      </c>
      <c r="P6354" s="2" t="s">
        <v>870</v>
      </c>
    </row>
    <row r="6355" ht="15.75" customHeight="1">
      <c r="H6355" s="2" t="s">
        <v>30630</v>
      </c>
      <c r="I6355" s="2" t="s">
        <v>4650</v>
      </c>
      <c r="J6355" s="2" t="s">
        <v>4651</v>
      </c>
      <c r="K6355" s="2" t="s">
        <v>30631</v>
      </c>
      <c r="L6355" s="2" t="s">
        <v>28572</v>
      </c>
      <c r="M6355" s="2" t="s">
        <v>30632</v>
      </c>
      <c r="N6355" s="2" t="s">
        <v>30633</v>
      </c>
      <c r="O6355" s="2" t="s">
        <v>869</v>
      </c>
      <c r="P6355" s="2" t="s">
        <v>870</v>
      </c>
    </row>
    <row r="6356" ht="15.75" customHeight="1">
      <c r="H6356" s="2" t="s">
        <v>30634</v>
      </c>
      <c r="I6356" s="2" t="s">
        <v>30635</v>
      </c>
      <c r="J6356" s="2" t="s">
        <v>30636</v>
      </c>
      <c r="K6356" s="2" t="s">
        <v>30637</v>
      </c>
      <c r="L6356" s="2" t="s">
        <v>28572</v>
      </c>
      <c r="M6356" s="2" t="s">
        <v>30638</v>
      </c>
      <c r="N6356" s="2" t="s">
        <v>30639</v>
      </c>
      <c r="O6356" s="2" t="s">
        <v>869</v>
      </c>
      <c r="P6356" s="2" t="s">
        <v>870</v>
      </c>
    </row>
    <row r="6357" ht="15.75" customHeight="1">
      <c r="H6357" s="2" t="s">
        <v>30640</v>
      </c>
      <c r="I6357" s="2" t="s">
        <v>4665</v>
      </c>
      <c r="J6357" s="2" t="s">
        <v>4666</v>
      </c>
      <c r="K6357" s="2" t="s">
        <v>30641</v>
      </c>
      <c r="L6357" s="2" t="s">
        <v>30642</v>
      </c>
      <c r="M6357" s="2" t="s">
        <v>30643</v>
      </c>
      <c r="N6357" s="2" t="s">
        <v>30644</v>
      </c>
      <c r="O6357" s="2" t="s">
        <v>869</v>
      </c>
      <c r="P6357" s="2" t="s">
        <v>870</v>
      </c>
    </row>
    <row r="6358" ht="15.75" customHeight="1">
      <c r="H6358" s="2" t="s">
        <v>30645</v>
      </c>
      <c r="I6358" s="2" t="s">
        <v>21516</v>
      </c>
      <c r="J6358" s="2" t="s">
        <v>21517</v>
      </c>
      <c r="K6358" s="2" t="s">
        <v>30646</v>
      </c>
      <c r="L6358" s="2" t="s">
        <v>28572</v>
      </c>
      <c r="M6358" s="2" t="s">
        <v>28316</v>
      </c>
      <c r="N6358" s="2" t="s">
        <v>30647</v>
      </c>
      <c r="O6358" s="2" t="s">
        <v>869</v>
      </c>
      <c r="P6358" s="2" t="s">
        <v>870</v>
      </c>
    </row>
    <row r="6359" ht="15.75" customHeight="1">
      <c r="F6359" s="2" t="s">
        <v>4677</v>
      </c>
      <c r="H6359" s="2" t="s">
        <v>30648</v>
      </c>
      <c r="I6359" s="2" t="s">
        <v>30649</v>
      </c>
      <c r="J6359" s="2" t="s">
        <v>30650</v>
      </c>
      <c r="K6359" s="2" t="s">
        <v>30651</v>
      </c>
      <c r="L6359" s="2" t="s">
        <v>28572</v>
      </c>
      <c r="M6359" s="2" t="s">
        <v>30652</v>
      </c>
      <c r="N6359" s="2" t="s">
        <v>30653</v>
      </c>
      <c r="O6359" s="2" t="s">
        <v>869</v>
      </c>
      <c r="P6359" s="2" t="s">
        <v>870</v>
      </c>
    </row>
    <row r="6360" ht="15.75" customHeight="1">
      <c r="H6360" s="2" t="s">
        <v>30654</v>
      </c>
      <c r="I6360" s="2" t="s">
        <v>4694</v>
      </c>
      <c r="J6360" s="2" t="s">
        <v>4695</v>
      </c>
      <c r="K6360" s="2" t="s">
        <v>30655</v>
      </c>
      <c r="L6360" s="2" t="s">
        <v>28572</v>
      </c>
      <c r="M6360" s="2" t="s">
        <v>4696</v>
      </c>
      <c r="N6360" s="2" t="s">
        <v>30656</v>
      </c>
      <c r="O6360" s="2" t="s">
        <v>869</v>
      </c>
      <c r="P6360" s="2" t="s">
        <v>870</v>
      </c>
    </row>
    <row r="6361" ht="15.75" customHeight="1">
      <c r="H6361" s="2" t="s">
        <v>30657</v>
      </c>
      <c r="I6361" s="2" t="s">
        <v>30658</v>
      </c>
      <c r="J6361" s="2" t="s">
        <v>30659</v>
      </c>
      <c r="K6361" s="2" t="s">
        <v>30660</v>
      </c>
      <c r="L6361" s="2" t="s">
        <v>28572</v>
      </c>
      <c r="M6361" s="2" t="s">
        <v>30661</v>
      </c>
      <c r="N6361" s="2" t="s">
        <v>30662</v>
      </c>
      <c r="O6361" s="2" t="s">
        <v>869</v>
      </c>
      <c r="P6361" s="2" t="s">
        <v>870</v>
      </c>
    </row>
    <row r="6362" ht="15.75" customHeight="1">
      <c r="F6362" s="2" t="s">
        <v>764</v>
      </c>
      <c r="H6362" s="2" t="s">
        <v>30663</v>
      </c>
      <c r="I6362" s="2" t="s">
        <v>30664</v>
      </c>
      <c r="J6362" s="2" t="s">
        <v>30665</v>
      </c>
      <c r="K6362" s="2" t="s">
        <v>30666</v>
      </c>
      <c r="L6362" s="2" t="s">
        <v>28572</v>
      </c>
      <c r="M6362" s="2" t="s">
        <v>30667</v>
      </c>
      <c r="N6362" s="2" t="s">
        <v>30668</v>
      </c>
      <c r="O6362" s="2" t="s">
        <v>869</v>
      </c>
      <c r="P6362" s="2" t="s">
        <v>870</v>
      </c>
    </row>
    <row r="6363" ht="15.75" customHeight="1">
      <c r="H6363" s="2" t="s">
        <v>30669</v>
      </c>
      <c r="I6363" s="2" t="s">
        <v>30670</v>
      </c>
      <c r="J6363" s="2" t="s">
        <v>30670</v>
      </c>
      <c r="K6363" s="2" t="s">
        <v>1362</v>
      </c>
    </row>
    <row r="6364" ht="15.75" customHeight="1">
      <c r="H6364" s="2" t="s">
        <v>30671</v>
      </c>
      <c r="I6364" s="2" t="s">
        <v>30672</v>
      </c>
      <c r="J6364" s="2" t="s">
        <v>30673</v>
      </c>
      <c r="K6364" s="2" t="s">
        <v>30674</v>
      </c>
      <c r="L6364" s="2" t="s">
        <v>28572</v>
      </c>
      <c r="M6364" s="2" t="s">
        <v>30675</v>
      </c>
      <c r="N6364" s="2" t="s">
        <v>30676</v>
      </c>
      <c r="O6364" s="2" t="s">
        <v>869</v>
      </c>
      <c r="P6364" s="2" t="s">
        <v>870</v>
      </c>
    </row>
    <row r="6365" ht="15.75" customHeight="1">
      <c r="H6365" s="2" t="s">
        <v>30677</v>
      </c>
      <c r="I6365" s="2" t="s">
        <v>4709</v>
      </c>
      <c r="J6365" s="2" t="s">
        <v>4710</v>
      </c>
      <c r="K6365" s="2" t="s">
        <v>30678</v>
      </c>
      <c r="L6365" s="2" t="s">
        <v>28572</v>
      </c>
      <c r="M6365" s="2" t="s">
        <v>30679</v>
      </c>
      <c r="N6365" s="2" t="s">
        <v>30680</v>
      </c>
      <c r="O6365" s="2" t="s">
        <v>869</v>
      </c>
      <c r="P6365" s="2" t="s">
        <v>870</v>
      </c>
    </row>
    <row r="6366" ht="15.75" customHeight="1">
      <c r="H6366" s="2" t="s">
        <v>30681</v>
      </c>
      <c r="I6366" s="2" t="s">
        <v>30682</v>
      </c>
      <c r="J6366" s="2" t="s">
        <v>30683</v>
      </c>
      <c r="K6366" s="2" t="s">
        <v>30684</v>
      </c>
      <c r="L6366" s="2" t="s">
        <v>28572</v>
      </c>
      <c r="M6366" s="2" t="s">
        <v>30685</v>
      </c>
      <c r="N6366" s="2" t="s">
        <v>30686</v>
      </c>
      <c r="O6366" s="2" t="s">
        <v>869</v>
      </c>
      <c r="P6366" s="2" t="s">
        <v>870</v>
      </c>
    </row>
    <row r="6367" ht="15.75" customHeight="1">
      <c r="H6367" s="2" t="s">
        <v>30687</v>
      </c>
      <c r="I6367" s="2" t="s">
        <v>21544</v>
      </c>
      <c r="J6367" s="2" t="s">
        <v>21545</v>
      </c>
      <c r="K6367" s="2" t="s">
        <v>30688</v>
      </c>
      <c r="L6367" s="2" t="s">
        <v>28572</v>
      </c>
      <c r="M6367" s="2" t="s">
        <v>30689</v>
      </c>
      <c r="N6367" s="2" t="s">
        <v>30690</v>
      </c>
      <c r="O6367" s="2" t="s">
        <v>869</v>
      </c>
      <c r="P6367" s="2" t="s">
        <v>870</v>
      </c>
    </row>
    <row r="6368" ht="15.75" customHeight="1">
      <c r="H6368" s="2" t="s">
        <v>30691</v>
      </c>
      <c r="I6368" s="2" t="s">
        <v>30692</v>
      </c>
      <c r="J6368" s="2" t="s">
        <v>30693</v>
      </c>
      <c r="K6368" s="2" t="s">
        <v>30694</v>
      </c>
      <c r="L6368" s="2" t="s">
        <v>28572</v>
      </c>
      <c r="M6368" s="2" t="s">
        <v>30695</v>
      </c>
      <c r="N6368" s="2" t="s">
        <v>30696</v>
      </c>
      <c r="O6368" s="2" t="s">
        <v>869</v>
      </c>
      <c r="P6368" s="2" t="s">
        <v>870</v>
      </c>
    </row>
    <row r="6369" ht="15.75" customHeight="1">
      <c r="H6369" s="2" t="s">
        <v>30697</v>
      </c>
      <c r="I6369" s="2" t="s">
        <v>30698</v>
      </c>
      <c r="J6369" s="2" t="s">
        <v>30699</v>
      </c>
      <c r="K6369" s="2" t="s">
        <v>30700</v>
      </c>
      <c r="L6369" s="2" t="s">
        <v>28572</v>
      </c>
      <c r="M6369" s="2" t="s">
        <v>30701</v>
      </c>
      <c r="N6369" s="2" t="s">
        <v>30702</v>
      </c>
      <c r="O6369" s="2" t="s">
        <v>869</v>
      </c>
      <c r="P6369" s="2" t="s">
        <v>870</v>
      </c>
    </row>
    <row r="6370" ht="15.75" customHeight="1">
      <c r="H6370" s="2" t="s">
        <v>30703</v>
      </c>
      <c r="I6370" s="2" t="s">
        <v>30704</v>
      </c>
      <c r="J6370" s="2" t="s">
        <v>30705</v>
      </c>
      <c r="K6370" s="2" t="s">
        <v>30706</v>
      </c>
      <c r="L6370" s="2" t="s">
        <v>28572</v>
      </c>
      <c r="M6370" s="2" t="s">
        <v>28395</v>
      </c>
      <c r="N6370" s="2" t="s">
        <v>30707</v>
      </c>
      <c r="O6370" s="2" t="s">
        <v>869</v>
      </c>
      <c r="P6370" s="2" t="s">
        <v>870</v>
      </c>
    </row>
    <row r="6371" ht="15.75" customHeight="1">
      <c r="H6371" s="2" t="s">
        <v>30708</v>
      </c>
      <c r="I6371" s="2" t="s">
        <v>30709</v>
      </c>
      <c r="J6371" s="2" t="s">
        <v>30710</v>
      </c>
      <c r="K6371" s="2" t="s">
        <v>30711</v>
      </c>
      <c r="L6371" s="2" t="s">
        <v>28572</v>
      </c>
      <c r="M6371" s="2" t="s">
        <v>30712</v>
      </c>
      <c r="N6371" s="2" t="s">
        <v>30713</v>
      </c>
      <c r="O6371" s="2" t="s">
        <v>869</v>
      </c>
      <c r="P6371" s="2" t="s">
        <v>870</v>
      </c>
    </row>
    <row r="6372" ht="15.75" customHeight="1">
      <c r="H6372" s="2" t="s">
        <v>30714</v>
      </c>
      <c r="I6372" s="2" t="s">
        <v>4752</v>
      </c>
      <c r="J6372" s="2" t="s">
        <v>4753</v>
      </c>
      <c r="K6372" s="2" t="s">
        <v>30715</v>
      </c>
      <c r="L6372" s="2" t="s">
        <v>28572</v>
      </c>
      <c r="M6372" s="2" t="s">
        <v>28412</v>
      </c>
      <c r="N6372" s="2" t="s">
        <v>30716</v>
      </c>
      <c r="O6372" s="2" t="s">
        <v>869</v>
      </c>
      <c r="P6372" s="2" t="s">
        <v>870</v>
      </c>
    </row>
    <row r="6373" ht="15.75" customHeight="1">
      <c r="H6373" s="2" t="s">
        <v>30717</v>
      </c>
      <c r="I6373" s="2" t="s">
        <v>30718</v>
      </c>
      <c r="J6373" s="2" t="s">
        <v>30719</v>
      </c>
      <c r="K6373" s="2" t="s">
        <v>30720</v>
      </c>
      <c r="L6373" s="2" t="s">
        <v>28572</v>
      </c>
      <c r="M6373" s="2" t="s">
        <v>30721</v>
      </c>
      <c r="N6373" s="2" t="s">
        <v>30722</v>
      </c>
      <c r="O6373" s="2" t="s">
        <v>869</v>
      </c>
      <c r="P6373" s="2" t="s">
        <v>870</v>
      </c>
    </row>
    <row r="6374" ht="15.75" customHeight="1">
      <c r="F6374" s="2" t="s">
        <v>773</v>
      </c>
      <c r="H6374" s="2" t="s">
        <v>30723</v>
      </c>
      <c r="I6374" s="2" t="s">
        <v>30724</v>
      </c>
      <c r="J6374" s="2" t="s">
        <v>30725</v>
      </c>
      <c r="K6374" s="2" t="s">
        <v>1362</v>
      </c>
      <c r="L6374" s="2" t="s">
        <v>28572</v>
      </c>
      <c r="M6374" s="2" t="s">
        <v>30726</v>
      </c>
      <c r="N6374" s="2" t="s">
        <v>869</v>
      </c>
      <c r="O6374" s="2" t="s">
        <v>870</v>
      </c>
    </row>
    <row r="6375" ht="15.75" customHeight="1">
      <c r="H6375" s="2" t="s">
        <v>30727</v>
      </c>
      <c r="I6375" s="2" t="s">
        <v>30728</v>
      </c>
      <c r="J6375" s="2" t="s">
        <v>30729</v>
      </c>
      <c r="K6375" s="2" t="s">
        <v>30730</v>
      </c>
      <c r="L6375" s="2" t="s">
        <v>28572</v>
      </c>
      <c r="M6375" s="2" t="s">
        <v>30731</v>
      </c>
      <c r="N6375" s="2" t="s">
        <v>30732</v>
      </c>
      <c r="O6375" s="2" t="s">
        <v>869</v>
      </c>
      <c r="P6375" s="2" t="s">
        <v>870</v>
      </c>
    </row>
    <row r="6376" ht="15.75" customHeight="1">
      <c r="H6376" s="2" t="s">
        <v>30733</v>
      </c>
      <c r="I6376" s="2" t="s">
        <v>11126</v>
      </c>
      <c r="J6376" s="2" t="s">
        <v>11127</v>
      </c>
      <c r="K6376" s="2" t="s">
        <v>30734</v>
      </c>
      <c r="L6376" s="2" t="s">
        <v>28572</v>
      </c>
      <c r="M6376" s="2" t="s">
        <v>11129</v>
      </c>
      <c r="N6376" s="2" t="s">
        <v>30735</v>
      </c>
      <c r="O6376" s="2" t="s">
        <v>869</v>
      </c>
      <c r="P6376" s="2" t="s">
        <v>870</v>
      </c>
    </row>
    <row r="6377" ht="15.75" customHeight="1">
      <c r="H6377" s="2" t="s">
        <v>30736</v>
      </c>
      <c r="I6377" s="2" t="s">
        <v>30737</v>
      </c>
      <c r="J6377" s="2" t="s">
        <v>30738</v>
      </c>
      <c r="K6377" s="2" t="s">
        <v>30739</v>
      </c>
      <c r="L6377" s="2" t="s">
        <v>28572</v>
      </c>
      <c r="M6377" s="2" t="s">
        <v>30740</v>
      </c>
      <c r="N6377" s="2" t="s">
        <v>30741</v>
      </c>
      <c r="O6377" s="2" t="s">
        <v>869</v>
      </c>
      <c r="P6377" s="2" t="s">
        <v>870</v>
      </c>
    </row>
    <row r="6378" ht="15.75" customHeight="1">
      <c r="H6378" s="2" t="s">
        <v>30742</v>
      </c>
      <c r="I6378" s="2" t="s">
        <v>30743</v>
      </c>
      <c r="J6378" s="2" t="s">
        <v>30744</v>
      </c>
      <c r="K6378" s="2" t="s">
        <v>30745</v>
      </c>
      <c r="L6378" s="2" t="s">
        <v>28572</v>
      </c>
      <c r="M6378" s="2" t="s">
        <v>30746</v>
      </c>
      <c r="N6378" s="2" t="s">
        <v>30747</v>
      </c>
      <c r="O6378" s="2" t="s">
        <v>869</v>
      </c>
      <c r="P6378" s="2" t="s">
        <v>870</v>
      </c>
    </row>
    <row r="6379" ht="15.75" customHeight="1">
      <c r="H6379" s="2" t="s">
        <v>30748</v>
      </c>
      <c r="I6379" s="2" t="s">
        <v>775</v>
      </c>
      <c r="J6379" s="2" t="s">
        <v>776</v>
      </c>
      <c r="K6379" s="2" t="s">
        <v>30749</v>
      </c>
      <c r="L6379" s="2" t="s">
        <v>28572</v>
      </c>
      <c r="M6379" s="2" t="s">
        <v>11161</v>
      </c>
      <c r="N6379" s="2" t="s">
        <v>30750</v>
      </c>
      <c r="O6379" s="2" t="s">
        <v>869</v>
      </c>
      <c r="P6379" s="2" t="s">
        <v>870</v>
      </c>
    </row>
    <row r="6380" ht="15.75" customHeight="1">
      <c r="F6380" s="2" t="s">
        <v>4802</v>
      </c>
      <c r="H6380" s="2" t="s">
        <v>30751</v>
      </c>
      <c r="I6380" s="2" t="s">
        <v>23790</v>
      </c>
      <c r="J6380" s="2" t="s">
        <v>23791</v>
      </c>
      <c r="K6380" s="2" t="s">
        <v>30752</v>
      </c>
      <c r="L6380" s="2" t="s">
        <v>28572</v>
      </c>
      <c r="M6380" s="2" t="s">
        <v>30753</v>
      </c>
      <c r="N6380" s="2" t="s">
        <v>30754</v>
      </c>
      <c r="O6380" s="2" t="s">
        <v>869</v>
      </c>
      <c r="P6380" s="2" t="s">
        <v>870</v>
      </c>
    </row>
    <row r="6381" ht="15.75" customHeight="1">
      <c r="H6381" s="2" t="s">
        <v>30755</v>
      </c>
      <c r="I6381" s="2" t="s">
        <v>4819</v>
      </c>
      <c r="J6381" s="2" t="s">
        <v>4820</v>
      </c>
      <c r="K6381" s="2" t="s">
        <v>30756</v>
      </c>
      <c r="L6381" s="2" t="s">
        <v>28572</v>
      </c>
      <c r="M6381" s="2" t="s">
        <v>30757</v>
      </c>
      <c r="N6381" s="2" t="s">
        <v>30758</v>
      </c>
      <c r="O6381" s="2" t="s">
        <v>869</v>
      </c>
      <c r="P6381" s="2" t="s">
        <v>870</v>
      </c>
    </row>
    <row r="6382" ht="15.75" customHeight="1">
      <c r="F6382" s="2" t="s">
        <v>4825</v>
      </c>
      <c r="H6382" s="2" t="s">
        <v>30759</v>
      </c>
      <c r="I6382" s="2" t="s">
        <v>1215</v>
      </c>
      <c r="J6382" s="2" t="s">
        <v>1216</v>
      </c>
      <c r="K6382" s="2" t="s">
        <v>30760</v>
      </c>
      <c r="L6382" s="2" t="s">
        <v>28572</v>
      </c>
      <c r="M6382" s="2" t="s">
        <v>30761</v>
      </c>
      <c r="N6382" s="2" t="s">
        <v>30762</v>
      </c>
      <c r="O6382" s="2" t="s">
        <v>869</v>
      </c>
      <c r="P6382" s="2" t="s">
        <v>870</v>
      </c>
    </row>
    <row r="6383" ht="15.75" customHeight="1">
      <c r="F6383" s="2" t="s">
        <v>782</v>
      </c>
      <c r="H6383" s="2" t="s">
        <v>30763</v>
      </c>
      <c r="I6383" s="2" t="s">
        <v>4860</v>
      </c>
      <c r="J6383" s="2" t="s">
        <v>4861</v>
      </c>
      <c r="K6383" s="2" t="s">
        <v>30764</v>
      </c>
      <c r="L6383" s="2" t="s">
        <v>28572</v>
      </c>
      <c r="M6383" s="2" t="s">
        <v>28419</v>
      </c>
      <c r="N6383" s="2" t="s">
        <v>30765</v>
      </c>
      <c r="O6383" s="2" t="s">
        <v>869</v>
      </c>
      <c r="P6383" s="2" t="s">
        <v>870</v>
      </c>
    </row>
    <row r="6384" ht="15.75" customHeight="1">
      <c r="H6384" s="2" t="s">
        <v>30766</v>
      </c>
      <c r="I6384" s="2" t="s">
        <v>30767</v>
      </c>
      <c r="J6384" s="2" t="s">
        <v>30768</v>
      </c>
      <c r="K6384" s="2" t="s">
        <v>30769</v>
      </c>
      <c r="L6384" s="2" t="s">
        <v>28572</v>
      </c>
      <c r="M6384" s="2" t="s">
        <v>30770</v>
      </c>
      <c r="N6384" s="2" t="s">
        <v>869</v>
      </c>
      <c r="O6384" s="2" t="s">
        <v>870</v>
      </c>
    </row>
    <row r="6385" ht="15.75" customHeight="1">
      <c r="H6385" s="2" t="s">
        <v>30771</v>
      </c>
      <c r="I6385" s="2" t="s">
        <v>30772</v>
      </c>
      <c r="J6385" s="2" t="s">
        <v>30773</v>
      </c>
      <c r="K6385" s="2" t="s">
        <v>30774</v>
      </c>
      <c r="L6385" s="2" t="s">
        <v>28572</v>
      </c>
      <c r="M6385" s="2" t="s">
        <v>30775</v>
      </c>
      <c r="N6385" s="2" t="s">
        <v>30776</v>
      </c>
      <c r="O6385" s="2" t="s">
        <v>869</v>
      </c>
      <c r="P6385" s="2" t="s">
        <v>870</v>
      </c>
    </row>
    <row r="6386" ht="15.75" customHeight="1">
      <c r="H6386" s="2" t="s">
        <v>30777</v>
      </c>
      <c r="I6386" s="2" t="s">
        <v>3927</v>
      </c>
      <c r="J6386" s="2" t="s">
        <v>3928</v>
      </c>
      <c r="K6386" s="2" t="s">
        <v>30778</v>
      </c>
      <c r="L6386" s="2" t="s">
        <v>28572</v>
      </c>
      <c r="M6386" s="2" t="s">
        <v>30779</v>
      </c>
      <c r="N6386" s="2" t="s">
        <v>30780</v>
      </c>
      <c r="O6386" s="2" t="s">
        <v>869</v>
      </c>
      <c r="P6386" s="2" t="s">
        <v>870</v>
      </c>
    </row>
    <row r="6387" ht="15.75" customHeight="1">
      <c r="H6387" s="2" t="s">
        <v>30781</v>
      </c>
      <c r="I6387" s="2" t="s">
        <v>30782</v>
      </c>
      <c r="J6387" s="2" t="s">
        <v>30783</v>
      </c>
      <c r="K6387" s="2" t="s">
        <v>30784</v>
      </c>
      <c r="L6387" s="2" t="s">
        <v>28572</v>
      </c>
      <c r="M6387" s="2" t="s">
        <v>30785</v>
      </c>
      <c r="N6387" s="2" t="s">
        <v>30786</v>
      </c>
      <c r="O6387" s="2" t="s">
        <v>869</v>
      </c>
      <c r="P6387" s="2" t="s">
        <v>870</v>
      </c>
    </row>
    <row r="6388" ht="15.75" customHeight="1">
      <c r="H6388" s="2" t="s">
        <v>30787</v>
      </c>
      <c r="I6388" s="2" t="s">
        <v>30788</v>
      </c>
      <c r="J6388" s="2" t="s">
        <v>30789</v>
      </c>
      <c r="K6388" s="2" t="s">
        <v>30790</v>
      </c>
      <c r="L6388" s="2" t="s">
        <v>28572</v>
      </c>
      <c r="M6388" s="2" t="s">
        <v>30791</v>
      </c>
      <c r="N6388" s="2" t="s">
        <v>30792</v>
      </c>
      <c r="O6388" s="2" t="s">
        <v>869</v>
      </c>
      <c r="P6388" s="2" t="s">
        <v>870</v>
      </c>
    </row>
    <row r="6389" ht="15.75" customHeight="1">
      <c r="H6389" s="2" t="s">
        <v>30793</v>
      </c>
      <c r="I6389" s="2" t="s">
        <v>784</v>
      </c>
      <c r="J6389" s="2" t="s">
        <v>785</v>
      </c>
      <c r="K6389" s="2" t="s">
        <v>30794</v>
      </c>
      <c r="L6389" s="2" t="s">
        <v>28572</v>
      </c>
      <c r="M6389" s="2" t="s">
        <v>28486</v>
      </c>
      <c r="N6389" s="2" t="s">
        <v>30795</v>
      </c>
      <c r="O6389" s="2" t="s">
        <v>869</v>
      </c>
      <c r="P6389" s="2" t="s">
        <v>870</v>
      </c>
    </row>
    <row r="6390" ht="15.75" customHeight="1">
      <c r="F6390" s="2" t="s">
        <v>791</v>
      </c>
      <c r="H6390" s="2" t="s">
        <v>30796</v>
      </c>
      <c r="I6390" s="2" t="s">
        <v>30797</v>
      </c>
      <c r="J6390" s="2" t="s">
        <v>30798</v>
      </c>
      <c r="K6390" s="2" t="s">
        <v>30799</v>
      </c>
      <c r="L6390" s="2" t="s">
        <v>28572</v>
      </c>
      <c r="M6390" s="2" t="s">
        <v>30800</v>
      </c>
      <c r="N6390" s="2" t="s">
        <v>30801</v>
      </c>
      <c r="O6390" s="2" t="s">
        <v>869</v>
      </c>
      <c r="P6390" s="2" t="s">
        <v>870</v>
      </c>
    </row>
    <row r="6391" ht="15.75" customHeight="1">
      <c r="H6391" s="2" t="s">
        <v>30802</v>
      </c>
      <c r="I6391" s="2" t="s">
        <v>793</v>
      </c>
      <c r="J6391" s="2" t="s">
        <v>794</v>
      </c>
      <c r="K6391" s="2" t="s">
        <v>30803</v>
      </c>
      <c r="L6391" s="2" t="s">
        <v>28572</v>
      </c>
      <c r="M6391" s="2" t="s">
        <v>11400</v>
      </c>
      <c r="N6391" s="2" t="s">
        <v>30804</v>
      </c>
      <c r="O6391" s="2" t="s">
        <v>869</v>
      </c>
      <c r="P6391" s="2" t="s">
        <v>870</v>
      </c>
    </row>
    <row r="6392" ht="15.75" customHeight="1">
      <c r="H6392" s="2" t="s">
        <v>30805</v>
      </c>
      <c r="I6392" s="2" t="s">
        <v>30806</v>
      </c>
      <c r="J6392" s="2" t="s">
        <v>30807</v>
      </c>
      <c r="K6392" s="2" t="s">
        <v>30808</v>
      </c>
      <c r="L6392" s="2" t="s">
        <v>28572</v>
      </c>
      <c r="M6392" s="2" t="s">
        <v>30809</v>
      </c>
      <c r="N6392" s="2" t="s">
        <v>30810</v>
      </c>
      <c r="O6392" s="2" t="s">
        <v>869</v>
      </c>
      <c r="P6392" s="2" t="s">
        <v>870</v>
      </c>
    </row>
    <row r="6393" ht="15.75" customHeight="1">
      <c r="H6393" s="2" t="s">
        <v>30811</v>
      </c>
      <c r="I6393" s="2" t="s">
        <v>7306</v>
      </c>
      <c r="J6393" s="2" t="s">
        <v>7307</v>
      </c>
      <c r="K6393" s="2" t="s">
        <v>30812</v>
      </c>
      <c r="L6393" s="2" t="s">
        <v>28572</v>
      </c>
      <c r="M6393" s="2" t="s">
        <v>11444</v>
      </c>
      <c r="N6393" s="2" t="s">
        <v>30813</v>
      </c>
      <c r="O6393" s="2" t="s">
        <v>869</v>
      </c>
      <c r="P6393" s="2" t="s">
        <v>870</v>
      </c>
    </row>
    <row r="6394" ht="15.75" customHeight="1">
      <c r="H6394" s="2" t="s">
        <v>30814</v>
      </c>
      <c r="I6394" s="2" t="s">
        <v>30815</v>
      </c>
      <c r="J6394" s="2" t="s">
        <v>30816</v>
      </c>
      <c r="K6394" s="2" t="s">
        <v>30817</v>
      </c>
      <c r="L6394" s="2" t="s">
        <v>28572</v>
      </c>
      <c r="M6394" s="2" t="s">
        <v>30818</v>
      </c>
      <c r="N6394" s="2" t="s">
        <v>30819</v>
      </c>
      <c r="O6394" s="2" t="s">
        <v>869</v>
      </c>
      <c r="P6394" s="2" t="s">
        <v>870</v>
      </c>
    </row>
    <row r="6395" ht="15.75" customHeight="1">
      <c r="H6395" s="2" t="s">
        <v>30820</v>
      </c>
      <c r="I6395" s="2" t="s">
        <v>4969</v>
      </c>
      <c r="J6395" s="2" t="s">
        <v>4970</v>
      </c>
      <c r="K6395" s="2" t="s">
        <v>30821</v>
      </c>
      <c r="L6395" s="2" t="s">
        <v>28572</v>
      </c>
      <c r="M6395" s="2" t="s">
        <v>30822</v>
      </c>
      <c r="N6395" s="2" t="s">
        <v>30823</v>
      </c>
      <c r="O6395" s="2" t="s">
        <v>869</v>
      </c>
      <c r="P6395" s="2" t="s">
        <v>870</v>
      </c>
    </row>
    <row r="6396" ht="15.75" customHeight="1">
      <c r="H6396" s="2" t="s">
        <v>30824</v>
      </c>
      <c r="I6396" s="2" t="s">
        <v>30825</v>
      </c>
      <c r="J6396" s="2" t="s">
        <v>30826</v>
      </c>
      <c r="K6396" s="2" t="s">
        <v>30827</v>
      </c>
      <c r="L6396" s="2" t="s">
        <v>28572</v>
      </c>
      <c r="M6396" s="2" t="s">
        <v>30828</v>
      </c>
      <c r="N6396" s="2" t="s">
        <v>30829</v>
      </c>
      <c r="O6396" s="2" t="s">
        <v>869</v>
      </c>
      <c r="P6396" s="2" t="s">
        <v>870</v>
      </c>
    </row>
    <row r="6397" ht="15.75" customHeight="1">
      <c r="F6397" s="2" t="s">
        <v>800</v>
      </c>
      <c r="H6397" s="2" t="s">
        <v>30830</v>
      </c>
      <c r="I6397" s="2" t="s">
        <v>9930</v>
      </c>
      <c r="J6397" s="2" t="s">
        <v>9931</v>
      </c>
      <c r="K6397" s="2" t="s">
        <v>30831</v>
      </c>
      <c r="L6397" s="2" t="s">
        <v>28572</v>
      </c>
      <c r="M6397" s="2" t="s">
        <v>30832</v>
      </c>
      <c r="N6397" s="2" t="s">
        <v>30833</v>
      </c>
      <c r="O6397" s="2" t="s">
        <v>869</v>
      </c>
      <c r="P6397" s="2" t="s">
        <v>870</v>
      </c>
    </row>
    <row r="6398" ht="15.75" customHeight="1">
      <c r="H6398" s="2" t="s">
        <v>30834</v>
      </c>
      <c r="I6398" s="2" t="s">
        <v>30835</v>
      </c>
      <c r="J6398" s="2" t="s">
        <v>30836</v>
      </c>
      <c r="K6398" s="2" t="s">
        <v>30837</v>
      </c>
      <c r="L6398" s="2" t="s">
        <v>28572</v>
      </c>
      <c r="M6398" s="2" t="s">
        <v>30838</v>
      </c>
      <c r="N6398" s="2" t="s">
        <v>30839</v>
      </c>
      <c r="O6398" s="2" t="s">
        <v>869</v>
      </c>
      <c r="P6398" s="2" t="s">
        <v>870</v>
      </c>
    </row>
    <row r="6399" ht="15.75" customHeight="1">
      <c r="H6399" s="2" t="s">
        <v>30840</v>
      </c>
      <c r="I6399" s="2" t="s">
        <v>4989</v>
      </c>
      <c r="J6399" s="2" t="s">
        <v>4990</v>
      </c>
      <c r="K6399" s="2" t="s">
        <v>30841</v>
      </c>
      <c r="L6399" s="2" t="s">
        <v>28572</v>
      </c>
      <c r="M6399" s="2" t="s">
        <v>27132</v>
      </c>
      <c r="N6399" s="2" t="s">
        <v>30842</v>
      </c>
      <c r="O6399" s="2" t="s">
        <v>869</v>
      </c>
      <c r="P6399" s="2" t="s">
        <v>870</v>
      </c>
    </row>
    <row r="6400" ht="15.75" customHeight="1">
      <c r="H6400" s="2" t="s">
        <v>30843</v>
      </c>
      <c r="I6400" s="2" t="s">
        <v>30844</v>
      </c>
      <c r="J6400" s="2" t="s">
        <v>30845</v>
      </c>
      <c r="K6400" s="2" t="s">
        <v>30846</v>
      </c>
      <c r="L6400" s="2" t="s">
        <v>28572</v>
      </c>
      <c r="M6400" s="2" t="s">
        <v>30847</v>
      </c>
      <c r="N6400" s="2" t="s">
        <v>30848</v>
      </c>
      <c r="O6400" s="2" t="s">
        <v>869</v>
      </c>
      <c r="P6400" s="2" t="s">
        <v>870</v>
      </c>
    </row>
    <row r="6401" ht="15.75" customHeight="1">
      <c r="H6401" s="2" t="s">
        <v>30849</v>
      </c>
      <c r="I6401" s="2" t="s">
        <v>30850</v>
      </c>
      <c r="J6401" s="2" t="s">
        <v>30851</v>
      </c>
      <c r="K6401" s="2" t="s">
        <v>30852</v>
      </c>
      <c r="L6401" s="2" t="s">
        <v>28572</v>
      </c>
      <c r="M6401" s="2" t="s">
        <v>30853</v>
      </c>
      <c r="N6401" s="2" t="s">
        <v>30854</v>
      </c>
      <c r="O6401" s="2" t="s">
        <v>869</v>
      </c>
      <c r="P6401" s="2" t="s">
        <v>870</v>
      </c>
    </row>
    <row r="6402" ht="15.75" customHeight="1">
      <c r="H6402" s="2" t="s">
        <v>30855</v>
      </c>
      <c r="I6402" s="2" t="s">
        <v>30856</v>
      </c>
      <c r="J6402" s="2" t="s">
        <v>30857</v>
      </c>
      <c r="K6402" s="2" t="s">
        <v>30858</v>
      </c>
      <c r="L6402" s="2" t="s">
        <v>28572</v>
      </c>
      <c r="M6402" s="2" t="s">
        <v>30859</v>
      </c>
      <c r="N6402" s="2" t="s">
        <v>30860</v>
      </c>
      <c r="O6402" s="2" t="s">
        <v>869</v>
      </c>
      <c r="P6402" s="2" t="s">
        <v>870</v>
      </c>
    </row>
    <row r="6403" ht="15.75" customHeight="1">
      <c r="H6403" s="2" t="s">
        <v>30861</v>
      </c>
      <c r="I6403" s="2" t="s">
        <v>352</v>
      </c>
      <c r="J6403" s="2" t="s">
        <v>353</v>
      </c>
      <c r="K6403" s="2" t="s">
        <v>30862</v>
      </c>
      <c r="L6403" s="2" t="s">
        <v>28572</v>
      </c>
      <c r="M6403" s="2" t="s">
        <v>30863</v>
      </c>
      <c r="N6403" s="2" t="s">
        <v>30864</v>
      </c>
      <c r="O6403" s="2" t="s">
        <v>869</v>
      </c>
      <c r="P6403" s="2" t="s">
        <v>870</v>
      </c>
    </row>
    <row r="6404" ht="15.75" customHeight="1">
      <c r="H6404" s="2" t="s">
        <v>30865</v>
      </c>
      <c r="I6404" s="2" t="s">
        <v>3110</v>
      </c>
      <c r="J6404" s="2" t="s">
        <v>3111</v>
      </c>
      <c r="K6404" s="2" t="s">
        <v>30866</v>
      </c>
      <c r="L6404" s="2" t="s">
        <v>28572</v>
      </c>
      <c r="M6404" s="2" t="s">
        <v>30867</v>
      </c>
      <c r="N6404" s="2" t="s">
        <v>30868</v>
      </c>
      <c r="O6404" s="2" t="s">
        <v>869</v>
      </c>
      <c r="P6404" s="2" t="s">
        <v>870</v>
      </c>
    </row>
    <row r="6405" ht="15.75" customHeight="1">
      <c r="H6405" s="2" t="s">
        <v>30869</v>
      </c>
      <c r="I6405" s="2" t="s">
        <v>11637</v>
      </c>
      <c r="J6405" s="2" t="s">
        <v>11638</v>
      </c>
      <c r="K6405" s="2" t="s">
        <v>30870</v>
      </c>
      <c r="L6405" s="2" t="s">
        <v>28572</v>
      </c>
      <c r="M6405" s="2" t="s">
        <v>30871</v>
      </c>
      <c r="N6405" s="2" t="s">
        <v>30872</v>
      </c>
      <c r="O6405" s="2" t="s">
        <v>869</v>
      </c>
      <c r="P6405" s="2" t="s">
        <v>870</v>
      </c>
    </row>
    <row r="6406" ht="15.75" customHeight="1">
      <c r="H6406" s="2" t="s">
        <v>30873</v>
      </c>
      <c r="I6406" s="2" t="s">
        <v>5077</v>
      </c>
      <c r="J6406" s="2" t="s">
        <v>5078</v>
      </c>
      <c r="K6406" s="2" t="s">
        <v>30874</v>
      </c>
      <c r="L6406" s="2" t="s">
        <v>28572</v>
      </c>
      <c r="M6406" s="2" t="s">
        <v>30875</v>
      </c>
      <c r="N6406" s="2" t="s">
        <v>30876</v>
      </c>
      <c r="O6406" s="2" t="s">
        <v>869</v>
      </c>
      <c r="P6406" s="2" t="s">
        <v>870</v>
      </c>
    </row>
    <row r="6407" ht="15.75" customHeight="1">
      <c r="H6407" s="2" t="s">
        <v>30877</v>
      </c>
      <c r="I6407" s="2" t="s">
        <v>30878</v>
      </c>
      <c r="J6407" s="2" t="s">
        <v>30879</v>
      </c>
      <c r="K6407" s="2" t="s">
        <v>30880</v>
      </c>
      <c r="L6407" s="2" t="s">
        <v>28572</v>
      </c>
      <c r="M6407" s="2" t="s">
        <v>30881</v>
      </c>
      <c r="N6407" s="2" t="s">
        <v>30882</v>
      </c>
      <c r="O6407" s="2" t="s">
        <v>869</v>
      </c>
      <c r="P6407" s="2" t="s">
        <v>870</v>
      </c>
    </row>
    <row r="6408" ht="15.75" customHeight="1">
      <c r="H6408" s="2" t="s">
        <v>30883</v>
      </c>
      <c r="I6408" s="2" t="s">
        <v>30884</v>
      </c>
      <c r="J6408" s="2" t="s">
        <v>30885</v>
      </c>
      <c r="K6408" s="2" t="s">
        <v>30886</v>
      </c>
      <c r="L6408" s="2" t="s">
        <v>28572</v>
      </c>
      <c r="M6408" s="2" t="s">
        <v>30887</v>
      </c>
      <c r="N6408" s="2" t="s">
        <v>30888</v>
      </c>
      <c r="O6408" s="2" t="s">
        <v>869</v>
      </c>
      <c r="P6408" s="2" t="s">
        <v>870</v>
      </c>
    </row>
    <row r="6409" ht="15.75" customHeight="1">
      <c r="H6409" s="2" t="s">
        <v>30889</v>
      </c>
      <c r="I6409" s="2" t="s">
        <v>30890</v>
      </c>
      <c r="J6409" s="2" t="s">
        <v>30891</v>
      </c>
      <c r="K6409" s="2" t="s">
        <v>30892</v>
      </c>
      <c r="L6409" s="2" t="s">
        <v>28572</v>
      </c>
      <c r="M6409" s="2" t="s">
        <v>30893</v>
      </c>
      <c r="N6409" s="2" t="s">
        <v>30894</v>
      </c>
      <c r="O6409" s="2" t="s">
        <v>869</v>
      </c>
      <c r="P6409" s="2" t="s">
        <v>870</v>
      </c>
    </row>
    <row r="6410" ht="15.75" customHeight="1">
      <c r="H6410" s="2" t="s">
        <v>30895</v>
      </c>
      <c r="I6410" s="2" t="s">
        <v>30896</v>
      </c>
      <c r="J6410" s="2" t="s">
        <v>30897</v>
      </c>
      <c r="K6410" s="2" t="s">
        <v>30898</v>
      </c>
      <c r="L6410" s="2" t="s">
        <v>28572</v>
      </c>
      <c r="M6410" s="2" t="s">
        <v>30899</v>
      </c>
      <c r="N6410" s="2" t="s">
        <v>30900</v>
      </c>
      <c r="O6410" s="2" t="s">
        <v>869</v>
      </c>
      <c r="P6410" s="2" t="s">
        <v>870</v>
      </c>
    </row>
    <row r="6411" ht="15.75" customHeight="1">
      <c r="H6411" s="2" t="s">
        <v>30901</v>
      </c>
      <c r="I6411" s="2" t="s">
        <v>30902</v>
      </c>
      <c r="J6411" s="2" t="s">
        <v>30903</v>
      </c>
      <c r="K6411" s="2" t="s">
        <v>30904</v>
      </c>
      <c r="L6411" s="2" t="s">
        <v>28572</v>
      </c>
      <c r="M6411" s="2" t="s">
        <v>30905</v>
      </c>
      <c r="N6411" s="2" t="s">
        <v>30906</v>
      </c>
      <c r="O6411" s="2" t="s">
        <v>869</v>
      </c>
      <c r="P6411" s="2" t="s">
        <v>870</v>
      </c>
    </row>
    <row r="6412" ht="15.75" customHeight="1">
      <c r="H6412" s="2" t="s">
        <v>30907</v>
      </c>
      <c r="I6412" s="2" t="s">
        <v>13482</v>
      </c>
      <c r="J6412" s="2" t="s">
        <v>13483</v>
      </c>
      <c r="K6412" s="2" t="s">
        <v>30908</v>
      </c>
      <c r="L6412" s="2" t="s">
        <v>28572</v>
      </c>
      <c r="M6412" s="2" t="s">
        <v>30909</v>
      </c>
      <c r="N6412" s="2" t="s">
        <v>30910</v>
      </c>
      <c r="O6412" s="2" t="s">
        <v>869</v>
      </c>
      <c r="P6412" s="2" t="s">
        <v>870</v>
      </c>
    </row>
    <row r="6413" ht="15.75" customHeight="1">
      <c r="H6413" s="2" t="s">
        <v>30911</v>
      </c>
      <c r="I6413" s="2" t="s">
        <v>30912</v>
      </c>
      <c r="J6413" s="2" t="s">
        <v>30913</v>
      </c>
      <c r="K6413" s="2" t="s">
        <v>30914</v>
      </c>
      <c r="L6413" s="2" t="s">
        <v>30915</v>
      </c>
      <c r="M6413" s="2" t="s">
        <v>30916</v>
      </c>
      <c r="N6413" s="2" t="s">
        <v>30917</v>
      </c>
      <c r="O6413" s="2" t="s">
        <v>869</v>
      </c>
      <c r="P6413" s="2" t="s">
        <v>870</v>
      </c>
    </row>
    <row r="6414" ht="15.75" customHeight="1">
      <c r="H6414" s="2" t="s">
        <v>30918</v>
      </c>
      <c r="I6414" s="2" t="s">
        <v>12552</v>
      </c>
      <c r="J6414" s="2" t="s">
        <v>12553</v>
      </c>
      <c r="K6414" s="2" t="s">
        <v>1211</v>
      </c>
    </row>
    <row r="6415" ht="15.75" customHeight="1">
      <c r="H6415" s="2" t="s">
        <v>30919</v>
      </c>
      <c r="I6415" s="2" t="s">
        <v>30920</v>
      </c>
      <c r="J6415" s="2" t="s">
        <v>30921</v>
      </c>
      <c r="K6415" s="2" t="s">
        <v>30922</v>
      </c>
      <c r="L6415" s="2" t="s">
        <v>28572</v>
      </c>
      <c r="M6415" s="2" t="s">
        <v>30923</v>
      </c>
      <c r="N6415" s="2" t="s">
        <v>30924</v>
      </c>
      <c r="O6415" s="2" t="s">
        <v>869</v>
      </c>
      <c r="P6415" s="2" t="s">
        <v>870</v>
      </c>
    </row>
    <row r="6416" ht="15.75" customHeight="1">
      <c r="H6416" s="2" t="s">
        <v>30925</v>
      </c>
      <c r="I6416" s="2" t="s">
        <v>30926</v>
      </c>
      <c r="J6416" s="2" t="s">
        <v>30927</v>
      </c>
      <c r="K6416" s="2" t="s">
        <v>30928</v>
      </c>
      <c r="L6416" s="2" t="s">
        <v>28572</v>
      </c>
      <c r="M6416" s="2" t="s">
        <v>30929</v>
      </c>
      <c r="N6416" s="2" t="s">
        <v>30930</v>
      </c>
      <c r="O6416" s="2" t="s">
        <v>869</v>
      </c>
      <c r="P6416" s="2" t="s">
        <v>870</v>
      </c>
    </row>
    <row r="6417" ht="15.75" customHeight="1">
      <c r="H6417" s="2" t="s">
        <v>30931</v>
      </c>
      <c r="I6417" s="2" t="s">
        <v>30932</v>
      </c>
      <c r="J6417" s="2" t="s">
        <v>30933</v>
      </c>
      <c r="K6417" s="2" t="s">
        <v>30934</v>
      </c>
      <c r="L6417" s="2" t="s">
        <v>28572</v>
      </c>
      <c r="M6417" s="2" t="s">
        <v>30935</v>
      </c>
      <c r="N6417" s="2" t="s">
        <v>30936</v>
      </c>
      <c r="O6417" s="2" t="s">
        <v>869</v>
      </c>
      <c r="P6417" s="2" t="s">
        <v>870</v>
      </c>
    </row>
    <row r="6418" ht="15.75" customHeight="1">
      <c r="H6418" s="2" t="s">
        <v>30937</v>
      </c>
      <c r="I6418" s="2" t="s">
        <v>257</v>
      </c>
      <c r="J6418" s="2" t="s">
        <v>258</v>
      </c>
      <c r="K6418" s="2" t="s">
        <v>30938</v>
      </c>
      <c r="L6418" s="2" t="s">
        <v>28572</v>
      </c>
      <c r="M6418" s="2" t="s">
        <v>30939</v>
      </c>
      <c r="N6418" s="2" t="s">
        <v>30940</v>
      </c>
      <c r="O6418" s="2" t="s">
        <v>869</v>
      </c>
      <c r="P6418" s="2" t="s">
        <v>870</v>
      </c>
    </row>
    <row r="6419" ht="15.75" customHeight="1">
      <c r="H6419" s="2" t="s">
        <v>30941</v>
      </c>
      <c r="I6419" s="2" t="s">
        <v>27528</v>
      </c>
      <c r="J6419" s="2" t="s">
        <v>27529</v>
      </c>
      <c r="K6419" s="2" t="s">
        <v>30942</v>
      </c>
      <c r="L6419" s="2" t="s">
        <v>28572</v>
      </c>
      <c r="M6419" s="2" t="s">
        <v>30943</v>
      </c>
      <c r="N6419" s="2" t="s">
        <v>30944</v>
      </c>
      <c r="O6419" s="2" t="s">
        <v>869</v>
      </c>
      <c r="P6419" s="2" t="s">
        <v>870</v>
      </c>
    </row>
    <row r="6420" ht="15.75" customHeight="1">
      <c r="H6420" s="2" t="s">
        <v>30945</v>
      </c>
      <c r="I6420" s="2" t="s">
        <v>30946</v>
      </c>
      <c r="J6420" s="2" t="s">
        <v>30947</v>
      </c>
      <c r="K6420" s="2" t="s">
        <v>30948</v>
      </c>
      <c r="L6420" s="2" t="s">
        <v>28572</v>
      </c>
      <c r="M6420" s="2" t="s">
        <v>30949</v>
      </c>
      <c r="N6420" s="2" t="s">
        <v>30950</v>
      </c>
      <c r="O6420" s="2" t="s">
        <v>869</v>
      </c>
      <c r="P6420" s="2" t="s">
        <v>870</v>
      </c>
    </row>
    <row r="6421" ht="15.75" customHeight="1">
      <c r="H6421" s="2" t="s">
        <v>30951</v>
      </c>
      <c r="I6421" s="2" t="s">
        <v>30952</v>
      </c>
      <c r="J6421" s="2" t="s">
        <v>30953</v>
      </c>
      <c r="K6421" s="2" t="s">
        <v>30954</v>
      </c>
      <c r="L6421" s="2" t="s">
        <v>28572</v>
      </c>
      <c r="M6421" s="2" t="s">
        <v>30955</v>
      </c>
      <c r="N6421" s="2" t="s">
        <v>30956</v>
      </c>
      <c r="O6421" s="2" t="s">
        <v>869</v>
      </c>
      <c r="P6421" s="2" t="s">
        <v>870</v>
      </c>
    </row>
    <row r="6422" ht="15.75" customHeight="1">
      <c r="H6422" s="2" t="s">
        <v>30957</v>
      </c>
      <c r="I6422" s="2" t="s">
        <v>30958</v>
      </c>
      <c r="J6422" s="2" t="s">
        <v>30959</v>
      </c>
      <c r="K6422" s="2" t="s">
        <v>12273</v>
      </c>
    </row>
    <row r="6423" ht="15.75" customHeight="1">
      <c r="F6423" s="2" t="s">
        <v>843</v>
      </c>
      <c r="H6423" s="2" t="s">
        <v>30960</v>
      </c>
      <c r="I6423" s="2" t="s">
        <v>11707</v>
      </c>
      <c r="J6423" s="2" t="s">
        <v>11708</v>
      </c>
      <c r="K6423" s="2" t="s">
        <v>30961</v>
      </c>
      <c r="L6423" s="2" t="s">
        <v>28572</v>
      </c>
      <c r="M6423" s="2" t="s">
        <v>30962</v>
      </c>
      <c r="N6423" s="2" t="s">
        <v>30963</v>
      </c>
      <c r="O6423" s="2" t="s">
        <v>869</v>
      </c>
      <c r="P6423" s="2" t="s">
        <v>870</v>
      </c>
    </row>
    <row r="6424" ht="15.75" customHeight="1">
      <c r="H6424" s="2" t="s">
        <v>30964</v>
      </c>
      <c r="I6424" s="2" t="s">
        <v>30965</v>
      </c>
      <c r="J6424" s="2" t="s">
        <v>30966</v>
      </c>
      <c r="K6424" s="2" t="s">
        <v>30967</v>
      </c>
      <c r="L6424" s="2" t="s">
        <v>28572</v>
      </c>
      <c r="M6424" s="2" t="s">
        <v>30968</v>
      </c>
      <c r="N6424" s="2" t="s">
        <v>30969</v>
      </c>
      <c r="O6424" s="2" t="s">
        <v>869</v>
      </c>
      <c r="P6424" s="2" t="s">
        <v>870</v>
      </c>
    </row>
    <row r="6425" ht="15.75" customHeight="1">
      <c r="H6425" s="2" t="s">
        <v>30970</v>
      </c>
      <c r="I6425" s="2" t="s">
        <v>30971</v>
      </c>
      <c r="J6425" s="2" t="s">
        <v>30972</v>
      </c>
      <c r="K6425" s="2" t="s">
        <v>896</v>
      </c>
    </row>
    <row r="6426" ht="15.75" customHeight="1">
      <c r="H6426" s="2" t="s">
        <v>30973</v>
      </c>
      <c r="I6426" s="2" t="s">
        <v>5170</v>
      </c>
      <c r="J6426" s="2" t="s">
        <v>5171</v>
      </c>
      <c r="K6426" s="2" t="s">
        <v>30974</v>
      </c>
      <c r="L6426" s="2" t="s">
        <v>28572</v>
      </c>
      <c r="M6426" s="2" t="s">
        <v>30975</v>
      </c>
      <c r="N6426" s="2" t="s">
        <v>30976</v>
      </c>
      <c r="O6426" s="2" t="s">
        <v>869</v>
      </c>
      <c r="P6426" s="2" t="s">
        <v>870</v>
      </c>
    </row>
    <row r="6427" ht="15.75" customHeight="1">
      <c r="H6427" s="2" t="s">
        <v>30977</v>
      </c>
      <c r="I6427" s="2" t="s">
        <v>11813</v>
      </c>
      <c r="J6427" s="2" t="s">
        <v>11814</v>
      </c>
      <c r="K6427" s="2" t="s">
        <v>30978</v>
      </c>
      <c r="L6427" s="2" t="s">
        <v>28572</v>
      </c>
      <c r="M6427" s="2" t="s">
        <v>30979</v>
      </c>
      <c r="N6427" s="2" t="s">
        <v>30980</v>
      </c>
      <c r="O6427" s="2" t="s">
        <v>869</v>
      </c>
      <c r="P6427" s="2" t="s">
        <v>870</v>
      </c>
    </row>
    <row r="6428" ht="15.75" customHeight="1">
      <c r="H6428" s="2" t="s">
        <v>30981</v>
      </c>
      <c r="I6428" s="2" t="s">
        <v>30982</v>
      </c>
      <c r="J6428" s="2" t="s">
        <v>30983</v>
      </c>
      <c r="K6428" s="2" t="s">
        <v>30984</v>
      </c>
      <c r="L6428" s="2" t="s">
        <v>28572</v>
      </c>
      <c r="M6428" s="2" t="s">
        <v>30985</v>
      </c>
      <c r="N6428" s="2" t="s">
        <v>30986</v>
      </c>
      <c r="O6428" s="2" t="s">
        <v>869</v>
      </c>
      <c r="P6428" s="2" t="s">
        <v>870</v>
      </c>
    </row>
    <row r="6429" ht="15.75" customHeight="1">
      <c r="H6429" s="2" t="s">
        <v>30987</v>
      </c>
      <c r="I6429" s="2" t="s">
        <v>30988</v>
      </c>
      <c r="J6429" s="2" t="s">
        <v>30989</v>
      </c>
      <c r="K6429" s="2" t="s">
        <v>1163</v>
      </c>
      <c r="L6429" s="2" t="s">
        <v>28572</v>
      </c>
      <c r="M6429" s="2" t="s">
        <v>30990</v>
      </c>
      <c r="N6429" s="2" t="s">
        <v>30991</v>
      </c>
      <c r="O6429" s="2" t="s">
        <v>869</v>
      </c>
      <c r="P6429" s="2" t="s">
        <v>870</v>
      </c>
    </row>
    <row r="6430" ht="15.75" customHeight="1">
      <c r="H6430" s="2" t="s">
        <v>30992</v>
      </c>
      <c r="I6430" s="2" t="s">
        <v>27178</v>
      </c>
      <c r="J6430" s="2" t="s">
        <v>27179</v>
      </c>
      <c r="K6430" s="2" t="s">
        <v>30993</v>
      </c>
      <c r="L6430" s="2" t="s">
        <v>28572</v>
      </c>
      <c r="M6430" s="2" t="s">
        <v>30994</v>
      </c>
      <c r="N6430" s="2" t="s">
        <v>30995</v>
      </c>
      <c r="O6430" s="2" t="s">
        <v>869</v>
      </c>
      <c r="P6430" s="2" t="s">
        <v>870</v>
      </c>
    </row>
    <row r="6431" ht="15.75" customHeight="1">
      <c r="H6431" s="2" t="s">
        <v>30996</v>
      </c>
      <c r="I6431" s="2" t="s">
        <v>11657</v>
      </c>
      <c r="J6431" s="2" t="s">
        <v>11658</v>
      </c>
      <c r="K6431" s="2" t="s">
        <v>30997</v>
      </c>
      <c r="L6431" s="2" t="s">
        <v>28572</v>
      </c>
      <c r="M6431" s="2" t="s">
        <v>30998</v>
      </c>
      <c r="N6431" s="2" t="s">
        <v>30999</v>
      </c>
      <c r="O6431" s="2" t="s">
        <v>869</v>
      </c>
      <c r="P6431" s="2" t="s">
        <v>870</v>
      </c>
    </row>
    <row r="6432" ht="15.75" customHeight="1">
      <c r="H6432" s="2" t="s">
        <v>31000</v>
      </c>
      <c r="I6432" s="2" t="s">
        <v>31001</v>
      </c>
      <c r="J6432" s="2" t="s">
        <v>31002</v>
      </c>
      <c r="K6432" s="2" t="s">
        <v>31003</v>
      </c>
      <c r="L6432" s="2" t="s">
        <v>28572</v>
      </c>
      <c r="M6432" s="2" t="s">
        <v>31004</v>
      </c>
      <c r="N6432" s="2" t="s">
        <v>31005</v>
      </c>
      <c r="O6432" s="2" t="s">
        <v>869</v>
      </c>
      <c r="P6432" s="2" t="s">
        <v>870</v>
      </c>
    </row>
    <row r="6433" ht="15.75" customHeight="1">
      <c r="H6433" s="2" t="s">
        <v>31006</v>
      </c>
      <c r="I6433" s="2" t="s">
        <v>845</v>
      </c>
      <c r="J6433" s="2" t="s">
        <v>846</v>
      </c>
      <c r="K6433" s="2" t="s">
        <v>31007</v>
      </c>
      <c r="L6433" s="2" t="s">
        <v>28572</v>
      </c>
      <c r="M6433" s="2" t="s">
        <v>31008</v>
      </c>
      <c r="N6433" s="2" t="s">
        <v>31009</v>
      </c>
      <c r="O6433" s="2" t="s">
        <v>869</v>
      </c>
      <c r="P6433" s="2" t="s">
        <v>870</v>
      </c>
    </row>
    <row r="6434" ht="15.75" customHeight="1">
      <c r="F6434" s="2" t="s">
        <v>5257</v>
      </c>
      <c r="H6434" s="2" t="s">
        <v>31010</v>
      </c>
      <c r="I6434" s="2" t="s">
        <v>28503</v>
      </c>
      <c r="J6434" s="2" t="s">
        <v>28504</v>
      </c>
      <c r="K6434" s="2" t="s">
        <v>31011</v>
      </c>
      <c r="L6434" s="2" t="s">
        <v>28572</v>
      </c>
      <c r="M6434" s="2" t="s">
        <v>28505</v>
      </c>
      <c r="N6434" s="2" t="s">
        <v>31012</v>
      </c>
      <c r="O6434" s="2" t="s">
        <v>869</v>
      </c>
      <c r="P6434" s="2" t="s">
        <v>870</v>
      </c>
    </row>
    <row r="6435" ht="15.75" customHeight="1">
      <c r="H6435" s="2" t="s">
        <v>31013</v>
      </c>
      <c r="I6435" s="2" t="s">
        <v>31014</v>
      </c>
      <c r="J6435" s="2" t="s">
        <v>31015</v>
      </c>
      <c r="K6435" s="2" t="s">
        <v>31016</v>
      </c>
      <c r="L6435" s="2" t="s">
        <v>28572</v>
      </c>
      <c r="M6435" s="2" t="s">
        <v>31017</v>
      </c>
      <c r="N6435" s="2" t="s">
        <v>31018</v>
      </c>
      <c r="O6435" s="2" t="s">
        <v>869</v>
      </c>
      <c r="P6435" s="2" t="s">
        <v>870</v>
      </c>
    </row>
    <row r="6436" ht="15.75" customHeight="1">
      <c r="H6436" s="2" t="s">
        <v>31019</v>
      </c>
      <c r="I6436" s="2" t="s">
        <v>5272</v>
      </c>
      <c r="J6436" s="2" t="s">
        <v>5273</v>
      </c>
      <c r="K6436" s="2" t="s">
        <v>31020</v>
      </c>
      <c r="L6436" s="2" t="s">
        <v>28572</v>
      </c>
      <c r="M6436" s="2" t="s">
        <v>31021</v>
      </c>
      <c r="N6436" s="2" t="s">
        <v>31022</v>
      </c>
      <c r="O6436" s="2" t="s">
        <v>869</v>
      </c>
      <c r="P6436" s="2" t="s">
        <v>870</v>
      </c>
    </row>
    <row r="6437" ht="15.75" customHeight="1">
      <c r="B6437" s="2" t="s">
        <v>31023</v>
      </c>
      <c r="C6437" s="2" t="s">
        <v>1169</v>
      </c>
      <c r="D6437" s="2" t="s">
        <v>31024</v>
      </c>
      <c r="F6437" s="2" t="s">
        <v>29</v>
      </c>
      <c r="H6437" s="2" t="s">
        <v>31025</v>
      </c>
      <c r="I6437" s="2" t="s">
        <v>31</v>
      </c>
      <c r="J6437" s="2" t="s">
        <v>32</v>
      </c>
      <c r="K6437" s="2" t="s">
        <v>6000</v>
      </c>
      <c r="L6437" s="2" t="s">
        <v>31026</v>
      </c>
      <c r="M6437" s="2" t="s">
        <v>31027</v>
      </c>
      <c r="N6437" s="2" t="s">
        <v>31028</v>
      </c>
      <c r="O6437" s="2" t="s">
        <v>31029</v>
      </c>
      <c r="P6437" s="2" t="s">
        <v>31030</v>
      </c>
    </row>
    <row r="6438" ht="15.75" customHeight="1">
      <c r="F6438" s="2" t="s">
        <v>39</v>
      </c>
      <c r="H6438" s="2" t="s">
        <v>31031</v>
      </c>
      <c r="I6438" s="2" t="s">
        <v>41</v>
      </c>
      <c r="J6438" s="2" t="s">
        <v>42</v>
      </c>
      <c r="K6438" s="2" t="s">
        <v>24561</v>
      </c>
      <c r="L6438" s="2" t="s">
        <v>31026</v>
      </c>
      <c r="M6438" s="2" t="s">
        <v>31032</v>
      </c>
      <c r="N6438" s="2" t="s">
        <v>31033</v>
      </c>
      <c r="O6438" s="2" t="s">
        <v>31034</v>
      </c>
      <c r="P6438" s="2" t="s">
        <v>31035</v>
      </c>
    </row>
    <row r="6439" ht="15.75" customHeight="1">
      <c r="H6439" s="2" t="s">
        <v>31036</v>
      </c>
      <c r="I6439" s="2" t="s">
        <v>49</v>
      </c>
      <c r="J6439" s="2" t="s">
        <v>50</v>
      </c>
      <c r="K6439" s="2" t="s">
        <v>15801</v>
      </c>
      <c r="L6439" s="2" t="s">
        <v>31026</v>
      </c>
      <c r="M6439" s="2" t="s">
        <v>31037</v>
      </c>
      <c r="N6439" s="2" t="s">
        <v>31038</v>
      </c>
      <c r="O6439" s="2" t="s">
        <v>31039</v>
      </c>
      <c r="P6439" s="2" t="s">
        <v>31040</v>
      </c>
    </row>
    <row r="6440" ht="15.75" customHeight="1">
      <c r="F6440" s="2" t="s">
        <v>74</v>
      </c>
      <c r="H6440" s="2" t="s">
        <v>31041</v>
      </c>
      <c r="I6440" s="2" t="s">
        <v>76</v>
      </c>
      <c r="J6440" s="2" t="s">
        <v>77</v>
      </c>
      <c r="K6440" s="2" t="s">
        <v>15779</v>
      </c>
      <c r="L6440" s="2" t="s">
        <v>31042</v>
      </c>
      <c r="M6440" s="2" t="s">
        <v>31043</v>
      </c>
      <c r="N6440" s="2" t="s">
        <v>31044</v>
      </c>
      <c r="O6440" s="2" t="s">
        <v>31045</v>
      </c>
      <c r="P6440" s="2" t="s">
        <v>31046</v>
      </c>
    </row>
    <row r="6441" ht="15.75" customHeight="1">
      <c r="H6441" s="2" t="s">
        <v>31047</v>
      </c>
      <c r="I6441" s="2" t="s">
        <v>85</v>
      </c>
      <c r="J6441" s="2" t="s">
        <v>86</v>
      </c>
      <c r="K6441" s="2" t="s">
        <v>15901</v>
      </c>
      <c r="L6441" s="2" t="s">
        <v>31026</v>
      </c>
      <c r="M6441" s="2" t="s">
        <v>31048</v>
      </c>
      <c r="N6441" s="2" t="s">
        <v>31049</v>
      </c>
      <c r="O6441" s="2" t="s">
        <v>31050</v>
      </c>
      <c r="P6441" s="2" t="s">
        <v>31051</v>
      </c>
    </row>
    <row r="6442" ht="15.75" customHeight="1">
      <c r="H6442" s="2" t="s">
        <v>31052</v>
      </c>
      <c r="I6442" s="2" t="s">
        <v>12516</v>
      </c>
      <c r="J6442" s="2" t="s">
        <v>12516</v>
      </c>
      <c r="K6442" s="2" t="s">
        <v>1508</v>
      </c>
    </row>
    <row r="6443" ht="15.75" customHeight="1">
      <c r="H6443" s="2" t="s">
        <v>31053</v>
      </c>
      <c r="I6443" s="2" t="s">
        <v>1000</v>
      </c>
      <c r="J6443" s="2" t="s">
        <v>1001</v>
      </c>
      <c r="K6443" s="2" t="s">
        <v>6006</v>
      </c>
      <c r="L6443" s="2" t="s">
        <v>31026</v>
      </c>
      <c r="M6443" s="2" t="s">
        <v>31054</v>
      </c>
      <c r="N6443" s="2" t="s">
        <v>31055</v>
      </c>
      <c r="O6443" s="2" t="s">
        <v>31056</v>
      </c>
      <c r="P6443" s="2" t="s">
        <v>31057</v>
      </c>
    </row>
    <row r="6444" ht="15.75" customHeight="1">
      <c r="H6444" s="2" t="s">
        <v>31058</v>
      </c>
      <c r="I6444" s="2" t="s">
        <v>167</v>
      </c>
      <c r="J6444" s="2" t="s">
        <v>168</v>
      </c>
      <c r="K6444" s="2" t="s">
        <v>15784</v>
      </c>
      <c r="L6444" s="2" t="s">
        <v>31059</v>
      </c>
      <c r="M6444" s="2" t="s">
        <v>31060</v>
      </c>
      <c r="N6444" s="2" t="s">
        <v>31061</v>
      </c>
      <c r="O6444" s="2" t="s">
        <v>31062</v>
      </c>
      <c r="P6444" s="2" t="s">
        <v>31063</v>
      </c>
    </row>
    <row r="6445" ht="15.75" customHeight="1">
      <c r="H6445" s="2" t="s">
        <v>31064</v>
      </c>
      <c r="I6445" s="2" t="s">
        <v>176</v>
      </c>
      <c r="J6445" s="2" t="s">
        <v>177</v>
      </c>
      <c r="K6445" s="2" t="s">
        <v>6015</v>
      </c>
      <c r="L6445" s="2" t="s">
        <v>31065</v>
      </c>
      <c r="M6445" s="2" t="s">
        <v>31066</v>
      </c>
      <c r="N6445" s="2" t="s">
        <v>31067</v>
      </c>
      <c r="O6445" s="2" t="s">
        <v>31068</v>
      </c>
      <c r="P6445" s="2" t="s">
        <v>31069</v>
      </c>
    </row>
    <row r="6446" ht="15.75" customHeight="1">
      <c r="H6446" s="2" t="s">
        <v>31070</v>
      </c>
      <c r="I6446" s="2" t="s">
        <v>31071</v>
      </c>
      <c r="J6446" s="2" t="s">
        <v>31072</v>
      </c>
      <c r="K6446" s="2" t="s">
        <v>15841</v>
      </c>
      <c r="L6446" s="2" t="s">
        <v>31026</v>
      </c>
      <c r="M6446" s="2" t="s">
        <v>31073</v>
      </c>
      <c r="N6446" s="2" t="s">
        <v>31074</v>
      </c>
      <c r="O6446" s="2" t="s">
        <v>31075</v>
      </c>
      <c r="P6446" s="2" t="s">
        <v>31076</v>
      </c>
    </row>
    <row r="6447" ht="15.75" customHeight="1">
      <c r="H6447" s="2" t="s">
        <v>31077</v>
      </c>
      <c r="I6447" s="2" t="s">
        <v>5341</v>
      </c>
      <c r="J6447" s="2" t="s">
        <v>5342</v>
      </c>
      <c r="K6447" s="2" t="s">
        <v>24739</v>
      </c>
      <c r="L6447" s="2" t="s">
        <v>31026</v>
      </c>
      <c r="M6447" s="2" t="s">
        <v>31078</v>
      </c>
      <c r="N6447" s="2" t="s">
        <v>31079</v>
      </c>
      <c r="O6447" s="2" t="s">
        <v>31080</v>
      </c>
      <c r="P6447" s="2" t="s">
        <v>31081</v>
      </c>
    </row>
    <row r="6448" ht="15.75" customHeight="1">
      <c r="H6448" s="2" t="s">
        <v>31082</v>
      </c>
      <c r="I6448" s="2" t="s">
        <v>1753</v>
      </c>
      <c r="J6448" s="2" t="s">
        <v>1754</v>
      </c>
      <c r="K6448" s="2" t="s">
        <v>31083</v>
      </c>
      <c r="L6448" s="2" t="s">
        <v>31026</v>
      </c>
      <c r="M6448" s="2" t="s">
        <v>31084</v>
      </c>
      <c r="N6448" s="2" t="s">
        <v>31085</v>
      </c>
      <c r="O6448" s="2" t="s">
        <v>31086</v>
      </c>
      <c r="P6448" s="2" t="s">
        <v>31087</v>
      </c>
    </row>
    <row r="6449" ht="15.75" customHeight="1">
      <c r="H6449" s="2" t="s">
        <v>31088</v>
      </c>
      <c r="I6449" s="2" t="s">
        <v>1766</v>
      </c>
      <c r="J6449" s="2" t="s">
        <v>1767</v>
      </c>
      <c r="K6449" s="2" t="s">
        <v>31089</v>
      </c>
      <c r="L6449" s="2" t="s">
        <v>31026</v>
      </c>
      <c r="M6449" s="2" t="s">
        <v>31090</v>
      </c>
      <c r="N6449" s="2" t="s">
        <v>31091</v>
      </c>
      <c r="O6449" s="2" t="s">
        <v>31092</v>
      </c>
      <c r="P6449" s="2" t="s">
        <v>31093</v>
      </c>
    </row>
    <row r="6450" ht="15.75" customHeight="1">
      <c r="H6450" s="2" t="s">
        <v>31094</v>
      </c>
      <c r="I6450" s="2" t="s">
        <v>31095</v>
      </c>
      <c r="J6450" s="2" t="s">
        <v>31096</v>
      </c>
      <c r="K6450" s="2" t="s">
        <v>31097</v>
      </c>
      <c r="L6450" s="2" t="s">
        <v>31026</v>
      </c>
      <c r="M6450" s="2" t="s">
        <v>31098</v>
      </c>
      <c r="N6450" s="2" t="s">
        <v>31099</v>
      </c>
      <c r="O6450" s="2" t="s">
        <v>31100</v>
      </c>
      <c r="P6450" s="2" t="s">
        <v>31101</v>
      </c>
    </row>
    <row r="6451" ht="15.75" customHeight="1">
      <c r="F6451" s="2" t="s">
        <v>265</v>
      </c>
      <c r="H6451" s="2" t="s">
        <v>31102</v>
      </c>
      <c r="I6451" s="2" t="s">
        <v>267</v>
      </c>
      <c r="J6451" s="2" t="s">
        <v>268</v>
      </c>
      <c r="K6451" s="2" t="s">
        <v>6019</v>
      </c>
      <c r="L6451" s="2" t="s">
        <v>31026</v>
      </c>
      <c r="M6451" s="2" t="s">
        <v>31103</v>
      </c>
      <c r="N6451" s="2" t="s">
        <v>31104</v>
      </c>
      <c r="O6451" s="2" t="s">
        <v>31105</v>
      </c>
      <c r="P6451" s="2" t="s">
        <v>31106</v>
      </c>
    </row>
    <row r="6452" ht="15.75" customHeight="1">
      <c r="H6452" s="2" t="s">
        <v>31107</v>
      </c>
      <c r="I6452" s="2" t="s">
        <v>19226</v>
      </c>
      <c r="J6452" s="2" t="s">
        <v>19227</v>
      </c>
      <c r="K6452" s="2" t="s">
        <v>24164</v>
      </c>
      <c r="L6452" s="2" t="s">
        <v>31026</v>
      </c>
      <c r="M6452" s="2" t="s">
        <v>31108</v>
      </c>
      <c r="N6452" s="2" t="s">
        <v>31109</v>
      </c>
      <c r="O6452" s="2" t="s">
        <v>31110</v>
      </c>
      <c r="P6452" s="2" t="s">
        <v>31111</v>
      </c>
    </row>
    <row r="6453" ht="15.75" customHeight="1">
      <c r="F6453" s="2" t="s">
        <v>284</v>
      </c>
      <c r="H6453" s="2" t="s">
        <v>31112</v>
      </c>
      <c r="I6453" s="2" t="s">
        <v>12593</v>
      </c>
      <c r="J6453" s="2" t="s">
        <v>12594</v>
      </c>
      <c r="K6453" s="2" t="s">
        <v>31113</v>
      </c>
      <c r="L6453" s="2" t="s">
        <v>31026</v>
      </c>
      <c r="M6453" s="2" t="s">
        <v>31114</v>
      </c>
      <c r="N6453" s="2" t="s">
        <v>31115</v>
      </c>
      <c r="O6453" s="2" t="s">
        <v>31116</v>
      </c>
      <c r="P6453" s="2" t="s">
        <v>31117</v>
      </c>
    </row>
    <row r="6454" ht="15.75" customHeight="1">
      <c r="H6454" s="2" t="s">
        <v>31118</v>
      </c>
      <c r="I6454" s="2" t="s">
        <v>31119</v>
      </c>
      <c r="J6454" s="2" t="s">
        <v>31120</v>
      </c>
      <c r="K6454" s="2" t="s">
        <v>6000</v>
      </c>
      <c r="L6454" s="2" t="s">
        <v>31026</v>
      </c>
      <c r="M6454" s="2" t="s">
        <v>31121</v>
      </c>
      <c r="N6454" s="2" t="s">
        <v>31122</v>
      </c>
      <c r="O6454" s="2" t="s">
        <v>31123</v>
      </c>
      <c r="P6454" s="2" t="s">
        <v>31124</v>
      </c>
    </row>
    <row r="6455" ht="15.75" customHeight="1">
      <c r="H6455" s="2" t="s">
        <v>31125</v>
      </c>
      <c r="I6455" s="2" t="s">
        <v>286</v>
      </c>
      <c r="J6455" s="2" t="s">
        <v>287</v>
      </c>
      <c r="K6455" s="2" t="s">
        <v>15801</v>
      </c>
      <c r="L6455" s="2" t="s">
        <v>31126</v>
      </c>
      <c r="M6455" s="2" t="s">
        <v>31127</v>
      </c>
      <c r="N6455" s="2" t="s">
        <v>31128</v>
      </c>
      <c r="O6455" s="2" t="s">
        <v>31129</v>
      </c>
      <c r="P6455" s="2" t="s">
        <v>31130</v>
      </c>
    </row>
    <row r="6456" ht="15.75" customHeight="1">
      <c r="H6456" s="2" t="s">
        <v>31131</v>
      </c>
      <c r="I6456" s="2" t="s">
        <v>294</v>
      </c>
      <c r="J6456" s="2" t="s">
        <v>295</v>
      </c>
      <c r="K6456" s="2" t="s">
        <v>6054</v>
      </c>
      <c r="L6456" s="2" t="s">
        <v>31026</v>
      </c>
      <c r="M6456" s="2" t="s">
        <v>31132</v>
      </c>
      <c r="N6456" s="2" t="s">
        <v>31133</v>
      </c>
      <c r="O6456" s="2" t="s">
        <v>31134</v>
      </c>
      <c r="P6456" s="2" t="s">
        <v>16134</v>
      </c>
    </row>
    <row r="6457" ht="15.75" customHeight="1">
      <c r="H6457" s="2" t="s">
        <v>31135</v>
      </c>
      <c r="I6457" s="2" t="s">
        <v>5889</v>
      </c>
      <c r="J6457" s="2" t="s">
        <v>5890</v>
      </c>
      <c r="K6457" s="2" t="s">
        <v>15805</v>
      </c>
      <c r="L6457" s="2" t="s">
        <v>31136</v>
      </c>
      <c r="M6457" s="2" t="s">
        <v>31137</v>
      </c>
      <c r="N6457" s="2" t="s">
        <v>31138</v>
      </c>
      <c r="O6457" s="2" t="s">
        <v>31139</v>
      </c>
      <c r="P6457" s="2" t="s">
        <v>31140</v>
      </c>
    </row>
    <row r="6458" ht="15.75" customHeight="1">
      <c r="H6458" s="2" t="s">
        <v>31141</v>
      </c>
      <c r="I6458" s="2" t="s">
        <v>31142</v>
      </c>
      <c r="J6458" s="2" t="s">
        <v>31143</v>
      </c>
      <c r="K6458" s="2" t="s">
        <v>31144</v>
      </c>
      <c r="L6458" s="2" t="s">
        <v>31026</v>
      </c>
      <c r="M6458" s="2" t="s">
        <v>31145</v>
      </c>
      <c r="N6458" s="2" t="s">
        <v>31146</v>
      </c>
      <c r="O6458" s="2" t="s">
        <v>31147</v>
      </c>
      <c r="P6458" s="2" t="s">
        <v>31148</v>
      </c>
    </row>
    <row r="6459" ht="15.75" customHeight="1">
      <c r="H6459" s="2" t="s">
        <v>31149</v>
      </c>
      <c r="I6459" s="2" t="s">
        <v>29231</v>
      </c>
      <c r="J6459" s="2" t="s">
        <v>29232</v>
      </c>
      <c r="K6459" s="2" t="s">
        <v>31150</v>
      </c>
      <c r="L6459" s="2" t="s">
        <v>31026</v>
      </c>
      <c r="M6459" s="2" t="s">
        <v>31151</v>
      </c>
      <c r="N6459" s="2" t="s">
        <v>31152</v>
      </c>
      <c r="O6459" s="2" t="s">
        <v>31153</v>
      </c>
      <c r="P6459" s="2" t="s">
        <v>31154</v>
      </c>
    </row>
    <row r="6460" ht="15.75" customHeight="1">
      <c r="H6460" s="2" t="s">
        <v>31155</v>
      </c>
      <c r="I6460" s="2" t="s">
        <v>4377</v>
      </c>
      <c r="J6460" s="2" t="s">
        <v>4378</v>
      </c>
      <c r="K6460" s="2" t="s">
        <v>24528</v>
      </c>
      <c r="L6460" s="2" t="s">
        <v>31026</v>
      </c>
      <c r="M6460" s="2" t="s">
        <v>31156</v>
      </c>
      <c r="N6460" s="2" t="s">
        <v>31157</v>
      </c>
      <c r="O6460" s="2" t="s">
        <v>31158</v>
      </c>
      <c r="P6460" s="2" t="s">
        <v>31159</v>
      </c>
    </row>
    <row r="6461" ht="15.75" customHeight="1">
      <c r="H6461" s="2" t="s">
        <v>31160</v>
      </c>
      <c r="I6461" s="2" t="s">
        <v>31161</v>
      </c>
      <c r="J6461" s="2" t="s">
        <v>31162</v>
      </c>
      <c r="K6461" s="2" t="s">
        <v>6074</v>
      </c>
      <c r="L6461" s="2" t="s">
        <v>31163</v>
      </c>
      <c r="M6461" s="2" t="s">
        <v>31164</v>
      </c>
      <c r="N6461" s="2" t="s">
        <v>31165</v>
      </c>
      <c r="O6461" s="2" t="s">
        <v>31166</v>
      </c>
      <c r="P6461" s="2" t="s">
        <v>31167</v>
      </c>
    </row>
    <row r="6462" ht="15.75" customHeight="1">
      <c r="H6462" s="2" t="s">
        <v>31168</v>
      </c>
      <c r="I6462" s="2" t="s">
        <v>310</v>
      </c>
      <c r="J6462" s="2" t="s">
        <v>311</v>
      </c>
      <c r="K6462" s="2" t="s">
        <v>15809</v>
      </c>
      <c r="L6462" s="2" t="s">
        <v>31169</v>
      </c>
      <c r="M6462" s="2" t="s">
        <v>31170</v>
      </c>
      <c r="N6462" s="2" t="s">
        <v>31171</v>
      </c>
      <c r="O6462" s="2" t="s">
        <v>31172</v>
      </c>
      <c r="P6462" s="2" t="s">
        <v>31173</v>
      </c>
    </row>
    <row r="6463" ht="15.75" customHeight="1">
      <c r="H6463" s="2" t="s">
        <v>31174</v>
      </c>
      <c r="I6463" s="2" t="s">
        <v>12234</v>
      </c>
      <c r="J6463" s="2" t="s">
        <v>12235</v>
      </c>
      <c r="K6463" s="2" t="s">
        <v>25133</v>
      </c>
      <c r="L6463" s="2" t="s">
        <v>31026</v>
      </c>
      <c r="M6463" s="2" t="s">
        <v>31175</v>
      </c>
      <c r="N6463" s="2" t="s">
        <v>31176</v>
      </c>
      <c r="O6463" s="2" t="s">
        <v>31177</v>
      </c>
      <c r="P6463" s="2" t="s">
        <v>31178</v>
      </c>
    </row>
    <row r="6464" ht="15.75" customHeight="1">
      <c r="H6464" s="2" t="s">
        <v>31179</v>
      </c>
      <c r="I6464" s="2" t="s">
        <v>2175</v>
      </c>
      <c r="J6464" s="2" t="s">
        <v>2176</v>
      </c>
      <c r="K6464" s="2" t="s">
        <v>6029</v>
      </c>
      <c r="L6464" s="2" t="s">
        <v>31026</v>
      </c>
      <c r="M6464" s="2" t="s">
        <v>31180</v>
      </c>
      <c r="N6464" s="2" t="s">
        <v>31181</v>
      </c>
      <c r="O6464" s="2" t="s">
        <v>31182</v>
      </c>
      <c r="P6464" s="2" t="s">
        <v>31183</v>
      </c>
    </row>
    <row r="6465" ht="15.75" customHeight="1">
      <c r="H6465" s="2" t="s">
        <v>31184</v>
      </c>
      <c r="I6465" s="2" t="s">
        <v>12630</v>
      </c>
      <c r="J6465" s="2" t="s">
        <v>12631</v>
      </c>
      <c r="K6465" s="2" t="s">
        <v>25128</v>
      </c>
      <c r="L6465" s="2" t="s">
        <v>31185</v>
      </c>
      <c r="M6465" s="2" t="s">
        <v>31186</v>
      </c>
      <c r="N6465" s="2" t="s">
        <v>31187</v>
      </c>
      <c r="O6465" s="2" t="s">
        <v>31188</v>
      </c>
      <c r="P6465" s="2" t="s">
        <v>31189</v>
      </c>
    </row>
    <row r="6466" ht="15.75" customHeight="1">
      <c r="H6466" s="2" t="s">
        <v>31190</v>
      </c>
      <c r="I6466" s="2" t="s">
        <v>2195</v>
      </c>
      <c r="J6466" s="2" t="s">
        <v>2196</v>
      </c>
      <c r="K6466" s="2" t="s">
        <v>24851</v>
      </c>
      <c r="L6466" s="2" t="s">
        <v>31191</v>
      </c>
      <c r="M6466" s="2" t="s">
        <v>24178</v>
      </c>
      <c r="N6466" s="2" t="s">
        <v>31192</v>
      </c>
      <c r="O6466" s="2" t="s">
        <v>31193</v>
      </c>
      <c r="P6466" s="2" t="s">
        <v>31194</v>
      </c>
    </row>
    <row r="6467" ht="15.75" customHeight="1">
      <c r="H6467" s="2" t="s">
        <v>31195</v>
      </c>
      <c r="I6467" s="2" t="s">
        <v>326</v>
      </c>
      <c r="J6467" s="2" t="s">
        <v>327</v>
      </c>
      <c r="K6467" s="2" t="s">
        <v>6068</v>
      </c>
      <c r="L6467" s="2" t="s">
        <v>31196</v>
      </c>
      <c r="M6467" s="2" t="s">
        <v>31197</v>
      </c>
      <c r="N6467" s="2" t="s">
        <v>31198</v>
      </c>
      <c r="O6467" s="2" t="s">
        <v>31199</v>
      </c>
      <c r="P6467" s="2" t="s">
        <v>31200</v>
      </c>
    </row>
    <row r="6468" ht="15.75" customHeight="1">
      <c r="H6468" s="2" t="s">
        <v>31201</v>
      </c>
      <c r="I6468" s="2" t="s">
        <v>31202</v>
      </c>
      <c r="J6468" s="2" t="s">
        <v>31203</v>
      </c>
      <c r="K6468" s="2" t="s">
        <v>31204</v>
      </c>
      <c r="L6468" s="2" t="s">
        <v>31205</v>
      </c>
      <c r="M6468" s="2" t="s">
        <v>31206</v>
      </c>
      <c r="N6468" s="2" t="s">
        <v>31207</v>
      </c>
      <c r="O6468" s="2" t="s">
        <v>31208</v>
      </c>
      <c r="P6468" s="2" t="s">
        <v>31209</v>
      </c>
    </row>
    <row r="6469" ht="15.75" customHeight="1">
      <c r="H6469" s="2" t="s">
        <v>31210</v>
      </c>
      <c r="I6469" s="2" t="s">
        <v>376</v>
      </c>
      <c r="J6469" s="2" t="s">
        <v>377</v>
      </c>
      <c r="K6469" s="2" t="s">
        <v>24004</v>
      </c>
      <c r="L6469" s="2" t="s">
        <v>31026</v>
      </c>
      <c r="M6469" s="2" t="s">
        <v>31211</v>
      </c>
      <c r="N6469" s="2" t="s">
        <v>31212</v>
      </c>
      <c r="O6469" s="2" t="s">
        <v>31213</v>
      </c>
      <c r="P6469" s="2" t="s">
        <v>31214</v>
      </c>
    </row>
    <row r="6470" ht="15.75" customHeight="1">
      <c r="H6470" s="2" t="s">
        <v>31215</v>
      </c>
      <c r="I6470" s="2" t="s">
        <v>415</v>
      </c>
      <c r="J6470" s="2" t="s">
        <v>416</v>
      </c>
      <c r="K6470" s="2" t="s">
        <v>15831</v>
      </c>
      <c r="L6470" s="2" t="s">
        <v>31216</v>
      </c>
      <c r="M6470" s="2" t="s">
        <v>31217</v>
      </c>
      <c r="N6470" s="2" t="s">
        <v>31218</v>
      </c>
      <c r="O6470" s="2" t="s">
        <v>31219</v>
      </c>
      <c r="P6470" s="2" t="s">
        <v>31220</v>
      </c>
    </row>
    <row r="6471" ht="15.75" customHeight="1">
      <c r="H6471" s="2" t="s">
        <v>31221</v>
      </c>
      <c r="I6471" s="2" t="s">
        <v>5459</v>
      </c>
      <c r="J6471" s="2" t="s">
        <v>5460</v>
      </c>
      <c r="K6471" s="2" t="s">
        <v>15784</v>
      </c>
      <c r="L6471" s="2" t="s">
        <v>31026</v>
      </c>
      <c r="M6471" s="2" t="s">
        <v>31222</v>
      </c>
      <c r="N6471" s="2" t="s">
        <v>31223</v>
      </c>
      <c r="O6471" s="2" t="s">
        <v>31224</v>
      </c>
      <c r="P6471" s="2" t="s">
        <v>31225</v>
      </c>
    </row>
    <row r="6472" ht="15.75" customHeight="1">
      <c r="H6472" s="2" t="s">
        <v>31226</v>
      </c>
      <c r="I6472" s="2" t="s">
        <v>432</v>
      </c>
      <c r="J6472" s="2" t="s">
        <v>433</v>
      </c>
      <c r="K6472" s="2" t="s">
        <v>15827</v>
      </c>
      <c r="L6472" s="2" t="s">
        <v>31026</v>
      </c>
      <c r="M6472" s="2" t="s">
        <v>31227</v>
      </c>
      <c r="N6472" s="2" t="s">
        <v>31228</v>
      </c>
      <c r="O6472" s="2" t="s">
        <v>31229</v>
      </c>
      <c r="P6472" s="2" t="s">
        <v>31230</v>
      </c>
    </row>
    <row r="6473" ht="15.75" customHeight="1">
      <c r="H6473" s="2" t="s">
        <v>31231</v>
      </c>
      <c r="I6473" s="2" t="s">
        <v>12271</v>
      </c>
      <c r="J6473" s="2" t="s">
        <v>12272</v>
      </c>
      <c r="K6473" s="2" t="s">
        <v>22439</v>
      </c>
      <c r="L6473" s="2" t="s">
        <v>31232</v>
      </c>
      <c r="M6473" s="2" t="s">
        <v>31233</v>
      </c>
      <c r="N6473" s="2" t="s">
        <v>31234</v>
      </c>
      <c r="O6473" s="2" t="s">
        <v>31235</v>
      </c>
      <c r="P6473" s="2" t="s">
        <v>31236</v>
      </c>
    </row>
    <row r="6474" ht="15.75" customHeight="1">
      <c r="H6474" s="2" t="s">
        <v>31237</v>
      </c>
      <c r="I6474" s="2" t="s">
        <v>440</v>
      </c>
      <c r="J6474" s="2" t="s">
        <v>441</v>
      </c>
      <c r="K6474" s="2" t="s">
        <v>24907</v>
      </c>
      <c r="L6474" s="2" t="s">
        <v>31026</v>
      </c>
      <c r="M6474" s="2" t="s">
        <v>31238</v>
      </c>
      <c r="N6474" s="2" t="s">
        <v>31239</v>
      </c>
      <c r="O6474" s="2" t="s">
        <v>31240</v>
      </c>
      <c r="P6474" s="2" t="s">
        <v>31241</v>
      </c>
    </row>
    <row r="6475" ht="15.75" customHeight="1">
      <c r="H6475" s="2" t="s">
        <v>31242</v>
      </c>
      <c r="I6475" s="2" t="s">
        <v>449</v>
      </c>
      <c r="J6475" s="2" t="s">
        <v>450</v>
      </c>
      <c r="K6475" s="2" t="s">
        <v>6037</v>
      </c>
      <c r="L6475" s="2" t="s">
        <v>31243</v>
      </c>
      <c r="M6475" s="2" t="s">
        <v>31244</v>
      </c>
      <c r="N6475" s="2" t="s">
        <v>31245</v>
      </c>
      <c r="O6475" s="2" t="s">
        <v>31246</v>
      </c>
      <c r="P6475" s="2" t="s">
        <v>31247</v>
      </c>
    </row>
    <row r="6476" ht="15.75" customHeight="1">
      <c r="H6476" s="2" t="s">
        <v>31248</v>
      </c>
      <c r="I6476" s="2" t="s">
        <v>2331</v>
      </c>
      <c r="J6476" s="2" t="s">
        <v>2332</v>
      </c>
      <c r="K6476" s="2" t="s">
        <v>22041</v>
      </c>
      <c r="L6476" s="2" t="s">
        <v>31026</v>
      </c>
      <c r="M6476" s="2" t="s">
        <v>31249</v>
      </c>
      <c r="N6476" s="2" t="s">
        <v>31250</v>
      </c>
      <c r="O6476" s="2" t="s">
        <v>31251</v>
      </c>
      <c r="P6476" s="2" t="s">
        <v>31252</v>
      </c>
    </row>
    <row r="6477" ht="15.75" customHeight="1">
      <c r="H6477" s="2" t="s">
        <v>31253</v>
      </c>
      <c r="I6477" s="2" t="s">
        <v>458</v>
      </c>
      <c r="J6477" s="2" t="s">
        <v>459</v>
      </c>
      <c r="K6477" s="2" t="s">
        <v>31254</v>
      </c>
      <c r="L6477" s="2" t="s">
        <v>31026</v>
      </c>
      <c r="M6477" s="2" t="s">
        <v>31255</v>
      </c>
      <c r="N6477" s="2" t="s">
        <v>31256</v>
      </c>
      <c r="O6477" s="2" t="s">
        <v>31257</v>
      </c>
      <c r="P6477" s="2" t="s">
        <v>31258</v>
      </c>
    </row>
    <row r="6478" ht="15.75" customHeight="1">
      <c r="H6478" s="2" t="s">
        <v>31259</v>
      </c>
      <c r="I6478" s="2" t="s">
        <v>2357</v>
      </c>
      <c r="J6478" s="2" t="s">
        <v>2358</v>
      </c>
      <c r="K6478" s="2" t="s">
        <v>24940</v>
      </c>
      <c r="L6478" s="2" t="s">
        <v>31026</v>
      </c>
      <c r="M6478" s="2" t="s">
        <v>31260</v>
      </c>
      <c r="N6478" s="2" t="s">
        <v>31261</v>
      </c>
      <c r="O6478" s="2" t="s">
        <v>31262</v>
      </c>
      <c r="P6478" s="2" t="s">
        <v>31263</v>
      </c>
    </row>
    <row r="6479" ht="15.75" customHeight="1">
      <c r="H6479" s="2" t="s">
        <v>31264</v>
      </c>
      <c r="I6479" s="2" t="s">
        <v>19681</v>
      </c>
      <c r="J6479" s="2" t="s">
        <v>19682</v>
      </c>
      <c r="K6479" s="2" t="s">
        <v>31265</v>
      </c>
      <c r="L6479" s="2" t="s">
        <v>31026</v>
      </c>
      <c r="M6479" s="2" t="s">
        <v>31266</v>
      </c>
      <c r="N6479" s="2" t="s">
        <v>31267</v>
      </c>
      <c r="O6479" s="2" t="s">
        <v>31268</v>
      </c>
      <c r="P6479" s="2" t="s">
        <v>31269</v>
      </c>
    </row>
    <row r="6480" ht="15.75" customHeight="1">
      <c r="H6480" s="2" t="s">
        <v>31270</v>
      </c>
      <c r="I6480" s="2" t="s">
        <v>2421</v>
      </c>
      <c r="J6480" s="2" t="s">
        <v>2422</v>
      </c>
      <c r="K6480" s="2" t="s">
        <v>24967</v>
      </c>
      <c r="L6480" s="2" t="s">
        <v>31271</v>
      </c>
      <c r="M6480" s="2" t="s">
        <v>31272</v>
      </c>
      <c r="N6480" s="2" t="s">
        <v>31273</v>
      </c>
      <c r="O6480" s="2" t="s">
        <v>31274</v>
      </c>
      <c r="P6480" s="2" t="s">
        <v>31275</v>
      </c>
    </row>
    <row r="6481" ht="15.75" customHeight="1">
      <c r="H6481" s="2" t="s">
        <v>31276</v>
      </c>
      <c r="I6481" s="2" t="s">
        <v>510</v>
      </c>
      <c r="J6481" s="2" t="s">
        <v>511</v>
      </c>
      <c r="K6481" s="2" t="s">
        <v>31277</v>
      </c>
      <c r="L6481" s="2" t="s">
        <v>31026</v>
      </c>
      <c r="M6481" s="2" t="s">
        <v>31278</v>
      </c>
      <c r="N6481" s="2" t="s">
        <v>31279</v>
      </c>
      <c r="O6481" s="2" t="s">
        <v>31280</v>
      </c>
      <c r="P6481" s="2" t="s">
        <v>31281</v>
      </c>
    </row>
    <row r="6482" ht="15.75" customHeight="1">
      <c r="H6482" s="2" t="s">
        <v>31282</v>
      </c>
      <c r="I6482" s="2" t="s">
        <v>526</v>
      </c>
      <c r="J6482" s="2" t="s">
        <v>527</v>
      </c>
      <c r="K6482" s="2" t="s">
        <v>24084</v>
      </c>
      <c r="L6482" s="2" t="s">
        <v>31283</v>
      </c>
      <c r="M6482" s="2" t="s">
        <v>31284</v>
      </c>
      <c r="N6482" s="2" t="s">
        <v>31285</v>
      </c>
      <c r="O6482" s="2" t="s">
        <v>31286</v>
      </c>
      <c r="P6482" s="2" t="s">
        <v>31287</v>
      </c>
    </row>
    <row r="6483" ht="15.75" customHeight="1">
      <c r="H6483" s="2" t="s">
        <v>31288</v>
      </c>
      <c r="I6483" s="2" t="s">
        <v>31289</v>
      </c>
      <c r="J6483" s="2" t="s">
        <v>31290</v>
      </c>
      <c r="K6483" s="2" t="s">
        <v>24665</v>
      </c>
      <c r="L6483" s="2" t="s">
        <v>31026</v>
      </c>
      <c r="M6483" s="2" t="s">
        <v>31291</v>
      </c>
      <c r="N6483" s="2" t="s">
        <v>31292</v>
      </c>
      <c r="O6483" s="2" t="s">
        <v>31293</v>
      </c>
      <c r="P6483" s="2" t="s">
        <v>31294</v>
      </c>
    </row>
    <row r="6484" ht="15.75" customHeight="1">
      <c r="F6484" s="2" t="s">
        <v>2508</v>
      </c>
      <c r="H6484" s="2" t="s">
        <v>31295</v>
      </c>
      <c r="I6484" s="2" t="s">
        <v>31296</v>
      </c>
      <c r="J6484" s="2" t="s">
        <v>31296</v>
      </c>
      <c r="K6484" s="2" t="s">
        <v>31297</v>
      </c>
    </row>
    <row r="6485" ht="15.75" customHeight="1">
      <c r="F6485" s="2" t="s">
        <v>534</v>
      </c>
      <c r="H6485" s="2" t="s">
        <v>31298</v>
      </c>
      <c r="I6485" s="2" t="s">
        <v>31299</v>
      </c>
      <c r="J6485" s="2" t="s">
        <v>31300</v>
      </c>
      <c r="K6485" s="2" t="s">
        <v>1145</v>
      </c>
    </row>
    <row r="6486" ht="15.75" customHeight="1">
      <c r="H6486" s="2" t="s">
        <v>31301</v>
      </c>
      <c r="I6486" s="2" t="s">
        <v>31302</v>
      </c>
      <c r="J6486" s="2" t="s">
        <v>31302</v>
      </c>
      <c r="K6486" s="2" t="s">
        <v>1676</v>
      </c>
    </row>
    <row r="6487" ht="15.75" customHeight="1">
      <c r="H6487" s="2" t="s">
        <v>31303</v>
      </c>
      <c r="I6487" s="2" t="s">
        <v>536</v>
      </c>
      <c r="J6487" s="2" t="s">
        <v>537</v>
      </c>
      <c r="K6487" s="2" t="s">
        <v>538</v>
      </c>
    </row>
    <row r="6488" ht="15.75" customHeight="1">
      <c r="F6488" s="2" t="s">
        <v>539</v>
      </c>
      <c r="H6488" s="2" t="s">
        <v>31304</v>
      </c>
      <c r="I6488" s="2" t="s">
        <v>541</v>
      </c>
      <c r="J6488" s="2" t="s">
        <v>542</v>
      </c>
      <c r="K6488" s="2" t="s">
        <v>6046</v>
      </c>
      <c r="L6488" s="2" t="s">
        <v>31026</v>
      </c>
      <c r="M6488" s="2" t="s">
        <v>31305</v>
      </c>
      <c r="N6488" s="2" t="s">
        <v>31306</v>
      </c>
      <c r="O6488" s="2" t="s">
        <v>31307</v>
      </c>
      <c r="P6488" s="2" t="s">
        <v>31308</v>
      </c>
    </row>
    <row r="6489" ht="15.75" customHeight="1">
      <c r="F6489" s="2" t="s">
        <v>2597</v>
      </c>
      <c r="H6489" s="2" t="s">
        <v>31309</v>
      </c>
      <c r="I6489" s="2" t="s">
        <v>2624</v>
      </c>
      <c r="J6489" s="2" t="s">
        <v>2625</v>
      </c>
      <c r="K6489" s="2" t="s">
        <v>6050</v>
      </c>
      <c r="L6489" s="2" t="s">
        <v>31026</v>
      </c>
      <c r="M6489" s="2" t="s">
        <v>31310</v>
      </c>
      <c r="N6489" s="2" t="s">
        <v>31311</v>
      </c>
      <c r="O6489" s="2" t="s">
        <v>31312</v>
      </c>
      <c r="P6489" s="2" t="s">
        <v>31313</v>
      </c>
    </row>
    <row r="6490" ht="15.75" customHeight="1">
      <c r="F6490" s="2" t="s">
        <v>556</v>
      </c>
      <c r="H6490" s="2" t="s">
        <v>31314</v>
      </c>
      <c r="I6490" s="2" t="s">
        <v>31315</v>
      </c>
      <c r="J6490" s="2" t="s">
        <v>31316</v>
      </c>
      <c r="K6490" s="2" t="s">
        <v>31317</v>
      </c>
      <c r="L6490" s="2" t="s">
        <v>31026</v>
      </c>
      <c r="M6490" s="2" t="s">
        <v>31318</v>
      </c>
      <c r="N6490" s="2" t="s">
        <v>31319</v>
      </c>
      <c r="O6490" s="2" t="s">
        <v>31320</v>
      </c>
      <c r="P6490" s="2" t="s">
        <v>31321</v>
      </c>
    </row>
    <row r="6491" ht="15.75" customHeight="1">
      <c r="H6491" s="2" t="s">
        <v>31322</v>
      </c>
      <c r="I6491" s="2" t="s">
        <v>12033</v>
      </c>
      <c r="J6491" s="2" t="s">
        <v>12034</v>
      </c>
      <c r="K6491" s="2" t="s">
        <v>24102</v>
      </c>
      <c r="L6491" s="2" t="s">
        <v>31026</v>
      </c>
      <c r="M6491" s="2" t="s">
        <v>31323</v>
      </c>
      <c r="N6491" s="2" t="s">
        <v>31324</v>
      </c>
      <c r="O6491" s="2" t="s">
        <v>31325</v>
      </c>
      <c r="P6491" s="2" t="s">
        <v>31326</v>
      </c>
    </row>
    <row r="6492" ht="15.75" customHeight="1">
      <c r="H6492" s="2" t="s">
        <v>31327</v>
      </c>
      <c r="I6492" s="2" t="s">
        <v>8189</v>
      </c>
      <c r="J6492" s="2" t="s">
        <v>8190</v>
      </c>
      <c r="K6492" s="2" t="s">
        <v>25133</v>
      </c>
      <c r="L6492" s="2" t="s">
        <v>31026</v>
      </c>
      <c r="M6492" s="2" t="s">
        <v>31328</v>
      </c>
      <c r="N6492" s="2" t="s">
        <v>31329</v>
      </c>
      <c r="O6492" s="2" t="s">
        <v>31330</v>
      </c>
      <c r="P6492" s="2" t="s">
        <v>31331</v>
      </c>
    </row>
    <row r="6493" ht="15.75" customHeight="1">
      <c r="H6493" s="2" t="s">
        <v>31332</v>
      </c>
      <c r="I6493" s="2" t="s">
        <v>16276</v>
      </c>
      <c r="J6493" s="2" t="s">
        <v>16277</v>
      </c>
      <c r="K6493" s="2" t="s">
        <v>24506</v>
      </c>
      <c r="L6493" s="2" t="s">
        <v>31026</v>
      </c>
      <c r="M6493" s="2" t="s">
        <v>31333</v>
      </c>
      <c r="N6493" s="2" t="s">
        <v>31334</v>
      </c>
      <c r="O6493" s="2" t="s">
        <v>31335</v>
      </c>
      <c r="P6493" s="2" t="s">
        <v>31336</v>
      </c>
    </row>
    <row r="6494" ht="15.75" customHeight="1">
      <c r="F6494" s="2" t="s">
        <v>598</v>
      </c>
      <c r="H6494" s="2" t="s">
        <v>31337</v>
      </c>
      <c r="I6494" s="2" t="s">
        <v>608</v>
      </c>
      <c r="J6494" s="2" t="s">
        <v>609</v>
      </c>
      <c r="K6494" s="2" t="s">
        <v>15868</v>
      </c>
      <c r="L6494" s="2" t="s">
        <v>31338</v>
      </c>
      <c r="M6494" s="2" t="s">
        <v>31339</v>
      </c>
      <c r="N6494" s="2" t="s">
        <v>31340</v>
      </c>
      <c r="O6494" s="2" t="s">
        <v>31341</v>
      </c>
      <c r="P6494" s="2" t="s">
        <v>31342</v>
      </c>
    </row>
    <row r="6495" ht="15.75" customHeight="1">
      <c r="F6495" s="2" t="s">
        <v>3079</v>
      </c>
      <c r="H6495" s="2" t="s">
        <v>31343</v>
      </c>
      <c r="I6495" s="2" t="s">
        <v>3110</v>
      </c>
      <c r="J6495" s="2" t="s">
        <v>3111</v>
      </c>
      <c r="K6495" s="2" t="s">
        <v>31344</v>
      </c>
      <c r="L6495" s="2" t="s">
        <v>31026</v>
      </c>
      <c r="M6495" s="2" t="s">
        <v>31345</v>
      </c>
      <c r="N6495" s="2" t="s">
        <v>31346</v>
      </c>
      <c r="O6495" s="2" t="s">
        <v>31347</v>
      </c>
      <c r="P6495" s="2" t="s">
        <v>31348</v>
      </c>
    </row>
    <row r="6496" ht="15.75" customHeight="1">
      <c r="F6496" s="2" t="s">
        <v>624</v>
      </c>
      <c r="H6496" s="2" t="s">
        <v>31349</v>
      </c>
      <c r="I6496" s="2" t="s">
        <v>626</v>
      </c>
      <c r="J6496" s="2" t="s">
        <v>627</v>
      </c>
      <c r="K6496" s="2" t="s">
        <v>6058</v>
      </c>
      <c r="L6496" s="2" t="s">
        <v>31350</v>
      </c>
      <c r="M6496" s="2" t="s">
        <v>31351</v>
      </c>
      <c r="N6496" s="2" t="s">
        <v>31352</v>
      </c>
      <c r="O6496" s="2" t="s">
        <v>31353</v>
      </c>
      <c r="P6496" s="2" t="s">
        <v>31354</v>
      </c>
    </row>
    <row r="6497" ht="15.75" customHeight="1">
      <c r="F6497" s="2" t="s">
        <v>3521</v>
      </c>
      <c r="H6497" s="2" t="s">
        <v>31355</v>
      </c>
      <c r="I6497" s="2" t="s">
        <v>29996</v>
      </c>
      <c r="J6497" s="2" t="s">
        <v>29997</v>
      </c>
      <c r="K6497" s="2" t="s">
        <v>24414</v>
      </c>
      <c r="L6497" s="2" t="s">
        <v>31026</v>
      </c>
      <c r="M6497" s="2" t="s">
        <v>31356</v>
      </c>
      <c r="N6497" s="2" t="s">
        <v>31357</v>
      </c>
      <c r="O6497" s="2" t="s">
        <v>31358</v>
      </c>
      <c r="P6497" s="2" t="s">
        <v>31359</v>
      </c>
    </row>
    <row r="6498" ht="15.75" customHeight="1">
      <c r="H6498" s="2" t="s">
        <v>31360</v>
      </c>
      <c r="I6498" s="2" t="s">
        <v>3538</v>
      </c>
      <c r="J6498" s="2" t="s">
        <v>3539</v>
      </c>
      <c r="K6498" s="2" t="s">
        <v>25032</v>
      </c>
      <c r="L6498" s="2" t="s">
        <v>31026</v>
      </c>
      <c r="M6498" s="2" t="s">
        <v>31361</v>
      </c>
      <c r="N6498" s="2" t="s">
        <v>31362</v>
      </c>
      <c r="O6498" s="2" t="s">
        <v>31363</v>
      </c>
      <c r="P6498" s="2" t="s">
        <v>31364</v>
      </c>
    </row>
    <row r="6499" ht="15.75" customHeight="1">
      <c r="H6499" s="2" t="s">
        <v>31365</v>
      </c>
      <c r="I6499" s="2" t="s">
        <v>3558</v>
      </c>
      <c r="J6499" s="2" t="s">
        <v>3559</v>
      </c>
      <c r="K6499" s="2" t="s">
        <v>24137</v>
      </c>
      <c r="L6499" s="2" t="s">
        <v>31026</v>
      </c>
      <c r="M6499" s="2" t="s">
        <v>31366</v>
      </c>
      <c r="N6499" s="2" t="s">
        <v>31367</v>
      </c>
      <c r="O6499" s="2" t="s">
        <v>31368</v>
      </c>
      <c r="P6499" s="2" t="s">
        <v>31369</v>
      </c>
    </row>
    <row r="6500" ht="15.75" customHeight="1">
      <c r="F6500" s="2" t="s">
        <v>660</v>
      </c>
      <c r="H6500" s="2" t="s">
        <v>31370</v>
      </c>
      <c r="I6500" s="2" t="s">
        <v>662</v>
      </c>
      <c r="J6500" s="2" t="s">
        <v>663</v>
      </c>
      <c r="K6500" s="2" t="s">
        <v>15809</v>
      </c>
      <c r="L6500" s="2" t="s">
        <v>31026</v>
      </c>
      <c r="M6500" s="2" t="s">
        <v>31371</v>
      </c>
      <c r="N6500" s="2" t="s">
        <v>31372</v>
      </c>
      <c r="O6500" s="2" t="s">
        <v>31373</v>
      </c>
      <c r="P6500" s="2" t="s">
        <v>31374</v>
      </c>
    </row>
    <row r="6501" ht="15.75" customHeight="1">
      <c r="F6501" s="2" t="s">
        <v>677</v>
      </c>
      <c r="H6501" s="2" t="s">
        <v>31375</v>
      </c>
      <c r="I6501" s="2" t="s">
        <v>15610</v>
      </c>
      <c r="J6501" s="2" t="s">
        <v>15611</v>
      </c>
      <c r="K6501" s="2" t="s">
        <v>31376</v>
      </c>
      <c r="L6501" s="2" t="s">
        <v>31026</v>
      </c>
      <c r="M6501" s="2" t="s">
        <v>31377</v>
      </c>
      <c r="N6501" s="2" t="s">
        <v>31378</v>
      </c>
      <c r="O6501" s="2" t="s">
        <v>31379</v>
      </c>
      <c r="P6501" s="2" t="s">
        <v>31380</v>
      </c>
    </row>
    <row r="6502" ht="15.75" customHeight="1">
      <c r="H6502" s="2" t="s">
        <v>31381</v>
      </c>
      <c r="I6502" s="2" t="s">
        <v>10041</v>
      </c>
      <c r="J6502" s="2" t="s">
        <v>10042</v>
      </c>
      <c r="K6502" s="2" t="s">
        <v>6019</v>
      </c>
      <c r="L6502" s="2" t="s">
        <v>31026</v>
      </c>
      <c r="M6502" s="2" t="s">
        <v>31382</v>
      </c>
      <c r="N6502" s="2" t="s">
        <v>31383</v>
      </c>
      <c r="O6502" s="2" t="s">
        <v>31384</v>
      </c>
      <c r="P6502" s="2" t="s">
        <v>13785</v>
      </c>
    </row>
    <row r="6503" ht="15.75" customHeight="1">
      <c r="H6503" s="2" t="s">
        <v>31385</v>
      </c>
      <c r="I6503" s="2" t="s">
        <v>679</v>
      </c>
      <c r="J6503" s="2" t="s">
        <v>680</v>
      </c>
      <c r="K6503" s="2" t="s">
        <v>6062</v>
      </c>
      <c r="L6503" s="2" t="s">
        <v>31026</v>
      </c>
      <c r="M6503" s="2" t="s">
        <v>31386</v>
      </c>
      <c r="N6503" s="2" t="s">
        <v>31387</v>
      </c>
      <c r="O6503" s="2" t="s">
        <v>31388</v>
      </c>
      <c r="P6503" s="2" t="s">
        <v>31389</v>
      </c>
    </row>
    <row r="6504" ht="15.75" customHeight="1">
      <c r="F6504" s="2" t="s">
        <v>694</v>
      </c>
      <c r="H6504" s="2" t="s">
        <v>31390</v>
      </c>
      <c r="I6504" s="2" t="s">
        <v>696</v>
      </c>
      <c r="J6504" s="2" t="s">
        <v>697</v>
      </c>
      <c r="K6504" s="2" t="s">
        <v>15809</v>
      </c>
      <c r="L6504" s="2" t="s">
        <v>31026</v>
      </c>
      <c r="M6504" s="2" t="s">
        <v>31391</v>
      </c>
      <c r="N6504" s="2" t="s">
        <v>31392</v>
      </c>
      <c r="O6504" s="2" t="s">
        <v>31393</v>
      </c>
      <c r="P6504" s="2" t="s">
        <v>31394</v>
      </c>
    </row>
    <row r="6505" ht="15.75" customHeight="1">
      <c r="F6505" s="2" t="s">
        <v>703</v>
      </c>
      <c r="H6505" s="2" t="s">
        <v>31395</v>
      </c>
      <c r="I6505" s="2" t="s">
        <v>713</v>
      </c>
      <c r="J6505" s="2" t="s">
        <v>714</v>
      </c>
      <c r="K6505" s="2" t="s">
        <v>15809</v>
      </c>
      <c r="L6505" s="2" t="s">
        <v>31396</v>
      </c>
      <c r="M6505" s="2" t="s">
        <v>31397</v>
      </c>
      <c r="N6505" s="2" t="s">
        <v>31398</v>
      </c>
      <c r="O6505" s="2" t="s">
        <v>31399</v>
      </c>
      <c r="P6505" s="2" t="s">
        <v>31400</v>
      </c>
    </row>
    <row r="6506" ht="15.75" customHeight="1">
      <c r="F6506" s="2" t="s">
        <v>728</v>
      </c>
      <c r="H6506" s="2" t="s">
        <v>31401</v>
      </c>
      <c r="I6506" s="2" t="s">
        <v>730</v>
      </c>
      <c r="J6506" s="2" t="s">
        <v>731</v>
      </c>
      <c r="K6506" s="2" t="s">
        <v>6046</v>
      </c>
      <c r="L6506" s="2" t="s">
        <v>31026</v>
      </c>
      <c r="M6506" s="2" t="s">
        <v>31402</v>
      </c>
      <c r="N6506" s="2" t="s">
        <v>31403</v>
      </c>
      <c r="O6506" s="2" t="s">
        <v>31404</v>
      </c>
      <c r="P6506" s="2" t="s">
        <v>31405</v>
      </c>
    </row>
    <row r="6507" ht="15.75" customHeight="1">
      <c r="F6507" s="2" t="s">
        <v>737</v>
      </c>
      <c r="H6507" s="2" t="s">
        <v>31406</v>
      </c>
      <c r="I6507" s="2" t="s">
        <v>739</v>
      </c>
      <c r="J6507" s="2" t="s">
        <v>740</v>
      </c>
      <c r="K6507" s="2" t="s">
        <v>31344</v>
      </c>
      <c r="L6507" s="2" t="s">
        <v>31026</v>
      </c>
      <c r="M6507" s="2" t="s">
        <v>31407</v>
      </c>
      <c r="N6507" s="2" t="s">
        <v>31408</v>
      </c>
      <c r="O6507" s="2" t="s">
        <v>31409</v>
      </c>
      <c r="P6507" s="2" t="s">
        <v>31410</v>
      </c>
    </row>
    <row r="6508" ht="15.75" customHeight="1">
      <c r="F6508" s="2" t="s">
        <v>746</v>
      </c>
      <c r="H6508" s="2" t="s">
        <v>31411</v>
      </c>
      <c r="I6508" s="2" t="s">
        <v>4282</v>
      </c>
      <c r="J6508" s="2" t="s">
        <v>4283</v>
      </c>
      <c r="K6508" s="2" t="s">
        <v>25009</v>
      </c>
      <c r="L6508" s="2" t="s">
        <v>31026</v>
      </c>
      <c r="M6508" s="2" t="s">
        <v>31412</v>
      </c>
      <c r="N6508" s="2" t="s">
        <v>31413</v>
      </c>
      <c r="O6508" s="2" t="s">
        <v>31414</v>
      </c>
      <c r="P6508" s="2" t="s">
        <v>31415</v>
      </c>
    </row>
    <row r="6509" ht="15.75" customHeight="1">
      <c r="F6509" s="2" t="s">
        <v>4491</v>
      </c>
      <c r="H6509" s="2" t="s">
        <v>31416</v>
      </c>
      <c r="I6509" s="2" t="s">
        <v>4513</v>
      </c>
      <c r="J6509" s="2" t="s">
        <v>4514</v>
      </c>
      <c r="K6509" s="2" t="s">
        <v>31317</v>
      </c>
      <c r="L6509" s="2" t="s">
        <v>31026</v>
      </c>
      <c r="M6509" s="2" t="s">
        <v>31417</v>
      </c>
      <c r="N6509" s="2" t="s">
        <v>31418</v>
      </c>
      <c r="O6509" s="2" t="s">
        <v>31419</v>
      </c>
      <c r="P6509" s="2" t="s">
        <v>31420</v>
      </c>
    </row>
    <row r="6510" ht="15.75" customHeight="1">
      <c r="F6510" s="2" t="s">
        <v>755</v>
      </c>
      <c r="H6510" s="2" t="s">
        <v>31421</v>
      </c>
      <c r="I6510" s="2" t="s">
        <v>757</v>
      </c>
      <c r="J6510" s="2" t="s">
        <v>758</v>
      </c>
      <c r="K6510" s="2" t="s">
        <v>6006</v>
      </c>
      <c r="L6510" s="2" t="s">
        <v>31026</v>
      </c>
      <c r="M6510" s="2" t="s">
        <v>31422</v>
      </c>
      <c r="N6510" s="2" t="s">
        <v>31423</v>
      </c>
      <c r="O6510" s="2" t="s">
        <v>31424</v>
      </c>
      <c r="P6510" s="2" t="s">
        <v>31425</v>
      </c>
    </row>
    <row r="6511" ht="15.75" customHeight="1">
      <c r="F6511" s="2" t="s">
        <v>764</v>
      </c>
      <c r="H6511" s="2" t="s">
        <v>31426</v>
      </c>
      <c r="I6511" s="2" t="s">
        <v>766</v>
      </c>
      <c r="J6511" s="2" t="s">
        <v>767</v>
      </c>
      <c r="K6511" s="2" t="s">
        <v>6081</v>
      </c>
      <c r="L6511" s="2" t="s">
        <v>31026</v>
      </c>
      <c r="M6511" s="2" t="s">
        <v>31427</v>
      </c>
      <c r="N6511" s="2" t="s">
        <v>31428</v>
      </c>
      <c r="O6511" s="2" t="s">
        <v>31429</v>
      </c>
      <c r="P6511" s="2" t="s">
        <v>31430</v>
      </c>
    </row>
    <row r="6512" ht="15.75" customHeight="1">
      <c r="F6512" s="2" t="s">
        <v>800</v>
      </c>
      <c r="H6512" s="2" t="s">
        <v>31431</v>
      </c>
      <c r="I6512" s="2" t="s">
        <v>4994</v>
      </c>
      <c r="J6512" s="2" t="s">
        <v>4995</v>
      </c>
      <c r="K6512" s="2" t="s">
        <v>15897</v>
      </c>
      <c r="L6512" s="2" t="s">
        <v>31026</v>
      </c>
      <c r="M6512" s="2" t="s">
        <v>31432</v>
      </c>
      <c r="N6512" s="2" t="s">
        <v>31433</v>
      </c>
      <c r="O6512" s="2" t="s">
        <v>31434</v>
      </c>
      <c r="P6512" s="2" t="s">
        <v>31435</v>
      </c>
    </row>
    <row r="6513" ht="15.75" customHeight="1">
      <c r="H6513" s="2" t="s">
        <v>31436</v>
      </c>
      <c r="I6513" s="2" t="s">
        <v>31437</v>
      </c>
      <c r="J6513" s="2" t="s">
        <v>31438</v>
      </c>
      <c r="K6513" s="2" t="s">
        <v>22055</v>
      </c>
      <c r="L6513" s="2" t="s">
        <v>31026</v>
      </c>
      <c r="M6513" s="2" t="s">
        <v>31439</v>
      </c>
      <c r="N6513" s="2" t="s">
        <v>31440</v>
      </c>
      <c r="O6513" s="2" t="s">
        <v>31441</v>
      </c>
      <c r="P6513" s="2" t="s">
        <v>31442</v>
      </c>
    </row>
    <row r="6514" ht="15.75" customHeight="1">
      <c r="H6514" s="2" t="s">
        <v>31443</v>
      </c>
      <c r="I6514" s="2" t="s">
        <v>5037</v>
      </c>
      <c r="J6514" s="2" t="s">
        <v>5038</v>
      </c>
      <c r="K6514" s="2" t="s">
        <v>6058</v>
      </c>
      <c r="L6514" s="2" t="s">
        <v>31026</v>
      </c>
      <c r="M6514" s="2" t="s">
        <v>31444</v>
      </c>
      <c r="N6514" s="2" t="s">
        <v>31445</v>
      </c>
      <c r="O6514" s="2" t="s">
        <v>31446</v>
      </c>
      <c r="P6514" s="2" t="s">
        <v>31447</v>
      </c>
    </row>
    <row r="6515" ht="15.75" customHeight="1">
      <c r="H6515" s="2" t="s">
        <v>31448</v>
      </c>
      <c r="I6515" s="2" t="s">
        <v>5986</v>
      </c>
      <c r="J6515" s="2" t="s">
        <v>5987</v>
      </c>
      <c r="K6515" s="2" t="s">
        <v>6091</v>
      </c>
      <c r="L6515" s="2" t="s">
        <v>31449</v>
      </c>
      <c r="M6515" s="2" t="s">
        <v>31450</v>
      </c>
      <c r="N6515" s="2" t="s">
        <v>31451</v>
      </c>
      <c r="O6515" s="2" t="s">
        <v>31452</v>
      </c>
      <c r="P6515" s="2" t="s">
        <v>31453</v>
      </c>
    </row>
    <row r="6516" ht="15.75" customHeight="1">
      <c r="F6516" s="2" t="s">
        <v>843</v>
      </c>
      <c r="H6516" s="2" t="s">
        <v>31454</v>
      </c>
      <c r="I6516" s="2" t="s">
        <v>31455</v>
      </c>
      <c r="J6516" s="2" t="s">
        <v>31456</v>
      </c>
      <c r="K6516" s="2" t="s">
        <v>31457</v>
      </c>
      <c r="L6516" s="2" t="s">
        <v>31026</v>
      </c>
      <c r="M6516" s="2" t="s">
        <v>31458</v>
      </c>
      <c r="N6516" s="2" t="s">
        <v>31459</v>
      </c>
      <c r="O6516" s="2" t="s">
        <v>31460</v>
      </c>
      <c r="P6516" s="2" t="s">
        <v>31461</v>
      </c>
    </row>
    <row r="6517" ht="15.75" customHeight="1">
      <c r="H6517" s="2" t="s">
        <v>31462</v>
      </c>
      <c r="I6517" s="2" t="s">
        <v>5192</v>
      </c>
      <c r="J6517" s="2" t="s">
        <v>5193</v>
      </c>
      <c r="K6517" s="2" t="s">
        <v>31463</v>
      </c>
      <c r="L6517" s="2" t="s">
        <v>31026</v>
      </c>
      <c r="M6517" s="2" t="s">
        <v>31464</v>
      </c>
      <c r="N6517" s="2" t="s">
        <v>31465</v>
      </c>
      <c r="O6517" s="2" t="s">
        <v>31466</v>
      </c>
      <c r="P6517" s="2" t="s">
        <v>31467</v>
      </c>
    </row>
    <row r="6518" ht="15.75" customHeight="1">
      <c r="H6518" s="2" t="s">
        <v>31468</v>
      </c>
      <c r="I6518" s="2" t="s">
        <v>5225</v>
      </c>
      <c r="J6518" s="2" t="s">
        <v>5226</v>
      </c>
      <c r="K6518" s="2" t="s">
        <v>31469</v>
      </c>
      <c r="L6518" s="2" t="s">
        <v>31026</v>
      </c>
      <c r="M6518" s="2" t="s">
        <v>31470</v>
      </c>
      <c r="N6518" s="2" t="s">
        <v>31471</v>
      </c>
      <c r="O6518" s="2" t="s">
        <v>31472</v>
      </c>
      <c r="P6518" s="2" t="s">
        <v>31473</v>
      </c>
    </row>
    <row r="6519" ht="15.75" customHeight="1">
      <c r="H6519" s="2" t="s">
        <v>31474</v>
      </c>
      <c r="I6519" s="2" t="s">
        <v>845</v>
      </c>
      <c r="J6519" s="2" t="s">
        <v>846</v>
      </c>
      <c r="K6519" s="2" t="s">
        <v>6419</v>
      </c>
      <c r="L6519" s="2" t="s">
        <v>31026</v>
      </c>
      <c r="M6519" s="2" t="s">
        <v>31475</v>
      </c>
      <c r="N6519" s="2" t="s">
        <v>31476</v>
      </c>
      <c r="O6519" s="2" t="s">
        <v>31477</v>
      </c>
      <c r="P6519" s="2" t="s">
        <v>31478</v>
      </c>
    </row>
    <row r="6520" ht="15.75" customHeight="1">
      <c r="B6520" s="2" t="s">
        <v>31479</v>
      </c>
      <c r="C6520" s="2" t="s">
        <v>31480</v>
      </c>
      <c r="D6520" s="2" t="s">
        <v>31481</v>
      </c>
      <c r="F6520" s="2" t="s">
        <v>855</v>
      </c>
      <c r="H6520" s="2" t="s">
        <v>31482</v>
      </c>
      <c r="I6520" s="2" t="s">
        <v>6105</v>
      </c>
      <c r="J6520" s="2" t="s">
        <v>6106</v>
      </c>
      <c r="K6520" s="2" t="s">
        <v>861</v>
      </c>
      <c r="L6520" s="2" t="s">
        <v>31483</v>
      </c>
      <c r="M6520" s="2" t="s">
        <v>31484</v>
      </c>
      <c r="N6520" s="2" t="s">
        <v>31485</v>
      </c>
      <c r="O6520" s="2" t="s">
        <v>31486</v>
      </c>
      <c r="P6520" s="2" t="s">
        <v>869</v>
      </c>
    </row>
    <row r="6521" ht="15.75" customHeight="1">
      <c r="H6521" s="2" t="s">
        <v>31487</v>
      </c>
      <c r="I6521" s="2" t="s">
        <v>31488</v>
      </c>
      <c r="J6521" s="2" t="s">
        <v>31489</v>
      </c>
      <c r="K6521" s="2" t="s">
        <v>31490</v>
      </c>
    </row>
    <row r="6522" ht="15.75" customHeight="1">
      <c r="F6522" s="2" t="s">
        <v>29</v>
      </c>
      <c r="H6522" s="2" t="s">
        <v>31491</v>
      </c>
      <c r="I6522" s="2" t="s">
        <v>31</v>
      </c>
      <c r="J6522" s="2" t="s">
        <v>32</v>
      </c>
      <c r="K6522" s="2" t="s">
        <v>6000</v>
      </c>
      <c r="L6522" s="2" t="s">
        <v>31492</v>
      </c>
      <c r="M6522" s="2" t="s">
        <v>31493</v>
      </c>
      <c r="N6522" s="2" t="s">
        <v>31494</v>
      </c>
      <c r="O6522" s="2" t="s">
        <v>31495</v>
      </c>
      <c r="P6522" s="2" t="s">
        <v>31496</v>
      </c>
    </row>
    <row r="6523" ht="15.75" customHeight="1">
      <c r="H6523" s="2" t="s">
        <v>31497</v>
      </c>
      <c r="I6523" s="2" t="s">
        <v>27245</v>
      </c>
      <c r="J6523" s="2" t="s">
        <v>27246</v>
      </c>
      <c r="K6523" s="2" t="s">
        <v>22104</v>
      </c>
      <c r="L6523" s="2" t="s">
        <v>31483</v>
      </c>
      <c r="M6523" s="2" t="s">
        <v>31498</v>
      </c>
      <c r="N6523" s="2" t="s">
        <v>31499</v>
      </c>
      <c r="O6523" s="2" t="s">
        <v>31500</v>
      </c>
      <c r="P6523" s="2" t="s">
        <v>869</v>
      </c>
    </row>
    <row r="6524" ht="15.75" customHeight="1">
      <c r="F6524" s="2" t="s">
        <v>56</v>
      </c>
      <c r="H6524" s="2" t="s">
        <v>31501</v>
      </c>
      <c r="I6524" s="2" t="s">
        <v>58</v>
      </c>
      <c r="J6524" s="2" t="s">
        <v>59</v>
      </c>
      <c r="K6524" s="2" t="s">
        <v>15897</v>
      </c>
      <c r="L6524" s="2" t="s">
        <v>31483</v>
      </c>
      <c r="M6524" s="2" t="s">
        <v>31502</v>
      </c>
      <c r="N6524" s="2" t="s">
        <v>31503</v>
      </c>
      <c r="O6524" s="2" t="s">
        <v>31504</v>
      </c>
      <c r="P6524" s="2" t="s">
        <v>869</v>
      </c>
    </row>
    <row r="6525" ht="15.75" customHeight="1">
      <c r="H6525" s="2" t="s">
        <v>31505</v>
      </c>
      <c r="I6525" s="2" t="s">
        <v>1382</v>
      </c>
      <c r="J6525" s="2" t="s">
        <v>1383</v>
      </c>
      <c r="K6525" s="2" t="s">
        <v>15805</v>
      </c>
      <c r="L6525" s="2" t="s">
        <v>31483</v>
      </c>
      <c r="M6525" s="2" t="s">
        <v>31506</v>
      </c>
      <c r="N6525" s="2" t="s">
        <v>31507</v>
      </c>
      <c r="O6525" s="2" t="s">
        <v>31508</v>
      </c>
      <c r="P6525" s="2" t="s">
        <v>869</v>
      </c>
    </row>
    <row r="6526" ht="15.75" customHeight="1">
      <c r="H6526" s="2" t="s">
        <v>31509</v>
      </c>
      <c r="I6526" s="2" t="s">
        <v>31510</v>
      </c>
      <c r="J6526" s="2" t="s">
        <v>31511</v>
      </c>
      <c r="K6526" s="2" t="s">
        <v>22104</v>
      </c>
      <c r="L6526" s="2" t="s">
        <v>31483</v>
      </c>
      <c r="M6526" s="2" t="s">
        <v>31512</v>
      </c>
      <c r="N6526" s="2" t="s">
        <v>31513</v>
      </c>
      <c r="O6526" s="2" t="s">
        <v>31514</v>
      </c>
      <c r="P6526" s="2" t="s">
        <v>869</v>
      </c>
    </row>
    <row r="6527" ht="15.75" customHeight="1">
      <c r="F6527" s="2" t="s">
        <v>74</v>
      </c>
      <c r="H6527" s="2" t="s">
        <v>31515</v>
      </c>
      <c r="I6527" s="2" t="s">
        <v>76</v>
      </c>
      <c r="J6527" s="2" t="s">
        <v>77</v>
      </c>
      <c r="K6527" s="2" t="s">
        <v>15779</v>
      </c>
      <c r="L6527" s="2" t="s">
        <v>31516</v>
      </c>
      <c r="M6527" s="2" t="s">
        <v>31517</v>
      </c>
      <c r="N6527" s="2" t="s">
        <v>31518</v>
      </c>
      <c r="O6527" s="2" t="s">
        <v>31519</v>
      </c>
      <c r="P6527" s="2" t="s">
        <v>31520</v>
      </c>
    </row>
    <row r="6528" ht="15.75" customHeight="1">
      <c r="H6528" s="2" t="s">
        <v>31521</v>
      </c>
      <c r="I6528" s="2" t="s">
        <v>31522</v>
      </c>
      <c r="J6528" s="2" t="s">
        <v>31523</v>
      </c>
      <c r="K6528" s="2" t="s">
        <v>15946</v>
      </c>
      <c r="L6528" s="2" t="s">
        <v>31483</v>
      </c>
      <c r="M6528" s="2" t="s">
        <v>31524</v>
      </c>
      <c r="N6528" s="2" t="s">
        <v>31525</v>
      </c>
      <c r="O6528" s="2" t="s">
        <v>31526</v>
      </c>
      <c r="P6528" s="2" t="s">
        <v>869</v>
      </c>
    </row>
    <row r="6529" ht="15.75" customHeight="1">
      <c r="H6529" s="2" t="s">
        <v>31527</v>
      </c>
      <c r="I6529" s="2" t="s">
        <v>18811</v>
      </c>
      <c r="J6529" s="2" t="s">
        <v>18812</v>
      </c>
      <c r="K6529" s="2" t="s">
        <v>25073</v>
      </c>
      <c r="L6529" s="2" t="s">
        <v>31483</v>
      </c>
      <c r="M6529" s="2" t="s">
        <v>31528</v>
      </c>
      <c r="N6529" s="2" t="s">
        <v>31529</v>
      </c>
      <c r="O6529" s="2" t="s">
        <v>869</v>
      </c>
      <c r="P6529" s="2" t="s">
        <v>870</v>
      </c>
    </row>
    <row r="6530" ht="15.75" customHeight="1">
      <c r="H6530" s="2" t="s">
        <v>31530</v>
      </c>
      <c r="I6530" s="2" t="s">
        <v>31531</v>
      </c>
      <c r="J6530" s="2" t="s">
        <v>31532</v>
      </c>
      <c r="K6530" s="2" t="s">
        <v>31113</v>
      </c>
      <c r="L6530" s="2" t="s">
        <v>31483</v>
      </c>
      <c r="M6530" s="2" t="s">
        <v>31533</v>
      </c>
      <c r="N6530" s="2" t="s">
        <v>31534</v>
      </c>
      <c r="O6530" s="2" t="s">
        <v>31535</v>
      </c>
      <c r="P6530" s="2" t="s">
        <v>869</v>
      </c>
    </row>
    <row r="6531" ht="15.75" customHeight="1">
      <c r="H6531" s="2" t="s">
        <v>31536</v>
      </c>
      <c r="I6531" s="2" t="s">
        <v>31537</v>
      </c>
      <c r="J6531" s="2" t="s">
        <v>31538</v>
      </c>
      <c r="K6531" s="2" t="s">
        <v>31539</v>
      </c>
      <c r="L6531" s="2" t="s">
        <v>31483</v>
      </c>
      <c r="M6531" s="2" t="s">
        <v>31540</v>
      </c>
      <c r="N6531" s="2" t="s">
        <v>31541</v>
      </c>
      <c r="O6531" s="2" t="s">
        <v>31542</v>
      </c>
      <c r="P6531" s="2" t="s">
        <v>869</v>
      </c>
    </row>
    <row r="6532" ht="15.75" customHeight="1">
      <c r="H6532" s="2" t="s">
        <v>31543</v>
      </c>
      <c r="I6532" s="2" t="s">
        <v>1000</v>
      </c>
      <c r="J6532" s="2" t="s">
        <v>1001</v>
      </c>
      <c r="K6532" s="2" t="s">
        <v>6006</v>
      </c>
      <c r="L6532" s="2" t="s">
        <v>31483</v>
      </c>
      <c r="M6532" s="2" t="s">
        <v>31544</v>
      </c>
      <c r="N6532" s="2" t="s">
        <v>31545</v>
      </c>
      <c r="O6532" s="2" t="s">
        <v>16247</v>
      </c>
      <c r="P6532" s="2" t="s">
        <v>869</v>
      </c>
    </row>
    <row r="6533" ht="15.75" customHeight="1">
      <c r="H6533" s="2" t="s">
        <v>31546</v>
      </c>
      <c r="I6533" s="2" t="s">
        <v>142</v>
      </c>
      <c r="J6533" s="2" t="s">
        <v>143</v>
      </c>
      <c r="K6533" s="2" t="s">
        <v>22060</v>
      </c>
      <c r="L6533" s="2" t="s">
        <v>31483</v>
      </c>
      <c r="M6533" s="2" t="s">
        <v>31547</v>
      </c>
      <c r="N6533" s="2" t="s">
        <v>31548</v>
      </c>
      <c r="O6533" s="2" t="s">
        <v>31549</v>
      </c>
      <c r="P6533" s="2" t="s">
        <v>869</v>
      </c>
    </row>
    <row r="6534" ht="15.75" customHeight="1">
      <c r="H6534" s="2" t="s">
        <v>31550</v>
      </c>
      <c r="I6534" s="2" t="s">
        <v>31551</v>
      </c>
      <c r="J6534" s="2" t="s">
        <v>31552</v>
      </c>
      <c r="K6534" s="2" t="s">
        <v>31553</v>
      </c>
      <c r="L6534" s="2" t="s">
        <v>31483</v>
      </c>
      <c r="M6534" s="2" t="s">
        <v>31554</v>
      </c>
      <c r="N6534" s="2" t="s">
        <v>31555</v>
      </c>
      <c r="O6534" s="2" t="s">
        <v>31556</v>
      </c>
      <c r="P6534" s="2" t="s">
        <v>31557</v>
      </c>
    </row>
    <row r="6535" ht="15.75" customHeight="1">
      <c r="H6535" s="2" t="s">
        <v>31558</v>
      </c>
      <c r="I6535" s="2" t="s">
        <v>1663</v>
      </c>
      <c r="J6535" s="2" t="s">
        <v>1664</v>
      </c>
      <c r="K6535" s="2" t="s">
        <v>24288</v>
      </c>
      <c r="L6535" s="2" t="s">
        <v>31483</v>
      </c>
      <c r="M6535" s="2" t="s">
        <v>31559</v>
      </c>
      <c r="N6535" s="2" t="s">
        <v>31560</v>
      </c>
      <c r="O6535" s="2" t="s">
        <v>31561</v>
      </c>
      <c r="P6535" s="2" t="s">
        <v>31562</v>
      </c>
    </row>
    <row r="6536" ht="15.75" customHeight="1">
      <c r="H6536" s="2" t="s">
        <v>31563</v>
      </c>
      <c r="I6536" s="2" t="s">
        <v>31564</v>
      </c>
      <c r="J6536" s="2" t="s">
        <v>31565</v>
      </c>
      <c r="K6536" s="2" t="s">
        <v>31566</v>
      </c>
      <c r="L6536" s="2" t="s">
        <v>31483</v>
      </c>
      <c r="M6536" s="2" t="s">
        <v>31567</v>
      </c>
      <c r="N6536" s="2" t="s">
        <v>31568</v>
      </c>
      <c r="O6536" s="2" t="s">
        <v>31569</v>
      </c>
      <c r="P6536" s="2" t="s">
        <v>869</v>
      </c>
    </row>
    <row r="6537" ht="15.75" customHeight="1">
      <c r="H6537" s="2" t="s">
        <v>31570</v>
      </c>
      <c r="I6537" s="2" t="s">
        <v>167</v>
      </c>
      <c r="J6537" s="2" t="s">
        <v>168</v>
      </c>
      <c r="K6537" s="2" t="s">
        <v>15784</v>
      </c>
      <c r="L6537" s="2" t="s">
        <v>31571</v>
      </c>
      <c r="M6537" s="2" t="s">
        <v>31572</v>
      </c>
      <c r="N6537" s="2" t="s">
        <v>31573</v>
      </c>
      <c r="O6537" s="2" t="s">
        <v>31574</v>
      </c>
      <c r="P6537" s="2" t="s">
        <v>31575</v>
      </c>
    </row>
    <row r="6538" ht="15.75" customHeight="1">
      <c r="H6538" s="2" t="s">
        <v>31576</v>
      </c>
      <c r="I6538" s="2" t="s">
        <v>176</v>
      </c>
      <c r="J6538" s="2" t="s">
        <v>177</v>
      </c>
      <c r="K6538" s="2" t="s">
        <v>6015</v>
      </c>
      <c r="L6538" s="2" t="s">
        <v>31577</v>
      </c>
      <c r="M6538" s="2" t="s">
        <v>31578</v>
      </c>
      <c r="N6538" s="2" t="s">
        <v>31579</v>
      </c>
      <c r="O6538" s="2" t="s">
        <v>31580</v>
      </c>
      <c r="P6538" s="2" t="s">
        <v>31581</v>
      </c>
    </row>
    <row r="6539" ht="15.75" customHeight="1">
      <c r="H6539" s="2" t="s">
        <v>31582</v>
      </c>
      <c r="I6539" s="2" t="s">
        <v>193</v>
      </c>
      <c r="J6539" s="2" t="s">
        <v>194</v>
      </c>
      <c r="K6539" s="2" t="s">
        <v>31583</v>
      </c>
      <c r="L6539" s="2" t="s">
        <v>31483</v>
      </c>
      <c r="M6539" s="2" t="s">
        <v>31584</v>
      </c>
      <c r="N6539" s="2" t="s">
        <v>31585</v>
      </c>
      <c r="O6539" s="2" t="s">
        <v>31586</v>
      </c>
      <c r="P6539" s="2" t="s">
        <v>869</v>
      </c>
    </row>
    <row r="6540" ht="15.75" customHeight="1">
      <c r="H6540" s="2" t="s">
        <v>31587</v>
      </c>
      <c r="I6540" s="2" t="s">
        <v>24320</v>
      </c>
      <c r="J6540" s="2" t="s">
        <v>24321</v>
      </c>
      <c r="K6540" s="2" t="s">
        <v>31588</v>
      </c>
      <c r="L6540" s="2" t="s">
        <v>31483</v>
      </c>
      <c r="M6540" s="2" t="s">
        <v>31589</v>
      </c>
      <c r="N6540" s="2" t="s">
        <v>31590</v>
      </c>
      <c r="O6540" s="2" t="s">
        <v>31591</v>
      </c>
      <c r="P6540" s="2" t="s">
        <v>869</v>
      </c>
    </row>
    <row r="6541" ht="15.75" customHeight="1">
      <c r="H6541" s="2" t="s">
        <v>31592</v>
      </c>
      <c r="I6541" s="2" t="s">
        <v>225</v>
      </c>
      <c r="J6541" s="2" t="s">
        <v>226</v>
      </c>
      <c r="K6541" s="2" t="s">
        <v>24160</v>
      </c>
      <c r="L6541" s="2" t="s">
        <v>31483</v>
      </c>
      <c r="M6541" s="2" t="s">
        <v>31593</v>
      </c>
      <c r="N6541" s="2" t="s">
        <v>31594</v>
      </c>
      <c r="O6541" s="2" t="s">
        <v>31595</v>
      </c>
      <c r="P6541" s="2" t="s">
        <v>869</v>
      </c>
    </row>
    <row r="6542" ht="15.75" customHeight="1">
      <c r="H6542" s="2" t="s">
        <v>31596</v>
      </c>
      <c r="I6542" s="2" t="s">
        <v>31597</v>
      </c>
      <c r="J6542" s="2" t="s">
        <v>31598</v>
      </c>
      <c r="K6542" s="2" t="s">
        <v>31599</v>
      </c>
      <c r="L6542" s="2" t="s">
        <v>31483</v>
      </c>
      <c r="M6542" s="2" t="s">
        <v>31600</v>
      </c>
      <c r="N6542" s="2" t="s">
        <v>31601</v>
      </c>
      <c r="O6542" s="2" t="s">
        <v>31602</v>
      </c>
      <c r="P6542" s="2" t="s">
        <v>869</v>
      </c>
    </row>
    <row r="6543" ht="15.75" customHeight="1">
      <c r="H6543" s="2" t="s">
        <v>31603</v>
      </c>
      <c r="I6543" s="2" t="s">
        <v>31604</v>
      </c>
      <c r="J6543" s="2" t="s">
        <v>31605</v>
      </c>
      <c r="K6543" s="2" t="s">
        <v>31606</v>
      </c>
      <c r="L6543" s="2" t="s">
        <v>31483</v>
      </c>
      <c r="M6543" s="2" t="s">
        <v>31607</v>
      </c>
      <c r="N6543" s="2" t="s">
        <v>31608</v>
      </c>
      <c r="O6543" s="2" t="s">
        <v>31609</v>
      </c>
      <c r="P6543" s="2" t="s">
        <v>869</v>
      </c>
    </row>
    <row r="6544" ht="15.75" customHeight="1">
      <c r="F6544" s="2" t="s">
        <v>265</v>
      </c>
      <c r="H6544" s="2" t="s">
        <v>31610</v>
      </c>
      <c r="I6544" s="2" t="s">
        <v>17220</v>
      </c>
      <c r="J6544" s="2" t="s">
        <v>17221</v>
      </c>
      <c r="K6544" s="2" t="s">
        <v>15946</v>
      </c>
      <c r="L6544" s="2" t="s">
        <v>31483</v>
      </c>
      <c r="M6544" s="2" t="s">
        <v>31611</v>
      </c>
      <c r="N6544" s="2" t="s">
        <v>31612</v>
      </c>
      <c r="O6544" s="2" t="s">
        <v>869</v>
      </c>
      <c r="P6544" s="2" t="s">
        <v>870</v>
      </c>
    </row>
    <row r="6545" ht="15.75" customHeight="1">
      <c r="H6545" s="2" t="s">
        <v>31613</v>
      </c>
      <c r="I6545" s="2" t="s">
        <v>267</v>
      </c>
      <c r="J6545" s="2" t="s">
        <v>268</v>
      </c>
      <c r="K6545" s="2" t="s">
        <v>6019</v>
      </c>
      <c r="L6545" s="2" t="s">
        <v>31483</v>
      </c>
      <c r="M6545" s="2" t="s">
        <v>31614</v>
      </c>
      <c r="N6545" s="2" t="s">
        <v>31615</v>
      </c>
      <c r="O6545" s="2" t="s">
        <v>31616</v>
      </c>
      <c r="P6545" s="2" t="s">
        <v>869</v>
      </c>
    </row>
    <row r="6546" ht="15.75" customHeight="1">
      <c r="H6546" s="2" t="s">
        <v>31617</v>
      </c>
      <c r="I6546" s="2" t="s">
        <v>31618</v>
      </c>
      <c r="J6546" s="2" t="s">
        <v>31619</v>
      </c>
      <c r="K6546" s="2" t="s">
        <v>25265</v>
      </c>
      <c r="L6546" s="2" t="s">
        <v>31483</v>
      </c>
      <c r="M6546" s="2" t="s">
        <v>31620</v>
      </c>
      <c r="N6546" s="2" t="s">
        <v>31621</v>
      </c>
      <c r="O6546" s="2" t="s">
        <v>31622</v>
      </c>
      <c r="P6546" s="2" t="s">
        <v>869</v>
      </c>
    </row>
    <row r="6547" ht="15.75" customHeight="1">
      <c r="H6547" s="2" t="s">
        <v>31623</v>
      </c>
      <c r="I6547" s="2" t="s">
        <v>1963</v>
      </c>
      <c r="J6547" s="2" t="s">
        <v>1964</v>
      </c>
      <c r="K6547" s="2" t="s">
        <v>31624</v>
      </c>
      <c r="L6547" s="2" t="s">
        <v>31483</v>
      </c>
      <c r="M6547" s="2" t="s">
        <v>31625</v>
      </c>
      <c r="N6547" s="2" t="s">
        <v>31626</v>
      </c>
      <c r="O6547" s="2" t="s">
        <v>31627</v>
      </c>
      <c r="P6547" s="2" t="s">
        <v>869</v>
      </c>
    </row>
    <row r="6548" ht="15.75" customHeight="1">
      <c r="F6548" s="2" t="s">
        <v>274</v>
      </c>
      <c r="H6548" s="2" t="s">
        <v>31628</v>
      </c>
      <c r="I6548" s="2" t="s">
        <v>279</v>
      </c>
      <c r="J6548" s="2" t="s">
        <v>274</v>
      </c>
      <c r="K6548" s="2" t="s">
        <v>280</v>
      </c>
    </row>
    <row r="6549" ht="15.75" customHeight="1">
      <c r="F6549" s="2" t="s">
        <v>284</v>
      </c>
      <c r="H6549" s="2" t="s">
        <v>31629</v>
      </c>
      <c r="I6549" s="2" t="s">
        <v>11959</v>
      </c>
      <c r="J6549" s="2" t="s">
        <v>11960</v>
      </c>
      <c r="K6549" s="2" t="s">
        <v>15796</v>
      </c>
      <c r="L6549" s="2" t="s">
        <v>31630</v>
      </c>
      <c r="M6549" s="2" t="s">
        <v>31631</v>
      </c>
      <c r="N6549" s="2" t="s">
        <v>31632</v>
      </c>
      <c r="O6549" s="2" t="s">
        <v>31633</v>
      </c>
      <c r="P6549" s="2" t="s">
        <v>31634</v>
      </c>
    </row>
    <row r="6550" ht="15.75" customHeight="1">
      <c r="H6550" s="2" t="s">
        <v>31635</v>
      </c>
      <c r="I6550" s="2" t="s">
        <v>286</v>
      </c>
      <c r="J6550" s="2" t="s">
        <v>287</v>
      </c>
      <c r="K6550" s="2" t="s">
        <v>15801</v>
      </c>
      <c r="L6550" s="2" t="s">
        <v>31636</v>
      </c>
      <c r="M6550" s="2" t="s">
        <v>31637</v>
      </c>
      <c r="N6550" s="2" t="s">
        <v>31638</v>
      </c>
      <c r="O6550" s="2" t="s">
        <v>31639</v>
      </c>
      <c r="P6550" s="2" t="s">
        <v>31640</v>
      </c>
    </row>
    <row r="6551" ht="15.75" customHeight="1">
      <c r="H6551" s="2" t="s">
        <v>31641</v>
      </c>
      <c r="I6551" s="2" t="s">
        <v>12601</v>
      </c>
      <c r="J6551" s="2" t="s">
        <v>12602</v>
      </c>
      <c r="K6551" s="2" t="s">
        <v>24368</v>
      </c>
      <c r="L6551" s="2" t="s">
        <v>31483</v>
      </c>
      <c r="M6551" s="2" t="s">
        <v>31642</v>
      </c>
      <c r="N6551" s="2" t="s">
        <v>31643</v>
      </c>
      <c r="O6551" s="2" t="s">
        <v>31644</v>
      </c>
      <c r="P6551" s="2" t="s">
        <v>869</v>
      </c>
    </row>
    <row r="6552" ht="15.75" customHeight="1">
      <c r="H6552" s="2" t="s">
        <v>31645</v>
      </c>
      <c r="I6552" s="2" t="s">
        <v>5889</v>
      </c>
      <c r="J6552" s="2" t="s">
        <v>5890</v>
      </c>
      <c r="K6552" s="2" t="s">
        <v>15805</v>
      </c>
      <c r="L6552" s="2" t="s">
        <v>31483</v>
      </c>
      <c r="M6552" s="2" t="s">
        <v>31646</v>
      </c>
      <c r="N6552" s="2" t="s">
        <v>31647</v>
      </c>
      <c r="O6552" s="2" t="s">
        <v>31648</v>
      </c>
      <c r="P6552" s="2" t="s">
        <v>869</v>
      </c>
    </row>
    <row r="6553" ht="15.75" customHeight="1">
      <c r="H6553" s="2" t="s">
        <v>31649</v>
      </c>
      <c r="I6553" s="2" t="s">
        <v>302</v>
      </c>
      <c r="J6553" s="2" t="s">
        <v>303</v>
      </c>
      <c r="K6553" s="2" t="s">
        <v>15796</v>
      </c>
      <c r="L6553" s="2" t="s">
        <v>31483</v>
      </c>
      <c r="M6553" s="2" t="s">
        <v>31650</v>
      </c>
      <c r="N6553" s="2" t="s">
        <v>31651</v>
      </c>
      <c r="O6553" s="2" t="s">
        <v>31652</v>
      </c>
      <c r="P6553" s="2" t="s">
        <v>869</v>
      </c>
    </row>
    <row r="6554" ht="15.75" customHeight="1">
      <c r="H6554" s="2" t="s">
        <v>31653</v>
      </c>
      <c r="I6554" s="2" t="s">
        <v>31654</v>
      </c>
      <c r="J6554" s="2" t="s">
        <v>31655</v>
      </c>
      <c r="K6554" s="2" t="s">
        <v>31656</v>
      </c>
      <c r="L6554" s="2" t="s">
        <v>31483</v>
      </c>
      <c r="M6554" s="2" t="s">
        <v>31657</v>
      </c>
      <c r="N6554" s="2" t="s">
        <v>31658</v>
      </c>
      <c r="O6554" s="2" t="s">
        <v>31659</v>
      </c>
      <c r="P6554" s="2" t="s">
        <v>869</v>
      </c>
    </row>
    <row r="6555" ht="15.75" customHeight="1">
      <c r="H6555" s="2" t="s">
        <v>31660</v>
      </c>
      <c r="I6555" s="2" t="s">
        <v>16049</v>
      </c>
      <c r="J6555" s="2" t="s">
        <v>16050</v>
      </c>
      <c r="K6555" s="2" t="s">
        <v>31661</v>
      </c>
      <c r="L6555" s="2" t="s">
        <v>31483</v>
      </c>
      <c r="M6555" s="2" t="s">
        <v>31662</v>
      </c>
      <c r="N6555" s="2" t="s">
        <v>31663</v>
      </c>
      <c r="O6555" s="2" t="s">
        <v>16262</v>
      </c>
      <c r="P6555" s="2" t="s">
        <v>869</v>
      </c>
    </row>
    <row r="6556" ht="15.75" customHeight="1">
      <c r="H6556" s="2" t="s">
        <v>31664</v>
      </c>
      <c r="I6556" s="2" t="s">
        <v>310</v>
      </c>
      <c r="J6556" s="2" t="s">
        <v>311</v>
      </c>
      <c r="K6556" s="2" t="s">
        <v>15809</v>
      </c>
      <c r="L6556" s="2" t="s">
        <v>31483</v>
      </c>
      <c r="M6556" s="2" t="s">
        <v>31665</v>
      </c>
      <c r="N6556" s="2" t="s">
        <v>31666</v>
      </c>
      <c r="O6556" s="2" t="s">
        <v>31667</v>
      </c>
      <c r="P6556" s="2" t="s">
        <v>31668</v>
      </c>
    </row>
    <row r="6557" ht="15.75" customHeight="1">
      <c r="H6557" s="2" t="s">
        <v>31669</v>
      </c>
      <c r="I6557" s="2" t="s">
        <v>2195</v>
      </c>
      <c r="J6557" s="2" t="s">
        <v>2196</v>
      </c>
      <c r="K6557" s="2" t="s">
        <v>24851</v>
      </c>
      <c r="L6557" s="2" t="s">
        <v>31670</v>
      </c>
      <c r="M6557" s="2" t="s">
        <v>31671</v>
      </c>
      <c r="N6557" s="2" t="s">
        <v>31672</v>
      </c>
      <c r="O6557" s="2" t="s">
        <v>31673</v>
      </c>
      <c r="P6557" s="2" t="s">
        <v>31674</v>
      </c>
    </row>
    <row r="6558" ht="15.75" customHeight="1">
      <c r="H6558" s="2" t="s">
        <v>31675</v>
      </c>
      <c r="I6558" s="2" t="s">
        <v>31676</v>
      </c>
      <c r="J6558" s="2" t="s">
        <v>31677</v>
      </c>
      <c r="K6558" s="2" t="s">
        <v>31678</v>
      </c>
      <c r="L6558" s="2" t="s">
        <v>31483</v>
      </c>
      <c r="M6558" s="2" t="s">
        <v>31679</v>
      </c>
      <c r="N6558" s="2" t="s">
        <v>31680</v>
      </c>
      <c r="O6558" s="2" t="s">
        <v>31681</v>
      </c>
      <c r="P6558" s="2" t="s">
        <v>869</v>
      </c>
    </row>
    <row r="6559" ht="15.75" customHeight="1">
      <c r="H6559" s="2" t="s">
        <v>31682</v>
      </c>
      <c r="I6559" s="2" t="s">
        <v>326</v>
      </c>
      <c r="J6559" s="2" t="s">
        <v>327</v>
      </c>
      <c r="K6559" s="2" t="s">
        <v>6068</v>
      </c>
      <c r="L6559" s="2" t="s">
        <v>31683</v>
      </c>
      <c r="M6559" s="2" t="s">
        <v>31684</v>
      </c>
      <c r="N6559" s="2" t="s">
        <v>31685</v>
      </c>
      <c r="O6559" s="2" t="s">
        <v>31686</v>
      </c>
      <c r="P6559" s="2" t="s">
        <v>31687</v>
      </c>
    </row>
    <row r="6560" ht="15.75" customHeight="1">
      <c r="H6560" s="2" t="s">
        <v>31688</v>
      </c>
      <c r="I6560" s="2" t="s">
        <v>6326</v>
      </c>
      <c r="J6560" s="2" t="s">
        <v>6327</v>
      </c>
      <c r="K6560" s="2" t="s">
        <v>6033</v>
      </c>
      <c r="L6560" s="2" t="s">
        <v>31483</v>
      </c>
      <c r="M6560" s="2" t="s">
        <v>31689</v>
      </c>
      <c r="N6560" s="2" t="s">
        <v>31690</v>
      </c>
      <c r="O6560" s="2" t="s">
        <v>31690</v>
      </c>
      <c r="P6560" s="2" t="s">
        <v>31691</v>
      </c>
    </row>
    <row r="6561" ht="15.75" customHeight="1">
      <c r="H6561" s="2" t="s">
        <v>31692</v>
      </c>
      <c r="I6561" s="2" t="s">
        <v>31693</v>
      </c>
      <c r="J6561" s="2" t="s">
        <v>31694</v>
      </c>
      <c r="K6561" s="2" t="s">
        <v>31695</v>
      </c>
      <c r="L6561" s="2" t="s">
        <v>31483</v>
      </c>
      <c r="M6561" s="2" t="s">
        <v>31696</v>
      </c>
      <c r="N6561" s="2" t="s">
        <v>31697</v>
      </c>
      <c r="O6561" s="2" t="s">
        <v>869</v>
      </c>
      <c r="P6561" s="2" t="s">
        <v>870</v>
      </c>
    </row>
    <row r="6562" ht="15.75" customHeight="1">
      <c r="H6562" s="2" t="s">
        <v>31698</v>
      </c>
      <c r="I6562" s="2" t="s">
        <v>352</v>
      </c>
      <c r="J6562" s="2" t="s">
        <v>353</v>
      </c>
      <c r="K6562" s="2" t="s">
        <v>15827</v>
      </c>
      <c r="L6562" s="2" t="s">
        <v>31483</v>
      </c>
      <c r="M6562" s="2" t="s">
        <v>31699</v>
      </c>
      <c r="N6562" s="2" t="s">
        <v>31700</v>
      </c>
      <c r="O6562" s="2" t="s">
        <v>31701</v>
      </c>
      <c r="P6562" s="2" t="s">
        <v>31702</v>
      </c>
    </row>
    <row r="6563" ht="15.75" customHeight="1">
      <c r="H6563" s="2" t="s">
        <v>31703</v>
      </c>
      <c r="I6563" s="2" t="s">
        <v>31704</v>
      </c>
      <c r="J6563" s="2" t="s">
        <v>31705</v>
      </c>
      <c r="K6563" s="2" t="s">
        <v>31706</v>
      </c>
      <c r="L6563" s="2" t="s">
        <v>31483</v>
      </c>
      <c r="M6563" s="2" t="s">
        <v>31707</v>
      </c>
      <c r="N6563" s="2" t="s">
        <v>31708</v>
      </c>
      <c r="O6563" s="2" t="s">
        <v>31709</v>
      </c>
      <c r="P6563" s="2" t="s">
        <v>31710</v>
      </c>
    </row>
    <row r="6564" ht="15.75" customHeight="1">
      <c r="H6564" s="2" t="s">
        <v>31711</v>
      </c>
      <c r="I6564" s="2" t="s">
        <v>415</v>
      </c>
      <c r="J6564" s="2" t="s">
        <v>416</v>
      </c>
      <c r="K6564" s="2" t="s">
        <v>15831</v>
      </c>
      <c r="L6564" s="2" t="s">
        <v>31483</v>
      </c>
      <c r="M6564" s="2" t="s">
        <v>31712</v>
      </c>
      <c r="N6564" s="2" t="s">
        <v>31713</v>
      </c>
      <c r="O6564" s="2" t="s">
        <v>31714</v>
      </c>
      <c r="P6564" s="2" t="s">
        <v>869</v>
      </c>
    </row>
    <row r="6565" ht="15.75" customHeight="1">
      <c r="H6565" s="2" t="s">
        <v>31715</v>
      </c>
      <c r="I6565" s="2" t="s">
        <v>5459</v>
      </c>
      <c r="J6565" s="2" t="s">
        <v>5460</v>
      </c>
      <c r="K6565" s="2" t="s">
        <v>15784</v>
      </c>
      <c r="L6565" s="2" t="s">
        <v>31483</v>
      </c>
      <c r="M6565" s="2" t="s">
        <v>31716</v>
      </c>
      <c r="N6565" s="2" t="s">
        <v>31717</v>
      </c>
      <c r="O6565" s="2" t="s">
        <v>15954</v>
      </c>
      <c r="P6565" s="2" t="s">
        <v>869</v>
      </c>
    </row>
    <row r="6566" ht="15.75" customHeight="1">
      <c r="H6566" s="2" t="s">
        <v>31718</v>
      </c>
      <c r="I6566" s="2" t="s">
        <v>432</v>
      </c>
      <c r="J6566" s="2" t="s">
        <v>433</v>
      </c>
      <c r="K6566" s="2" t="s">
        <v>15827</v>
      </c>
      <c r="L6566" s="2" t="s">
        <v>31483</v>
      </c>
      <c r="M6566" s="2" t="s">
        <v>31719</v>
      </c>
      <c r="N6566" s="2" t="s">
        <v>31720</v>
      </c>
      <c r="O6566" s="2" t="s">
        <v>31721</v>
      </c>
      <c r="P6566" s="2" t="s">
        <v>31722</v>
      </c>
    </row>
    <row r="6567" ht="15.75" customHeight="1">
      <c r="H6567" s="2" t="s">
        <v>31723</v>
      </c>
      <c r="I6567" s="2" t="s">
        <v>440</v>
      </c>
      <c r="J6567" s="2" t="s">
        <v>441</v>
      </c>
      <c r="K6567" s="2" t="s">
        <v>24907</v>
      </c>
      <c r="L6567" s="2" t="s">
        <v>31483</v>
      </c>
      <c r="M6567" s="2" t="s">
        <v>31724</v>
      </c>
      <c r="N6567" s="2" t="s">
        <v>31725</v>
      </c>
      <c r="O6567" s="2" t="s">
        <v>31726</v>
      </c>
      <c r="P6567" s="2" t="s">
        <v>869</v>
      </c>
    </row>
    <row r="6568" ht="15.75" customHeight="1">
      <c r="H6568" s="2" t="s">
        <v>31727</v>
      </c>
      <c r="I6568" s="2" t="s">
        <v>2303</v>
      </c>
      <c r="J6568" s="2" t="s">
        <v>2304</v>
      </c>
      <c r="K6568" s="2" t="s">
        <v>31728</v>
      </c>
      <c r="L6568" s="2" t="s">
        <v>31483</v>
      </c>
      <c r="M6568" s="2" t="s">
        <v>31729</v>
      </c>
      <c r="N6568" s="2" t="s">
        <v>31730</v>
      </c>
      <c r="O6568" s="2" t="s">
        <v>31731</v>
      </c>
      <c r="P6568" s="2" t="s">
        <v>869</v>
      </c>
    </row>
    <row r="6569" ht="15.75" customHeight="1">
      <c r="H6569" s="2" t="s">
        <v>31732</v>
      </c>
      <c r="I6569" s="2" t="s">
        <v>662</v>
      </c>
      <c r="J6569" s="2" t="s">
        <v>663</v>
      </c>
      <c r="K6569" s="2" t="s">
        <v>24924</v>
      </c>
      <c r="L6569" s="2" t="s">
        <v>31733</v>
      </c>
      <c r="M6569" s="2" t="s">
        <v>31734</v>
      </c>
      <c r="N6569" s="2" t="s">
        <v>31735</v>
      </c>
      <c r="O6569" s="2" t="s">
        <v>31736</v>
      </c>
      <c r="P6569" s="2" t="s">
        <v>31737</v>
      </c>
    </row>
    <row r="6570" ht="15.75" customHeight="1">
      <c r="H6570" s="2" t="s">
        <v>31738</v>
      </c>
      <c r="I6570" s="2" t="s">
        <v>458</v>
      </c>
      <c r="J6570" s="2" t="s">
        <v>459</v>
      </c>
      <c r="K6570" s="2" t="s">
        <v>15841</v>
      </c>
      <c r="L6570" s="2" t="s">
        <v>31483</v>
      </c>
      <c r="M6570" s="2" t="s">
        <v>31739</v>
      </c>
      <c r="N6570" s="2" t="s">
        <v>31740</v>
      </c>
      <c r="O6570" s="2" t="s">
        <v>31741</v>
      </c>
      <c r="P6570" s="2" t="s">
        <v>31742</v>
      </c>
    </row>
    <row r="6571" ht="15.75" customHeight="1">
      <c r="H6571" s="2" t="s">
        <v>31743</v>
      </c>
      <c r="I6571" s="2" t="s">
        <v>31744</v>
      </c>
      <c r="J6571" s="2" t="s">
        <v>31745</v>
      </c>
      <c r="K6571" s="2" t="s">
        <v>24930</v>
      </c>
      <c r="L6571" s="2" t="s">
        <v>31483</v>
      </c>
      <c r="M6571" s="2" t="s">
        <v>31746</v>
      </c>
      <c r="N6571" s="2" t="s">
        <v>31747</v>
      </c>
      <c r="O6571" s="2" t="s">
        <v>31748</v>
      </c>
      <c r="P6571" s="2" t="s">
        <v>31749</v>
      </c>
    </row>
    <row r="6572" ht="15.75" customHeight="1">
      <c r="H6572" s="2" t="s">
        <v>31750</v>
      </c>
      <c r="I6572" s="2" t="s">
        <v>2357</v>
      </c>
      <c r="J6572" s="2" t="s">
        <v>2358</v>
      </c>
      <c r="K6572" s="2" t="s">
        <v>24940</v>
      </c>
      <c r="L6572" s="2" t="s">
        <v>31483</v>
      </c>
      <c r="M6572" s="2" t="s">
        <v>31751</v>
      </c>
      <c r="N6572" s="2" t="s">
        <v>31752</v>
      </c>
      <c r="O6572" s="2" t="s">
        <v>31753</v>
      </c>
      <c r="P6572" s="2" t="s">
        <v>31754</v>
      </c>
    </row>
    <row r="6573" ht="15.75" customHeight="1">
      <c r="H6573" s="2" t="s">
        <v>31755</v>
      </c>
      <c r="I6573" s="2" t="s">
        <v>485</v>
      </c>
      <c r="J6573" s="2" t="s">
        <v>486</v>
      </c>
      <c r="K6573" s="2" t="s">
        <v>15792</v>
      </c>
      <c r="L6573" s="2" t="s">
        <v>31756</v>
      </c>
      <c r="M6573" s="2" t="s">
        <v>31757</v>
      </c>
      <c r="N6573" s="2" t="s">
        <v>31758</v>
      </c>
      <c r="O6573" s="2" t="s">
        <v>31759</v>
      </c>
      <c r="P6573" s="2" t="s">
        <v>31760</v>
      </c>
    </row>
    <row r="6574" ht="15.75" customHeight="1">
      <c r="H6574" s="2" t="s">
        <v>31761</v>
      </c>
      <c r="I6574" s="2" t="s">
        <v>2406</v>
      </c>
      <c r="J6574" s="2" t="s">
        <v>2407</v>
      </c>
      <c r="K6574" s="2" t="s">
        <v>31762</v>
      </c>
      <c r="L6574" s="2" t="s">
        <v>31483</v>
      </c>
      <c r="M6574" s="2" t="s">
        <v>31763</v>
      </c>
      <c r="N6574" s="2" t="s">
        <v>31764</v>
      </c>
      <c r="O6574" s="2" t="s">
        <v>31765</v>
      </c>
      <c r="P6574" s="2" t="s">
        <v>869</v>
      </c>
    </row>
    <row r="6575" ht="15.75" customHeight="1">
      <c r="H6575" s="2" t="s">
        <v>31766</v>
      </c>
      <c r="I6575" s="2" t="s">
        <v>31767</v>
      </c>
      <c r="J6575" s="2" t="s">
        <v>31768</v>
      </c>
      <c r="K6575" s="2" t="s">
        <v>6087</v>
      </c>
      <c r="L6575" s="2" t="s">
        <v>31483</v>
      </c>
      <c r="M6575" s="2" t="s">
        <v>31769</v>
      </c>
      <c r="N6575" s="2" t="s">
        <v>31770</v>
      </c>
      <c r="O6575" s="2" t="s">
        <v>31771</v>
      </c>
      <c r="P6575" s="2" t="s">
        <v>869</v>
      </c>
    </row>
    <row r="6576" ht="15.75" customHeight="1">
      <c r="H6576" s="2" t="s">
        <v>31772</v>
      </c>
      <c r="I6576" s="2" t="s">
        <v>510</v>
      </c>
      <c r="J6576" s="2" t="s">
        <v>511</v>
      </c>
      <c r="K6576" s="2" t="s">
        <v>31277</v>
      </c>
      <c r="L6576" s="2" t="s">
        <v>31483</v>
      </c>
      <c r="M6576" s="2" t="s">
        <v>31773</v>
      </c>
      <c r="N6576" s="2" t="s">
        <v>31774</v>
      </c>
      <c r="O6576" s="2" t="s">
        <v>31775</v>
      </c>
      <c r="P6576" s="2" t="s">
        <v>869</v>
      </c>
    </row>
    <row r="6577" ht="15.75" customHeight="1">
      <c r="H6577" s="2" t="s">
        <v>31776</v>
      </c>
      <c r="I6577" s="2" t="s">
        <v>526</v>
      </c>
      <c r="J6577" s="2" t="s">
        <v>527</v>
      </c>
      <c r="K6577" s="2" t="s">
        <v>24084</v>
      </c>
      <c r="L6577" s="2" t="s">
        <v>31777</v>
      </c>
      <c r="M6577" s="2" t="s">
        <v>31778</v>
      </c>
      <c r="N6577" s="2" t="s">
        <v>31779</v>
      </c>
      <c r="O6577" s="2" t="s">
        <v>31780</v>
      </c>
      <c r="P6577" s="2" t="s">
        <v>31781</v>
      </c>
    </row>
    <row r="6578" ht="15.75" customHeight="1">
      <c r="F6578" s="2" t="s">
        <v>2508</v>
      </c>
      <c r="H6578" s="2" t="s">
        <v>31782</v>
      </c>
      <c r="I6578" s="2" t="s">
        <v>31783</v>
      </c>
      <c r="J6578" s="2" t="s">
        <v>31784</v>
      </c>
      <c r="K6578" s="2" t="s">
        <v>3298</v>
      </c>
    </row>
    <row r="6579" ht="15.75" customHeight="1">
      <c r="F6579" s="2" t="s">
        <v>534</v>
      </c>
      <c r="H6579" s="2" t="s">
        <v>31785</v>
      </c>
      <c r="I6579" s="2" t="s">
        <v>31786</v>
      </c>
      <c r="J6579" s="2" t="s">
        <v>31786</v>
      </c>
      <c r="K6579" s="2" t="s">
        <v>31787</v>
      </c>
    </row>
    <row r="6580" ht="15.75" customHeight="1">
      <c r="H6580" s="2" t="s">
        <v>31788</v>
      </c>
      <c r="I6580" s="2" t="s">
        <v>536</v>
      </c>
      <c r="J6580" s="2" t="s">
        <v>537</v>
      </c>
      <c r="K6580" s="2" t="s">
        <v>538</v>
      </c>
    </row>
    <row r="6581" ht="15.75" customHeight="1">
      <c r="F6581" s="2" t="s">
        <v>539</v>
      </c>
      <c r="H6581" s="2" t="s">
        <v>31789</v>
      </c>
      <c r="I6581" s="2" t="s">
        <v>541</v>
      </c>
      <c r="J6581" s="2" t="s">
        <v>542</v>
      </c>
      <c r="K6581" s="2" t="s">
        <v>6046</v>
      </c>
      <c r="L6581" s="2" t="s">
        <v>31483</v>
      </c>
      <c r="M6581" s="2" t="s">
        <v>31790</v>
      </c>
      <c r="N6581" s="2" t="s">
        <v>31791</v>
      </c>
      <c r="O6581" s="2" t="s">
        <v>31792</v>
      </c>
      <c r="P6581" s="2" t="s">
        <v>869</v>
      </c>
    </row>
    <row r="6582" ht="15.75" customHeight="1">
      <c r="F6582" s="2" t="s">
        <v>2693</v>
      </c>
      <c r="H6582" s="2" t="s">
        <v>31793</v>
      </c>
      <c r="I6582" s="2" t="s">
        <v>12786</v>
      </c>
      <c r="J6582" s="2" t="s">
        <v>12787</v>
      </c>
      <c r="K6582" s="2" t="s">
        <v>31794</v>
      </c>
      <c r="L6582" s="2" t="s">
        <v>31483</v>
      </c>
      <c r="M6582" s="2" t="s">
        <v>31795</v>
      </c>
      <c r="N6582" s="2" t="s">
        <v>31796</v>
      </c>
      <c r="O6582" s="2" t="s">
        <v>31797</v>
      </c>
      <c r="P6582" s="2" t="s">
        <v>869</v>
      </c>
    </row>
    <row r="6583" ht="15.75" customHeight="1">
      <c r="F6583" s="2" t="s">
        <v>598</v>
      </c>
      <c r="H6583" s="2" t="s">
        <v>31798</v>
      </c>
      <c r="I6583" s="2" t="s">
        <v>31799</v>
      </c>
      <c r="J6583" s="2" t="s">
        <v>31800</v>
      </c>
      <c r="K6583" s="2" t="s">
        <v>996</v>
      </c>
      <c r="L6583" s="2" t="s">
        <v>31483</v>
      </c>
      <c r="M6583" s="2" t="s">
        <v>31801</v>
      </c>
      <c r="N6583" s="2" t="s">
        <v>31802</v>
      </c>
      <c r="O6583" s="2" t="s">
        <v>869</v>
      </c>
      <c r="P6583" s="2" t="s">
        <v>870</v>
      </c>
    </row>
    <row r="6584" ht="15.75" customHeight="1">
      <c r="H6584" s="2" t="s">
        <v>31803</v>
      </c>
      <c r="I6584" s="2" t="s">
        <v>608</v>
      </c>
      <c r="J6584" s="2" t="s">
        <v>609</v>
      </c>
      <c r="K6584" s="2" t="s">
        <v>15868</v>
      </c>
      <c r="L6584" s="2" t="s">
        <v>31483</v>
      </c>
      <c r="M6584" s="2" t="s">
        <v>31804</v>
      </c>
      <c r="N6584" s="2" t="s">
        <v>31805</v>
      </c>
      <c r="O6584" s="2" t="s">
        <v>31806</v>
      </c>
      <c r="P6584" s="2" t="s">
        <v>869</v>
      </c>
    </row>
    <row r="6585" ht="15.75" customHeight="1">
      <c r="H6585" s="2" t="s">
        <v>31807</v>
      </c>
      <c r="I6585" s="2" t="s">
        <v>31808</v>
      </c>
      <c r="J6585" s="2" t="s">
        <v>31809</v>
      </c>
      <c r="K6585" s="2" t="s">
        <v>31810</v>
      </c>
      <c r="L6585" s="2" t="s">
        <v>31483</v>
      </c>
      <c r="M6585" s="2" t="s">
        <v>31811</v>
      </c>
      <c r="N6585" s="2" t="s">
        <v>31812</v>
      </c>
      <c r="O6585" s="2" t="s">
        <v>31813</v>
      </c>
      <c r="P6585" s="2" t="s">
        <v>869</v>
      </c>
    </row>
    <row r="6586" ht="15.75" customHeight="1">
      <c r="H6586" s="2" t="s">
        <v>31814</v>
      </c>
      <c r="I6586" s="2" t="s">
        <v>8761</v>
      </c>
      <c r="J6586" s="2" t="s">
        <v>8762</v>
      </c>
      <c r="K6586" s="2" t="s">
        <v>15872</v>
      </c>
      <c r="L6586" s="2" t="s">
        <v>31483</v>
      </c>
      <c r="M6586" s="2" t="s">
        <v>31815</v>
      </c>
      <c r="N6586" s="2" t="s">
        <v>31816</v>
      </c>
      <c r="O6586" s="2" t="s">
        <v>31813</v>
      </c>
      <c r="P6586" s="2" t="s">
        <v>869</v>
      </c>
    </row>
    <row r="6587" ht="15.75" customHeight="1">
      <c r="F6587" s="2" t="s">
        <v>624</v>
      </c>
      <c r="H6587" s="2" t="s">
        <v>31817</v>
      </c>
      <c r="I6587" s="2" t="s">
        <v>626</v>
      </c>
      <c r="J6587" s="2" t="s">
        <v>627</v>
      </c>
      <c r="K6587" s="2" t="s">
        <v>6058</v>
      </c>
      <c r="L6587" s="2" t="s">
        <v>31818</v>
      </c>
      <c r="M6587" s="2" t="s">
        <v>31819</v>
      </c>
      <c r="N6587" s="2" t="s">
        <v>31820</v>
      </c>
      <c r="O6587" s="2" t="s">
        <v>31821</v>
      </c>
      <c r="P6587" s="2" t="s">
        <v>31822</v>
      </c>
    </row>
    <row r="6588" ht="15.75" customHeight="1">
      <c r="H6588" s="2" t="s">
        <v>31823</v>
      </c>
      <c r="I6588" s="2" t="s">
        <v>9107</v>
      </c>
      <c r="J6588" s="2" t="s">
        <v>9108</v>
      </c>
      <c r="K6588" s="2" t="s">
        <v>24878</v>
      </c>
      <c r="L6588" s="2" t="s">
        <v>31483</v>
      </c>
      <c r="M6588" s="2" t="s">
        <v>31824</v>
      </c>
      <c r="N6588" s="2" t="s">
        <v>31825</v>
      </c>
      <c r="O6588" s="2" t="s">
        <v>31826</v>
      </c>
      <c r="P6588" s="2" t="s">
        <v>869</v>
      </c>
    </row>
    <row r="6589" ht="15.75" customHeight="1">
      <c r="F6589" s="2" t="s">
        <v>703</v>
      </c>
      <c r="H6589" s="2" t="s">
        <v>31827</v>
      </c>
      <c r="I6589" s="2" t="s">
        <v>12901</v>
      </c>
      <c r="J6589" s="2" t="s">
        <v>12902</v>
      </c>
      <c r="K6589" s="2" t="s">
        <v>31828</v>
      </c>
      <c r="L6589" s="2" t="s">
        <v>31483</v>
      </c>
      <c r="M6589" s="2" t="s">
        <v>31829</v>
      </c>
      <c r="N6589" s="2" t="s">
        <v>31830</v>
      </c>
      <c r="O6589" s="2" t="s">
        <v>31831</v>
      </c>
      <c r="P6589" s="2" t="s">
        <v>869</v>
      </c>
    </row>
    <row r="6590" ht="15.75" customHeight="1">
      <c r="H6590" s="2" t="s">
        <v>31832</v>
      </c>
      <c r="I6590" s="2" t="s">
        <v>17593</v>
      </c>
      <c r="J6590" s="2" t="s">
        <v>17594</v>
      </c>
      <c r="K6590" s="2" t="s">
        <v>6050</v>
      </c>
      <c r="L6590" s="2" t="s">
        <v>31483</v>
      </c>
      <c r="M6590" s="2" t="s">
        <v>31833</v>
      </c>
      <c r="N6590" s="2" t="s">
        <v>31834</v>
      </c>
      <c r="O6590" s="2" t="s">
        <v>31835</v>
      </c>
      <c r="P6590" s="2" t="s">
        <v>31836</v>
      </c>
    </row>
    <row r="6591" ht="15.75" customHeight="1">
      <c r="H6591" s="2" t="s">
        <v>31837</v>
      </c>
      <c r="I6591" s="2" t="s">
        <v>31838</v>
      </c>
      <c r="J6591" s="2" t="s">
        <v>31839</v>
      </c>
      <c r="K6591" s="2" t="s">
        <v>31840</v>
      </c>
      <c r="L6591" s="2" t="s">
        <v>31483</v>
      </c>
      <c r="M6591" s="2" t="s">
        <v>31841</v>
      </c>
      <c r="N6591" s="2" t="s">
        <v>31842</v>
      </c>
      <c r="O6591" s="2" t="s">
        <v>31843</v>
      </c>
      <c r="P6591" s="2" t="s">
        <v>869</v>
      </c>
    </row>
    <row r="6592" ht="15.75" customHeight="1">
      <c r="H6592" s="2" t="s">
        <v>31844</v>
      </c>
      <c r="I6592" s="2" t="s">
        <v>713</v>
      </c>
      <c r="J6592" s="2" t="s">
        <v>714</v>
      </c>
      <c r="K6592" s="2" t="s">
        <v>15809</v>
      </c>
      <c r="L6592" s="2" t="s">
        <v>31845</v>
      </c>
      <c r="M6592" s="2" t="s">
        <v>31846</v>
      </c>
      <c r="N6592" s="2" t="s">
        <v>31847</v>
      </c>
      <c r="O6592" s="2" t="s">
        <v>14239</v>
      </c>
      <c r="P6592" s="2" t="s">
        <v>869</v>
      </c>
    </row>
    <row r="6593" ht="15.75" customHeight="1">
      <c r="H6593" s="2" t="s">
        <v>31848</v>
      </c>
      <c r="I6593" s="2" t="s">
        <v>4060</v>
      </c>
      <c r="J6593" s="2" t="s">
        <v>4061</v>
      </c>
      <c r="K6593" s="2" t="s">
        <v>31469</v>
      </c>
      <c r="L6593" s="2" t="s">
        <v>31483</v>
      </c>
      <c r="M6593" s="2" t="s">
        <v>31849</v>
      </c>
      <c r="N6593" s="2" t="s">
        <v>31850</v>
      </c>
      <c r="O6593" s="2" t="s">
        <v>31851</v>
      </c>
      <c r="P6593" s="2" t="s">
        <v>869</v>
      </c>
    </row>
    <row r="6594" ht="15.75" customHeight="1">
      <c r="F6594" s="2" t="s">
        <v>728</v>
      </c>
      <c r="H6594" s="2" t="s">
        <v>31852</v>
      </c>
      <c r="I6594" s="2" t="s">
        <v>15631</v>
      </c>
      <c r="J6594" s="2" t="s">
        <v>15632</v>
      </c>
      <c r="K6594" s="2" t="s">
        <v>31853</v>
      </c>
      <c r="L6594" s="2" t="s">
        <v>31483</v>
      </c>
      <c r="M6594" s="2" t="s">
        <v>31854</v>
      </c>
      <c r="N6594" s="2" t="s">
        <v>31855</v>
      </c>
      <c r="O6594" s="2" t="s">
        <v>31856</v>
      </c>
      <c r="P6594" s="2" t="s">
        <v>31857</v>
      </c>
    </row>
    <row r="6595" ht="15.75" customHeight="1">
      <c r="H6595" s="2" t="s">
        <v>31858</v>
      </c>
      <c r="I6595" s="2" t="s">
        <v>31859</v>
      </c>
      <c r="J6595" s="2" t="s">
        <v>31860</v>
      </c>
      <c r="K6595" s="2" t="s">
        <v>6087</v>
      </c>
      <c r="L6595" s="2" t="s">
        <v>31483</v>
      </c>
      <c r="M6595" s="2" t="s">
        <v>31861</v>
      </c>
      <c r="N6595" s="2" t="s">
        <v>31862</v>
      </c>
      <c r="O6595" s="2" t="s">
        <v>31863</v>
      </c>
      <c r="P6595" s="2" t="s">
        <v>869</v>
      </c>
    </row>
    <row r="6596" ht="15.75" customHeight="1">
      <c r="F6596" s="2" t="s">
        <v>746</v>
      </c>
      <c r="H6596" s="2" t="s">
        <v>31864</v>
      </c>
      <c r="I6596" s="2" t="s">
        <v>4282</v>
      </c>
      <c r="J6596" s="2" t="s">
        <v>4283</v>
      </c>
      <c r="K6596" s="2" t="s">
        <v>6046</v>
      </c>
      <c r="L6596" s="2" t="s">
        <v>31483</v>
      </c>
      <c r="M6596" s="2" t="s">
        <v>31865</v>
      </c>
      <c r="N6596" s="2" t="s">
        <v>31866</v>
      </c>
      <c r="O6596" s="2" t="s">
        <v>31867</v>
      </c>
      <c r="P6596" s="2" t="s">
        <v>869</v>
      </c>
    </row>
    <row r="6597" ht="15.75" customHeight="1">
      <c r="H6597" s="2" t="s">
        <v>31868</v>
      </c>
      <c r="I6597" s="2" t="s">
        <v>14646</v>
      </c>
      <c r="J6597" s="2" t="s">
        <v>14647</v>
      </c>
      <c r="K6597" s="2" t="s">
        <v>31869</v>
      </c>
      <c r="L6597" s="2" t="s">
        <v>31483</v>
      </c>
      <c r="M6597" s="2" t="s">
        <v>31870</v>
      </c>
      <c r="N6597" s="2" t="s">
        <v>31871</v>
      </c>
      <c r="O6597" s="2" t="s">
        <v>31872</v>
      </c>
      <c r="P6597" s="2" t="s">
        <v>869</v>
      </c>
    </row>
    <row r="6598" ht="15.75" customHeight="1">
      <c r="F6598" s="2" t="s">
        <v>755</v>
      </c>
      <c r="H6598" s="2" t="s">
        <v>31873</v>
      </c>
      <c r="I6598" s="2" t="s">
        <v>757</v>
      </c>
      <c r="J6598" s="2" t="s">
        <v>758</v>
      </c>
      <c r="K6598" s="2" t="s">
        <v>6006</v>
      </c>
      <c r="L6598" s="2" t="s">
        <v>31874</v>
      </c>
      <c r="M6598" s="2" t="s">
        <v>31875</v>
      </c>
      <c r="N6598" s="2" t="s">
        <v>31876</v>
      </c>
      <c r="O6598" s="2" t="s">
        <v>31877</v>
      </c>
      <c r="P6598" s="2" t="s">
        <v>31878</v>
      </c>
    </row>
    <row r="6599" ht="15.75" customHeight="1">
      <c r="F6599" s="2" t="s">
        <v>773</v>
      </c>
      <c r="H6599" s="2" t="s">
        <v>31879</v>
      </c>
      <c r="I6599" s="2" t="s">
        <v>4790</v>
      </c>
      <c r="J6599" s="2" t="s">
        <v>4791</v>
      </c>
      <c r="K6599" s="2" t="s">
        <v>24137</v>
      </c>
      <c r="L6599" s="2" t="s">
        <v>31483</v>
      </c>
      <c r="M6599" s="2" t="s">
        <v>31880</v>
      </c>
      <c r="N6599" s="2" t="s">
        <v>31881</v>
      </c>
      <c r="O6599" s="2" t="s">
        <v>869</v>
      </c>
      <c r="P6599" s="2" t="s">
        <v>870</v>
      </c>
    </row>
    <row r="6600" ht="15.75" customHeight="1">
      <c r="H6600" s="2" t="s">
        <v>31882</v>
      </c>
      <c r="I6600" s="2" t="s">
        <v>775</v>
      </c>
      <c r="J6600" s="2" t="s">
        <v>776</v>
      </c>
      <c r="K6600" s="2" t="s">
        <v>22055</v>
      </c>
      <c r="L6600" s="2" t="s">
        <v>31483</v>
      </c>
      <c r="M6600" s="2" t="s">
        <v>31883</v>
      </c>
      <c r="N6600" s="2" t="s">
        <v>31884</v>
      </c>
      <c r="O6600" s="2" t="s">
        <v>31885</v>
      </c>
      <c r="P6600" s="2" t="s">
        <v>31886</v>
      </c>
    </row>
    <row r="6601" ht="15.75" customHeight="1">
      <c r="F6601" s="2" t="s">
        <v>782</v>
      </c>
      <c r="H6601" s="2" t="s">
        <v>31887</v>
      </c>
      <c r="I6601" s="2" t="s">
        <v>4875</v>
      </c>
      <c r="J6601" s="2" t="s">
        <v>4876</v>
      </c>
      <c r="K6601" s="2" t="s">
        <v>15801</v>
      </c>
      <c r="L6601" s="2" t="s">
        <v>31483</v>
      </c>
      <c r="M6601" s="2" t="s">
        <v>31888</v>
      </c>
      <c r="N6601" s="2" t="s">
        <v>31889</v>
      </c>
      <c r="O6601" s="2" t="s">
        <v>31890</v>
      </c>
      <c r="P6601" s="2" t="s">
        <v>31891</v>
      </c>
    </row>
    <row r="6602" ht="15.75" customHeight="1">
      <c r="H6602" s="2" t="s">
        <v>31892</v>
      </c>
      <c r="I6602" s="2" t="s">
        <v>12989</v>
      </c>
      <c r="J6602" s="2" t="s">
        <v>12990</v>
      </c>
      <c r="K6602" s="2" t="s">
        <v>24632</v>
      </c>
      <c r="L6602" s="2" t="s">
        <v>31483</v>
      </c>
      <c r="M6602" s="2" t="s">
        <v>31893</v>
      </c>
      <c r="N6602" s="2" t="s">
        <v>31894</v>
      </c>
      <c r="O6602" s="2" t="s">
        <v>31895</v>
      </c>
      <c r="P6602" s="2" t="s">
        <v>869</v>
      </c>
    </row>
    <row r="6603" ht="15.75" customHeight="1">
      <c r="H6603" s="2" t="s">
        <v>31896</v>
      </c>
      <c r="I6603" s="2" t="s">
        <v>784</v>
      </c>
      <c r="J6603" s="2" t="s">
        <v>785</v>
      </c>
      <c r="K6603" s="2" t="s">
        <v>31897</v>
      </c>
      <c r="L6603" s="2" t="s">
        <v>31483</v>
      </c>
      <c r="M6603" s="2" t="s">
        <v>31898</v>
      </c>
      <c r="N6603" s="2" t="s">
        <v>31899</v>
      </c>
      <c r="O6603" s="2" t="s">
        <v>31900</v>
      </c>
      <c r="P6603" s="2" t="s">
        <v>869</v>
      </c>
    </row>
    <row r="6604" ht="15.75" customHeight="1">
      <c r="F6604" s="2" t="s">
        <v>800</v>
      </c>
      <c r="H6604" s="2" t="s">
        <v>31901</v>
      </c>
      <c r="I6604" s="2" t="s">
        <v>5027</v>
      </c>
      <c r="J6604" s="2" t="s">
        <v>5028</v>
      </c>
      <c r="K6604" s="2" t="s">
        <v>1319</v>
      </c>
      <c r="L6604" s="2" t="s">
        <v>31483</v>
      </c>
      <c r="M6604" s="2" t="s">
        <v>31902</v>
      </c>
      <c r="N6604" s="2" t="s">
        <v>31903</v>
      </c>
      <c r="O6604" s="2" t="s">
        <v>31904</v>
      </c>
      <c r="P6604" s="2" t="s">
        <v>869</v>
      </c>
    </row>
    <row r="6605" ht="15.75" customHeight="1">
      <c r="H6605" s="2" t="s">
        <v>31905</v>
      </c>
      <c r="I6605" s="2" t="s">
        <v>31906</v>
      </c>
      <c r="J6605" s="2" t="s">
        <v>31907</v>
      </c>
      <c r="K6605" s="2" t="s">
        <v>31908</v>
      </c>
      <c r="L6605" s="2" t="s">
        <v>31483</v>
      </c>
      <c r="M6605" s="2" t="s">
        <v>31909</v>
      </c>
      <c r="N6605" s="2" t="s">
        <v>31910</v>
      </c>
      <c r="O6605" s="2" t="s">
        <v>31911</v>
      </c>
      <c r="P6605" s="2" t="s">
        <v>869</v>
      </c>
    </row>
    <row r="6606" ht="15.75" customHeight="1">
      <c r="H6606" s="2" t="s">
        <v>31912</v>
      </c>
      <c r="I6606" s="2" t="s">
        <v>5986</v>
      </c>
      <c r="J6606" s="2" t="s">
        <v>5987</v>
      </c>
      <c r="K6606" s="2" t="s">
        <v>6091</v>
      </c>
      <c r="L6606" s="2" t="s">
        <v>31913</v>
      </c>
      <c r="M6606" s="2" t="s">
        <v>31914</v>
      </c>
      <c r="N6606" s="2" t="s">
        <v>31915</v>
      </c>
      <c r="O6606" s="2" t="s">
        <v>31916</v>
      </c>
      <c r="P6606" s="2" t="s">
        <v>31917</v>
      </c>
    </row>
    <row r="6607" ht="15.75" customHeight="1">
      <c r="B6607" s="2" t="s">
        <v>31918</v>
      </c>
      <c r="C6607" s="2" t="s">
        <v>22138</v>
      </c>
      <c r="D6607" s="2" t="s">
        <v>31919</v>
      </c>
      <c r="F6607" s="2" t="s">
        <v>855</v>
      </c>
      <c r="H6607" s="2" t="s">
        <v>31920</v>
      </c>
      <c r="I6607" s="2" t="s">
        <v>31921</v>
      </c>
      <c r="J6607" s="2" t="s">
        <v>31922</v>
      </c>
      <c r="K6607" s="2" t="s">
        <v>15890</v>
      </c>
      <c r="L6607" s="2" t="s">
        <v>31923</v>
      </c>
      <c r="M6607" s="2" t="s">
        <v>31924</v>
      </c>
      <c r="N6607" s="2" t="s">
        <v>31925</v>
      </c>
      <c r="O6607" s="2" t="s">
        <v>869</v>
      </c>
      <c r="P6607" s="2" t="s">
        <v>870</v>
      </c>
    </row>
    <row r="6608" ht="15.75" customHeight="1">
      <c r="H6608" s="2" t="s">
        <v>31926</v>
      </c>
      <c r="I6608" s="2" t="s">
        <v>6105</v>
      </c>
      <c r="J6608" s="2" t="s">
        <v>6106</v>
      </c>
      <c r="K6608" s="2" t="s">
        <v>31927</v>
      </c>
      <c r="L6608" s="2" t="s">
        <v>31923</v>
      </c>
      <c r="M6608" s="2" t="s">
        <v>28573</v>
      </c>
      <c r="N6608" s="2" t="s">
        <v>31928</v>
      </c>
      <c r="O6608" s="2" t="s">
        <v>31929</v>
      </c>
      <c r="P6608" s="2" t="s">
        <v>869</v>
      </c>
    </row>
    <row r="6609" ht="15.75" customHeight="1">
      <c r="H6609" s="2" t="s">
        <v>31930</v>
      </c>
      <c r="I6609" s="2" t="s">
        <v>31931</v>
      </c>
      <c r="J6609" s="2" t="s">
        <v>31932</v>
      </c>
      <c r="K6609" s="2" t="s">
        <v>6025</v>
      </c>
      <c r="L6609" s="2" t="s">
        <v>31923</v>
      </c>
      <c r="M6609" s="2" t="s">
        <v>6121</v>
      </c>
      <c r="N6609" s="2" t="s">
        <v>31933</v>
      </c>
      <c r="O6609" s="2" t="s">
        <v>31934</v>
      </c>
      <c r="P6609" s="2" t="s">
        <v>869</v>
      </c>
    </row>
    <row r="6610" ht="15.75" customHeight="1">
      <c r="H6610" s="2" t="s">
        <v>31935</v>
      </c>
      <c r="I6610" s="2" t="s">
        <v>31936</v>
      </c>
      <c r="J6610" s="2" t="s">
        <v>31937</v>
      </c>
      <c r="K6610" s="2" t="s">
        <v>31938</v>
      </c>
      <c r="L6610" s="2" t="s">
        <v>31923</v>
      </c>
      <c r="M6610" s="2" t="s">
        <v>28573</v>
      </c>
      <c r="N6610" s="2" t="s">
        <v>31939</v>
      </c>
      <c r="O6610" s="2" t="s">
        <v>869</v>
      </c>
      <c r="P6610" s="2" t="s">
        <v>870</v>
      </c>
    </row>
    <row r="6611" ht="15.75" customHeight="1">
      <c r="H6611" s="2" t="s">
        <v>31940</v>
      </c>
      <c r="I6611" s="2" t="s">
        <v>6136</v>
      </c>
      <c r="J6611" s="2" t="s">
        <v>6137</v>
      </c>
      <c r="K6611" s="2" t="s">
        <v>15901</v>
      </c>
      <c r="L6611" s="2" t="s">
        <v>31923</v>
      </c>
      <c r="M6611" s="2" t="s">
        <v>28589</v>
      </c>
      <c r="N6611" s="2" t="s">
        <v>31941</v>
      </c>
      <c r="O6611" s="2" t="s">
        <v>31942</v>
      </c>
      <c r="P6611" s="2" t="s">
        <v>869</v>
      </c>
    </row>
    <row r="6612" ht="15.75" customHeight="1">
      <c r="H6612" s="2" t="s">
        <v>31943</v>
      </c>
      <c r="I6612" s="2" t="s">
        <v>31944</v>
      </c>
      <c r="J6612" s="2" t="s">
        <v>31945</v>
      </c>
      <c r="K6612" s="2" t="s">
        <v>24578</v>
      </c>
      <c r="L6612" s="2" t="s">
        <v>31923</v>
      </c>
      <c r="M6612" s="2" t="s">
        <v>31946</v>
      </c>
      <c r="N6612" s="2" t="s">
        <v>31947</v>
      </c>
      <c r="O6612" s="2" t="s">
        <v>31948</v>
      </c>
      <c r="P6612" s="2" t="s">
        <v>869</v>
      </c>
    </row>
    <row r="6613" ht="15.75" customHeight="1">
      <c r="H6613" s="2" t="s">
        <v>31949</v>
      </c>
      <c r="I6613" s="2" t="s">
        <v>31950</v>
      </c>
      <c r="J6613" s="2" t="s">
        <v>31951</v>
      </c>
      <c r="K6613" s="2" t="s">
        <v>6054</v>
      </c>
      <c r="L6613" s="2" t="s">
        <v>31923</v>
      </c>
      <c r="M6613" s="2" t="s">
        <v>31952</v>
      </c>
      <c r="N6613" s="2" t="s">
        <v>31953</v>
      </c>
      <c r="O6613" s="2" t="s">
        <v>31954</v>
      </c>
      <c r="P6613" s="2" t="s">
        <v>869</v>
      </c>
    </row>
    <row r="6614" ht="15.75" customHeight="1">
      <c r="H6614" s="2" t="s">
        <v>31955</v>
      </c>
      <c r="I6614" s="2" t="s">
        <v>1387</v>
      </c>
      <c r="J6614" s="2" t="s">
        <v>1388</v>
      </c>
      <c r="K6614" s="2" t="s">
        <v>25032</v>
      </c>
      <c r="L6614" s="2" t="s">
        <v>31923</v>
      </c>
      <c r="M6614" s="2" t="s">
        <v>31956</v>
      </c>
      <c r="N6614" s="2" t="s">
        <v>31957</v>
      </c>
      <c r="O6614" s="2" t="s">
        <v>31958</v>
      </c>
      <c r="P6614" s="2" t="s">
        <v>869</v>
      </c>
    </row>
    <row r="6615" ht="15.75" customHeight="1">
      <c r="H6615" s="2" t="s">
        <v>31959</v>
      </c>
      <c r="I6615" s="2" t="s">
        <v>6170</v>
      </c>
      <c r="J6615" s="2" t="s">
        <v>6171</v>
      </c>
      <c r="K6615" s="2" t="s">
        <v>22104</v>
      </c>
      <c r="L6615" s="2" t="s">
        <v>31923</v>
      </c>
      <c r="M6615" s="2" t="s">
        <v>28603</v>
      </c>
      <c r="N6615" s="2" t="s">
        <v>31960</v>
      </c>
      <c r="O6615" s="2" t="s">
        <v>31961</v>
      </c>
      <c r="P6615" s="2" t="s">
        <v>869</v>
      </c>
    </row>
    <row r="6616" ht="15.75" customHeight="1">
      <c r="H6616" s="2" t="s">
        <v>31962</v>
      </c>
      <c r="I6616" s="2" t="s">
        <v>5280</v>
      </c>
      <c r="J6616" s="2" t="s">
        <v>5281</v>
      </c>
      <c r="K6616" s="2" t="s">
        <v>15868</v>
      </c>
      <c r="L6616" s="2" t="s">
        <v>31923</v>
      </c>
      <c r="M6616" s="2" t="s">
        <v>31963</v>
      </c>
      <c r="N6616" s="2" t="s">
        <v>31964</v>
      </c>
      <c r="O6616" s="2" t="s">
        <v>31965</v>
      </c>
      <c r="P6616" s="2" t="s">
        <v>869</v>
      </c>
    </row>
    <row r="6617" ht="15.75" customHeight="1">
      <c r="H6617" s="2" t="s">
        <v>31966</v>
      </c>
      <c r="I6617" s="2" t="s">
        <v>898</v>
      </c>
      <c r="J6617" s="2" t="s">
        <v>899</v>
      </c>
      <c r="K6617" s="2" t="s">
        <v>24379</v>
      </c>
      <c r="L6617" s="2" t="s">
        <v>31923</v>
      </c>
      <c r="M6617" s="2" t="s">
        <v>31967</v>
      </c>
      <c r="N6617" s="2" t="s">
        <v>31968</v>
      </c>
      <c r="O6617" s="2" t="s">
        <v>31969</v>
      </c>
      <c r="P6617" s="2" t="s">
        <v>869</v>
      </c>
    </row>
    <row r="6618" ht="15.75" customHeight="1">
      <c r="H6618" s="2" t="s">
        <v>31970</v>
      </c>
      <c r="I6618" s="2" t="s">
        <v>6180</v>
      </c>
      <c r="J6618" s="2" t="s">
        <v>6181</v>
      </c>
      <c r="K6618" s="2" t="s">
        <v>24137</v>
      </c>
      <c r="L6618" s="2" t="s">
        <v>31923</v>
      </c>
      <c r="M6618" s="2" t="s">
        <v>6183</v>
      </c>
      <c r="N6618" s="2" t="s">
        <v>31971</v>
      </c>
      <c r="O6618" s="2" t="s">
        <v>31972</v>
      </c>
      <c r="P6618" s="2" t="s">
        <v>869</v>
      </c>
    </row>
    <row r="6619" ht="15.75" customHeight="1">
      <c r="H6619" s="2" t="s">
        <v>31973</v>
      </c>
      <c r="I6619" s="2" t="s">
        <v>6192</v>
      </c>
      <c r="J6619" s="2" t="s">
        <v>6193</v>
      </c>
      <c r="K6619" s="2" t="s">
        <v>24679</v>
      </c>
      <c r="L6619" s="2" t="s">
        <v>31923</v>
      </c>
      <c r="M6619" s="2" t="s">
        <v>6195</v>
      </c>
      <c r="N6619" s="2" t="s">
        <v>31974</v>
      </c>
      <c r="O6619" s="2" t="s">
        <v>31975</v>
      </c>
      <c r="P6619" s="2" t="s">
        <v>869</v>
      </c>
    </row>
    <row r="6620" ht="15.75" customHeight="1">
      <c r="H6620" s="2" t="s">
        <v>31976</v>
      </c>
      <c r="I6620" s="2" t="s">
        <v>6198</v>
      </c>
      <c r="J6620" s="2" t="s">
        <v>6199</v>
      </c>
      <c r="K6620" s="2" t="s">
        <v>31977</v>
      </c>
      <c r="L6620" s="2" t="s">
        <v>31923</v>
      </c>
      <c r="M6620" s="2" t="s">
        <v>31978</v>
      </c>
      <c r="N6620" s="2" t="s">
        <v>31979</v>
      </c>
      <c r="O6620" s="2" t="s">
        <v>31980</v>
      </c>
      <c r="P6620" s="2" t="s">
        <v>869</v>
      </c>
    </row>
    <row r="6621" ht="15.75" customHeight="1">
      <c r="F6621" s="2" t="s">
        <v>927</v>
      </c>
      <c r="H6621" s="2" t="s">
        <v>31981</v>
      </c>
      <c r="I6621" s="2" t="s">
        <v>6216</v>
      </c>
      <c r="J6621" s="2" t="s">
        <v>6217</v>
      </c>
      <c r="K6621" s="2" t="s">
        <v>22462</v>
      </c>
      <c r="L6621" s="2" t="s">
        <v>31923</v>
      </c>
      <c r="M6621" s="2" t="s">
        <v>6219</v>
      </c>
      <c r="N6621" s="2" t="s">
        <v>31982</v>
      </c>
      <c r="O6621" s="2" t="s">
        <v>31983</v>
      </c>
      <c r="P6621" s="2" t="s">
        <v>869</v>
      </c>
    </row>
    <row r="6622" ht="15.75" customHeight="1">
      <c r="H6622" s="2" t="s">
        <v>31984</v>
      </c>
      <c r="I6622" s="2" t="s">
        <v>6234</v>
      </c>
      <c r="J6622" s="2" t="s">
        <v>6235</v>
      </c>
      <c r="K6622" s="2" t="s">
        <v>15779</v>
      </c>
      <c r="L6622" s="2" t="s">
        <v>31923</v>
      </c>
      <c r="M6622" s="2" t="s">
        <v>6237</v>
      </c>
      <c r="N6622" s="2" t="s">
        <v>31985</v>
      </c>
      <c r="O6622" s="2" t="s">
        <v>31986</v>
      </c>
      <c r="P6622" s="2" t="s">
        <v>869</v>
      </c>
    </row>
    <row r="6623" ht="15.75" customHeight="1">
      <c r="H6623" s="2" t="s">
        <v>31987</v>
      </c>
      <c r="I6623" s="2" t="s">
        <v>6240</v>
      </c>
      <c r="J6623" s="2" t="s">
        <v>6241</v>
      </c>
      <c r="K6623" s="2" t="s">
        <v>24518</v>
      </c>
      <c r="L6623" s="2" t="s">
        <v>31923</v>
      </c>
      <c r="M6623" s="2" t="s">
        <v>6243</v>
      </c>
      <c r="N6623" s="2" t="s">
        <v>31988</v>
      </c>
      <c r="O6623" s="2" t="s">
        <v>31989</v>
      </c>
      <c r="P6623" s="2" t="s">
        <v>869</v>
      </c>
    </row>
    <row r="6624" ht="15.75" customHeight="1">
      <c r="H6624" s="2" t="s">
        <v>31990</v>
      </c>
      <c r="I6624" s="2" t="s">
        <v>18393</v>
      </c>
      <c r="J6624" s="2" t="s">
        <v>18394</v>
      </c>
      <c r="K6624" s="2" t="s">
        <v>6025</v>
      </c>
      <c r="L6624" s="2" t="s">
        <v>31923</v>
      </c>
      <c r="M6624" s="2" t="s">
        <v>31991</v>
      </c>
      <c r="N6624" s="2" t="s">
        <v>31992</v>
      </c>
      <c r="O6624" s="2" t="s">
        <v>31993</v>
      </c>
      <c r="P6624" s="2" t="s">
        <v>869</v>
      </c>
    </row>
    <row r="6625" ht="15.75" customHeight="1">
      <c r="H6625" s="2" t="s">
        <v>31994</v>
      </c>
      <c r="I6625" s="2" t="s">
        <v>6252</v>
      </c>
      <c r="J6625" s="2" t="s">
        <v>6253</v>
      </c>
      <c r="K6625" s="2" t="s">
        <v>24665</v>
      </c>
      <c r="L6625" s="2" t="s">
        <v>31923</v>
      </c>
      <c r="M6625" s="2" t="s">
        <v>6255</v>
      </c>
      <c r="N6625" s="2" t="s">
        <v>31995</v>
      </c>
      <c r="O6625" s="2" t="s">
        <v>31996</v>
      </c>
      <c r="P6625" s="2" t="s">
        <v>869</v>
      </c>
    </row>
    <row r="6626" ht="15.75" customHeight="1">
      <c r="H6626" s="2" t="s">
        <v>31997</v>
      </c>
      <c r="I6626" s="2" t="s">
        <v>6258</v>
      </c>
      <c r="J6626" s="2" t="s">
        <v>6259</v>
      </c>
      <c r="K6626" s="2" t="s">
        <v>5995</v>
      </c>
      <c r="L6626" s="2" t="s">
        <v>31923</v>
      </c>
      <c r="M6626" s="2" t="s">
        <v>6261</v>
      </c>
      <c r="N6626" s="2" t="s">
        <v>31998</v>
      </c>
      <c r="O6626" s="2" t="s">
        <v>31999</v>
      </c>
      <c r="P6626" s="2" t="s">
        <v>869</v>
      </c>
    </row>
    <row r="6627" ht="15.75" customHeight="1">
      <c r="H6627" s="2" t="s">
        <v>32000</v>
      </c>
      <c r="I6627" s="2" t="s">
        <v>6264</v>
      </c>
      <c r="J6627" s="2" t="s">
        <v>6265</v>
      </c>
      <c r="K6627" s="2" t="s">
        <v>15897</v>
      </c>
      <c r="L6627" s="2" t="s">
        <v>31923</v>
      </c>
      <c r="M6627" s="2" t="s">
        <v>6267</v>
      </c>
      <c r="N6627" s="2" t="s">
        <v>32001</v>
      </c>
      <c r="O6627" s="2" t="s">
        <v>32002</v>
      </c>
      <c r="P6627" s="2" t="s">
        <v>869</v>
      </c>
    </row>
    <row r="6628" ht="15.75" customHeight="1">
      <c r="F6628" s="2" t="s">
        <v>938</v>
      </c>
      <c r="H6628" s="2" t="s">
        <v>32003</v>
      </c>
      <c r="I6628" s="2" t="s">
        <v>940</v>
      </c>
      <c r="J6628" s="2" t="s">
        <v>941</v>
      </c>
      <c r="K6628" s="2" t="s">
        <v>22462</v>
      </c>
      <c r="L6628" s="2" t="s">
        <v>31923</v>
      </c>
      <c r="M6628" s="2" t="s">
        <v>6271</v>
      </c>
      <c r="N6628" s="2" t="s">
        <v>32004</v>
      </c>
      <c r="O6628" s="2" t="s">
        <v>32005</v>
      </c>
      <c r="P6628" s="2" t="s">
        <v>869</v>
      </c>
    </row>
    <row r="6629" ht="15.75" customHeight="1">
      <c r="H6629" s="2" t="s">
        <v>32006</v>
      </c>
      <c r="I6629" s="2" t="s">
        <v>6280</v>
      </c>
      <c r="J6629" s="2" t="s">
        <v>6281</v>
      </c>
      <c r="K6629" s="2" t="s">
        <v>24561</v>
      </c>
      <c r="L6629" s="2" t="s">
        <v>31923</v>
      </c>
      <c r="M6629" s="2" t="s">
        <v>6283</v>
      </c>
      <c r="N6629" s="2" t="s">
        <v>32007</v>
      </c>
      <c r="O6629" s="2" t="s">
        <v>32008</v>
      </c>
      <c r="P6629" s="2" t="s">
        <v>869</v>
      </c>
    </row>
    <row r="6630" ht="15.75" customHeight="1">
      <c r="H6630" s="2" t="s">
        <v>32009</v>
      </c>
      <c r="I6630" s="2" t="s">
        <v>6290</v>
      </c>
      <c r="J6630" s="2" t="s">
        <v>6291</v>
      </c>
      <c r="K6630" s="2" t="s">
        <v>6025</v>
      </c>
      <c r="L6630" s="2" t="s">
        <v>31923</v>
      </c>
      <c r="M6630" s="2" t="s">
        <v>6293</v>
      </c>
      <c r="N6630" s="2" t="s">
        <v>32010</v>
      </c>
      <c r="O6630" s="2" t="s">
        <v>32011</v>
      </c>
      <c r="P6630" s="2" t="s">
        <v>869</v>
      </c>
    </row>
    <row r="6631" ht="15.75" customHeight="1">
      <c r="H6631" s="2" t="s">
        <v>32012</v>
      </c>
      <c r="I6631" s="2" t="s">
        <v>31936</v>
      </c>
      <c r="J6631" s="2" t="s">
        <v>31937</v>
      </c>
      <c r="K6631" s="2" t="s">
        <v>24014</v>
      </c>
      <c r="L6631" s="2" t="s">
        <v>31923</v>
      </c>
      <c r="M6631" s="2" t="s">
        <v>32013</v>
      </c>
      <c r="N6631" s="2" t="s">
        <v>32014</v>
      </c>
      <c r="O6631" s="2" t="s">
        <v>32015</v>
      </c>
      <c r="P6631" s="2" t="s">
        <v>869</v>
      </c>
    </row>
    <row r="6632" ht="15.75" customHeight="1">
      <c r="H6632" s="2" t="s">
        <v>32016</v>
      </c>
      <c r="I6632" s="2" t="s">
        <v>6350</v>
      </c>
      <c r="J6632" s="2" t="s">
        <v>6351</v>
      </c>
      <c r="K6632" s="2" t="s">
        <v>6046</v>
      </c>
      <c r="L6632" s="2" t="s">
        <v>31923</v>
      </c>
      <c r="M6632" s="2" t="s">
        <v>32017</v>
      </c>
      <c r="N6632" s="2" t="s">
        <v>32018</v>
      </c>
      <c r="O6632" s="2" t="s">
        <v>32019</v>
      </c>
      <c r="P6632" s="2" t="s">
        <v>869</v>
      </c>
    </row>
    <row r="6633" ht="15.75" customHeight="1">
      <c r="F6633" s="2" t="s">
        <v>19</v>
      </c>
      <c r="H6633" s="2" t="s">
        <v>32020</v>
      </c>
      <c r="I6633" s="2" t="s">
        <v>6362</v>
      </c>
      <c r="J6633" s="2" t="s">
        <v>6363</v>
      </c>
      <c r="K6633" s="2" t="s">
        <v>31927</v>
      </c>
      <c r="L6633" s="2" t="s">
        <v>31923</v>
      </c>
      <c r="M6633" s="2" t="s">
        <v>32021</v>
      </c>
      <c r="N6633" s="2" t="s">
        <v>32022</v>
      </c>
      <c r="O6633" s="2" t="s">
        <v>32023</v>
      </c>
      <c r="P6633" s="2" t="s">
        <v>869</v>
      </c>
    </row>
    <row r="6634" ht="15.75" customHeight="1">
      <c r="H6634" s="2" t="s">
        <v>32024</v>
      </c>
      <c r="I6634" s="2" t="s">
        <v>32025</v>
      </c>
      <c r="J6634" s="2" t="s">
        <v>32026</v>
      </c>
      <c r="K6634" s="2" t="s">
        <v>15779</v>
      </c>
      <c r="L6634" s="2" t="s">
        <v>31923</v>
      </c>
      <c r="M6634" s="2" t="s">
        <v>32027</v>
      </c>
      <c r="N6634" s="2" t="s">
        <v>32028</v>
      </c>
      <c r="O6634" s="2" t="s">
        <v>32029</v>
      </c>
      <c r="P6634" s="2" t="s">
        <v>869</v>
      </c>
    </row>
    <row r="6635" ht="15.75" customHeight="1">
      <c r="H6635" s="2" t="s">
        <v>32030</v>
      </c>
      <c r="I6635" s="2" t="s">
        <v>32031</v>
      </c>
      <c r="J6635" s="2" t="s">
        <v>32032</v>
      </c>
      <c r="K6635" s="2" t="s">
        <v>6025</v>
      </c>
      <c r="L6635" s="2" t="s">
        <v>31923</v>
      </c>
      <c r="M6635" s="2" t="s">
        <v>32033</v>
      </c>
      <c r="N6635" s="2" t="s">
        <v>32034</v>
      </c>
      <c r="O6635" s="2" t="s">
        <v>32035</v>
      </c>
      <c r="P6635" s="2" t="s">
        <v>869</v>
      </c>
    </row>
    <row r="6636" ht="15.75" customHeight="1">
      <c r="H6636" s="2" t="s">
        <v>32036</v>
      </c>
      <c r="I6636" s="2" t="s">
        <v>979</v>
      </c>
      <c r="J6636" s="2" t="s">
        <v>980</v>
      </c>
      <c r="K6636" s="2" t="s">
        <v>24665</v>
      </c>
      <c r="L6636" s="2" t="s">
        <v>31923</v>
      </c>
      <c r="M6636" s="2" t="s">
        <v>6387</v>
      </c>
      <c r="N6636" s="2" t="s">
        <v>32037</v>
      </c>
      <c r="O6636" s="2" t="s">
        <v>32038</v>
      </c>
      <c r="P6636" s="2" t="s">
        <v>869</v>
      </c>
    </row>
    <row r="6637" ht="15.75" customHeight="1">
      <c r="H6637" s="2" t="s">
        <v>32039</v>
      </c>
      <c r="I6637" s="2" t="s">
        <v>21</v>
      </c>
      <c r="J6637" s="2" t="s">
        <v>22</v>
      </c>
      <c r="K6637" s="2" t="s">
        <v>25009</v>
      </c>
      <c r="L6637" s="2" t="s">
        <v>31923</v>
      </c>
      <c r="M6637" s="2" t="s">
        <v>32040</v>
      </c>
      <c r="N6637" s="2" t="s">
        <v>32041</v>
      </c>
      <c r="O6637" s="2" t="s">
        <v>32042</v>
      </c>
      <c r="P6637" s="2" t="s">
        <v>869</v>
      </c>
    </row>
    <row r="6638" ht="15.75" customHeight="1">
      <c r="H6638" s="2" t="s">
        <v>32043</v>
      </c>
      <c r="I6638" s="2" t="s">
        <v>32044</v>
      </c>
      <c r="J6638" s="2" t="s">
        <v>32045</v>
      </c>
      <c r="K6638" s="2" t="s">
        <v>15897</v>
      </c>
      <c r="L6638" s="2" t="s">
        <v>31923</v>
      </c>
      <c r="M6638" s="2" t="s">
        <v>32046</v>
      </c>
      <c r="N6638" s="2" t="s">
        <v>32047</v>
      </c>
      <c r="O6638" s="2" t="s">
        <v>32048</v>
      </c>
      <c r="P6638" s="2" t="s">
        <v>869</v>
      </c>
    </row>
    <row r="6639" ht="15.75" customHeight="1">
      <c r="H6639" s="2" t="s">
        <v>32049</v>
      </c>
      <c r="I6639" s="2" t="s">
        <v>20991</v>
      </c>
      <c r="J6639" s="2" t="s">
        <v>20992</v>
      </c>
      <c r="K6639" s="2" t="s">
        <v>2836</v>
      </c>
    </row>
    <row r="6640" ht="15.75" customHeight="1">
      <c r="H6640" s="2" t="s">
        <v>32050</v>
      </c>
      <c r="I6640" s="2" t="s">
        <v>32051</v>
      </c>
      <c r="J6640" s="2" t="s">
        <v>32052</v>
      </c>
      <c r="K6640" s="2" t="s">
        <v>6054</v>
      </c>
      <c r="L6640" s="2" t="s">
        <v>31923</v>
      </c>
      <c r="M6640" s="2" t="s">
        <v>32053</v>
      </c>
      <c r="N6640" s="2" t="s">
        <v>32054</v>
      </c>
      <c r="O6640" s="2" t="s">
        <v>32055</v>
      </c>
      <c r="P6640" s="2" t="s">
        <v>869</v>
      </c>
    </row>
    <row r="6641" ht="15.75" customHeight="1">
      <c r="H6641" s="2" t="s">
        <v>32056</v>
      </c>
      <c r="I6641" s="2" t="s">
        <v>32057</v>
      </c>
      <c r="J6641" s="2" t="s">
        <v>32058</v>
      </c>
      <c r="K6641" s="2" t="s">
        <v>6046</v>
      </c>
      <c r="L6641" s="2" t="s">
        <v>31923</v>
      </c>
      <c r="M6641" s="2" t="s">
        <v>32033</v>
      </c>
      <c r="N6641" s="2" t="s">
        <v>32059</v>
      </c>
      <c r="O6641" s="2" t="s">
        <v>32060</v>
      </c>
      <c r="P6641" s="2" t="s">
        <v>869</v>
      </c>
    </row>
    <row r="6642" ht="15.75" customHeight="1">
      <c r="H6642" s="2" t="s">
        <v>32061</v>
      </c>
      <c r="I6642" s="2" t="s">
        <v>1000</v>
      </c>
      <c r="J6642" s="2" t="s">
        <v>1001</v>
      </c>
      <c r="K6642" s="2" t="s">
        <v>25073</v>
      </c>
      <c r="L6642" s="2" t="s">
        <v>31923</v>
      </c>
      <c r="M6642" s="2" t="s">
        <v>32062</v>
      </c>
      <c r="N6642" s="2" t="s">
        <v>32063</v>
      </c>
      <c r="O6642" s="2" t="s">
        <v>32064</v>
      </c>
      <c r="P6642" s="2" t="s">
        <v>869</v>
      </c>
    </row>
    <row r="6643" ht="15.75" customHeight="1">
      <c r="H6643" s="2" t="s">
        <v>32065</v>
      </c>
      <c r="I6643" s="2" t="s">
        <v>17220</v>
      </c>
      <c r="J6643" s="2" t="s">
        <v>17221</v>
      </c>
      <c r="K6643" s="2" t="s">
        <v>25032</v>
      </c>
      <c r="L6643" s="2" t="s">
        <v>31923</v>
      </c>
      <c r="M6643" s="2" t="s">
        <v>32066</v>
      </c>
      <c r="N6643" s="2" t="s">
        <v>32067</v>
      </c>
      <c r="O6643" s="2" t="s">
        <v>32068</v>
      </c>
      <c r="P6643" s="2" t="s">
        <v>869</v>
      </c>
    </row>
    <row r="6644" ht="15.75" customHeight="1">
      <c r="H6644" s="2" t="s">
        <v>32069</v>
      </c>
      <c r="I6644" s="2" t="s">
        <v>32070</v>
      </c>
      <c r="J6644" s="2" t="s">
        <v>32071</v>
      </c>
      <c r="K6644" s="2" t="s">
        <v>31317</v>
      </c>
      <c r="L6644" s="2" t="s">
        <v>31923</v>
      </c>
      <c r="M6644" s="2" t="s">
        <v>32072</v>
      </c>
      <c r="N6644" s="2" t="s">
        <v>32073</v>
      </c>
      <c r="O6644" s="2" t="s">
        <v>32074</v>
      </c>
      <c r="P6644" s="2" t="s">
        <v>869</v>
      </c>
    </row>
    <row r="6645" ht="15.75" customHeight="1">
      <c r="H6645" s="2" t="s">
        <v>32075</v>
      </c>
      <c r="I6645" s="2" t="s">
        <v>32076</v>
      </c>
      <c r="J6645" s="2" t="s">
        <v>32077</v>
      </c>
      <c r="K6645" s="2" t="s">
        <v>31344</v>
      </c>
      <c r="L6645" s="2" t="s">
        <v>31923</v>
      </c>
      <c r="M6645" s="2" t="s">
        <v>32078</v>
      </c>
      <c r="N6645" s="2" t="s">
        <v>32079</v>
      </c>
      <c r="O6645" s="2" t="s">
        <v>32080</v>
      </c>
      <c r="P6645" s="2" t="s">
        <v>869</v>
      </c>
    </row>
    <row r="6646" ht="15.75" customHeight="1">
      <c r="H6646" s="2" t="s">
        <v>32081</v>
      </c>
      <c r="I6646" s="2" t="s">
        <v>1005</v>
      </c>
      <c r="J6646" s="2" t="s">
        <v>1006</v>
      </c>
      <c r="K6646" s="2" t="s">
        <v>24528</v>
      </c>
      <c r="L6646" s="2" t="s">
        <v>31923</v>
      </c>
      <c r="M6646" s="2" t="s">
        <v>32082</v>
      </c>
      <c r="N6646" s="2" t="s">
        <v>32083</v>
      </c>
      <c r="O6646" s="2" t="s">
        <v>32084</v>
      </c>
      <c r="P6646" s="2" t="s">
        <v>869</v>
      </c>
    </row>
    <row r="6647" ht="15.75" customHeight="1">
      <c r="H6647" s="2" t="s">
        <v>32085</v>
      </c>
      <c r="I6647" s="2" t="s">
        <v>32086</v>
      </c>
      <c r="J6647" s="2" t="s">
        <v>32087</v>
      </c>
      <c r="K6647" s="2" t="s">
        <v>15890</v>
      </c>
      <c r="L6647" s="2" t="s">
        <v>31923</v>
      </c>
      <c r="M6647" s="2" t="s">
        <v>32088</v>
      </c>
      <c r="N6647" s="2" t="s">
        <v>32089</v>
      </c>
      <c r="O6647" s="2" t="s">
        <v>32090</v>
      </c>
      <c r="P6647" s="2" t="s">
        <v>869</v>
      </c>
    </row>
    <row r="6648" ht="15.75" customHeight="1">
      <c r="H6648" s="2" t="s">
        <v>32091</v>
      </c>
      <c r="I6648" s="2" t="s">
        <v>32092</v>
      </c>
      <c r="J6648" s="2" t="s">
        <v>32093</v>
      </c>
      <c r="K6648" s="2" t="s">
        <v>15868</v>
      </c>
      <c r="L6648" s="2" t="s">
        <v>31923</v>
      </c>
      <c r="M6648" s="2" t="s">
        <v>32094</v>
      </c>
      <c r="N6648" s="2" t="s">
        <v>32095</v>
      </c>
      <c r="O6648" s="2" t="s">
        <v>32096</v>
      </c>
      <c r="P6648" s="2" t="s">
        <v>869</v>
      </c>
    </row>
    <row r="6649" ht="15.75" customHeight="1">
      <c r="H6649" s="2" t="s">
        <v>32097</v>
      </c>
      <c r="I6649" s="2" t="s">
        <v>6423</v>
      </c>
      <c r="J6649" s="2" t="s">
        <v>6424</v>
      </c>
      <c r="K6649" s="2" t="s">
        <v>24379</v>
      </c>
      <c r="L6649" s="2" t="s">
        <v>31923</v>
      </c>
      <c r="M6649" s="2" t="s">
        <v>32098</v>
      </c>
      <c r="N6649" s="2" t="s">
        <v>32099</v>
      </c>
      <c r="O6649" s="2" t="s">
        <v>32100</v>
      </c>
      <c r="P6649" s="2" t="s">
        <v>869</v>
      </c>
    </row>
    <row r="6650" ht="15.75" customHeight="1">
      <c r="H6650" s="2" t="s">
        <v>32101</v>
      </c>
      <c r="I6650" s="2" t="s">
        <v>32102</v>
      </c>
      <c r="J6650" s="2" t="s">
        <v>32103</v>
      </c>
      <c r="K6650" s="2" t="s">
        <v>22055</v>
      </c>
      <c r="L6650" s="2" t="s">
        <v>31923</v>
      </c>
      <c r="M6650" s="2" t="s">
        <v>32104</v>
      </c>
      <c r="N6650" s="2" t="s">
        <v>32105</v>
      </c>
      <c r="O6650" s="2" t="s">
        <v>32106</v>
      </c>
      <c r="P6650" s="2" t="s">
        <v>869</v>
      </c>
    </row>
    <row r="6651" ht="15.75" customHeight="1">
      <c r="H6651" s="2" t="s">
        <v>32107</v>
      </c>
      <c r="I6651" s="2" t="s">
        <v>32108</v>
      </c>
      <c r="J6651" s="2" t="s">
        <v>32109</v>
      </c>
      <c r="K6651" s="2" t="s">
        <v>6019</v>
      </c>
      <c r="L6651" s="2" t="s">
        <v>31923</v>
      </c>
      <c r="M6651" s="2" t="s">
        <v>32110</v>
      </c>
      <c r="N6651" s="2" t="s">
        <v>32111</v>
      </c>
      <c r="O6651" s="2" t="s">
        <v>32112</v>
      </c>
      <c r="P6651" s="2" t="s">
        <v>869</v>
      </c>
    </row>
    <row r="6652" ht="15.75" customHeight="1">
      <c r="H6652" s="2" t="s">
        <v>32113</v>
      </c>
      <c r="I6652" s="2" t="s">
        <v>32114</v>
      </c>
      <c r="J6652" s="2" t="s">
        <v>32115</v>
      </c>
      <c r="K6652" s="2" t="s">
        <v>24263</v>
      </c>
      <c r="L6652" s="2" t="s">
        <v>31923</v>
      </c>
      <c r="M6652" s="2" t="s">
        <v>32116</v>
      </c>
      <c r="N6652" s="2" t="s">
        <v>32117</v>
      </c>
      <c r="O6652" s="2" t="s">
        <v>32118</v>
      </c>
      <c r="P6652" s="2" t="s">
        <v>869</v>
      </c>
    </row>
    <row r="6653" ht="15.75" customHeight="1">
      <c r="H6653" s="2" t="s">
        <v>32119</v>
      </c>
      <c r="I6653" s="2" t="s">
        <v>25348</v>
      </c>
      <c r="J6653" s="2" t="s">
        <v>25349</v>
      </c>
      <c r="K6653" s="2" t="s">
        <v>31463</v>
      </c>
      <c r="L6653" s="2" t="s">
        <v>31923</v>
      </c>
      <c r="M6653" s="2" t="s">
        <v>32120</v>
      </c>
      <c r="N6653" s="2" t="s">
        <v>32121</v>
      </c>
      <c r="O6653" s="2" t="s">
        <v>32122</v>
      </c>
      <c r="P6653" s="2" t="s">
        <v>869</v>
      </c>
    </row>
    <row r="6654" ht="15.75" customHeight="1">
      <c r="H6654" s="2" t="s">
        <v>32123</v>
      </c>
      <c r="I6654" s="2" t="s">
        <v>1016</v>
      </c>
      <c r="J6654" s="2" t="s">
        <v>1017</v>
      </c>
      <c r="K6654" s="2" t="s">
        <v>6081</v>
      </c>
      <c r="L6654" s="2" t="s">
        <v>31923</v>
      </c>
      <c r="M6654" s="2" t="s">
        <v>32124</v>
      </c>
      <c r="N6654" s="2" t="s">
        <v>32125</v>
      </c>
      <c r="O6654" s="2" t="s">
        <v>32126</v>
      </c>
      <c r="P6654" s="2" t="s">
        <v>869</v>
      </c>
    </row>
    <row r="6655" ht="15.75" customHeight="1">
      <c r="H6655" s="2" t="s">
        <v>32127</v>
      </c>
      <c r="I6655" s="2" t="s">
        <v>32128</v>
      </c>
      <c r="J6655" s="2" t="s">
        <v>32129</v>
      </c>
      <c r="K6655" s="2" t="s">
        <v>24269</v>
      </c>
      <c r="L6655" s="2" t="s">
        <v>31923</v>
      </c>
      <c r="M6655" s="2" t="s">
        <v>32130</v>
      </c>
      <c r="N6655" s="2" t="s">
        <v>32131</v>
      </c>
      <c r="O6655" s="2" t="s">
        <v>32132</v>
      </c>
      <c r="P6655" s="2" t="s">
        <v>869</v>
      </c>
    </row>
    <row r="6656" ht="15.75" customHeight="1">
      <c r="H6656" s="2" t="s">
        <v>32133</v>
      </c>
      <c r="I6656" s="2" t="s">
        <v>32134</v>
      </c>
      <c r="J6656" s="2" t="s">
        <v>32135</v>
      </c>
      <c r="K6656" s="2" t="s">
        <v>25287</v>
      </c>
      <c r="L6656" s="2" t="s">
        <v>31923</v>
      </c>
      <c r="M6656" s="2" t="s">
        <v>32136</v>
      </c>
      <c r="N6656" s="2" t="s">
        <v>32137</v>
      </c>
      <c r="O6656" s="2" t="s">
        <v>32138</v>
      </c>
      <c r="P6656" s="2" t="s">
        <v>869</v>
      </c>
    </row>
    <row r="6657" ht="15.75" customHeight="1">
      <c r="H6657" s="2" t="s">
        <v>32139</v>
      </c>
      <c r="I6657" s="2" t="s">
        <v>32140</v>
      </c>
      <c r="J6657" s="2" t="s">
        <v>32141</v>
      </c>
      <c r="K6657" s="2" t="s">
        <v>32142</v>
      </c>
      <c r="L6657" s="2" t="s">
        <v>31923</v>
      </c>
      <c r="M6657" s="2" t="s">
        <v>32143</v>
      </c>
      <c r="N6657" s="2" t="s">
        <v>32144</v>
      </c>
      <c r="O6657" s="2" t="s">
        <v>32145</v>
      </c>
      <c r="P6657" s="2" t="s">
        <v>869</v>
      </c>
    </row>
    <row r="6658" ht="15.75" customHeight="1">
      <c r="H6658" s="2" t="s">
        <v>32146</v>
      </c>
      <c r="I6658" s="2" t="s">
        <v>32147</v>
      </c>
      <c r="J6658" s="2" t="s">
        <v>32148</v>
      </c>
      <c r="K6658" s="2" t="s">
        <v>24275</v>
      </c>
      <c r="L6658" s="2" t="s">
        <v>31923</v>
      </c>
      <c r="M6658" s="2" t="s">
        <v>32149</v>
      </c>
      <c r="N6658" s="2" t="s">
        <v>32150</v>
      </c>
      <c r="O6658" s="2" t="s">
        <v>32151</v>
      </c>
      <c r="P6658" s="2" t="s">
        <v>869</v>
      </c>
    </row>
    <row r="6659" ht="15.75" customHeight="1">
      <c r="H6659" s="2" t="s">
        <v>32152</v>
      </c>
      <c r="I6659" s="2" t="s">
        <v>32153</v>
      </c>
      <c r="J6659" s="2" t="s">
        <v>32154</v>
      </c>
      <c r="K6659" s="2" t="s">
        <v>6010</v>
      </c>
      <c r="L6659" s="2" t="s">
        <v>31923</v>
      </c>
      <c r="M6659" s="2" t="s">
        <v>32155</v>
      </c>
      <c r="N6659" s="2" t="s">
        <v>32156</v>
      </c>
      <c r="O6659" s="2" t="s">
        <v>32157</v>
      </c>
      <c r="P6659" s="2" t="s">
        <v>869</v>
      </c>
    </row>
    <row r="6660" ht="15.75" customHeight="1">
      <c r="H6660" s="2" t="s">
        <v>32158</v>
      </c>
      <c r="I6660" s="2" t="s">
        <v>23002</v>
      </c>
      <c r="J6660" s="2" t="s">
        <v>23003</v>
      </c>
      <c r="K6660" s="2" t="s">
        <v>24164</v>
      </c>
      <c r="L6660" s="2" t="s">
        <v>31923</v>
      </c>
      <c r="M6660" s="2" t="s">
        <v>32159</v>
      </c>
      <c r="N6660" s="2" t="s">
        <v>32160</v>
      </c>
      <c r="O6660" s="2" t="s">
        <v>32161</v>
      </c>
      <c r="P6660" s="2" t="s">
        <v>869</v>
      </c>
    </row>
    <row r="6661" ht="15.75" customHeight="1">
      <c r="H6661" s="2" t="s">
        <v>32162</v>
      </c>
      <c r="I6661" s="2" t="s">
        <v>32163</v>
      </c>
      <c r="J6661" s="2" t="s">
        <v>32164</v>
      </c>
      <c r="K6661" s="2" t="s">
        <v>24851</v>
      </c>
      <c r="L6661" s="2" t="s">
        <v>31923</v>
      </c>
      <c r="M6661" s="2" t="s">
        <v>6525</v>
      </c>
      <c r="N6661" s="2" t="s">
        <v>32165</v>
      </c>
      <c r="O6661" s="2" t="s">
        <v>32166</v>
      </c>
      <c r="P6661" s="2" t="s">
        <v>869</v>
      </c>
    </row>
    <row r="6662" ht="15.75" customHeight="1">
      <c r="F6662" s="2" t="s">
        <v>1052</v>
      </c>
      <c r="H6662" s="2" t="s">
        <v>32167</v>
      </c>
      <c r="I6662" s="2" t="s">
        <v>1054</v>
      </c>
      <c r="J6662" s="2" t="s">
        <v>1055</v>
      </c>
      <c r="K6662" s="2" t="s">
        <v>24561</v>
      </c>
      <c r="L6662" s="2" t="s">
        <v>31923</v>
      </c>
      <c r="M6662" s="2" t="s">
        <v>32168</v>
      </c>
      <c r="N6662" s="2" t="s">
        <v>32169</v>
      </c>
      <c r="O6662" s="2" t="s">
        <v>32170</v>
      </c>
      <c r="P6662" s="2" t="s">
        <v>869</v>
      </c>
    </row>
    <row r="6663" ht="15.75" customHeight="1">
      <c r="H6663" s="2" t="s">
        <v>32171</v>
      </c>
      <c r="I6663" s="2" t="s">
        <v>1059</v>
      </c>
      <c r="J6663" s="2" t="s">
        <v>1060</v>
      </c>
      <c r="K6663" s="2" t="s">
        <v>24518</v>
      </c>
      <c r="L6663" s="2" t="s">
        <v>31923</v>
      </c>
      <c r="M6663" s="2" t="s">
        <v>6539</v>
      </c>
      <c r="N6663" s="2" t="s">
        <v>32172</v>
      </c>
      <c r="O6663" s="2" t="s">
        <v>32173</v>
      </c>
      <c r="P6663" s="2" t="s">
        <v>869</v>
      </c>
    </row>
    <row r="6664" ht="15.75" customHeight="1">
      <c r="H6664" s="2" t="s">
        <v>32174</v>
      </c>
      <c r="I6664" s="2" t="s">
        <v>6542</v>
      </c>
      <c r="J6664" s="2" t="s">
        <v>6543</v>
      </c>
      <c r="K6664" s="2" t="s">
        <v>6025</v>
      </c>
      <c r="L6664" s="2" t="s">
        <v>31923</v>
      </c>
      <c r="M6664" s="2" t="s">
        <v>25366</v>
      </c>
      <c r="N6664" s="2" t="s">
        <v>32175</v>
      </c>
      <c r="O6664" s="2" t="s">
        <v>32176</v>
      </c>
      <c r="P6664" s="2" t="s">
        <v>869</v>
      </c>
    </row>
    <row r="6665" ht="15.75" customHeight="1">
      <c r="H6665" s="2" t="s">
        <v>32177</v>
      </c>
      <c r="I6665" s="2" t="s">
        <v>1075</v>
      </c>
      <c r="J6665" s="2" t="s">
        <v>1076</v>
      </c>
      <c r="K6665" s="2" t="s">
        <v>6000</v>
      </c>
      <c r="L6665" s="2" t="s">
        <v>31923</v>
      </c>
      <c r="M6665" s="2" t="s">
        <v>6556</v>
      </c>
      <c r="N6665" s="2" t="s">
        <v>32178</v>
      </c>
      <c r="O6665" s="2" t="s">
        <v>32179</v>
      </c>
      <c r="P6665" s="2" t="s">
        <v>869</v>
      </c>
    </row>
    <row r="6666" ht="15.75" customHeight="1">
      <c r="H6666" s="2" t="s">
        <v>32180</v>
      </c>
      <c r="I6666" s="2" t="s">
        <v>9862</v>
      </c>
      <c r="J6666" s="2" t="s">
        <v>9863</v>
      </c>
      <c r="K6666" s="2" t="s">
        <v>15801</v>
      </c>
      <c r="L6666" s="2" t="s">
        <v>31923</v>
      </c>
      <c r="M6666" s="2" t="s">
        <v>6590</v>
      </c>
      <c r="N6666" s="2" t="s">
        <v>32181</v>
      </c>
      <c r="O6666" s="2" t="s">
        <v>32182</v>
      </c>
      <c r="P6666" s="2" t="s">
        <v>869</v>
      </c>
    </row>
    <row r="6667" ht="15.75" customHeight="1">
      <c r="H6667" s="2" t="s">
        <v>32183</v>
      </c>
      <c r="I6667" s="2" t="s">
        <v>1090</v>
      </c>
      <c r="J6667" s="2" t="s">
        <v>1091</v>
      </c>
      <c r="K6667" s="2" t="s">
        <v>25073</v>
      </c>
      <c r="L6667" s="2" t="s">
        <v>31923</v>
      </c>
      <c r="M6667" s="2" t="s">
        <v>6590</v>
      </c>
      <c r="N6667" s="2" t="s">
        <v>32184</v>
      </c>
      <c r="O6667" s="2" t="s">
        <v>32185</v>
      </c>
      <c r="P6667" s="2" t="s">
        <v>869</v>
      </c>
    </row>
    <row r="6668" ht="15.75" customHeight="1">
      <c r="H6668" s="2" t="s">
        <v>32186</v>
      </c>
      <c r="I6668" s="2" t="s">
        <v>32187</v>
      </c>
      <c r="J6668" s="2" t="s">
        <v>32188</v>
      </c>
      <c r="K6668" s="2" t="s">
        <v>15805</v>
      </c>
      <c r="L6668" s="2" t="s">
        <v>31923</v>
      </c>
      <c r="M6668" s="2" t="s">
        <v>32189</v>
      </c>
      <c r="N6668" s="2" t="s">
        <v>32190</v>
      </c>
      <c r="O6668" s="2" t="s">
        <v>32191</v>
      </c>
      <c r="P6668" s="2" t="s">
        <v>869</v>
      </c>
    </row>
    <row r="6669" ht="15.75" customHeight="1">
      <c r="H6669" s="2" t="s">
        <v>32192</v>
      </c>
      <c r="I6669" s="2" t="s">
        <v>6599</v>
      </c>
      <c r="J6669" s="2" t="s">
        <v>6600</v>
      </c>
      <c r="K6669" s="2" t="s">
        <v>24528</v>
      </c>
      <c r="L6669" s="2" t="s">
        <v>31923</v>
      </c>
      <c r="M6669" s="2" t="s">
        <v>6602</v>
      </c>
      <c r="N6669" s="2" t="s">
        <v>32193</v>
      </c>
      <c r="O6669" s="2" t="s">
        <v>32194</v>
      </c>
      <c r="P6669" s="2" t="s">
        <v>869</v>
      </c>
    </row>
    <row r="6670" ht="15.75" customHeight="1">
      <c r="H6670" s="2" t="s">
        <v>32195</v>
      </c>
      <c r="I6670" s="2" t="s">
        <v>6618</v>
      </c>
      <c r="J6670" s="2" t="s">
        <v>6619</v>
      </c>
      <c r="K6670" s="2" t="s">
        <v>24102</v>
      </c>
      <c r="L6670" s="2" t="s">
        <v>31923</v>
      </c>
      <c r="M6670" s="2" t="s">
        <v>6621</v>
      </c>
      <c r="N6670" s="2" t="s">
        <v>32196</v>
      </c>
      <c r="O6670" s="2" t="s">
        <v>32197</v>
      </c>
      <c r="P6670" s="2" t="s">
        <v>869</v>
      </c>
    </row>
    <row r="6671" ht="15.75" customHeight="1">
      <c r="H6671" s="2" t="s">
        <v>32198</v>
      </c>
      <c r="I6671" s="2" t="s">
        <v>32199</v>
      </c>
      <c r="J6671" s="2" t="s">
        <v>32200</v>
      </c>
      <c r="K6671" s="2" t="s">
        <v>15868</v>
      </c>
      <c r="L6671" s="2" t="s">
        <v>31923</v>
      </c>
      <c r="M6671" s="2" t="s">
        <v>32201</v>
      </c>
      <c r="N6671" s="2" t="s">
        <v>32202</v>
      </c>
      <c r="O6671" s="2" t="s">
        <v>869</v>
      </c>
      <c r="P6671" s="2" t="s">
        <v>870</v>
      </c>
    </row>
    <row r="6672" ht="15.75" customHeight="1">
      <c r="F6672" s="2" t="s">
        <v>29</v>
      </c>
      <c r="H6672" s="2" t="s">
        <v>32203</v>
      </c>
      <c r="I6672" s="2" t="s">
        <v>18508</v>
      </c>
      <c r="J6672" s="2" t="s">
        <v>18509</v>
      </c>
      <c r="K6672" s="2" t="s">
        <v>22462</v>
      </c>
      <c r="L6672" s="2" t="s">
        <v>31923</v>
      </c>
      <c r="M6672" s="2" t="s">
        <v>27206</v>
      </c>
      <c r="N6672" s="2" t="s">
        <v>32204</v>
      </c>
      <c r="O6672" s="2" t="s">
        <v>869</v>
      </c>
      <c r="P6672" s="2" t="s">
        <v>870</v>
      </c>
    </row>
    <row r="6673" ht="15.75" customHeight="1">
      <c r="H6673" s="2" t="s">
        <v>32205</v>
      </c>
      <c r="I6673" s="2" t="s">
        <v>32206</v>
      </c>
      <c r="J6673" s="2" t="s">
        <v>32207</v>
      </c>
      <c r="K6673" s="2" t="s">
        <v>15779</v>
      </c>
      <c r="L6673" s="2" t="s">
        <v>31923</v>
      </c>
      <c r="M6673" s="2" t="s">
        <v>32208</v>
      </c>
      <c r="N6673" s="2" t="s">
        <v>32209</v>
      </c>
      <c r="O6673" s="2" t="s">
        <v>869</v>
      </c>
      <c r="P6673" s="2" t="s">
        <v>870</v>
      </c>
    </row>
    <row r="6674" ht="15.75" customHeight="1">
      <c r="H6674" s="2" t="s">
        <v>32210</v>
      </c>
      <c r="I6674" s="2" t="s">
        <v>27532</v>
      </c>
      <c r="J6674" s="2" t="s">
        <v>27533</v>
      </c>
      <c r="K6674" s="2" t="s">
        <v>6025</v>
      </c>
      <c r="L6674" s="2" t="s">
        <v>31923</v>
      </c>
      <c r="M6674" s="2" t="s">
        <v>32211</v>
      </c>
      <c r="N6674" s="2" t="s">
        <v>32212</v>
      </c>
      <c r="O6674" s="2" t="s">
        <v>869</v>
      </c>
      <c r="P6674" s="2" t="s">
        <v>870</v>
      </c>
    </row>
    <row r="6675" ht="15.75" customHeight="1">
      <c r="H6675" s="2" t="s">
        <v>32213</v>
      </c>
      <c r="I6675" s="2" t="s">
        <v>32214</v>
      </c>
      <c r="J6675" s="2" t="s">
        <v>32215</v>
      </c>
      <c r="K6675" s="2" t="s">
        <v>25068</v>
      </c>
      <c r="L6675" s="2" t="s">
        <v>31923</v>
      </c>
      <c r="M6675" s="2" t="s">
        <v>28752</v>
      </c>
      <c r="N6675" s="2" t="s">
        <v>32216</v>
      </c>
      <c r="O6675" s="2" t="s">
        <v>869</v>
      </c>
      <c r="P6675" s="2" t="s">
        <v>870</v>
      </c>
    </row>
    <row r="6676" ht="15.75" customHeight="1">
      <c r="H6676" s="2" t="s">
        <v>32217</v>
      </c>
      <c r="I6676" s="2" t="s">
        <v>31</v>
      </c>
      <c r="J6676" s="2" t="s">
        <v>32</v>
      </c>
      <c r="K6676" s="2" t="s">
        <v>15901</v>
      </c>
      <c r="L6676" s="2" t="s">
        <v>32218</v>
      </c>
      <c r="M6676" s="2" t="s">
        <v>28752</v>
      </c>
      <c r="N6676" s="2" t="s">
        <v>32219</v>
      </c>
      <c r="O6676" s="2" t="s">
        <v>869</v>
      </c>
      <c r="P6676" s="2" t="s">
        <v>870</v>
      </c>
    </row>
    <row r="6677" ht="15.75" customHeight="1">
      <c r="H6677" s="2" t="s">
        <v>32220</v>
      </c>
      <c r="I6677" s="2" t="s">
        <v>32221</v>
      </c>
      <c r="J6677" s="2" t="s">
        <v>32222</v>
      </c>
      <c r="K6677" s="2" t="s">
        <v>15801</v>
      </c>
      <c r="L6677" s="2" t="s">
        <v>31923</v>
      </c>
      <c r="M6677" s="2" t="s">
        <v>32223</v>
      </c>
      <c r="N6677" s="2" t="s">
        <v>32224</v>
      </c>
      <c r="O6677" s="2" t="s">
        <v>869</v>
      </c>
      <c r="P6677" s="2" t="s">
        <v>870</v>
      </c>
    </row>
    <row r="6678" ht="15.75" customHeight="1">
      <c r="H6678" s="2" t="s">
        <v>32225</v>
      </c>
      <c r="I6678" s="2" t="s">
        <v>17220</v>
      </c>
      <c r="J6678" s="2" t="s">
        <v>17221</v>
      </c>
      <c r="K6678" s="2" t="s">
        <v>31344</v>
      </c>
      <c r="L6678" s="2" t="s">
        <v>31923</v>
      </c>
      <c r="M6678" s="2" t="s">
        <v>32226</v>
      </c>
      <c r="N6678" s="2" t="s">
        <v>32227</v>
      </c>
      <c r="O6678" s="2" t="s">
        <v>869</v>
      </c>
      <c r="P6678" s="2" t="s">
        <v>870</v>
      </c>
    </row>
    <row r="6679" ht="15.75" customHeight="1">
      <c r="H6679" s="2" t="s">
        <v>32228</v>
      </c>
      <c r="I6679" s="2" t="s">
        <v>1134</v>
      </c>
      <c r="J6679" s="2" t="s">
        <v>1135</v>
      </c>
      <c r="K6679" s="2" t="s">
        <v>15805</v>
      </c>
      <c r="L6679" s="2" t="s">
        <v>31923</v>
      </c>
      <c r="M6679" s="2" t="s">
        <v>27238</v>
      </c>
      <c r="N6679" s="2" t="s">
        <v>32229</v>
      </c>
      <c r="O6679" s="2" t="s">
        <v>869</v>
      </c>
      <c r="P6679" s="2" t="s">
        <v>870</v>
      </c>
    </row>
    <row r="6680" ht="15.75" customHeight="1">
      <c r="H6680" s="2" t="s">
        <v>32230</v>
      </c>
      <c r="I6680" s="2" t="s">
        <v>16577</v>
      </c>
      <c r="J6680" s="2" t="s">
        <v>16578</v>
      </c>
      <c r="K6680" s="2" t="s">
        <v>22104</v>
      </c>
      <c r="L6680" s="2" t="s">
        <v>31923</v>
      </c>
      <c r="M6680" s="2" t="s">
        <v>32231</v>
      </c>
      <c r="N6680" s="2" t="s">
        <v>32232</v>
      </c>
      <c r="O6680" s="2" t="s">
        <v>869</v>
      </c>
      <c r="P6680" s="2" t="s">
        <v>870</v>
      </c>
    </row>
    <row r="6681" ht="15.75" customHeight="1">
      <c r="H6681" s="2" t="s">
        <v>32233</v>
      </c>
      <c r="I6681" s="2" t="s">
        <v>1629</v>
      </c>
      <c r="J6681" s="2" t="s">
        <v>1630</v>
      </c>
      <c r="K6681" s="2" t="s">
        <v>24379</v>
      </c>
      <c r="L6681" s="2" t="s">
        <v>31923</v>
      </c>
      <c r="M6681" s="2" t="s">
        <v>32234</v>
      </c>
      <c r="N6681" s="2" t="s">
        <v>32235</v>
      </c>
      <c r="O6681" s="2" t="s">
        <v>869</v>
      </c>
      <c r="P6681" s="2" t="s">
        <v>870</v>
      </c>
    </row>
    <row r="6682" ht="15.75" customHeight="1">
      <c r="H6682" s="2" t="s">
        <v>32236</v>
      </c>
      <c r="I6682" s="2" t="s">
        <v>16085</v>
      </c>
      <c r="J6682" s="2" t="s">
        <v>16086</v>
      </c>
      <c r="K6682" s="2" t="s">
        <v>24137</v>
      </c>
      <c r="L6682" s="2" t="s">
        <v>31923</v>
      </c>
      <c r="M6682" s="2" t="s">
        <v>32237</v>
      </c>
      <c r="N6682" s="2" t="s">
        <v>32238</v>
      </c>
      <c r="O6682" s="2" t="s">
        <v>869</v>
      </c>
      <c r="P6682" s="2" t="s">
        <v>870</v>
      </c>
    </row>
    <row r="6683" ht="15.75" customHeight="1">
      <c r="H6683" s="2" t="s">
        <v>32239</v>
      </c>
      <c r="I6683" s="2" t="s">
        <v>32240</v>
      </c>
      <c r="J6683" s="2" t="s">
        <v>32240</v>
      </c>
      <c r="K6683" s="2" t="s">
        <v>912</v>
      </c>
    </row>
    <row r="6684" ht="15.75" customHeight="1">
      <c r="H6684" s="2" t="s">
        <v>32241</v>
      </c>
      <c r="I6684" s="2" t="s">
        <v>32242</v>
      </c>
      <c r="J6684" s="2" t="s">
        <v>32243</v>
      </c>
      <c r="K6684" s="2" t="s">
        <v>6019</v>
      </c>
      <c r="L6684" s="2" t="s">
        <v>31923</v>
      </c>
      <c r="M6684" s="2" t="s">
        <v>32244</v>
      </c>
      <c r="N6684" s="2" t="s">
        <v>869</v>
      </c>
      <c r="O6684" s="2" t="s">
        <v>870</v>
      </c>
    </row>
    <row r="6685" ht="15.75" customHeight="1">
      <c r="H6685" s="2" t="s">
        <v>32245</v>
      </c>
      <c r="I6685" s="2" t="s">
        <v>32246</v>
      </c>
      <c r="J6685" s="2" t="s">
        <v>32247</v>
      </c>
      <c r="K6685" s="2" t="s">
        <v>24263</v>
      </c>
      <c r="L6685" s="2" t="s">
        <v>31923</v>
      </c>
      <c r="M6685" s="2" t="s">
        <v>32248</v>
      </c>
      <c r="N6685" s="2" t="s">
        <v>32249</v>
      </c>
      <c r="O6685" s="2" t="s">
        <v>869</v>
      </c>
      <c r="P6685" s="2" t="s">
        <v>870</v>
      </c>
    </row>
    <row r="6686" ht="15.75" customHeight="1">
      <c r="H6686" s="2" t="s">
        <v>32250</v>
      </c>
      <c r="I6686" s="2" t="s">
        <v>32251</v>
      </c>
      <c r="J6686" s="2" t="s">
        <v>32252</v>
      </c>
      <c r="K6686" s="2" t="s">
        <v>15809</v>
      </c>
      <c r="L6686" s="2" t="s">
        <v>31923</v>
      </c>
      <c r="M6686" s="2" t="s">
        <v>32253</v>
      </c>
      <c r="N6686" s="2" t="s">
        <v>32254</v>
      </c>
      <c r="O6686" s="2" t="s">
        <v>869</v>
      </c>
      <c r="P6686" s="2" t="s">
        <v>870</v>
      </c>
    </row>
    <row r="6687" ht="15.75" customHeight="1">
      <c r="H6687" s="2" t="s">
        <v>32255</v>
      </c>
      <c r="I6687" s="2" t="s">
        <v>32256</v>
      </c>
      <c r="J6687" s="2" t="s">
        <v>32257</v>
      </c>
      <c r="K6687" s="2" t="s">
        <v>24269</v>
      </c>
      <c r="L6687" s="2" t="s">
        <v>31923</v>
      </c>
      <c r="M6687" s="2" t="s">
        <v>32258</v>
      </c>
      <c r="N6687" s="2" t="s">
        <v>32259</v>
      </c>
      <c r="O6687" s="2" t="s">
        <v>869</v>
      </c>
      <c r="P6687" s="2" t="s">
        <v>870</v>
      </c>
    </row>
    <row r="6688" ht="15.75" customHeight="1">
      <c r="H6688" s="2" t="s">
        <v>32260</v>
      </c>
      <c r="I6688" s="2" t="s">
        <v>27265</v>
      </c>
      <c r="J6688" s="2" t="s">
        <v>27266</v>
      </c>
      <c r="K6688" s="2" t="s">
        <v>6058</v>
      </c>
      <c r="L6688" s="2" t="s">
        <v>31923</v>
      </c>
      <c r="M6688" s="2" t="s">
        <v>27267</v>
      </c>
      <c r="N6688" s="2" t="s">
        <v>32261</v>
      </c>
      <c r="O6688" s="2" t="s">
        <v>869</v>
      </c>
      <c r="P6688" s="2" t="s">
        <v>870</v>
      </c>
    </row>
    <row r="6689" ht="15.75" customHeight="1">
      <c r="H6689" s="2" t="s">
        <v>32262</v>
      </c>
      <c r="I6689" s="2" t="s">
        <v>28809</v>
      </c>
      <c r="J6689" s="2" t="s">
        <v>28810</v>
      </c>
      <c r="K6689" s="2" t="s">
        <v>6006</v>
      </c>
      <c r="L6689" s="2" t="s">
        <v>31923</v>
      </c>
      <c r="M6689" s="2" t="s">
        <v>32263</v>
      </c>
      <c r="N6689" s="2" t="s">
        <v>869</v>
      </c>
      <c r="O6689" s="2" t="s">
        <v>870</v>
      </c>
    </row>
    <row r="6690" ht="15.75" customHeight="1">
      <c r="H6690" s="2" t="s">
        <v>32264</v>
      </c>
      <c r="I6690" s="2" t="s">
        <v>32265</v>
      </c>
      <c r="J6690" s="2" t="s">
        <v>32266</v>
      </c>
      <c r="K6690" s="2" t="s">
        <v>32267</v>
      </c>
      <c r="L6690" s="2" t="s">
        <v>31923</v>
      </c>
      <c r="M6690" s="2" t="s">
        <v>32268</v>
      </c>
      <c r="N6690" s="2" t="s">
        <v>32269</v>
      </c>
      <c r="O6690" s="2" t="s">
        <v>869</v>
      </c>
      <c r="P6690" s="2" t="s">
        <v>870</v>
      </c>
    </row>
    <row r="6691" ht="15.75" customHeight="1">
      <c r="H6691" s="2" t="s">
        <v>32270</v>
      </c>
      <c r="I6691" s="2" t="s">
        <v>1179</v>
      </c>
      <c r="J6691" s="2" t="s">
        <v>1180</v>
      </c>
      <c r="K6691" s="2" t="s">
        <v>32271</v>
      </c>
      <c r="L6691" s="2" t="s">
        <v>31923</v>
      </c>
      <c r="M6691" s="2" t="s">
        <v>27276</v>
      </c>
      <c r="N6691" s="2" t="s">
        <v>32272</v>
      </c>
      <c r="O6691" s="2" t="s">
        <v>869</v>
      </c>
      <c r="P6691" s="2" t="s">
        <v>870</v>
      </c>
    </row>
    <row r="6692" ht="15.75" customHeight="1">
      <c r="H6692" s="2" t="s">
        <v>32273</v>
      </c>
      <c r="I6692" s="2" t="s">
        <v>2023</v>
      </c>
      <c r="J6692" s="2" t="s">
        <v>2024</v>
      </c>
      <c r="K6692" s="2" t="s">
        <v>24878</v>
      </c>
      <c r="L6692" s="2" t="s">
        <v>31923</v>
      </c>
      <c r="M6692" s="2" t="s">
        <v>32274</v>
      </c>
      <c r="N6692" s="2" t="s">
        <v>32275</v>
      </c>
      <c r="O6692" s="2" t="s">
        <v>869</v>
      </c>
      <c r="P6692" s="2" t="s">
        <v>870</v>
      </c>
    </row>
    <row r="6693" ht="15.75" customHeight="1">
      <c r="H6693" s="2" t="s">
        <v>32276</v>
      </c>
      <c r="I6693" s="2" t="s">
        <v>32277</v>
      </c>
      <c r="J6693" s="2" t="s">
        <v>32278</v>
      </c>
      <c r="K6693" s="2" t="s">
        <v>24164</v>
      </c>
      <c r="L6693" s="2" t="s">
        <v>31923</v>
      </c>
      <c r="M6693" s="2" t="s">
        <v>32279</v>
      </c>
      <c r="N6693" s="2" t="s">
        <v>32280</v>
      </c>
      <c r="O6693" s="2" t="s">
        <v>869</v>
      </c>
      <c r="P6693" s="2" t="s">
        <v>870</v>
      </c>
    </row>
    <row r="6694" ht="15.75" customHeight="1">
      <c r="H6694" s="2" t="s">
        <v>32281</v>
      </c>
      <c r="I6694" s="2" t="s">
        <v>32282</v>
      </c>
      <c r="J6694" s="2" t="s">
        <v>32283</v>
      </c>
      <c r="K6694" s="2" t="s">
        <v>24851</v>
      </c>
      <c r="L6694" s="2" t="s">
        <v>31923</v>
      </c>
      <c r="M6694" s="2" t="s">
        <v>32284</v>
      </c>
      <c r="N6694" s="2" t="s">
        <v>869</v>
      </c>
      <c r="O6694" s="2" t="s">
        <v>870</v>
      </c>
    </row>
    <row r="6695" ht="15.75" customHeight="1">
      <c r="H6695" s="2" t="s">
        <v>32285</v>
      </c>
      <c r="I6695" s="2" t="s">
        <v>18563</v>
      </c>
      <c r="J6695" s="2" t="s">
        <v>18564</v>
      </c>
      <c r="K6695" s="2" t="s">
        <v>32286</v>
      </c>
      <c r="L6695" s="2" t="s">
        <v>31923</v>
      </c>
      <c r="M6695" s="2" t="s">
        <v>32287</v>
      </c>
      <c r="N6695" s="2" t="s">
        <v>32288</v>
      </c>
      <c r="O6695" s="2" t="s">
        <v>869</v>
      </c>
      <c r="P6695" s="2" t="s">
        <v>870</v>
      </c>
    </row>
    <row r="6696" ht="15.75" customHeight="1">
      <c r="H6696" s="2" t="s">
        <v>32289</v>
      </c>
      <c r="I6696" s="2" t="s">
        <v>27303</v>
      </c>
      <c r="J6696" s="2" t="s">
        <v>27304</v>
      </c>
      <c r="K6696" s="2" t="s">
        <v>32290</v>
      </c>
      <c r="L6696" s="2" t="s">
        <v>31923</v>
      </c>
      <c r="M6696" s="2" t="s">
        <v>27305</v>
      </c>
      <c r="N6696" s="2" t="s">
        <v>32291</v>
      </c>
      <c r="O6696" s="2" t="s">
        <v>869</v>
      </c>
      <c r="P6696" s="2" t="s">
        <v>870</v>
      </c>
    </row>
    <row r="6697" ht="15.75" customHeight="1">
      <c r="H6697" s="2" t="s">
        <v>32292</v>
      </c>
      <c r="I6697" s="2" t="s">
        <v>32293</v>
      </c>
      <c r="J6697" s="2" t="s">
        <v>32294</v>
      </c>
      <c r="K6697" s="2" t="s">
        <v>32295</v>
      </c>
      <c r="L6697" s="2" t="s">
        <v>31923</v>
      </c>
      <c r="M6697" s="2" t="s">
        <v>32296</v>
      </c>
      <c r="N6697" s="2" t="s">
        <v>32297</v>
      </c>
      <c r="O6697" s="2" t="s">
        <v>869</v>
      </c>
      <c r="P6697" s="2" t="s">
        <v>870</v>
      </c>
    </row>
    <row r="6698" ht="15.75" customHeight="1">
      <c r="H6698" s="2" t="s">
        <v>32298</v>
      </c>
      <c r="I6698" s="2" t="s">
        <v>32299</v>
      </c>
      <c r="J6698" s="2" t="s">
        <v>32300</v>
      </c>
      <c r="K6698" s="2" t="s">
        <v>32301</v>
      </c>
      <c r="L6698" s="2" t="s">
        <v>31923</v>
      </c>
      <c r="M6698" s="2" t="s">
        <v>32302</v>
      </c>
      <c r="N6698" s="2" t="s">
        <v>32303</v>
      </c>
      <c r="O6698" s="2" t="s">
        <v>869</v>
      </c>
      <c r="P6698" s="2" t="s">
        <v>870</v>
      </c>
    </row>
    <row r="6699" ht="15.75" customHeight="1">
      <c r="H6699" s="2" t="s">
        <v>32304</v>
      </c>
      <c r="I6699" s="2" t="s">
        <v>1215</v>
      </c>
      <c r="J6699" s="2" t="s">
        <v>1216</v>
      </c>
      <c r="K6699" s="2" t="s">
        <v>24655</v>
      </c>
      <c r="L6699" s="2" t="s">
        <v>31923</v>
      </c>
      <c r="M6699" s="2" t="s">
        <v>27324</v>
      </c>
      <c r="N6699" s="2" t="s">
        <v>32305</v>
      </c>
      <c r="O6699" s="2" t="s">
        <v>869</v>
      </c>
      <c r="P6699" s="2" t="s">
        <v>870</v>
      </c>
    </row>
    <row r="6700" ht="15.75" customHeight="1">
      <c r="H6700" s="2" t="s">
        <v>32306</v>
      </c>
      <c r="I6700" s="2" t="s">
        <v>32307</v>
      </c>
      <c r="J6700" s="2" t="s">
        <v>32308</v>
      </c>
      <c r="K6700" s="2" t="s">
        <v>32309</v>
      </c>
      <c r="L6700" s="2" t="s">
        <v>31923</v>
      </c>
      <c r="M6700" s="2" t="s">
        <v>32310</v>
      </c>
      <c r="N6700" s="2" t="s">
        <v>32311</v>
      </c>
      <c r="O6700" s="2" t="s">
        <v>869</v>
      </c>
      <c r="P6700" s="2" t="s">
        <v>870</v>
      </c>
    </row>
    <row r="6701" ht="15.75" customHeight="1">
      <c r="H6701" s="2" t="s">
        <v>32312</v>
      </c>
      <c r="I6701" s="2" t="s">
        <v>1506</v>
      </c>
      <c r="J6701" s="2" t="s">
        <v>1507</v>
      </c>
      <c r="K6701" s="2" t="s">
        <v>15823</v>
      </c>
      <c r="L6701" s="2" t="s">
        <v>31923</v>
      </c>
      <c r="M6701" s="2" t="s">
        <v>27326</v>
      </c>
      <c r="N6701" s="2" t="s">
        <v>32313</v>
      </c>
      <c r="O6701" s="2" t="s">
        <v>869</v>
      </c>
      <c r="P6701" s="2" t="s">
        <v>870</v>
      </c>
    </row>
    <row r="6702" ht="15.75" customHeight="1">
      <c r="H6702" s="2" t="s">
        <v>32314</v>
      </c>
      <c r="I6702" s="2" t="s">
        <v>18578</v>
      </c>
      <c r="J6702" s="2" t="s">
        <v>18579</v>
      </c>
      <c r="K6702" s="2" t="s">
        <v>15827</v>
      </c>
      <c r="L6702" s="2" t="s">
        <v>31923</v>
      </c>
      <c r="M6702" s="2" t="s">
        <v>27333</v>
      </c>
      <c r="N6702" s="2" t="s">
        <v>32315</v>
      </c>
      <c r="O6702" s="2" t="s">
        <v>869</v>
      </c>
      <c r="P6702" s="2" t="s">
        <v>870</v>
      </c>
    </row>
    <row r="6703" ht="15.75" customHeight="1">
      <c r="H6703" s="2" t="s">
        <v>32316</v>
      </c>
      <c r="I6703" s="2" t="s">
        <v>32317</v>
      </c>
      <c r="J6703" s="2" t="s">
        <v>32318</v>
      </c>
      <c r="K6703" s="2" t="s">
        <v>6029</v>
      </c>
      <c r="L6703" s="2" t="s">
        <v>31923</v>
      </c>
      <c r="M6703" s="2" t="s">
        <v>32319</v>
      </c>
      <c r="N6703" s="2" t="s">
        <v>869</v>
      </c>
      <c r="O6703" s="2" t="s">
        <v>870</v>
      </c>
    </row>
    <row r="6704" ht="15.75" customHeight="1">
      <c r="H6704" s="2" t="s">
        <v>32320</v>
      </c>
      <c r="I6704" s="2" t="s">
        <v>1239</v>
      </c>
      <c r="J6704" s="2" t="s">
        <v>1240</v>
      </c>
      <c r="K6704" s="2" t="s">
        <v>15837</v>
      </c>
      <c r="L6704" s="2" t="s">
        <v>31923</v>
      </c>
      <c r="M6704" s="2" t="s">
        <v>32321</v>
      </c>
      <c r="N6704" s="2" t="s">
        <v>32322</v>
      </c>
      <c r="O6704" s="2" t="s">
        <v>869</v>
      </c>
      <c r="P6704" s="2" t="s">
        <v>870</v>
      </c>
    </row>
    <row r="6705" ht="15.75" customHeight="1">
      <c r="F6705" s="2" t="s">
        <v>39</v>
      </c>
      <c r="H6705" s="2" t="s">
        <v>32323</v>
      </c>
      <c r="I6705" s="2" t="s">
        <v>1268</v>
      </c>
      <c r="J6705" s="2" t="s">
        <v>1269</v>
      </c>
      <c r="K6705" s="2" t="s">
        <v>22462</v>
      </c>
      <c r="L6705" s="2" t="s">
        <v>31923</v>
      </c>
      <c r="M6705" s="2" t="s">
        <v>25394</v>
      </c>
      <c r="N6705" s="2" t="s">
        <v>32324</v>
      </c>
      <c r="O6705" s="2" t="s">
        <v>869</v>
      </c>
      <c r="P6705" s="2" t="s">
        <v>870</v>
      </c>
    </row>
    <row r="6706" ht="15.75" customHeight="1">
      <c r="H6706" s="2" t="s">
        <v>32325</v>
      </c>
      <c r="I6706" s="2" t="s">
        <v>41</v>
      </c>
      <c r="J6706" s="2" t="s">
        <v>42</v>
      </c>
      <c r="K6706" s="2" t="s">
        <v>24561</v>
      </c>
      <c r="L6706" s="2" t="s">
        <v>31923</v>
      </c>
      <c r="M6706" s="2" t="s">
        <v>6629</v>
      </c>
      <c r="N6706" s="2" t="s">
        <v>32326</v>
      </c>
      <c r="O6706" s="2" t="s">
        <v>869</v>
      </c>
      <c r="P6706" s="2" t="s">
        <v>870</v>
      </c>
    </row>
    <row r="6707" ht="15.75" customHeight="1">
      <c r="H6707" s="2" t="s">
        <v>32327</v>
      </c>
      <c r="I6707" s="2" t="s">
        <v>1276</v>
      </c>
      <c r="J6707" s="2" t="s">
        <v>1277</v>
      </c>
      <c r="K6707" s="2" t="s">
        <v>24665</v>
      </c>
      <c r="L6707" s="2" t="s">
        <v>31923</v>
      </c>
      <c r="M6707" s="2" t="s">
        <v>6651</v>
      </c>
      <c r="N6707" s="2" t="s">
        <v>32328</v>
      </c>
      <c r="O6707" s="2" t="s">
        <v>869</v>
      </c>
      <c r="P6707" s="2" t="s">
        <v>870</v>
      </c>
    </row>
    <row r="6708" ht="15.75" customHeight="1">
      <c r="H6708" s="2" t="s">
        <v>32329</v>
      </c>
      <c r="I6708" s="2" t="s">
        <v>49</v>
      </c>
      <c r="J6708" s="2" t="s">
        <v>50</v>
      </c>
      <c r="K6708" s="2" t="s">
        <v>15801</v>
      </c>
      <c r="L6708" s="2" t="s">
        <v>31923</v>
      </c>
      <c r="M6708" s="2" t="s">
        <v>32330</v>
      </c>
      <c r="N6708" s="2" t="s">
        <v>32331</v>
      </c>
      <c r="O6708" s="2" t="s">
        <v>869</v>
      </c>
      <c r="P6708" s="2" t="s">
        <v>870</v>
      </c>
    </row>
    <row r="6709" ht="15.75" customHeight="1">
      <c r="H6709" s="2" t="s">
        <v>32332</v>
      </c>
      <c r="I6709" s="2" t="s">
        <v>32333</v>
      </c>
      <c r="J6709" s="2" t="s">
        <v>32334</v>
      </c>
      <c r="K6709" s="2" t="s">
        <v>6050</v>
      </c>
      <c r="L6709" s="2" t="s">
        <v>31923</v>
      </c>
      <c r="M6709" s="2" t="s">
        <v>32335</v>
      </c>
      <c r="N6709" s="2" t="s">
        <v>32336</v>
      </c>
      <c r="O6709" s="2" t="s">
        <v>869</v>
      </c>
      <c r="P6709" s="2" t="s">
        <v>870</v>
      </c>
    </row>
    <row r="6710" ht="15.75" customHeight="1">
      <c r="H6710" s="2" t="s">
        <v>32337</v>
      </c>
      <c r="I6710" s="2" t="s">
        <v>32338</v>
      </c>
      <c r="J6710" s="2" t="s">
        <v>32339</v>
      </c>
      <c r="K6710" s="2" t="s">
        <v>6046</v>
      </c>
      <c r="L6710" s="2" t="s">
        <v>31923</v>
      </c>
      <c r="M6710" s="2" t="s">
        <v>32340</v>
      </c>
      <c r="N6710" s="2" t="s">
        <v>32341</v>
      </c>
      <c r="O6710" s="2" t="s">
        <v>869</v>
      </c>
      <c r="P6710" s="2" t="s">
        <v>870</v>
      </c>
    </row>
    <row r="6711" ht="15.75" customHeight="1">
      <c r="H6711" s="2" t="s">
        <v>32342</v>
      </c>
      <c r="I6711" s="2" t="s">
        <v>32343</v>
      </c>
      <c r="J6711" s="2" t="s">
        <v>32344</v>
      </c>
      <c r="K6711" s="2" t="s">
        <v>31317</v>
      </c>
      <c r="L6711" s="2" t="s">
        <v>31923</v>
      </c>
      <c r="M6711" s="2" t="s">
        <v>32345</v>
      </c>
      <c r="N6711" s="2" t="s">
        <v>32346</v>
      </c>
      <c r="O6711" s="2" t="s">
        <v>869</v>
      </c>
      <c r="P6711" s="2" t="s">
        <v>870</v>
      </c>
    </row>
    <row r="6712" ht="15.75" customHeight="1">
      <c r="H6712" s="2" t="s">
        <v>32347</v>
      </c>
      <c r="I6712" s="2" t="s">
        <v>32348</v>
      </c>
      <c r="J6712" s="2" t="s">
        <v>32349</v>
      </c>
      <c r="K6712" s="2" t="s">
        <v>31344</v>
      </c>
      <c r="L6712" s="2" t="s">
        <v>31923</v>
      </c>
      <c r="M6712" s="2" t="s">
        <v>32350</v>
      </c>
      <c r="N6712" s="2" t="s">
        <v>32351</v>
      </c>
      <c r="O6712" s="2" t="s">
        <v>869</v>
      </c>
      <c r="P6712" s="2" t="s">
        <v>870</v>
      </c>
    </row>
    <row r="6713" ht="15.75" customHeight="1">
      <c r="H6713" s="2" t="s">
        <v>32352</v>
      </c>
      <c r="I6713" s="2" t="s">
        <v>32353</v>
      </c>
      <c r="J6713" s="2" t="s">
        <v>32354</v>
      </c>
      <c r="K6713" s="2" t="s">
        <v>15805</v>
      </c>
      <c r="L6713" s="2" t="s">
        <v>31923</v>
      </c>
      <c r="M6713" s="2" t="s">
        <v>32355</v>
      </c>
      <c r="N6713" s="2" t="s">
        <v>32356</v>
      </c>
      <c r="O6713" s="2" t="s">
        <v>869</v>
      </c>
      <c r="P6713" s="2" t="s">
        <v>870</v>
      </c>
    </row>
    <row r="6714" ht="15.75" customHeight="1">
      <c r="H6714" s="2" t="s">
        <v>32357</v>
      </c>
      <c r="I6714" s="2" t="s">
        <v>1306</v>
      </c>
      <c r="J6714" s="2" t="s">
        <v>1307</v>
      </c>
      <c r="K6714" s="2" t="s">
        <v>24137</v>
      </c>
      <c r="L6714" s="2" t="s">
        <v>31923</v>
      </c>
      <c r="M6714" s="2" t="s">
        <v>32358</v>
      </c>
      <c r="N6714" s="2" t="s">
        <v>32359</v>
      </c>
      <c r="O6714" s="2" t="s">
        <v>869</v>
      </c>
      <c r="P6714" s="2" t="s">
        <v>870</v>
      </c>
    </row>
    <row r="6715" ht="15.75" customHeight="1">
      <c r="H6715" s="2" t="s">
        <v>32360</v>
      </c>
      <c r="I6715" s="2" t="s">
        <v>6721</v>
      </c>
      <c r="J6715" s="2" t="s">
        <v>6722</v>
      </c>
      <c r="K6715" s="2" t="s">
        <v>22055</v>
      </c>
      <c r="L6715" s="2" t="s">
        <v>31923</v>
      </c>
      <c r="M6715" s="2" t="s">
        <v>6724</v>
      </c>
      <c r="N6715" s="2" t="s">
        <v>32361</v>
      </c>
      <c r="O6715" s="2" t="s">
        <v>869</v>
      </c>
      <c r="P6715" s="2" t="s">
        <v>870</v>
      </c>
    </row>
    <row r="6716" ht="15.75" customHeight="1">
      <c r="H6716" s="2" t="s">
        <v>32362</v>
      </c>
      <c r="I6716" s="2" t="s">
        <v>32363</v>
      </c>
      <c r="J6716" s="2" t="s">
        <v>32364</v>
      </c>
      <c r="K6716" s="2" t="s">
        <v>31977</v>
      </c>
      <c r="L6716" s="2" t="s">
        <v>31923</v>
      </c>
      <c r="M6716" s="2" t="s">
        <v>32365</v>
      </c>
      <c r="N6716" s="2" t="s">
        <v>32366</v>
      </c>
      <c r="O6716" s="2" t="s">
        <v>869</v>
      </c>
      <c r="P6716" s="2" t="s">
        <v>870</v>
      </c>
    </row>
    <row r="6717" ht="15.75" customHeight="1">
      <c r="H6717" s="2" t="s">
        <v>32367</v>
      </c>
      <c r="I6717" s="2" t="s">
        <v>32368</v>
      </c>
      <c r="J6717" s="2" t="s">
        <v>32369</v>
      </c>
      <c r="K6717" s="2" t="s">
        <v>22050</v>
      </c>
      <c r="L6717" s="2" t="s">
        <v>31923</v>
      </c>
      <c r="M6717" s="2" t="s">
        <v>32370</v>
      </c>
      <c r="N6717" s="2" t="s">
        <v>32371</v>
      </c>
      <c r="O6717" s="2" t="s">
        <v>869</v>
      </c>
      <c r="P6717" s="2" t="s">
        <v>870</v>
      </c>
    </row>
    <row r="6718" ht="15.75" customHeight="1">
      <c r="H6718" s="2" t="s">
        <v>32372</v>
      </c>
      <c r="I6718" s="2" t="s">
        <v>1317</v>
      </c>
      <c r="J6718" s="2" t="s">
        <v>1318</v>
      </c>
      <c r="K6718" s="2" t="s">
        <v>31463</v>
      </c>
      <c r="L6718" s="2" t="s">
        <v>31923</v>
      </c>
      <c r="M6718" s="2" t="s">
        <v>6738</v>
      </c>
      <c r="N6718" s="2" t="s">
        <v>32373</v>
      </c>
      <c r="O6718" s="2" t="s">
        <v>869</v>
      </c>
      <c r="P6718" s="2" t="s">
        <v>870</v>
      </c>
    </row>
    <row r="6719" ht="15.75" customHeight="1">
      <c r="H6719" s="2" t="s">
        <v>32374</v>
      </c>
      <c r="I6719" s="2" t="s">
        <v>32375</v>
      </c>
      <c r="J6719" s="2" t="s">
        <v>32376</v>
      </c>
      <c r="K6719" s="2" t="s">
        <v>25128</v>
      </c>
      <c r="L6719" s="2" t="s">
        <v>31923</v>
      </c>
      <c r="M6719" s="2" t="s">
        <v>32377</v>
      </c>
      <c r="N6719" s="2" t="s">
        <v>32378</v>
      </c>
      <c r="O6719" s="2" t="s">
        <v>869</v>
      </c>
      <c r="P6719" s="2" t="s">
        <v>870</v>
      </c>
    </row>
    <row r="6720" ht="15.75" customHeight="1">
      <c r="H6720" s="2" t="s">
        <v>32379</v>
      </c>
      <c r="I6720" s="2" t="s">
        <v>1759</v>
      </c>
      <c r="J6720" s="2" t="s">
        <v>1760</v>
      </c>
      <c r="K6720" s="2" t="s">
        <v>25133</v>
      </c>
      <c r="L6720" s="2" t="s">
        <v>31923</v>
      </c>
      <c r="M6720" s="2" t="s">
        <v>32380</v>
      </c>
      <c r="N6720" s="2" t="s">
        <v>32381</v>
      </c>
      <c r="O6720" s="2" t="s">
        <v>869</v>
      </c>
      <c r="P6720" s="2" t="s">
        <v>870</v>
      </c>
    </row>
    <row r="6721" ht="15.75" customHeight="1">
      <c r="H6721" s="2" t="s">
        <v>32382</v>
      </c>
      <c r="I6721" s="2" t="s">
        <v>32383</v>
      </c>
      <c r="J6721" s="2" t="s">
        <v>32384</v>
      </c>
      <c r="K6721" s="2" t="s">
        <v>25287</v>
      </c>
      <c r="L6721" s="2" t="s">
        <v>31923</v>
      </c>
      <c r="M6721" s="2" t="s">
        <v>32385</v>
      </c>
      <c r="N6721" s="2" t="s">
        <v>32386</v>
      </c>
      <c r="O6721" s="2" t="s">
        <v>869</v>
      </c>
      <c r="P6721" s="2" t="s">
        <v>870</v>
      </c>
    </row>
    <row r="6722" ht="15.75" customHeight="1">
      <c r="H6722" s="2" t="s">
        <v>32387</v>
      </c>
      <c r="I6722" s="2" t="s">
        <v>32388</v>
      </c>
      <c r="J6722" s="2" t="s">
        <v>32389</v>
      </c>
      <c r="K6722" s="2" t="s">
        <v>6058</v>
      </c>
      <c r="L6722" s="2" t="s">
        <v>31923</v>
      </c>
      <c r="M6722" s="2" t="s">
        <v>32390</v>
      </c>
      <c r="N6722" s="2" t="s">
        <v>32391</v>
      </c>
      <c r="O6722" s="2" t="s">
        <v>869</v>
      </c>
      <c r="P6722" s="2" t="s">
        <v>870</v>
      </c>
    </row>
    <row r="6723" ht="15.75" customHeight="1">
      <c r="H6723" s="2" t="s">
        <v>32392</v>
      </c>
      <c r="I6723" s="2" t="s">
        <v>6753</v>
      </c>
      <c r="J6723" s="2" t="s">
        <v>6754</v>
      </c>
      <c r="K6723" s="2" t="s">
        <v>32142</v>
      </c>
      <c r="L6723" s="2" t="s">
        <v>31923</v>
      </c>
      <c r="M6723" s="2" t="s">
        <v>32393</v>
      </c>
      <c r="N6723" s="2" t="s">
        <v>32394</v>
      </c>
      <c r="O6723" s="2" t="s">
        <v>869</v>
      </c>
      <c r="P6723" s="2" t="s">
        <v>870</v>
      </c>
    </row>
    <row r="6724" ht="15.75" customHeight="1">
      <c r="H6724" s="2" t="s">
        <v>32395</v>
      </c>
      <c r="I6724" s="2" t="s">
        <v>32396</v>
      </c>
      <c r="J6724" s="2" t="s">
        <v>32397</v>
      </c>
      <c r="K6724" s="2" t="s">
        <v>6074</v>
      </c>
      <c r="L6724" s="2" t="s">
        <v>31923</v>
      </c>
      <c r="M6724" s="2" t="s">
        <v>32398</v>
      </c>
      <c r="N6724" s="2" t="s">
        <v>32399</v>
      </c>
      <c r="O6724" s="2" t="s">
        <v>869</v>
      </c>
      <c r="P6724" s="2" t="s">
        <v>870</v>
      </c>
    </row>
    <row r="6725" ht="15.75" customHeight="1">
      <c r="H6725" s="2" t="s">
        <v>32400</v>
      </c>
      <c r="I6725" s="2" t="s">
        <v>32401</v>
      </c>
      <c r="J6725" s="2" t="s">
        <v>32402</v>
      </c>
      <c r="K6725" s="2" t="s">
        <v>24173</v>
      </c>
      <c r="L6725" s="2" t="s">
        <v>31923</v>
      </c>
      <c r="M6725" s="2" t="s">
        <v>32403</v>
      </c>
      <c r="N6725" s="2" t="s">
        <v>32404</v>
      </c>
      <c r="O6725" s="2" t="s">
        <v>869</v>
      </c>
      <c r="P6725" s="2" t="s">
        <v>870</v>
      </c>
    </row>
    <row r="6726" ht="15.75" customHeight="1">
      <c r="H6726" s="2" t="s">
        <v>32405</v>
      </c>
      <c r="I6726" s="2" t="s">
        <v>1340</v>
      </c>
      <c r="J6726" s="2" t="s">
        <v>1341</v>
      </c>
      <c r="K6726" s="2" t="s">
        <v>32406</v>
      </c>
      <c r="L6726" s="2" t="s">
        <v>31923</v>
      </c>
      <c r="M6726" s="2" t="s">
        <v>32407</v>
      </c>
      <c r="N6726" s="2" t="s">
        <v>32408</v>
      </c>
      <c r="O6726" s="2" t="s">
        <v>869</v>
      </c>
      <c r="P6726" s="2" t="s">
        <v>870</v>
      </c>
    </row>
    <row r="6727" ht="15.75" customHeight="1">
      <c r="H6727" s="2" t="s">
        <v>32409</v>
      </c>
      <c r="I6727" s="2" t="s">
        <v>18679</v>
      </c>
      <c r="J6727" s="2" t="s">
        <v>18680</v>
      </c>
      <c r="K6727" s="2" t="s">
        <v>4429</v>
      </c>
    </row>
    <row r="6728" ht="15.75" customHeight="1">
      <c r="F6728" s="2" t="s">
        <v>56</v>
      </c>
      <c r="H6728" s="2" t="s">
        <v>32410</v>
      </c>
      <c r="I6728" s="2" t="s">
        <v>32411</v>
      </c>
      <c r="J6728" s="2" t="s">
        <v>32412</v>
      </c>
      <c r="K6728" s="2" t="s">
        <v>22462</v>
      </c>
      <c r="L6728" s="2" t="s">
        <v>31923</v>
      </c>
      <c r="M6728" s="2" t="s">
        <v>32413</v>
      </c>
      <c r="N6728" s="2" t="s">
        <v>869</v>
      </c>
      <c r="O6728" s="2" t="s">
        <v>870</v>
      </c>
    </row>
    <row r="6729" ht="15.75" customHeight="1">
      <c r="H6729" s="2" t="s">
        <v>32414</v>
      </c>
      <c r="I6729" s="2" t="s">
        <v>58</v>
      </c>
      <c r="J6729" s="2" t="s">
        <v>59</v>
      </c>
      <c r="K6729" s="2" t="s">
        <v>15897</v>
      </c>
      <c r="L6729" s="2" t="s">
        <v>31923</v>
      </c>
      <c r="M6729" s="2" t="s">
        <v>32415</v>
      </c>
      <c r="N6729" s="2" t="s">
        <v>32416</v>
      </c>
      <c r="O6729" s="2" t="s">
        <v>869</v>
      </c>
      <c r="P6729" s="2" t="s">
        <v>870</v>
      </c>
    </row>
    <row r="6730" ht="15.75" customHeight="1">
      <c r="H6730" s="2" t="s">
        <v>32417</v>
      </c>
      <c r="I6730" s="2" t="s">
        <v>32418</v>
      </c>
      <c r="J6730" s="2" t="s">
        <v>32419</v>
      </c>
      <c r="K6730" s="2" t="s">
        <v>31897</v>
      </c>
      <c r="L6730" s="2" t="s">
        <v>31923</v>
      </c>
      <c r="M6730" s="2" t="s">
        <v>6821</v>
      </c>
      <c r="N6730" s="2" t="s">
        <v>869</v>
      </c>
      <c r="O6730" s="2" t="s">
        <v>870</v>
      </c>
    </row>
    <row r="6731" ht="15.75" customHeight="1">
      <c r="H6731" s="2" t="s">
        <v>32420</v>
      </c>
      <c r="I6731" s="2" t="s">
        <v>32421</v>
      </c>
      <c r="J6731" s="2" t="s">
        <v>32422</v>
      </c>
      <c r="K6731" s="2" t="s">
        <v>6054</v>
      </c>
      <c r="L6731" s="2" t="s">
        <v>31923</v>
      </c>
      <c r="M6731" s="2" t="s">
        <v>32423</v>
      </c>
      <c r="N6731" s="2" t="s">
        <v>32424</v>
      </c>
      <c r="O6731" s="2" t="s">
        <v>869</v>
      </c>
      <c r="P6731" s="2" t="s">
        <v>870</v>
      </c>
    </row>
    <row r="6732" ht="15.75" customHeight="1">
      <c r="H6732" s="2" t="s">
        <v>32425</v>
      </c>
      <c r="I6732" s="2" t="s">
        <v>6831</v>
      </c>
      <c r="J6732" s="2" t="s">
        <v>6832</v>
      </c>
      <c r="K6732" s="2" t="s">
        <v>6046</v>
      </c>
      <c r="L6732" s="2" t="s">
        <v>31923</v>
      </c>
      <c r="M6732" s="2" t="s">
        <v>6834</v>
      </c>
      <c r="N6732" s="2" t="s">
        <v>32426</v>
      </c>
      <c r="O6732" s="2" t="s">
        <v>869</v>
      </c>
      <c r="P6732" s="2" t="s">
        <v>870</v>
      </c>
    </row>
    <row r="6733" ht="15.75" customHeight="1">
      <c r="H6733" s="2" t="s">
        <v>32427</v>
      </c>
      <c r="I6733" s="2" t="s">
        <v>32428</v>
      </c>
      <c r="J6733" s="2" t="s">
        <v>32429</v>
      </c>
      <c r="K6733" s="2" t="s">
        <v>31317</v>
      </c>
      <c r="L6733" s="2" t="s">
        <v>31923</v>
      </c>
      <c r="M6733" s="2" t="s">
        <v>32430</v>
      </c>
      <c r="N6733" s="2" t="s">
        <v>32431</v>
      </c>
      <c r="O6733" s="2" t="s">
        <v>869</v>
      </c>
      <c r="P6733" s="2" t="s">
        <v>870</v>
      </c>
    </row>
    <row r="6734" ht="15.75" customHeight="1">
      <c r="H6734" s="2" t="s">
        <v>32432</v>
      </c>
      <c r="I6734" s="2" t="s">
        <v>6850</v>
      </c>
      <c r="J6734" s="2" t="s">
        <v>6851</v>
      </c>
      <c r="K6734" s="2" t="s">
        <v>15890</v>
      </c>
      <c r="L6734" s="2" t="s">
        <v>31923</v>
      </c>
      <c r="M6734" s="2" t="s">
        <v>32433</v>
      </c>
      <c r="N6734" s="2" t="s">
        <v>32434</v>
      </c>
      <c r="O6734" s="2" t="s">
        <v>869</v>
      </c>
      <c r="P6734" s="2" t="s">
        <v>870</v>
      </c>
    </row>
    <row r="6735" ht="15.75" customHeight="1">
      <c r="H6735" s="2" t="s">
        <v>32435</v>
      </c>
      <c r="I6735" s="2" t="s">
        <v>25439</v>
      </c>
      <c r="J6735" s="2" t="s">
        <v>25440</v>
      </c>
      <c r="K6735" s="2" t="s">
        <v>15805</v>
      </c>
      <c r="L6735" s="2" t="s">
        <v>31923</v>
      </c>
      <c r="M6735" s="2" t="s">
        <v>32436</v>
      </c>
      <c r="N6735" s="2" t="s">
        <v>32437</v>
      </c>
      <c r="O6735" s="2" t="s">
        <v>869</v>
      </c>
      <c r="P6735" s="2" t="s">
        <v>870</v>
      </c>
    </row>
    <row r="6736" ht="15.75" customHeight="1">
      <c r="H6736" s="2" t="s">
        <v>32438</v>
      </c>
      <c r="I6736" s="2" t="s">
        <v>1387</v>
      </c>
      <c r="J6736" s="2" t="s">
        <v>1388</v>
      </c>
      <c r="K6736" s="2" t="s">
        <v>22104</v>
      </c>
      <c r="L6736" s="2" t="s">
        <v>31923</v>
      </c>
      <c r="M6736" s="2" t="s">
        <v>1389</v>
      </c>
      <c r="N6736" s="2" t="s">
        <v>32439</v>
      </c>
      <c r="O6736" s="2" t="s">
        <v>869</v>
      </c>
      <c r="P6736" s="2" t="s">
        <v>870</v>
      </c>
    </row>
    <row r="6737" ht="15.75" customHeight="1">
      <c r="H6737" s="2" t="s">
        <v>32440</v>
      </c>
      <c r="I6737" s="2" t="s">
        <v>1996</v>
      </c>
      <c r="J6737" s="2" t="s">
        <v>1997</v>
      </c>
      <c r="K6737" s="2" t="s">
        <v>24109</v>
      </c>
      <c r="L6737" s="2" t="s">
        <v>31923</v>
      </c>
      <c r="M6737" s="2" t="s">
        <v>32441</v>
      </c>
      <c r="N6737" s="2" t="s">
        <v>32442</v>
      </c>
      <c r="O6737" s="2" t="s">
        <v>869</v>
      </c>
      <c r="P6737" s="2" t="s">
        <v>870</v>
      </c>
    </row>
    <row r="6738" ht="15.75" customHeight="1">
      <c r="H6738" s="2" t="s">
        <v>32443</v>
      </c>
      <c r="I6738" s="2" t="s">
        <v>32444</v>
      </c>
      <c r="J6738" s="2" t="s">
        <v>32445</v>
      </c>
      <c r="K6738" s="2" t="s">
        <v>31977</v>
      </c>
      <c r="L6738" s="2" t="s">
        <v>31923</v>
      </c>
      <c r="M6738" s="2" t="s">
        <v>32446</v>
      </c>
      <c r="N6738" s="2" t="s">
        <v>32447</v>
      </c>
      <c r="O6738" s="2" t="s">
        <v>869</v>
      </c>
      <c r="P6738" s="2" t="s">
        <v>870</v>
      </c>
    </row>
    <row r="6739" ht="15.75" customHeight="1">
      <c r="H6739" s="2" t="s">
        <v>32448</v>
      </c>
      <c r="I6739" s="2" t="s">
        <v>32449</v>
      </c>
      <c r="J6739" s="2" t="s">
        <v>32450</v>
      </c>
      <c r="K6739" s="2" t="s">
        <v>31463</v>
      </c>
      <c r="L6739" s="2" t="s">
        <v>31923</v>
      </c>
      <c r="M6739" s="2" t="s">
        <v>32451</v>
      </c>
      <c r="N6739" s="2" t="s">
        <v>32452</v>
      </c>
      <c r="O6739" s="2" t="s">
        <v>869</v>
      </c>
      <c r="P6739" s="2" t="s">
        <v>870</v>
      </c>
    </row>
    <row r="6740" ht="15.75" customHeight="1">
      <c r="H6740" s="2" t="s">
        <v>32453</v>
      </c>
      <c r="I6740" s="2" t="s">
        <v>4528</v>
      </c>
      <c r="J6740" s="2" t="s">
        <v>4529</v>
      </c>
      <c r="K6740" s="2" t="s">
        <v>22055</v>
      </c>
      <c r="L6740" s="2" t="s">
        <v>31923</v>
      </c>
      <c r="M6740" s="2" t="s">
        <v>32454</v>
      </c>
      <c r="N6740" s="2" t="s">
        <v>32455</v>
      </c>
      <c r="O6740" s="2" t="s">
        <v>869</v>
      </c>
      <c r="P6740" s="2" t="s">
        <v>870</v>
      </c>
    </row>
    <row r="6741" ht="15.75" customHeight="1">
      <c r="H6741" s="2" t="s">
        <v>32456</v>
      </c>
      <c r="I6741" s="2" t="s">
        <v>32457</v>
      </c>
      <c r="J6741" s="2" t="s">
        <v>32458</v>
      </c>
      <c r="K6741" s="2" t="s">
        <v>25133</v>
      </c>
      <c r="L6741" s="2" t="s">
        <v>31923</v>
      </c>
      <c r="M6741" s="2" t="s">
        <v>32459</v>
      </c>
      <c r="N6741" s="2" t="s">
        <v>869</v>
      </c>
      <c r="O6741" s="2" t="s">
        <v>870</v>
      </c>
    </row>
    <row r="6742" ht="15.75" customHeight="1">
      <c r="H6742" s="2" t="s">
        <v>32460</v>
      </c>
      <c r="I6742" s="2" t="s">
        <v>1025</v>
      </c>
      <c r="J6742" s="2" t="s">
        <v>1026</v>
      </c>
      <c r="K6742" s="2" t="s">
        <v>32461</v>
      </c>
      <c r="L6742" s="2" t="s">
        <v>31923</v>
      </c>
      <c r="M6742" s="2" t="s">
        <v>32462</v>
      </c>
      <c r="N6742" s="2" t="s">
        <v>32463</v>
      </c>
      <c r="O6742" s="2" t="s">
        <v>869</v>
      </c>
      <c r="P6742" s="2" t="s">
        <v>870</v>
      </c>
    </row>
    <row r="6743" ht="15.75" customHeight="1">
      <c r="H6743" s="2" t="s">
        <v>32464</v>
      </c>
      <c r="I6743" s="2" t="s">
        <v>32465</v>
      </c>
      <c r="J6743" s="2" t="s">
        <v>32466</v>
      </c>
      <c r="K6743" s="2" t="s">
        <v>31469</v>
      </c>
      <c r="L6743" s="2" t="s">
        <v>31923</v>
      </c>
      <c r="M6743" s="2" t="s">
        <v>32467</v>
      </c>
      <c r="N6743" s="2" t="s">
        <v>32468</v>
      </c>
      <c r="O6743" s="2" t="s">
        <v>869</v>
      </c>
      <c r="P6743" s="2" t="s">
        <v>870</v>
      </c>
    </row>
    <row r="6744" ht="15.75" customHeight="1">
      <c r="H6744" s="2" t="s">
        <v>32469</v>
      </c>
      <c r="I6744" s="2" t="s">
        <v>6914</v>
      </c>
      <c r="J6744" s="2" t="s">
        <v>6915</v>
      </c>
      <c r="K6744" s="2" t="s">
        <v>24173</v>
      </c>
      <c r="L6744" s="2" t="s">
        <v>31923</v>
      </c>
      <c r="M6744" s="2" t="s">
        <v>6917</v>
      </c>
      <c r="N6744" s="2" t="s">
        <v>32470</v>
      </c>
      <c r="O6744" s="2" t="s">
        <v>869</v>
      </c>
      <c r="P6744" s="2" t="s">
        <v>870</v>
      </c>
    </row>
    <row r="6745" ht="15.75" customHeight="1">
      <c r="H6745" s="2" t="s">
        <v>32471</v>
      </c>
      <c r="I6745" s="2" t="s">
        <v>6933</v>
      </c>
      <c r="J6745" s="2" t="s">
        <v>6934</v>
      </c>
      <c r="K6745" s="2" t="s">
        <v>32267</v>
      </c>
      <c r="L6745" s="2" t="s">
        <v>31923</v>
      </c>
      <c r="M6745" s="2" t="s">
        <v>32472</v>
      </c>
      <c r="N6745" s="2" t="s">
        <v>32473</v>
      </c>
      <c r="O6745" s="2" t="s">
        <v>869</v>
      </c>
      <c r="P6745" s="2" t="s">
        <v>870</v>
      </c>
    </row>
    <row r="6746" ht="15.75" customHeight="1">
      <c r="H6746" s="2" t="s">
        <v>32474</v>
      </c>
      <c r="I6746" s="2" t="s">
        <v>32475</v>
      </c>
      <c r="J6746" s="2" t="s">
        <v>32476</v>
      </c>
      <c r="K6746" s="2" t="s">
        <v>32271</v>
      </c>
      <c r="L6746" s="2" t="s">
        <v>31923</v>
      </c>
      <c r="M6746" s="2" t="s">
        <v>32477</v>
      </c>
      <c r="N6746" s="2" t="s">
        <v>32478</v>
      </c>
      <c r="O6746" s="2" t="s">
        <v>869</v>
      </c>
      <c r="P6746" s="2" t="s">
        <v>870</v>
      </c>
    </row>
    <row r="6747" ht="15.75" customHeight="1">
      <c r="H6747" s="2" t="s">
        <v>32479</v>
      </c>
      <c r="I6747" s="2" t="s">
        <v>32480</v>
      </c>
      <c r="J6747" s="2" t="s">
        <v>32481</v>
      </c>
      <c r="K6747" s="2" t="s">
        <v>15819</v>
      </c>
      <c r="L6747" s="2" t="s">
        <v>31923</v>
      </c>
      <c r="M6747" s="2" t="s">
        <v>32482</v>
      </c>
      <c r="N6747" s="2" t="s">
        <v>32483</v>
      </c>
      <c r="O6747" s="2" t="s">
        <v>869</v>
      </c>
      <c r="P6747" s="2" t="s">
        <v>870</v>
      </c>
    </row>
    <row r="6748" ht="15.75" customHeight="1">
      <c r="F6748" s="2" t="s">
        <v>65</v>
      </c>
      <c r="H6748" s="2" t="s">
        <v>32484</v>
      </c>
      <c r="I6748" s="2" t="s">
        <v>27343</v>
      </c>
      <c r="J6748" s="2" t="s">
        <v>27344</v>
      </c>
      <c r="K6748" s="2" t="s">
        <v>24014</v>
      </c>
      <c r="L6748" s="2" t="s">
        <v>31923</v>
      </c>
      <c r="M6748" s="2" t="s">
        <v>28893</v>
      </c>
      <c r="N6748" s="2" t="s">
        <v>32485</v>
      </c>
      <c r="O6748" s="2" t="s">
        <v>869</v>
      </c>
      <c r="P6748" s="2" t="s">
        <v>870</v>
      </c>
    </row>
    <row r="6749" ht="15.75" customHeight="1">
      <c r="H6749" s="2" t="s">
        <v>32486</v>
      </c>
      <c r="I6749" s="2" t="s">
        <v>67</v>
      </c>
      <c r="J6749" s="2" t="s">
        <v>68</v>
      </c>
      <c r="K6749" s="2" t="s">
        <v>24665</v>
      </c>
      <c r="L6749" s="2" t="s">
        <v>31923</v>
      </c>
      <c r="M6749" s="2" t="s">
        <v>28897</v>
      </c>
      <c r="N6749" s="2" t="s">
        <v>32487</v>
      </c>
      <c r="O6749" s="2" t="s">
        <v>869</v>
      </c>
      <c r="P6749" s="2" t="s">
        <v>870</v>
      </c>
    </row>
    <row r="6750" ht="15.75" customHeight="1">
      <c r="H6750" s="2" t="s">
        <v>32488</v>
      </c>
      <c r="I6750" s="2" t="s">
        <v>32489</v>
      </c>
      <c r="J6750" s="2" t="s">
        <v>32490</v>
      </c>
      <c r="K6750" s="2" t="s">
        <v>15901</v>
      </c>
      <c r="L6750" s="2" t="s">
        <v>31923</v>
      </c>
      <c r="M6750" s="2" t="s">
        <v>32491</v>
      </c>
      <c r="N6750" s="2" t="s">
        <v>32492</v>
      </c>
      <c r="O6750" s="2" t="s">
        <v>869</v>
      </c>
      <c r="P6750" s="2" t="s">
        <v>870</v>
      </c>
    </row>
    <row r="6751" ht="15.75" customHeight="1">
      <c r="H6751" s="2" t="s">
        <v>32493</v>
      </c>
      <c r="I6751" s="2" t="s">
        <v>27371</v>
      </c>
      <c r="J6751" s="2" t="s">
        <v>27372</v>
      </c>
      <c r="K6751" s="2" t="s">
        <v>25032</v>
      </c>
      <c r="L6751" s="2" t="s">
        <v>31923</v>
      </c>
      <c r="M6751" s="2" t="s">
        <v>32494</v>
      </c>
      <c r="N6751" s="2" t="s">
        <v>32495</v>
      </c>
      <c r="O6751" s="2" t="s">
        <v>869</v>
      </c>
      <c r="P6751" s="2" t="s">
        <v>870</v>
      </c>
    </row>
    <row r="6752" ht="15.75" customHeight="1">
      <c r="H6752" s="2" t="s">
        <v>32496</v>
      </c>
      <c r="I6752" s="2" t="s">
        <v>1759</v>
      </c>
      <c r="J6752" s="2" t="s">
        <v>1760</v>
      </c>
      <c r="K6752" s="2" t="s">
        <v>24578</v>
      </c>
      <c r="L6752" s="2" t="s">
        <v>31923</v>
      </c>
      <c r="M6752" s="2" t="s">
        <v>32497</v>
      </c>
      <c r="N6752" s="2" t="s">
        <v>32498</v>
      </c>
      <c r="O6752" s="2" t="s">
        <v>869</v>
      </c>
      <c r="P6752" s="2" t="s">
        <v>870</v>
      </c>
    </row>
    <row r="6753" ht="15.75" customHeight="1">
      <c r="H6753" s="2" t="s">
        <v>32499</v>
      </c>
      <c r="I6753" s="2" t="s">
        <v>27380</v>
      </c>
      <c r="J6753" s="2" t="s">
        <v>27381</v>
      </c>
      <c r="K6753" s="2" t="s">
        <v>15805</v>
      </c>
      <c r="L6753" s="2" t="s">
        <v>31923</v>
      </c>
      <c r="M6753" s="2" t="s">
        <v>32500</v>
      </c>
      <c r="N6753" s="2" t="s">
        <v>32501</v>
      </c>
      <c r="O6753" s="2" t="s">
        <v>869</v>
      </c>
      <c r="P6753" s="2" t="s">
        <v>870</v>
      </c>
    </row>
    <row r="6754" ht="15.75" customHeight="1">
      <c r="H6754" s="2" t="s">
        <v>32502</v>
      </c>
      <c r="I6754" s="2" t="s">
        <v>1506</v>
      </c>
      <c r="J6754" s="2" t="s">
        <v>1507</v>
      </c>
      <c r="K6754" s="2" t="s">
        <v>15868</v>
      </c>
      <c r="L6754" s="2" t="s">
        <v>31923</v>
      </c>
      <c r="M6754" s="2" t="s">
        <v>32503</v>
      </c>
      <c r="N6754" s="2" t="s">
        <v>32504</v>
      </c>
      <c r="O6754" s="2" t="s">
        <v>869</v>
      </c>
      <c r="P6754" s="2" t="s">
        <v>870</v>
      </c>
    </row>
    <row r="6755" ht="15.75" customHeight="1">
      <c r="H6755" s="2" t="s">
        <v>32505</v>
      </c>
      <c r="I6755" s="2" t="s">
        <v>27394</v>
      </c>
      <c r="J6755" s="2" t="s">
        <v>27395</v>
      </c>
      <c r="K6755" s="2" t="s">
        <v>24109</v>
      </c>
      <c r="L6755" s="2" t="s">
        <v>31923</v>
      </c>
      <c r="M6755" s="2" t="s">
        <v>32506</v>
      </c>
      <c r="N6755" s="2" t="s">
        <v>32507</v>
      </c>
      <c r="O6755" s="2" t="s">
        <v>869</v>
      </c>
      <c r="P6755" s="2" t="s">
        <v>870</v>
      </c>
    </row>
    <row r="6756" ht="15.75" customHeight="1">
      <c r="F6756" s="2" t="s">
        <v>74</v>
      </c>
      <c r="H6756" s="2" t="s">
        <v>32508</v>
      </c>
      <c r="I6756" s="2" t="s">
        <v>76</v>
      </c>
      <c r="J6756" s="2" t="s">
        <v>77</v>
      </c>
      <c r="K6756" s="2" t="s">
        <v>24014</v>
      </c>
      <c r="L6756" s="2" t="s">
        <v>32509</v>
      </c>
      <c r="M6756" s="2" t="s">
        <v>32510</v>
      </c>
      <c r="N6756" s="2" t="s">
        <v>32511</v>
      </c>
      <c r="O6756" s="2" t="s">
        <v>869</v>
      </c>
      <c r="P6756" s="2" t="s">
        <v>870</v>
      </c>
    </row>
    <row r="6757" ht="15.75" customHeight="1">
      <c r="H6757" s="2" t="s">
        <v>32512</v>
      </c>
      <c r="I6757" s="2" t="s">
        <v>32513</v>
      </c>
      <c r="J6757" s="2" t="s">
        <v>32514</v>
      </c>
      <c r="K6757" s="2" t="s">
        <v>25009</v>
      </c>
      <c r="L6757" s="2" t="s">
        <v>31923</v>
      </c>
      <c r="M6757" s="2" t="s">
        <v>32515</v>
      </c>
      <c r="N6757" s="2" t="s">
        <v>32516</v>
      </c>
      <c r="O6757" s="2" t="s">
        <v>869</v>
      </c>
      <c r="P6757" s="2" t="s">
        <v>870</v>
      </c>
    </row>
    <row r="6758" ht="15.75" customHeight="1">
      <c r="H6758" s="2" t="s">
        <v>32517</v>
      </c>
      <c r="I6758" s="2" t="s">
        <v>6964</v>
      </c>
      <c r="J6758" s="2" t="s">
        <v>6965</v>
      </c>
      <c r="K6758" s="2" t="s">
        <v>6050</v>
      </c>
      <c r="L6758" s="2" t="s">
        <v>31923</v>
      </c>
      <c r="M6758" s="2" t="s">
        <v>6967</v>
      </c>
      <c r="N6758" s="2" t="s">
        <v>32518</v>
      </c>
      <c r="O6758" s="2" t="s">
        <v>869</v>
      </c>
      <c r="P6758" s="2" t="s">
        <v>870</v>
      </c>
    </row>
    <row r="6759" ht="15.75" customHeight="1">
      <c r="H6759" s="2" t="s">
        <v>32519</v>
      </c>
      <c r="I6759" s="2" t="s">
        <v>1535</v>
      </c>
      <c r="J6759" s="2" t="s">
        <v>1536</v>
      </c>
      <c r="K6759" s="2" t="s">
        <v>24578</v>
      </c>
      <c r="L6759" s="2" t="s">
        <v>31923</v>
      </c>
      <c r="M6759" s="2" t="s">
        <v>32520</v>
      </c>
      <c r="N6759" s="2" t="s">
        <v>32521</v>
      </c>
      <c r="O6759" s="2" t="s">
        <v>869</v>
      </c>
      <c r="P6759" s="2" t="s">
        <v>870</v>
      </c>
    </row>
    <row r="6760" ht="15.75" customHeight="1">
      <c r="H6760" s="2" t="s">
        <v>32522</v>
      </c>
      <c r="I6760" s="2" t="s">
        <v>93</v>
      </c>
      <c r="J6760" s="2" t="s">
        <v>94</v>
      </c>
      <c r="K6760" s="2" t="s">
        <v>31344</v>
      </c>
      <c r="L6760" s="2" t="s">
        <v>31923</v>
      </c>
      <c r="M6760" s="2" t="s">
        <v>32523</v>
      </c>
      <c r="N6760" s="2" t="s">
        <v>32524</v>
      </c>
      <c r="O6760" s="2" t="s">
        <v>869</v>
      </c>
      <c r="P6760" s="2" t="s">
        <v>870</v>
      </c>
    </row>
    <row r="6761" ht="15.75" customHeight="1">
      <c r="H6761" s="2" t="s">
        <v>32525</v>
      </c>
      <c r="I6761" s="2" t="s">
        <v>32526</v>
      </c>
      <c r="J6761" s="2" t="s">
        <v>32527</v>
      </c>
      <c r="K6761" s="2" t="s">
        <v>24379</v>
      </c>
      <c r="L6761" s="2" t="s">
        <v>31923</v>
      </c>
      <c r="M6761" s="2" t="s">
        <v>32528</v>
      </c>
      <c r="N6761" s="2" t="s">
        <v>32529</v>
      </c>
      <c r="O6761" s="2" t="s">
        <v>869</v>
      </c>
      <c r="P6761" s="2" t="s">
        <v>870</v>
      </c>
    </row>
    <row r="6762" ht="15.75" customHeight="1">
      <c r="H6762" s="2" t="s">
        <v>32530</v>
      </c>
      <c r="I6762" s="2" t="s">
        <v>32531</v>
      </c>
      <c r="J6762" s="2" t="s">
        <v>32532</v>
      </c>
      <c r="K6762" s="2" t="s">
        <v>24102</v>
      </c>
      <c r="L6762" s="2" t="s">
        <v>31923</v>
      </c>
      <c r="M6762" s="2" t="s">
        <v>32533</v>
      </c>
      <c r="N6762" s="2" t="s">
        <v>32534</v>
      </c>
      <c r="O6762" s="2" t="s">
        <v>869</v>
      </c>
      <c r="P6762" s="2" t="s">
        <v>870</v>
      </c>
    </row>
    <row r="6763" ht="15.75" customHeight="1">
      <c r="H6763" s="2" t="s">
        <v>32535</v>
      </c>
      <c r="I6763" s="2" t="s">
        <v>32536</v>
      </c>
      <c r="J6763" s="2" t="s">
        <v>32537</v>
      </c>
      <c r="K6763" s="2" t="s">
        <v>24679</v>
      </c>
      <c r="L6763" s="2" t="s">
        <v>31923</v>
      </c>
      <c r="M6763" s="2" t="s">
        <v>32538</v>
      </c>
      <c r="N6763" s="2" t="s">
        <v>32539</v>
      </c>
      <c r="O6763" s="2" t="s">
        <v>869</v>
      </c>
      <c r="P6763" s="2" t="s">
        <v>870</v>
      </c>
    </row>
    <row r="6764" ht="15.75" customHeight="1">
      <c r="H6764" s="2" t="s">
        <v>32540</v>
      </c>
      <c r="I6764" s="2" t="s">
        <v>109</v>
      </c>
      <c r="J6764" s="2" t="s">
        <v>110</v>
      </c>
      <c r="K6764" s="2" t="s">
        <v>24263</v>
      </c>
      <c r="L6764" s="2" t="s">
        <v>31923</v>
      </c>
      <c r="M6764" s="2" t="s">
        <v>7013</v>
      </c>
      <c r="N6764" s="2" t="s">
        <v>869</v>
      </c>
      <c r="O6764" s="2" t="s">
        <v>870</v>
      </c>
    </row>
    <row r="6765" ht="15.75" customHeight="1">
      <c r="H6765" s="2" t="s">
        <v>32541</v>
      </c>
      <c r="I6765" s="2" t="s">
        <v>32542</v>
      </c>
      <c r="J6765" s="2" t="s">
        <v>32543</v>
      </c>
      <c r="K6765" s="2" t="s">
        <v>6058</v>
      </c>
      <c r="L6765" s="2" t="s">
        <v>31923</v>
      </c>
      <c r="M6765" s="2" t="s">
        <v>32544</v>
      </c>
      <c r="N6765" s="2" t="s">
        <v>32545</v>
      </c>
      <c r="O6765" s="2" t="s">
        <v>869</v>
      </c>
      <c r="P6765" s="2" t="s">
        <v>870</v>
      </c>
    </row>
    <row r="6766" ht="15.75" customHeight="1">
      <c r="H6766" s="2" t="s">
        <v>1596</v>
      </c>
      <c r="I6766" s="2" t="s">
        <v>32546</v>
      </c>
      <c r="J6766" s="2" t="s">
        <v>32547</v>
      </c>
    </row>
    <row r="6767" ht="15.75" customHeight="1">
      <c r="H6767" s="2" t="s">
        <v>32548</v>
      </c>
      <c r="I6767" s="2" t="s">
        <v>1573</v>
      </c>
      <c r="J6767" s="2" t="s">
        <v>1574</v>
      </c>
      <c r="K6767" s="2" t="s">
        <v>6062</v>
      </c>
      <c r="L6767" s="2" t="s">
        <v>31923</v>
      </c>
      <c r="M6767" s="2" t="s">
        <v>32549</v>
      </c>
      <c r="N6767" s="2" t="s">
        <v>32550</v>
      </c>
      <c r="O6767" s="2" t="s">
        <v>869</v>
      </c>
      <c r="P6767" s="2" t="s">
        <v>870</v>
      </c>
    </row>
    <row r="6768" ht="15.75" customHeight="1">
      <c r="H6768" s="2" t="s">
        <v>32551</v>
      </c>
      <c r="I6768" s="2" t="s">
        <v>32552</v>
      </c>
      <c r="J6768" s="2" t="s">
        <v>32553</v>
      </c>
      <c r="K6768" s="2" t="s">
        <v>24173</v>
      </c>
      <c r="L6768" s="2" t="s">
        <v>31923</v>
      </c>
      <c r="M6768" s="2" t="s">
        <v>32554</v>
      </c>
      <c r="N6768" s="2" t="s">
        <v>32555</v>
      </c>
      <c r="O6768" s="2" t="s">
        <v>869</v>
      </c>
      <c r="P6768" s="2" t="s">
        <v>870</v>
      </c>
    </row>
    <row r="6769" ht="15.75" customHeight="1">
      <c r="H6769" s="2" t="s">
        <v>32556</v>
      </c>
      <c r="I6769" s="2" t="s">
        <v>1000</v>
      </c>
      <c r="J6769" s="2" t="s">
        <v>1001</v>
      </c>
      <c r="K6769" s="2" t="s">
        <v>6006</v>
      </c>
      <c r="L6769" s="2" t="s">
        <v>31923</v>
      </c>
      <c r="M6769" s="2" t="s">
        <v>28954</v>
      </c>
      <c r="N6769" s="2" t="s">
        <v>32557</v>
      </c>
      <c r="O6769" s="2" t="s">
        <v>869</v>
      </c>
      <c r="P6769" s="2" t="s">
        <v>870</v>
      </c>
    </row>
    <row r="6770" ht="15.75" customHeight="1">
      <c r="H6770" s="2" t="s">
        <v>32558</v>
      </c>
      <c r="I6770" s="2" t="s">
        <v>18850</v>
      </c>
      <c r="J6770" s="2" t="s">
        <v>18851</v>
      </c>
      <c r="K6770" s="2" t="s">
        <v>32267</v>
      </c>
      <c r="L6770" s="2" t="s">
        <v>31923</v>
      </c>
      <c r="M6770" s="2" t="s">
        <v>32559</v>
      </c>
      <c r="N6770" s="2" t="s">
        <v>32560</v>
      </c>
      <c r="O6770" s="2" t="s">
        <v>869</v>
      </c>
      <c r="P6770" s="2" t="s">
        <v>870</v>
      </c>
    </row>
    <row r="6771" ht="15.75" customHeight="1">
      <c r="H6771" s="2" t="s">
        <v>32561</v>
      </c>
      <c r="I6771" s="2" t="s">
        <v>1600</v>
      </c>
      <c r="J6771" s="2" t="s">
        <v>1601</v>
      </c>
      <c r="K6771" s="2" t="s">
        <v>32271</v>
      </c>
      <c r="L6771" s="2" t="s">
        <v>31923</v>
      </c>
      <c r="M6771" s="2" t="s">
        <v>32562</v>
      </c>
      <c r="N6771" s="2" t="s">
        <v>32563</v>
      </c>
      <c r="O6771" s="2" t="s">
        <v>869</v>
      </c>
      <c r="P6771" s="2" t="s">
        <v>870</v>
      </c>
    </row>
    <row r="6772" ht="15.75" customHeight="1">
      <c r="H6772" s="2" t="s">
        <v>32564</v>
      </c>
      <c r="I6772" s="2" t="s">
        <v>13129</v>
      </c>
      <c r="J6772" s="2" t="s">
        <v>13130</v>
      </c>
      <c r="K6772" s="2" t="s">
        <v>32565</v>
      </c>
      <c r="L6772" s="2" t="s">
        <v>31923</v>
      </c>
      <c r="M6772" s="2" t="s">
        <v>32566</v>
      </c>
      <c r="N6772" s="2" t="s">
        <v>32567</v>
      </c>
      <c r="O6772" s="2" t="s">
        <v>869</v>
      </c>
      <c r="P6772" s="2" t="s">
        <v>870</v>
      </c>
    </row>
    <row r="6773" ht="15.75" customHeight="1">
      <c r="H6773" s="2" t="s">
        <v>32568</v>
      </c>
      <c r="I6773" s="2" t="s">
        <v>32569</v>
      </c>
      <c r="J6773" s="2" t="s">
        <v>32570</v>
      </c>
      <c r="K6773" s="2" t="s">
        <v>24596</v>
      </c>
      <c r="L6773" s="2" t="s">
        <v>31923</v>
      </c>
      <c r="M6773" s="2" t="s">
        <v>32571</v>
      </c>
      <c r="N6773" s="2" t="s">
        <v>32572</v>
      </c>
      <c r="O6773" s="2" t="s">
        <v>869</v>
      </c>
      <c r="P6773" s="2" t="s">
        <v>870</v>
      </c>
    </row>
    <row r="6774" ht="15.75" customHeight="1">
      <c r="H6774" s="2" t="s">
        <v>32573</v>
      </c>
      <c r="I6774" s="2" t="s">
        <v>32574</v>
      </c>
      <c r="J6774" s="2" t="s">
        <v>32575</v>
      </c>
      <c r="K6774" s="2" t="s">
        <v>1151</v>
      </c>
      <c r="L6774" s="2" t="s">
        <v>31923</v>
      </c>
      <c r="M6774" s="2" t="s">
        <v>32576</v>
      </c>
      <c r="N6774" s="2" t="s">
        <v>32577</v>
      </c>
      <c r="O6774" s="2" t="s">
        <v>869</v>
      </c>
      <c r="P6774" s="2" t="s">
        <v>870</v>
      </c>
    </row>
    <row r="6775" ht="15.75" customHeight="1">
      <c r="H6775" s="2" t="s">
        <v>32578</v>
      </c>
      <c r="I6775" s="2" t="s">
        <v>32579</v>
      </c>
      <c r="J6775" s="2" t="s">
        <v>32580</v>
      </c>
      <c r="K6775" s="2" t="s">
        <v>32581</v>
      </c>
      <c r="L6775" s="2" t="s">
        <v>31923</v>
      </c>
      <c r="M6775" s="2" t="s">
        <v>32582</v>
      </c>
      <c r="N6775" s="2" t="s">
        <v>32583</v>
      </c>
      <c r="O6775" s="2" t="s">
        <v>869</v>
      </c>
      <c r="P6775" s="2" t="s">
        <v>870</v>
      </c>
    </row>
    <row r="6776" ht="15.75" customHeight="1">
      <c r="H6776" s="2" t="s">
        <v>32584</v>
      </c>
      <c r="I6776" s="2" t="s">
        <v>7075</v>
      </c>
      <c r="J6776" s="2" t="s">
        <v>7076</v>
      </c>
      <c r="K6776" s="2" t="s">
        <v>6033</v>
      </c>
      <c r="L6776" s="2" t="s">
        <v>31923</v>
      </c>
      <c r="M6776" s="2" t="s">
        <v>32585</v>
      </c>
      <c r="N6776" s="2" t="s">
        <v>869</v>
      </c>
      <c r="O6776" s="2" t="s">
        <v>870</v>
      </c>
    </row>
    <row r="6777" ht="15.75" customHeight="1">
      <c r="H6777" s="2" t="s">
        <v>32586</v>
      </c>
      <c r="I6777" s="2" t="s">
        <v>7081</v>
      </c>
      <c r="J6777" s="2" t="s">
        <v>7082</v>
      </c>
      <c r="K6777" s="2" t="s">
        <v>24655</v>
      </c>
      <c r="L6777" s="2" t="s">
        <v>31923</v>
      </c>
      <c r="M6777" s="2" t="s">
        <v>7084</v>
      </c>
      <c r="N6777" s="2" t="s">
        <v>32587</v>
      </c>
      <c r="O6777" s="2" t="s">
        <v>869</v>
      </c>
      <c r="P6777" s="2" t="s">
        <v>870</v>
      </c>
    </row>
    <row r="6778" ht="15.75" customHeight="1">
      <c r="H6778" s="2" t="s">
        <v>32588</v>
      </c>
      <c r="I6778" s="2" t="s">
        <v>32589</v>
      </c>
      <c r="J6778" s="2" t="s">
        <v>32590</v>
      </c>
      <c r="K6778" s="2" t="s">
        <v>24907</v>
      </c>
      <c r="L6778" s="2" t="s">
        <v>31923</v>
      </c>
      <c r="M6778" s="2" t="s">
        <v>32591</v>
      </c>
      <c r="N6778" s="2" t="s">
        <v>32592</v>
      </c>
      <c r="O6778" s="2" t="s">
        <v>869</v>
      </c>
      <c r="P6778" s="2" t="s">
        <v>870</v>
      </c>
    </row>
    <row r="6779" ht="15.75" customHeight="1">
      <c r="H6779" s="2" t="s">
        <v>32593</v>
      </c>
      <c r="I6779" s="2" t="s">
        <v>159</v>
      </c>
      <c r="J6779" s="2" t="s">
        <v>160</v>
      </c>
      <c r="K6779" s="2" t="s">
        <v>24294</v>
      </c>
      <c r="L6779" s="2" t="s">
        <v>31923</v>
      </c>
      <c r="M6779" s="2" t="s">
        <v>7101</v>
      </c>
      <c r="N6779" s="2" t="s">
        <v>32594</v>
      </c>
      <c r="O6779" s="2" t="s">
        <v>869</v>
      </c>
      <c r="P6779" s="2" t="s">
        <v>870</v>
      </c>
    </row>
    <row r="6780" ht="15.75" customHeight="1">
      <c r="H6780" s="2" t="s">
        <v>32595</v>
      </c>
      <c r="I6780" s="2" t="s">
        <v>32596</v>
      </c>
      <c r="J6780" s="2" t="s">
        <v>32597</v>
      </c>
      <c r="K6780" s="2" t="s">
        <v>24935</v>
      </c>
      <c r="L6780" s="2" t="s">
        <v>31923</v>
      </c>
      <c r="M6780" s="2" t="s">
        <v>32598</v>
      </c>
      <c r="N6780" s="2" t="s">
        <v>32599</v>
      </c>
      <c r="O6780" s="2" t="s">
        <v>869</v>
      </c>
      <c r="P6780" s="2" t="s">
        <v>870</v>
      </c>
    </row>
    <row r="6781" ht="15.75" customHeight="1">
      <c r="H6781" s="2" t="s">
        <v>32600</v>
      </c>
      <c r="I6781" s="2" t="s">
        <v>32601</v>
      </c>
      <c r="J6781" s="2" t="s">
        <v>32602</v>
      </c>
      <c r="K6781" s="2" t="s">
        <v>32603</v>
      </c>
      <c r="L6781" s="2" t="s">
        <v>31923</v>
      </c>
      <c r="M6781" s="2" t="s">
        <v>32604</v>
      </c>
      <c r="N6781" s="2" t="s">
        <v>32605</v>
      </c>
      <c r="O6781" s="2" t="s">
        <v>869</v>
      </c>
      <c r="P6781" s="2" t="s">
        <v>870</v>
      </c>
    </row>
    <row r="6782" ht="15.75" customHeight="1">
      <c r="H6782" s="2" t="s">
        <v>32606</v>
      </c>
      <c r="I6782" s="2" t="s">
        <v>32607</v>
      </c>
      <c r="J6782" s="2" t="s">
        <v>32608</v>
      </c>
      <c r="K6782" s="2" t="s">
        <v>24023</v>
      </c>
      <c r="L6782" s="2" t="s">
        <v>31923</v>
      </c>
      <c r="M6782" s="2" t="s">
        <v>32609</v>
      </c>
      <c r="N6782" s="2" t="s">
        <v>869</v>
      </c>
      <c r="O6782" s="2" t="s">
        <v>870</v>
      </c>
    </row>
    <row r="6783" ht="15.75" customHeight="1">
      <c r="H6783" s="2" t="s">
        <v>32610</v>
      </c>
      <c r="I6783" s="2" t="s">
        <v>32611</v>
      </c>
      <c r="J6783" s="2" t="s">
        <v>32612</v>
      </c>
      <c r="K6783" s="2" t="s">
        <v>24438</v>
      </c>
      <c r="L6783" s="2" t="s">
        <v>31923</v>
      </c>
      <c r="M6783" s="2" t="s">
        <v>32613</v>
      </c>
      <c r="N6783" s="2" t="s">
        <v>32614</v>
      </c>
      <c r="O6783" s="2" t="s">
        <v>869</v>
      </c>
      <c r="P6783" s="2" t="s">
        <v>870</v>
      </c>
    </row>
    <row r="6784" ht="15.75" customHeight="1">
      <c r="H6784" s="2" t="s">
        <v>32615</v>
      </c>
      <c r="I6784" s="2" t="s">
        <v>32616</v>
      </c>
      <c r="J6784" s="2" t="s">
        <v>32617</v>
      </c>
      <c r="K6784" s="2" t="s">
        <v>32618</v>
      </c>
      <c r="L6784" s="2" t="s">
        <v>31923</v>
      </c>
      <c r="M6784" s="2" t="s">
        <v>32619</v>
      </c>
      <c r="N6784" s="2" t="s">
        <v>32620</v>
      </c>
      <c r="O6784" s="2" t="s">
        <v>869</v>
      </c>
      <c r="P6784" s="2" t="s">
        <v>870</v>
      </c>
    </row>
    <row r="6785" ht="15.75" customHeight="1">
      <c r="H6785" s="2" t="s">
        <v>32621</v>
      </c>
      <c r="I6785" s="2" t="s">
        <v>18951</v>
      </c>
      <c r="J6785" s="2" t="s">
        <v>18952</v>
      </c>
      <c r="K6785" s="2" t="s">
        <v>31150</v>
      </c>
      <c r="L6785" s="2" t="s">
        <v>31923</v>
      </c>
      <c r="M6785" s="2" t="s">
        <v>32622</v>
      </c>
      <c r="N6785" s="2" t="s">
        <v>32623</v>
      </c>
      <c r="O6785" s="2" t="s">
        <v>869</v>
      </c>
      <c r="P6785" s="2" t="s">
        <v>870</v>
      </c>
    </row>
    <row r="6786" ht="15.75" customHeight="1">
      <c r="H6786" s="2" t="s">
        <v>32624</v>
      </c>
      <c r="I6786" s="2" t="s">
        <v>32625</v>
      </c>
      <c r="J6786" s="2" t="s">
        <v>32626</v>
      </c>
      <c r="K6786" s="2" t="s">
        <v>32627</v>
      </c>
      <c r="L6786" s="2" t="s">
        <v>31923</v>
      </c>
      <c r="M6786" s="2" t="s">
        <v>32628</v>
      </c>
      <c r="N6786" s="2" t="s">
        <v>32629</v>
      </c>
      <c r="O6786" s="2" t="s">
        <v>869</v>
      </c>
      <c r="P6786" s="2" t="s">
        <v>870</v>
      </c>
    </row>
    <row r="6787" ht="15.75" customHeight="1">
      <c r="H6787" s="2" t="s">
        <v>32630</v>
      </c>
      <c r="I6787" s="2" t="s">
        <v>176</v>
      </c>
      <c r="J6787" s="2" t="s">
        <v>177</v>
      </c>
      <c r="K6787" s="2" t="s">
        <v>6015</v>
      </c>
      <c r="L6787" s="2" t="s">
        <v>32631</v>
      </c>
      <c r="M6787" s="2" t="s">
        <v>32632</v>
      </c>
      <c r="N6787" s="2" t="s">
        <v>32633</v>
      </c>
      <c r="O6787" s="2" t="s">
        <v>869</v>
      </c>
      <c r="P6787" s="2" t="s">
        <v>870</v>
      </c>
    </row>
    <row r="6788" ht="15.75" customHeight="1">
      <c r="H6788" s="2" t="s">
        <v>32634</v>
      </c>
      <c r="I6788" s="2" t="s">
        <v>25578</v>
      </c>
      <c r="J6788" s="2" t="s">
        <v>25579</v>
      </c>
      <c r="K6788" s="2" t="s">
        <v>24918</v>
      </c>
      <c r="L6788" s="2" t="s">
        <v>31923</v>
      </c>
      <c r="M6788" s="2" t="s">
        <v>32635</v>
      </c>
      <c r="N6788" s="2" t="s">
        <v>32636</v>
      </c>
      <c r="O6788" s="2" t="s">
        <v>869</v>
      </c>
      <c r="P6788" s="2" t="s">
        <v>870</v>
      </c>
    </row>
    <row r="6789" ht="15.75" customHeight="1">
      <c r="H6789" s="2" t="s">
        <v>32637</v>
      </c>
      <c r="I6789" s="2" t="s">
        <v>32638</v>
      </c>
      <c r="J6789" s="2" t="s">
        <v>32639</v>
      </c>
      <c r="K6789" s="2" t="s">
        <v>24465</v>
      </c>
      <c r="L6789" s="2" t="s">
        <v>31923</v>
      </c>
      <c r="M6789" s="2" t="s">
        <v>32640</v>
      </c>
      <c r="N6789" s="2" t="s">
        <v>32641</v>
      </c>
      <c r="O6789" s="2" t="s">
        <v>869</v>
      </c>
      <c r="P6789" s="2" t="s">
        <v>870</v>
      </c>
    </row>
    <row r="6790" ht="15.75" customHeight="1">
      <c r="H6790" s="2" t="s">
        <v>32642</v>
      </c>
      <c r="I6790" s="2" t="s">
        <v>193</v>
      </c>
      <c r="J6790" s="2" t="s">
        <v>194</v>
      </c>
      <c r="K6790" s="2" t="s">
        <v>31583</v>
      </c>
      <c r="L6790" s="2" t="s">
        <v>31923</v>
      </c>
      <c r="M6790" s="2" t="s">
        <v>7153</v>
      </c>
      <c r="N6790" s="2" t="s">
        <v>32643</v>
      </c>
      <c r="O6790" s="2" t="s">
        <v>869</v>
      </c>
      <c r="P6790" s="2" t="s">
        <v>870</v>
      </c>
    </row>
    <row r="6791" ht="15.75" customHeight="1">
      <c r="H6791" s="2" t="s">
        <v>32644</v>
      </c>
      <c r="I6791" s="2" t="s">
        <v>32645</v>
      </c>
      <c r="J6791" s="2" t="s">
        <v>32646</v>
      </c>
      <c r="K6791" s="2" t="s">
        <v>24090</v>
      </c>
      <c r="L6791" s="2" t="s">
        <v>31923</v>
      </c>
      <c r="M6791" s="2" t="s">
        <v>32647</v>
      </c>
      <c r="N6791" s="2" t="s">
        <v>32648</v>
      </c>
      <c r="O6791" s="2" t="s">
        <v>869</v>
      </c>
      <c r="P6791" s="2" t="s">
        <v>870</v>
      </c>
    </row>
    <row r="6792" ht="15.75" customHeight="1">
      <c r="H6792" s="2" t="s">
        <v>32649</v>
      </c>
      <c r="I6792" s="2" t="s">
        <v>32650</v>
      </c>
      <c r="J6792" s="2" t="s">
        <v>32651</v>
      </c>
      <c r="K6792" s="2" t="s">
        <v>32652</v>
      </c>
      <c r="L6792" s="2" t="s">
        <v>31923</v>
      </c>
      <c r="M6792" s="2" t="s">
        <v>32653</v>
      </c>
      <c r="N6792" s="2" t="s">
        <v>32654</v>
      </c>
      <c r="O6792" s="2" t="s">
        <v>869</v>
      </c>
      <c r="P6792" s="2" t="s">
        <v>870</v>
      </c>
    </row>
    <row r="6793" ht="15.75" customHeight="1">
      <c r="H6793" s="2" t="s">
        <v>32655</v>
      </c>
      <c r="I6793" s="2" t="s">
        <v>32656</v>
      </c>
      <c r="J6793" s="2" t="s">
        <v>32657</v>
      </c>
      <c r="K6793" s="2" t="s">
        <v>24181</v>
      </c>
      <c r="L6793" s="2" t="s">
        <v>31923</v>
      </c>
      <c r="M6793" s="2" t="s">
        <v>32658</v>
      </c>
      <c r="N6793" s="2" t="s">
        <v>32659</v>
      </c>
      <c r="O6793" s="2" t="s">
        <v>869</v>
      </c>
      <c r="P6793" s="2" t="s">
        <v>870</v>
      </c>
    </row>
    <row r="6794" ht="15.75" customHeight="1">
      <c r="H6794" s="2" t="s">
        <v>32660</v>
      </c>
      <c r="I6794" s="2" t="s">
        <v>7166</v>
      </c>
      <c r="J6794" s="2" t="s">
        <v>7167</v>
      </c>
      <c r="K6794" s="2" t="s">
        <v>32661</v>
      </c>
      <c r="L6794" s="2" t="s">
        <v>31923</v>
      </c>
      <c r="M6794" s="2" t="s">
        <v>7169</v>
      </c>
      <c r="N6794" s="2" t="s">
        <v>32662</v>
      </c>
      <c r="O6794" s="2" t="s">
        <v>869</v>
      </c>
      <c r="P6794" s="2" t="s">
        <v>870</v>
      </c>
    </row>
    <row r="6795" ht="15.75" customHeight="1">
      <c r="H6795" s="2" t="s">
        <v>32663</v>
      </c>
      <c r="I6795" s="2" t="s">
        <v>32664</v>
      </c>
      <c r="J6795" s="2" t="s">
        <v>32665</v>
      </c>
      <c r="K6795" s="2" t="s">
        <v>32666</v>
      </c>
      <c r="L6795" s="2" t="s">
        <v>31923</v>
      </c>
      <c r="M6795" s="2" t="s">
        <v>32667</v>
      </c>
      <c r="N6795" s="2" t="s">
        <v>32668</v>
      </c>
      <c r="O6795" s="2" t="s">
        <v>869</v>
      </c>
      <c r="P6795" s="2" t="s">
        <v>870</v>
      </c>
    </row>
    <row r="6796" ht="15.75" customHeight="1">
      <c r="H6796" s="2" t="s">
        <v>32669</v>
      </c>
      <c r="I6796" s="2" t="s">
        <v>662</v>
      </c>
      <c r="J6796" s="2" t="s">
        <v>663</v>
      </c>
      <c r="K6796" s="2" t="s">
        <v>32670</v>
      </c>
      <c r="L6796" s="2" t="s">
        <v>31923</v>
      </c>
      <c r="M6796" s="2" t="s">
        <v>32671</v>
      </c>
      <c r="N6796" s="2" t="s">
        <v>869</v>
      </c>
      <c r="O6796" s="2" t="s">
        <v>870</v>
      </c>
    </row>
    <row r="6797" ht="15.75" customHeight="1">
      <c r="H6797" s="2" t="s">
        <v>32672</v>
      </c>
      <c r="I6797" s="2" t="s">
        <v>1753</v>
      </c>
      <c r="J6797" s="2" t="s">
        <v>1754</v>
      </c>
      <c r="K6797" s="2" t="s">
        <v>32301</v>
      </c>
      <c r="L6797" s="2" t="s">
        <v>31923</v>
      </c>
      <c r="M6797" s="2" t="s">
        <v>25624</v>
      </c>
      <c r="N6797" s="2" t="s">
        <v>32673</v>
      </c>
      <c r="O6797" s="2" t="s">
        <v>869</v>
      </c>
      <c r="P6797" s="2" t="s">
        <v>870</v>
      </c>
    </row>
    <row r="6798" ht="15.75" customHeight="1">
      <c r="H6798" s="2" t="s">
        <v>32674</v>
      </c>
      <c r="I6798" s="2" t="s">
        <v>32675</v>
      </c>
      <c r="J6798" s="2" t="s">
        <v>32676</v>
      </c>
      <c r="K6798" s="2" t="s">
        <v>32677</v>
      </c>
      <c r="L6798" s="2" t="s">
        <v>31923</v>
      </c>
      <c r="M6798" s="2" t="s">
        <v>32678</v>
      </c>
      <c r="N6798" s="2" t="s">
        <v>32679</v>
      </c>
      <c r="O6798" s="2" t="s">
        <v>869</v>
      </c>
      <c r="P6798" s="2" t="s">
        <v>870</v>
      </c>
    </row>
    <row r="6799" ht="15.75" customHeight="1">
      <c r="H6799" s="2" t="s">
        <v>32680</v>
      </c>
      <c r="I6799" s="2" t="s">
        <v>32681</v>
      </c>
      <c r="J6799" s="2" t="s">
        <v>32682</v>
      </c>
      <c r="K6799" s="2" t="s">
        <v>32683</v>
      </c>
      <c r="L6799" s="2" t="s">
        <v>31923</v>
      </c>
      <c r="M6799" s="2" t="s">
        <v>32684</v>
      </c>
      <c r="N6799" s="2" t="s">
        <v>32685</v>
      </c>
      <c r="O6799" s="2" t="s">
        <v>869</v>
      </c>
      <c r="P6799" s="2" t="s">
        <v>870</v>
      </c>
    </row>
    <row r="6800" ht="15.75" customHeight="1">
      <c r="H6800" s="2" t="s">
        <v>32686</v>
      </c>
      <c r="I6800" s="2" t="s">
        <v>217</v>
      </c>
      <c r="J6800" s="2" t="s">
        <v>218</v>
      </c>
      <c r="K6800" s="2" t="s">
        <v>32687</v>
      </c>
      <c r="L6800" s="2" t="s">
        <v>31923</v>
      </c>
      <c r="M6800" s="2" t="s">
        <v>32688</v>
      </c>
      <c r="N6800" s="2" t="s">
        <v>32689</v>
      </c>
      <c r="O6800" s="2" t="s">
        <v>869</v>
      </c>
      <c r="P6800" s="2" t="s">
        <v>870</v>
      </c>
    </row>
    <row r="6801" ht="15.75" customHeight="1">
      <c r="H6801" s="2" t="s">
        <v>32690</v>
      </c>
      <c r="I6801" s="2" t="s">
        <v>14392</v>
      </c>
      <c r="J6801" s="2" t="s">
        <v>14393</v>
      </c>
      <c r="K6801" s="2" t="s">
        <v>31265</v>
      </c>
      <c r="L6801" s="2" t="s">
        <v>31923</v>
      </c>
      <c r="M6801" s="2" t="s">
        <v>32691</v>
      </c>
      <c r="N6801" s="2" t="s">
        <v>32692</v>
      </c>
      <c r="O6801" s="2" t="s">
        <v>869</v>
      </c>
      <c r="P6801" s="2" t="s">
        <v>870</v>
      </c>
    </row>
    <row r="6802" ht="15.75" customHeight="1">
      <c r="H6802" s="2" t="s">
        <v>32693</v>
      </c>
      <c r="I6802" s="2" t="s">
        <v>1772</v>
      </c>
      <c r="J6802" s="2" t="s">
        <v>1773</v>
      </c>
      <c r="K6802" s="2" t="s">
        <v>32694</v>
      </c>
      <c r="L6802" s="2" t="s">
        <v>31923</v>
      </c>
      <c r="M6802" s="2" t="s">
        <v>32695</v>
      </c>
      <c r="N6802" s="2" t="s">
        <v>869</v>
      </c>
      <c r="O6802" s="2" t="s">
        <v>870</v>
      </c>
    </row>
    <row r="6803" ht="15.75" customHeight="1">
      <c r="H6803" s="2" t="s">
        <v>32696</v>
      </c>
      <c r="I6803" s="2" t="s">
        <v>25658</v>
      </c>
      <c r="J6803" s="2" t="s">
        <v>25659</v>
      </c>
      <c r="K6803" s="2" t="s">
        <v>32697</v>
      </c>
      <c r="L6803" s="2" t="s">
        <v>31923</v>
      </c>
      <c r="M6803" s="2" t="s">
        <v>32698</v>
      </c>
      <c r="N6803" s="2" t="s">
        <v>32699</v>
      </c>
      <c r="O6803" s="2" t="s">
        <v>869</v>
      </c>
      <c r="P6803" s="2" t="s">
        <v>870</v>
      </c>
    </row>
    <row r="6804" ht="15.75" customHeight="1">
      <c r="H6804" s="2" t="s">
        <v>32700</v>
      </c>
      <c r="I6804" s="2" t="s">
        <v>32701</v>
      </c>
      <c r="J6804" s="2" t="s">
        <v>32702</v>
      </c>
      <c r="K6804" s="2" t="s">
        <v>32703</v>
      </c>
      <c r="L6804" s="2" t="s">
        <v>31923</v>
      </c>
      <c r="M6804" s="2" t="s">
        <v>32704</v>
      </c>
      <c r="N6804" s="2" t="s">
        <v>869</v>
      </c>
      <c r="O6804" s="2" t="s">
        <v>870</v>
      </c>
    </row>
    <row r="6805" ht="15.75" customHeight="1">
      <c r="H6805" s="2" t="s">
        <v>32705</v>
      </c>
      <c r="I6805" s="2" t="s">
        <v>3053</v>
      </c>
      <c r="J6805" s="2" t="s">
        <v>3054</v>
      </c>
      <c r="K6805" s="2" t="s">
        <v>31599</v>
      </c>
      <c r="L6805" s="2" t="s">
        <v>31923</v>
      </c>
      <c r="M6805" s="2" t="s">
        <v>32706</v>
      </c>
      <c r="N6805" s="2" t="s">
        <v>32707</v>
      </c>
      <c r="O6805" s="2" t="s">
        <v>869</v>
      </c>
      <c r="P6805" s="2" t="s">
        <v>870</v>
      </c>
    </row>
    <row r="6806" ht="15.75" customHeight="1">
      <c r="H6806" s="2" t="s">
        <v>32708</v>
      </c>
      <c r="I6806" s="2" t="s">
        <v>7221</v>
      </c>
      <c r="J6806" s="2" t="s">
        <v>7222</v>
      </c>
      <c r="K6806" s="2" t="s">
        <v>32709</v>
      </c>
      <c r="L6806" s="2" t="s">
        <v>31923</v>
      </c>
      <c r="M6806" s="2" t="s">
        <v>7224</v>
      </c>
      <c r="N6806" s="2" t="s">
        <v>32710</v>
      </c>
      <c r="O6806" s="2" t="s">
        <v>869</v>
      </c>
      <c r="P6806" s="2" t="s">
        <v>870</v>
      </c>
    </row>
    <row r="6807" ht="15.75" customHeight="1">
      <c r="H6807" s="2" t="s">
        <v>32711</v>
      </c>
      <c r="I6807" s="2" t="s">
        <v>1789</v>
      </c>
      <c r="J6807" s="2" t="s">
        <v>1790</v>
      </c>
      <c r="K6807" s="2" t="s">
        <v>24332</v>
      </c>
      <c r="L6807" s="2" t="s">
        <v>31923</v>
      </c>
      <c r="M6807" s="2" t="s">
        <v>7234</v>
      </c>
      <c r="N6807" s="2" t="s">
        <v>32712</v>
      </c>
      <c r="O6807" s="2" t="s">
        <v>869</v>
      </c>
      <c r="P6807" s="2" t="s">
        <v>870</v>
      </c>
    </row>
    <row r="6808" ht="15.75" customHeight="1">
      <c r="H6808" s="2" t="s">
        <v>32713</v>
      </c>
      <c r="I6808" s="2" t="s">
        <v>32714</v>
      </c>
      <c r="J6808" s="2" t="s">
        <v>32715</v>
      </c>
      <c r="K6808" s="2" t="s">
        <v>32716</v>
      </c>
      <c r="L6808" s="2" t="s">
        <v>31923</v>
      </c>
      <c r="M6808" s="2" t="s">
        <v>32717</v>
      </c>
      <c r="N6808" s="2" t="s">
        <v>869</v>
      </c>
      <c r="O6808" s="2" t="s">
        <v>870</v>
      </c>
    </row>
    <row r="6809" ht="15.75" customHeight="1">
      <c r="H6809" s="2" t="s">
        <v>32718</v>
      </c>
      <c r="I6809" s="2" t="s">
        <v>19030</v>
      </c>
      <c r="J6809" s="2" t="s">
        <v>19031</v>
      </c>
      <c r="K6809" s="2" t="s">
        <v>32719</v>
      </c>
      <c r="L6809" s="2" t="s">
        <v>31923</v>
      </c>
      <c r="M6809" s="2" t="s">
        <v>32720</v>
      </c>
      <c r="N6809" s="2" t="s">
        <v>32721</v>
      </c>
      <c r="O6809" s="2" t="s">
        <v>869</v>
      </c>
      <c r="P6809" s="2" t="s">
        <v>870</v>
      </c>
    </row>
    <row r="6810" ht="15.75" customHeight="1">
      <c r="H6810" s="2" t="s">
        <v>32722</v>
      </c>
      <c r="I6810" s="2" t="s">
        <v>32723</v>
      </c>
      <c r="J6810" s="2" t="s">
        <v>32724</v>
      </c>
      <c r="K6810" s="2" t="s">
        <v>32725</v>
      </c>
      <c r="L6810" s="2" t="s">
        <v>31923</v>
      </c>
      <c r="M6810" s="2" t="s">
        <v>32726</v>
      </c>
      <c r="N6810" s="2" t="s">
        <v>32727</v>
      </c>
      <c r="O6810" s="2" t="s">
        <v>869</v>
      </c>
      <c r="P6810" s="2" t="s">
        <v>870</v>
      </c>
    </row>
    <row r="6811" ht="15.75" customHeight="1">
      <c r="H6811" s="2" t="s">
        <v>32728</v>
      </c>
      <c r="I6811" s="2" t="s">
        <v>19035</v>
      </c>
      <c r="J6811" s="2" t="s">
        <v>19036</v>
      </c>
      <c r="K6811" s="2" t="s">
        <v>32729</v>
      </c>
      <c r="L6811" s="2" t="s">
        <v>31923</v>
      </c>
      <c r="M6811" s="2" t="s">
        <v>32730</v>
      </c>
      <c r="N6811" s="2" t="s">
        <v>32731</v>
      </c>
      <c r="O6811" s="2" t="s">
        <v>869</v>
      </c>
      <c r="P6811" s="2" t="s">
        <v>870</v>
      </c>
    </row>
    <row r="6812" ht="15.75" customHeight="1">
      <c r="H6812" s="2" t="s">
        <v>32732</v>
      </c>
      <c r="I6812" s="2" t="s">
        <v>241</v>
      </c>
      <c r="J6812" s="2" t="s">
        <v>242</v>
      </c>
      <c r="K6812" s="2" t="s">
        <v>32733</v>
      </c>
      <c r="L6812" s="2" t="s">
        <v>31923</v>
      </c>
      <c r="M6812" s="2" t="s">
        <v>32734</v>
      </c>
      <c r="N6812" s="2" t="s">
        <v>32735</v>
      </c>
      <c r="O6812" s="2" t="s">
        <v>869</v>
      </c>
      <c r="P6812" s="2" t="s">
        <v>870</v>
      </c>
    </row>
    <row r="6813" ht="15.75" customHeight="1">
      <c r="H6813" s="2" t="s">
        <v>32736</v>
      </c>
      <c r="I6813" s="2" t="s">
        <v>19052</v>
      </c>
      <c r="J6813" s="2" t="s">
        <v>19053</v>
      </c>
      <c r="K6813" s="2" t="s">
        <v>32737</v>
      </c>
      <c r="L6813" s="2" t="s">
        <v>31923</v>
      </c>
      <c r="M6813" s="2" t="s">
        <v>32738</v>
      </c>
      <c r="N6813" s="2" t="s">
        <v>32739</v>
      </c>
      <c r="O6813" s="2" t="s">
        <v>869</v>
      </c>
      <c r="P6813" s="2" t="s">
        <v>870</v>
      </c>
    </row>
    <row r="6814" ht="15.75" customHeight="1">
      <c r="H6814" s="2" t="s">
        <v>32740</v>
      </c>
      <c r="I6814" s="2" t="s">
        <v>7241</v>
      </c>
      <c r="J6814" s="2" t="s">
        <v>7242</v>
      </c>
      <c r="K6814" s="2" t="s">
        <v>32741</v>
      </c>
      <c r="L6814" s="2" t="s">
        <v>31923</v>
      </c>
      <c r="M6814" s="2" t="s">
        <v>7244</v>
      </c>
      <c r="N6814" s="2" t="s">
        <v>869</v>
      </c>
      <c r="O6814" s="2" t="s">
        <v>870</v>
      </c>
    </row>
    <row r="6815" ht="15.75" customHeight="1">
      <c r="H6815" s="2" t="s">
        <v>32742</v>
      </c>
      <c r="I6815" s="2" t="s">
        <v>32743</v>
      </c>
      <c r="J6815" s="2" t="s">
        <v>32744</v>
      </c>
      <c r="K6815" s="2" t="s">
        <v>32745</v>
      </c>
      <c r="L6815" s="2" t="s">
        <v>31923</v>
      </c>
      <c r="M6815" s="2" t="s">
        <v>32746</v>
      </c>
      <c r="N6815" s="2" t="s">
        <v>32747</v>
      </c>
      <c r="O6815" s="2" t="s">
        <v>869</v>
      </c>
      <c r="P6815" s="2" t="s">
        <v>870</v>
      </c>
    </row>
    <row r="6816" ht="15.75" customHeight="1">
      <c r="H6816" s="2" t="s">
        <v>32748</v>
      </c>
      <c r="I6816" s="2" t="s">
        <v>14405</v>
      </c>
      <c r="J6816" s="2" t="s">
        <v>14406</v>
      </c>
      <c r="K6816" s="2" t="s">
        <v>32749</v>
      </c>
      <c r="L6816" s="2" t="s">
        <v>31923</v>
      </c>
      <c r="M6816" s="2" t="s">
        <v>32750</v>
      </c>
      <c r="N6816" s="2" t="s">
        <v>32751</v>
      </c>
      <c r="O6816" s="2" t="s">
        <v>869</v>
      </c>
      <c r="P6816" s="2" t="s">
        <v>870</v>
      </c>
    </row>
    <row r="6817" ht="15.75" customHeight="1">
      <c r="H6817" s="2" t="s">
        <v>32752</v>
      </c>
      <c r="I6817" s="2" t="s">
        <v>249</v>
      </c>
      <c r="J6817" s="2" t="s">
        <v>250</v>
      </c>
      <c r="K6817" s="2" t="s">
        <v>24338</v>
      </c>
      <c r="L6817" s="2" t="s">
        <v>31923</v>
      </c>
      <c r="M6817" s="2" t="s">
        <v>25710</v>
      </c>
      <c r="N6817" s="2" t="s">
        <v>32753</v>
      </c>
      <c r="O6817" s="2" t="s">
        <v>869</v>
      </c>
      <c r="P6817" s="2" t="s">
        <v>870</v>
      </c>
    </row>
    <row r="6818" ht="15.75" customHeight="1">
      <c r="H6818" s="2" t="s">
        <v>32754</v>
      </c>
      <c r="I6818" s="2" t="s">
        <v>32755</v>
      </c>
      <c r="J6818" s="2" t="s">
        <v>32756</v>
      </c>
      <c r="K6818" s="2" t="s">
        <v>32757</v>
      </c>
      <c r="L6818" s="2" t="s">
        <v>31923</v>
      </c>
      <c r="M6818" s="2" t="s">
        <v>32758</v>
      </c>
      <c r="N6818" s="2" t="s">
        <v>869</v>
      </c>
      <c r="O6818" s="2" t="s">
        <v>870</v>
      </c>
    </row>
    <row r="6819" ht="15.75" customHeight="1">
      <c r="H6819" s="2" t="s">
        <v>32759</v>
      </c>
      <c r="I6819" s="2" t="s">
        <v>32760</v>
      </c>
      <c r="J6819" s="2" t="s">
        <v>32761</v>
      </c>
      <c r="K6819" s="2" t="s">
        <v>32762</v>
      </c>
      <c r="L6819" s="2" t="s">
        <v>31923</v>
      </c>
      <c r="M6819" s="2" t="s">
        <v>32763</v>
      </c>
      <c r="N6819" s="2" t="s">
        <v>32764</v>
      </c>
      <c r="O6819" s="2" t="s">
        <v>869</v>
      </c>
      <c r="P6819" s="2" t="s">
        <v>870</v>
      </c>
    </row>
    <row r="6820" ht="15.75" customHeight="1">
      <c r="H6820" s="2" t="s">
        <v>32765</v>
      </c>
      <c r="I6820" s="2" t="s">
        <v>32766</v>
      </c>
      <c r="J6820" s="2" t="s">
        <v>32767</v>
      </c>
      <c r="K6820" s="2" t="s">
        <v>32768</v>
      </c>
      <c r="L6820" s="2" t="s">
        <v>31923</v>
      </c>
      <c r="M6820" s="2" t="s">
        <v>32769</v>
      </c>
      <c r="N6820" s="2" t="s">
        <v>32770</v>
      </c>
      <c r="O6820" s="2" t="s">
        <v>869</v>
      </c>
      <c r="P6820" s="2" t="s">
        <v>870</v>
      </c>
    </row>
    <row r="6821" ht="15.75" customHeight="1">
      <c r="H6821" s="2" t="s">
        <v>32771</v>
      </c>
      <c r="I6821" s="2" t="s">
        <v>32772</v>
      </c>
      <c r="J6821" s="2" t="s">
        <v>32773</v>
      </c>
      <c r="K6821" s="2" t="s">
        <v>924</v>
      </c>
    </row>
    <row r="6822" ht="15.75" customHeight="1">
      <c r="H6822" s="2" t="s">
        <v>32774</v>
      </c>
      <c r="I6822" s="2" t="s">
        <v>32775</v>
      </c>
      <c r="J6822" s="2" t="s">
        <v>32776</v>
      </c>
      <c r="K6822" s="2" t="s">
        <v>32777</v>
      </c>
      <c r="L6822" s="2" t="s">
        <v>31923</v>
      </c>
      <c r="M6822" s="2" t="s">
        <v>32778</v>
      </c>
      <c r="N6822" s="2" t="s">
        <v>32779</v>
      </c>
      <c r="O6822" s="2" t="s">
        <v>869</v>
      </c>
      <c r="P6822" s="2" t="s">
        <v>870</v>
      </c>
    </row>
    <row r="6823" ht="15.75" customHeight="1">
      <c r="F6823" s="2" t="s">
        <v>1854</v>
      </c>
      <c r="H6823" s="2" t="s">
        <v>32780</v>
      </c>
      <c r="I6823" s="2" t="s">
        <v>1856</v>
      </c>
      <c r="J6823" s="2" t="s">
        <v>1857</v>
      </c>
      <c r="K6823" s="2" t="s">
        <v>22462</v>
      </c>
      <c r="L6823" s="2" t="s">
        <v>31923</v>
      </c>
      <c r="M6823" s="2" t="s">
        <v>29110</v>
      </c>
      <c r="N6823" s="2" t="s">
        <v>869</v>
      </c>
      <c r="O6823" s="2" t="s">
        <v>870</v>
      </c>
    </row>
    <row r="6824" ht="15.75" customHeight="1">
      <c r="H6824" s="2" t="s">
        <v>32781</v>
      </c>
      <c r="I6824" s="2" t="s">
        <v>1871</v>
      </c>
      <c r="J6824" s="2" t="s">
        <v>1872</v>
      </c>
      <c r="K6824" s="2" t="s">
        <v>24518</v>
      </c>
      <c r="L6824" s="2" t="s">
        <v>31923</v>
      </c>
      <c r="M6824" s="2" t="s">
        <v>32782</v>
      </c>
      <c r="N6824" s="2" t="s">
        <v>32783</v>
      </c>
      <c r="O6824" s="2" t="s">
        <v>869</v>
      </c>
      <c r="P6824" s="2" t="s">
        <v>870</v>
      </c>
    </row>
    <row r="6825" ht="15.75" customHeight="1">
      <c r="H6825" s="2" t="s">
        <v>32784</v>
      </c>
      <c r="I6825" s="2" t="s">
        <v>7288</v>
      </c>
      <c r="J6825" s="2" t="s">
        <v>7289</v>
      </c>
      <c r="K6825" s="2" t="s">
        <v>5995</v>
      </c>
      <c r="L6825" s="2" t="s">
        <v>31923</v>
      </c>
      <c r="M6825" s="2" t="s">
        <v>32785</v>
      </c>
      <c r="N6825" s="2" t="s">
        <v>32786</v>
      </c>
      <c r="O6825" s="2" t="s">
        <v>869</v>
      </c>
      <c r="P6825" s="2" t="s">
        <v>870</v>
      </c>
    </row>
    <row r="6826" ht="15.75" customHeight="1">
      <c r="H6826" s="2" t="s">
        <v>32787</v>
      </c>
      <c r="I6826" s="2" t="s">
        <v>1876</v>
      </c>
      <c r="J6826" s="2" t="s">
        <v>1877</v>
      </c>
      <c r="K6826" s="2" t="s">
        <v>15897</v>
      </c>
      <c r="L6826" s="2" t="s">
        <v>31923</v>
      </c>
      <c r="M6826" s="2" t="s">
        <v>32788</v>
      </c>
      <c r="N6826" s="2" t="s">
        <v>32789</v>
      </c>
      <c r="O6826" s="2" t="s">
        <v>869</v>
      </c>
      <c r="P6826" s="2" t="s">
        <v>870</v>
      </c>
    </row>
    <row r="6827" ht="15.75" customHeight="1">
      <c r="H6827" s="2" t="s">
        <v>32790</v>
      </c>
      <c r="I6827" s="2" t="s">
        <v>32791</v>
      </c>
      <c r="J6827" s="2" t="s">
        <v>32792</v>
      </c>
      <c r="K6827" s="2" t="s">
        <v>25009</v>
      </c>
      <c r="L6827" s="2" t="s">
        <v>31923</v>
      </c>
      <c r="M6827" s="2" t="s">
        <v>32785</v>
      </c>
      <c r="N6827" s="2" t="s">
        <v>32793</v>
      </c>
      <c r="O6827" s="2" t="s">
        <v>869</v>
      </c>
      <c r="P6827" s="2" t="s">
        <v>870</v>
      </c>
    </row>
    <row r="6828" ht="15.75" customHeight="1">
      <c r="H6828" s="2" t="s">
        <v>32794</v>
      </c>
      <c r="I6828" s="2" t="s">
        <v>32795</v>
      </c>
      <c r="J6828" s="2" t="s">
        <v>32796</v>
      </c>
      <c r="K6828" s="2" t="s">
        <v>25068</v>
      </c>
      <c r="L6828" s="2" t="s">
        <v>31923</v>
      </c>
      <c r="M6828" s="2" t="s">
        <v>32797</v>
      </c>
      <c r="N6828" s="2" t="s">
        <v>32798</v>
      </c>
      <c r="O6828" s="2" t="s">
        <v>869</v>
      </c>
      <c r="P6828" s="2" t="s">
        <v>870</v>
      </c>
    </row>
    <row r="6829" ht="15.75" customHeight="1">
      <c r="H6829" s="2" t="s">
        <v>32799</v>
      </c>
      <c r="I6829" s="2" t="s">
        <v>32800</v>
      </c>
      <c r="J6829" s="2" t="s">
        <v>32801</v>
      </c>
      <c r="K6829" s="2" t="s">
        <v>24414</v>
      </c>
      <c r="L6829" s="2" t="s">
        <v>31923</v>
      </c>
      <c r="M6829" s="2" t="s">
        <v>32802</v>
      </c>
      <c r="N6829" s="2" t="s">
        <v>32803</v>
      </c>
      <c r="O6829" s="2" t="s">
        <v>869</v>
      </c>
      <c r="P6829" s="2" t="s">
        <v>870</v>
      </c>
    </row>
    <row r="6830" ht="15.75" customHeight="1">
      <c r="H6830" s="2" t="s">
        <v>32804</v>
      </c>
      <c r="I6830" s="2" t="s">
        <v>32805</v>
      </c>
      <c r="J6830" s="2" t="s">
        <v>32806</v>
      </c>
      <c r="K6830" s="2" t="s">
        <v>24578</v>
      </c>
      <c r="L6830" s="2" t="s">
        <v>31923</v>
      </c>
      <c r="M6830" s="2" t="s">
        <v>32807</v>
      </c>
      <c r="N6830" s="2" t="s">
        <v>32808</v>
      </c>
      <c r="O6830" s="2" t="s">
        <v>869</v>
      </c>
      <c r="P6830" s="2" t="s">
        <v>870</v>
      </c>
    </row>
    <row r="6831" ht="15.75" customHeight="1">
      <c r="H6831" s="2" t="s">
        <v>32809</v>
      </c>
      <c r="I6831" s="2" t="s">
        <v>3809</v>
      </c>
      <c r="J6831" s="2" t="s">
        <v>3810</v>
      </c>
      <c r="K6831" s="2" t="s">
        <v>31317</v>
      </c>
      <c r="L6831" s="2" t="s">
        <v>31923</v>
      </c>
      <c r="M6831" s="2" t="s">
        <v>32810</v>
      </c>
      <c r="N6831" s="2" t="s">
        <v>32811</v>
      </c>
      <c r="O6831" s="2" t="s">
        <v>869</v>
      </c>
      <c r="P6831" s="2" t="s">
        <v>870</v>
      </c>
    </row>
    <row r="6832" ht="15.75" customHeight="1">
      <c r="H6832" s="2" t="s">
        <v>32812</v>
      </c>
      <c r="I6832" s="2" t="s">
        <v>32813</v>
      </c>
      <c r="J6832" s="2" t="s">
        <v>32814</v>
      </c>
      <c r="K6832" s="2" t="s">
        <v>15890</v>
      </c>
      <c r="L6832" s="2" t="s">
        <v>31923</v>
      </c>
      <c r="M6832" s="2" t="s">
        <v>32815</v>
      </c>
      <c r="N6832" s="2" t="s">
        <v>32816</v>
      </c>
      <c r="O6832" s="2" t="s">
        <v>869</v>
      </c>
      <c r="P6832" s="2" t="s">
        <v>870</v>
      </c>
    </row>
    <row r="6833" ht="15.75" customHeight="1">
      <c r="H6833" s="2" t="s">
        <v>32817</v>
      </c>
      <c r="I6833" s="2" t="s">
        <v>7330</v>
      </c>
      <c r="J6833" s="2" t="s">
        <v>7331</v>
      </c>
      <c r="K6833" s="2" t="s">
        <v>15805</v>
      </c>
      <c r="L6833" s="2" t="s">
        <v>31923</v>
      </c>
      <c r="M6833" s="2" t="s">
        <v>32818</v>
      </c>
      <c r="N6833" s="2" t="s">
        <v>32819</v>
      </c>
      <c r="O6833" s="2" t="s">
        <v>869</v>
      </c>
      <c r="P6833" s="2" t="s">
        <v>870</v>
      </c>
    </row>
    <row r="6834" ht="15.75" customHeight="1">
      <c r="F6834" s="2" t="s">
        <v>265</v>
      </c>
      <c r="H6834" s="2" t="s">
        <v>32820</v>
      </c>
      <c r="I6834" s="2" t="s">
        <v>32821</v>
      </c>
      <c r="J6834" s="2" t="s">
        <v>32822</v>
      </c>
      <c r="K6834" s="2" t="s">
        <v>31927</v>
      </c>
      <c r="L6834" s="2" t="s">
        <v>31923</v>
      </c>
      <c r="M6834" s="2" t="s">
        <v>32823</v>
      </c>
      <c r="N6834" s="2" t="s">
        <v>32824</v>
      </c>
      <c r="O6834" s="2" t="s">
        <v>869</v>
      </c>
      <c r="P6834" s="2" t="s">
        <v>870</v>
      </c>
    </row>
    <row r="6835" ht="15.75" customHeight="1">
      <c r="H6835" s="2" t="s">
        <v>32825</v>
      </c>
      <c r="I6835" s="2" t="s">
        <v>5370</v>
      </c>
      <c r="J6835" s="2" t="s">
        <v>5371</v>
      </c>
      <c r="K6835" s="2" t="s">
        <v>24414</v>
      </c>
      <c r="L6835" s="2" t="s">
        <v>31923</v>
      </c>
      <c r="M6835" s="2" t="s">
        <v>7389</v>
      </c>
      <c r="N6835" s="2" t="s">
        <v>32826</v>
      </c>
      <c r="O6835" s="2" t="s">
        <v>869</v>
      </c>
      <c r="P6835" s="2" t="s">
        <v>870</v>
      </c>
    </row>
    <row r="6836" ht="15.75" customHeight="1">
      <c r="H6836" s="2" t="s">
        <v>32827</v>
      </c>
      <c r="I6836" s="2" t="s">
        <v>32828</v>
      </c>
      <c r="J6836" s="2" t="s">
        <v>32829</v>
      </c>
      <c r="K6836" s="2" t="s">
        <v>15861</v>
      </c>
      <c r="L6836" s="2" t="s">
        <v>31923</v>
      </c>
      <c r="M6836" s="2" t="s">
        <v>32830</v>
      </c>
      <c r="N6836" s="2" t="s">
        <v>32831</v>
      </c>
      <c r="O6836" s="2" t="s">
        <v>869</v>
      </c>
      <c r="P6836" s="2" t="s">
        <v>870</v>
      </c>
    </row>
    <row r="6837" ht="15.75" customHeight="1">
      <c r="H6837" s="2" t="s">
        <v>32832</v>
      </c>
      <c r="I6837" s="2" t="s">
        <v>32833</v>
      </c>
      <c r="J6837" s="2" t="s">
        <v>32834</v>
      </c>
      <c r="K6837" s="2" t="s">
        <v>6046</v>
      </c>
      <c r="L6837" s="2" t="s">
        <v>31923</v>
      </c>
      <c r="M6837" s="2" t="s">
        <v>32835</v>
      </c>
      <c r="N6837" s="2" t="s">
        <v>32836</v>
      </c>
      <c r="O6837" s="2" t="s">
        <v>869</v>
      </c>
      <c r="P6837" s="2" t="s">
        <v>870</v>
      </c>
    </row>
    <row r="6838" ht="15.75" customHeight="1">
      <c r="H6838" s="2" t="s">
        <v>32837</v>
      </c>
      <c r="I6838" s="2" t="s">
        <v>7411</v>
      </c>
      <c r="J6838" s="2" t="s">
        <v>7412</v>
      </c>
      <c r="K6838" s="2" t="s">
        <v>31317</v>
      </c>
      <c r="L6838" s="2" t="s">
        <v>31923</v>
      </c>
      <c r="M6838" s="2" t="s">
        <v>7414</v>
      </c>
      <c r="N6838" s="2" t="s">
        <v>32838</v>
      </c>
      <c r="O6838" s="2" t="s">
        <v>869</v>
      </c>
      <c r="P6838" s="2" t="s">
        <v>870</v>
      </c>
    </row>
    <row r="6839" ht="15.75" customHeight="1">
      <c r="H6839" s="2" t="s">
        <v>32839</v>
      </c>
      <c r="I6839" s="2" t="s">
        <v>19147</v>
      </c>
      <c r="J6839" s="2" t="s">
        <v>19148</v>
      </c>
      <c r="K6839" s="2" t="s">
        <v>24528</v>
      </c>
      <c r="L6839" s="2" t="s">
        <v>31923</v>
      </c>
      <c r="M6839" s="2" t="s">
        <v>32840</v>
      </c>
      <c r="N6839" s="2" t="s">
        <v>32841</v>
      </c>
      <c r="O6839" s="2" t="s">
        <v>869</v>
      </c>
      <c r="P6839" s="2" t="s">
        <v>870</v>
      </c>
    </row>
    <row r="6840" ht="15.75" customHeight="1">
      <c r="H6840" s="2" t="s">
        <v>32842</v>
      </c>
      <c r="I6840" s="2" t="s">
        <v>1940</v>
      </c>
      <c r="J6840" s="2" t="s">
        <v>1941</v>
      </c>
      <c r="K6840" s="2" t="s">
        <v>15805</v>
      </c>
      <c r="L6840" s="2" t="s">
        <v>31923</v>
      </c>
      <c r="M6840" s="2" t="s">
        <v>7431</v>
      </c>
      <c r="N6840" s="2" t="s">
        <v>32843</v>
      </c>
      <c r="O6840" s="2" t="s">
        <v>869</v>
      </c>
      <c r="P6840" s="2" t="s">
        <v>870</v>
      </c>
    </row>
    <row r="6841" ht="15.75" customHeight="1">
      <c r="H6841" s="2" t="s">
        <v>32844</v>
      </c>
      <c r="I6841" s="2" t="s">
        <v>7440</v>
      </c>
      <c r="J6841" s="2" t="s">
        <v>7441</v>
      </c>
      <c r="K6841" s="2" t="s">
        <v>24109</v>
      </c>
      <c r="L6841" s="2" t="s">
        <v>31923</v>
      </c>
      <c r="M6841" s="2" t="s">
        <v>32845</v>
      </c>
      <c r="N6841" s="2" t="s">
        <v>32843</v>
      </c>
      <c r="O6841" s="2" t="s">
        <v>869</v>
      </c>
      <c r="P6841" s="2" t="s">
        <v>870</v>
      </c>
    </row>
    <row r="6842" ht="15.75" customHeight="1">
      <c r="H6842" s="2" t="s">
        <v>32846</v>
      </c>
      <c r="I6842" s="2" t="s">
        <v>267</v>
      </c>
      <c r="J6842" s="2" t="s">
        <v>268</v>
      </c>
      <c r="K6842" s="2" t="s">
        <v>22050</v>
      </c>
      <c r="L6842" s="2" t="s">
        <v>31923</v>
      </c>
      <c r="M6842" s="2" t="s">
        <v>32847</v>
      </c>
      <c r="N6842" s="2" t="s">
        <v>32848</v>
      </c>
      <c r="O6842" s="2" t="s">
        <v>869</v>
      </c>
      <c r="P6842" s="2" t="s">
        <v>870</v>
      </c>
    </row>
    <row r="6843" ht="15.75" customHeight="1">
      <c r="H6843" s="2" t="s">
        <v>32849</v>
      </c>
      <c r="I6843" s="2" t="s">
        <v>29152</v>
      </c>
      <c r="J6843" s="2" t="s">
        <v>29153</v>
      </c>
      <c r="K6843" s="2" t="s">
        <v>24679</v>
      </c>
      <c r="L6843" s="2" t="s">
        <v>31923</v>
      </c>
      <c r="M6843" s="2" t="s">
        <v>32850</v>
      </c>
      <c r="N6843" s="2" t="s">
        <v>32851</v>
      </c>
      <c r="O6843" s="2" t="s">
        <v>869</v>
      </c>
      <c r="P6843" s="2" t="s">
        <v>870</v>
      </c>
    </row>
    <row r="6844" ht="15.75" customHeight="1">
      <c r="H6844" s="2" t="s">
        <v>32852</v>
      </c>
      <c r="I6844" s="2" t="s">
        <v>32853</v>
      </c>
      <c r="J6844" s="2" t="s">
        <v>32854</v>
      </c>
      <c r="K6844" s="2" t="s">
        <v>32855</v>
      </c>
      <c r="L6844" s="2" t="s">
        <v>31923</v>
      </c>
      <c r="M6844" s="2" t="s">
        <v>32856</v>
      </c>
      <c r="N6844" s="2" t="s">
        <v>32857</v>
      </c>
      <c r="O6844" s="2" t="s">
        <v>869</v>
      </c>
      <c r="P6844" s="2" t="s">
        <v>870</v>
      </c>
    </row>
    <row r="6845" ht="15.75" customHeight="1">
      <c r="H6845" s="2" t="s">
        <v>32858</v>
      </c>
      <c r="I6845" s="2" t="s">
        <v>31936</v>
      </c>
      <c r="J6845" s="2" t="s">
        <v>31937</v>
      </c>
      <c r="K6845" s="2" t="s">
        <v>6081</v>
      </c>
      <c r="L6845" s="2" t="s">
        <v>31923</v>
      </c>
      <c r="M6845" s="2" t="s">
        <v>32859</v>
      </c>
      <c r="N6845" s="2" t="s">
        <v>32860</v>
      </c>
      <c r="O6845" s="2" t="s">
        <v>869</v>
      </c>
      <c r="P6845" s="2" t="s">
        <v>870</v>
      </c>
    </row>
    <row r="6846" ht="15.75" customHeight="1">
      <c r="H6846" s="2" t="s">
        <v>32861</v>
      </c>
      <c r="I6846" s="2" t="s">
        <v>1950</v>
      </c>
      <c r="J6846" s="2" t="s">
        <v>1951</v>
      </c>
      <c r="K6846" s="2" t="s">
        <v>25287</v>
      </c>
      <c r="L6846" s="2" t="s">
        <v>31923</v>
      </c>
      <c r="M6846" s="2" t="s">
        <v>7462</v>
      </c>
      <c r="N6846" s="2" t="s">
        <v>32862</v>
      </c>
      <c r="O6846" s="2" t="s">
        <v>869</v>
      </c>
      <c r="P6846" s="2" t="s">
        <v>870</v>
      </c>
    </row>
    <row r="6847" ht="15.75" customHeight="1">
      <c r="H6847" s="2" t="s">
        <v>32863</v>
      </c>
      <c r="I6847" s="2" t="s">
        <v>25760</v>
      </c>
      <c r="J6847" s="2" t="s">
        <v>25761</v>
      </c>
      <c r="K6847" s="2" t="s">
        <v>6058</v>
      </c>
      <c r="L6847" s="2" t="s">
        <v>31923</v>
      </c>
      <c r="M6847" s="2" t="s">
        <v>7561</v>
      </c>
      <c r="N6847" s="2" t="s">
        <v>32864</v>
      </c>
      <c r="O6847" s="2" t="s">
        <v>869</v>
      </c>
      <c r="P6847" s="2" t="s">
        <v>870</v>
      </c>
    </row>
    <row r="6848" ht="15.75" customHeight="1">
      <c r="H6848" s="2" t="s">
        <v>32865</v>
      </c>
      <c r="I6848" s="2" t="s">
        <v>7465</v>
      </c>
      <c r="J6848" s="2" t="s">
        <v>7466</v>
      </c>
      <c r="K6848" s="2" t="s">
        <v>32142</v>
      </c>
      <c r="L6848" s="2" t="s">
        <v>31923</v>
      </c>
      <c r="M6848" s="2" t="s">
        <v>7468</v>
      </c>
      <c r="N6848" s="2" t="s">
        <v>32866</v>
      </c>
      <c r="O6848" s="2" t="s">
        <v>869</v>
      </c>
      <c r="P6848" s="2" t="s">
        <v>870</v>
      </c>
    </row>
    <row r="6849" ht="15.75" customHeight="1">
      <c r="H6849" s="2" t="s">
        <v>32867</v>
      </c>
      <c r="I6849" s="2" t="s">
        <v>32868</v>
      </c>
      <c r="J6849" s="2" t="s">
        <v>32869</v>
      </c>
      <c r="K6849" s="2" t="s">
        <v>25265</v>
      </c>
      <c r="L6849" s="2" t="s">
        <v>31923</v>
      </c>
      <c r="M6849" s="2" t="s">
        <v>32870</v>
      </c>
      <c r="N6849" s="2" t="s">
        <v>32871</v>
      </c>
      <c r="O6849" s="2" t="s">
        <v>869</v>
      </c>
      <c r="P6849" s="2" t="s">
        <v>870</v>
      </c>
    </row>
    <row r="6850" ht="15.75" customHeight="1">
      <c r="H6850" s="2" t="s">
        <v>32872</v>
      </c>
      <c r="I6850" s="2" t="s">
        <v>19221</v>
      </c>
      <c r="J6850" s="2" t="s">
        <v>19222</v>
      </c>
      <c r="K6850" s="2" t="s">
        <v>32768</v>
      </c>
      <c r="L6850" s="2" t="s">
        <v>31923</v>
      </c>
      <c r="M6850" s="2" t="s">
        <v>32873</v>
      </c>
      <c r="N6850" s="2" t="s">
        <v>32874</v>
      </c>
      <c r="O6850" s="2" t="s">
        <v>869</v>
      </c>
      <c r="P6850" s="2" t="s">
        <v>870</v>
      </c>
    </row>
    <row r="6851" ht="15.75" customHeight="1">
      <c r="H6851" s="2" t="s">
        <v>32875</v>
      </c>
      <c r="I6851" s="2" t="s">
        <v>1963</v>
      </c>
      <c r="J6851" s="2" t="s">
        <v>1964</v>
      </c>
      <c r="K6851" s="2" t="s">
        <v>31624</v>
      </c>
      <c r="L6851" s="2" t="s">
        <v>31923</v>
      </c>
      <c r="M6851" s="2" t="s">
        <v>32876</v>
      </c>
      <c r="N6851" s="2" t="s">
        <v>32877</v>
      </c>
      <c r="O6851" s="2" t="s">
        <v>869</v>
      </c>
      <c r="P6851" s="2" t="s">
        <v>870</v>
      </c>
    </row>
    <row r="6852" ht="15.75" customHeight="1">
      <c r="H6852" s="2" t="s">
        <v>32878</v>
      </c>
      <c r="I6852" s="2" t="s">
        <v>32879</v>
      </c>
      <c r="J6852" s="2" t="s">
        <v>32880</v>
      </c>
      <c r="K6852" s="2" t="s">
        <v>15831</v>
      </c>
      <c r="L6852" s="2" t="s">
        <v>31923</v>
      </c>
      <c r="M6852" s="2" t="s">
        <v>32881</v>
      </c>
      <c r="N6852" s="2" t="s">
        <v>32882</v>
      </c>
      <c r="O6852" s="2" t="s">
        <v>869</v>
      </c>
      <c r="P6852" s="2" t="s">
        <v>870</v>
      </c>
    </row>
    <row r="6853" ht="15.75" customHeight="1">
      <c r="H6853" s="2" t="s">
        <v>32883</v>
      </c>
      <c r="I6853" s="2" t="s">
        <v>32884</v>
      </c>
      <c r="J6853" s="2" t="s">
        <v>32885</v>
      </c>
      <c r="K6853" s="2" t="s">
        <v>32295</v>
      </c>
      <c r="L6853" s="2" t="s">
        <v>31923</v>
      </c>
      <c r="M6853" s="2" t="s">
        <v>32886</v>
      </c>
      <c r="N6853" s="2" t="s">
        <v>32887</v>
      </c>
      <c r="O6853" s="2" t="s">
        <v>869</v>
      </c>
      <c r="P6853" s="2" t="s">
        <v>870</v>
      </c>
    </row>
    <row r="6854" ht="15.75" customHeight="1">
      <c r="H6854" s="2" t="s">
        <v>32888</v>
      </c>
      <c r="I6854" s="2" t="s">
        <v>32889</v>
      </c>
      <c r="J6854" s="2" t="s">
        <v>32889</v>
      </c>
      <c r="K6854" s="2" t="s">
        <v>1223</v>
      </c>
    </row>
    <row r="6855" ht="15.75" customHeight="1">
      <c r="H6855" s="2" t="s">
        <v>32890</v>
      </c>
      <c r="I6855" s="2" t="s">
        <v>7570</v>
      </c>
      <c r="J6855" s="2" t="s">
        <v>7571</v>
      </c>
      <c r="K6855" s="2" t="s">
        <v>32891</v>
      </c>
      <c r="L6855" s="2" t="s">
        <v>31923</v>
      </c>
      <c r="M6855" s="2" t="s">
        <v>29184</v>
      </c>
      <c r="N6855" s="2" t="s">
        <v>32892</v>
      </c>
      <c r="O6855" s="2" t="s">
        <v>869</v>
      </c>
      <c r="P6855" s="2" t="s">
        <v>870</v>
      </c>
    </row>
    <row r="6856" ht="15.75" customHeight="1">
      <c r="H6856" s="2" t="s">
        <v>32893</v>
      </c>
      <c r="I6856" s="2" t="s">
        <v>7597</v>
      </c>
      <c r="J6856" s="2" t="s">
        <v>7598</v>
      </c>
      <c r="K6856" s="2" t="s">
        <v>24288</v>
      </c>
      <c r="L6856" s="2" t="s">
        <v>31923</v>
      </c>
      <c r="M6856" s="2" t="s">
        <v>7600</v>
      </c>
      <c r="N6856" s="2" t="s">
        <v>32894</v>
      </c>
      <c r="O6856" s="2" t="s">
        <v>869</v>
      </c>
      <c r="P6856" s="2" t="s">
        <v>870</v>
      </c>
    </row>
    <row r="6857" ht="15.75" customHeight="1">
      <c r="H6857" s="2" t="s">
        <v>32895</v>
      </c>
      <c r="I6857" s="2" t="s">
        <v>5392</v>
      </c>
      <c r="J6857" s="2" t="s">
        <v>5393</v>
      </c>
      <c r="K6857" s="2" t="s">
        <v>32896</v>
      </c>
      <c r="L6857" s="2" t="s">
        <v>31923</v>
      </c>
      <c r="M6857" s="2" t="s">
        <v>32897</v>
      </c>
      <c r="N6857" s="2" t="s">
        <v>32898</v>
      </c>
      <c r="O6857" s="2" t="s">
        <v>869</v>
      </c>
      <c r="P6857" s="2" t="s">
        <v>870</v>
      </c>
    </row>
    <row r="6858" ht="15.75" customHeight="1">
      <c r="H6858" s="2" t="s">
        <v>32899</v>
      </c>
      <c r="I6858" s="2" t="s">
        <v>32900</v>
      </c>
      <c r="J6858" s="2" t="s">
        <v>32901</v>
      </c>
      <c r="K6858" s="2" t="s">
        <v>32902</v>
      </c>
      <c r="L6858" s="2" t="s">
        <v>31923</v>
      </c>
      <c r="M6858" s="2" t="s">
        <v>32903</v>
      </c>
      <c r="N6858" s="2" t="s">
        <v>32904</v>
      </c>
      <c r="O6858" s="2" t="s">
        <v>869</v>
      </c>
      <c r="P6858" s="2" t="s">
        <v>870</v>
      </c>
    </row>
    <row r="6859" ht="15.75" customHeight="1">
      <c r="H6859" s="2" t="s">
        <v>32905</v>
      </c>
      <c r="I6859" s="2" t="s">
        <v>32906</v>
      </c>
      <c r="J6859" s="2" t="s">
        <v>32907</v>
      </c>
      <c r="K6859" s="2" t="s">
        <v>32908</v>
      </c>
      <c r="L6859" s="2" t="s">
        <v>31923</v>
      </c>
      <c r="M6859" s="2" t="s">
        <v>32909</v>
      </c>
      <c r="N6859" s="2" t="s">
        <v>32910</v>
      </c>
      <c r="O6859" s="2" t="s">
        <v>869</v>
      </c>
      <c r="P6859" s="2" t="s">
        <v>870</v>
      </c>
    </row>
    <row r="6860" ht="15.75" customHeight="1">
      <c r="H6860" s="2" t="s">
        <v>32911</v>
      </c>
      <c r="I6860" s="2" t="s">
        <v>32912</v>
      </c>
      <c r="J6860" s="2" t="s">
        <v>32913</v>
      </c>
      <c r="K6860" s="2" t="s">
        <v>32914</v>
      </c>
      <c r="L6860" s="2" t="s">
        <v>31923</v>
      </c>
      <c r="M6860" s="2" t="s">
        <v>32915</v>
      </c>
      <c r="N6860" s="2" t="s">
        <v>32916</v>
      </c>
      <c r="O6860" s="2" t="s">
        <v>869</v>
      </c>
      <c r="P6860" s="2" t="s">
        <v>870</v>
      </c>
    </row>
    <row r="6861" ht="15.75" customHeight="1">
      <c r="H6861" s="2" t="s">
        <v>32917</v>
      </c>
      <c r="I6861" s="2" t="s">
        <v>29796</v>
      </c>
      <c r="J6861" s="2" t="s">
        <v>29797</v>
      </c>
      <c r="K6861" s="2" t="s">
        <v>6091</v>
      </c>
      <c r="L6861" s="2" t="s">
        <v>31923</v>
      </c>
      <c r="M6861" s="2" t="s">
        <v>32918</v>
      </c>
      <c r="N6861" s="2" t="s">
        <v>32919</v>
      </c>
      <c r="O6861" s="2" t="s">
        <v>869</v>
      </c>
      <c r="P6861" s="2" t="s">
        <v>870</v>
      </c>
    </row>
    <row r="6862" ht="15.75" customHeight="1">
      <c r="H6862" s="2" t="s">
        <v>32920</v>
      </c>
      <c r="I6862" s="2" t="s">
        <v>32921</v>
      </c>
      <c r="J6862" s="2" t="s">
        <v>32922</v>
      </c>
      <c r="K6862" s="2" t="s">
        <v>24465</v>
      </c>
      <c r="L6862" s="2" t="s">
        <v>31923</v>
      </c>
      <c r="M6862" s="2" t="s">
        <v>32923</v>
      </c>
      <c r="N6862" s="2" t="s">
        <v>32924</v>
      </c>
      <c r="O6862" s="2" t="s">
        <v>869</v>
      </c>
      <c r="P6862" s="2" t="s">
        <v>870</v>
      </c>
    </row>
    <row r="6863" ht="15.75" customHeight="1">
      <c r="H6863" s="2" t="s">
        <v>32925</v>
      </c>
      <c r="I6863" s="2" t="s">
        <v>32926</v>
      </c>
      <c r="J6863" s="2" t="s">
        <v>32927</v>
      </c>
      <c r="K6863" s="2" t="s">
        <v>6029</v>
      </c>
      <c r="L6863" s="2" t="s">
        <v>31923</v>
      </c>
      <c r="M6863" s="2" t="s">
        <v>32928</v>
      </c>
      <c r="N6863" s="2" t="s">
        <v>32929</v>
      </c>
      <c r="O6863" s="2" t="s">
        <v>869</v>
      </c>
      <c r="P6863" s="2" t="s">
        <v>870</v>
      </c>
    </row>
    <row r="6864" ht="15.75" customHeight="1">
      <c r="H6864" s="2" t="s">
        <v>32930</v>
      </c>
      <c r="I6864" s="2" t="s">
        <v>32931</v>
      </c>
      <c r="J6864" s="2" t="s">
        <v>32932</v>
      </c>
      <c r="K6864" s="2" t="s">
        <v>24477</v>
      </c>
      <c r="L6864" s="2" t="s">
        <v>31923</v>
      </c>
      <c r="M6864" s="2" t="s">
        <v>32933</v>
      </c>
      <c r="N6864" s="2" t="s">
        <v>32934</v>
      </c>
      <c r="O6864" s="2" t="s">
        <v>869</v>
      </c>
      <c r="P6864" s="2" t="s">
        <v>870</v>
      </c>
    </row>
    <row r="6865" ht="15.75" customHeight="1">
      <c r="H6865" s="2" t="s">
        <v>32935</v>
      </c>
      <c r="I6865" s="2" t="s">
        <v>257</v>
      </c>
      <c r="J6865" s="2" t="s">
        <v>258</v>
      </c>
      <c r="K6865" s="2" t="s">
        <v>32936</v>
      </c>
      <c r="L6865" s="2" t="s">
        <v>31923</v>
      </c>
      <c r="M6865" s="2" t="s">
        <v>32937</v>
      </c>
      <c r="N6865" s="2" t="s">
        <v>32938</v>
      </c>
      <c r="O6865" s="2" t="s">
        <v>869</v>
      </c>
      <c r="P6865" s="2" t="s">
        <v>870</v>
      </c>
    </row>
    <row r="6866" ht="15.75" customHeight="1">
      <c r="H6866" s="2" t="s">
        <v>32939</v>
      </c>
      <c r="I6866" s="2" t="s">
        <v>32940</v>
      </c>
      <c r="J6866" s="2" t="s">
        <v>32941</v>
      </c>
      <c r="K6866" s="2" t="s">
        <v>24967</v>
      </c>
      <c r="L6866" s="2" t="s">
        <v>31923</v>
      </c>
      <c r="M6866" s="2" t="s">
        <v>32942</v>
      </c>
      <c r="N6866" s="2" t="s">
        <v>32943</v>
      </c>
      <c r="O6866" s="2" t="s">
        <v>869</v>
      </c>
      <c r="P6866" s="2" t="s">
        <v>870</v>
      </c>
    </row>
    <row r="6867" ht="15.75" customHeight="1">
      <c r="H6867" s="2" t="s">
        <v>32944</v>
      </c>
      <c r="I6867" s="2" t="s">
        <v>32945</v>
      </c>
      <c r="J6867" s="2" t="s">
        <v>32946</v>
      </c>
      <c r="K6867" s="2" t="s">
        <v>24314</v>
      </c>
      <c r="L6867" s="2" t="s">
        <v>31923</v>
      </c>
      <c r="M6867" s="2" t="s">
        <v>32947</v>
      </c>
      <c r="N6867" s="2" t="s">
        <v>32948</v>
      </c>
      <c r="O6867" s="2" t="s">
        <v>869</v>
      </c>
      <c r="P6867" s="2" t="s">
        <v>870</v>
      </c>
    </row>
    <row r="6868" ht="15.75" customHeight="1">
      <c r="H6868" s="2" t="s">
        <v>32949</v>
      </c>
      <c r="I6868" s="2" t="s">
        <v>32950</v>
      </c>
      <c r="J6868" s="2" t="s">
        <v>32951</v>
      </c>
      <c r="K6868" s="2" t="s">
        <v>24450</v>
      </c>
      <c r="L6868" s="2" t="s">
        <v>31923</v>
      </c>
      <c r="M6868" s="2" t="s">
        <v>32952</v>
      </c>
      <c r="N6868" s="2" t="s">
        <v>32953</v>
      </c>
      <c r="O6868" s="2" t="s">
        <v>869</v>
      </c>
      <c r="P6868" s="2" t="s">
        <v>870</v>
      </c>
    </row>
    <row r="6869" ht="15.75" customHeight="1">
      <c r="F6869" s="2" t="s">
        <v>274</v>
      </c>
      <c r="H6869" s="2" t="s">
        <v>32954</v>
      </c>
      <c r="I6869" s="2" t="s">
        <v>32955</v>
      </c>
      <c r="J6869" s="2" t="s">
        <v>32955</v>
      </c>
      <c r="K6869" s="2" t="s">
        <v>859</v>
      </c>
    </row>
    <row r="6870" ht="15.75" customHeight="1">
      <c r="H6870" s="2" t="s">
        <v>32956</v>
      </c>
      <c r="I6870" s="2" t="s">
        <v>276</v>
      </c>
      <c r="J6870" s="2" t="s">
        <v>276</v>
      </c>
      <c r="K6870" s="2" t="s">
        <v>277</v>
      </c>
    </row>
    <row r="6871" ht="15.75" customHeight="1">
      <c r="H6871" s="2" t="s">
        <v>32957</v>
      </c>
      <c r="I6871" s="2" t="s">
        <v>279</v>
      </c>
      <c r="J6871" s="2" t="s">
        <v>274</v>
      </c>
      <c r="K6871" s="2" t="s">
        <v>280</v>
      </c>
    </row>
    <row r="6872" ht="15.75" customHeight="1">
      <c r="H6872" s="2" t="s">
        <v>32958</v>
      </c>
      <c r="I6872" s="2" t="s">
        <v>7659</v>
      </c>
      <c r="J6872" s="2" t="s">
        <v>7659</v>
      </c>
      <c r="K6872" s="2" t="s">
        <v>874</v>
      </c>
    </row>
    <row r="6873" ht="15.75" customHeight="1">
      <c r="H6873" s="2" t="s">
        <v>32959</v>
      </c>
      <c r="I6873" s="2" t="s">
        <v>7676</v>
      </c>
      <c r="J6873" s="2" t="s">
        <v>7676</v>
      </c>
      <c r="K6873" s="2" t="s">
        <v>886</v>
      </c>
    </row>
    <row r="6874" ht="15.75" customHeight="1">
      <c r="H6874" s="2" t="s">
        <v>32960</v>
      </c>
      <c r="I6874" s="2" t="s">
        <v>32961</v>
      </c>
      <c r="J6874" s="2" t="s">
        <v>32961</v>
      </c>
      <c r="K6874" s="2" t="s">
        <v>1128</v>
      </c>
    </row>
    <row r="6875" ht="15.75" customHeight="1">
      <c r="H6875" s="2" t="s">
        <v>32962</v>
      </c>
      <c r="I6875" s="2" t="s">
        <v>7683</v>
      </c>
      <c r="J6875" s="2" t="s">
        <v>7683</v>
      </c>
      <c r="K6875" s="2" t="s">
        <v>896</v>
      </c>
    </row>
    <row r="6876" ht="15.75" customHeight="1">
      <c r="H6876" s="2" t="s">
        <v>32963</v>
      </c>
      <c r="I6876" s="2" t="s">
        <v>282</v>
      </c>
      <c r="J6876" s="2" t="s">
        <v>282</v>
      </c>
      <c r="K6876" s="2" t="s">
        <v>283</v>
      </c>
    </row>
    <row r="6877" ht="15.75" customHeight="1">
      <c r="H6877" s="2" t="s">
        <v>32964</v>
      </c>
      <c r="I6877" s="2" t="s">
        <v>7686</v>
      </c>
      <c r="J6877" s="2" t="s">
        <v>7686</v>
      </c>
      <c r="K6877" s="2" t="s">
        <v>1508</v>
      </c>
    </row>
    <row r="6878" ht="15.75" customHeight="1">
      <c r="F6878" s="2" t="s">
        <v>284</v>
      </c>
      <c r="H6878" s="2" t="s">
        <v>32965</v>
      </c>
      <c r="I6878" s="2" t="s">
        <v>32966</v>
      </c>
      <c r="J6878" s="2" t="s">
        <v>32967</v>
      </c>
      <c r="K6878" s="2" t="s">
        <v>22462</v>
      </c>
      <c r="L6878" s="2" t="s">
        <v>31923</v>
      </c>
      <c r="M6878" s="2" t="s">
        <v>32968</v>
      </c>
      <c r="N6878" s="2" t="s">
        <v>32969</v>
      </c>
      <c r="O6878" s="2" t="s">
        <v>869</v>
      </c>
      <c r="P6878" s="2" t="s">
        <v>870</v>
      </c>
    </row>
    <row r="6879" ht="15.75" customHeight="1">
      <c r="H6879" s="2" t="s">
        <v>32970</v>
      </c>
      <c r="I6879" s="2" t="s">
        <v>32971</v>
      </c>
      <c r="J6879" s="2" t="s">
        <v>32972</v>
      </c>
      <c r="K6879" s="2" t="s">
        <v>24014</v>
      </c>
      <c r="L6879" s="2" t="s">
        <v>31923</v>
      </c>
      <c r="M6879" s="2" t="s">
        <v>32973</v>
      </c>
      <c r="N6879" s="2" t="s">
        <v>869</v>
      </c>
      <c r="O6879" s="2" t="s">
        <v>870</v>
      </c>
    </row>
    <row r="6880" ht="15.75" customHeight="1">
      <c r="H6880" s="2" t="s">
        <v>32974</v>
      </c>
      <c r="I6880" s="2" t="s">
        <v>32975</v>
      </c>
      <c r="J6880" s="2" t="s">
        <v>32976</v>
      </c>
      <c r="K6880" s="2" t="s">
        <v>24518</v>
      </c>
      <c r="L6880" s="2" t="s">
        <v>31923</v>
      </c>
      <c r="M6880" s="2" t="s">
        <v>32977</v>
      </c>
      <c r="N6880" s="2" t="s">
        <v>32978</v>
      </c>
      <c r="O6880" s="2" t="s">
        <v>869</v>
      </c>
      <c r="P6880" s="2" t="s">
        <v>870</v>
      </c>
    </row>
    <row r="6881" ht="15.75" customHeight="1">
      <c r="H6881" s="2" t="s">
        <v>32979</v>
      </c>
      <c r="I6881" s="2" t="s">
        <v>16894</v>
      </c>
      <c r="J6881" s="2" t="s">
        <v>16895</v>
      </c>
      <c r="K6881" s="2" t="s">
        <v>15779</v>
      </c>
      <c r="L6881" s="2" t="s">
        <v>31923</v>
      </c>
      <c r="M6881" s="2" t="s">
        <v>32980</v>
      </c>
      <c r="N6881" s="2" t="s">
        <v>32981</v>
      </c>
      <c r="O6881" s="2" t="s">
        <v>869</v>
      </c>
      <c r="P6881" s="2" t="s">
        <v>870</v>
      </c>
    </row>
    <row r="6882" ht="15.75" customHeight="1">
      <c r="H6882" s="2" t="s">
        <v>32982</v>
      </c>
      <c r="I6882" s="2" t="s">
        <v>19335</v>
      </c>
      <c r="J6882" s="2" t="s">
        <v>19336</v>
      </c>
      <c r="K6882" s="2" t="s">
        <v>15897</v>
      </c>
      <c r="L6882" s="2" t="s">
        <v>31923</v>
      </c>
      <c r="M6882" s="2" t="s">
        <v>32983</v>
      </c>
      <c r="N6882" s="2" t="s">
        <v>32984</v>
      </c>
      <c r="O6882" s="2" t="s">
        <v>869</v>
      </c>
      <c r="P6882" s="2" t="s">
        <v>870</v>
      </c>
    </row>
    <row r="6883" ht="15.75" customHeight="1">
      <c r="H6883" s="2" t="s">
        <v>32985</v>
      </c>
      <c r="I6883" s="2" t="s">
        <v>32986</v>
      </c>
      <c r="J6883" s="2" t="s">
        <v>32987</v>
      </c>
      <c r="K6883" s="2" t="s">
        <v>25009</v>
      </c>
      <c r="L6883" s="2" t="s">
        <v>31923</v>
      </c>
      <c r="M6883" s="2" t="s">
        <v>32988</v>
      </c>
      <c r="N6883" s="2" t="s">
        <v>32989</v>
      </c>
      <c r="O6883" s="2" t="s">
        <v>869</v>
      </c>
      <c r="P6883" s="2" t="s">
        <v>870</v>
      </c>
    </row>
    <row r="6884" ht="15.75" customHeight="1">
      <c r="H6884" s="2" t="s">
        <v>32990</v>
      </c>
      <c r="I6884" s="2" t="s">
        <v>32991</v>
      </c>
      <c r="J6884" s="2" t="s">
        <v>32992</v>
      </c>
      <c r="K6884" s="2" t="s">
        <v>5995</v>
      </c>
      <c r="L6884" s="2" t="s">
        <v>31923</v>
      </c>
      <c r="M6884" s="2" t="s">
        <v>32993</v>
      </c>
      <c r="N6884" s="2" t="s">
        <v>32994</v>
      </c>
      <c r="O6884" s="2" t="s">
        <v>869</v>
      </c>
      <c r="P6884" s="2" t="s">
        <v>870</v>
      </c>
    </row>
    <row r="6885" ht="15.75" customHeight="1">
      <c r="H6885" s="2" t="s">
        <v>32995</v>
      </c>
      <c r="I6885" s="2" t="s">
        <v>11959</v>
      </c>
      <c r="J6885" s="2" t="s">
        <v>11960</v>
      </c>
      <c r="K6885" s="2" t="s">
        <v>15796</v>
      </c>
      <c r="L6885" s="2" t="s">
        <v>31923</v>
      </c>
      <c r="M6885" s="2" t="s">
        <v>32996</v>
      </c>
      <c r="N6885" s="2" t="s">
        <v>32997</v>
      </c>
      <c r="O6885" s="2" t="s">
        <v>869</v>
      </c>
      <c r="P6885" s="2" t="s">
        <v>870</v>
      </c>
    </row>
    <row r="6886" ht="15.75" customHeight="1">
      <c r="H6886" s="2" t="s">
        <v>32998</v>
      </c>
      <c r="I6886" s="2" t="s">
        <v>7694</v>
      </c>
      <c r="J6886" s="2" t="s">
        <v>7695</v>
      </c>
      <c r="K6886" s="2" t="s">
        <v>25009</v>
      </c>
      <c r="L6886" s="2" t="s">
        <v>31923</v>
      </c>
      <c r="M6886" s="2" t="s">
        <v>32999</v>
      </c>
      <c r="N6886" s="2" t="s">
        <v>33000</v>
      </c>
      <c r="O6886" s="2" t="s">
        <v>869</v>
      </c>
      <c r="P6886" s="2" t="s">
        <v>870</v>
      </c>
    </row>
    <row r="6887" ht="15.75" customHeight="1">
      <c r="H6887" s="2" t="s">
        <v>33001</v>
      </c>
      <c r="I6887" s="2" t="s">
        <v>33002</v>
      </c>
      <c r="J6887" s="2" t="s">
        <v>33003</v>
      </c>
      <c r="K6887" s="2" t="s">
        <v>15861</v>
      </c>
      <c r="L6887" s="2" t="s">
        <v>31923</v>
      </c>
      <c r="M6887" s="2" t="s">
        <v>33004</v>
      </c>
      <c r="N6887" s="2" t="s">
        <v>33005</v>
      </c>
      <c r="O6887" s="2" t="s">
        <v>869</v>
      </c>
      <c r="P6887" s="2" t="s">
        <v>870</v>
      </c>
    </row>
    <row r="6888" ht="15.75" customHeight="1">
      <c r="H6888" s="2" t="s">
        <v>33006</v>
      </c>
      <c r="I6888" s="2" t="s">
        <v>33007</v>
      </c>
      <c r="J6888" s="2" t="s">
        <v>33008</v>
      </c>
      <c r="K6888" s="2" t="s">
        <v>15901</v>
      </c>
      <c r="L6888" s="2" t="s">
        <v>31923</v>
      </c>
      <c r="M6888" s="2" t="s">
        <v>33009</v>
      </c>
      <c r="N6888" s="2" t="s">
        <v>33010</v>
      </c>
      <c r="O6888" s="2" t="s">
        <v>869</v>
      </c>
      <c r="P6888" s="2" t="s">
        <v>870</v>
      </c>
    </row>
    <row r="6889" ht="15.75" customHeight="1">
      <c r="H6889" s="2" t="s">
        <v>33011</v>
      </c>
      <c r="I6889" s="2" t="s">
        <v>286</v>
      </c>
      <c r="J6889" s="2" t="s">
        <v>287</v>
      </c>
      <c r="K6889" s="2" t="s">
        <v>15801</v>
      </c>
      <c r="L6889" s="2" t="s">
        <v>31923</v>
      </c>
      <c r="M6889" s="2" t="s">
        <v>33012</v>
      </c>
      <c r="N6889" s="2" t="s">
        <v>33013</v>
      </c>
      <c r="O6889" s="2" t="s">
        <v>869</v>
      </c>
      <c r="P6889" s="2" t="s">
        <v>870</v>
      </c>
    </row>
    <row r="6890" ht="15.75" customHeight="1">
      <c r="H6890" s="2" t="s">
        <v>33014</v>
      </c>
      <c r="I6890" s="2" t="s">
        <v>2103</v>
      </c>
      <c r="J6890" s="2" t="s">
        <v>2104</v>
      </c>
      <c r="K6890" s="2" t="s">
        <v>31317</v>
      </c>
      <c r="L6890" s="2" t="s">
        <v>33015</v>
      </c>
      <c r="M6890" s="2" t="s">
        <v>33016</v>
      </c>
      <c r="N6890" s="2" t="s">
        <v>33017</v>
      </c>
      <c r="O6890" s="2" t="s">
        <v>869</v>
      </c>
      <c r="P6890" s="2" t="s">
        <v>870</v>
      </c>
    </row>
    <row r="6891" ht="15.75" customHeight="1">
      <c r="H6891" s="2" t="s">
        <v>33018</v>
      </c>
      <c r="I6891" s="2" t="s">
        <v>33019</v>
      </c>
      <c r="J6891" s="2" t="s">
        <v>33020</v>
      </c>
      <c r="K6891" s="2" t="s">
        <v>25073</v>
      </c>
      <c r="L6891" s="2" t="s">
        <v>31923</v>
      </c>
      <c r="M6891" s="2" t="s">
        <v>33021</v>
      </c>
      <c r="N6891" s="2" t="s">
        <v>33022</v>
      </c>
      <c r="O6891" s="2" t="s">
        <v>869</v>
      </c>
      <c r="P6891" s="2" t="s">
        <v>870</v>
      </c>
    </row>
    <row r="6892" ht="15.75" customHeight="1">
      <c r="H6892" s="2" t="s">
        <v>33023</v>
      </c>
      <c r="I6892" s="2" t="s">
        <v>33024</v>
      </c>
      <c r="J6892" s="2" t="s">
        <v>33025</v>
      </c>
      <c r="K6892" s="2" t="s">
        <v>25032</v>
      </c>
      <c r="L6892" s="2" t="s">
        <v>31923</v>
      </c>
      <c r="M6892" s="2" t="s">
        <v>33026</v>
      </c>
      <c r="N6892" s="2" t="s">
        <v>33027</v>
      </c>
      <c r="O6892" s="2" t="s">
        <v>869</v>
      </c>
      <c r="P6892" s="2" t="s">
        <v>870</v>
      </c>
    </row>
    <row r="6893" ht="15.75" customHeight="1">
      <c r="H6893" s="2" t="s">
        <v>33028</v>
      </c>
      <c r="I6893" s="2" t="s">
        <v>13211</v>
      </c>
      <c r="J6893" s="2" t="s">
        <v>13212</v>
      </c>
      <c r="K6893" s="2" t="s">
        <v>6050</v>
      </c>
      <c r="L6893" s="2" t="s">
        <v>31923</v>
      </c>
      <c r="M6893" s="2" t="s">
        <v>33029</v>
      </c>
      <c r="N6893" s="2" t="s">
        <v>33030</v>
      </c>
      <c r="O6893" s="2" t="s">
        <v>869</v>
      </c>
      <c r="P6893" s="2" t="s">
        <v>870</v>
      </c>
    </row>
    <row r="6894" ht="15.75" customHeight="1">
      <c r="H6894" s="2" t="s">
        <v>33031</v>
      </c>
      <c r="I6894" s="2" t="s">
        <v>2124</v>
      </c>
      <c r="J6894" s="2" t="s">
        <v>2125</v>
      </c>
      <c r="K6894" s="2" t="s">
        <v>24379</v>
      </c>
      <c r="L6894" s="2" t="s">
        <v>31923</v>
      </c>
      <c r="M6894" s="2" t="s">
        <v>33032</v>
      </c>
      <c r="N6894" s="2" t="s">
        <v>33033</v>
      </c>
      <c r="O6894" s="2" t="s">
        <v>869</v>
      </c>
      <c r="P6894" s="2" t="s">
        <v>870</v>
      </c>
    </row>
    <row r="6895" ht="15.75" customHeight="1">
      <c r="H6895" s="2" t="s">
        <v>33034</v>
      </c>
      <c r="I6895" s="2" t="s">
        <v>33035</v>
      </c>
      <c r="J6895" s="2" t="s">
        <v>33036</v>
      </c>
      <c r="K6895" s="2" t="s">
        <v>24102</v>
      </c>
      <c r="L6895" s="2" t="s">
        <v>31923</v>
      </c>
      <c r="M6895" s="2" t="s">
        <v>33037</v>
      </c>
      <c r="N6895" s="2" t="s">
        <v>33038</v>
      </c>
      <c r="O6895" s="2" t="s">
        <v>869</v>
      </c>
      <c r="P6895" s="2" t="s">
        <v>870</v>
      </c>
    </row>
    <row r="6896" ht="15.75" customHeight="1">
      <c r="H6896" s="2" t="s">
        <v>33039</v>
      </c>
      <c r="I6896" s="2" t="s">
        <v>33040</v>
      </c>
      <c r="J6896" s="2" t="s">
        <v>33041</v>
      </c>
      <c r="K6896" s="2" t="s">
        <v>6054</v>
      </c>
      <c r="L6896" s="2" t="s">
        <v>31923</v>
      </c>
      <c r="M6896" s="2" t="s">
        <v>33042</v>
      </c>
      <c r="N6896" s="2" t="s">
        <v>33043</v>
      </c>
      <c r="O6896" s="2" t="s">
        <v>869</v>
      </c>
      <c r="P6896" s="2" t="s">
        <v>870</v>
      </c>
    </row>
    <row r="6897" ht="15.75" customHeight="1">
      <c r="H6897" s="2" t="s">
        <v>33044</v>
      </c>
      <c r="I6897" s="2" t="s">
        <v>19366</v>
      </c>
      <c r="J6897" s="2" t="s">
        <v>19367</v>
      </c>
      <c r="K6897" s="2" t="s">
        <v>6046</v>
      </c>
      <c r="L6897" s="2" t="s">
        <v>31923</v>
      </c>
      <c r="M6897" s="2" t="s">
        <v>33045</v>
      </c>
      <c r="N6897" s="2" t="s">
        <v>33046</v>
      </c>
      <c r="O6897" s="2" t="s">
        <v>869</v>
      </c>
      <c r="P6897" s="2" t="s">
        <v>870</v>
      </c>
    </row>
    <row r="6898" ht="15.75" customHeight="1">
      <c r="H6898" s="2" t="s">
        <v>33047</v>
      </c>
      <c r="I6898" s="2" t="s">
        <v>32833</v>
      </c>
      <c r="J6898" s="2" t="s">
        <v>32834</v>
      </c>
      <c r="K6898" s="2" t="s">
        <v>15901</v>
      </c>
      <c r="L6898" s="2" t="s">
        <v>31923</v>
      </c>
      <c r="M6898" s="2" t="s">
        <v>33048</v>
      </c>
      <c r="N6898" s="2" t="s">
        <v>33049</v>
      </c>
      <c r="O6898" s="2" t="s">
        <v>869</v>
      </c>
      <c r="P6898" s="2" t="s">
        <v>870</v>
      </c>
    </row>
    <row r="6899" ht="15.75" customHeight="1">
      <c r="H6899" s="2" t="s">
        <v>33050</v>
      </c>
      <c r="I6899" s="2" t="s">
        <v>33051</v>
      </c>
      <c r="J6899" s="2" t="s">
        <v>33052</v>
      </c>
      <c r="K6899" s="2" t="s">
        <v>25068</v>
      </c>
      <c r="L6899" s="2" t="s">
        <v>31923</v>
      </c>
      <c r="M6899" s="2" t="s">
        <v>33053</v>
      </c>
      <c r="N6899" s="2" t="s">
        <v>33054</v>
      </c>
      <c r="O6899" s="2" t="s">
        <v>869</v>
      </c>
      <c r="P6899" s="2" t="s">
        <v>870</v>
      </c>
    </row>
    <row r="6900" ht="15.75" customHeight="1">
      <c r="H6900" s="2" t="s">
        <v>33055</v>
      </c>
      <c r="I6900" s="2" t="s">
        <v>33056</v>
      </c>
      <c r="J6900" s="2" t="s">
        <v>33057</v>
      </c>
      <c r="K6900" s="2" t="s">
        <v>32603</v>
      </c>
      <c r="L6900" s="2" t="s">
        <v>31923</v>
      </c>
      <c r="M6900" s="2" t="s">
        <v>33058</v>
      </c>
      <c r="N6900" s="2" t="s">
        <v>33059</v>
      </c>
      <c r="O6900" s="2" t="s">
        <v>869</v>
      </c>
      <c r="P6900" s="2" t="s">
        <v>870</v>
      </c>
    </row>
    <row r="6901" ht="15.75" customHeight="1">
      <c r="H6901" s="2" t="s">
        <v>33060</v>
      </c>
      <c r="I6901" s="2" t="s">
        <v>33061</v>
      </c>
      <c r="J6901" s="2" t="s">
        <v>33062</v>
      </c>
      <c r="K6901" s="2" t="s">
        <v>6050</v>
      </c>
      <c r="L6901" s="2" t="s">
        <v>31923</v>
      </c>
      <c r="M6901" s="2" t="s">
        <v>33063</v>
      </c>
      <c r="N6901" s="2" t="s">
        <v>33064</v>
      </c>
      <c r="O6901" s="2" t="s">
        <v>869</v>
      </c>
      <c r="P6901" s="2" t="s">
        <v>870</v>
      </c>
    </row>
    <row r="6902" ht="15.75" customHeight="1">
      <c r="H6902" s="2" t="s">
        <v>33065</v>
      </c>
      <c r="I6902" s="2" t="s">
        <v>1000</v>
      </c>
      <c r="J6902" s="2" t="s">
        <v>1001</v>
      </c>
      <c r="K6902" s="2" t="s">
        <v>22050</v>
      </c>
      <c r="L6902" s="2" t="s">
        <v>31923</v>
      </c>
      <c r="M6902" s="2" t="s">
        <v>33066</v>
      </c>
      <c r="N6902" s="2" t="s">
        <v>33067</v>
      </c>
      <c r="O6902" s="2" t="s">
        <v>869</v>
      </c>
      <c r="P6902" s="2" t="s">
        <v>870</v>
      </c>
    </row>
    <row r="6903" ht="15.75" customHeight="1">
      <c r="H6903" s="2" t="s">
        <v>33068</v>
      </c>
      <c r="I6903" s="2" t="s">
        <v>33069</v>
      </c>
      <c r="J6903" s="2" t="s">
        <v>33070</v>
      </c>
      <c r="K6903" s="2" t="s">
        <v>31463</v>
      </c>
      <c r="L6903" s="2" t="s">
        <v>31923</v>
      </c>
      <c r="M6903" s="2" t="s">
        <v>33071</v>
      </c>
      <c r="N6903" s="2" t="s">
        <v>33072</v>
      </c>
      <c r="O6903" s="2" t="s">
        <v>869</v>
      </c>
      <c r="P6903" s="2" t="s">
        <v>870</v>
      </c>
    </row>
    <row r="6904" ht="15.75" customHeight="1">
      <c r="H6904" s="2" t="s">
        <v>33073</v>
      </c>
      <c r="I6904" s="2" t="s">
        <v>4377</v>
      </c>
      <c r="J6904" s="2" t="s">
        <v>4378</v>
      </c>
      <c r="K6904" s="2" t="s">
        <v>24528</v>
      </c>
      <c r="L6904" s="2" t="s">
        <v>31923</v>
      </c>
      <c r="M6904" s="2" t="s">
        <v>33074</v>
      </c>
      <c r="N6904" s="2" t="s">
        <v>33075</v>
      </c>
      <c r="O6904" s="2" t="s">
        <v>869</v>
      </c>
      <c r="P6904" s="2" t="s">
        <v>870</v>
      </c>
    </row>
    <row r="6905" ht="15.75" customHeight="1">
      <c r="H6905" s="2" t="s">
        <v>33076</v>
      </c>
      <c r="I6905" s="2" t="s">
        <v>32579</v>
      </c>
      <c r="J6905" s="2" t="s">
        <v>32580</v>
      </c>
      <c r="K6905" s="2" t="s">
        <v>15805</v>
      </c>
      <c r="L6905" s="2" t="s">
        <v>31923</v>
      </c>
      <c r="M6905" s="2" t="s">
        <v>33077</v>
      </c>
      <c r="N6905" s="2" t="s">
        <v>33078</v>
      </c>
      <c r="O6905" s="2" t="s">
        <v>869</v>
      </c>
      <c r="P6905" s="2" t="s">
        <v>870</v>
      </c>
    </row>
    <row r="6906" ht="15.75" customHeight="1">
      <c r="H6906" s="2" t="s">
        <v>33079</v>
      </c>
      <c r="I6906" s="2" t="s">
        <v>33080</v>
      </c>
      <c r="J6906" s="2" t="s">
        <v>33081</v>
      </c>
      <c r="K6906" s="2" t="s">
        <v>6081</v>
      </c>
      <c r="L6906" s="2" t="s">
        <v>31923</v>
      </c>
      <c r="M6906" s="2" t="s">
        <v>33082</v>
      </c>
      <c r="N6906" s="2" t="s">
        <v>33083</v>
      </c>
      <c r="O6906" s="2" t="s">
        <v>869</v>
      </c>
      <c r="P6906" s="2" t="s">
        <v>870</v>
      </c>
    </row>
    <row r="6907" ht="15.75" customHeight="1">
      <c r="H6907" s="2" t="s">
        <v>33084</v>
      </c>
      <c r="I6907" s="2" t="s">
        <v>33085</v>
      </c>
      <c r="J6907" s="2" t="s">
        <v>33086</v>
      </c>
      <c r="K6907" s="2" t="s">
        <v>24379</v>
      </c>
      <c r="L6907" s="2" t="s">
        <v>31923</v>
      </c>
      <c r="M6907" s="2" t="s">
        <v>33087</v>
      </c>
      <c r="N6907" s="2" t="s">
        <v>33088</v>
      </c>
      <c r="O6907" s="2" t="s">
        <v>869</v>
      </c>
      <c r="P6907" s="2" t="s">
        <v>870</v>
      </c>
    </row>
    <row r="6908" ht="15.75" customHeight="1">
      <c r="H6908" s="2" t="s">
        <v>33089</v>
      </c>
      <c r="I6908" s="2" t="s">
        <v>11975</v>
      </c>
      <c r="J6908" s="2" t="s">
        <v>11976</v>
      </c>
      <c r="K6908" s="2" t="s">
        <v>24137</v>
      </c>
      <c r="L6908" s="2" t="s">
        <v>33090</v>
      </c>
      <c r="M6908" s="2" t="s">
        <v>33091</v>
      </c>
      <c r="N6908" s="2" t="s">
        <v>33092</v>
      </c>
      <c r="O6908" s="2" t="s">
        <v>869</v>
      </c>
      <c r="P6908" s="2" t="s">
        <v>870</v>
      </c>
    </row>
    <row r="6909" ht="15.75" customHeight="1">
      <c r="H6909" s="2" t="s">
        <v>33093</v>
      </c>
      <c r="I6909" s="2" t="s">
        <v>13686</v>
      </c>
      <c r="J6909" s="2" t="s">
        <v>13687</v>
      </c>
      <c r="K6909" s="2" t="s">
        <v>22055</v>
      </c>
      <c r="L6909" s="2" t="s">
        <v>31923</v>
      </c>
      <c r="M6909" s="2" t="s">
        <v>33094</v>
      </c>
      <c r="N6909" s="2" t="s">
        <v>33095</v>
      </c>
      <c r="O6909" s="2" t="s">
        <v>869</v>
      </c>
      <c r="P6909" s="2" t="s">
        <v>870</v>
      </c>
    </row>
    <row r="6910" ht="15.75" customHeight="1">
      <c r="H6910" s="2" t="s">
        <v>33096</v>
      </c>
      <c r="I6910" s="2" t="s">
        <v>2152</v>
      </c>
      <c r="J6910" s="2" t="s">
        <v>2153</v>
      </c>
      <c r="K6910" s="2" t="s">
        <v>33097</v>
      </c>
      <c r="L6910" s="2" t="s">
        <v>31923</v>
      </c>
      <c r="M6910" s="2" t="s">
        <v>33098</v>
      </c>
      <c r="N6910" s="2" t="s">
        <v>33099</v>
      </c>
      <c r="O6910" s="2" t="s">
        <v>869</v>
      </c>
      <c r="P6910" s="2" t="s">
        <v>870</v>
      </c>
    </row>
    <row r="6911" ht="15.75" customHeight="1">
      <c r="H6911" s="2" t="s">
        <v>33100</v>
      </c>
      <c r="I6911" s="2" t="s">
        <v>33101</v>
      </c>
      <c r="J6911" s="2" t="s">
        <v>33102</v>
      </c>
      <c r="K6911" s="2" t="s">
        <v>24438</v>
      </c>
      <c r="L6911" s="2" t="s">
        <v>31923</v>
      </c>
      <c r="M6911" s="2" t="s">
        <v>33103</v>
      </c>
      <c r="N6911" s="2" t="s">
        <v>33104</v>
      </c>
      <c r="O6911" s="2" t="s">
        <v>869</v>
      </c>
      <c r="P6911" s="2" t="s">
        <v>870</v>
      </c>
    </row>
    <row r="6912" ht="15.75" customHeight="1">
      <c r="H6912" s="2" t="s">
        <v>33105</v>
      </c>
      <c r="I6912" s="2" t="s">
        <v>2157</v>
      </c>
      <c r="J6912" s="2" t="s">
        <v>2158</v>
      </c>
      <c r="K6912" s="2" t="s">
        <v>6062</v>
      </c>
      <c r="L6912" s="2" t="s">
        <v>31923</v>
      </c>
      <c r="M6912" s="2" t="s">
        <v>33106</v>
      </c>
      <c r="N6912" s="2" t="s">
        <v>33107</v>
      </c>
      <c r="O6912" s="2" t="s">
        <v>869</v>
      </c>
      <c r="P6912" s="2" t="s">
        <v>870</v>
      </c>
    </row>
    <row r="6913" ht="15.75" customHeight="1">
      <c r="H6913" s="2" t="s">
        <v>33108</v>
      </c>
      <c r="I6913" s="2" t="s">
        <v>2162</v>
      </c>
      <c r="J6913" s="2" t="s">
        <v>2163</v>
      </c>
      <c r="K6913" s="2" t="s">
        <v>6019</v>
      </c>
      <c r="L6913" s="2" t="s">
        <v>31923</v>
      </c>
      <c r="M6913" s="2" t="s">
        <v>33109</v>
      </c>
      <c r="N6913" s="2" t="s">
        <v>33110</v>
      </c>
      <c r="O6913" s="2" t="s">
        <v>869</v>
      </c>
      <c r="P6913" s="2" t="s">
        <v>870</v>
      </c>
    </row>
    <row r="6914" ht="15.75" customHeight="1">
      <c r="H6914" s="2" t="s">
        <v>33111</v>
      </c>
      <c r="I6914" s="2" t="s">
        <v>310</v>
      </c>
      <c r="J6914" s="2" t="s">
        <v>311</v>
      </c>
      <c r="K6914" s="2" t="s">
        <v>24655</v>
      </c>
      <c r="L6914" s="2" t="s">
        <v>31923</v>
      </c>
      <c r="M6914" s="2" t="s">
        <v>33112</v>
      </c>
      <c r="N6914" s="2" t="s">
        <v>33113</v>
      </c>
      <c r="O6914" s="2" t="s">
        <v>869</v>
      </c>
      <c r="P6914" s="2" t="s">
        <v>870</v>
      </c>
    </row>
    <row r="6915" ht="15.75" customHeight="1">
      <c r="H6915" s="2" t="s">
        <v>33114</v>
      </c>
      <c r="I6915" s="2" t="s">
        <v>5421</v>
      </c>
      <c r="J6915" s="2" t="s">
        <v>5422</v>
      </c>
      <c r="K6915" s="2" t="s">
        <v>6006</v>
      </c>
      <c r="L6915" s="2" t="s">
        <v>33115</v>
      </c>
      <c r="M6915" s="2" t="s">
        <v>33116</v>
      </c>
      <c r="N6915" s="2" t="s">
        <v>33117</v>
      </c>
      <c r="O6915" s="2" t="s">
        <v>869</v>
      </c>
      <c r="P6915" s="2" t="s">
        <v>870</v>
      </c>
    </row>
    <row r="6916" ht="15.75" customHeight="1">
      <c r="H6916" s="2" t="s">
        <v>33118</v>
      </c>
      <c r="I6916" s="2" t="s">
        <v>33119</v>
      </c>
      <c r="J6916" s="2" t="s">
        <v>33120</v>
      </c>
      <c r="K6916" s="2" t="s">
        <v>32267</v>
      </c>
      <c r="L6916" s="2" t="s">
        <v>31923</v>
      </c>
      <c r="M6916" s="2" t="s">
        <v>33121</v>
      </c>
      <c r="N6916" s="2" t="s">
        <v>33122</v>
      </c>
      <c r="O6916" s="2" t="s">
        <v>869</v>
      </c>
      <c r="P6916" s="2" t="s">
        <v>870</v>
      </c>
    </row>
    <row r="6917" ht="15.75" customHeight="1">
      <c r="H6917" s="2" t="s">
        <v>33123</v>
      </c>
      <c r="I6917" s="2" t="s">
        <v>33124</v>
      </c>
      <c r="J6917" s="2" t="s">
        <v>33125</v>
      </c>
      <c r="K6917" s="2" t="s">
        <v>6010</v>
      </c>
      <c r="L6917" s="2" t="s">
        <v>31923</v>
      </c>
      <c r="M6917" s="2" t="s">
        <v>33126</v>
      </c>
      <c r="N6917" s="2" t="s">
        <v>33127</v>
      </c>
      <c r="O6917" s="2" t="s">
        <v>869</v>
      </c>
      <c r="P6917" s="2" t="s">
        <v>870</v>
      </c>
    </row>
    <row r="6918" ht="15.75" customHeight="1">
      <c r="H6918" s="2" t="s">
        <v>33128</v>
      </c>
      <c r="I6918" s="2" t="s">
        <v>19431</v>
      </c>
      <c r="J6918" s="2" t="s">
        <v>19432</v>
      </c>
      <c r="K6918" s="2" t="s">
        <v>24164</v>
      </c>
      <c r="L6918" s="2" t="s">
        <v>31923</v>
      </c>
      <c r="M6918" s="2" t="s">
        <v>33129</v>
      </c>
      <c r="N6918" s="2" t="s">
        <v>33130</v>
      </c>
      <c r="O6918" s="2" t="s">
        <v>869</v>
      </c>
      <c r="P6918" s="2" t="s">
        <v>870</v>
      </c>
    </row>
    <row r="6919" ht="15.75" customHeight="1">
      <c r="H6919" s="2" t="s">
        <v>33131</v>
      </c>
      <c r="I6919" s="2" t="s">
        <v>2180</v>
      </c>
      <c r="J6919" s="2" t="s">
        <v>2181</v>
      </c>
      <c r="K6919" s="2" t="s">
        <v>31624</v>
      </c>
      <c r="L6919" s="2" t="s">
        <v>31923</v>
      </c>
      <c r="M6919" s="2" t="s">
        <v>33132</v>
      </c>
      <c r="N6919" s="2" t="s">
        <v>33133</v>
      </c>
      <c r="O6919" s="2" t="s">
        <v>869</v>
      </c>
      <c r="P6919" s="2" t="s">
        <v>870</v>
      </c>
    </row>
    <row r="6920" ht="15.75" customHeight="1">
      <c r="H6920" s="2" t="s">
        <v>33134</v>
      </c>
      <c r="I6920" s="2" t="s">
        <v>16957</v>
      </c>
      <c r="J6920" s="2" t="s">
        <v>16958</v>
      </c>
      <c r="K6920" s="2" t="s">
        <v>6081</v>
      </c>
      <c r="L6920" s="2" t="s">
        <v>31923</v>
      </c>
      <c r="M6920" s="2" t="s">
        <v>33135</v>
      </c>
      <c r="N6920" s="2" t="s">
        <v>33136</v>
      </c>
      <c r="O6920" s="2" t="s">
        <v>869</v>
      </c>
      <c r="P6920" s="2" t="s">
        <v>870</v>
      </c>
    </row>
    <row r="6921" ht="15.75" customHeight="1">
      <c r="H6921" s="2" t="s">
        <v>33137</v>
      </c>
      <c r="I6921" s="2" t="s">
        <v>2195</v>
      </c>
      <c r="J6921" s="2" t="s">
        <v>2196</v>
      </c>
      <c r="K6921" s="2" t="s">
        <v>24851</v>
      </c>
      <c r="L6921" s="2" t="s">
        <v>33138</v>
      </c>
      <c r="M6921" s="2" t="s">
        <v>33116</v>
      </c>
      <c r="N6921" s="2" t="s">
        <v>33139</v>
      </c>
      <c r="O6921" s="2" t="s">
        <v>869</v>
      </c>
      <c r="P6921" s="2" t="s">
        <v>870</v>
      </c>
    </row>
    <row r="6922" ht="15.75" customHeight="1">
      <c r="H6922" s="2" t="s">
        <v>33140</v>
      </c>
      <c r="I6922" s="2" t="s">
        <v>33141</v>
      </c>
      <c r="J6922" s="2" t="s">
        <v>33142</v>
      </c>
      <c r="K6922" s="2" t="s">
        <v>32142</v>
      </c>
      <c r="L6922" s="2" t="s">
        <v>31923</v>
      </c>
      <c r="M6922" s="2" t="s">
        <v>33143</v>
      </c>
      <c r="N6922" s="2" t="s">
        <v>33144</v>
      </c>
      <c r="O6922" s="2" t="s">
        <v>869</v>
      </c>
      <c r="P6922" s="2" t="s">
        <v>870</v>
      </c>
    </row>
    <row r="6923" ht="15.75" customHeight="1">
      <c r="H6923" s="2" t="s">
        <v>33145</v>
      </c>
      <c r="I6923" s="2" t="s">
        <v>33146</v>
      </c>
      <c r="J6923" s="2" t="s">
        <v>33147</v>
      </c>
      <c r="K6923" s="2" t="s">
        <v>32290</v>
      </c>
      <c r="L6923" s="2" t="s">
        <v>31923</v>
      </c>
      <c r="M6923" s="2" t="s">
        <v>33148</v>
      </c>
      <c r="N6923" s="2" t="s">
        <v>33133</v>
      </c>
      <c r="O6923" s="2" t="s">
        <v>869</v>
      </c>
      <c r="P6923" s="2" t="s">
        <v>870</v>
      </c>
    </row>
    <row r="6924" ht="15.75" customHeight="1">
      <c r="H6924" s="2" t="s">
        <v>33149</v>
      </c>
      <c r="I6924" s="2" t="s">
        <v>2207</v>
      </c>
      <c r="J6924" s="2" t="s">
        <v>2208</v>
      </c>
      <c r="K6924" s="2" t="s">
        <v>31469</v>
      </c>
      <c r="L6924" s="2" t="s">
        <v>31923</v>
      </c>
      <c r="M6924" s="2" t="s">
        <v>2210</v>
      </c>
      <c r="N6924" s="2" t="s">
        <v>33150</v>
      </c>
      <c r="O6924" s="2" t="s">
        <v>869</v>
      </c>
      <c r="P6924" s="2" t="s">
        <v>870</v>
      </c>
    </row>
    <row r="6925" ht="15.75" customHeight="1">
      <c r="H6925" s="2" t="s">
        <v>33151</v>
      </c>
      <c r="I6925" s="2" t="s">
        <v>326</v>
      </c>
      <c r="J6925" s="2" t="s">
        <v>327</v>
      </c>
      <c r="K6925" s="2" t="s">
        <v>6068</v>
      </c>
      <c r="L6925" s="2" t="s">
        <v>31923</v>
      </c>
      <c r="M6925" s="2" t="s">
        <v>33152</v>
      </c>
      <c r="N6925" s="2" t="s">
        <v>33153</v>
      </c>
      <c r="O6925" s="2" t="s">
        <v>869</v>
      </c>
      <c r="P6925" s="2" t="s">
        <v>870</v>
      </c>
    </row>
    <row r="6926" ht="15.75" customHeight="1">
      <c r="H6926" s="2" t="s">
        <v>33154</v>
      </c>
      <c r="I6926" s="2" t="s">
        <v>33155</v>
      </c>
      <c r="J6926" s="2" t="s">
        <v>33156</v>
      </c>
      <c r="K6926" s="2" t="s">
        <v>31897</v>
      </c>
      <c r="L6926" s="2" t="s">
        <v>31923</v>
      </c>
      <c r="M6926" s="2" t="s">
        <v>33157</v>
      </c>
      <c r="N6926" s="2" t="s">
        <v>33158</v>
      </c>
      <c r="O6926" s="2" t="s">
        <v>869</v>
      </c>
      <c r="P6926" s="2" t="s">
        <v>870</v>
      </c>
    </row>
    <row r="6927" ht="15.75" customHeight="1">
      <c r="H6927" s="2" t="s">
        <v>33159</v>
      </c>
      <c r="I6927" s="2" t="s">
        <v>5431</v>
      </c>
      <c r="J6927" s="2" t="s">
        <v>5432</v>
      </c>
      <c r="K6927" s="2" t="s">
        <v>6010</v>
      </c>
      <c r="L6927" s="2" t="s">
        <v>31923</v>
      </c>
      <c r="M6927" s="2" t="s">
        <v>33160</v>
      </c>
      <c r="N6927" s="2" t="s">
        <v>33161</v>
      </c>
      <c r="O6927" s="2" t="s">
        <v>869</v>
      </c>
      <c r="P6927" s="2" t="s">
        <v>870</v>
      </c>
    </row>
    <row r="6928" ht="15.75" customHeight="1">
      <c r="H6928" s="2" t="s">
        <v>33162</v>
      </c>
      <c r="I6928" s="2" t="s">
        <v>33163</v>
      </c>
      <c r="J6928" s="2" t="s">
        <v>33164</v>
      </c>
      <c r="K6928" s="2" t="s">
        <v>24090</v>
      </c>
      <c r="L6928" s="2" t="s">
        <v>31923</v>
      </c>
      <c r="M6928" s="2" t="s">
        <v>33165</v>
      </c>
      <c r="N6928" s="2" t="s">
        <v>33166</v>
      </c>
      <c r="O6928" s="2" t="s">
        <v>869</v>
      </c>
      <c r="P6928" s="2" t="s">
        <v>870</v>
      </c>
    </row>
    <row r="6929" ht="15.75" customHeight="1">
      <c r="H6929" s="2" t="s">
        <v>33167</v>
      </c>
      <c r="I6929" s="2" t="s">
        <v>17003</v>
      </c>
      <c r="J6929" s="2" t="s">
        <v>17004</v>
      </c>
      <c r="K6929" s="2" t="s">
        <v>32301</v>
      </c>
      <c r="L6929" s="2" t="s">
        <v>31923</v>
      </c>
      <c r="M6929" s="2" t="s">
        <v>29372</v>
      </c>
      <c r="N6929" s="2" t="s">
        <v>33168</v>
      </c>
      <c r="O6929" s="2" t="s">
        <v>869</v>
      </c>
      <c r="P6929" s="2" t="s">
        <v>870</v>
      </c>
    </row>
    <row r="6930" ht="15.75" customHeight="1">
      <c r="H6930" s="2" t="s">
        <v>33169</v>
      </c>
      <c r="I6930" s="2" t="s">
        <v>2221</v>
      </c>
      <c r="J6930" s="2" t="s">
        <v>2222</v>
      </c>
      <c r="K6930" s="2" t="s">
        <v>15872</v>
      </c>
      <c r="L6930" s="2" t="s">
        <v>31923</v>
      </c>
      <c r="M6930" s="2" t="s">
        <v>33170</v>
      </c>
      <c r="N6930" s="2" t="s">
        <v>33171</v>
      </c>
      <c r="O6930" s="2" t="s">
        <v>869</v>
      </c>
      <c r="P6930" s="2" t="s">
        <v>870</v>
      </c>
    </row>
    <row r="6931" ht="15.75" customHeight="1">
      <c r="H6931" s="2" t="s">
        <v>33172</v>
      </c>
      <c r="I6931" s="2" t="s">
        <v>24876</v>
      </c>
      <c r="J6931" s="2" t="s">
        <v>24877</v>
      </c>
      <c r="K6931" s="2" t="s">
        <v>24878</v>
      </c>
      <c r="L6931" s="2" t="s">
        <v>31923</v>
      </c>
      <c r="M6931" s="2" t="s">
        <v>33173</v>
      </c>
      <c r="N6931" s="2" t="s">
        <v>33174</v>
      </c>
      <c r="O6931" s="2" t="s">
        <v>869</v>
      </c>
      <c r="P6931" s="2" t="s">
        <v>870</v>
      </c>
    </row>
    <row r="6932" ht="15.75" customHeight="1">
      <c r="H6932" s="2" t="s">
        <v>33175</v>
      </c>
      <c r="I6932" s="2" t="s">
        <v>33176</v>
      </c>
      <c r="J6932" s="2" t="s">
        <v>33177</v>
      </c>
      <c r="K6932" s="2" t="s">
        <v>32891</v>
      </c>
      <c r="L6932" s="2" t="s">
        <v>31923</v>
      </c>
      <c r="M6932" s="2" t="s">
        <v>33178</v>
      </c>
      <c r="N6932" s="2" t="s">
        <v>33179</v>
      </c>
      <c r="O6932" s="2" t="s">
        <v>869</v>
      </c>
      <c r="P6932" s="2" t="s">
        <v>870</v>
      </c>
    </row>
    <row r="6933" ht="15.75" customHeight="1">
      <c r="H6933" s="2" t="s">
        <v>33180</v>
      </c>
      <c r="I6933" s="2" t="s">
        <v>33181</v>
      </c>
      <c r="J6933" s="2" t="s">
        <v>33182</v>
      </c>
      <c r="K6933" s="2" t="s">
        <v>6419</v>
      </c>
      <c r="L6933" s="2" t="s">
        <v>31923</v>
      </c>
      <c r="M6933" s="2" t="s">
        <v>33183</v>
      </c>
      <c r="N6933" s="2" t="s">
        <v>33184</v>
      </c>
      <c r="O6933" s="2" t="s">
        <v>869</v>
      </c>
      <c r="P6933" s="2" t="s">
        <v>870</v>
      </c>
    </row>
    <row r="6934" ht="15.75" customHeight="1">
      <c r="H6934" s="2" t="s">
        <v>33185</v>
      </c>
      <c r="I6934" s="2" t="s">
        <v>360</v>
      </c>
      <c r="J6934" s="2" t="s">
        <v>361</v>
      </c>
      <c r="K6934" s="2" t="s">
        <v>24294</v>
      </c>
      <c r="L6934" s="2" t="s">
        <v>31923</v>
      </c>
      <c r="M6934" s="2" t="s">
        <v>33186</v>
      </c>
      <c r="N6934" s="2" t="s">
        <v>33187</v>
      </c>
      <c r="O6934" s="2" t="s">
        <v>869</v>
      </c>
      <c r="P6934" s="2" t="s">
        <v>870</v>
      </c>
    </row>
    <row r="6935" ht="15.75" customHeight="1">
      <c r="H6935" s="2" t="s">
        <v>33188</v>
      </c>
      <c r="I6935" s="2" t="s">
        <v>376</v>
      </c>
      <c r="J6935" s="2" t="s">
        <v>377</v>
      </c>
      <c r="K6935" s="2" t="s">
        <v>24004</v>
      </c>
      <c r="L6935" s="2" t="s">
        <v>31923</v>
      </c>
      <c r="M6935" s="2" t="s">
        <v>379</v>
      </c>
      <c r="N6935" s="2" t="s">
        <v>33189</v>
      </c>
      <c r="O6935" s="2" t="s">
        <v>869</v>
      </c>
      <c r="P6935" s="2" t="s">
        <v>870</v>
      </c>
    </row>
    <row r="6936" ht="15.75" customHeight="1">
      <c r="H6936" s="2" t="s">
        <v>33190</v>
      </c>
      <c r="I6936" s="2" t="s">
        <v>384</v>
      </c>
      <c r="J6936" s="2" t="s">
        <v>385</v>
      </c>
      <c r="K6936" s="2" t="s">
        <v>32902</v>
      </c>
      <c r="L6936" s="2" t="s">
        <v>31923</v>
      </c>
      <c r="M6936" s="2" t="s">
        <v>33191</v>
      </c>
      <c r="N6936" s="2" t="s">
        <v>33192</v>
      </c>
      <c r="O6936" s="2" t="s">
        <v>869</v>
      </c>
      <c r="P6936" s="2" t="s">
        <v>870</v>
      </c>
    </row>
    <row r="6937" ht="15.75" customHeight="1">
      <c r="H6937" s="2" t="s">
        <v>33193</v>
      </c>
      <c r="I6937" s="2" t="s">
        <v>33194</v>
      </c>
      <c r="J6937" s="2" t="s">
        <v>33195</v>
      </c>
      <c r="K6937" s="2" t="s">
        <v>33196</v>
      </c>
      <c r="L6937" s="2" t="s">
        <v>31923</v>
      </c>
      <c r="M6937" s="2" t="s">
        <v>2333</v>
      </c>
      <c r="N6937" s="2" t="s">
        <v>869</v>
      </c>
      <c r="O6937" s="2" t="s">
        <v>870</v>
      </c>
    </row>
    <row r="6938" ht="15.75" customHeight="1">
      <c r="H6938" s="2" t="s">
        <v>33197</v>
      </c>
      <c r="I6938" s="2" t="s">
        <v>393</v>
      </c>
      <c r="J6938" s="2" t="s">
        <v>394</v>
      </c>
      <c r="K6938" s="2" t="s">
        <v>22060</v>
      </c>
      <c r="L6938" s="2" t="s">
        <v>31923</v>
      </c>
      <c r="M6938" s="2" t="s">
        <v>13756</v>
      </c>
      <c r="N6938" s="2" t="s">
        <v>33198</v>
      </c>
      <c r="O6938" s="2" t="s">
        <v>869</v>
      </c>
      <c r="P6938" s="2" t="s">
        <v>870</v>
      </c>
    </row>
    <row r="6939" ht="15.75" customHeight="1">
      <c r="H6939" s="2" t="s">
        <v>33199</v>
      </c>
      <c r="I6939" s="2" t="s">
        <v>12248</v>
      </c>
      <c r="J6939" s="2" t="s">
        <v>12249</v>
      </c>
      <c r="K6939" s="2" t="s">
        <v>32908</v>
      </c>
      <c r="L6939" s="2" t="s">
        <v>31923</v>
      </c>
      <c r="M6939" s="2" t="s">
        <v>33200</v>
      </c>
      <c r="N6939" s="2" t="s">
        <v>33201</v>
      </c>
      <c r="O6939" s="2" t="s">
        <v>869</v>
      </c>
      <c r="P6939" s="2" t="s">
        <v>870</v>
      </c>
    </row>
    <row r="6940" ht="15.75" customHeight="1">
      <c r="H6940" s="2" t="s">
        <v>33202</v>
      </c>
      <c r="I6940" s="2" t="s">
        <v>33203</v>
      </c>
      <c r="J6940" s="2" t="s">
        <v>33204</v>
      </c>
      <c r="K6940" s="2" t="s">
        <v>32290</v>
      </c>
      <c r="L6940" s="2" t="s">
        <v>31923</v>
      </c>
      <c r="M6940" s="2" t="s">
        <v>33205</v>
      </c>
      <c r="N6940" s="2" t="s">
        <v>33206</v>
      </c>
      <c r="O6940" s="2" t="s">
        <v>869</v>
      </c>
      <c r="P6940" s="2" t="s">
        <v>870</v>
      </c>
    </row>
    <row r="6941" ht="15.75" customHeight="1">
      <c r="H6941" s="2" t="s">
        <v>33207</v>
      </c>
      <c r="I6941" s="2" t="s">
        <v>33208</v>
      </c>
      <c r="J6941" s="2" t="s">
        <v>33209</v>
      </c>
      <c r="K6941" s="2" t="s">
        <v>6091</v>
      </c>
      <c r="L6941" s="2" t="s">
        <v>31923</v>
      </c>
      <c r="M6941" s="2" t="s">
        <v>33210</v>
      </c>
      <c r="N6941" s="2" t="s">
        <v>33211</v>
      </c>
      <c r="O6941" s="2" t="s">
        <v>869</v>
      </c>
      <c r="P6941" s="2" t="s">
        <v>870</v>
      </c>
    </row>
    <row r="6942" ht="15.75" customHeight="1">
      <c r="H6942" s="2" t="s">
        <v>33212</v>
      </c>
      <c r="I6942" s="2" t="s">
        <v>415</v>
      </c>
      <c r="J6942" s="2" t="s">
        <v>416</v>
      </c>
      <c r="K6942" s="2" t="s">
        <v>15831</v>
      </c>
      <c r="L6942" s="2" t="s">
        <v>31923</v>
      </c>
      <c r="M6942" s="2" t="s">
        <v>2501</v>
      </c>
      <c r="N6942" s="2" t="s">
        <v>33213</v>
      </c>
      <c r="O6942" s="2" t="s">
        <v>869</v>
      </c>
      <c r="P6942" s="2" t="s">
        <v>870</v>
      </c>
    </row>
    <row r="6943" ht="15.75" customHeight="1">
      <c r="H6943" s="2" t="s">
        <v>33214</v>
      </c>
      <c r="I6943" s="2" t="s">
        <v>5459</v>
      </c>
      <c r="J6943" s="2" t="s">
        <v>5460</v>
      </c>
      <c r="K6943" s="2" t="s">
        <v>15784</v>
      </c>
      <c r="L6943" s="2" t="s">
        <v>31923</v>
      </c>
      <c r="M6943" s="2" t="s">
        <v>33215</v>
      </c>
      <c r="N6943" s="2" t="s">
        <v>33216</v>
      </c>
      <c r="O6943" s="2" t="s">
        <v>869</v>
      </c>
      <c r="P6943" s="2" t="s">
        <v>870</v>
      </c>
    </row>
    <row r="6944" ht="15.75" customHeight="1">
      <c r="H6944" s="2" t="s">
        <v>33217</v>
      </c>
      <c r="I6944" s="2" t="s">
        <v>5925</v>
      </c>
      <c r="J6944" s="2" t="s">
        <v>5926</v>
      </c>
      <c r="K6944" s="2" t="s">
        <v>33218</v>
      </c>
      <c r="L6944" s="2" t="s">
        <v>31923</v>
      </c>
      <c r="M6944" s="2" t="s">
        <v>33219</v>
      </c>
      <c r="N6944" s="2" t="s">
        <v>33220</v>
      </c>
      <c r="O6944" s="2" t="s">
        <v>869</v>
      </c>
      <c r="P6944" s="2" t="s">
        <v>870</v>
      </c>
    </row>
    <row r="6945" ht="15.75" customHeight="1">
      <c r="H6945" s="2" t="s">
        <v>33221</v>
      </c>
      <c r="I6945" s="2" t="s">
        <v>33222</v>
      </c>
      <c r="J6945" s="2" t="s">
        <v>33223</v>
      </c>
      <c r="K6945" s="2" t="s">
        <v>33224</v>
      </c>
      <c r="L6945" s="2" t="s">
        <v>31923</v>
      </c>
      <c r="M6945" s="2" t="s">
        <v>33225</v>
      </c>
      <c r="N6945" s="2" t="s">
        <v>33226</v>
      </c>
      <c r="O6945" s="2" t="s">
        <v>869</v>
      </c>
      <c r="P6945" s="2" t="s">
        <v>870</v>
      </c>
    </row>
    <row r="6946" ht="15.75" customHeight="1">
      <c r="H6946" s="2" t="s">
        <v>33227</v>
      </c>
      <c r="I6946" s="2" t="s">
        <v>33228</v>
      </c>
      <c r="J6946" s="2" t="s">
        <v>33229</v>
      </c>
      <c r="K6946" s="2" t="s">
        <v>32603</v>
      </c>
      <c r="L6946" s="2" t="s">
        <v>31923</v>
      </c>
      <c r="M6946" s="2" t="s">
        <v>33230</v>
      </c>
      <c r="N6946" s="2" t="s">
        <v>33231</v>
      </c>
      <c r="O6946" s="2" t="s">
        <v>869</v>
      </c>
      <c r="P6946" s="2" t="s">
        <v>870</v>
      </c>
    </row>
    <row r="6947" ht="15.75" customHeight="1">
      <c r="H6947" s="2" t="s">
        <v>33232</v>
      </c>
      <c r="I6947" s="2" t="s">
        <v>2276</v>
      </c>
      <c r="J6947" s="2" t="s">
        <v>2277</v>
      </c>
      <c r="K6947" s="2" t="s">
        <v>32295</v>
      </c>
      <c r="L6947" s="2" t="s">
        <v>31923</v>
      </c>
      <c r="M6947" s="2" t="s">
        <v>2279</v>
      </c>
      <c r="N6947" s="2" t="s">
        <v>33233</v>
      </c>
      <c r="O6947" s="2" t="s">
        <v>869</v>
      </c>
      <c r="P6947" s="2" t="s">
        <v>870</v>
      </c>
    </row>
    <row r="6948" ht="15.75" customHeight="1">
      <c r="H6948" s="2" t="s">
        <v>33234</v>
      </c>
      <c r="I6948" s="2" t="s">
        <v>19539</v>
      </c>
      <c r="J6948" s="2" t="s">
        <v>19540</v>
      </c>
      <c r="K6948" s="2" t="s">
        <v>33235</v>
      </c>
      <c r="L6948" s="2" t="s">
        <v>31923</v>
      </c>
      <c r="M6948" s="2" t="s">
        <v>33236</v>
      </c>
      <c r="N6948" s="2" t="s">
        <v>33237</v>
      </c>
      <c r="O6948" s="2" t="s">
        <v>869</v>
      </c>
      <c r="P6948" s="2" t="s">
        <v>870</v>
      </c>
    </row>
    <row r="6949" ht="15.75" customHeight="1">
      <c r="H6949" s="2" t="s">
        <v>33238</v>
      </c>
      <c r="I6949" s="2" t="s">
        <v>33239</v>
      </c>
      <c r="J6949" s="2" t="s">
        <v>33240</v>
      </c>
      <c r="K6949" s="2" t="s">
        <v>24438</v>
      </c>
      <c r="L6949" s="2" t="s">
        <v>31923</v>
      </c>
      <c r="M6949" s="2" t="s">
        <v>33241</v>
      </c>
      <c r="N6949" s="2" t="s">
        <v>33242</v>
      </c>
      <c r="O6949" s="2" t="s">
        <v>869</v>
      </c>
      <c r="P6949" s="2" t="s">
        <v>870</v>
      </c>
    </row>
    <row r="6950" ht="15.75" customHeight="1">
      <c r="H6950" s="2" t="s">
        <v>33243</v>
      </c>
      <c r="I6950" s="2" t="s">
        <v>12252</v>
      </c>
      <c r="J6950" s="2" t="s">
        <v>12253</v>
      </c>
      <c r="K6950" s="2" t="s">
        <v>33244</v>
      </c>
      <c r="L6950" s="2" t="s">
        <v>31923</v>
      </c>
      <c r="M6950" s="2" t="s">
        <v>33245</v>
      </c>
      <c r="N6950" s="2" t="s">
        <v>33246</v>
      </c>
      <c r="O6950" s="2" t="s">
        <v>869</v>
      </c>
      <c r="P6950" s="2" t="s">
        <v>870</v>
      </c>
    </row>
    <row r="6951" ht="15.75" customHeight="1">
      <c r="H6951" s="2" t="s">
        <v>33247</v>
      </c>
      <c r="I6951" s="2" t="s">
        <v>13300</v>
      </c>
      <c r="J6951" s="2" t="s">
        <v>13301</v>
      </c>
      <c r="K6951" s="2" t="s">
        <v>32618</v>
      </c>
      <c r="L6951" s="2" t="s">
        <v>33248</v>
      </c>
      <c r="M6951" s="2" t="s">
        <v>33249</v>
      </c>
      <c r="N6951" s="2" t="s">
        <v>33250</v>
      </c>
      <c r="O6951" s="2" t="s">
        <v>869</v>
      </c>
      <c r="P6951" s="2" t="s">
        <v>870</v>
      </c>
    </row>
    <row r="6952" ht="15.75" customHeight="1">
      <c r="H6952" s="2" t="s">
        <v>33251</v>
      </c>
      <c r="I6952" s="2" t="s">
        <v>424</v>
      </c>
      <c r="J6952" s="2" t="s">
        <v>425</v>
      </c>
      <c r="K6952" s="2" t="s">
        <v>31150</v>
      </c>
      <c r="L6952" s="2" t="s">
        <v>31923</v>
      </c>
      <c r="M6952" s="2" t="s">
        <v>33252</v>
      </c>
      <c r="N6952" s="2" t="s">
        <v>33253</v>
      </c>
      <c r="O6952" s="2" t="s">
        <v>869</v>
      </c>
      <c r="P6952" s="2" t="s">
        <v>870</v>
      </c>
    </row>
    <row r="6953" ht="15.75" customHeight="1">
      <c r="H6953" s="2" t="s">
        <v>33254</v>
      </c>
      <c r="I6953" s="2" t="s">
        <v>33255</v>
      </c>
      <c r="J6953" s="2" t="s">
        <v>33256</v>
      </c>
      <c r="K6953" s="2" t="s">
        <v>24840</v>
      </c>
      <c r="L6953" s="2" t="s">
        <v>31923</v>
      </c>
      <c r="M6953" s="2" t="s">
        <v>33257</v>
      </c>
      <c r="N6953" s="2" t="s">
        <v>33258</v>
      </c>
      <c r="O6953" s="2" t="s">
        <v>869</v>
      </c>
      <c r="P6953" s="2" t="s">
        <v>870</v>
      </c>
    </row>
    <row r="6954" ht="15.75" customHeight="1">
      <c r="H6954" s="2" t="s">
        <v>33259</v>
      </c>
      <c r="I6954" s="2" t="s">
        <v>33260</v>
      </c>
      <c r="J6954" s="2" t="s">
        <v>33261</v>
      </c>
      <c r="K6954" s="2" t="s">
        <v>33262</v>
      </c>
      <c r="L6954" s="2" t="s">
        <v>31923</v>
      </c>
      <c r="M6954" s="2" t="s">
        <v>33263</v>
      </c>
      <c r="N6954" s="2" t="s">
        <v>33264</v>
      </c>
      <c r="O6954" s="2" t="s">
        <v>869</v>
      </c>
      <c r="P6954" s="2" t="s">
        <v>870</v>
      </c>
    </row>
    <row r="6955" ht="15.75" customHeight="1">
      <c r="H6955" s="2" t="s">
        <v>33265</v>
      </c>
      <c r="I6955" s="2" t="s">
        <v>33266</v>
      </c>
      <c r="J6955" s="2" t="s">
        <v>33267</v>
      </c>
      <c r="K6955" s="2" t="s">
        <v>32891</v>
      </c>
      <c r="L6955" s="2" t="s">
        <v>31923</v>
      </c>
      <c r="M6955" s="2" t="s">
        <v>33268</v>
      </c>
      <c r="N6955" s="2" t="s">
        <v>33269</v>
      </c>
      <c r="O6955" s="2" t="s">
        <v>869</v>
      </c>
      <c r="P6955" s="2" t="s">
        <v>870</v>
      </c>
    </row>
    <row r="6956" ht="15.75" customHeight="1">
      <c r="H6956" s="2" t="s">
        <v>33270</v>
      </c>
      <c r="I6956" s="2" t="s">
        <v>33271</v>
      </c>
      <c r="J6956" s="2" t="s">
        <v>33272</v>
      </c>
      <c r="K6956" s="2" t="s">
        <v>24288</v>
      </c>
      <c r="L6956" s="2" t="s">
        <v>31923</v>
      </c>
      <c r="M6956" s="2" t="s">
        <v>33273</v>
      </c>
      <c r="N6956" s="2" t="s">
        <v>33274</v>
      </c>
      <c r="O6956" s="2" t="s">
        <v>869</v>
      </c>
      <c r="P6956" s="2" t="s">
        <v>870</v>
      </c>
    </row>
    <row r="6957" ht="15.75" customHeight="1">
      <c r="H6957" s="2" t="s">
        <v>33275</v>
      </c>
      <c r="I6957" s="2" t="s">
        <v>33276</v>
      </c>
      <c r="J6957" s="2" t="s">
        <v>33277</v>
      </c>
      <c r="K6957" s="2" t="s">
        <v>24896</v>
      </c>
      <c r="L6957" s="2" t="s">
        <v>31923</v>
      </c>
      <c r="M6957" s="2" t="s">
        <v>33278</v>
      </c>
      <c r="N6957" s="2" t="s">
        <v>33279</v>
      </c>
      <c r="O6957" s="2" t="s">
        <v>869</v>
      </c>
      <c r="P6957" s="2" t="s">
        <v>870</v>
      </c>
    </row>
    <row r="6958" ht="15.75" customHeight="1">
      <c r="H6958" s="2" t="s">
        <v>33280</v>
      </c>
      <c r="I6958" s="2" t="s">
        <v>19554</v>
      </c>
      <c r="J6958" s="2" t="s">
        <v>19555</v>
      </c>
      <c r="K6958" s="2" t="s">
        <v>24973</v>
      </c>
      <c r="L6958" s="2" t="s">
        <v>31923</v>
      </c>
      <c r="M6958" s="2" t="s">
        <v>33281</v>
      </c>
      <c r="N6958" s="2" t="s">
        <v>33282</v>
      </c>
      <c r="O6958" s="2" t="s">
        <v>869</v>
      </c>
      <c r="P6958" s="2" t="s">
        <v>870</v>
      </c>
    </row>
    <row r="6959" ht="15.75" customHeight="1">
      <c r="H6959" s="2" t="s">
        <v>33283</v>
      </c>
      <c r="I6959" s="2" t="s">
        <v>12278</v>
      </c>
      <c r="J6959" s="2" t="s">
        <v>12279</v>
      </c>
      <c r="K6959" s="2" t="s">
        <v>24450</v>
      </c>
      <c r="L6959" s="2" t="s">
        <v>31923</v>
      </c>
      <c r="M6959" s="2" t="s">
        <v>33284</v>
      </c>
      <c r="N6959" s="2" t="s">
        <v>33285</v>
      </c>
      <c r="O6959" s="2" t="s">
        <v>869</v>
      </c>
      <c r="P6959" s="2" t="s">
        <v>870</v>
      </c>
    </row>
    <row r="6960" ht="15.75" customHeight="1">
      <c r="H6960" s="2" t="s">
        <v>33286</v>
      </c>
      <c r="I6960" s="2" t="s">
        <v>440</v>
      </c>
      <c r="J6960" s="2" t="s">
        <v>441</v>
      </c>
      <c r="K6960" s="2" t="s">
        <v>24907</v>
      </c>
      <c r="L6960" s="2" t="s">
        <v>31923</v>
      </c>
      <c r="M6960" s="2" t="s">
        <v>33287</v>
      </c>
      <c r="N6960" s="2" t="s">
        <v>33288</v>
      </c>
      <c r="O6960" s="2" t="s">
        <v>869</v>
      </c>
      <c r="P6960" s="2" t="s">
        <v>870</v>
      </c>
    </row>
    <row r="6961" ht="15.75" customHeight="1">
      <c r="H6961" s="2" t="s">
        <v>33289</v>
      </c>
      <c r="I6961" s="2" t="s">
        <v>33290</v>
      </c>
      <c r="J6961" s="2" t="s">
        <v>33291</v>
      </c>
      <c r="K6961" s="2" t="s">
        <v>33292</v>
      </c>
      <c r="L6961" s="2" t="s">
        <v>31923</v>
      </c>
      <c r="M6961" s="2" t="s">
        <v>33293</v>
      </c>
      <c r="N6961" s="2" t="s">
        <v>33294</v>
      </c>
      <c r="O6961" s="2" t="s">
        <v>869</v>
      </c>
      <c r="P6961" s="2" t="s">
        <v>870</v>
      </c>
    </row>
    <row r="6962" ht="15.75" customHeight="1">
      <c r="H6962" s="2" t="s">
        <v>33295</v>
      </c>
      <c r="I6962" s="2" t="s">
        <v>33296</v>
      </c>
      <c r="J6962" s="2" t="s">
        <v>33297</v>
      </c>
      <c r="K6962" s="2" t="s">
        <v>32627</v>
      </c>
      <c r="L6962" s="2" t="s">
        <v>31923</v>
      </c>
      <c r="M6962" s="2" t="s">
        <v>33298</v>
      </c>
      <c r="N6962" s="2" t="s">
        <v>33299</v>
      </c>
      <c r="O6962" s="2" t="s">
        <v>869</v>
      </c>
      <c r="P6962" s="2" t="s">
        <v>870</v>
      </c>
    </row>
    <row r="6963" ht="15.75" customHeight="1">
      <c r="H6963" s="2" t="s">
        <v>33300</v>
      </c>
      <c r="I6963" s="2" t="s">
        <v>19589</v>
      </c>
      <c r="J6963" s="2" t="s">
        <v>19590</v>
      </c>
      <c r="K6963" s="2" t="s">
        <v>33301</v>
      </c>
      <c r="L6963" s="2" t="s">
        <v>31923</v>
      </c>
      <c r="M6963" s="2" t="s">
        <v>33302</v>
      </c>
      <c r="N6963" s="2" t="s">
        <v>33303</v>
      </c>
      <c r="O6963" s="2" t="s">
        <v>869</v>
      </c>
      <c r="P6963" s="2" t="s">
        <v>870</v>
      </c>
    </row>
    <row r="6964" ht="15.75" customHeight="1">
      <c r="H6964" s="2" t="s">
        <v>33304</v>
      </c>
      <c r="I6964" s="2" t="s">
        <v>2331</v>
      </c>
      <c r="J6964" s="2" t="s">
        <v>2332</v>
      </c>
      <c r="K6964" s="2" t="s">
        <v>22041</v>
      </c>
      <c r="L6964" s="2" t="s">
        <v>31923</v>
      </c>
      <c r="M6964" s="2" t="s">
        <v>32973</v>
      </c>
      <c r="N6964" s="2" t="s">
        <v>33305</v>
      </c>
      <c r="O6964" s="2" t="s">
        <v>869</v>
      </c>
      <c r="P6964" s="2" t="s">
        <v>870</v>
      </c>
    </row>
    <row r="6965" ht="15.75" customHeight="1">
      <c r="H6965" s="2" t="s">
        <v>33306</v>
      </c>
      <c r="I6965" s="2" t="s">
        <v>458</v>
      </c>
      <c r="J6965" s="2" t="s">
        <v>459</v>
      </c>
      <c r="K6965" s="2" t="s">
        <v>15841</v>
      </c>
      <c r="L6965" s="2" t="s">
        <v>31923</v>
      </c>
      <c r="M6965" s="2" t="s">
        <v>33307</v>
      </c>
      <c r="N6965" s="2" t="s">
        <v>33308</v>
      </c>
      <c r="O6965" s="2" t="s">
        <v>869</v>
      </c>
      <c r="P6965" s="2" t="s">
        <v>870</v>
      </c>
    </row>
    <row r="6966" ht="15.75" customHeight="1">
      <c r="H6966" s="2" t="s">
        <v>33309</v>
      </c>
      <c r="I6966" s="2" t="s">
        <v>13823</v>
      </c>
      <c r="J6966" s="2" t="s">
        <v>13824</v>
      </c>
      <c r="K6966" s="2" t="s">
        <v>24090</v>
      </c>
      <c r="L6966" s="2" t="s">
        <v>31923</v>
      </c>
      <c r="M6966" s="2" t="s">
        <v>33310</v>
      </c>
      <c r="N6966" s="2" t="s">
        <v>33311</v>
      </c>
      <c r="O6966" s="2" t="s">
        <v>869</v>
      </c>
      <c r="P6966" s="2" t="s">
        <v>870</v>
      </c>
    </row>
    <row r="6967" ht="15.75" customHeight="1">
      <c r="H6967" s="2" t="s">
        <v>33312</v>
      </c>
      <c r="I6967" s="2" t="s">
        <v>14887</v>
      </c>
      <c r="J6967" s="2" t="s">
        <v>14888</v>
      </c>
      <c r="K6967" s="2" t="s">
        <v>32914</v>
      </c>
      <c r="L6967" s="2" t="s">
        <v>31923</v>
      </c>
      <c r="M6967" s="2" t="s">
        <v>33313</v>
      </c>
      <c r="N6967" s="2" t="s">
        <v>33314</v>
      </c>
      <c r="O6967" s="2" t="s">
        <v>869</v>
      </c>
      <c r="P6967" s="2" t="s">
        <v>870</v>
      </c>
    </row>
    <row r="6968" ht="15.75" customHeight="1">
      <c r="H6968" s="2" t="s">
        <v>33315</v>
      </c>
      <c r="I6968" s="2" t="s">
        <v>19609</v>
      </c>
      <c r="J6968" s="2" t="s">
        <v>19610</v>
      </c>
      <c r="K6968" s="2" t="s">
        <v>33316</v>
      </c>
      <c r="L6968" s="2" t="s">
        <v>31923</v>
      </c>
      <c r="M6968" s="2" t="s">
        <v>33317</v>
      </c>
      <c r="N6968" s="2" t="s">
        <v>33318</v>
      </c>
      <c r="O6968" s="2" t="s">
        <v>869</v>
      </c>
      <c r="P6968" s="2" t="s">
        <v>870</v>
      </c>
    </row>
    <row r="6969" ht="15.75" customHeight="1">
      <c r="H6969" s="2" t="s">
        <v>33319</v>
      </c>
      <c r="I6969" s="2" t="s">
        <v>33320</v>
      </c>
      <c r="J6969" s="2" t="s">
        <v>33321</v>
      </c>
      <c r="K6969" s="2" t="s">
        <v>33322</v>
      </c>
      <c r="L6969" s="2" t="s">
        <v>31923</v>
      </c>
      <c r="M6969" s="2" t="s">
        <v>33323</v>
      </c>
      <c r="N6969" s="2" t="s">
        <v>33324</v>
      </c>
      <c r="O6969" s="2" t="s">
        <v>869</v>
      </c>
      <c r="P6969" s="2" t="s">
        <v>870</v>
      </c>
    </row>
    <row r="6970" ht="15.75" customHeight="1">
      <c r="H6970" s="2" t="s">
        <v>33325</v>
      </c>
      <c r="I6970" s="2" t="s">
        <v>33326</v>
      </c>
      <c r="J6970" s="2" t="s">
        <v>33327</v>
      </c>
      <c r="K6970" s="2" t="s">
        <v>24726</v>
      </c>
      <c r="L6970" s="2" t="s">
        <v>31923</v>
      </c>
      <c r="M6970" s="2" t="s">
        <v>33328</v>
      </c>
      <c r="N6970" s="2" t="s">
        <v>33329</v>
      </c>
      <c r="O6970" s="2" t="s">
        <v>869</v>
      </c>
      <c r="P6970" s="2" t="s">
        <v>870</v>
      </c>
    </row>
    <row r="6971" ht="15.75" customHeight="1">
      <c r="H6971" s="2" t="s">
        <v>33330</v>
      </c>
      <c r="I6971" s="2" t="s">
        <v>33331</v>
      </c>
      <c r="J6971" s="2" t="s">
        <v>33332</v>
      </c>
      <c r="K6971" s="2" t="s">
        <v>32908</v>
      </c>
      <c r="L6971" s="2" t="s">
        <v>31923</v>
      </c>
      <c r="M6971" s="2" t="s">
        <v>33333</v>
      </c>
      <c r="N6971" s="2" t="s">
        <v>33334</v>
      </c>
      <c r="O6971" s="2" t="s">
        <v>869</v>
      </c>
      <c r="P6971" s="2" t="s">
        <v>870</v>
      </c>
    </row>
    <row r="6972" ht="15.75" customHeight="1">
      <c r="H6972" s="2" t="s">
        <v>33335</v>
      </c>
      <c r="I6972" s="2" t="s">
        <v>476</v>
      </c>
      <c r="J6972" s="2" t="s">
        <v>477</v>
      </c>
      <c r="K6972" s="2" t="s">
        <v>32666</v>
      </c>
      <c r="L6972" s="2" t="s">
        <v>31923</v>
      </c>
      <c r="M6972" s="2" t="s">
        <v>33336</v>
      </c>
      <c r="N6972" s="2" t="s">
        <v>33337</v>
      </c>
      <c r="O6972" s="2" t="s">
        <v>869</v>
      </c>
      <c r="P6972" s="2" t="s">
        <v>870</v>
      </c>
    </row>
    <row r="6973" ht="15.75" customHeight="1">
      <c r="H6973" s="2" t="s">
        <v>33338</v>
      </c>
      <c r="I6973" s="2" t="s">
        <v>33339</v>
      </c>
      <c r="J6973" s="2" t="s">
        <v>33340</v>
      </c>
      <c r="K6973" s="2" t="s">
        <v>33341</v>
      </c>
      <c r="L6973" s="2" t="s">
        <v>31923</v>
      </c>
      <c r="M6973" s="2" t="s">
        <v>33342</v>
      </c>
      <c r="N6973" s="2" t="s">
        <v>33343</v>
      </c>
      <c r="O6973" s="2" t="s">
        <v>869</v>
      </c>
      <c r="P6973" s="2" t="s">
        <v>870</v>
      </c>
    </row>
    <row r="6974" ht="15.75" customHeight="1">
      <c r="H6974" s="2" t="s">
        <v>33344</v>
      </c>
      <c r="I6974" s="2" t="s">
        <v>19620</v>
      </c>
      <c r="J6974" s="2" t="s">
        <v>19621</v>
      </c>
      <c r="K6974" s="2" t="s">
        <v>24739</v>
      </c>
      <c r="L6974" s="2" t="s">
        <v>31923</v>
      </c>
      <c r="M6974" s="2" t="s">
        <v>33345</v>
      </c>
      <c r="N6974" s="2" t="s">
        <v>33346</v>
      </c>
      <c r="O6974" s="2" t="s">
        <v>869</v>
      </c>
      <c r="P6974" s="2" t="s">
        <v>870</v>
      </c>
    </row>
    <row r="6975" ht="15.75" customHeight="1">
      <c r="H6975" s="2" t="s">
        <v>33347</v>
      </c>
      <c r="I6975" s="2" t="s">
        <v>2393</v>
      </c>
      <c r="J6975" s="2" t="s">
        <v>2394</v>
      </c>
      <c r="K6975" s="2" t="s">
        <v>33348</v>
      </c>
      <c r="L6975" s="2" t="s">
        <v>31923</v>
      </c>
      <c r="M6975" s="2" t="s">
        <v>33349</v>
      </c>
      <c r="N6975" s="2" t="s">
        <v>33350</v>
      </c>
      <c r="O6975" s="2" t="s">
        <v>869</v>
      </c>
      <c r="P6975" s="2" t="s">
        <v>870</v>
      </c>
    </row>
    <row r="6976" ht="15.75" customHeight="1">
      <c r="H6976" s="2" t="s">
        <v>33351</v>
      </c>
      <c r="I6976" s="2" t="s">
        <v>2399</v>
      </c>
      <c r="J6976" s="2" t="s">
        <v>2400</v>
      </c>
      <c r="K6976" s="2" t="s">
        <v>33352</v>
      </c>
      <c r="L6976" s="2" t="s">
        <v>33353</v>
      </c>
      <c r="M6976" s="2" t="s">
        <v>33354</v>
      </c>
      <c r="N6976" s="2" t="s">
        <v>33355</v>
      </c>
      <c r="O6976" s="2" t="s">
        <v>869</v>
      </c>
      <c r="P6976" s="2" t="s">
        <v>870</v>
      </c>
    </row>
    <row r="6977" ht="15.75" customHeight="1">
      <c r="H6977" s="2" t="s">
        <v>33356</v>
      </c>
      <c r="I6977" s="2" t="s">
        <v>2406</v>
      </c>
      <c r="J6977" s="2" t="s">
        <v>2407</v>
      </c>
      <c r="K6977" s="2" t="s">
        <v>31762</v>
      </c>
      <c r="L6977" s="2" t="s">
        <v>31923</v>
      </c>
      <c r="M6977" s="2" t="s">
        <v>2409</v>
      </c>
      <c r="N6977" s="2" t="s">
        <v>33357</v>
      </c>
      <c r="O6977" s="2" t="s">
        <v>869</v>
      </c>
      <c r="P6977" s="2" t="s">
        <v>870</v>
      </c>
    </row>
    <row r="6978" ht="15.75" customHeight="1">
      <c r="H6978" s="2" t="s">
        <v>33358</v>
      </c>
      <c r="I6978" s="2" t="s">
        <v>33359</v>
      </c>
      <c r="J6978" s="2" t="s">
        <v>33360</v>
      </c>
      <c r="K6978" s="2" t="s">
        <v>33361</v>
      </c>
      <c r="L6978" s="2" t="s">
        <v>31923</v>
      </c>
      <c r="M6978" s="2" t="s">
        <v>33362</v>
      </c>
      <c r="N6978" s="2" t="s">
        <v>33363</v>
      </c>
      <c r="O6978" s="2" t="s">
        <v>869</v>
      </c>
      <c r="P6978" s="2" t="s">
        <v>870</v>
      </c>
    </row>
    <row r="6979" ht="15.75" customHeight="1">
      <c r="H6979" s="2" t="s">
        <v>33364</v>
      </c>
      <c r="I6979" s="2" t="s">
        <v>5550</v>
      </c>
      <c r="J6979" s="2" t="s">
        <v>5551</v>
      </c>
      <c r="K6979" s="2" t="s">
        <v>24079</v>
      </c>
      <c r="L6979" s="2" t="s">
        <v>31923</v>
      </c>
      <c r="M6979" s="2" t="s">
        <v>33365</v>
      </c>
      <c r="N6979" s="2" t="s">
        <v>33366</v>
      </c>
      <c r="O6979" s="2" t="s">
        <v>869</v>
      </c>
      <c r="P6979" s="2" t="s">
        <v>870</v>
      </c>
    </row>
    <row r="6980" ht="15.75" customHeight="1">
      <c r="H6980" s="2" t="s">
        <v>33367</v>
      </c>
      <c r="I6980" s="2" t="s">
        <v>1501</v>
      </c>
      <c r="J6980" s="2" t="s">
        <v>1502</v>
      </c>
      <c r="K6980" s="2" t="s">
        <v>33368</v>
      </c>
      <c r="L6980" s="2" t="s">
        <v>33369</v>
      </c>
      <c r="M6980" s="2" t="s">
        <v>33370</v>
      </c>
      <c r="N6980" s="2" t="s">
        <v>33371</v>
      </c>
      <c r="O6980" s="2" t="s">
        <v>869</v>
      </c>
      <c r="P6980" s="2" t="s">
        <v>870</v>
      </c>
    </row>
    <row r="6981" ht="15.75" customHeight="1">
      <c r="H6981" s="2" t="s">
        <v>33372</v>
      </c>
      <c r="I6981" s="2" t="s">
        <v>33373</v>
      </c>
      <c r="J6981" s="2" t="s">
        <v>33374</v>
      </c>
      <c r="K6981" s="2" t="s">
        <v>32687</v>
      </c>
      <c r="L6981" s="2" t="s">
        <v>31923</v>
      </c>
      <c r="M6981" s="2" t="s">
        <v>33375</v>
      </c>
      <c r="N6981" s="2" t="s">
        <v>33376</v>
      </c>
      <c r="O6981" s="2" t="s">
        <v>869</v>
      </c>
      <c r="P6981" s="2" t="s">
        <v>870</v>
      </c>
    </row>
    <row r="6982" ht="15.75" customHeight="1">
      <c r="H6982" s="2" t="s">
        <v>33377</v>
      </c>
      <c r="I6982" s="2" t="s">
        <v>33378</v>
      </c>
      <c r="J6982" s="2" t="s">
        <v>33379</v>
      </c>
      <c r="K6982" s="2" t="s">
        <v>24967</v>
      </c>
      <c r="L6982" s="2" t="s">
        <v>31923</v>
      </c>
      <c r="M6982" s="2" t="s">
        <v>33380</v>
      </c>
      <c r="N6982" s="2" t="s">
        <v>33381</v>
      </c>
      <c r="O6982" s="2" t="s">
        <v>869</v>
      </c>
      <c r="P6982" s="2" t="s">
        <v>870</v>
      </c>
    </row>
    <row r="6983" ht="15.75" customHeight="1">
      <c r="H6983" s="2" t="s">
        <v>33382</v>
      </c>
      <c r="I6983" s="2" t="s">
        <v>510</v>
      </c>
      <c r="J6983" s="2" t="s">
        <v>511</v>
      </c>
      <c r="K6983" s="2" t="s">
        <v>31277</v>
      </c>
      <c r="L6983" s="2" t="s">
        <v>31923</v>
      </c>
      <c r="M6983" s="2" t="s">
        <v>2426</v>
      </c>
      <c r="N6983" s="2" t="s">
        <v>33383</v>
      </c>
      <c r="O6983" s="2" t="s">
        <v>869</v>
      </c>
      <c r="P6983" s="2" t="s">
        <v>870</v>
      </c>
    </row>
    <row r="6984" ht="15.75" customHeight="1">
      <c r="H6984" s="2" t="s">
        <v>33384</v>
      </c>
      <c r="I6984" s="2" t="s">
        <v>29468</v>
      </c>
      <c r="J6984" s="2" t="s">
        <v>29469</v>
      </c>
      <c r="K6984" s="2" t="s">
        <v>24450</v>
      </c>
      <c r="L6984" s="2" t="s">
        <v>31923</v>
      </c>
      <c r="M6984" s="2" t="s">
        <v>33385</v>
      </c>
      <c r="N6984" s="2" t="s">
        <v>33386</v>
      </c>
      <c r="O6984" s="2" t="s">
        <v>869</v>
      </c>
      <c r="P6984" s="2" t="s">
        <v>870</v>
      </c>
    </row>
    <row r="6985" ht="15.75" customHeight="1">
      <c r="H6985" s="2" t="s">
        <v>33387</v>
      </c>
      <c r="I6985" s="2" t="s">
        <v>33388</v>
      </c>
      <c r="J6985" s="2" t="s">
        <v>33389</v>
      </c>
      <c r="K6985" s="2" t="s">
        <v>32694</v>
      </c>
      <c r="L6985" s="2" t="s">
        <v>31923</v>
      </c>
      <c r="M6985" s="2" t="s">
        <v>33390</v>
      </c>
      <c r="N6985" s="2" t="s">
        <v>33391</v>
      </c>
      <c r="O6985" s="2" t="s">
        <v>869</v>
      </c>
      <c r="P6985" s="2" t="s">
        <v>870</v>
      </c>
    </row>
    <row r="6986" ht="15.75" customHeight="1">
      <c r="H6986" s="2" t="s">
        <v>33392</v>
      </c>
      <c r="I6986" s="2" t="s">
        <v>33393</v>
      </c>
      <c r="J6986" s="2" t="s">
        <v>33394</v>
      </c>
      <c r="K6986" s="2" t="s">
        <v>33395</v>
      </c>
      <c r="L6986" s="2" t="s">
        <v>31923</v>
      </c>
      <c r="M6986" s="2" t="s">
        <v>33396</v>
      </c>
      <c r="N6986" s="2" t="s">
        <v>33397</v>
      </c>
      <c r="O6986" s="2" t="s">
        <v>869</v>
      </c>
      <c r="P6986" s="2" t="s">
        <v>870</v>
      </c>
    </row>
    <row r="6987" ht="15.75" customHeight="1">
      <c r="H6987" s="2" t="s">
        <v>33398</v>
      </c>
      <c r="I6987" s="2" t="s">
        <v>33399</v>
      </c>
      <c r="J6987" s="2" t="s">
        <v>33400</v>
      </c>
      <c r="K6987" s="2" t="s">
        <v>33401</v>
      </c>
      <c r="L6987" s="2" t="s">
        <v>33402</v>
      </c>
      <c r="M6987" s="2" t="s">
        <v>33230</v>
      </c>
      <c r="N6987" s="2" t="s">
        <v>33403</v>
      </c>
      <c r="O6987" s="2" t="s">
        <v>869</v>
      </c>
      <c r="P6987" s="2" t="s">
        <v>870</v>
      </c>
    </row>
    <row r="6988" ht="15.75" customHeight="1">
      <c r="H6988" s="2" t="s">
        <v>33404</v>
      </c>
      <c r="I6988" s="2" t="s">
        <v>26124</v>
      </c>
      <c r="J6988" s="2" t="s">
        <v>26125</v>
      </c>
      <c r="K6988" s="2" t="s">
        <v>24918</v>
      </c>
      <c r="L6988" s="2" t="s">
        <v>31923</v>
      </c>
      <c r="M6988" s="2" t="s">
        <v>33405</v>
      </c>
      <c r="N6988" s="2" t="s">
        <v>33406</v>
      </c>
      <c r="O6988" s="2" t="s">
        <v>869</v>
      </c>
      <c r="P6988" s="2" t="s">
        <v>870</v>
      </c>
    </row>
    <row r="6989" ht="15.75" customHeight="1">
      <c r="H6989" s="2" t="s">
        <v>33407</v>
      </c>
      <c r="I6989" s="2" t="s">
        <v>14560</v>
      </c>
      <c r="J6989" s="2" t="s">
        <v>14561</v>
      </c>
      <c r="K6989" s="2" t="s">
        <v>32716</v>
      </c>
      <c r="L6989" s="2" t="s">
        <v>31923</v>
      </c>
      <c r="M6989" s="2" t="s">
        <v>33408</v>
      </c>
      <c r="N6989" s="2" t="s">
        <v>33409</v>
      </c>
      <c r="O6989" s="2" t="s">
        <v>869</v>
      </c>
      <c r="P6989" s="2" t="s">
        <v>870</v>
      </c>
    </row>
    <row r="6990" ht="15.75" customHeight="1">
      <c r="H6990" s="2" t="s">
        <v>33410</v>
      </c>
      <c r="I6990" s="2" t="s">
        <v>33411</v>
      </c>
      <c r="J6990" s="2" t="s">
        <v>33412</v>
      </c>
      <c r="K6990" s="2" t="s">
        <v>33413</v>
      </c>
      <c r="L6990" s="2" t="s">
        <v>31923</v>
      </c>
      <c r="M6990" s="2" t="s">
        <v>33414</v>
      </c>
      <c r="N6990" s="2" t="s">
        <v>33415</v>
      </c>
      <c r="O6990" s="2" t="s">
        <v>869</v>
      </c>
      <c r="P6990" s="2" t="s">
        <v>870</v>
      </c>
    </row>
    <row r="6991" ht="15.75" customHeight="1">
      <c r="H6991" s="2" t="s">
        <v>33416</v>
      </c>
      <c r="I6991" s="2" t="s">
        <v>19711</v>
      </c>
      <c r="J6991" s="2" t="s">
        <v>19712</v>
      </c>
      <c r="K6991" s="2" t="s">
        <v>33417</v>
      </c>
      <c r="L6991" s="2" t="s">
        <v>31923</v>
      </c>
      <c r="M6991" s="2" t="s">
        <v>33418</v>
      </c>
      <c r="N6991" s="2" t="s">
        <v>33419</v>
      </c>
      <c r="O6991" s="2" t="s">
        <v>869</v>
      </c>
      <c r="P6991" s="2" t="s">
        <v>870</v>
      </c>
    </row>
    <row r="6992" ht="15.75" customHeight="1">
      <c r="H6992" s="2" t="s">
        <v>33420</v>
      </c>
      <c r="I6992" s="2" t="s">
        <v>19733</v>
      </c>
      <c r="J6992" s="2" t="s">
        <v>19734</v>
      </c>
      <c r="K6992" s="2" t="s">
        <v>33421</v>
      </c>
      <c r="L6992" s="2" t="s">
        <v>31923</v>
      </c>
      <c r="M6992" s="2" t="s">
        <v>33422</v>
      </c>
      <c r="N6992" s="2" t="s">
        <v>33423</v>
      </c>
      <c r="O6992" s="2" t="s">
        <v>869</v>
      </c>
      <c r="P6992" s="2" t="s">
        <v>870</v>
      </c>
    </row>
    <row r="6993" ht="15.75" customHeight="1">
      <c r="H6993" s="2" t="s">
        <v>33424</v>
      </c>
      <c r="I6993" s="2" t="s">
        <v>2489</v>
      </c>
      <c r="J6993" s="2" t="s">
        <v>2490</v>
      </c>
      <c r="K6993" s="2" t="s">
        <v>22041</v>
      </c>
      <c r="L6993" s="2" t="s">
        <v>31923</v>
      </c>
      <c r="M6993" s="2" t="s">
        <v>33425</v>
      </c>
      <c r="N6993" s="2" t="s">
        <v>33426</v>
      </c>
      <c r="O6993" s="2" t="s">
        <v>869</v>
      </c>
      <c r="P6993" s="2" t="s">
        <v>870</v>
      </c>
    </row>
    <row r="6994" ht="15.75" customHeight="1">
      <c r="H6994" s="2" t="s">
        <v>33427</v>
      </c>
      <c r="I6994" s="2" t="s">
        <v>33428</v>
      </c>
      <c r="J6994" s="2" t="s">
        <v>33429</v>
      </c>
      <c r="K6994" s="2" t="s">
        <v>33430</v>
      </c>
      <c r="L6994" s="2" t="s">
        <v>31923</v>
      </c>
      <c r="M6994" s="2" t="s">
        <v>33431</v>
      </c>
      <c r="N6994" s="2" t="s">
        <v>33432</v>
      </c>
      <c r="O6994" s="2" t="s">
        <v>869</v>
      </c>
      <c r="P6994" s="2" t="s">
        <v>870</v>
      </c>
    </row>
    <row r="6995" ht="15.75" customHeight="1">
      <c r="H6995" s="2" t="s">
        <v>33433</v>
      </c>
      <c r="I6995" s="2" t="s">
        <v>33434</v>
      </c>
      <c r="J6995" s="2" t="s">
        <v>33435</v>
      </c>
      <c r="K6995" s="2" t="s">
        <v>33436</v>
      </c>
      <c r="L6995" s="2" t="s">
        <v>31923</v>
      </c>
      <c r="M6995" s="2" t="s">
        <v>33437</v>
      </c>
      <c r="N6995" s="2" t="s">
        <v>33438</v>
      </c>
      <c r="O6995" s="2" t="s">
        <v>869</v>
      </c>
      <c r="P6995" s="2" t="s">
        <v>870</v>
      </c>
    </row>
    <row r="6996" ht="15.75" customHeight="1">
      <c r="H6996" s="2" t="s">
        <v>33439</v>
      </c>
      <c r="I6996" s="2" t="s">
        <v>32775</v>
      </c>
      <c r="J6996" s="2" t="s">
        <v>32776</v>
      </c>
      <c r="K6996" s="2" t="s">
        <v>32733</v>
      </c>
      <c r="L6996" s="2" t="s">
        <v>33440</v>
      </c>
      <c r="M6996" s="2" t="s">
        <v>33441</v>
      </c>
      <c r="N6996" s="2" t="s">
        <v>33442</v>
      </c>
      <c r="O6996" s="2" t="s">
        <v>869</v>
      </c>
      <c r="P6996" s="2" t="s">
        <v>870</v>
      </c>
    </row>
    <row r="6997" ht="15.75" customHeight="1">
      <c r="H6997" s="2" t="s">
        <v>33443</v>
      </c>
      <c r="I6997" s="2" t="s">
        <v>19752</v>
      </c>
      <c r="J6997" s="2" t="s">
        <v>19753</v>
      </c>
      <c r="K6997" s="2" t="s">
        <v>33444</v>
      </c>
      <c r="L6997" s="2" t="s">
        <v>31923</v>
      </c>
      <c r="M6997" s="2" t="s">
        <v>29372</v>
      </c>
      <c r="N6997" s="2" t="s">
        <v>33445</v>
      </c>
      <c r="O6997" s="2" t="s">
        <v>869</v>
      </c>
      <c r="P6997" s="2" t="s">
        <v>870</v>
      </c>
    </row>
    <row r="6998" ht="15.75" customHeight="1">
      <c r="H6998" s="2" t="s">
        <v>33446</v>
      </c>
      <c r="I6998" s="2" t="s">
        <v>13918</v>
      </c>
      <c r="J6998" s="2" t="s">
        <v>13919</v>
      </c>
      <c r="K6998" s="2" t="s">
        <v>24996</v>
      </c>
      <c r="L6998" s="2" t="s">
        <v>31923</v>
      </c>
      <c r="M6998" s="2" t="s">
        <v>33447</v>
      </c>
      <c r="N6998" s="2" t="s">
        <v>33448</v>
      </c>
      <c r="O6998" s="2" t="s">
        <v>869</v>
      </c>
      <c r="P6998" s="2" t="s">
        <v>870</v>
      </c>
    </row>
    <row r="6999" ht="15.75" customHeight="1">
      <c r="H6999" s="2" t="s">
        <v>33449</v>
      </c>
      <c r="I6999" s="2" t="s">
        <v>5959</v>
      </c>
      <c r="J6999" s="2" t="s">
        <v>5960</v>
      </c>
      <c r="K6999" s="2" t="s">
        <v>24851</v>
      </c>
      <c r="L6999" s="2" t="s">
        <v>31923</v>
      </c>
      <c r="M6999" s="2" t="s">
        <v>33450</v>
      </c>
      <c r="N6999" s="2" t="s">
        <v>33451</v>
      </c>
      <c r="O6999" s="2" t="s">
        <v>869</v>
      </c>
      <c r="P6999" s="2" t="s">
        <v>870</v>
      </c>
    </row>
    <row r="7000" ht="15.75" customHeight="1">
      <c r="F7000" s="2" t="s">
        <v>2508</v>
      </c>
      <c r="H7000" s="2" t="s">
        <v>33452</v>
      </c>
      <c r="I7000" s="2" t="s">
        <v>33453</v>
      </c>
      <c r="J7000" s="2" t="s">
        <v>33454</v>
      </c>
      <c r="K7000" s="2" t="s">
        <v>12460</v>
      </c>
    </row>
    <row r="7001" ht="15.75" customHeight="1">
      <c r="F7001" s="2" t="s">
        <v>534</v>
      </c>
      <c r="H7001" s="2" t="s">
        <v>33455</v>
      </c>
      <c r="I7001" s="2" t="s">
        <v>536</v>
      </c>
      <c r="J7001" s="2" t="s">
        <v>537</v>
      </c>
      <c r="K7001" s="2" t="s">
        <v>538</v>
      </c>
    </row>
    <row r="7002" ht="15.75" customHeight="1">
      <c r="F7002" s="2" t="s">
        <v>539</v>
      </c>
      <c r="H7002" s="2" t="s">
        <v>33456</v>
      </c>
      <c r="I7002" s="2" t="s">
        <v>19774</v>
      </c>
      <c r="J7002" s="2" t="s">
        <v>19775</v>
      </c>
      <c r="K7002" s="2" t="s">
        <v>22462</v>
      </c>
      <c r="L7002" s="2" t="s">
        <v>31923</v>
      </c>
      <c r="M7002" s="2" t="s">
        <v>33457</v>
      </c>
      <c r="N7002" s="2" t="s">
        <v>869</v>
      </c>
      <c r="O7002" s="2" t="s">
        <v>870</v>
      </c>
    </row>
    <row r="7003" ht="15.75" customHeight="1">
      <c r="H7003" s="2" t="s">
        <v>33458</v>
      </c>
      <c r="I7003" s="2" t="s">
        <v>33459</v>
      </c>
      <c r="J7003" s="2" t="s">
        <v>33460</v>
      </c>
      <c r="K7003" s="2" t="s">
        <v>24014</v>
      </c>
      <c r="L7003" s="2" t="s">
        <v>31923</v>
      </c>
      <c r="M7003" s="2" t="s">
        <v>33461</v>
      </c>
      <c r="N7003" s="2" t="s">
        <v>869</v>
      </c>
      <c r="O7003" s="2" t="s">
        <v>870</v>
      </c>
    </row>
    <row r="7004" ht="15.75" customHeight="1">
      <c r="H7004" s="2" t="s">
        <v>33462</v>
      </c>
      <c r="I7004" s="2" t="s">
        <v>33463</v>
      </c>
      <c r="J7004" s="2" t="s">
        <v>33464</v>
      </c>
      <c r="K7004" s="2" t="s">
        <v>24665</v>
      </c>
      <c r="L7004" s="2" t="s">
        <v>31923</v>
      </c>
      <c r="M7004" s="2" t="s">
        <v>33465</v>
      </c>
      <c r="N7004" s="2" t="s">
        <v>33466</v>
      </c>
      <c r="O7004" s="2" t="s">
        <v>869</v>
      </c>
      <c r="P7004" s="2" t="s">
        <v>870</v>
      </c>
    </row>
    <row r="7005" ht="15.75" customHeight="1">
      <c r="H7005" s="2" t="s">
        <v>33467</v>
      </c>
      <c r="I7005" s="2" t="s">
        <v>33468</v>
      </c>
      <c r="J7005" s="2" t="s">
        <v>33469</v>
      </c>
      <c r="K7005" s="2" t="s">
        <v>15897</v>
      </c>
      <c r="L7005" s="2" t="s">
        <v>31923</v>
      </c>
      <c r="M7005" s="2" t="s">
        <v>33470</v>
      </c>
      <c r="N7005" s="2" t="s">
        <v>869</v>
      </c>
      <c r="O7005" s="2" t="s">
        <v>870</v>
      </c>
    </row>
    <row r="7006" ht="15.75" customHeight="1">
      <c r="H7006" s="2" t="s">
        <v>33471</v>
      </c>
      <c r="I7006" s="2" t="s">
        <v>29525</v>
      </c>
      <c r="J7006" s="2" t="s">
        <v>29526</v>
      </c>
      <c r="K7006" s="2" t="s">
        <v>25068</v>
      </c>
      <c r="L7006" s="2" t="s">
        <v>31923</v>
      </c>
      <c r="M7006" s="2" t="s">
        <v>29528</v>
      </c>
      <c r="N7006" s="2" t="s">
        <v>33472</v>
      </c>
      <c r="O7006" s="2" t="s">
        <v>869</v>
      </c>
      <c r="P7006" s="2" t="s">
        <v>870</v>
      </c>
    </row>
    <row r="7007" ht="15.75" customHeight="1">
      <c r="H7007" s="2" t="s">
        <v>33473</v>
      </c>
      <c r="I7007" s="2" t="s">
        <v>2528</v>
      </c>
      <c r="J7007" s="2" t="s">
        <v>2529</v>
      </c>
      <c r="K7007" s="2" t="s">
        <v>25009</v>
      </c>
      <c r="L7007" s="2" t="s">
        <v>31923</v>
      </c>
      <c r="M7007" s="2" t="s">
        <v>27410</v>
      </c>
      <c r="N7007" s="2" t="s">
        <v>33474</v>
      </c>
      <c r="O7007" s="2" t="s">
        <v>869</v>
      </c>
      <c r="P7007" s="2" t="s">
        <v>870</v>
      </c>
    </row>
    <row r="7008" ht="15.75" customHeight="1">
      <c r="H7008" s="2" t="s">
        <v>33475</v>
      </c>
      <c r="I7008" s="2" t="s">
        <v>27412</v>
      </c>
      <c r="J7008" s="2" t="s">
        <v>27413</v>
      </c>
      <c r="K7008" s="2" t="s">
        <v>6000</v>
      </c>
      <c r="L7008" s="2" t="s">
        <v>31923</v>
      </c>
      <c r="M7008" s="2" t="s">
        <v>27414</v>
      </c>
      <c r="N7008" s="2" t="s">
        <v>33476</v>
      </c>
      <c r="O7008" s="2" t="s">
        <v>869</v>
      </c>
      <c r="P7008" s="2" t="s">
        <v>870</v>
      </c>
    </row>
    <row r="7009" ht="15.75" customHeight="1">
      <c r="H7009" s="2" t="s">
        <v>33477</v>
      </c>
      <c r="I7009" s="2" t="s">
        <v>27430</v>
      </c>
      <c r="J7009" s="2" t="s">
        <v>27431</v>
      </c>
      <c r="K7009" s="2" t="s">
        <v>6050</v>
      </c>
      <c r="L7009" s="2" t="s">
        <v>31923</v>
      </c>
      <c r="M7009" s="2" t="s">
        <v>27432</v>
      </c>
      <c r="N7009" s="2" t="s">
        <v>33478</v>
      </c>
      <c r="O7009" s="2" t="s">
        <v>869</v>
      </c>
      <c r="P7009" s="2" t="s">
        <v>870</v>
      </c>
    </row>
    <row r="7010" ht="15.75" customHeight="1">
      <c r="H7010" s="2" t="s">
        <v>33479</v>
      </c>
      <c r="I7010" s="2" t="s">
        <v>31936</v>
      </c>
      <c r="J7010" s="2" t="s">
        <v>31937</v>
      </c>
      <c r="K7010" s="2" t="s">
        <v>15796</v>
      </c>
      <c r="L7010" s="2" t="s">
        <v>31923</v>
      </c>
      <c r="M7010" s="2" t="s">
        <v>33480</v>
      </c>
      <c r="N7010" s="2" t="s">
        <v>33481</v>
      </c>
      <c r="O7010" s="2" t="s">
        <v>869</v>
      </c>
      <c r="P7010" s="2" t="s">
        <v>870</v>
      </c>
    </row>
    <row r="7011" ht="15.75" customHeight="1">
      <c r="H7011" s="2" t="s">
        <v>33482</v>
      </c>
      <c r="I7011" s="2" t="s">
        <v>541</v>
      </c>
      <c r="J7011" s="2" t="s">
        <v>542</v>
      </c>
      <c r="K7011" s="2" t="s">
        <v>25073</v>
      </c>
      <c r="L7011" s="2" t="s">
        <v>31923</v>
      </c>
      <c r="M7011" s="2" t="s">
        <v>29552</v>
      </c>
      <c r="N7011" s="2" t="s">
        <v>33483</v>
      </c>
      <c r="O7011" s="2" t="s">
        <v>869</v>
      </c>
      <c r="P7011" s="2" t="s">
        <v>870</v>
      </c>
    </row>
    <row r="7012" ht="15.75" customHeight="1">
      <c r="H7012" s="2" t="s">
        <v>33484</v>
      </c>
      <c r="I7012" s="2" t="s">
        <v>33485</v>
      </c>
      <c r="J7012" s="2" t="s">
        <v>33486</v>
      </c>
      <c r="K7012" s="2" t="s">
        <v>31344</v>
      </c>
      <c r="L7012" s="2" t="s">
        <v>31923</v>
      </c>
      <c r="M7012" s="2" t="s">
        <v>33487</v>
      </c>
      <c r="N7012" s="2" t="s">
        <v>869</v>
      </c>
      <c r="O7012" s="2" t="s">
        <v>870</v>
      </c>
    </row>
    <row r="7013" ht="15.75" customHeight="1">
      <c r="H7013" s="2" t="s">
        <v>33488</v>
      </c>
      <c r="I7013" s="2" t="s">
        <v>8130</v>
      </c>
      <c r="J7013" s="2" t="s">
        <v>8131</v>
      </c>
      <c r="K7013" s="2" t="s">
        <v>31897</v>
      </c>
      <c r="L7013" s="2" t="s">
        <v>31923</v>
      </c>
      <c r="M7013" s="2" t="s">
        <v>26153</v>
      </c>
      <c r="N7013" s="2" t="s">
        <v>869</v>
      </c>
      <c r="O7013" s="2" t="s">
        <v>870</v>
      </c>
    </row>
    <row r="7014" ht="15.75" customHeight="1">
      <c r="H7014" s="2" t="s">
        <v>33489</v>
      </c>
      <c r="I7014" s="2" t="s">
        <v>27451</v>
      </c>
      <c r="J7014" s="2" t="s">
        <v>27452</v>
      </c>
      <c r="K7014" s="2" t="s">
        <v>24528</v>
      </c>
      <c r="L7014" s="2" t="s">
        <v>31923</v>
      </c>
      <c r="M7014" s="2" t="s">
        <v>33490</v>
      </c>
      <c r="N7014" s="2" t="s">
        <v>869</v>
      </c>
      <c r="O7014" s="2" t="s">
        <v>870</v>
      </c>
    </row>
    <row r="7015" ht="15.75" customHeight="1">
      <c r="H7015" s="2" t="s">
        <v>33491</v>
      </c>
      <c r="I7015" s="2" t="s">
        <v>2533</v>
      </c>
      <c r="J7015" s="2" t="s">
        <v>2534</v>
      </c>
      <c r="K7015" s="2" t="s">
        <v>22104</v>
      </c>
      <c r="L7015" s="2" t="s">
        <v>31923</v>
      </c>
      <c r="M7015" s="2" t="s">
        <v>33492</v>
      </c>
      <c r="N7015" s="2" t="s">
        <v>33493</v>
      </c>
      <c r="O7015" s="2" t="s">
        <v>869</v>
      </c>
      <c r="P7015" s="2" t="s">
        <v>870</v>
      </c>
    </row>
    <row r="7016" ht="15.75" customHeight="1">
      <c r="H7016" s="2" t="s">
        <v>33494</v>
      </c>
      <c r="I7016" s="2" t="s">
        <v>33495</v>
      </c>
      <c r="J7016" s="2" t="s">
        <v>33496</v>
      </c>
      <c r="K7016" s="2" t="s">
        <v>24379</v>
      </c>
      <c r="L7016" s="2" t="s">
        <v>31923</v>
      </c>
      <c r="M7016" s="2" t="s">
        <v>33497</v>
      </c>
      <c r="N7016" s="2" t="s">
        <v>33498</v>
      </c>
      <c r="O7016" s="2" t="s">
        <v>869</v>
      </c>
      <c r="P7016" s="2" t="s">
        <v>870</v>
      </c>
    </row>
    <row r="7017" ht="15.75" customHeight="1">
      <c r="H7017" s="2" t="s">
        <v>33499</v>
      </c>
      <c r="I7017" s="2" t="s">
        <v>33500</v>
      </c>
      <c r="J7017" s="2" t="s">
        <v>33501</v>
      </c>
      <c r="K7017" s="2" t="s">
        <v>24102</v>
      </c>
      <c r="L7017" s="2" t="s">
        <v>31923</v>
      </c>
      <c r="M7017" s="2" t="s">
        <v>33502</v>
      </c>
      <c r="N7017" s="2" t="s">
        <v>869</v>
      </c>
      <c r="O7017" s="2" t="s">
        <v>870</v>
      </c>
    </row>
    <row r="7018" ht="15.75" customHeight="1">
      <c r="H7018" s="2" t="s">
        <v>33503</v>
      </c>
      <c r="I7018" s="2" t="s">
        <v>33504</v>
      </c>
      <c r="J7018" s="2" t="s">
        <v>33505</v>
      </c>
      <c r="K7018" s="2" t="s">
        <v>24109</v>
      </c>
      <c r="L7018" s="2" t="s">
        <v>31923</v>
      </c>
      <c r="M7018" s="2" t="s">
        <v>33506</v>
      </c>
      <c r="N7018" s="2" t="s">
        <v>869</v>
      </c>
      <c r="O7018" s="2" t="s">
        <v>870</v>
      </c>
    </row>
    <row r="7019" ht="15.75" customHeight="1">
      <c r="H7019" s="2" t="s">
        <v>33507</v>
      </c>
      <c r="I7019" s="2" t="s">
        <v>33508</v>
      </c>
      <c r="J7019" s="2" t="s">
        <v>33509</v>
      </c>
      <c r="K7019" s="2" t="s">
        <v>22055</v>
      </c>
      <c r="L7019" s="2" t="s">
        <v>31923</v>
      </c>
      <c r="M7019" s="2" t="s">
        <v>33510</v>
      </c>
      <c r="N7019" s="2" t="s">
        <v>33511</v>
      </c>
      <c r="O7019" s="2" t="s">
        <v>869</v>
      </c>
      <c r="P7019" s="2" t="s">
        <v>870</v>
      </c>
    </row>
    <row r="7020" ht="15.75" customHeight="1">
      <c r="H7020" s="2" t="s">
        <v>33512</v>
      </c>
      <c r="I7020" s="2" t="s">
        <v>27477</v>
      </c>
      <c r="J7020" s="2" t="s">
        <v>27478</v>
      </c>
      <c r="K7020" s="2" t="s">
        <v>24679</v>
      </c>
      <c r="L7020" s="2" t="s">
        <v>31923</v>
      </c>
      <c r="M7020" s="2" t="s">
        <v>27479</v>
      </c>
      <c r="N7020" s="2" t="s">
        <v>33513</v>
      </c>
      <c r="O7020" s="2" t="s">
        <v>869</v>
      </c>
      <c r="P7020" s="2" t="s">
        <v>870</v>
      </c>
    </row>
    <row r="7021" ht="15.75" customHeight="1">
      <c r="H7021" s="2" t="s">
        <v>33514</v>
      </c>
      <c r="I7021" s="2" t="s">
        <v>33515</v>
      </c>
      <c r="J7021" s="2" t="s">
        <v>33516</v>
      </c>
      <c r="K7021" s="2" t="s">
        <v>6029</v>
      </c>
      <c r="L7021" s="2" t="s">
        <v>31923</v>
      </c>
      <c r="M7021" s="2" t="s">
        <v>27511</v>
      </c>
      <c r="N7021" s="2" t="s">
        <v>33466</v>
      </c>
      <c r="O7021" s="2" t="s">
        <v>869</v>
      </c>
      <c r="P7021" s="2" t="s">
        <v>870</v>
      </c>
    </row>
    <row r="7022" ht="15.75" customHeight="1">
      <c r="H7022" s="2" t="s">
        <v>33517</v>
      </c>
      <c r="I7022" s="2" t="s">
        <v>33518</v>
      </c>
      <c r="J7022" s="2" t="s">
        <v>33519</v>
      </c>
      <c r="K7022" s="2" t="s">
        <v>6081</v>
      </c>
      <c r="L7022" s="2" t="s">
        <v>31923</v>
      </c>
      <c r="M7022" s="2" t="s">
        <v>33520</v>
      </c>
      <c r="N7022" s="2" t="s">
        <v>33521</v>
      </c>
      <c r="O7022" s="2" t="s">
        <v>869</v>
      </c>
      <c r="P7022" s="2" t="s">
        <v>870</v>
      </c>
    </row>
    <row r="7023" ht="15.75" customHeight="1">
      <c r="H7023" s="2" t="s">
        <v>33522</v>
      </c>
      <c r="I7023" s="2" t="s">
        <v>2331</v>
      </c>
      <c r="J7023" s="2" t="s">
        <v>2332</v>
      </c>
      <c r="K7023" s="2" t="s">
        <v>15872</v>
      </c>
      <c r="L7023" s="2" t="s">
        <v>31923</v>
      </c>
      <c r="M7023" s="2" t="s">
        <v>27500</v>
      </c>
      <c r="N7023" s="2" t="s">
        <v>869</v>
      </c>
      <c r="O7023" s="2" t="s">
        <v>870</v>
      </c>
    </row>
    <row r="7024" ht="15.75" customHeight="1">
      <c r="H7024" s="2" t="s">
        <v>33523</v>
      </c>
      <c r="I7024" s="2" t="s">
        <v>33524</v>
      </c>
      <c r="J7024" s="2" t="s">
        <v>33525</v>
      </c>
      <c r="K7024" s="2" t="s">
        <v>6068</v>
      </c>
      <c r="L7024" s="2" t="s">
        <v>31923</v>
      </c>
      <c r="M7024" s="2" t="s">
        <v>33526</v>
      </c>
      <c r="N7024" s="2" t="s">
        <v>33527</v>
      </c>
      <c r="O7024" s="2" t="s">
        <v>869</v>
      </c>
      <c r="P7024" s="2" t="s">
        <v>870</v>
      </c>
    </row>
    <row r="7025" ht="15.75" customHeight="1">
      <c r="H7025" s="2" t="s">
        <v>33528</v>
      </c>
      <c r="I7025" s="2" t="s">
        <v>33529</v>
      </c>
      <c r="J7025" s="2" t="s">
        <v>33530</v>
      </c>
      <c r="K7025" s="2" t="s">
        <v>6062</v>
      </c>
      <c r="L7025" s="2" t="s">
        <v>31923</v>
      </c>
      <c r="M7025" s="2" t="s">
        <v>33531</v>
      </c>
      <c r="N7025" s="2" t="s">
        <v>33532</v>
      </c>
      <c r="O7025" s="2" t="s">
        <v>869</v>
      </c>
      <c r="P7025" s="2" t="s">
        <v>870</v>
      </c>
    </row>
    <row r="7026" ht="15.75" customHeight="1">
      <c r="H7026" s="2" t="s">
        <v>33533</v>
      </c>
      <c r="I7026" s="2" t="s">
        <v>2564</v>
      </c>
      <c r="J7026" s="2" t="s">
        <v>2565</v>
      </c>
      <c r="K7026" s="2" t="s">
        <v>24173</v>
      </c>
      <c r="L7026" s="2" t="s">
        <v>31923</v>
      </c>
      <c r="M7026" s="2" t="s">
        <v>27511</v>
      </c>
      <c r="N7026" s="2" t="s">
        <v>33534</v>
      </c>
      <c r="O7026" s="2" t="s">
        <v>869</v>
      </c>
      <c r="P7026" s="2" t="s">
        <v>870</v>
      </c>
    </row>
    <row r="7027" ht="15.75" customHeight="1">
      <c r="H7027" s="2" t="s">
        <v>33535</v>
      </c>
      <c r="I7027" s="2" t="s">
        <v>2573</v>
      </c>
      <c r="J7027" s="2" t="s">
        <v>2574</v>
      </c>
      <c r="K7027" s="2" t="s">
        <v>6006</v>
      </c>
      <c r="L7027" s="2" t="s">
        <v>31923</v>
      </c>
      <c r="M7027" s="2" t="s">
        <v>33536</v>
      </c>
      <c r="N7027" s="2" t="s">
        <v>33537</v>
      </c>
      <c r="O7027" s="2" t="s">
        <v>869</v>
      </c>
      <c r="P7027" s="2" t="s">
        <v>870</v>
      </c>
    </row>
    <row r="7028" ht="15.75" customHeight="1">
      <c r="H7028" s="2" t="s">
        <v>33538</v>
      </c>
      <c r="I7028" s="2" t="s">
        <v>8176</v>
      </c>
      <c r="J7028" s="2" t="s">
        <v>8177</v>
      </c>
      <c r="K7028" s="2" t="s">
        <v>24063</v>
      </c>
      <c r="L7028" s="2" t="s">
        <v>31923</v>
      </c>
      <c r="M7028" s="2" t="s">
        <v>33539</v>
      </c>
      <c r="N7028" s="2" t="s">
        <v>869</v>
      </c>
      <c r="O7028" s="2" t="s">
        <v>870</v>
      </c>
    </row>
    <row r="7029" ht="15.75" customHeight="1">
      <c r="H7029" s="2" t="s">
        <v>33540</v>
      </c>
      <c r="I7029" s="2" t="s">
        <v>33541</v>
      </c>
      <c r="J7029" s="2" t="s">
        <v>33542</v>
      </c>
      <c r="K7029" s="2" t="s">
        <v>24164</v>
      </c>
      <c r="L7029" s="2" t="s">
        <v>31923</v>
      </c>
      <c r="M7029" s="2" t="s">
        <v>33543</v>
      </c>
      <c r="N7029" s="2" t="s">
        <v>33544</v>
      </c>
      <c r="O7029" s="2" t="s">
        <v>869</v>
      </c>
      <c r="P7029" s="2" t="s">
        <v>870</v>
      </c>
    </row>
    <row r="7030" ht="15.75" customHeight="1">
      <c r="H7030" s="2" t="s">
        <v>33545</v>
      </c>
      <c r="I7030" s="2" t="s">
        <v>33546</v>
      </c>
      <c r="J7030" s="2" t="s">
        <v>33547</v>
      </c>
      <c r="K7030" s="2" t="s">
        <v>22467</v>
      </c>
      <c r="L7030" s="2" t="s">
        <v>31923</v>
      </c>
      <c r="M7030" s="2" t="s">
        <v>27432</v>
      </c>
      <c r="N7030" s="2" t="s">
        <v>33548</v>
      </c>
      <c r="O7030" s="2" t="s">
        <v>869</v>
      </c>
      <c r="P7030" s="2" t="s">
        <v>870</v>
      </c>
    </row>
    <row r="7031" ht="15.75" customHeight="1">
      <c r="H7031" s="2" t="s">
        <v>33549</v>
      </c>
      <c r="I7031" s="2" t="s">
        <v>33550</v>
      </c>
      <c r="J7031" s="2" t="s">
        <v>33551</v>
      </c>
      <c r="K7031" s="2" t="s">
        <v>31624</v>
      </c>
      <c r="L7031" s="2" t="s">
        <v>31923</v>
      </c>
      <c r="M7031" s="2" t="s">
        <v>33552</v>
      </c>
      <c r="N7031" s="2" t="s">
        <v>33553</v>
      </c>
      <c r="O7031" s="2" t="s">
        <v>869</v>
      </c>
      <c r="P7031" s="2" t="s">
        <v>870</v>
      </c>
    </row>
    <row r="7032" ht="15.75" customHeight="1">
      <c r="H7032" s="2" t="s">
        <v>33554</v>
      </c>
      <c r="I7032" s="2" t="s">
        <v>257</v>
      </c>
      <c r="J7032" s="2" t="s">
        <v>258</v>
      </c>
      <c r="K7032" s="2" t="s">
        <v>24851</v>
      </c>
      <c r="L7032" s="2" t="s">
        <v>31923</v>
      </c>
      <c r="M7032" s="2" t="s">
        <v>33555</v>
      </c>
      <c r="N7032" s="2" t="s">
        <v>33556</v>
      </c>
      <c r="O7032" s="2" t="s">
        <v>869</v>
      </c>
      <c r="P7032" s="2" t="s">
        <v>870</v>
      </c>
    </row>
    <row r="7033" ht="15.75" customHeight="1">
      <c r="H7033" s="2" t="s">
        <v>33557</v>
      </c>
      <c r="I7033" s="2" t="s">
        <v>33558</v>
      </c>
      <c r="J7033" s="2" t="s">
        <v>33559</v>
      </c>
      <c r="K7033" s="2" t="s">
        <v>24596</v>
      </c>
      <c r="L7033" s="2" t="s">
        <v>31923</v>
      </c>
      <c r="M7033" s="2" t="s">
        <v>33560</v>
      </c>
      <c r="N7033" s="2" t="s">
        <v>33561</v>
      </c>
      <c r="O7033" s="2" t="s">
        <v>869</v>
      </c>
      <c r="P7033" s="2" t="s">
        <v>870</v>
      </c>
    </row>
    <row r="7034" ht="15.75" customHeight="1">
      <c r="F7034" s="2" t="s">
        <v>2597</v>
      </c>
      <c r="H7034" s="2" t="s">
        <v>33562</v>
      </c>
      <c r="I7034" s="2" t="s">
        <v>7848</v>
      </c>
      <c r="J7034" s="2" t="s">
        <v>7849</v>
      </c>
      <c r="K7034" s="2" t="s">
        <v>22462</v>
      </c>
      <c r="L7034" s="2" t="s">
        <v>31923</v>
      </c>
      <c r="M7034" s="2" t="s">
        <v>7851</v>
      </c>
      <c r="N7034" s="2" t="s">
        <v>33563</v>
      </c>
      <c r="O7034" s="2" t="s">
        <v>869</v>
      </c>
      <c r="P7034" s="2" t="s">
        <v>870</v>
      </c>
    </row>
    <row r="7035" ht="15.75" customHeight="1">
      <c r="H7035" s="2" t="s">
        <v>33564</v>
      </c>
      <c r="I7035" s="2" t="s">
        <v>33565</v>
      </c>
      <c r="J7035" s="2" t="s">
        <v>33566</v>
      </c>
      <c r="K7035" s="2" t="s">
        <v>861</v>
      </c>
    </row>
    <row r="7036" ht="15.75" customHeight="1">
      <c r="H7036" s="2" t="s">
        <v>33567</v>
      </c>
      <c r="I7036" s="2" t="s">
        <v>33568</v>
      </c>
      <c r="J7036" s="2" t="s">
        <v>33569</v>
      </c>
      <c r="K7036" s="2" t="s">
        <v>5995</v>
      </c>
      <c r="L7036" s="2" t="s">
        <v>31923</v>
      </c>
      <c r="M7036" s="2" t="s">
        <v>33570</v>
      </c>
      <c r="N7036" s="2" t="s">
        <v>33571</v>
      </c>
      <c r="O7036" s="2" t="s">
        <v>869</v>
      </c>
      <c r="P7036" s="2" t="s">
        <v>870</v>
      </c>
    </row>
    <row r="7037" ht="15.75" customHeight="1">
      <c r="H7037" s="2" t="s">
        <v>33572</v>
      </c>
      <c r="I7037" s="2" t="s">
        <v>33573</v>
      </c>
      <c r="J7037" s="2" t="s">
        <v>33574</v>
      </c>
      <c r="K7037" s="2" t="s">
        <v>31376</v>
      </c>
      <c r="L7037" s="2" t="s">
        <v>31923</v>
      </c>
      <c r="M7037" s="2" t="s">
        <v>33575</v>
      </c>
      <c r="N7037" s="2" t="s">
        <v>33576</v>
      </c>
      <c r="O7037" s="2" t="s">
        <v>869</v>
      </c>
      <c r="P7037" s="2" t="s">
        <v>870</v>
      </c>
    </row>
    <row r="7038" ht="15.75" customHeight="1">
      <c r="H7038" s="2" t="s">
        <v>33577</v>
      </c>
      <c r="I7038" s="2" t="s">
        <v>2609</v>
      </c>
      <c r="J7038" s="2" t="s">
        <v>2610</v>
      </c>
      <c r="K7038" s="2" t="s">
        <v>25009</v>
      </c>
      <c r="L7038" s="2" t="s">
        <v>31923</v>
      </c>
      <c r="M7038" s="2" t="s">
        <v>7890</v>
      </c>
      <c r="N7038" s="2" t="s">
        <v>33578</v>
      </c>
      <c r="O7038" s="2" t="s">
        <v>869</v>
      </c>
      <c r="P7038" s="2" t="s">
        <v>870</v>
      </c>
    </row>
    <row r="7039" ht="15.75" customHeight="1">
      <c r="H7039" s="2" t="s">
        <v>33579</v>
      </c>
      <c r="I7039" s="2" t="s">
        <v>7900</v>
      </c>
      <c r="J7039" s="2" t="s">
        <v>7901</v>
      </c>
      <c r="K7039" s="2" t="s">
        <v>15801</v>
      </c>
      <c r="L7039" s="2" t="s">
        <v>31923</v>
      </c>
      <c r="M7039" s="2" t="s">
        <v>33580</v>
      </c>
      <c r="N7039" s="2" t="s">
        <v>33581</v>
      </c>
      <c r="O7039" s="2" t="s">
        <v>869</v>
      </c>
      <c r="P7039" s="2" t="s">
        <v>870</v>
      </c>
    </row>
    <row r="7040" ht="15.75" customHeight="1">
      <c r="H7040" s="2" t="s">
        <v>33582</v>
      </c>
      <c r="I7040" s="2" t="s">
        <v>31936</v>
      </c>
      <c r="J7040" s="2" t="s">
        <v>31937</v>
      </c>
      <c r="K7040" s="2" t="s">
        <v>24414</v>
      </c>
      <c r="L7040" s="2" t="s">
        <v>31923</v>
      </c>
      <c r="M7040" s="2" t="s">
        <v>33583</v>
      </c>
      <c r="N7040" s="2" t="s">
        <v>33584</v>
      </c>
      <c r="O7040" s="2" t="s">
        <v>869</v>
      </c>
      <c r="P7040" s="2" t="s">
        <v>870</v>
      </c>
    </row>
    <row r="7041" ht="15.75" customHeight="1">
      <c r="H7041" s="2" t="s">
        <v>33585</v>
      </c>
      <c r="I7041" s="2" t="s">
        <v>2624</v>
      </c>
      <c r="J7041" s="2" t="s">
        <v>2625</v>
      </c>
      <c r="K7041" s="2" t="s">
        <v>6050</v>
      </c>
      <c r="L7041" s="2" t="s">
        <v>31923</v>
      </c>
      <c r="M7041" s="2" t="s">
        <v>29611</v>
      </c>
      <c r="N7041" s="2" t="s">
        <v>33586</v>
      </c>
      <c r="O7041" s="2" t="s">
        <v>869</v>
      </c>
      <c r="P7041" s="2" t="s">
        <v>870</v>
      </c>
    </row>
    <row r="7042" ht="15.75" customHeight="1">
      <c r="H7042" s="2" t="s">
        <v>33587</v>
      </c>
      <c r="I7042" s="2" t="s">
        <v>19850</v>
      </c>
      <c r="J7042" s="2" t="s">
        <v>19851</v>
      </c>
      <c r="K7042" s="2" t="s">
        <v>15861</v>
      </c>
      <c r="L7042" s="2" t="s">
        <v>31923</v>
      </c>
      <c r="M7042" s="2" t="s">
        <v>33588</v>
      </c>
      <c r="N7042" s="2" t="s">
        <v>33589</v>
      </c>
      <c r="O7042" s="2" t="s">
        <v>869</v>
      </c>
      <c r="P7042" s="2" t="s">
        <v>870</v>
      </c>
    </row>
    <row r="7043" ht="15.75" customHeight="1">
      <c r="H7043" s="2" t="s">
        <v>33590</v>
      </c>
      <c r="I7043" s="2" t="s">
        <v>7924</v>
      </c>
      <c r="J7043" s="2" t="s">
        <v>7925</v>
      </c>
      <c r="K7043" s="2" t="s">
        <v>25032</v>
      </c>
      <c r="L7043" s="2" t="s">
        <v>31923</v>
      </c>
      <c r="M7043" s="2" t="s">
        <v>33591</v>
      </c>
      <c r="N7043" s="2" t="s">
        <v>33592</v>
      </c>
      <c r="O7043" s="2" t="s">
        <v>869</v>
      </c>
      <c r="P7043" s="2" t="s">
        <v>870</v>
      </c>
    </row>
    <row r="7044" ht="15.75" customHeight="1">
      <c r="H7044" s="2" t="s">
        <v>33593</v>
      </c>
      <c r="I7044" s="2" t="s">
        <v>25439</v>
      </c>
      <c r="J7044" s="2" t="s">
        <v>25440</v>
      </c>
      <c r="K7044" s="2" t="s">
        <v>25073</v>
      </c>
      <c r="L7044" s="2" t="s">
        <v>31923</v>
      </c>
      <c r="M7044" s="2" t="s">
        <v>33594</v>
      </c>
      <c r="N7044" s="2" t="s">
        <v>33595</v>
      </c>
      <c r="O7044" s="2" t="s">
        <v>869</v>
      </c>
      <c r="P7044" s="2" t="s">
        <v>870</v>
      </c>
    </row>
    <row r="7045" ht="15.75" customHeight="1">
      <c r="H7045" s="2" t="s">
        <v>33596</v>
      </c>
      <c r="I7045" s="2" t="s">
        <v>32102</v>
      </c>
      <c r="J7045" s="2" t="s">
        <v>32103</v>
      </c>
      <c r="K7045" s="2" t="s">
        <v>15805</v>
      </c>
      <c r="L7045" s="2" t="s">
        <v>31923</v>
      </c>
      <c r="M7045" s="2" t="s">
        <v>33597</v>
      </c>
      <c r="N7045" s="2" t="s">
        <v>33598</v>
      </c>
      <c r="O7045" s="2" t="s">
        <v>869</v>
      </c>
      <c r="P7045" s="2" t="s">
        <v>870</v>
      </c>
    </row>
    <row r="7046" ht="15.75" customHeight="1">
      <c r="H7046" s="2" t="s">
        <v>33599</v>
      </c>
      <c r="I7046" s="2" t="s">
        <v>22449</v>
      </c>
      <c r="J7046" s="2" t="s">
        <v>22450</v>
      </c>
      <c r="K7046" s="2" t="s">
        <v>22104</v>
      </c>
      <c r="L7046" s="2" t="s">
        <v>31923</v>
      </c>
      <c r="M7046" s="2" t="s">
        <v>26166</v>
      </c>
      <c r="N7046" s="2" t="s">
        <v>869</v>
      </c>
      <c r="O7046" s="2" t="s">
        <v>870</v>
      </c>
    </row>
    <row r="7047" ht="15.75" customHeight="1">
      <c r="H7047" s="2" t="s">
        <v>33600</v>
      </c>
      <c r="I7047" s="2" t="s">
        <v>28124</v>
      </c>
      <c r="J7047" s="2" t="s">
        <v>28125</v>
      </c>
      <c r="K7047" s="2" t="s">
        <v>24379</v>
      </c>
      <c r="L7047" s="2" t="s">
        <v>31923</v>
      </c>
      <c r="M7047" s="2" t="s">
        <v>33601</v>
      </c>
      <c r="N7047" s="2" t="s">
        <v>33602</v>
      </c>
      <c r="O7047" s="2" t="s">
        <v>869</v>
      </c>
      <c r="P7047" s="2" t="s">
        <v>870</v>
      </c>
    </row>
    <row r="7048" ht="15.75" customHeight="1">
      <c r="H7048" s="2" t="s">
        <v>33603</v>
      </c>
      <c r="I7048" s="2" t="s">
        <v>7964</v>
      </c>
      <c r="J7048" s="2" t="s">
        <v>7965</v>
      </c>
      <c r="K7048" s="2" t="s">
        <v>22055</v>
      </c>
      <c r="L7048" s="2" t="s">
        <v>31923</v>
      </c>
      <c r="M7048" s="2" t="s">
        <v>7967</v>
      </c>
      <c r="N7048" s="2" t="s">
        <v>33604</v>
      </c>
      <c r="O7048" s="2" t="s">
        <v>869</v>
      </c>
      <c r="P7048" s="2" t="s">
        <v>870</v>
      </c>
    </row>
    <row r="7049" ht="15.75" customHeight="1">
      <c r="H7049" s="2" t="s">
        <v>33605</v>
      </c>
      <c r="I7049" s="2" t="s">
        <v>33606</v>
      </c>
      <c r="J7049" s="2" t="s">
        <v>33607</v>
      </c>
      <c r="K7049" s="2" t="s">
        <v>24109</v>
      </c>
      <c r="L7049" s="2" t="s">
        <v>31923</v>
      </c>
      <c r="M7049" s="2" t="s">
        <v>33608</v>
      </c>
      <c r="N7049" s="2" t="s">
        <v>33609</v>
      </c>
      <c r="O7049" s="2" t="s">
        <v>869</v>
      </c>
      <c r="P7049" s="2" t="s">
        <v>870</v>
      </c>
    </row>
    <row r="7050" ht="15.75" customHeight="1">
      <c r="H7050" s="2" t="s">
        <v>33610</v>
      </c>
      <c r="I7050" s="2" t="s">
        <v>33611</v>
      </c>
      <c r="J7050" s="2" t="s">
        <v>33612</v>
      </c>
      <c r="K7050" s="2" t="s">
        <v>6019</v>
      </c>
      <c r="L7050" s="2" t="s">
        <v>31923</v>
      </c>
      <c r="M7050" s="2" t="s">
        <v>33613</v>
      </c>
      <c r="N7050" s="2" t="s">
        <v>33614</v>
      </c>
      <c r="O7050" s="2" t="s">
        <v>869</v>
      </c>
      <c r="P7050" s="2" t="s">
        <v>870</v>
      </c>
    </row>
    <row r="7051" ht="15.75" customHeight="1">
      <c r="H7051" s="2" t="s">
        <v>33615</v>
      </c>
      <c r="I7051" s="2" t="s">
        <v>2640</v>
      </c>
      <c r="J7051" s="2" t="s">
        <v>2641</v>
      </c>
      <c r="K7051" s="2" t="s">
        <v>15809</v>
      </c>
      <c r="L7051" s="2" t="s">
        <v>31923</v>
      </c>
      <c r="M7051" s="2" t="s">
        <v>7971</v>
      </c>
      <c r="N7051" s="2" t="s">
        <v>33616</v>
      </c>
      <c r="O7051" s="2" t="s">
        <v>869</v>
      </c>
      <c r="P7051" s="2" t="s">
        <v>870</v>
      </c>
    </row>
    <row r="7052" ht="15.75" customHeight="1">
      <c r="H7052" s="2" t="s">
        <v>33617</v>
      </c>
      <c r="I7052" s="2" t="s">
        <v>2645</v>
      </c>
      <c r="J7052" s="2" t="s">
        <v>2646</v>
      </c>
      <c r="K7052" s="2" t="s">
        <v>22050</v>
      </c>
      <c r="L7052" s="2" t="s">
        <v>31923</v>
      </c>
      <c r="M7052" s="2" t="s">
        <v>7989</v>
      </c>
      <c r="N7052" s="2" t="s">
        <v>33618</v>
      </c>
      <c r="O7052" s="2" t="s">
        <v>869</v>
      </c>
      <c r="P7052" s="2" t="s">
        <v>870</v>
      </c>
    </row>
    <row r="7053" ht="15.75" customHeight="1">
      <c r="H7053" s="2" t="s">
        <v>33619</v>
      </c>
      <c r="I7053" s="2" t="s">
        <v>33620</v>
      </c>
      <c r="J7053" s="2" t="s">
        <v>33621</v>
      </c>
      <c r="K7053" s="2" t="s">
        <v>31977</v>
      </c>
      <c r="L7053" s="2" t="s">
        <v>31923</v>
      </c>
      <c r="M7053" s="2" t="s">
        <v>33622</v>
      </c>
      <c r="N7053" s="2" t="s">
        <v>33623</v>
      </c>
      <c r="O7053" s="2" t="s">
        <v>869</v>
      </c>
      <c r="P7053" s="2" t="s">
        <v>870</v>
      </c>
    </row>
    <row r="7054" ht="15.75" customHeight="1">
      <c r="H7054" s="2" t="s">
        <v>33624</v>
      </c>
      <c r="I7054" s="2" t="s">
        <v>33625</v>
      </c>
      <c r="J7054" s="2" t="s">
        <v>33626</v>
      </c>
      <c r="K7054" s="2" t="s">
        <v>24263</v>
      </c>
      <c r="L7054" s="2" t="s">
        <v>31923</v>
      </c>
      <c r="M7054" s="2" t="s">
        <v>33627</v>
      </c>
      <c r="N7054" s="2" t="s">
        <v>869</v>
      </c>
      <c r="O7054" s="2" t="s">
        <v>870</v>
      </c>
    </row>
    <row r="7055" ht="15.75" customHeight="1">
      <c r="H7055" s="2" t="s">
        <v>33628</v>
      </c>
      <c r="I7055" s="2" t="s">
        <v>33629</v>
      </c>
      <c r="J7055" s="2" t="s">
        <v>33630</v>
      </c>
      <c r="K7055" s="2" t="s">
        <v>31463</v>
      </c>
      <c r="L7055" s="2" t="s">
        <v>31923</v>
      </c>
      <c r="M7055" s="2" t="s">
        <v>33631</v>
      </c>
      <c r="N7055" s="2" t="s">
        <v>33632</v>
      </c>
      <c r="O7055" s="2" t="s">
        <v>869</v>
      </c>
      <c r="P7055" s="2" t="s">
        <v>870</v>
      </c>
    </row>
    <row r="7056" ht="15.75" customHeight="1">
      <c r="H7056" s="2" t="s">
        <v>33633</v>
      </c>
      <c r="I7056" s="2" t="s">
        <v>7998</v>
      </c>
      <c r="J7056" s="2" t="s">
        <v>7999</v>
      </c>
      <c r="K7056" s="2" t="s">
        <v>25133</v>
      </c>
      <c r="L7056" s="2" t="s">
        <v>31923</v>
      </c>
      <c r="M7056" s="2" t="s">
        <v>7971</v>
      </c>
      <c r="N7056" s="2" t="s">
        <v>33634</v>
      </c>
      <c r="O7056" s="2" t="s">
        <v>869</v>
      </c>
      <c r="P7056" s="2" t="s">
        <v>870</v>
      </c>
    </row>
    <row r="7057" ht="15.75" customHeight="1">
      <c r="H7057" s="2" t="s">
        <v>33635</v>
      </c>
      <c r="I7057" s="2" t="s">
        <v>33636</v>
      </c>
      <c r="J7057" s="2" t="s">
        <v>33637</v>
      </c>
      <c r="K7057" s="2" t="s">
        <v>6081</v>
      </c>
      <c r="L7057" s="2" t="s">
        <v>31923</v>
      </c>
      <c r="M7057" s="2" t="s">
        <v>33638</v>
      </c>
      <c r="N7057" s="2" t="s">
        <v>33639</v>
      </c>
      <c r="O7057" s="2" t="s">
        <v>869</v>
      </c>
      <c r="P7057" s="2" t="s">
        <v>870</v>
      </c>
    </row>
    <row r="7058" ht="15.75" customHeight="1">
      <c r="F7058" s="2" t="s">
        <v>548</v>
      </c>
      <c r="H7058" s="2" t="s">
        <v>33640</v>
      </c>
      <c r="I7058" s="2" t="s">
        <v>33641</v>
      </c>
      <c r="J7058" s="2" t="s">
        <v>33642</v>
      </c>
      <c r="K7058" s="2" t="s">
        <v>24518</v>
      </c>
      <c r="L7058" s="2" t="s">
        <v>31923</v>
      </c>
      <c r="M7058" s="2" t="s">
        <v>33643</v>
      </c>
      <c r="N7058" s="2" t="s">
        <v>33644</v>
      </c>
      <c r="O7058" s="2" t="s">
        <v>869</v>
      </c>
      <c r="P7058" s="2" t="s">
        <v>870</v>
      </c>
    </row>
    <row r="7059" ht="15.75" customHeight="1">
      <c r="H7059" s="2" t="s">
        <v>33645</v>
      </c>
      <c r="I7059" s="2" t="s">
        <v>2663</v>
      </c>
      <c r="J7059" s="2" t="s">
        <v>2664</v>
      </c>
      <c r="K7059" s="2" t="s">
        <v>15897</v>
      </c>
      <c r="L7059" s="2" t="s">
        <v>31923</v>
      </c>
      <c r="M7059" s="2" t="s">
        <v>33646</v>
      </c>
      <c r="N7059" s="2" t="s">
        <v>33647</v>
      </c>
      <c r="O7059" s="2" t="s">
        <v>869</v>
      </c>
      <c r="P7059" s="2" t="s">
        <v>870</v>
      </c>
    </row>
    <row r="7060" ht="15.75" customHeight="1">
      <c r="H7060" s="2" t="s">
        <v>33648</v>
      </c>
      <c r="I7060" s="2" t="s">
        <v>33649</v>
      </c>
      <c r="J7060" s="2" t="s">
        <v>33650</v>
      </c>
      <c r="K7060" s="2" t="s">
        <v>6000</v>
      </c>
      <c r="L7060" s="2" t="s">
        <v>31923</v>
      </c>
      <c r="M7060" s="2" t="s">
        <v>33651</v>
      </c>
      <c r="N7060" s="2" t="s">
        <v>33652</v>
      </c>
      <c r="O7060" s="2" t="s">
        <v>869</v>
      </c>
      <c r="P7060" s="2" t="s">
        <v>870</v>
      </c>
    </row>
    <row r="7061" ht="15.75" customHeight="1">
      <c r="H7061" s="2" t="s">
        <v>33653</v>
      </c>
      <c r="I7061" s="2" t="s">
        <v>550</v>
      </c>
      <c r="J7061" s="2" t="s">
        <v>551</v>
      </c>
      <c r="K7061" s="2" t="s">
        <v>6050</v>
      </c>
      <c r="L7061" s="2" t="s">
        <v>31923</v>
      </c>
      <c r="M7061" s="2" t="s">
        <v>33654</v>
      </c>
      <c r="N7061" s="2" t="s">
        <v>33655</v>
      </c>
      <c r="O7061" s="2" t="s">
        <v>869</v>
      </c>
      <c r="P7061" s="2" t="s">
        <v>870</v>
      </c>
    </row>
    <row r="7062" ht="15.75" customHeight="1">
      <c r="H7062" s="2" t="s">
        <v>33656</v>
      </c>
      <c r="I7062" s="2" t="s">
        <v>8055</v>
      </c>
      <c r="J7062" s="2" t="s">
        <v>8056</v>
      </c>
      <c r="K7062" s="2" t="s">
        <v>15861</v>
      </c>
      <c r="L7062" s="2" t="s">
        <v>31923</v>
      </c>
      <c r="M7062" s="2" t="s">
        <v>26192</v>
      </c>
      <c r="N7062" s="2" t="s">
        <v>33657</v>
      </c>
      <c r="O7062" s="2" t="s">
        <v>869</v>
      </c>
      <c r="P7062" s="2" t="s">
        <v>870</v>
      </c>
    </row>
    <row r="7063" ht="15.75" customHeight="1">
      <c r="H7063" s="2" t="s">
        <v>33658</v>
      </c>
      <c r="I7063" s="2" t="s">
        <v>33659</v>
      </c>
      <c r="J7063" s="2" t="s">
        <v>33660</v>
      </c>
      <c r="K7063" s="2" t="s">
        <v>6046</v>
      </c>
      <c r="L7063" s="2" t="s">
        <v>31923</v>
      </c>
      <c r="M7063" s="2" t="s">
        <v>33661</v>
      </c>
      <c r="N7063" s="2" t="s">
        <v>33662</v>
      </c>
      <c r="O7063" s="2" t="s">
        <v>869</v>
      </c>
      <c r="P7063" s="2" t="s">
        <v>870</v>
      </c>
    </row>
    <row r="7064" ht="15.75" customHeight="1">
      <c r="H7064" s="2" t="s">
        <v>33663</v>
      </c>
      <c r="I7064" s="2" t="s">
        <v>19490</v>
      </c>
      <c r="J7064" s="2" t="s">
        <v>19491</v>
      </c>
      <c r="K7064" s="2" t="s">
        <v>25032</v>
      </c>
      <c r="L7064" s="2" t="s">
        <v>31923</v>
      </c>
      <c r="M7064" s="2" t="s">
        <v>33664</v>
      </c>
      <c r="N7064" s="2" t="s">
        <v>33665</v>
      </c>
      <c r="O7064" s="2" t="s">
        <v>869</v>
      </c>
      <c r="P7064" s="2" t="s">
        <v>870</v>
      </c>
    </row>
    <row r="7065" ht="15.75" customHeight="1">
      <c r="H7065" s="2" t="s">
        <v>33666</v>
      </c>
      <c r="I7065" s="2" t="s">
        <v>33667</v>
      </c>
      <c r="J7065" s="2" t="s">
        <v>33668</v>
      </c>
      <c r="K7065" s="2" t="s">
        <v>24379</v>
      </c>
      <c r="L7065" s="2" t="s">
        <v>31923</v>
      </c>
      <c r="M7065" s="2" t="s">
        <v>33669</v>
      </c>
      <c r="N7065" s="2" t="s">
        <v>33670</v>
      </c>
      <c r="O7065" s="2" t="s">
        <v>869</v>
      </c>
      <c r="P7065" s="2" t="s">
        <v>870</v>
      </c>
    </row>
    <row r="7066" ht="15.75" customHeight="1">
      <c r="H7066" s="2" t="s">
        <v>33671</v>
      </c>
      <c r="I7066" s="2" t="s">
        <v>6338</v>
      </c>
      <c r="J7066" s="2" t="s">
        <v>6339</v>
      </c>
      <c r="K7066" s="2" t="s">
        <v>24102</v>
      </c>
      <c r="L7066" s="2" t="s">
        <v>31923</v>
      </c>
      <c r="M7066" s="2" t="s">
        <v>33672</v>
      </c>
      <c r="N7066" s="2" t="s">
        <v>33673</v>
      </c>
      <c r="O7066" s="2" t="s">
        <v>869</v>
      </c>
      <c r="P7066" s="2" t="s">
        <v>870</v>
      </c>
    </row>
    <row r="7067" ht="15.75" customHeight="1">
      <c r="H7067" s="2" t="s">
        <v>33674</v>
      </c>
      <c r="I7067" s="2" t="s">
        <v>33675</v>
      </c>
      <c r="J7067" s="2" t="s">
        <v>33676</v>
      </c>
      <c r="K7067" s="2" t="s">
        <v>24137</v>
      </c>
      <c r="L7067" s="2" t="s">
        <v>31923</v>
      </c>
      <c r="M7067" s="2" t="s">
        <v>33677</v>
      </c>
      <c r="N7067" s="2" t="s">
        <v>33678</v>
      </c>
      <c r="O7067" s="2" t="s">
        <v>869</v>
      </c>
      <c r="P7067" s="2" t="s">
        <v>870</v>
      </c>
    </row>
    <row r="7068" ht="15.75" customHeight="1">
      <c r="H7068" s="2" t="s">
        <v>33679</v>
      </c>
      <c r="I7068" s="2" t="s">
        <v>19898</v>
      </c>
      <c r="J7068" s="2" t="s">
        <v>19899</v>
      </c>
      <c r="K7068" s="2" t="s">
        <v>24109</v>
      </c>
      <c r="L7068" s="2" t="s">
        <v>31923</v>
      </c>
      <c r="M7068" s="2" t="s">
        <v>33680</v>
      </c>
      <c r="N7068" s="2" t="s">
        <v>33681</v>
      </c>
      <c r="O7068" s="2" t="s">
        <v>869</v>
      </c>
      <c r="P7068" s="2" t="s">
        <v>870</v>
      </c>
    </row>
    <row r="7069" ht="15.75" customHeight="1">
      <c r="H7069" s="2" t="s">
        <v>33682</v>
      </c>
      <c r="I7069" s="2" t="s">
        <v>1404</v>
      </c>
      <c r="J7069" s="2" t="s">
        <v>1405</v>
      </c>
      <c r="K7069" s="2" t="s">
        <v>6019</v>
      </c>
      <c r="L7069" s="2" t="s">
        <v>31923</v>
      </c>
      <c r="M7069" s="2" t="s">
        <v>33683</v>
      </c>
      <c r="N7069" s="2" t="s">
        <v>33684</v>
      </c>
      <c r="O7069" s="2" t="s">
        <v>869</v>
      </c>
      <c r="P7069" s="2" t="s">
        <v>870</v>
      </c>
    </row>
    <row r="7070" ht="15.75" customHeight="1">
      <c r="H7070" s="2" t="s">
        <v>33685</v>
      </c>
      <c r="I7070" s="2" t="s">
        <v>33686</v>
      </c>
      <c r="J7070" s="2" t="s">
        <v>33687</v>
      </c>
      <c r="K7070" s="2" t="s">
        <v>31977</v>
      </c>
      <c r="L7070" s="2" t="s">
        <v>31923</v>
      </c>
      <c r="M7070" s="2" t="s">
        <v>33688</v>
      </c>
      <c r="N7070" s="2" t="s">
        <v>33689</v>
      </c>
      <c r="O7070" s="2" t="s">
        <v>869</v>
      </c>
      <c r="P7070" s="2" t="s">
        <v>870</v>
      </c>
    </row>
    <row r="7071" ht="15.75" customHeight="1">
      <c r="H7071" s="2" t="s">
        <v>33690</v>
      </c>
      <c r="I7071" s="2" t="s">
        <v>8101</v>
      </c>
      <c r="J7071" s="2" t="s">
        <v>8102</v>
      </c>
      <c r="K7071" s="2" t="s">
        <v>22050</v>
      </c>
      <c r="L7071" s="2" t="s">
        <v>31923</v>
      </c>
      <c r="M7071" s="2" t="s">
        <v>33691</v>
      </c>
      <c r="N7071" s="2" t="s">
        <v>33692</v>
      </c>
      <c r="O7071" s="2" t="s">
        <v>869</v>
      </c>
      <c r="P7071" s="2" t="s">
        <v>870</v>
      </c>
    </row>
    <row r="7072" ht="15.75" customHeight="1">
      <c r="H7072" s="2" t="s">
        <v>33693</v>
      </c>
      <c r="I7072" s="2" t="s">
        <v>33620</v>
      </c>
      <c r="J7072" s="2" t="s">
        <v>33621</v>
      </c>
      <c r="K7072" s="2" t="s">
        <v>6029</v>
      </c>
      <c r="L7072" s="2" t="s">
        <v>31923</v>
      </c>
      <c r="M7072" s="2" t="s">
        <v>33694</v>
      </c>
      <c r="N7072" s="2" t="s">
        <v>33695</v>
      </c>
      <c r="O7072" s="2" t="s">
        <v>869</v>
      </c>
      <c r="P7072" s="2" t="s">
        <v>870</v>
      </c>
    </row>
    <row r="7073" ht="15.75" customHeight="1">
      <c r="H7073" s="2" t="s">
        <v>33696</v>
      </c>
      <c r="I7073" s="2" t="s">
        <v>33697</v>
      </c>
      <c r="J7073" s="2" t="s">
        <v>33698</v>
      </c>
      <c r="K7073" s="2" t="s">
        <v>25133</v>
      </c>
      <c r="L7073" s="2" t="s">
        <v>31923</v>
      </c>
      <c r="M7073" s="2" t="s">
        <v>33699</v>
      </c>
      <c r="N7073" s="2" t="s">
        <v>33700</v>
      </c>
      <c r="O7073" s="2" t="s">
        <v>869</v>
      </c>
      <c r="P7073" s="2" t="s">
        <v>870</v>
      </c>
    </row>
    <row r="7074" ht="15.75" customHeight="1">
      <c r="H7074" s="2" t="s">
        <v>33701</v>
      </c>
      <c r="I7074" s="2" t="s">
        <v>2681</v>
      </c>
      <c r="J7074" s="2" t="s">
        <v>2682</v>
      </c>
      <c r="K7074" s="2" t="s">
        <v>24269</v>
      </c>
      <c r="L7074" s="2" t="s">
        <v>31923</v>
      </c>
      <c r="M7074" s="2" t="s">
        <v>33702</v>
      </c>
      <c r="N7074" s="2" t="s">
        <v>33703</v>
      </c>
      <c r="O7074" s="2" t="s">
        <v>869</v>
      </c>
      <c r="P7074" s="2" t="s">
        <v>870</v>
      </c>
    </row>
    <row r="7075" ht="15.75" customHeight="1">
      <c r="F7075" s="2" t="s">
        <v>2693</v>
      </c>
      <c r="H7075" s="2" t="s">
        <v>33704</v>
      </c>
      <c r="I7075" s="2" t="s">
        <v>33705</v>
      </c>
      <c r="J7075" s="2" t="s">
        <v>33706</v>
      </c>
      <c r="K7075" s="2" t="s">
        <v>24014</v>
      </c>
      <c r="L7075" s="2" t="s">
        <v>31923</v>
      </c>
      <c r="M7075" s="2" t="s">
        <v>33707</v>
      </c>
      <c r="N7075" s="2" t="s">
        <v>33708</v>
      </c>
      <c r="O7075" s="2" t="s">
        <v>869</v>
      </c>
      <c r="P7075" s="2" t="s">
        <v>870</v>
      </c>
    </row>
    <row r="7076" ht="15.75" customHeight="1">
      <c r="H7076" s="2" t="s">
        <v>33709</v>
      </c>
      <c r="I7076" s="2" t="s">
        <v>33710</v>
      </c>
      <c r="J7076" s="2" t="s">
        <v>33711</v>
      </c>
      <c r="K7076" s="2" t="s">
        <v>24518</v>
      </c>
      <c r="L7076" s="2" t="s">
        <v>31923</v>
      </c>
      <c r="M7076" s="2" t="s">
        <v>33712</v>
      </c>
      <c r="N7076" s="2" t="s">
        <v>33713</v>
      </c>
      <c r="O7076" s="2" t="s">
        <v>869</v>
      </c>
      <c r="P7076" s="2" t="s">
        <v>870</v>
      </c>
    </row>
    <row r="7077" ht="15.75" customHeight="1">
      <c r="H7077" s="2" t="s">
        <v>33714</v>
      </c>
      <c r="I7077" s="2" t="s">
        <v>2695</v>
      </c>
      <c r="J7077" s="2" t="s">
        <v>2696</v>
      </c>
      <c r="K7077" s="2" t="s">
        <v>6025</v>
      </c>
      <c r="L7077" s="2" t="s">
        <v>31923</v>
      </c>
      <c r="M7077" s="2" t="s">
        <v>33715</v>
      </c>
      <c r="N7077" s="2" t="s">
        <v>33716</v>
      </c>
      <c r="O7077" s="2" t="s">
        <v>869</v>
      </c>
      <c r="P7077" s="2" t="s">
        <v>870</v>
      </c>
    </row>
    <row r="7078" ht="15.75" customHeight="1">
      <c r="H7078" s="2" t="s">
        <v>33717</v>
      </c>
      <c r="I7078" s="2" t="s">
        <v>33718</v>
      </c>
      <c r="J7078" s="2" t="s">
        <v>33719</v>
      </c>
      <c r="K7078" s="2" t="s">
        <v>22104</v>
      </c>
      <c r="L7078" s="2" t="s">
        <v>31923</v>
      </c>
      <c r="M7078" s="2" t="s">
        <v>19940</v>
      </c>
      <c r="N7078" s="2" t="s">
        <v>33720</v>
      </c>
      <c r="O7078" s="2" t="s">
        <v>869</v>
      </c>
      <c r="P7078" s="2" t="s">
        <v>870</v>
      </c>
    </row>
    <row r="7079" ht="15.75" customHeight="1">
      <c r="H7079" s="2" t="s">
        <v>33721</v>
      </c>
      <c r="I7079" s="2" t="s">
        <v>33722</v>
      </c>
      <c r="J7079" s="2" t="s">
        <v>33723</v>
      </c>
      <c r="K7079" s="2" t="s">
        <v>15801</v>
      </c>
      <c r="L7079" s="2" t="s">
        <v>31923</v>
      </c>
      <c r="M7079" s="2" t="s">
        <v>33724</v>
      </c>
      <c r="N7079" s="2" t="s">
        <v>33725</v>
      </c>
      <c r="O7079" s="2" t="s">
        <v>869</v>
      </c>
      <c r="P7079" s="2" t="s">
        <v>870</v>
      </c>
    </row>
    <row r="7080" ht="15.75" customHeight="1">
      <c r="H7080" s="2" t="s">
        <v>33726</v>
      </c>
      <c r="I7080" s="2" t="s">
        <v>33727</v>
      </c>
      <c r="J7080" s="2" t="s">
        <v>33728</v>
      </c>
      <c r="K7080" s="2" t="s">
        <v>15901</v>
      </c>
      <c r="L7080" s="2" t="s">
        <v>31923</v>
      </c>
      <c r="M7080" s="2" t="s">
        <v>33729</v>
      </c>
      <c r="N7080" s="2" t="s">
        <v>33730</v>
      </c>
      <c r="O7080" s="2" t="s">
        <v>869</v>
      </c>
      <c r="P7080" s="2" t="s">
        <v>870</v>
      </c>
    </row>
    <row r="7081" ht="15.75" customHeight="1">
      <c r="H7081" s="2" t="s">
        <v>33731</v>
      </c>
      <c r="I7081" s="2" t="s">
        <v>2710</v>
      </c>
      <c r="J7081" s="2" t="s">
        <v>2711</v>
      </c>
      <c r="K7081" s="2" t="s">
        <v>6050</v>
      </c>
      <c r="L7081" s="2" t="s">
        <v>31923</v>
      </c>
      <c r="M7081" s="2" t="s">
        <v>27556</v>
      </c>
      <c r="N7081" s="2" t="s">
        <v>33732</v>
      </c>
      <c r="O7081" s="2" t="s">
        <v>869</v>
      </c>
      <c r="P7081" s="2" t="s">
        <v>870</v>
      </c>
    </row>
    <row r="7082" ht="15.75" customHeight="1">
      <c r="H7082" s="2" t="s">
        <v>33733</v>
      </c>
      <c r="I7082" s="2" t="s">
        <v>11431</v>
      </c>
      <c r="J7082" s="2" t="s">
        <v>11432</v>
      </c>
      <c r="K7082" s="2" t="s">
        <v>24578</v>
      </c>
      <c r="L7082" s="2" t="s">
        <v>31923</v>
      </c>
      <c r="M7082" s="2" t="s">
        <v>26206</v>
      </c>
      <c r="N7082" s="2" t="s">
        <v>33734</v>
      </c>
      <c r="O7082" s="2" t="s">
        <v>869</v>
      </c>
      <c r="P7082" s="2" t="s">
        <v>870</v>
      </c>
    </row>
    <row r="7083" ht="15.75" customHeight="1">
      <c r="H7083" s="2" t="s">
        <v>33735</v>
      </c>
      <c r="I7083" s="2" t="s">
        <v>33736</v>
      </c>
      <c r="J7083" s="2" t="s">
        <v>33737</v>
      </c>
      <c r="K7083" s="2" t="s">
        <v>6046</v>
      </c>
      <c r="L7083" s="2" t="s">
        <v>31923</v>
      </c>
      <c r="M7083" s="2" t="s">
        <v>33738</v>
      </c>
      <c r="N7083" s="2" t="s">
        <v>33739</v>
      </c>
      <c r="O7083" s="2" t="s">
        <v>869</v>
      </c>
      <c r="P7083" s="2" t="s">
        <v>870</v>
      </c>
    </row>
    <row r="7084" ht="15.75" customHeight="1">
      <c r="H7084" s="2" t="s">
        <v>33740</v>
      </c>
      <c r="I7084" s="2" t="s">
        <v>33741</v>
      </c>
      <c r="J7084" s="2" t="s">
        <v>33742</v>
      </c>
      <c r="K7084" s="2" t="s">
        <v>25032</v>
      </c>
      <c r="L7084" s="2" t="s">
        <v>31923</v>
      </c>
      <c r="M7084" s="2" t="s">
        <v>33743</v>
      </c>
      <c r="N7084" s="2" t="s">
        <v>33744</v>
      </c>
      <c r="O7084" s="2" t="s">
        <v>869</v>
      </c>
      <c r="P7084" s="2" t="s">
        <v>870</v>
      </c>
    </row>
    <row r="7085" ht="15.75" customHeight="1">
      <c r="H7085" s="2" t="s">
        <v>33745</v>
      </c>
      <c r="I7085" s="2" t="s">
        <v>27589</v>
      </c>
      <c r="J7085" s="2" t="s">
        <v>27590</v>
      </c>
      <c r="K7085" s="2" t="s">
        <v>24379</v>
      </c>
      <c r="L7085" s="2" t="s">
        <v>31923</v>
      </c>
      <c r="M7085" s="2" t="s">
        <v>33746</v>
      </c>
      <c r="N7085" s="2" t="s">
        <v>33747</v>
      </c>
      <c r="O7085" s="2" t="s">
        <v>869</v>
      </c>
      <c r="P7085" s="2" t="s">
        <v>870</v>
      </c>
    </row>
    <row r="7086" ht="15.75" customHeight="1">
      <c r="H7086" s="2" t="s">
        <v>33748</v>
      </c>
      <c r="I7086" s="2" t="s">
        <v>19958</v>
      </c>
      <c r="J7086" s="2" t="s">
        <v>19959</v>
      </c>
      <c r="K7086" s="2" t="s">
        <v>22055</v>
      </c>
      <c r="L7086" s="2" t="s">
        <v>31923</v>
      </c>
      <c r="M7086" s="2" t="s">
        <v>27599</v>
      </c>
      <c r="N7086" s="2" t="s">
        <v>33749</v>
      </c>
      <c r="O7086" s="2" t="s">
        <v>869</v>
      </c>
      <c r="P7086" s="2" t="s">
        <v>870</v>
      </c>
    </row>
    <row r="7087" ht="15.75" customHeight="1">
      <c r="H7087" s="2" t="s">
        <v>33750</v>
      </c>
      <c r="I7087" s="2" t="s">
        <v>1025</v>
      </c>
      <c r="J7087" s="2" t="s">
        <v>1026</v>
      </c>
      <c r="K7087" s="2" t="s">
        <v>15809</v>
      </c>
      <c r="L7087" s="2" t="s">
        <v>31923</v>
      </c>
      <c r="M7087" s="2" t="s">
        <v>33751</v>
      </c>
      <c r="N7087" s="2" t="s">
        <v>33752</v>
      </c>
      <c r="O7087" s="2" t="s">
        <v>869</v>
      </c>
      <c r="P7087" s="2" t="s">
        <v>870</v>
      </c>
    </row>
    <row r="7088" ht="15.75" customHeight="1">
      <c r="H7088" s="2" t="s">
        <v>33753</v>
      </c>
      <c r="I7088" s="2" t="s">
        <v>2735</v>
      </c>
      <c r="J7088" s="2" t="s">
        <v>2736</v>
      </c>
      <c r="K7088" s="2" t="s">
        <v>31977</v>
      </c>
      <c r="L7088" s="2" t="s">
        <v>31923</v>
      </c>
      <c r="M7088" s="2" t="s">
        <v>33754</v>
      </c>
      <c r="N7088" s="2" t="s">
        <v>33755</v>
      </c>
      <c r="O7088" s="2" t="s">
        <v>869</v>
      </c>
      <c r="P7088" s="2" t="s">
        <v>870</v>
      </c>
    </row>
    <row r="7089" ht="15.75" customHeight="1">
      <c r="H7089" s="2" t="s">
        <v>33756</v>
      </c>
      <c r="I7089" s="2" t="s">
        <v>2741</v>
      </c>
      <c r="J7089" s="2" t="s">
        <v>2742</v>
      </c>
      <c r="K7089" s="2" t="s">
        <v>22050</v>
      </c>
      <c r="L7089" s="2" t="s">
        <v>31923</v>
      </c>
      <c r="M7089" s="2" t="s">
        <v>33757</v>
      </c>
      <c r="N7089" s="2" t="s">
        <v>33758</v>
      </c>
      <c r="O7089" s="2" t="s">
        <v>869</v>
      </c>
      <c r="P7089" s="2" t="s">
        <v>870</v>
      </c>
    </row>
    <row r="7090" ht="15.75" customHeight="1">
      <c r="H7090" s="2" t="s">
        <v>33759</v>
      </c>
      <c r="I7090" s="2" t="s">
        <v>2746</v>
      </c>
      <c r="J7090" s="2" t="s">
        <v>2747</v>
      </c>
      <c r="K7090" s="2" t="s">
        <v>24263</v>
      </c>
      <c r="L7090" s="2" t="s">
        <v>31923</v>
      </c>
      <c r="M7090" s="2" t="s">
        <v>27607</v>
      </c>
      <c r="N7090" s="2" t="s">
        <v>33760</v>
      </c>
      <c r="O7090" s="2" t="s">
        <v>869</v>
      </c>
      <c r="P7090" s="2" t="s">
        <v>870</v>
      </c>
    </row>
    <row r="7091" ht="15.75" customHeight="1">
      <c r="F7091" s="2" t="s">
        <v>556</v>
      </c>
      <c r="H7091" s="2" t="s">
        <v>33761</v>
      </c>
      <c r="I7091" s="2" t="s">
        <v>33762</v>
      </c>
      <c r="J7091" s="2" t="s">
        <v>33763</v>
      </c>
      <c r="K7091" s="2" t="s">
        <v>6081</v>
      </c>
      <c r="L7091" s="2" t="s">
        <v>31923</v>
      </c>
      <c r="M7091" s="2" t="s">
        <v>33764</v>
      </c>
      <c r="N7091" s="2" t="s">
        <v>33765</v>
      </c>
      <c r="O7091" s="2" t="s">
        <v>869</v>
      </c>
      <c r="P7091" s="2" t="s">
        <v>870</v>
      </c>
    </row>
    <row r="7092" ht="15.75" customHeight="1">
      <c r="H7092" s="2" t="s">
        <v>33766</v>
      </c>
      <c r="I7092" s="2" t="s">
        <v>33767</v>
      </c>
      <c r="J7092" s="2" t="s">
        <v>33768</v>
      </c>
      <c r="K7092" s="2" t="s">
        <v>24561</v>
      </c>
      <c r="L7092" s="2" t="s">
        <v>31923</v>
      </c>
      <c r="M7092" s="2" t="s">
        <v>33769</v>
      </c>
      <c r="N7092" s="2" t="s">
        <v>33770</v>
      </c>
      <c r="O7092" s="2" t="s">
        <v>869</v>
      </c>
      <c r="P7092" s="2" t="s">
        <v>870</v>
      </c>
    </row>
    <row r="7093" ht="15.75" customHeight="1">
      <c r="H7093" s="2" t="s">
        <v>33771</v>
      </c>
      <c r="I7093" s="2" t="s">
        <v>2751</v>
      </c>
      <c r="J7093" s="2" t="s">
        <v>2752</v>
      </c>
      <c r="K7093" s="2" t="s">
        <v>15779</v>
      </c>
      <c r="L7093" s="2" t="s">
        <v>31923</v>
      </c>
      <c r="M7093" s="2" t="s">
        <v>33772</v>
      </c>
      <c r="N7093" s="2" t="s">
        <v>33773</v>
      </c>
      <c r="O7093" s="2" t="s">
        <v>869</v>
      </c>
      <c r="P7093" s="2" t="s">
        <v>870</v>
      </c>
    </row>
    <row r="7094" ht="15.75" customHeight="1">
      <c r="H7094" s="2" t="s">
        <v>33774</v>
      </c>
      <c r="I7094" s="2" t="s">
        <v>33775</v>
      </c>
      <c r="J7094" s="2" t="s">
        <v>33776</v>
      </c>
      <c r="K7094" s="2" t="s">
        <v>277</v>
      </c>
    </row>
    <row r="7095" ht="15.75" customHeight="1">
      <c r="H7095" s="2" t="s">
        <v>33777</v>
      </c>
      <c r="I7095" s="2" t="s">
        <v>33778</v>
      </c>
      <c r="J7095" s="2" t="s">
        <v>33779</v>
      </c>
      <c r="K7095" s="2" t="s">
        <v>24518</v>
      </c>
      <c r="L7095" s="2" t="s">
        <v>31923</v>
      </c>
      <c r="M7095" s="2" t="s">
        <v>33780</v>
      </c>
      <c r="N7095" s="2" t="s">
        <v>33781</v>
      </c>
      <c r="O7095" s="2" t="s">
        <v>869</v>
      </c>
      <c r="P7095" s="2" t="s">
        <v>870</v>
      </c>
    </row>
    <row r="7096" ht="15.75" customHeight="1">
      <c r="H7096" s="2" t="s">
        <v>33782</v>
      </c>
      <c r="I7096" s="2" t="s">
        <v>33783</v>
      </c>
      <c r="J7096" s="2" t="s">
        <v>33784</v>
      </c>
      <c r="K7096" s="2" t="s">
        <v>24665</v>
      </c>
      <c r="L7096" s="2" t="s">
        <v>31923</v>
      </c>
      <c r="M7096" s="2" t="s">
        <v>33785</v>
      </c>
      <c r="N7096" s="2" t="s">
        <v>33786</v>
      </c>
      <c r="O7096" s="2" t="s">
        <v>869</v>
      </c>
      <c r="P7096" s="2" t="s">
        <v>870</v>
      </c>
    </row>
    <row r="7097" ht="15.75" customHeight="1">
      <c r="H7097" s="2" t="s">
        <v>33787</v>
      </c>
      <c r="I7097" s="2" t="s">
        <v>33788</v>
      </c>
      <c r="J7097" s="2" t="s">
        <v>33789</v>
      </c>
      <c r="K7097" s="2" t="s">
        <v>15897</v>
      </c>
      <c r="L7097" s="2" t="s">
        <v>31923</v>
      </c>
      <c r="M7097" s="2" t="s">
        <v>33790</v>
      </c>
      <c r="N7097" s="2" t="s">
        <v>33791</v>
      </c>
      <c r="O7097" s="2" t="s">
        <v>869</v>
      </c>
      <c r="P7097" s="2" t="s">
        <v>870</v>
      </c>
    </row>
    <row r="7098" ht="15.75" customHeight="1">
      <c r="H7098" s="2" t="s">
        <v>33792</v>
      </c>
      <c r="I7098" s="2" t="s">
        <v>33793</v>
      </c>
      <c r="J7098" s="2" t="s">
        <v>33794</v>
      </c>
      <c r="K7098" s="2" t="s">
        <v>25009</v>
      </c>
      <c r="L7098" s="2" t="s">
        <v>31923</v>
      </c>
      <c r="M7098" s="2" t="s">
        <v>33795</v>
      </c>
      <c r="N7098" s="2" t="s">
        <v>33796</v>
      </c>
      <c r="O7098" s="2" t="s">
        <v>869</v>
      </c>
      <c r="P7098" s="2" t="s">
        <v>870</v>
      </c>
    </row>
    <row r="7099" ht="15.75" customHeight="1">
      <c r="H7099" s="2" t="s">
        <v>33797</v>
      </c>
      <c r="I7099" s="2" t="s">
        <v>33798</v>
      </c>
      <c r="J7099" s="2" t="s">
        <v>33799</v>
      </c>
      <c r="K7099" s="2" t="s">
        <v>6000</v>
      </c>
      <c r="L7099" s="2" t="s">
        <v>31923</v>
      </c>
      <c r="M7099" s="2" t="s">
        <v>33800</v>
      </c>
      <c r="N7099" s="2" t="s">
        <v>33801</v>
      </c>
      <c r="O7099" s="2" t="s">
        <v>869</v>
      </c>
      <c r="P7099" s="2" t="s">
        <v>870</v>
      </c>
    </row>
    <row r="7100" ht="15.75" customHeight="1">
      <c r="H7100" s="2" t="s">
        <v>33802</v>
      </c>
      <c r="I7100" s="2" t="s">
        <v>31936</v>
      </c>
      <c r="J7100" s="2" t="s">
        <v>31937</v>
      </c>
      <c r="K7100" s="2" t="s">
        <v>24578</v>
      </c>
      <c r="L7100" s="2" t="s">
        <v>31923</v>
      </c>
      <c r="M7100" s="2" t="s">
        <v>33803</v>
      </c>
      <c r="N7100" s="2" t="s">
        <v>33804</v>
      </c>
      <c r="O7100" s="2" t="s">
        <v>869</v>
      </c>
      <c r="P7100" s="2" t="s">
        <v>870</v>
      </c>
    </row>
    <row r="7101" ht="15.75" customHeight="1">
      <c r="H7101" s="2" t="s">
        <v>33805</v>
      </c>
      <c r="I7101" s="2" t="s">
        <v>5599</v>
      </c>
      <c r="J7101" s="2" t="s">
        <v>5600</v>
      </c>
      <c r="K7101" s="2" t="s">
        <v>25032</v>
      </c>
      <c r="L7101" s="2" t="s">
        <v>31923</v>
      </c>
      <c r="M7101" s="2" t="s">
        <v>33806</v>
      </c>
      <c r="N7101" s="2" t="s">
        <v>33807</v>
      </c>
      <c r="O7101" s="2" t="s">
        <v>869</v>
      </c>
      <c r="P7101" s="2" t="s">
        <v>870</v>
      </c>
    </row>
    <row r="7102" ht="15.75" customHeight="1">
      <c r="H7102" s="2" t="s">
        <v>33808</v>
      </c>
      <c r="I7102" s="2" t="s">
        <v>8145</v>
      </c>
      <c r="J7102" s="2" t="s">
        <v>8146</v>
      </c>
      <c r="K7102" s="2" t="s">
        <v>31344</v>
      </c>
      <c r="L7102" s="2" t="s">
        <v>31923</v>
      </c>
      <c r="M7102" s="2" t="s">
        <v>8148</v>
      </c>
      <c r="N7102" s="2" t="s">
        <v>33809</v>
      </c>
      <c r="O7102" s="2" t="s">
        <v>869</v>
      </c>
      <c r="P7102" s="2" t="s">
        <v>870</v>
      </c>
    </row>
    <row r="7103" ht="15.75" customHeight="1">
      <c r="H7103" s="2" t="s">
        <v>33810</v>
      </c>
      <c r="I7103" s="2" t="s">
        <v>3110</v>
      </c>
      <c r="J7103" s="2" t="s">
        <v>3111</v>
      </c>
      <c r="K7103" s="2" t="s">
        <v>24528</v>
      </c>
      <c r="L7103" s="2" t="s">
        <v>31923</v>
      </c>
      <c r="M7103" s="2" t="s">
        <v>8153</v>
      </c>
      <c r="N7103" s="2" t="s">
        <v>33811</v>
      </c>
      <c r="O7103" s="2" t="s">
        <v>869</v>
      </c>
      <c r="P7103" s="2" t="s">
        <v>870</v>
      </c>
    </row>
    <row r="7104" ht="15.75" customHeight="1">
      <c r="H7104" s="2" t="s">
        <v>33812</v>
      </c>
      <c r="I7104" s="2" t="s">
        <v>2793</v>
      </c>
      <c r="J7104" s="2" t="s">
        <v>2794</v>
      </c>
      <c r="K7104" s="2" t="s">
        <v>15805</v>
      </c>
      <c r="L7104" s="2" t="s">
        <v>31923</v>
      </c>
      <c r="M7104" s="2" t="s">
        <v>2795</v>
      </c>
      <c r="N7104" s="2" t="s">
        <v>33813</v>
      </c>
      <c r="O7104" s="2" t="s">
        <v>869</v>
      </c>
      <c r="P7104" s="2" t="s">
        <v>870</v>
      </c>
    </row>
    <row r="7105" ht="15.75" customHeight="1">
      <c r="H7105" s="2" t="s">
        <v>33814</v>
      </c>
      <c r="I7105" s="2" t="s">
        <v>33815</v>
      </c>
      <c r="J7105" s="2" t="s">
        <v>33816</v>
      </c>
      <c r="K7105" s="2" t="s">
        <v>25073</v>
      </c>
      <c r="L7105" s="2" t="s">
        <v>31923</v>
      </c>
      <c r="M7105" s="2" t="s">
        <v>33817</v>
      </c>
      <c r="N7105" s="2" t="s">
        <v>33818</v>
      </c>
      <c r="O7105" s="2" t="s">
        <v>869</v>
      </c>
      <c r="P7105" s="2" t="s">
        <v>870</v>
      </c>
    </row>
    <row r="7106" ht="15.75" customHeight="1">
      <c r="H7106" s="2" t="s">
        <v>33819</v>
      </c>
      <c r="I7106" s="2" t="s">
        <v>33820</v>
      </c>
      <c r="J7106" s="2" t="s">
        <v>33821</v>
      </c>
      <c r="K7106" s="2" t="s">
        <v>22050</v>
      </c>
      <c r="L7106" s="2" t="s">
        <v>31923</v>
      </c>
      <c r="M7106" s="2" t="s">
        <v>33822</v>
      </c>
      <c r="N7106" s="2" t="s">
        <v>33823</v>
      </c>
      <c r="O7106" s="2" t="s">
        <v>869</v>
      </c>
      <c r="P7106" s="2" t="s">
        <v>870</v>
      </c>
    </row>
    <row r="7107" ht="15.75" customHeight="1">
      <c r="H7107" s="2" t="s">
        <v>33824</v>
      </c>
      <c r="I7107" s="2" t="s">
        <v>33825</v>
      </c>
      <c r="J7107" s="2" t="s">
        <v>33826</v>
      </c>
      <c r="K7107" s="2" t="s">
        <v>6029</v>
      </c>
      <c r="L7107" s="2" t="s">
        <v>31923</v>
      </c>
      <c r="M7107" s="2" t="s">
        <v>33827</v>
      </c>
      <c r="N7107" s="2" t="s">
        <v>869</v>
      </c>
      <c r="O7107" s="2" t="s">
        <v>870</v>
      </c>
    </row>
    <row r="7108" ht="15.75" customHeight="1">
      <c r="H7108" s="2" t="s">
        <v>33828</v>
      </c>
      <c r="I7108" s="2" t="s">
        <v>33829</v>
      </c>
      <c r="J7108" s="2" t="s">
        <v>33830</v>
      </c>
      <c r="K7108" s="2" t="s">
        <v>15861</v>
      </c>
      <c r="L7108" s="2" t="s">
        <v>31923</v>
      </c>
      <c r="M7108" s="2" t="s">
        <v>33831</v>
      </c>
      <c r="N7108" s="2" t="s">
        <v>33832</v>
      </c>
      <c r="O7108" s="2" t="s">
        <v>869</v>
      </c>
      <c r="P7108" s="2" t="s">
        <v>870</v>
      </c>
    </row>
    <row r="7109" ht="15.75" customHeight="1">
      <c r="H7109" s="2" t="s">
        <v>33833</v>
      </c>
      <c r="I7109" s="2" t="s">
        <v>33834</v>
      </c>
      <c r="J7109" s="2" t="s">
        <v>33835</v>
      </c>
      <c r="K7109" s="2" t="s">
        <v>25287</v>
      </c>
      <c r="L7109" s="2" t="s">
        <v>31923</v>
      </c>
      <c r="M7109" s="2" t="s">
        <v>33836</v>
      </c>
      <c r="N7109" s="2" t="s">
        <v>33837</v>
      </c>
      <c r="O7109" s="2" t="s">
        <v>869</v>
      </c>
      <c r="P7109" s="2" t="s">
        <v>870</v>
      </c>
    </row>
    <row r="7110" ht="15.75" customHeight="1">
      <c r="H7110" s="2" t="s">
        <v>33838</v>
      </c>
      <c r="I7110" s="2" t="s">
        <v>257</v>
      </c>
      <c r="J7110" s="2" t="s">
        <v>258</v>
      </c>
      <c r="K7110" s="2" t="s">
        <v>6058</v>
      </c>
      <c r="L7110" s="2" t="s">
        <v>31923</v>
      </c>
      <c r="M7110" s="2" t="s">
        <v>33839</v>
      </c>
      <c r="N7110" s="2" t="s">
        <v>869</v>
      </c>
      <c r="O7110" s="2" t="s">
        <v>870</v>
      </c>
    </row>
    <row r="7111" ht="15.75" customHeight="1">
      <c r="H7111" s="2" t="s">
        <v>33840</v>
      </c>
      <c r="I7111" s="2" t="s">
        <v>12376</v>
      </c>
      <c r="J7111" s="2" t="s">
        <v>12377</v>
      </c>
      <c r="K7111" s="2" t="s">
        <v>32461</v>
      </c>
      <c r="L7111" s="2" t="s">
        <v>31923</v>
      </c>
      <c r="M7111" s="2" t="s">
        <v>33841</v>
      </c>
      <c r="N7111" s="2" t="s">
        <v>33842</v>
      </c>
      <c r="O7111" s="2" t="s">
        <v>869</v>
      </c>
      <c r="P7111" s="2" t="s">
        <v>870</v>
      </c>
    </row>
    <row r="7112" ht="15.75" customHeight="1">
      <c r="H7112" s="2" t="s">
        <v>33843</v>
      </c>
      <c r="I7112" s="2" t="s">
        <v>574</v>
      </c>
      <c r="J7112" s="2" t="s">
        <v>575</v>
      </c>
      <c r="K7112" s="2" t="s">
        <v>15872</v>
      </c>
      <c r="L7112" s="2" t="s">
        <v>31923</v>
      </c>
      <c r="M7112" s="2" t="s">
        <v>33844</v>
      </c>
      <c r="N7112" s="2" t="s">
        <v>33845</v>
      </c>
      <c r="O7112" s="2" t="s">
        <v>869</v>
      </c>
      <c r="P7112" s="2" t="s">
        <v>870</v>
      </c>
    </row>
    <row r="7113" ht="15.75" customHeight="1">
      <c r="F7113" s="2" t="s">
        <v>2827</v>
      </c>
      <c r="H7113" s="2" t="s">
        <v>33846</v>
      </c>
      <c r="I7113" s="2" t="s">
        <v>21260</v>
      </c>
      <c r="J7113" s="2" t="s">
        <v>21261</v>
      </c>
      <c r="K7113" s="2" t="s">
        <v>31927</v>
      </c>
      <c r="L7113" s="2" t="s">
        <v>31923</v>
      </c>
      <c r="M7113" s="2" t="s">
        <v>33847</v>
      </c>
      <c r="N7113" s="2" t="s">
        <v>869</v>
      </c>
      <c r="O7113" s="2" t="s">
        <v>870</v>
      </c>
    </row>
    <row r="7114" ht="15.75" customHeight="1">
      <c r="H7114" s="2" t="s">
        <v>33848</v>
      </c>
      <c r="I7114" s="2" t="s">
        <v>33849</v>
      </c>
      <c r="J7114" s="2" t="s">
        <v>33850</v>
      </c>
      <c r="K7114" s="2" t="s">
        <v>24014</v>
      </c>
      <c r="L7114" s="2" t="s">
        <v>31923</v>
      </c>
      <c r="M7114" s="2" t="s">
        <v>33851</v>
      </c>
      <c r="N7114" s="2" t="s">
        <v>33852</v>
      </c>
      <c r="O7114" s="2" t="s">
        <v>869</v>
      </c>
      <c r="P7114" s="2" t="s">
        <v>870</v>
      </c>
    </row>
    <row r="7115" ht="15.75" customHeight="1">
      <c r="H7115" s="2" t="s">
        <v>33853</v>
      </c>
      <c r="I7115" s="2" t="s">
        <v>33854</v>
      </c>
      <c r="J7115" s="2" t="s">
        <v>33855</v>
      </c>
      <c r="K7115" s="2" t="s">
        <v>6025</v>
      </c>
      <c r="L7115" s="2" t="s">
        <v>31923</v>
      </c>
      <c r="M7115" s="2" t="s">
        <v>33856</v>
      </c>
      <c r="N7115" s="2" t="s">
        <v>33857</v>
      </c>
      <c r="O7115" s="2" t="s">
        <v>869</v>
      </c>
      <c r="P7115" s="2" t="s">
        <v>870</v>
      </c>
    </row>
    <row r="7116" ht="15.75" customHeight="1">
      <c r="H7116" s="2" t="s">
        <v>33858</v>
      </c>
      <c r="I7116" s="2" t="s">
        <v>33859</v>
      </c>
      <c r="J7116" s="2" t="s">
        <v>33860</v>
      </c>
      <c r="K7116" s="2" t="s">
        <v>25073</v>
      </c>
      <c r="L7116" s="2" t="s">
        <v>31923</v>
      </c>
      <c r="M7116" s="2" t="s">
        <v>33861</v>
      </c>
      <c r="N7116" s="2" t="s">
        <v>33862</v>
      </c>
      <c r="O7116" s="2" t="s">
        <v>869</v>
      </c>
      <c r="P7116" s="2" t="s">
        <v>870</v>
      </c>
    </row>
    <row r="7117" ht="15.75" customHeight="1">
      <c r="H7117" s="2" t="s">
        <v>33863</v>
      </c>
      <c r="I7117" s="2" t="s">
        <v>33864</v>
      </c>
      <c r="J7117" s="2" t="s">
        <v>33865</v>
      </c>
      <c r="K7117" s="2" t="s">
        <v>5995</v>
      </c>
      <c r="L7117" s="2" t="s">
        <v>31923</v>
      </c>
      <c r="M7117" s="2" t="s">
        <v>33866</v>
      </c>
      <c r="N7117" s="2" t="s">
        <v>33867</v>
      </c>
      <c r="O7117" s="2" t="s">
        <v>869</v>
      </c>
      <c r="P7117" s="2" t="s">
        <v>870</v>
      </c>
    </row>
    <row r="7118" ht="15.75" customHeight="1">
      <c r="H7118" s="2" t="s">
        <v>33868</v>
      </c>
      <c r="I7118" s="2" t="s">
        <v>2842</v>
      </c>
      <c r="J7118" s="2" t="s">
        <v>2843</v>
      </c>
      <c r="K7118" s="2" t="s">
        <v>6000</v>
      </c>
      <c r="L7118" s="2" t="s">
        <v>31923</v>
      </c>
      <c r="M7118" s="2" t="s">
        <v>33869</v>
      </c>
      <c r="N7118" s="2" t="s">
        <v>33870</v>
      </c>
      <c r="O7118" s="2" t="s">
        <v>869</v>
      </c>
      <c r="P7118" s="2" t="s">
        <v>870</v>
      </c>
    </row>
    <row r="7119" ht="15.75" customHeight="1">
      <c r="H7119" s="2" t="s">
        <v>33871</v>
      </c>
      <c r="I7119" s="2" t="s">
        <v>33872</v>
      </c>
      <c r="J7119" s="2" t="s">
        <v>33873</v>
      </c>
      <c r="K7119" s="2" t="s">
        <v>24578</v>
      </c>
      <c r="L7119" s="2" t="s">
        <v>31923</v>
      </c>
      <c r="M7119" s="2" t="s">
        <v>33874</v>
      </c>
      <c r="N7119" s="2" t="s">
        <v>33875</v>
      </c>
      <c r="O7119" s="2" t="s">
        <v>869</v>
      </c>
      <c r="P7119" s="2" t="s">
        <v>870</v>
      </c>
    </row>
    <row r="7120" ht="15.75" customHeight="1">
      <c r="H7120" s="2" t="s">
        <v>33876</v>
      </c>
      <c r="I7120" s="2" t="s">
        <v>2867</v>
      </c>
      <c r="J7120" s="2" t="s">
        <v>2868</v>
      </c>
      <c r="K7120" s="2" t="s">
        <v>25032</v>
      </c>
      <c r="L7120" s="2" t="s">
        <v>31923</v>
      </c>
      <c r="M7120" s="2" t="s">
        <v>8290</v>
      </c>
      <c r="N7120" s="2" t="s">
        <v>33877</v>
      </c>
      <c r="O7120" s="2" t="s">
        <v>869</v>
      </c>
      <c r="P7120" s="2" t="s">
        <v>870</v>
      </c>
    </row>
    <row r="7121" ht="15.75" customHeight="1">
      <c r="H7121" s="2" t="s">
        <v>33878</v>
      </c>
      <c r="I7121" s="2" t="s">
        <v>33879</v>
      </c>
      <c r="J7121" s="2" t="s">
        <v>33880</v>
      </c>
      <c r="K7121" s="2" t="s">
        <v>31344</v>
      </c>
      <c r="L7121" s="2" t="s">
        <v>31923</v>
      </c>
      <c r="M7121" s="2" t="s">
        <v>33881</v>
      </c>
      <c r="N7121" s="2" t="s">
        <v>33882</v>
      </c>
      <c r="O7121" s="2" t="s">
        <v>869</v>
      </c>
      <c r="P7121" s="2" t="s">
        <v>870</v>
      </c>
    </row>
    <row r="7122" ht="15.75" customHeight="1">
      <c r="H7122" s="2" t="s">
        <v>33883</v>
      </c>
      <c r="I7122" s="2" t="s">
        <v>33884</v>
      </c>
      <c r="J7122" s="2" t="s">
        <v>33885</v>
      </c>
      <c r="K7122" s="2" t="s">
        <v>24528</v>
      </c>
      <c r="L7122" s="2" t="s">
        <v>31923</v>
      </c>
      <c r="M7122" s="2" t="s">
        <v>33886</v>
      </c>
      <c r="N7122" s="2" t="s">
        <v>33887</v>
      </c>
      <c r="O7122" s="2" t="s">
        <v>869</v>
      </c>
      <c r="P7122" s="2" t="s">
        <v>870</v>
      </c>
    </row>
    <row r="7123" ht="15.75" customHeight="1">
      <c r="H7123" s="2" t="s">
        <v>33888</v>
      </c>
      <c r="I7123" s="2" t="s">
        <v>2880</v>
      </c>
      <c r="J7123" s="2" t="s">
        <v>2881</v>
      </c>
      <c r="K7123" s="2" t="s">
        <v>22055</v>
      </c>
      <c r="L7123" s="2" t="s">
        <v>31923</v>
      </c>
      <c r="M7123" s="2" t="s">
        <v>8322</v>
      </c>
      <c r="N7123" s="2" t="s">
        <v>33889</v>
      </c>
      <c r="O7123" s="2" t="s">
        <v>869</v>
      </c>
      <c r="P7123" s="2" t="s">
        <v>870</v>
      </c>
    </row>
    <row r="7124" ht="15.75" customHeight="1">
      <c r="F7124" s="2" t="s">
        <v>581</v>
      </c>
      <c r="H7124" s="2" t="s">
        <v>33890</v>
      </c>
      <c r="I7124" s="2" t="s">
        <v>8331</v>
      </c>
      <c r="J7124" s="2" t="s">
        <v>8332</v>
      </c>
      <c r="K7124" s="2" t="s">
        <v>22462</v>
      </c>
      <c r="L7124" s="2" t="s">
        <v>31923</v>
      </c>
      <c r="M7124" s="2" t="s">
        <v>8334</v>
      </c>
      <c r="N7124" s="2" t="s">
        <v>33891</v>
      </c>
      <c r="O7124" s="2" t="s">
        <v>869</v>
      </c>
      <c r="P7124" s="2" t="s">
        <v>870</v>
      </c>
    </row>
    <row r="7125" ht="15.75" customHeight="1">
      <c r="H7125" s="2" t="s">
        <v>33892</v>
      </c>
      <c r="I7125" s="2" t="s">
        <v>33893</v>
      </c>
      <c r="J7125" s="2" t="s">
        <v>33893</v>
      </c>
      <c r="K7125" s="2" t="s">
        <v>853</v>
      </c>
    </row>
    <row r="7126" ht="15.75" customHeight="1">
      <c r="H7126" s="2" t="s">
        <v>33894</v>
      </c>
      <c r="I7126" s="2" t="s">
        <v>8343</v>
      </c>
      <c r="J7126" s="2" t="s">
        <v>8344</v>
      </c>
      <c r="K7126" s="2" t="s">
        <v>15779</v>
      </c>
      <c r="L7126" s="2" t="s">
        <v>31923</v>
      </c>
      <c r="M7126" s="2" t="s">
        <v>8346</v>
      </c>
      <c r="N7126" s="2" t="s">
        <v>33895</v>
      </c>
      <c r="O7126" s="2" t="s">
        <v>869</v>
      </c>
      <c r="P7126" s="2" t="s">
        <v>870</v>
      </c>
    </row>
    <row r="7127" ht="15.75" customHeight="1">
      <c r="H7127" s="2" t="s">
        <v>33896</v>
      </c>
      <c r="I7127" s="2" t="s">
        <v>8349</v>
      </c>
      <c r="J7127" s="2" t="s">
        <v>8350</v>
      </c>
      <c r="K7127" s="2" t="s">
        <v>24014</v>
      </c>
      <c r="L7127" s="2" t="s">
        <v>31923</v>
      </c>
      <c r="M7127" s="2" t="s">
        <v>8352</v>
      </c>
      <c r="N7127" s="2" t="s">
        <v>33897</v>
      </c>
      <c r="O7127" s="2" t="s">
        <v>869</v>
      </c>
      <c r="P7127" s="2" t="s">
        <v>870</v>
      </c>
    </row>
    <row r="7128" ht="15.75" customHeight="1">
      <c r="H7128" s="2" t="s">
        <v>33898</v>
      </c>
      <c r="I7128" s="2" t="s">
        <v>2147</v>
      </c>
      <c r="J7128" s="2" t="s">
        <v>2148</v>
      </c>
      <c r="K7128" s="2" t="s">
        <v>5995</v>
      </c>
      <c r="L7128" s="2" t="s">
        <v>31923</v>
      </c>
      <c r="M7128" s="2" t="s">
        <v>33899</v>
      </c>
      <c r="N7128" s="2" t="s">
        <v>869</v>
      </c>
      <c r="O7128" s="2" t="s">
        <v>870</v>
      </c>
    </row>
    <row r="7129" ht="15.75" customHeight="1">
      <c r="H7129" s="2" t="s">
        <v>33900</v>
      </c>
      <c r="I7129" s="2" t="s">
        <v>8361</v>
      </c>
      <c r="J7129" s="2" t="s">
        <v>8362</v>
      </c>
      <c r="K7129" s="2" t="s">
        <v>25009</v>
      </c>
      <c r="L7129" s="2" t="s">
        <v>31923</v>
      </c>
      <c r="M7129" s="2" t="s">
        <v>8364</v>
      </c>
      <c r="N7129" s="2" t="s">
        <v>33901</v>
      </c>
      <c r="O7129" s="2" t="s">
        <v>869</v>
      </c>
      <c r="P7129" s="2" t="s">
        <v>870</v>
      </c>
    </row>
    <row r="7130" ht="15.75" customHeight="1">
      <c r="H7130" s="2" t="s">
        <v>33902</v>
      </c>
      <c r="I7130" s="2" t="s">
        <v>583</v>
      </c>
      <c r="J7130" s="2" t="s">
        <v>584</v>
      </c>
      <c r="K7130" s="2" t="s">
        <v>15861</v>
      </c>
      <c r="L7130" s="2" t="s">
        <v>31923</v>
      </c>
      <c r="M7130" s="2" t="s">
        <v>8380</v>
      </c>
      <c r="N7130" s="2" t="s">
        <v>33903</v>
      </c>
      <c r="O7130" s="2" t="s">
        <v>869</v>
      </c>
      <c r="P7130" s="2" t="s">
        <v>870</v>
      </c>
    </row>
    <row r="7131" ht="15.75" customHeight="1">
      <c r="H7131" s="2" t="s">
        <v>33904</v>
      </c>
      <c r="I7131" s="2" t="s">
        <v>33905</v>
      </c>
      <c r="J7131" s="2" t="s">
        <v>33906</v>
      </c>
      <c r="K7131" s="2" t="s">
        <v>15801</v>
      </c>
      <c r="L7131" s="2" t="s">
        <v>31923</v>
      </c>
      <c r="M7131" s="2" t="s">
        <v>33907</v>
      </c>
      <c r="N7131" s="2" t="s">
        <v>33908</v>
      </c>
      <c r="O7131" s="2" t="s">
        <v>869</v>
      </c>
      <c r="P7131" s="2" t="s">
        <v>870</v>
      </c>
    </row>
    <row r="7132" ht="15.75" customHeight="1">
      <c r="H7132" s="2" t="s">
        <v>33909</v>
      </c>
      <c r="I7132" s="2" t="s">
        <v>33910</v>
      </c>
      <c r="J7132" s="2" t="s">
        <v>33911</v>
      </c>
      <c r="K7132" s="2" t="s">
        <v>25032</v>
      </c>
      <c r="L7132" s="2" t="s">
        <v>31923</v>
      </c>
      <c r="M7132" s="2" t="s">
        <v>33912</v>
      </c>
      <c r="N7132" s="2" t="s">
        <v>33913</v>
      </c>
      <c r="O7132" s="2" t="s">
        <v>869</v>
      </c>
      <c r="P7132" s="2" t="s">
        <v>870</v>
      </c>
    </row>
    <row r="7133" ht="15.75" customHeight="1">
      <c r="H7133" s="2" t="s">
        <v>33914</v>
      </c>
      <c r="I7133" s="2" t="s">
        <v>8413</v>
      </c>
      <c r="J7133" s="2" t="s">
        <v>8414</v>
      </c>
      <c r="K7133" s="2" t="s">
        <v>15890</v>
      </c>
      <c r="L7133" s="2" t="s">
        <v>31923</v>
      </c>
      <c r="M7133" s="2" t="s">
        <v>8416</v>
      </c>
      <c r="N7133" s="2" t="s">
        <v>869</v>
      </c>
      <c r="O7133" s="2" t="s">
        <v>870</v>
      </c>
    </row>
    <row r="7134" ht="15.75" customHeight="1">
      <c r="H7134" s="2" t="s">
        <v>33915</v>
      </c>
      <c r="I7134" s="2" t="s">
        <v>591</v>
      </c>
      <c r="J7134" s="2" t="s">
        <v>592</v>
      </c>
      <c r="K7134" s="2" t="s">
        <v>15805</v>
      </c>
      <c r="L7134" s="2" t="s">
        <v>31923</v>
      </c>
      <c r="M7134" s="2" t="s">
        <v>8420</v>
      </c>
      <c r="N7134" s="2" t="s">
        <v>33916</v>
      </c>
      <c r="O7134" s="2" t="s">
        <v>869</v>
      </c>
      <c r="P7134" s="2" t="s">
        <v>870</v>
      </c>
    </row>
    <row r="7135" ht="15.75" customHeight="1">
      <c r="H7135" s="2" t="s">
        <v>33917</v>
      </c>
      <c r="I7135" s="2" t="s">
        <v>2895</v>
      </c>
      <c r="J7135" s="2" t="s">
        <v>2896</v>
      </c>
      <c r="K7135" s="2" t="s">
        <v>22055</v>
      </c>
      <c r="L7135" s="2" t="s">
        <v>31923</v>
      </c>
      <c r="M7135" s="2" t="s">
        <v>8440</v>
      </c>
      <c r="N7135" s="2" t="s">
        <v>33918</v>
      </c>
      <c r="O7135" s="2" t="s">
        <v>869</v>
      </c>
      <c r="P7135" s="2" t="s">
        <v>870</v>
      </c>
    </row>
    <row r="7136" ht="15.75" customHeight="1">
      <c r="H7136" s="2" t="s">
        <v>33919</v>
      </c>
      <c r="I7136" s="2" t="s">
        <v>33920</v>
      </c>
      <c r="J7136" s="2" t="s">
        <v>33921</v>
      </c>
      <c r="K7136" s="2" t="s">
        <v>25128</v>
      </c>
      <c r="L7136" s="2" t="s">
        <v>31923</v>
      </c>
      <c r="M7136" s="2" t="s">
        <v>33922</v>
      </c>
      <c r="N7136" s="2" t="s">
        <v>869</v>
      </c>
      <c r="O7136" s="2" t="s">
        <v>870</v>
      </c>
    </row>
    <row r="7137" ht="15.75" customHeight="1">
      <c r="F7137" s="2" t="s">
        <v>2902</v>
      </c>
      <c r="H7137" s="2" t="s">
        <v>33923</v>
      </c>
      <c r="I7137" s="2" t="s">
        <v>8512</v>
      </c>
      <c r="J7137" s="2" t="s">
        <v>8513</v>
      </c>
      <c r="K7137" s="2" t="s">
        <v>24561</v>
      </c>
      <c r="L7137" s="2" t="s">
        <v>31923</v>
      </c>
      <c r="M7137" s="2" t="s">
        <v>8515</v>
      </c>
      <c r="N7137" s="2" t="s">
        <v>33924</v>
      </c>
      <c r="O7137" s="2" t="s">
        <v>869</v>
      </c>
      <c r="P7137" s="2" t="s">
        <v>870</v>
      </c>
    </row>
    <row r="7138" ht="15.75" customHeight="1">
      <c r="H7138" s="2" t="s">
        <v>33925</v>
      </c>
      <c r="I7138" s="2" t="s">
        <v>33926</v>
      </c>
      <c r="J7138" s="2" t="s">
        <v>33927</v>
      </c>
      <c r="K7138" s="2" t="s">
        <v>22055</v>
      </c>
      <c r="L7138" s="2" t="s">
        <v>31923</v>
      </c>
      <c r="M7138" s="2" t="s">
        <v>33928</v>
      </c>
      <c r="N7138" s="2" t="s">
        <v>33929</v>
      </c>
      <c r="O7138" s="2" t="s">
        <v>869</v>
      </c>
      <c r="P7138" s="2" t="s">
        <v>870</v>
      </c>
    </row>
    <row r="7139" ht="15.75" customHeight="1">
      <c r="H7139" s="2" t="s">
        <v>33930</v>
      </c>
      <c r="I7139" s="2" t="s">
        <v>33793</v>
      </c>
      <c r="J7139" s="2" t="s">
        <v>33794</v>
      </c>
      <c r="K7139" s="2" t="s">
        <v>6000</v>
      </c>
      <c r="L7139" s="2" t="s">
        <v>31923</v>
      </c>
      <c r="M7139" s="2" t="s">
        <v>33931</v>
      </c>
      <c r="N7139" s="2" t="s">
        <v>33932</v>
      </c>
      <c r="O7139" s="2" t="s">
        <v>869</v>
      </c>
      <c r="P7139" s="2" t="s">
        <v>870</v>
      </c>
    </row>
    <row r="7140" ht="15.75" customHeight="1">
      <c r="H7140" s="2" t="s">
        <v>33933</v>
      </c>
      <c r="I7140" s="2" t="s">
        <v>33934</v>
      </c>
      <c r="J7140" s="2" t="s">
        <v>33935</v>
      </c>
      <c r="K7140" s="2" t="s">
        <v>15801</v>
      </c>
      <c r="L7140" s="2" t="s">
        <v>31923</v>
      </c>
      <c r="M7140" s="2" t="s">
        <v>33936</v>
      </c>
      <c r="N7140" s="2" t="s">
        <v>33937</v>
      </c>
      <c r="O7140" s="2" t="s">
        <v>869</v>
      </c>
      <c r="P7140" s="2" t="s">
        <v>870</v>
      </c>
    </row>
    <row r="7141" ht="15.75" customHeight="1">
      <c r="H7141" s="2" t="s">
        <v>33938</v>
      </c>
      <c r="I7141" s="2" t="s">
        <v>20069</v>
      </c>
      <c r="J7141" s="2" t="s">
        <v>20070</v>
      </c>
      <c r="K7141" s="2" t="s">
        <v>24414</v>
      </c>
      <c r="L7141" s="2" t="s">
        <v>31923</v>
      </c>
      <c r="M7141" s="2" t="s">
        <v>8546</v>
      </c>
      <c r="N7141" s="2" t="s">
        <v>33939</v>
      </c>
      <c r="O7141" s="2" t="s">
        <v>869</v>
      </c>
      <c r="P7141" s="2" t="s">
        <v>870</v>
      </c>
    </row>
    <row r="7142" ht="15.75" customHeight="1">
      <c r="H7142" s="2" t="s">
        <v>33940</v>
      </c>
      <c r="I7142" s="2" t="s">
        <v>33941</v>
      </c>
      <c r="J7142" s="2" t="s">
        <v>33942</v>
      </c>
      <c r="K7142" s="2" t="s">
        <v>6050</v>
      </c>
      <c r="L7142" s="2" t="s">
        <v>31923</v>
      </c>
      <c r="M7142" s="2" t="s">
        <v>33943</v>
      </c>
      <c r="N7142" s="2" t="s">
        <v>33944</v>
      </c>
      <c r="O7142" s="2" t="s">
        <v>869</v>
      </c>
      <c r="P7142" s="2" t="s">
        <v>870</v>
      </c>
    </row>
    <row r="7143" ht="15.75" customHeight="1">
      <c r="H7143" s="2" t="s">
        <v>33945</v>
      </c>
      <c r="I7143" s="2" t="s">
        <v>33946</v>
      </c>
      <c r="J7143" s="2" t="s">
        <v>33947</v>
      </c>
      <c r="K7143" s="2" t="s">
        <v>25032</v>
      </c>
      <c r="L7143" s="2" t="s">
        <v>31923</v>
      </c>
      <c r="M7143" s="2" t="s">
        <v>33948</v>
      </c>
      <c r="N7143" s="2" t="s">
        <v>33949</v>
      </c>
      <c r="O7143" s="2" t="s">
        <v>869</v>
      </c>
      <c r="P7143" s="2" t="s">
        <v>870</v>
      </c>
    </row>
    <row r="7144" ht="15.75" customHeight="1">
      <c r="H7144" s="2" t="s">
        <v>33950</v>
      </c>
      <c r="I7144" s="2" t="s">
        <v>352</v>
      </c>
      <c r="J7144" s="2" t="s">
        <v>353</v>
      </c>
      <c r="K7144" s="2" t="s">
        <v>31317</v>
      </c>
      <c r="L7144" s="2" t="s">
        <v>31923</v>
      </c>
      <c r="M7144" s="2" t="s">
        <v>8560</v>
      </c>
      <c r="N7144" s="2" t="s">
        <v>33951</v>
      </c>
      <c r="O7144" s="2" t="s">
        <v>869</v>
      </c>
      <c r="P7144" s="2" t="s">
        <v>870</v>
      </c>
    </row>
    <row r="7145" ht="15.75" customHeight="1">
      <c r="H7145" s="2" t="s">
        <v>33952</v>
      </c>
      <c r="I7145" s="2" t="s">
        <v>33953</v>
      </c>
      <c r="J7145" s="2" t="s">
        <v>33954</v>
      </c>
      <c r="K7145" s="2" t="s">
        <v>15805</v>
      </c>
      <c r="L7145" s="2" t="s">
        <v>31923</v>
      </c>
      <c r="M7145" s="2" t="s">
        <v>29741</v>
      </c>
      <c r="N7145" s="2" t="s">
        <v>33955</v>
      </c>
      <c r="O7145" s="2" t="s">
        <v>869</v>
      </c>
      <c r="P7145" s="2" t="s">
        <v>870</v>
      </c>
    </row>
    <row r="7146" ht="15.75" customHeight="1">
      <c r="H7146" s="2" t="s">
        <v>33956</v>
      </c>
      <c r="I7146" s="2" t="s">
        <v>2925</v>
      </c>
      <c r="J7146" s="2" t="s">
        <v>2926</v>
      </c>
      <c r="K7146" s="2" t="s">
        <v>15890</v>
      </c>
      <c r="L7146" s="2" t="s">
        <v>31923</v>
      </c>
      <c r="M7146" s="2" t="s">
        <v>29741</v>
      </c>
      <c r="N7146" s="2" t="s">
        <v>33957</v>
      </c>
      <c r="O7146" s="2" t="s">
        <v>869</v>
      </c>
      <c r="P7146" s="2" t="s">
        <v>870</v>
      </c>
    </row>
    <row r="7147" ht="15.75" customHeight="1">
      <c r="H7147" s="2" t="s">
        <v>33958</v>
      </c>
      <c r="I7147" s="2" t="s">
        <v>33959</v>
      </c>
      <c r="J7147" s="2" t="s">
        <v>33960</v>
      </c>
      <c r="K7147" s="2" t="s">
        <v>24102</v>
      </c>
      <c r="L7147" s="2" t="s">
        <v>31923</v>
      </c>
      <c r="M7147" s="2" t="s">
        <v>29761</v>
      </c>
      <c r="N7147" s="2" t="s">
        <v>33961</v>
      </c>
      <c r="O7147" s="2" t="s">
        <v>869</v>
      </c>
      <c r="P7147" s="2" t="s">
        <v>870</v>
      </c>
    </row>
    <row r="7148" ht="15.75" customHeight="1">
      <c r="H7148" s="2" t="s">
        <v>33962</v>
      </c>
      <c r="I7148" s="2" t="s">
        <v>8579</v>
      </c>
      <c r="J7148" s="2" t="s">
        <v>8580</v>
      </c>
      <c r="K7148" s="2" t="s">
        <v>6019</v>
      </c>
      <c r="L7148" s="2" t="s">
        <v>31923</v>
      </c>
      <c r="M7148" s="2" t="s">
        <v>33963</v>
      </c>
      <c r="N7148" s="2" t="s">
        <v>33964</v>
      </c>
      <c r="O7148" s="2" t="s">
        <v>869</v>
      </c>
      <c r="P7148" s="2" t="s">
        <v>870</v>
      </c>
    </row>
    <row r="7149" ht="15.75" customHeight="1">
      <c r="H7149" s="2" t="s">
        <v>33965</v>
      </c>
      <c r="I7149" s="2" t="s">
        <v>33966</v>
      </c>
      <c r="J7149" s="2" t="s">
        <v>33967</v>
      </c>
      <c r="K7149" s="2" t="s">
        <v>31977</v>
      </c>
      <c r="L7149" s="2" t="s">
        <v>31923</v>
      </c>
      <c r="M7149" s="2" t="s">
        <v>29741</v>
      </c>
      <c r="N7149" s="2" t="s">
        <v>33968</v>
      </c>
      <c r="O7149" s="2" t="s">
        <v>869</v>
      </c>
      <c r="P7149" s="2" t="s">
        <v>870</v>
      </c>
    </row>
    <row r="7150" ht="15.75" customHeight="1">
      <c r="H7150" s="2" t="s">
        <v>33969</v>
      </c>
      <c r="I7150" s="2" t="s">
        <v>8591</v>
      </c>
      <c r="J7150" s="2" t="s">
        <v>8592</v>
      </c>
      <c r="K7150" s="2" t="s">
        <v>22050</v>
      </c>
      <c r="L7150" s="2" t="s">
        <v>31923</v>
      </c>
      <c r="M7150" s="2" t="s">
        <v>29757</v>
      </c>
      <c r="N7150" s="2" t="s">
        <v>33970</v>
      </c>
      <c r="O7150" s="2" t="s">
        <v>869</v>
      </c>
      <c r="P7150" s="2" t="s">
        <v>870</v>
      </c>
    </row>
    <row r="7151" ht="15.75" customHeight="1">
      <c r="H7151" s="2" t="s">
        <v>33971</v>
      </c>
      <c r="I7151" s="2" t="s">
        <v>26330</v>
      </c>
      <c r="J7151" s="2" t="s">
        <v>26331</v>
      </c>
      <c r="K7151" s="2" t="s">
        <v>24263</v>
      </c>
      <c r="L7151" s="2" t="s">
        <v>31923</v>
      </c>
      <c r="M7151" s="2" t="s">
        <v>26332</v>
      </c>
      <c r="N7151" s="2" t="s">
        <v>33972</v>
      </c>
      <c r="O7151" s="2" t="s">
        <v>869</v>
      </c>
      <c r="P7151" s="2" t="s">
        <v>870</v>
      </c>
    </row>
    <row r="7152" ht="15.75" customHeight="1">
      <c r="H7152" s="2" t="s">
        <v>33973</v>
      </c>
      <c r="I7152" s="2" t="s">
        <v>2956</v>
      </c>
      <c r="J7152" s="2" t="s">
        <v>2957</v>
      </c>
      <c r="K7152" s="2" t="s">
        <v>24269</v>
      </c>
      <c r="L7152" s="2" t="s">
        <v>31923</v>
      </c>
      <c r="M7152" s="2" t="s">
        <v>29761</v>
      </c>
      <c r="N7152" s="2" t="s">
        <v>33974</v>
      </c>
      <c r="O7152" s="2" t="s">
        <v>869</v>
      </c>
      <c r="P7152" s="2" t="s">
        <v>870</v>
      </c>
    </row>
    <row r="7153" ht="15.75" customHeight="1">
      <c r="H7153" s="2" t="s">
        <v>33975</v>
      </c>
      <c r="I7153" s="2" t="s">
        <v>33976</v>
      </c>
      <c r="J7153" s="2" t="s">
        <v>33977</v>
      </c>
      <c r="K7153" s="2" t="s">
        <v>25287</v>
      </c>
      <c r="L7153" s="2" t="s">
        <v>31923</v>
      </c>
      <c r="M7153" s="2" t="s">
        <v>33978</v>
      </c>
      <c r="N7153" s="2" t="s">
        <v>33979</v>
      </c>
      <c r="O7153" s="2" t="s">
        <v>869</v>
      </c>
      <c r="P7153" s="2" t="s">
        <v>870</v>
      </c>
    </row>
    <row r="7154" ht="15.75" customHeight="1">
      <c r="H7154" s="2" t="s">
        <v>33980</v>
      </c>
      <c r="I7154" s="2" t="s">
        <v>33981</v>
      </c>
      <c r="J7154" s="2" t="s">
        <v>33982</v>
      </c>
      <c r="K7154" s="2" t="s">
        <v>6081</v>
      </c>
      <c r="L7154" s="2" t="s">
        <v>31923</v>
      </c>
      <c r="M7154" s="2" t="s">
        <v>33983</v>
      </c>
      <c r="N7154" s="2" t="s">
        <v>33984</v>
      </c>
      <c r="O7154" s="2" t="s">
        <v>869</v>
      </c>
      <c r="P7154" s="2" t="s">
        <v>870</v>
      </c>
    </row>
    <row r="7155" ht="15.75" customHeight="1">
      <c r="H7155" s="2" t="s">
        <v>33985</v>
      </c>
      <c r="I7155" s="2" t="s">
        <v>33986</v>
      </c>
      <c r="J7155" s="2" t="s">
        <v>33987</v>
      </c>
      <c r="K7155" s="2" t="s">
        <v>15872</v>
      </c>
      <c r="L7155" s="2" t="s">
        <v>31923</v>
      </c>
      <c r="M7155" s="2" t="s">
        <v>33988</v>
      </c>
      <c r="N7155" s="2" t="s">
        <v>33989</v>
      </c>
      <c r="O7155" s="2" t="s">
        <v>869</v>
      </c>
      <c r="P7155" s="2" t="s">
        <v>870</v>
      </c>
    </row>
    <row r="7156" ht="15.75" customHeight="1">
      <c r="F7156" s="2" t="s">
        <v>598</v>
      </c>
      <c r="H7156" s="2" t="s">
        <v>33990</v>
      </c>
      <c r="I7156" s="2" t="s">
        <v>33991</v>
      </c>
      <c r="J7156" s="2" t="s">
        <v>33992</v>
      </c>
      <c r="K7156" s="2" t="s">
        <v>22462</v>
      </c>
      <c r="L7156" s="2" t="s">
        <v>31923</v>
      </c>
      <c r="M7156" s="2" t="s">
        <v>33993</v>
      </c>
      <c r="N7156" s="2" t="s">
        <v>33994</v>
      </c>
      <c r="O7156" s="2" t="s">
        <v>869</v>
      </c>
      <c r="P7156" s="2" t="s">
        <v>870</v>
      </c>
    </row>
    <row r="7157" ht="15.75" customHeight="1">
      <c r="H7157" s="2" t="s">
        <v>33995</v>
      </c>
      <c r="I7157" s="2" t="s">
        <v>33996</v>
      </c>
      <c r="J7157" s="2" t="s">
        <v>33997</v>
      </c>
      <c r="K7157" s="2" t="s">
        <v>24561</v>
      </c>
      <c r="L7157" s="2" t="s">
        <v>31923</v>
      </c>
      <c r="M7157" s="2" t="s">
        <v>33998</v>
      </c>
      <c r="N7157" s="2" t="s">
        <v>33999</v>
      </c>
      <c r="O7157" s="2" t="s">
        <v>869</v>
      </c>
      <c r="P7157" s="2" t="s">
        <v>870</v>
      </c>
    </row>
    <row r="7158" ht="15.75" customHeight="1">
      <c r="H7158" s="2" t="s">
        <v>34000</v>
      </c>
      <c r="I7158" s="2" t="s">
        <v>8668</v>
      </c>
      <c r="J7158" s="2" t="s">
        <v>8669</v>
      </c>
      <c r="K7158" s="2" t="s">
        <v>15779</v>
      </c>
      <c r="L7158" s="2" t="s">
        <v>31923</v>
      </c>
      <c r="M7158" s="2" t="s">
        <v>34001</v>
      </c>
      <c r="N7158" s="2" t="s">
        <v>34002</v>
      </c>
      <c r="O7158" s="2" t="s">
        <v>869</v>
      </c>
      <c r="P7158" s="2" t="s">
        <v>870</v>
      </c>
    </row>
    <row r="7159" ht="15.75" customHeight="1">
      <c r="H7159" s="2" t="s">
        <v>34003</v>
      </c>
      <c r="I7159" s="2" t="s">
        <v>34004</v>
      </c>
      <c r="J7159" s="2" t="s">
        <v>34005</v>
      </c>
      <c r="K7159" s="2" t="s">
        <v>24518</v>
      </c>
      <c r="L7159" s="2" t="s">
        <v>31923</v>
      </c>
      <c r="M7159" s="2" t="s">
        <v>34006</v>
      </c>
      <c r="N7159" s="2" t="s">
        <v>34007</v>
      </c>
      <c r="O7159" s="2" t="s">
        <v>869</v>
      </c>
      <c r="P7159" s="2" t="s">
        <v>870</v>
      </c>
    </row>
    <row r="7160" ht="15.75" customHeight="1">
      <c r="H7160" s="2" t="s">
        <v>34008</v>
      </c>
      <c r="I7160" s="2" t="s">
        <v>34009</v>
      </c>
      <c r="J7160" s="2" t="s">
        <v>34010</v>
      </c>
      <c r="K7160" s="2" t="s">
        <v>6025</v>
      </c>
      <c r="L7160" s="2" t="s">
        <v>31923</v>
      </c>
      <c r="M7160" s="2" t="s">
        <v>34011</v>
      </c>
      <c r="N7160" s="2" t="s">
        <v>34012</v>
      </c>
      <c r="O7160" s="2" t="s">
        <v>869</v>
      </c>
      <c r="P7160" s="2" t="s">
        <v>870</v>
      </c>
    </row>
    <row r="7161" ht="15.75" customHeight="1">
      <c r="H7161" s="2" t="s">
        <v>34013</v>
      </c>
      <c r="I7161" s="2" t="s">
        <v>600</v>
      </c>
      <c r="J7161" s="2" t="s">
        <v>601</v>
      </c>
      <c r="K7161" s="2" t="s">
        <v>5995</v>
      </c>
      <c r="L7161" s="2" t="s">
        <v>31923</v>
      </c>
      <c r="M7161" s="2" t="s">
        <v>34014</v>
      </c>
      <c r="N7161" s="2" t="s">
        <v>34015</v>
      </c>
      <c r="O7161" s="2" t="s">
        <v>869</v>
      </c>
      <c r="P7161" s="2" t="s">
        <v>870</v>
      </c>
    </row>
    <row r="7162" ht="15.75" customHeight="1">
      <c r="H7162" s="2" t="s">
        <v>34016</v>
      </c>
      <c r="I7162" s="2" t="s">
        <v>34017</v>
      </c>
      <c r="J7162" s="2" t="s">
        <v>34018</v>
      </c>
      <c r="K7162" s="2" t="s">
        <v>6000</v>
      </c>
      <c r="L7162" s="2" t="s">
        <v>31923</v>
      </c>
      <c r="M7162" s="2" t="s">
        <v>34019</v>
      </c>
      <c r="N7162" s="2" t="s">
        <v>34020</v>
      </c>
      <c r="O7162" s="2" t="s">
        <v>869</v>
      </c>
      <c r="P7162" s="2" t="s">
        <v>870</v>
      </c>
    </row>
    <row r="7163" ht="15.75" customHeight="1">
      <c r="H7163" s="2" t="s">
        <v>34021</v>
      </c>
      <c r="I7163" s="2" t="s">
        <v>32833</v>
      </c>
      <c r="J7163" s="2" t="s">
        <v>32834</v>
      </c>
      <c r="K7163" s="2" t="s">
        <v>31927</v>
      </c>
      <c r="L7163" s="2" t="s">
        <v>31923</v>
      </c>
      <c r="M7163" s="2" t="s">
        <v>34022</v>
      </c>
      <c r="N7163" s="2" t="s">
        <v>34023</v>
      </c>
      <c r="O7163" s="2" t="s">
        <v>869</v>
      </c>
      <c r="P7163" s="2" t="s">
        <v>870</v>
      </c>
    </row>
    <row r="7164" ht="15.75" customHeight="1">
      <c r="H7164" s="2" t="s">
        <v>34024</v>
      </c>
      <c r="I7164" s="2" t="s">
        <v>34025</v>
      </c>
      <c r="J7164" s="2" t="s">
        <v>34026</v>
      </c>
      <c r="K7164" s="2" t="s">
        <v>15901</v>
      </c>
      <c r="L7164" s="2" t="s">
        <v>31923</v>
      </c>
      <c r="M7164" s="2" t="s">
        <v>34027</v>
      </c>
      <c r="N7164" s="2" t="s">
        <v>34028</v>
      </c>
      <c r="O7164" s="2" t="s">
        <v>869</v>
      </c>
      <c r="P7164" s="2" t="s">
        <v>870</v>
      </c>
    </row>
    <row r="7165" ht="15.75" customHeight="1">
      <c r="H7165" s="2" t="s">
        <v>34029</v>
      </c>
      <c r="I7165" s="2" t="s">
        <v>34030</v>
      </c>
      <c r="J7165" s="2" t="s">
        <v>34031</v>
      </c>
      <c r="K7165" s="2" t="s">
        <v>6050</v>
      </c>
      <c r="L7165" s="2" t="s">
        <v>31923</v>
      </c>
      <c r="M7165" s="2" t="s">
        <v>34032</v>
      </c>
      <c r="N7165" s="2" t="s">
        <v>34033</v>
      </c>
      <c r="O7165" s="2" t="s">
        <v>869</v>
      </c>
      <c r="P7165" s="2" t="s">
        <v>870</v>
      </c>
    </row>
    <row r="7166" ht="15.75" customHeight="1">
      <c r="H7166" s="2" t="s">
        <v>34034</v>
      </c>
      <c r="I7166" s="2" t="s">
        <v>8674</v>
      </c>
      <c r="J7166" s="2" t="s">
        <v>8675</v>
      </c>
      <c r="K7166" s="2" t="s">
        <v>15796</v>
      </c>
      <c r="L7166" s="2" t="s">
        <v>31923</v>
      </c>
      <c r="M7166" s="2" t="s">
        <v>34035</v>
      </c>
      <c r="N7166" s="2" t="s">
        <v>34036</v>
      </c>
      <c r="O7166" s="2" t="s">
        <v>869</v>
      </c>
      <c r="P7166" s="2" t="s">
        <v>870</v>
      </c>
    </row>
    <row r="7167" ht="15.75" customHeight="1">
      <c r="H7167" s="2" t="s">
        <v>34037</v>
      </c>
      <c r="I7167" s="2" t="s">
        <v>34038</v>
      </c>
      <c r="J7167" s="2" t="s">
        <v>34039</v>
      </c>
      <c r="K7167" s="2" t="s">
        <v>24578</v>
      </c>
      <c r="L7167" s="2" t="s">
        <v>31923</v>
      </c>
      <c r="M7167" s="2" t="s">
        <v>34040</v>
      </c>
      <c r="N7167" s="2" t="s">
        <v>34041</v>
      </c>
      <c r="O7167" s="2" t="s">
        <v>869</v>
      </c>
      <c r="P7167" s="2" t="s">
        <v>870</v>
      </c>
    </row>
    <row r="7168" ht="15.75" customHeight="1">
      <c r="H7168" s="2" t="s">
        <v>34042</v>
      </c>
      <c r="I7168" s="2" t="s">
        <v>34043</v>
      </c>
      <c r="J7168" s="2" t="s">
        <v>34044</v>
      </c>
      <c r="K7168" s="2" t="s">
        <v>6054</v>
      </c>
      <c r="L7168" s="2" t="s">
        <v>31923</v>
      </c>
      <c r="M7168" s="2" t="s">
        <v>34045</v>
      </c>
      <c r="N7168" s="2" t="s">
        <v>34046</v>
      </c>
      <c r="O7168" s="2" t="s">
        <v>869</v>
      </c>
      <c r="P7168" s="2" t="s">
        <v>870</v>
      </c>
    </row>
    <row r="7169" ht="15.75" customHeight="1">
      <c r="H7169" s="2" t="s">
        <v>34047</v>
      </c>
      <c r="I7169" s="2" t="s">
        <v>34048</v>
      </c>
      <c r="J7169" s="2" t="s">
        <v>34049</v>
      </c>
      <c r="K7169" s="2" t="s">
        <v>25073</v>
      </c>
      <c r="L7169" s="2" t="s">
        <v>31923</v>
      </c>
      <c r="M7169" s="2" t="s">
        <v>34050</v>
      </c>
      <c r="N7169" s="2" t="s">
        <v>34051</v>
      </c>
      <c r="O7169" s="2" t="s">
        <v>869</v>
      </c>
      <c r="P7169" s="2" t="s">
        <v>870</v>
      </c>
    </row>
    <row r="7170" ht="15.75" customHeight="1">
      <c r="H7170" s="2" t="s">
        <v>34052</v>
      </c>
      <c r="I7170" s="2" t="s">
        <v>34053</v>
      </c>
      <c r="J7170" s="2" t="s">
        <v>34054</v>
      </c>
      <c r="K7170" s="2" t="s">
        <v>24102</v>
      </c>
      <c r="L7170" s="2" t="s">
        <v>31923</v>
      </c>
      <c r="M7170" s="2" t="s">
        <v>34055</v>
      </c>
      <c r="N7170" s="2" t="s">
        <v>34056</v>
      </c>
      <c r="O7170" s="2" t="s">
        <v>869</v>
      </c>
      <c r="P7170" s="2" t="s">
        <v>870</v>
      </c>
    </row>
    <row r="7171" ht="15.75" customHeight="1">
      <c r="H7171" s="2" t="s">
        <v>34057</v>
      </c>
      <c r="I7171" s="2" t="s">
        <v>608</v>
      </c>
      <c r="J7171" s="2" t="s">
        <v>609</v>
      </c>
      <c r="K7171" s="2" t="s">
        <v>24109</v>
      </c>
      <c r="L7171" s="2" t="s">
        <v>31923</v>
      </c>
      <c r="M7171" s="2" t="s">
        <v>34058</v>
      </c>
      <c r="N7171" s="2" t="s">
        <v>34059</v>
      </c>
      <c r="O7171" s="2" t="s">
        <v>869</v>
      </c>
      <c r="P7171" s="2" t="s">
        <v>870</v>
      </c>
    </row>
    <row r="7172" ht="15.75" customHeight="1">
      <c r="H7172" s="2" t="s">
        <v>34060</v>
      </c>
      <c r="I7172" s="2" t="s">
        <v>34061</v>
      </c>
      <c r="J7172" s="2" t="s">
        <v>34062</v>
      </c>
      <c r="K7172" s="2" t="s">
        <v>15805</v>
      </c>
      <c r="L7172" s="2" t="s">
        <v>31923</v>
      </c>
      <c r="M7172" s="2" t="s">
        <v>34063</v>
      </c>
      <c r="N7172" s="2" t="s">
        <v>34064</v>
      </c>
      <c r="O7172" s="2" t="s">
        <v>869</v>
      </c>
      <c r="P7172" s="2" t="s">
        <v>870</v>
      </c>
    </row>
    <row r="7173" ht="15.75" customHeight="1">
      <c r="H7173" s="2" t="s">
        <v>34065</v>
      </c>
      <c r="I7173" s="2" t="s">
        <v>3018</v>
      </c>
      <c r="J7173" s="2" t="s">
        <v>3019</v>
      </c>
      <c r="K7173" s="2" t="s">
        <v>22055</v>
      </c>
      <c r="L7173" s="2" t="s">
        <v>31923</v>
      </c>
      <c r="M7173" s="2" t="s">
        <v>34066</v>
      </c>
      <c r="N7173" s="2" t="s">
        <v>34067</v>
      </c>
      <c r="O7173" s="2" t="s">
        <v>869</v>
      </c>
      <c r="P7173" s="2" t="s">
        <v>870</v>
      </c>
    </row>
    <row r="7174" ht="15.75" customHeight="1">
      <c r="H7174" s="2" t="s">
        <v>34068</v>
      </c>
      <c r="I7174" s="2" t="s">
        <v>34069</v>
      </c>
      <c r="J7174" s="2" t="s">
        <v>34070</v>
      </c>
      <c r="K7174" s="2" t="s">
        <v>1313</v>
      </c>
    </row>
    <row r="7175" ht="15.75" customHeight="1">
      <c r="H7175" s="2" t="s">
        <v>34071</v>
      </c>
      <c r="I7175" s="2" t="s">
        <v>3033</v>
      </c>
      <c r="J7175" s="2" t="s">
        <v>3034</v>
      </c>
      <c r="K7175" s="2" t="s">
        <v>24679</v>
      </c>
      <c r="L7175" s="2" t="s">
        <v>31923</v>
      </c>
      <c r="M7175" s="2" t="s">
        <v>8710</v>
      </c>
      <c r="N7175" s="2" t="s">
        <v>34072</v>
      </c>
      <c r="O7175" s="2" t="s">
        <v>869</v>
      </c>
      <c r="P7175" s="2" t="s">
        <v>870</v>
      </c>
    </row>
    <row r="7176" ht="15.75" customHeight="1">
      <c r="H7176" s="2" t="s">
        <v>34073</v>
      </c>
      <c r="I7176" s="2" t="s">
        <v>15571</v>
      </c>
      <c r="J7176" s="2" t="s">
        <v>15572</v>
      </c>
      <c r="K7176" s="2" t="s">
        <v>31539</v>
      </c>
      <c r="L7176" s="2" t="s">
        <v>31923</v>
      </c>
      <c r="M7176" s="2" t="s">
        <v>34074</v>
      </c>
      <c r="N7176" s="2" t="s">
        <v>34075</v>
      </c>
      <c r="O7176" s="2" t="s">
        <v>869</v>
      </c>
      <c r="P7176" s="2" t="s">
        <v>870</v>
      </c>
    </row>
    <row r="7177" ht="15.75" customHeight="1">
      <c r="H7177" s="2" t="s">
        <v>34076</v>
      </c>
      <c r="I7177" s="2" t="s">
        <v>8735</v>
      </c>
      <c r="J7177" s="2" t="s">
        <v>8736</v>
      </c>
      <c r="K7177" s="2" t="s">
        <v>25287</v>
      </c>
      <c r="L7177" s="2" t="s">
        <v>31923</v>
      </c>
      <c r="M7177" s="2" t="s">
        <v>8738</v>
      </c>
      <c r="N7177" s="2" t="s">
        <v>34077</v>
      </c>
      <c r="O7177" s="2" t="s">
        <v>869</v>
      </c>
      <c r="P7177" s="2" t="s">
        <v>870</v>
      </c>
    </row>
    <row r="7178" ht="15.75" customHeight="1">
      <c r="H7178" s="2" t="s">
        <v>34078</v>
      </c>
      <c r="I7178" s="2" t="s">
        <v>34079</v>
      </c>
      <c r="J7178" s="2" t="s">
        <v>34080</v>
      </c>
      <c r="K7178" s="2" t="s">
        <v>6041</v>
      </c>
      <c r="L7178" s="2" t="s">
        <v>31923</v>
      </c>
      <c r="M7178" s="2" t="s">
        <v>8671</v>
      </c>
      <c r="N7178" s="2" t="s">
        <v>34081</v>
      </c>
      <c r="O7178" s="2" t="s">
        <v>869</v>
      </c>
      <c r="P7178" s="2" t="s">
        <v>870</v>
      </c>
    </row>
    <row r="7179" ht="15.75" customHeight="1">
      <c r="H7179" s="2" t="s">
        <v>34082</v>
      </c>
      <c r="I7179" s="2" t="s">
        <v>8761</v>
      </c>
      <c r="J7179" s="2" t="s">
        <v>8762</v>
      </c>
      <c r="K7179" s="2" t="s">
        <v>15872</v>
      </c>
      <c r="L7179" s="2" t="s">
        <v>31923</v>
      </c>
      <c r="M7179" s="2" t="s">
        <v>34083</v>
      </c>
      <c r="N7179" s="2" t="s">
        <v>869</v>
      </c>
      <c r="O7179" s="2" t="s">
        <v>870</v>
      </c>
    </row>
    <row r="7180" ht="15.75" customHeight="1">
      <c r="H7180" s="2" t="s">
        <v>34084</v>
      </c>
      <c r="I7180" s="2" t="s">
        <v>34085</v>
      </c>
      <c r="J7180" s="2" t="s">
        <v>34086</v>
      </c>
      <c r="K7180" s="2" t="s">
        <v>6068</v>
      </c>
      <c r="L7180" s="2" t="s">
        <v>31923</v>
      </c>
      <c r="M7180" s="2" t="s">
        <v>34066</v>
      </c>
      <c r="N7180" s="2" t="s">
        <v>34087</v>
      </c>
      <c r="O7180" s="2" t="s">
        <v>869</v>
      </c>
      <c r="P7180" s="2" t="s">
        <v>870</v>
      </c>
    </row>
    <row r="7181" ht="15.75" customHeight="1">
      <c r="H7181" s="2" t="s">
        <v>34088</v>
      </c>
      <c r="I7181" s="2" t="s">
        <v>34089</v>
      </c>
      <c r="J7181" s="2" t="s">
        <v>34090</v>
      </c>
      <c r="K7181" s="2" t="s">
        <v>24173</v>
      </c>
      <c r="L7181" s="2" t="s">
        <v>31923</v>
      </c>
      <c r="M7181" s="2" t="s">
        <v>34091</v>
      </c>
      <c r="N7181" s="2" t="s">
        <v>34092</v>
      </c>
      <c r="O7181" s="2" t="s">
        <v>869</v>
      </c>
      <c r="P7181" s="2" t="s">
        <v>870</v>
      </c>
    </row>
    <row r="7182" ht="15.75" customHeight="1">
      <c r="H7182" s="2" t="s">
        <v>34093</v>
      </c>
      <c r="I7182" s="2" t="s">
        <v>34094</v>
      </c>
      <c r="J7182" s="2" t="s">
        <v>34095</v>
      </c>
      <c r="K7182" s="2" t="s">
        <v>25265</v>
      </c>
      <c r="L7182" s="2" t="s">
        <v>31923</v>
      </c>
      <c r="M7182" s="2" t="s">
        <v>34096</v>
      </c>
      <c r="N7182" s="2" t="s">
        <v>34097</v>
      </c>
      <c r="O7182" s="2" t="s">
        <v>869</v>
      </c>
      <c r="P7182" s="2" t="s">
        <v>870</v>
      </c>
    </row>
    <row r="7183" ht="15.75" customHeight="1">
      <c r="H7183" s="2" t="s">
        <v>34098</v>
      </c>
      <c r="I7183" s="2" t="s">
        <v>2047</v>
      </c>
      <c r="J7183" s="2" t="s">
        <v>2048</v>
      </c>
      <c r="K7183" s="2" t="s">
        <v>32267</v>
      </c>
      <c r="L7183" s="2" t="s">
        <v>31923</v>
      </c>
      <c r="M7183" s="2" t="s">
        <v>8738</v>
      </c>
      <c r="N7183" s="2" t="s">
        <v>34099</v>
      </c>
      <c r="O7183" s="2" t="s">
        <v>869</v>
      </c>
      <c r="P7183" s="2" t="s">
        <v>870</v>
      </c>
    </row>
    <row r="7184" ht="15.75" customHeight="1">
      <c r="H7184" s="2" t="s">
        <v>34100</v>
      </c>
      <c r="I7184" s="2" t="s">
        <v>34101</v>
      </c>
      <c r="J7184" s="2" t="s">
        <v>34102</v>
      </c>
      <c r="K7184" s="2" t="s">
        <v>24275</v>
      </c>
      <c r="L7184" s="2" t="s">
        <v>31923</v>
      </c>
      <c r="M7184" s="2" t="s">
        <v>34103</v>
      </c>
      <c r="N7184" s="2" t="s">
        <v>34104</v>
      </c>
      <c r="O7184" s="2" t="s">
        <v>869</v>
      </c>
      <c r="P7184" s="2" t="s">
        <v>870</v>
      </c>
    </row>
    <row r="7185" ht="15.75" customHeight="1">
      <c r="H7185" s="2" t="s">
        <v>34105</v>
      </c>
      <c r="I7185" s="2" t="s">
        <v>8767</v>
      </c>
      <c r="J7185" s="2" t="s">
        <v>8768</v>
      </c>
      <c r="K7185" s="2" t="s">
        <v>32271</v>
      </c>
      <c r="L7185" s="2" t="s">
        <v>31923</v>
      </c>
      <c r="M7185" s="2" t="s">
        <v>34106</v>
      </c>
      <c r="N7185" s="2" t="s">
        <v>34107</v>
      </c>
      <c r="O7185" s="2" t="s">
        <v>869</v>
      </c>
      <c r="P7185" s="2" t="s">
        <v>870</v>
      </c>
    </row>
    <row r="7186" ht="15.75" customHeight="1">
      <c r="H7186" s="2" t="s">
        <v>34108</v>
      </c>
      <c r="I7186" s="2" t="s">
        <v>34109</v>
      </c>
      <c r="J7186" s="2" t="s">
        <v>34110</v>
      </c>
      <c r="K7186" s="2" t="s">
        <v>24878</v>
      </c>
      <c r="L7186" s="2" t="s">
        <v>31923</v>
      </c>
      <c r="M7186" s="2" t="s">
        <v>34111</v>
      </c>
      <c r="N7186" s="2" t="s">
        <v>869</v>
      </c>
      <c r="O7186" s="2" t="s">
        <v>870</v>
      </c>
    </row>
    <row r="7187" ht="15.75" customHeight="1">
      <c r="H7187" s="2" t="s">
        <v>34112</v>
      </c>
      <c r="I7187" s="2" t="s">
        <v>34113</v>
      </c>
      <c r="J7187" s="2" t="s">
        <v>34114</v>
      </c>
      <c r="K7187" s="2" t="s">
        <v>32768</v>
      </c>
      <c r="L7187" s="2" t="s">
        <v>31923</v>
      </c>
      <c r="M7187" s="2" t="s">
        <v>34115</v>
      </c>
      <c r="N7187" s="2" t="s">
        <v>34116</v>
      </c>
      <c r="O7187" s="2" t="s">
        <v>869</v>
      </c>
      <c r="P7187" s="2" t="s">
        <v>870</v>
      </c>
    </row>
    <row r="7188" ht="15.75" customHeight="1">
      <c r="H7188" s="2" t="s">
        <v>34117</v>
      </c>
      <c r="I7188" s="2" t="s">
        <v>8773</v>
      </c>
      <c r="J7188" s="2" t="s">
        <v>8774</v>
      </c>
      <c r="K7188" s="2" t="s">
        <v>15819</v>
      </c>
      <c r="L7188" s="2" t="s">
        <v>31923</v>
      </c>
      <c r="M7188" s="2" t="s">
        <v>8776</v>
      </c>
      <c r="N7188" s="2" t="s">
        <v>34118</v>
      </c>
      <c r="O7188" s="2" t="s">
        <v>869</v>
      </c>
      <c r="P7188" s="2" t="s">
        <v>870</v>
      </c>
    </row>
    <row r="7189" ht="15.75" customHeight="1">
      <c r="H7189" s="2" t="s">
        <v>34119</v>
      </c>
      <c r="I7189" s="2" t="s">
        <v>34120</v>
      </c>
      <c r="J7189" s="2" t="s">
        <v>34121</v>
      </c>
      <c r="K7189" s="2" t="s">
        <v>31624</v>
      </c>
      <c r="L7189" s="2" t="s">
        <v>31923</v>
      </c>
      <c r="M7189" s="2" t="s">
        <v>34122</v>
      </c>
      <c r="N7189" s="2" t="s">
        <v>34123</v>
      </c>
      <c r="O7189" s="2" t="s">
        <v>869</v>
      </c>
      <c r="P7189" s="2" t="s">
        <v>870</v>
      </c>
    </row>
    <row r="7190" ht="15.75" customHeight="1">
      <c r="H7190" s="2" t="s">
        <v>34124</v>
      </c>
      <c r="I7190" s="2" t="s">
        <v>34125</v>
      </c>
      <c r="J7190" s="2" t="s">
        <v>34126</v>
      </c>
      <c r="K7190" s="2" t="s">
        <v>34127</v>
      </c>
      <c r="L7190" s="2" t="s">
        <v>31923</v>
      </c>
      <c r="M7190" s="2" t="s">
        <v>34128</v>
      </c>
      <c r="N7190" s="2" t="s">
        <v>34129</v>
      </c>
      <c r="O7190" s="2" t="s">
        <v>869</v>
      </c>
      <c r="P7190" s="2" t="s">
        <v>870</v>
      </c>
    </row>
    <row r="7191" ht="15.75" customHeight="1">
      <c r="F7191" s="2" t="s">
        <v>3062</v>
      </c>
      <c r="H7191" s="2" t="s">
        <v>34130</v>
      </c>
      <c r="I7191" s="2" t="s">
        <v>31936</v>
      </c>
      <c r="J7191" s="2" t="s">
        <v>31937</v>
      </c>
      <c r="K7191" s="2" t="s">
        <v>5995</v>
      </c>
      <c r="L7191" s="2" t="s">
        <v>31923</v>
      </c>
      <c r="M7191" s="2" t="s">
        <v>34131</v>
      </c>
      <c r="N7191" s="2" t="s">
        <v>34132</v>
      </c>
      <c r="O7191" s="2" t="s">
        <v>869</v>
      </c>
      <c r="P7191" s="2" t="s">
        <v>870</v>
      </c>
    </row>
    <row r="7192" ht="15.75" customHeight="1">
      <c r="H7192" s="2" t="s">
        <v>34133</v>
      </c>
      <c r="I7192" s="2" t="s">
        <v>29809</v>
      </c>
      <c r="J7192" s="2" t="s">
        <v>29810</v>
      </c>
      <c r="K7192" s="2" t="s">
        <v>6000</v>
      </c>
      <c r="L7192" s="2" t="s">
        <v>31923</v>
      </c>
      <c r="M7192" s="2" t="s">
        <v>34134</v>
      </c>
      <c r="N7192" s="2" t="s">
        <v>869</v>
      </c>
      <c r="O7192" s="2" t="s">
        <v>870</v>
      </c>
    </row>
    <row r="7193" ht="15.75" customHeight="1">
      <c r="H7193" s="2" t="s">
        <v>34135</v>
      </c>
      <c r="I7193" s="2" t="s">
        <v>34136</v>
      </c>
      <c r="J7193" s="2" t="s">
        <v>34137</v>
      </c>
      <c r="K7193" s="2" t="s">
        <v>25068</v>
      </c>
      <c r="L7193" s="2" t="s">
        <v>31923</v>
      </c>
      <c r="M7193" s="2" t="s">
        <v>34138</v>
      </c>
      <c r="N7193" s="2" t="s">
        <v>34139</v>
      </c>
      <c r="O7193" s="2" t="s">
        <v>869</v>
      </c>
      <c r="P7193" s="2" t="s">
        <v>870</v>
      </c>
    </row>
    <row r="7194" ht="15.75" customHeight="1">
      <c r="H7194" s="2" t="s">
        <v>34140</v>
      </c>
      <c r="I7194" s="2" t="s">
        <v>34141</v>
      </c>
      <c r="J7194" s="2" t="s">
        <v>34142</v>
      </c>
      <c r="K7194" s="2" t="s">
        <v>15901</v>
      </c>
      <c r="L7194" s="2" t="s">
        <v>31923</v>
      </c>
      <c r="M7194" s="2" t="s">
        <v>34143</v>
      </c>
      <c r="N7194" s="2" t="s">
        <v>34144</v>
      </c>
      <c r="O7194" s="2" t="s">
        <v>869</v>
      </c>
      <c r="P7194" s="2" t="s">
        <v>870</v>
      </c>
    </row>
    <row r="7195" ht="15.75" customHeight="1">
      <c r="H7195" s="2" t="s">
        <v>34145</v>
      </c>
      <c r="I7195" s="2" t="s">
        <v>8847</v>
      </c>
      <c r="J7195" s="2" t="s">
        <v>8848</v>
      </c>
      <c r="K7195" s="2" t="s">
        <v>24414</v>
      </c>
      <c r="L7195" s="2" t="s">
        <v>31923</v>
      </c>
      <c r="M7195" s="2" t="s">
        <v>34146</v>
      </c>
      <c r="N7195" s="2" t="s">
        <v>34147</v>
      </c>
      <c r="O7195" s="2" t="s">
        <v>869</v>
      </c>
      <c r="P7195" s="2" t="s">
        <v>870</v>
      </c>
    </row>
    <row r="7196" ht="15.75" customHeight="1">
      <c r="H7196" s="2" t="s">
        <v>34148</v>
      </c>
      <c r="I7196" s="2" t="s">
        <v>8859</v>
      </c>
      <c r="J7196" s="2" t="s">
        <v>8860</v>
      </c>
      <c r="K7196" s="2" t="s">
        <v>15796</v>
      </c>
      <c r="L7196" s="2" t="s">
        <v>31923</v>
      </c>
      <c r="M7196" s="2" t="s">
        <v>34149</v>
      </c>
      <c r="N7196" s="2" t="s">
        <v>34150</v>
      </c>
      <c r="O7196" s="2" t="s">
        <v>869</v>
      </c>
      <c r="P7196" s="2" t="s">
        <v>870</v>
      </c>
    </row>
    <row r="7197" ht="15.75" customHeight="1">
      <c r="F7197" s="2" t="s">
        <v>3079</v>
      </c>
      <c r="H7197" s="2" t="s">
        <v>34151</v>
      </c>
      <c r="I7197" s="2" t="s">
        <v>34152</v>
      </c>
      <c r="J7197" s="2" t="s">
        <v>34153</v>
      </c>
      <c r="K7197" s="2" t="s">
        <v>6046</v>
      </c>
      <c r="L7197" s="2" t="s">
        <v>31923</v>
      </c>
      <c r="M7197" s="2" t="s">
        <v>34154</v>
      </c>
      <c r="N7197" s="2" t="s">
        <v>869</v>
      </c>
      <c r="O7197" s="2" t="s">
        <v>870</v>
      </c>
    </row>
    <row r="7198" ht="15.75" customHeight="1">
      <c r="H7198" s="2" t="s">
        <v>34155</v>
      </c>
      <c r="I7198" s="2" t="s">
        <v>3429</v>
      </c>
      <c r="J7198" s="2" t="s">
        <v>3430</v>
      </c>
      <c r="K7198" s="2" t="s">
        <v>31927</v>
      </c>
      <c r="L7198" s="2" t="s">
        <v>31923</v>
      </c>
      <c r="M7198" s="2" t="s">
        <v>34156</v>
      </c>
      <c r="N7198" s="2" t="s">
        <v>34157</v>
      </c>
      <c r="O7198" s="2" t="s">
        <v>869</v>
      </c>
      <c r="P7198" s="2" t="s">
        <v>870</v>
      </c>
    </row>
    <row r="7199" ht="15.75" customHeight="1">
      <c r="H7199" s="2" t="s">
        <v>34158</v>
      </c>
      <c r="I7199" s="2" t="s">
        <v>34159</v>
      </c>
      <c r="J7199" s="2" t="s">
        <v>34160</v>
      </c>
      <c r="K7199" s="2" t="s">
        <v>5995</v>
      </c>
      <c r="L7199" s="2" t="s">
        <v>31923</v>
      </c>
      <c r="M7199" s="2" t="s">
        <v>34156</v>
      </c>
      <c r="N7199" s="2" t="s">
        <v>869</v>
      </c>
      <c r="O7199" s="2" t="s">
        <v>870</v>
      </c>
    </row>
    <row r="7200" ht="15.75" customHeight="1">
      <c r="H7200" s="2" t="s">
        <v>34161</v>
      </c>
      <c r="I7200" s="2" t="s">
        <v>34162</v>
      </c>
      <c r="J7200" s="2" t="s">
        <v>34163</v>
      </c>
      <c r="K7200" s="2" t="s">
        <v>25068</v>
      </c>
      <c r="L7200" s="2" t="s">
        <v>31923</v>
      </c>
      <c r="M7200" s="2" t="s">
        <v>34164</v>
      </c>
      <c r="N7200" s="2" t="s">
        <v>34165</v>
      </c>
      <c r="O7200" s="2" t="s">
        <v>869</v>
      </c>
      <c r="P7200" s="2" t="s">
        <v>870</v>
      </c>
    </row>
    <row r="7201" ht="15.75" customHeight="1">
      <c r="H7201" s="2" t="s">
        <v>34166</v>
      </c>
      <c r="I7201" s="2" t="s">
        <v>8908</v>
      </c>
      <c r="J7201" s="2" t="s">
        <v>8909</v>
      </c>
      <c r="K7201" s="2" t="s">
        <v>24414</v>
      </c>
      <c r="L7201" s="2" t="s">
        <v>31923</v>
      </c>
      <c r="M7201" s="2" t="s">
        <v>34167</v>
      </c>
      <c r="N7201" s="2" t="s">
        <v>34168</v>
      </c>
      <c r="O7201" s="2" t="s">
        <v>869</v>
      </c>
      <c r="P7201" s="2" t="s">
        <v>870</v>
      </c>
    </row>
    <row r="7202" ht="15.75" customHeight="1">
      <c r="H7202" s="2" t="s">
        <v>34169</v>
      </c>
      <c r="I7202" s="2" t="s">
        <v>34170</v>
      </c>
      <c r="J7202" s="2" t="s">
        <v>34171</v>
      </c>
      <c r="K7202" s="2" t="s">
        <v>15796</v>
      </c>
      <c r="L7202" s="2" t="s">
        <v>31923</v>
      </c>
      <c r="M7202" s="2" t="s">
        <v>34172</v>
      </c>
      <c r="N7202" s="2" t="s">
        <v>869</v>
      </c>
      <c r="O7202" s="2" t="s">
        <v>870</v>
      </c>
    </row>
    <row r="7203" ht="15.75" customHeight="1">
      <c r="H7203" s="2" t="s">
        <v>34173</v>
      </c>
      <c r="I7203" s="2" t="s">
        <v>3101</v>
      </c>
      <c r="J7203" s="2" t="s">
        <v>3102</v>
      </c>
      <c r="K7203" s="2" t="s">
        <v>6054</v>
      </c>
      <c r="L7203" s="2" t="s">
        <v>31923</v>
      </c>
      <c r="M7203" s="2" t="s">
        <v>29828</v>
      </c>
      <c r="N7203" s="2" t="s">
        <v>34174</v>
      </c>
      <c r="O7203" s="2" t="s">
        <v>869</v>
      </c>
      <c r="P7203" s="2" t="s">
        <v>870</v>
      </c>
    </row>
    <row r="7204" ht="15.75" customHeight="1">
      <c r="H7204" s="2" t="s">
        <v>34175</v>
      </c>
      <c r="I7204" s="2" t="s">
        <v>3110</v>
      </c>
      <c r="J7204" s="2" t="s">
        <v>3111</v>
      </c>
      <c r="K7204" s="2" t="s">
        <v>24528</v>
      </c>
      <c r="L7204" s="2" t="s">
        <v>31923</v>
      </c>
      <c r="M7204" s="2" t="s">
        <v>34176</v>
      </c>
      <c r="N7204" s="2" t="s">
        <v>34177</v>
      </c>
      <c r="O7204" s="2" t="s">
        <v>869</v>
      </c>
      <c r="P7204" s="2" t="s">
        <v>870</v>
      </c>
    </row>
    <row r="7205" ht="15.75" customHeight="1">
      <c r="H7205" s="2" t="s">
        <v>34178</v>
      </c>
      <c r="I7205" s="2" t="s">
        <v>34179</v>
      </c>
      <c r="J7205" s="2" t="s">
        <v>34180</v>
      </c>
      <c r="K7205" s="2" t="s">
        <v>24379</v>
      </c>
      <c r="L7205" s="2" t="s">
        <v>31923</v>
      </c>
      <c r="M7205" s="2" t="s">
        <v>34181</v>
      </c>
      <c r="N7205" s="2" t="s">
        <v>34157</v>
      </c>
      <c r="O7205" s="2" t="s">
        <v>869</v>
      </c>
      <c r="P7205" s="2" t="s">
        <v>870</v>
      </c>
    </row>
    <row r="7206" ht="15.75" customHeight="1">
      <c r="H7206" s="2" t="s">
        <v>34182</v>
      </c>
      <c r="I7206" s="2" t="s">
        <v>3120</v>
      </c>
      <c r="J7206" s="2" t="s">
        <v>3121</v>
      </c>
      <c r="K7206" s="2" t="s">
        <v>24102</v>
      </c>
      <c r="L7206" s="2" t="s">
        <v>31923</v>
      </c>
      <c r="M7206" s="2" t="s">
        <v>3122</v>
      </c>
      <c r="N7206" s="2" t="s">
        <v>34183</v>
      </c>
      <c r="O7206" s="2" t="s">
        <v>869</v>
      </c>
      <c r="P7206" s="2" t="s">
        <v>870</v>
      </c>
    </row>
    <row r="7207" ht="15.75" customHeight="1">
      <c r="H7207" s="2" t="s">
        <v>34184</v>
      </c>
      <c r="I7207" s="2" t="s">
        <v>5202</v>
      </c>
      <c r="J7207" s="2" t="s">
        <v>5203</v>
      </c>
      <c r="K7207" s="2" t="s">
        <v>24109</v>
      </c>
      <c r="L7207" s="2" t="s">
        <v>31923</v>
      </c>
      <c r="M7207" s="2" t="s">
        <v>34185</v>
      </c>
      <c r="N7207" s="2" t="s">
        <v>869</v>
      </c>
      <c r="O7207" s="2" t="s">
        <v>870</v>
      </c>
    </row>
    <row r="7208" ht="15.75" customHeight="1">
      <c r="H7208" s="2" t="s">
        <v>34186</v>
      </c>
      <c r="I7208" s="2" t="s">
        <v>8951</v>
      </c>
      <c r="J7208" s="2" t="s">
        <v>8952</v>
      </c>
      <c r="K7208" s="2" t="s">
        <v>22055</v>
      </c>
      <c r="L7208" s="2" t="s">
        <v>31923</v>
      </c>
      <c r="M7208" s="2" t="s">
        <v>8954</v>
      </c>
      <c r="N7208" s="2" t="s">
        <v>34187</v>
      </c>
      <c r="O7208" s="2" t="s">
        <v>869</v>
      </c>
      <c r="P7208" s="2" t="s">
        <v>870</v>
      </c>
    </row>
    <row r="7209" ht="15.75" customHeight="1">
      <c r="H7209" s="2" t="s">
        <v>34188</v>
      </c>
      <c r="I7209" s="2" t="s">
        <v>34189</v>
      </c>
      <c r="J7209" s="2" t="s">
        <v>34190</v>
      </c>
      <c r="K7209" s="2" t="s">
        <v>24137</v>
      </c>
      <c r="L7209" s="2" t="s">
        <v>31923</v>
      </c>
      <c r="M7209" s="2" t="s">
        <v>34176</v>
      </c>
      <c r="N7209" s="2" t="s">
        <v>34191</v>
      </c>
      <c r="O7209" s="2" t="s">
        <v>869</v>
      </c>
      <c r="P7209" s="2" t="s">
        <v>870</v>
      </c>
    </row>
    <row r="7210" ht="15.75" customHeight="1">
      <c r="H7210" s="2" t="s">
        <v>34192</v>
      </c>
      <c r="I7210" s="2" t="s">
        <v>34193</v>
      </c>
      <c r="J7210" s="2" t="s">
        <v>34194</v>
      </c>
      <c r="K7210" s="2" t="s">
        <v>32406</v>
      </c>
      <c r="L7210" s="2" t="s">
        <v>31923</v>
      </c>
      <c r="M7210" s="2" t="s">
        <v>34195</v>
      </c>
      <c r="N7210" s="2" t="s">
        <v>869</v>
      </c>
      <c r="O7210" s="2" t="s">
        <v>870</v>
      </c>
    </row>
    <row r="7211" ht="15.75" customHeight="1">
      <c r="H7211" s="2" t="s">
        <v>34196</v>
      </c>
      <c r="I7211" s="2" t="s">
        <v>8957</v>
      </c>
      <c r="J7211" s="2" t="s">
        <v>8958</v>
      </c>
      <c r="K7211" s="2" t="s">
        <v>15809</v>
      </c>
      <c r="L7211" s="2" t="s">
        <v>31923</v>
      </c>
      <c r="M7211" s="2" t="s">
        <v>34197</v>
      </c>
      <c r="N7211" s="2" t="s">
        <v>34198</v>
      </c>
      <c r="O7211" s="2" t="s">
        <v>869</v>
      </c>
      <c r="P7211" s="2" t="s">
        <v>870</v>
      </c>
    </row>
    <row r="7212" ht="15.75" customHeight="1">
      <c r="H7212" s="2" t="s">
        <v>34199</v>
      </c>
      <c r="I7212" s="2" t="s">
        <v>34200</v>
      </c>
      <c r="J7212" s="2" t="s">
        <v>34201</v>
      </c>
      <c r="K7212" s="2" t="s">
        <v>31977</v>
      </c>
      <c r="L7212" s="2" t="s">
        <v>31923</v>
      </c>
      <c r="M7212" s="2" t="s">
        <v>34202</v>
      </c>
      <c r="N7212" s="2" t="s">
        <v>34203</v>
      </c>
      <c r="O7212" s="2" t="s">
        <v>869</v>
      </c>
      <c r="P7212" s="2" t="s">
        <v>870</v>
      </c>
    </row>
    <row r="7213" ht="15.75" customHeight="1">
      <c r="F7213" s="2" t="s">
        <v>3129</v>
      </c>
      <c r="H7213" s="2" t="s">
        <v>34204</v>
      </c>
      <c r="I7213" s="2" t="s">
        <v>3131</v>
      </c>
      <c r="J7213" s="2" t="s">
        <v>3132</v>
      </c>
      <c r="K7213" s="2" t="s">
        <v>22462</v>
      </c>
      <c r="L7213" s="2" t="s">
        <v>31923</v>
      </c>
      <c r="M7213" s="2" t="s">
        <v>27614</v>
      </c>
      <c r="N7213" s="2" t="s">
        <v>34205</v>
      </c>
      <c r="O7213" s="2" t="s">
        <v>869</v>
      </c>
      <c r="P7213" s="2" t="s">
        <v>870</v>
      </c>
    </row>
    <row r="7214" ht="15.75" customHeight="1">
      <c r="H7214" s="2" t="s">
        <v>34206</v>
      </c>
      <c r="I7214" s="2" t="s">
        <v>34207</v>
      </c>
      <c r="J7214" s="2" t="s">
        <v>34208</v>
      </c>
      <c r="K7214" s="2" t="s">
        <v>25009</v>
      </c>
      <c r="L7214" s="2" t="s">
        <v>31923</v>
      </c>
      <c r="M7214" s="2" t="s">
        <v>34209</v>
      </c>
      <c r="N7214" s="2" t="s">
        <v>869</v>
      </c>
      <c r="O7214" s="2" t="s">
        <v>870</v>
      </c>
    </row>
    <row r="7215" ht="15.75" customHeight="1">
      <c r="H7215" s="2" t="s">
        <v>34210</v>
      </c>
      <c r="I7215" s="2" t="s">
        <v>3146</v>
      </c>
      <c r="J7215" s="2" t="s">
        <v>3147</v>
      </c>
      <c r="K7215" s="2" t="s">
        <v>25068</v>
      </c>
      <c r="L7215" s="2" t="s">
        <v>31923</v>
      </c>
      <c r="M7215" s="2" t="s">
        <v>34211</v>
      </c>
      <c r="N7215" s="2" t="s">
        <v>34212</v>
      </c>
      <c r="O7215" s="2" t="s">
        <v>869</v>
      </c>
      <c r="P7215" s="2" t="s">
        <v>870</v>
      </c>
    </row>
    <row r="7216" ht="15.75" customHeight="1">
      <c r="H7216" s="2" t="s">
        <v>34213</v>
      </c>
      <c r="I7216" s="2" t="s">
        <v>34214</v>
      </c>
      <c r="J7216" s="2" t="s">
        <v>34215</v>
      </c>
      <c r="K7216" s="2" t="s">
        <v>15801</v>
      </c>
      <c r="L7216" s="2" t="s">
        <v>31923</v>
      </c>
      <c r="M7216" s="2" t="s">
        <v>27642</v>
      </c>
      <c r="N7216" s="2" t="s">
        <v>34216</v>
      </c>
      <c r="O7216" s="2" t="s">
        <v>869</v>
      </c>
      <c r="P7216" s="2" t="s">
        <v>870</v>
      </c>
    </row>
    <row r="7217" ht="15.75" customHeight="1">
      <c r="H7217" s="2" t="s">
        <v>34217</v>
      </c>
      <c r="I7217" s="2" t="s">
        <v>3151</v>
      </c>
      <c r="J7217" s="2" t="s">
        <v>3152</v>
      </c>
      <c r="K7217" s="2" t="s">
        <v>15901</v>
      </c>
      <c r="L7217" s="2" t="s">
        <v>31923</v>
      </c>
      <c r="M7217" s="2" t="s">
        <v>27645</v>
      </c>
      <c r="N7217" s="2" t="s">
        <v>34218</v>
      </c>
      <c r="O7217" s="2" t="s">
        <v>869</v>
      </c>
      <c r="P7217" s="2" t="s">
        <v>870</v>
      </c>
    </row>
    <row r="7218" ht="15.75" customHeight="1">
      <c r="H7218" s="2" t="s">
        <v>34219</v>
      </c>
      <c r="I7218" s="2" t="s">
        <v>27648</v>
      </c>
      <c r="J7218" s="2" t="s">
        <v>27649</v>
      </c>
      <c r="K7218" s="2" t="s">
        <v>24414</v>
      </c>
      <c r="L7218" s="2" t="s">
        <v>31923</v>
      </c>
      <c r="M7218" s="2" t="s">
        <v>27650</v>
      </c>
      <c r="N7218" s="2" t="s">
        <v>34220</v>
      </c>
      <c r="O7218" s="2" t="s">
        <v>869</v>
      </c>
      <c r="P7218" s="2" t="s">
        <v>870</v>
      </c>
    </row>
    <row r="7219" ht="15.75" customHeight="1">
      <c r="H7219" s="2" t="s">
        <v>34221</v>
      </c>
      <c r="I7219" s="2" t="s">
        <v>3166</v>
      </c>
      <c r="J7219" s="2" t="s">
        <v>3167</v>
      </c>
      <c r="K7219" s="2" t="s">
        <v>6046</v>
      </c>
      <c r="L7219" s="2" t="s">
        <v>31923</v>
      </c>
      <c r="M7219" s="2" t="s">
        <v>27660</v>
      </c>
      <c r="N7219" s="2" t="s">
        <v>34222</v>
      </c>
      <c r="O7219" s="2" t="s">
        <v>869</v>
      </c>
      <c r="P7219" s="2" t="s">
        <v>870</v>
      </c>
    </row>
    <row r="7220" ht="15.75" customHeight="1">
      <c r="H7220" s="2" t="s">
        <v>34223</v>
      </c>
      <c r="I7220" s="2" t="s">
        <v>34224</v>
      </c>
      <c r="J7220" s="2" t="s">
        <v>34225</v>
      </c>
      <c r="K7220" s="2" t="s">
        <v>25073</v>
      </c>
      <c r="L7220" s="2" t="s">
        <v>31923</v>
      </c>
      <c r="M7220" s="2" t="s">
        <v>34226</v>
      </c>
      <c r="N7220" s="2" t="s">
        <v>869</v>
      </c>
      <c r="O7220" s="2" t="s">
        <v>870</v>
      </c>
    </row>
    <row r="7221" ht="15.75" customHeight="1">
      <c r="F7221" s="2" t="s">
        <v>3170</v>
      </c>
      <c r="H7221" s="2" t="s">
        <v>34227</v>
      </c>
      <c r="I7221" s="2" t="s">
        <v>8969</v>
      </c>
      <c r="J7221" s="2" t="s">
        <v>8970</v>
      </c>
      <c r="K7221" s="2" t="s">
        <v>22462</v>
      </c>
      <c r="L7221" s="2" t="s">
        <v>31923</v>
      </c>
      <c r="M7221" s="2" t="s">
        <v>8972</v>
      </c>
      <c r="N7221" s="2" t="s">
        <v>34228</v>
      </c>
      <c r="O7221" s="2" t="s">
        <v>869</v>
      </c>
      <c r="P7221" s="2" t="s">
        <v>870</v>
      </c>
    </row>
    <row r="7222" ht="15.75" customHeight="1">
      <c r="H7222" s="2" t="s">
        <v>34229</v>
      </c>
      <c r="I7222" s="2" t="s">
        <v>3172</v>
      </c>
      <c r="J7222" s="2" t="s">
        <v>3173</v>
      </c>
      <c r="K7222" s="2" t="s">
        <v>31927</v>
      </c>
      <c r="L7222" s="2" t="s">
        <v>31923</v>
      </c>
      <c r="M7222" s="2" t="s">
        <v>34230</v>
      </c>
      <c r="N7222" s="2" t="s">
        <v>34231</v>
      </c>
      <c r="O7222" s="2" t="s">
        <v>869</v>
      </c>
      <c r="P7222" s="2" t="s">
        <v>870</v>
      </c>
    </row>
    <row r="7223" ht="15.75" customHeight="1">
      <c r="H7223" s="2" t="s">
        <v>34232</v>
      </c>
      <c r="I7223" s="2" t="s">
        <v>34233</v>
      </c>
      <c r="J7223" s="2" t="s">
        <v>34234</v>
      </c>
      <c r="K7223" s="2" t="s">
        <v>15779</v>
      </c>
      <c r="L7223" s="2" t="s">
        <v>31923</v>
      </c>
      <c r="M7223" s="2" t="s">
        <v>34235</v>
      </c>
      <c r="N7223" s="2" t="s">
        <v>34236</v>
      </c>
      <c r="O7223" s="2" t="s">
        <v>869</v>
      </c>
      <c r="P7223" s="2" t="s">
        <v>870</v>
      </c>
    </row>
    <row r="7224" ht="15.75" customHeight="1">
      <c r="H7224" s="2" t="s">
        <v>34237</v>
      </c>
      <c r="I7224" s="2" t="s">
        <v>34238</v>
      </c>
      <c r="J7224" s="2" t="s">
        <v>34239</v>
      </c>
      <c r="K7224" s="2" t="s">
        <v>24014</v>
      </c>
      <c r="L7224" s="2" t="s">
        <v>31923</v>
      </c>
      <c r="M7224" s="2" t="s">
        <v>34240</v>
      </c>
      <c r="N7224" s="2" t="s">
        <v>34241</v>
      </c>
      <c r="O7224" s="2" t="s">
        <v>869</v>
      </c>
      <c r="P7224" s="2" t="s">
        <v>870</v>
      </c>
    </row>
    <row r="7225" ht="15.75" customHeight="1">
      <c r="H7225" s="2" t="s">
        <v>34242</v>
      </c>
      <c r="I7225" s="2" t="s">
        <v>8985</v>
      </c>
      <c r="J7225" s="2" t="s">
        <v>8986</v>
      </c>
      <c r="K7225" s="2" t="s">
        <v>24518</v>
      </c>
      <c r="L7225" s="2" t="s">
        <v>31923</v>
      </c>
      <c r="M7225" s="2" t="s">
        <v>34243</v>
      </c>
      <c r="N7225" s="2" t="s">
        <v>34244</v>
      </c>
      <c r="O7225" s="2" t="s">
        <v>869</v>
      </c>
      <c r="P7225" s="2" t="s">
        <v>870</v>
      </c>
    </row>
    <row r="7226" ht="15.75" customHeight="1">
      <c r="H7226" s="2" t="s">
        <v>34245</v>
      </c>
      <c r="I7226" s="2" t="s">
        <v>8992</v>
      </c>
      <c r="J7226" s="2" t="s">
        <v>8993</v>
      </c>
      <c r="K7226" s="2" t="s">
        <v>6025</v>
      </c>
      <c r="L7226" s="2" t="s">
        <v>31923</v>
      </c>
      <c r="M7226" s="2" t="s">
        <v>8995</v>
      </c>
      <c r="N7226" s="2" t="s">
        <v>34246</v>
      </c>
      <c r="O7226" s="2" t="s">
        <v>869</v>
      </c>
      <c r="P7226" s="2" t="s">
        <v>870</v>
      </c>
    </row>
    <row r="7227" ht="15.75" customHeight="1">
      <c r="H7227" s="2" t="s">
        <v>34247</v>
      </c>
      <c r="I7227" s="2" t="s">
        <v>9005</v>
      </c>
      <c r="J7227" s="2" t="s">
        <v>9006</v>
      </c>
      <c r="K7227" s="2" t="s">
        <v>5995</v>
      </c>
      <c r="L7227" s="2" t="s">
        <v>31923</v>
      </c>
      <c r="M7227" s="2" t="s">
        <v>9008</v>
      </c>
      <c r="N7227" s="2" t="s">
        <v>34248</v>
      </c>
      <c r="O7227" s="2" t="s">
        <v>869</v>
      </c>
      <c r="P7227" s="2" t="s">
        <v>870</v>
      </c>
    </row>
    <row r="7228" ht="15.75" customHeight="1">
      <c r="H7228" s="2" t="s">
        <v>34249</v>
      </c>
      <c r="I7228" s="2" t="s">
        <v>3177</v>
      </c>
      <c r="J7228" s="2" t="s">
        <v>3178</v>
      </c>
      <c r="K7228" s="2" t="s">
        <v>15897</v>
      </c>
      <c r="L7228" s="2" t="s">
        <v>31923</v>
      </c>
      <c r="M7228" s="2" t="s">
        <v>3179</v>
      </c>
      <c r="N7228" s="2" t="s">
        <v>34250</v>
      </c>
      <c r="O7228" s="2" t="s">
        <v>869</v>
      </c>
      <c r="P7228" s="2" t="s">
        <v>870</v>
      </c>
    </row>
    <row r="7229" ht="15.75" customHeight="1">
      <c r="F7229" s="2" t="s">
        <v>624</v>
      </c>
      <c r="H7229" s="2" t="s">
        <v>34251</v>
      </c>
      <c r="I7229" s="2" t="s">
        <v>34252</v>
      </c>
      <c r="J7229" s="2" t="s">
        <v>34253</v>
      </c>
      <c r="K7229" s="2" t="s">
        <v>24014</v>
      </c>
      <c r="L7229" s="2" t="s">
        <v>31923</v>
      </c>
      <c r="M7229" s="2" t="s">
        <v>34254</v>
      </c>
      <c r="N7229" s="2" t="s">
        <v>34255</v>
      </c>
      <c r="O7229" s="2" t="s">
        <v>869</v>
      </c>
      <c r="P7229" s="2" t="s">
        <v>870</v>
      </c>
    </row>
    <row r="7230" ht="15.75" customHeight="1">
      <c r="H7230" s="2" t="s">
        <v>34256</v>
      </c>
      <c r="I7230" s="2" t="s">
        <v>9020</v>
      </c>
      <c r="J7230" s="2" t="s">
        <v>9021</v>
      </c>
      <c r="K7230" s="2" t="s">
        <v>15897</v>
      </c>
      <c r="L7230" s="2" t="s">
        <v>31923</v>
      </c>
      <c r="M7230" s="2" t="s">
        <v>26386</v>
      </c>
      <c r="N7230" s="2" t="s">
        <v>34257</v>
      </c>
      <c r="O7230" s="2" t="s">
        <v>869</v>
      </c>
      <c r="P7230" s="2" t="s">
        <v>870</v>
      </c>
    </row>
    <row r="7231" ht="15.75" customHeight="1">
      <c r="H7231" s="2" t="s">
        <v>34258</v>
      </c>
      <c r="I7231" s="2" t="s">
        <v>3636</v>
      </c>
      <c r="J7231" s="2" t="s">
        <v>3637</v>
      </c>
      <c r="K7231" s="2" t="s">
        <v>25068</v>
      </c>
      <c r="L7231" s="2" t="s">
        <v>31923</v>
      </c>
      <c r="M7231" s="2" t="s">
        <v>34259</v>
      </c>
      <c r="N7231" s="2" t="s">
        <v>34260</v>
      </c>
      <c r="O7231" s="2" t="s">
        <v>869</v>
      </c>
      <c r="P7231" s="2" t="s">
        <v>870</v>
      </c>
    </row>
    <row r="7232" ht="15.75" customHeight="1">
      <c r="H7232" s="2" t="s">
        <v>34261</v>
      </c>
      <c r="I7232" s="2" t="s">
        <v>34262</v>
      </c>
      <c r="J7232" s="2" t="s">
        <v>34263</v>
      </c>
      <c r="K7232" s="2" t="s">
        <v>15901</v>
      </c>
      <c r="L7232" s="2" t="s">
        <v>31923</v>
      </c>
      <c r="M7232" s="2" t="s">
        <v>34264</v>
      </c>
      <c r="N7232" s="2" t="s">
        <v>34265</v>
      </c>
      <c r="O7232" s="2" t="s">
        <v>869</v>
      </c>
      <c r="P7232" s="2" t="s">
        <v>870</v>
      </c>
    </row>
    <row r="7233" ht="15.75" customHeight="1">
      <c r="H7233" s="2" t="s">
        <v>34266</v>
      </c>
      <c r="I7233" s="2" t="s">
        <v>29871</v>
      </c>
      <c r="J7233" s="2" t="s">
        <v>29872</v>
      </c>
      <c r="K7233" s="2" t="s">
        <v>24414</v>
      </c>
      <c r="L7233" s="2" t="s">
        <v>31923</v>
      </c>
      <c r="M7233" s="2" t="s">
        <v>29874</v>
      </c>
      <c r="N7233" s="2" t="s">
        <v>34267</v>
      </c>
      <c r="O7233" s="2" t="s">
        <v>869</v>
      </c>
      <c r="P7233" s="2" t="s">
        <v>870</v>
      </c>
    </row>
    <row r="7234" ht="15.75" customHeight="1">
      <c r="H7234" s="2" t="s">
        <v>34268</v>
      </c>
      <c r="I7234" s="2" t="s">
        <v>32579</v>
      </c>
      <c r="J7234" s="2" t="s">
        <v>32580</v>
      </c>
      <c r="K7234" s="2" t="s">
        <v>15861</v>
      </c>
      <c r="L7234" s="2" t="s">
        <v>31923</v>
      </c>
      <c r="M7234" s="2" t="s">
        <v>34269</v>
      </c>
      <c r="N7234" s="2" t="s">
        <v>34270</v>
      </c>
      <c r="O7234" s="2" t="s">
        <v>869</v>
      </c>
      <c r="P7234" s="2" t="s">
        <v>870</v>
      </c>
    </row>
    <row r="7235" ht="15.75" customHeight="1">
      <c r="H7235" s="2" t="s">
        <v>34271</v>
      </c>
      <c r="I7235" s="2" t="s">
        <v>3221</v>
      </c>
      <c r="J7235" s="2" t="s">
        <v>3222</v>
      </c>
      <c r="K7235" s="2" t="s">
        <v>25073</v>
      </c>
      <c r="L7235" s="2" t="s">
        <v>34272</v>
      </c>
      <c r="M7235" s="2" t="s">
        <v>29879</v>
      </c>
      <c r="N7235" s="2" t="s">
        <v>34273</v>
      </c>
      <c r="O7235" s="2" t="s">
        <v>869</v>
      </c>
      <c r="P7235" s="2" t="s">
        <v>870</v>
      </c>
    </row>
    <row r="7236" ht="15.75" customHeight="1">
      <c r="H7236" s="2" t="s">
        <v>34274</v>
      </c>
      <c r="I7236" s="2" t="s">
        <v>34275</v>
      </c>
      <c r="J7236" s="2" t="s">
        <v>34276</v>
      </c>
      <c r="K7236" s="2" t="s">
        <v>25032</v>
      </c>
      <c r="L7236" s="2" t="s">
        <v>31923</v>
      </c>
      <c r="M7236" s="2" t="s">
        <v>34277</v>
      </c>
      <c r="N7236" s="2" t="s">
        <v>34278</v>
      </c>
      <c r="O7236" s="2" t="s">
        <v>869</v>
      </c>
      <c r="P7236" s="2" t="s">
        <v>870</v>
      </c>
    </row>
    <row r="7237" ht="15.75" customHeight="1">
      <c r="H7237" s="2" t="s">
        <v>34279</v>
      </c>
      <c r="I7237" s="2" t="s">
        <v>34280</v>
      </c>
      <c r="J7237" s="2" t="s">
        <v>34281</v>
      </c>
      <c r="K7237" s="2" t="s">
        <v>31317</v>
      </c>
      <c r="L7237" s="2" t="s">
        <v>31923</v>
      </c>
      <c r="M7237" s="2" t="s">
        <v>34282</v>
      </c>
      <c r="N7237" s="2" t="s">
        <v>34283</v>
      </c>
      <c r="O7237" s="2" t="s">
        <v>869</v>
      </c>
      <c r="P7237" s="2" t="s">
        <v>870</v>
      </c>
    </row>
    <row r="7238" ht="15.75" customHeight="1">
      <c r="H7238" s="2" t="s">
        <v>34284</v>
      </c>
      <c r="I7238" s="2" t="s">
        <v>9049</v>
      </c>
      <c r="J7238" s="2" t="s">
        <v>9050</v>
      </c>
      <c r="K7238" s="2" t="s">
        <v>31344</v>
      </c>
      <c r="L7238" s="2" t="s">
        <v>31923</v>
      </c>
      <c r="M7238" s="2" t="s">
        <v>34285</v>
      </c>
      <c r="N7238" s="2" t="s">
        <v>34286</v>
      </c>
      <c r="O7238" s="2" t="s">
        <v>869</v>
      </c>
      <c r="P7238" s="2" t="s">
        <v>870</v>
      </c>
    </row>
    <row r="7239" ht="15.75" customHeight="1">
      <c r="H7239" s="2" t="s">
        <v>34287</v>
      </c>
      <c r="I7239" s="2" t="s">
        <v>14595</v>
      </c>
      <c r="J7239" s="2" t="s">
        <v>14596</v>
      </c>
      <c r="K7239" s="2" t="s">
        <v>15890</v>
      </c>
      <c r="L7239" s="2" t="s">
        <v>31923</v>
      </c>
      <c r="M7239" s="2" t="s">
        <v>34288</v>
      </c>
      <c r="N7239" s="2" t="s">
        <v>34289</v>
      </c>
      <c r="O7239" s="2" t="s">
        <v>869</v>
      </c>
      <c r="P7239" s="2" t="s">
        <v>870</v>
      </c>
    </row>
    <row r="7240" ht="15.75" customHeight="1">
      <c r="H7240" s="2" t="s">
        <v>34290</v>
      </c>
      <c r="I7240" s="2" t="s">
        <v>3251</v>
      </c>
      <c r="J7240" s="2" t="s">
        <v>3252</v>
      </c>
      <c r="K7240" s="2" t="s">
        <v>31463</v>
      </c>
      <c r="L7240" s="2" t="s">
        <v>31923</v>
      </c>
      <c r="M7240" s="2" t="s">
        <v>34291</v>
      </c>
      <c r="N7240" s="2" t="s">
        <v>34292</v>
      </c>
      <c r="O7240" s="2" t="s">
        <v>869</v>
      </c>
      <c r="P7240" s="2" t="s">
        <v>870</v>
      </c>
    </row>
    <row r="7241" ht="15.75" customHeight="1">
      <c r="H7241" s="2" t="s">
        <v>34293</v>
      </c>
      <c r="I7241" s="2" t="s">
        <v>29892</v>
      </c>
      <c r="J7241" s="2" t="s">
        <v>29893</v>
      </c>
      <c r="K7241" s="2" t="s">
        <v>24679</v>
      </c>
      <c r="L7241" s="2" t="s">
        <v>31923</v>
      </c>
      <c r="M7241" s="2" t="s">
        <v>34294</v>
      </c>
      <c r="N7241" s="2" t="s">
        <v>34295</v>
      </c>
      <c r="O7241" s="2" t="s">
        <v>869</v>
      </c>
      <c r="P7241" s="2" t="s">
        <v>870</v>
      </c>
    </row>
    <row r="7242" ht="15.75" customHeight="1">
      <c r="H7242" s="2" t="s">
        <v>34296</v>
      </c>
      <c r="I7242" s="2" t="s">
        <v>3256</v>
      </c>
      <c r="J7242" s="2" t="s">
        <v>3257</v>
      </c>
      <c r="K7242" s="2" t="s">
        <v>6081</v>
      </c>
      <c r="L7242" s="2" t="s">
        <v>31923</v>
      </c>
      <c r="M7242" s="2" t="s">
        <v>34297</v>
      </c>
      <c r="N7242" s="2" t="s">
        <v>34298</v>
      </c>
      <c r="O7242" s="2" t="s">
        <v>869</v>
      </c>
      <c r="P7242" s="2" t="s">
        <v>870</v>
      </c>
    </row>
    <row r="7243" ht="15.75" customHeight="1">
      <c r="H7243" s="2" t="s">
        <v>34299</v>
      </c>
      <c r="I7243" s="2" t="s">
        <v>626</v>
      </c>
      <c r="J7243" s="2" t="s">
        <v>627</v>
      </c>
      <c r="K7243" s="2" t="s">
        <v>32142</v>
      </c>
      <c r="L7243" s="2" t="s">
        <v>34300</v>
      </c>
      <c r="M7243" s="2" t="s">
        <v>34301</v>
      </c>
      <c r="N7243" s="2" t="s">
        <v>34302</v>
      </c>
      <c r="O7243" s="2" t="s">
        <v>869</v>
      </c>
      <c r="P7243" s="2" t="s">
        <v>870</v>
      </c>
    </row>
    <row r="7244" ht="15.75" customHeight="1">
      <c r="H7244" s="2" t="s">
        <v>34303</v>
      </c>
      <c r="I7244" s="2" t="s">
        <v>34304</v>
      </c>
      <c r="J7244" s="2" t="s">
        <v>34305</v>
      </c>
      <c r="K7244" s="2" t="s">
        <v>32461</v>
      </c>
      <c r="L7244" s="2" t="s">
        <v>31923</v>
      </c>
      <c r="M7244" s="2" t="s">
        <v>34306</v>
      </c>
      <c r="N7244" s="2" t="s">
        <v>34307</v>
      </c>
      <c r="O7244" s="2" t="s">
        <v>869</v>
      </c>
      <c r="P7244" s="2" t="s">
        <v>870</v>
      </c>
    </row>
    <row r="7245" ht="15.75" customHeight="1">
      <c r="H7245" s="2" t="s">
        <v>34308</v>
      </c>
      <c r="I7245" s="2" t="s">
        <v>9083</v>
      </c>
      <c r="J7245" s="2" t="s">
        <v>9084</v>
      </c>
      <c r="K7245" s="2" t="s">
        <v>6074</v>
      </c>
      <c r="L7245" s="2" t="s">
        <v>31923</v>
      </c>
      <c r="M7245" s="2" t="s">
        <v>34309</v>
      </c>
      <c r="N7245" s="2" t="s">
        <v>34310</v>
      </c>
      <c r="O7245" s="2" t="s">
        <v>869</v>
      </c>
      <c r="P7245" s="2" t="s">
        <v>870</v>
      </c>
    </row>
    <row r="7246" ht="15.75" customHeight="1">
      <c r="H7246" s="2" t="s">
        <v>34311</v>
      </c>
      <c r="I7246" s="2" t="s">
        <v>9107</v>
      </c>
      <c r="J7246" s="2" t="s">
        <v>9108</v>
      </c>
      <c r="K7246" s="2" t="s">
        <v>24878</v>
      </c>
      <c r="L7246" s="2" t="s">
        <v>31923</v>
      </c>
      <c r="M7246" s="2" t="s">
        <v>29912</v>
      </c>
      <c r="N7246" s="2" t="s">
        <v>34312</v>
      </c>
      <c r="O7246" s="2" t="s">
        <v>869</v>
      </c>
      <c r="P7246" s="2" t="s">
        <v>870</v>
      </c>
    </row>
    <row r="7247" ht="15.75" customHeight="1">
      <c r="H7247" s="2" t="s">
        <v>34313</v>
      </c>
      <c r="I7247" s="2" t="s">
        <v>3296</v>
      </c>
      <c r="J7247" s="2" t="s">
        <v>3297</v>
      </c>
      <c r="K7247" s="2" t="s">
        <v>15819</v>
      </c>
      <c r="L7247" s="2" t="s">
        <v>31923</v>
      </c>
      <c r="M7247" s="2" t="s">
        <v>34314</v>
      </c>
      <c r="N7247" s="2" t="s">
        <v>34315</v>
      </c>
      <c r="O7247" s="2" t="s">
        <v>869</v>
      </c>
      <c r="P7247" s="2" t="s">
        <v>870</v>
      </c>
    </row>
    <row r="7248" ht="15.75" customHeight="1">
      <c r="H7248" s="2" t="s">
        <v>34316</v>
      </c>
      <c r="I7248" s="2" t="s">
        <v>1329</v>
      </c>
      <c r="J7248" s="2" t="s">
        <v>1330</v>
      </c>
      <c r="K7248" s="2" t="s">
        <v>22060</v>
      </c>
      <c r="L7248" s="2" t="s">
        <v>31923</v>
      </c>
      <c r="M7248" s="2" t="s">
        <v>34317</v>
      </c>
      <c r="N7248" s="2" t="s">
        <v>34318</v>
      </c>
      <c r="O7248" s="2" t="s">
        <v>869</v>
      </c>
      <c r="P7248" s="2" t="s">
        <v>870</v>
      </c>
    </row>
    <row r="7249" ht="15.75" customHeight="1">
      <c r="H7249" s="2" t="s">
        <v>34319</v>
      </c>
      <c r="I7249" s="2" t="s">
        <v>34320</v>
      </c>
      <c r="J7249" s="2" t="s">
        <v>34321</v>
      </c>
      <c r="K7249" s="2" t="s">
        <v>34322</v>
      </c>
      <c r="L7249" s="2" t="s">
        <v>31923</v>
      </c>
      <c r="M7249" s="2" t="s">
        <v>34323</v>
      </c>
      <c r="N7249" s="2" t="s">
        <v>34324</v>
      </c>
      <c r="O7249" s="2" t="s">
        <v>869</v>
      </c>
      <c r="P7249" s="2" t="s">
        <v>870</v>
      </c>
    </row>
    <row r="7250" ht="15.75" customHeight="1">
      <c r="H7250" s="2" t="s">
        <v>34325</v>
      </c>
      <c r="I7250" s="2" t="s">
        <v>34326</v>
      </c>
      <c r="J7250" s="2" t="s">
        <v>34327</v>
      </c>
      <c r="K7250" s="2" t="s">
        <v>6419</v>
      </c>
      <c r="L7250" s="2" t="s">
        <v>31923</v>
      </c>
      <c r="M7250" s="2" t="s">
        <v>34328</v>
      </c>
      <c r="N7250" s="2" t="s">
        <v>34329</v>
      </c>
      <c r="O7250" s="2" t="s">
        <v>869</v>
      </c>
      <c r="P7250" s="2" t="s">
        <v>870</v>
      </c>
    </row>
    <row r="7251" ht="15.75" customHeight="1">
      <c r="H7251" s="2" t="s">
        <v>34330</v>
      </c>
      <c r="I7251" s="2" t="s">
        <v>3324</v>
      </c>
      <c r="J7251" s="2" t="s">
        <v>3325</v>
      </c>
      <c r="K7251" s="2" t="s">
        <v>32295</v>
      </c>
      <c r="L7251" s="2" t="s">
        <v>31923</v>
      </c>
      <c r="M7251" s="2" t="s">
        <v>34331</v>
      </c>
      <c r="N7251" s="2" t="s">
        <v>34332</v>
      </c>
      <c r="O7251" s="2" t="s">
        <v>869</v>
      </c>
      <c r="P7251" s="2" t="s">
        <v>870</v>
      </c>
    </row>
    <row r="7252" ht="15.75" customHeight="1">
      <c r="F7252" s="2" t="s">
        <v>634</v>
      </c>
      <c r="H7252" s="2" t="s">
        <v>34333</v>
      </c>
      <c r="I7252" s="2" t="s">
        <v>636</v>
      </c>
      <c r="J7252" s="2" t="s">
        <v>637</v>
      </c>
      <c r="K7252" s="2" t="s">
        <v>31927</v>
      </c>
      <c r="L7252" s="2" t="s">
        <v>31923</v>
      </c>
      <c r="M7252" s="2" t="s">
        <v>34334</v>
      </c>
      <c r="N7252" s="2" t="s">
        <v>34335</v>
      </c>
      <c r="O7252" s="2" t="s">
        <v>869</v>
      </c>
      <c r="P7252" s="2" t="s">
        <v>870</v>
      </c>
    </row>
    <row r="7253" ht="15.75" customHeight="1">
      <c r="H7253" s="2" t="s">
        <v>34336</v>
      </c>
      <c r="I7253" s="2" t="s">
        <v>9141</v>
      </c>
      <c r="J7253" s="2" t="s">
        <v>9142</v>
      </c>
      <c r="K7253" s="2" t="s">
        <v>24561</v>
      </c>
      <c r="L7253" s="2" t="s">
        <v>31923</v>
      </c>
      <c r="M7253" s="2" t="s">
        <v>34337</v>
      </c>
      <c r="N7253" s="2" t="s">
        <v>34338</v>
      </c>
      <c r="O7253" s="2" t="s">
        <v>869</v>
      </c>
      <c r="P7253" s="2" t="s">
        <v>870</v>
      </c>
    </row>
    <row r="7254" ht="15.75" customHeight="1">
      <c r="H7254" s="2" t="s">
        <v>34339</v>
      </c>
      <c r="I7254" s="2" t="s">
        <v>5634</v>
      </c>
      <c r="J7254" s="2" t="s">
        <v>5635</v>
      </c>
      <c r="K7254" s="2" t="s">
        <v>24518</v>
      </c>
      <c r="L7254" s="2" t="s">
        <v>31923</v>
      </c>
      <c r="M7254" s="2" t="s">
        <v>34340</v>
      </c>
      <c r="N7254" s="2" t="s">
        <v>869</v>
      </c>
      <c r="O7254" s="2" t="s">
        <v>870</v>
      </c>
    </row>
    <row r="7255" ht="15.75" customHeight="1">
      <c r="H7255" s="2" t="s">
        <v>34341</v>
      </c>
      <c r="I7255" s="2" t="s">
        <v>34342</v>
      </c>
      <c r="J7255" s="2" t="s">
        <v>34343</v>
      </c>
      <c r="K7255" s="2" t="s">
        <v>5995</v>
      </c>
      <c r="L7255" s="2" t="s">
        <v>31923</v>
      </c>
      <c r="M7255" s="2" t="s">
        <v>34344</v>
      </c>
      <c r="N7255" s="2" t="s">
        <v>869</v>
      </c>
      <c r="O7255" s="2" t="s">
        <v>870</v>
      </c>
    </row>
    <row r="7256" ht="15.75" customHeight="1">
      <c r="H7256" s="2" t="s">
        <v>34345</v>
      </c>
      <c r="I7256" s="2" t="s">
        <v>34346</v>
      </c>
      <c r="J7256" s="2" t="s">
        <v>34347</v>
      </c>
      <c r="K7256" s="2" t="s">
        <v>15897</v>
      </c>
      <c r="L7256" s="2" t="s">
        <v>31923</v>
      </c>
      <c r="M7256" s="2" t="s">
        <v>34348</v>
      </c>
      <c r="N7256" s="2" t="s">
        <v>869</v>
      </c>
      <c r="O7256" s="2" t="s">
        <v>870</v>
      </c>
    </row>
    <row r="7257" ht="15.75" customHeight="1">
      <c r="H7257" s="2" t="s">
        <v>34349</v>
      </c>
      <c r="I7257" s="2" t="s">
        <v>3342</v>
      </c>
      <c r="J7257" s="2" t="s">
        <v>3343</v>
      </c>
      <c r="K7257" s="2" t="s">
        <v>25068</v>
      </c>
      <c r="L7257" s="2" t="s">
        <v>31923</v>
      </c>
      <c r="M7257" s="2" t="s">
        <v>34350</v>
      </c>
      <c r="N7257" s="2" t="s">
        <v>34351</v>
      </c>
      <c r="O7257" s="2" t="s">
        <v>869</v>
      </c>
      <c r="P7257" s="2" t="s">
        <v>870</v>
      </c>
    </row>
    <row r="7258" ht="15.75" customHeight="1">
      <c r="H7258" s="2" t="s">
        <v>34352</v>
      </c>
      <c r="I7258" s="2" t="s">
        <v>9185</v>
      </c>
      <c r="J7258" s="2" t="s">
        <v>9186</v>
      </c>
      <c r="K7258" s="2" t="s">
        <v>15801</v>
      </c>
      <c r="L7258" s="2" t="s">
        <v>31923</v>
      </c>
      <c r="M7258" s="2" t="s">
        <v>34353</v>
      </c>
      <c r="N7258" s="2" t="s">
        <v>34354</v>
      </c>
      <c r="O7258" s="2" t="s">
        <v>869</v>
      </c>
      <c r="P7258" s="2" t="s">
        <v>870</v>
      </c>
    </row>
    <row r="7259" ht="15.75" customHeight="1">
      <c r="H7259" s="2" t="s">
        <v>34355</v>
      </c>
      <c r="I7259" s="2" t="s">
        <v>34356</v>
      </c>
      <c r="J7259" s="2" t="s">
        <v>34357</v>
      </c>
      <c r="K7259" s="2" t="s">
        <v>24414</v>
      </c>
      <c r="L7259" s="2" t="s">
        <v>31923</v>
      </c>
      <c r="M7259" s="2" t="s">
        <v>34358</v>
      </c>
      <c r="N7259" s="2" t="s">
        <v>869</v>
      </c>
      <c r="O7259" s="2" t="s">
        <v>870</v>
      </c>
    </row>
    <row r="7260" ht="15.75" customHeight="1">
      <c r="H7260" s="2" t="s">
        <v>34359</v>
      </c>
      <c r="I7260" s="2" t="s">
        <v>3347</v>
      </c>
      <c r="J7260" s="2" t="s">
        <v>3348</v>
      </c>
      <c r="K7260" s="2" t="s">
        <v>15796</v>
      </c>
      <c r="L7260" s="2" t="s">
        <v>31923</v>
      </c>
      <c r="M7260" s="2" t="s">
        <v>34360</v>
      </c>
      <c r="N7260" s="2" t="s">
        <v>34361</v>
      </c>
      <c r="O7260" s="2" t="s">
        <v>869</v>
      </c>
      <c r="P7260" s="2" t="s">
        <v>870</v>
      </c>
    </row>
    <row r="7261" ht="15.75" customHeight="1">
      <c r="H7261" s="2" t="s">
        <v>34362</v>
      </c>
      <c r="I7261" s="2" t="s">
        <v>3352</v>
      </c>
      <c r="J7261" s="2" t="s">
        <v>3353</v>
      </c>
      <c r="K7261" s="2" t="s">
        <v>15861</v>
      </c>
      <c r="L7261" s="2" t="s">
        <v>31923</v>
      </c>
      <c r="M7261" s="2" t="s">
        <v>34363</v>
      </c>
      <c r="N7261" s="2" t="s">
        <v>34364</v>
      </c>
      <c r="O7261" s="2" t="s">
        <v>869</v>
      </c>
      <c r="P7261" s="2" t="s">
        <v>870</v>
      </c>
    </row>
    <row r="7262" ht="15.75" customHeight="1">
      <c r="H7262" s="2" t="s">
        <v>34365</v>
      </c>
      <c r="I7262" s="2" t="s">
        <v>3357</v>
      </c>
      <c r="J7262" s="2" t="s">
        <v>3358</v>
      </c>
      <c r="K7262" s="2" t="s">
        <v>6046</v>
      </c>
      <c r="L7262" s="2" t="s">
        <v>31923</v>
      </c>
      <c r="M7262" s="2" t="s">
        <v>29935</v>
      </c>
      <c r="N7262" s="2" t="s">
        <v>34366</v>
      </c>
      <c r="O7262" s="2" t="s">
        <v>869</v>
      </c>
      <c r="P7262" s="2" t="s">
        <v>870</v>
      </c>
    </row>
    <row r="7263" ht="15.75" customHeight="1">
      <c r="H7263" s="2" t="s">
        <v>34367</v>
      </c>
      <c r="I7263" s="2" t="s">
        <v>3362</v>
      </c>
      <c r="J7263" s="2" t="s">
        <v>3363</v>
      </c>
      <c r="K7263" s="2" t="s">
        <v>25032</v>
      </c>
      <c r="L7263" s="2" t="s">
        <v>31923</v>
      </c>
      <c r="M7263" s="2" t="s">
        <v>34368</v>
      </c>
      <c r="N7263" s="2" t="s">
        <v>34369</v>
      </c>
      <c r="O7263" s="2" t="s">
        <v>869</v>
      </c>
      <c r="P7263" s="2" t="s">
        <v>870</v>
      </c>
    </row>
    <row r="7264" ht="15.75" customHeight="1">
      <c r="H7264" s="2" t="s">
        <v>34370</v>
      </c>
      <c r="I7264" s="2" t="s">
        <v>9233</v>
      </c>
      <c r="J7264" s="2" t="s">
        <v>9234</v>
      </c>
      <c r="K7264" s="2" t="s">
        <v>15868</v>
      </c>
      <c r="L7264" s="2" t="s">
        <v>31923</v>
      </c>
      <c r="M7264" s="2" t="s">
        <v>34371</v>
      </c>
      <c r="N7264" s="2" t="s">
        <v>869</v>
      </c>
      <c r="O7264" s="2" t="s">
        <v>870</v>
      </c>
    </row>
    <row r="7265" ht="15.75" customHeight="1">
      <c r="H7265" s="2" t="s">
        <v>34372</v>
      </c>
      <c r="I7265" s="2" t="s">
        <v>20821</v>
      </c>
      <c r="J7265" s="2" t="s">
        <v>20822</v>
      </c>
      <c r="K7265" s="2" t="s">
        <v>24379</v>
      </c>
      <c r="L7265" s="2" t="s">
        <v>31923</v>
      </c>
      <c r="M7265" s="2" t="s">
        <v>34373</v>
      </c>
      <c r="N7265" s="2" t="s">
        <v>869</v>
      </c>
      <c r="O7265" s="2" t="s">
        <v>870</v>
      </c>
    </row>
    <row r="7266" ht="15.75" customHeight="1">
      <c r="H7266" s="2" t="s">
        <v>34374</v>
      </c>
      <c r="I7266" s="2" t="s">
        <v>3375</v>
      </c>
      <c r="J7266" s="2" t="s">
        <v>3376</v>
      </c>
      <c r="K7266" s="2" t="s">
        <v>24102</v>
      </c>
      <c r="L7266" s="2" t="s">
        <v>31923</v>
      </c>
      <c r="M7266" s="2" t="s">
        <v>34375</v>
      </c>
      <c r="N7266" s="2" t="s">
        <v>34376</v>
      </c>
      <c r="O7266" s="2" t="s">
        <v>869</v>
      </c>
      <c r="P7266" s="2" t="s">
        <v>870</v>
      </c>
    </row>
    <row r="7267" ht="15.75" customHeight="1">
      <c r="H7267" s="2" t="s">
        <v>34377</v>
      </c>
      <c r="I7267" s="2" t="s">
        <v>3380</v>
      </c>
      <c r="J7267" s="2" t="s">
        <v>3381</v>
      </c>
      <c r="K7267" s="2" t="s">
        <v>24109</v>
      </c>
      <c r="L7267" s="2" t="s">
        <v>31923</v>
      </c>
      <c r="M7267" s="2" t="s">
        <v>34378</v>
      </c>
      <c r="N7267" s="2" t="s">
        <v>34379</v>
      </c>
      <c r="O7267" s="2" t="s">
        <v>869</v>
      </c>
      <c r="P7267" s="2" t="s">
        <v>870</v>
      </c>
    </row>
    <row r="7268" ht="15.75" customHeight="1">
      <c r="H7268" s="2" t="s">
        <v>34380</v>
      </c>
      <c r="I7268" s="2" t="s">
        <v>9265</v>
      </c>
      <c r="J7268" s="2" t="s">
        <v>9266</v>
      </c>
      <c r="K7268" s="2" t="s">
        <v>6019</v>
      </c>
      <c r="L7268" s="2" t="s">
        <v>31923</v>
      </c>
      <c r="M7268" s="2" t="s">
        <v>34381</v>
      </c>
      <c r="N7268" s="2" t="s">
        <v>34382</v>
      </c>
      <c r="O7268" s="2" t="s">
        <v>869</v>
      </c>
      <c r="P7268" s="2" t="s">
        <v>870</v>
      </c>
    </row>
    <row r="7269" ht="15.75" customHeight="1">
      <c r="F7269" s="2" t="s">
        <v>3384</v>
      </c>
      <c r="H7269" s="2" t="s">
        <v>34383</v>
      </c>
      <c r="I7269" s="2" t="s">
        <v>3391</v>
      </c>
      <c r="J7269" s="2" t="s">
        <v>3392</v>
      </c>
      <c r="K7269" s="2" t="s">
        <v>24561</v>
      </c>
      <c r="L7269" s="2" t="s">
        <v>31923</v>
      </c>
      <c r="M7269" s="2" t="s">
        <v>27676</v>
      </c>
      <c r="N7269" s="2" t="s">
        <v>34384</v>
      </c>
      <c r="O7269" s="2" t="s">
        <v>869</v>
      </c>
      <c r="P7269" s="2" t="s">
        <v>870</v>
      </c>
    </row>
    <row r="7270" ht="15.75" customHeight="1">
      <c r="H7270" s="2" t="s">
        <v>34385</v>
      </c>
      <c r="I7270" s="2" t="s">
        <v>3396</v>
      </c>
      <c r="J7270" s="2" t="s">
        <v>3397</v>
      </c>
      <c r="K7270" s="2" t="s">
        <v>15779</v>
      </c>
      <c r="L7270" s="2" t="s">
        <v>31923</v>
      </c>
      <c r="M7270" s="2" t="s">
        <v>27683</v>
      </c>
      <c r="N7270" s="2" t="s">
        <v>34386</v>
      </c>
      <c r="O7270" s="2" t="s">
        <v>869</v>
      </c>
      <c r="P7270" s="2" t="s">
        <v>870</v>
      </c>
    </row>
    <row r="7271" ht="15.75" customHeight="1">
      <c r="H7271" s="2" t="s">
        <v>34387</v>
      </c>
      <c r="I7271" s="2" t="s">
        <v>3401</v>
      </c>
      <c r="J7271" s="2" t="s">
        <v>3402</v>
      </c>
      <c r="K7271" s="2" t="s">
        <v>25068</v>
      </c>
      <c r="L7271" s="2" t="s">
        <v>31923</v>
      </c>
      <c r="M7271" s="2" t="s">
        <v>29951</v>
      </c>
      <c r="N7271" s="2" t="s">
        <v>34388</v>
      </c>
      <c r="O7271" s="2" t="s">
        <v>869</v>
      </c>
      <c r="P7271" s="2" t="s">
        <v>870</v>
      </c>
    </row>
    <row r="7272" ht="15.75" customHeight="1">
      <c r="H7272" s="2" t="s">
        <v>34389</v>
      </c>
      <c r="I7272" s="2" t="s">
        <v>3406</v>
      </c>
      <c r="J7272" s="2" t="s">
        <v>3407</v>
      </c>
      <c r="K7272" s="2" t="s">
        <v>15901</v>
      </c>
      <c r="L7272" s="2" t="s">
        <v>31923</v>
      </c>
      <c r="M7272" s="2" t="s">
        <v>27714</v>
      </c>
      <c r="N7272" s="2" t="s">
        <v>34390</v>
      </c>
      <c r="O7272" s="2" t="s">
        <v>869</v>
      </c>
      <c r="P7272" s="2" t="s">
        <v>870</v>
      </c>
    </row>
    <row r="7273" ht="15.75" customHeight="1">
      <c r="H7273" s="2" t="s">
        <v>34391</v>
      </c>
      <c r="I7273" s="2" t="s">
        <v>2568</v>
      </c>
      <c r="J7273" s="2" t="s">
        <v>2569</v>
      </c>
      <c r="K7273" s="2" t="s">
        <v>24518</v>
      </c>
      <c r="L7273" s="2" t="s">
        <v>31923</v>
      </c>
      <c r="M7273" s="2" t="s">
        <v>27721</v>
      </c>
      <c r="N7273" s="2" t="s">
        <v>34392</v>
      </c>
      <c r="O7273" s="2" t="s">
        <v>869</v>
      </c>
      <c r="P7273" s="2" t="s">
        <v>870</v>
      </c>
    </row>
    <row r="7274" ht="15.75" customHeight="1">
      <c r="H7274" s="2" t="s">
        <v>34393</v>
      </c>
      <c r="I7274" s="2" t="s">
        <v>3053</v>
      </c>
      <c r="J7274" s="2" t="s">
        <v>3054</v>
      </c>
      <c r="K7274" s="2" t="s">
        <v>24578</v>
      </c>
      <c r="L7274" s="2" t="s">
        <v>31923</v>
      </c>
      <c r="M7274" s="2" t="s">
        <v>27726</v>
      </c>
      <c r="N7274" s="2" t="s">
        <v>34394</v>
      </c>
      <c r="O7274" s="2" t="s">
        <v>869</v>
      </c>
      <c r="P7274" s="2" t="s">
        <v>870</v>
      </c>
    </row>
    <row r="7275" ht="15.75" customHeight="1">
      <c r="H7275" s="2" t="s">
        <v>34395</v>
      </c>
      <c r="I7275" s="2" t="s">
        <v>34396</v>
      </c>
      <c r="J7275" s="2" t="s">
        <v>34397</v>
      </c>
      <c r="K7275" s="2" t="s">
        <v>15861</v>
      </c>
      <c r="L7275" s="2" t="s">
        <v>31923</v>
      </c>
      <c r="M7275" s="2" t="s">
        <v>34398</v>
      </c>
      <c r="N7275" s="2" t="s">
        <v>34399</v>
      </c>
      <c r="O7275" s="2" t="s">
        <v>869</v>
      </c>
      <c r="P7275" s="2" t="s">
        <v>870</v>
      </c>
    </row>
    <row r="7276" ht="15.75" customHeight="1">
      <c r="H7276" s="2" t="s">
        <v>34400</v>
      </c>
      <c r="I7276" s="2" t="s">
        <v>17431</v>
      </c>
      <c r="J7276" s="2" t="s">
        <v>17432</v>
      </c>
      <c r="K7276" s="2" t="s">
        <v>6054</v>
      </c>
      <c r="L7276" s="2" t="s">
        <v>31923</v>
      </c>
      <c r="M7276" s="2" t="s">
        <v>27729</v>
      </c>
      <c r="N7276" s="2" t="s">
        <v>34401</v>
      </c>
      <c r="O7276" s="2" t="s">
        <v>869</v>
      </c>
      <c r="P7276" s="2" t="s">
        <v>870</v>
      </c>
    </row>
    <row r="7277" ht="15.75" customHeight="1">
      <c r="H7277" s="2" t="s">
        <v>34402</v>
      </c>
      <c r="I7277" s="2" t="s">
        <v>3419</v>
      </c>
      <c r="J7277" s="2" t="s">
        <v>3420</v>
      </c>
      <c r="K7277" s="2" t="s">
        <v>25073</v>
      </c>
      <c r="L7277" s="2" t="s">
        <v>31923</v>
      </c>
      <c r="M7277" s="2" t="s">
        <v>27736</v>
      </c>
      <c r="N7277" s="2" t="s">
        <v>34403</v>
      </c>
      <c r="O7277" s="2" t="s">
        <v>869</v>
      </c>
      <c r="P7277" s="2" t="s">
        <v>870</v>
      </c>
    </row>
    <row r="7278" ht="15.75" customHeight="1">
      <c r="F7278" s="2" t="s">
        <v>651</v>
      </c>
      <c r="H7278" s="2" t="s">
        <v>34404</v>
      </c>
      <c r="I7278" s="2" t="s">
        <v>9278</v>
      </c>
      <c r="J7278" s="2" t="s">
        <v>9279</v>
      </c>
      <c r="K7278" s="2" t="s">
        <v>24561</v>
      </c>
      <c r="L7278" s="2" t="s">
        <v>31923</v>
      </c>
      <c r="M7278" s="2" t="s">
        <v>9281</v>
      </c>
      <c r="N7278" s="2" t="s">
        <v>34405</v>
      </c>
      <c r="O7278" s="2" t="s">
        <v>869</v>
      </c>
      <c r="P7278" s="2" t="s">
        <v>870</v>
      </c>
    </row>
    <row r="7279" ht="15.75" customHeight="1">
      <c r="H7279" s="2" t="s">
        <v>34406</v>
      </c>
      <c r="I7279" s="2" t="s">
        <v>3439</v>
      </c>
      <c r="J7279" s="2" t="s">
        <v>3440</v>
      </c>
      <c r="K7279" s="2" t="s">
        <v>5995</v>
      </c>
      <c r="L7279" s="2" t="s">
        <v>31923</v>
      </c>
      <c r="M7279" s="2" t="s">
        <v>29955</v>
      </c>
      <c r="N7279" s="2" t="s">
        <v>34407</v>
      </c>
      <c r="O7279" s="2" t="s">
        <v>869</v>
      </c>
      <c r="P7279" s="2" t="s">
        <v>870</v>
      </c>
    </row>
    <row r="7280" ht="15.75" customHeight="1">
      <c r="H7280" s="2" t="s">
        <v>34408</v>
      </c>
      <c r="I7280" s="2" t="s">
        <v>34409</v>
      </c>
      <c r="J7280" s="2" t="s">
        <v>34410</v>
      </c>
      <c r="K7280" s="2" t="s">
        <v>15897</v>
      </c>
      <c r="L7280" s="2" t="s">
        <v>31923</v>
      </c>
      <c r="M7280" s="2" t="s">
        <v>29955</v>
      </c>
      <c r="N7280" s="2" t="s">
        <v>34411</v>
      </c>
      <c r="O7280" s="2" t="s">
        <v>869</v>
      </c>
      <c r="P7280" s="2" t="s">
        <v>870</v>
      </c>
    </row>
    <row r="7281" ht="15.75" customHeight="1">
      <c r="H7281" s="2" t="s">
        <v>34412</v>
      </c>
      <c r="I7281" s="2" t="s">
        <v>31936</v>
      </c>
      <c r="J7281" s="2" t="s">
        <v>31937</v>
      </c>
      <c r="K7281" s="2" t="s">
        <v>6000</v>
      </c>
      <c r="L7281" s="2" t="s">
        <v>31923</v>
      </c>
      <c r="M7281" s="2" t="s">
        <v>34413</v>
      </c>
      <c r="N7281" s="2" t="s">
        <v>34414</v>
      </c>
      <c r="O7281" s="2" t="s">
        <v>869</v>
      </c>
      <c r="P7281" s="2" t="s">
        <v>870</v>
      </c>
    </row>
    <row r="7282" ht="15.75" customHeight="1">
      <c r="H7282" s="2" t="s">
        <v>34415</v>
      </c>
      <c r="I7282" s="2" t="s">
        <v>3221</v>
      </c>
      <c r="J7282" s="2" t="s">
        <v>3222</v>
      </c>
      <c r="K7282" s="2" t="s">
        <v>15901</v>
      </c>
      <c r="L7282" s="2" t="s">
        <v>31923</v>
      </c>
      <c r="M7282" s="2" t="s">
        <v>34416</v>
      </c>
      <c r="N7282" s="2" t="s">
        <v>34417</v>
      </c>
      <c r="O7282" s="2" t="s">
        <v>869</v>
      </c>
      <c r="P7282" s="2" t="s">
        <v>870</v>
      </c>
    </row>
    <row r="7283" ht="15.75" customHeight="1">
      <c r="H7283" s="2" t="s">
        <v>34418</v>
      </c>
      <c r="I7283" s="2" t="s">
        <v>34419</v>
      </c>
      <c r="J7283" s="2" t="s">
        <v>34420</v>
      </c>
      <c r="K7283" s="2" t="s">
        <v>24414</v>
      </c>
      <c r="L7283" s="2" t="s">
        <v>31923</v>
      </c>
      <c r="M7283" s="2" t="s">
        <v>34421</v>
      </c>
      <c r="N7283" s="2" t="s">
        <v>34422</v>
      </c>
      <c r="O7283" s="2" t="s">
        <v>869</v>
      </c>
      <c r="P7283" s="2" t="s">
        <v>870</v>
      </c>
    </row>
    <row r="7284" ht="15.75" customHeight="1">
      <c r="H7284" s="2" t="s">
        <v>34423</v>
      </c>
      <c r="I7284" s="2" t="s">
        <v>34424</v>
      </c>
      <c r="J7284" s="2" t="s">
        <v>34425</v>
      </c>
      <c r="K7284" s="2" t="s">
        <v>6050</v>
      </c>
      <c r="L7284" s="2" t="s">
        <v>31923</v>
      </c>
      <c r="M7284" s="2" t="s">
        <v>34426</v>
      </c>
      <c r="N7284" s="2" t="s">
        <v>34427</v>
      </c>
      <c r="O7284" s="2" t="s">
        <v>869</v>
      </c>
      <c r="P7284" s="2" t="s">
        <v>870</v>
      </c>
    </row>
    <row r="7285" ht="15.75" customHeight="1">
      <c r="H7285" s="2" t="s">
        <v>34428</v>
      </c>
      <c r="I7285" s="2" t="s">
        <v>4132</v>
      </c>
      <c r="J7285" s="2" t="s">
        <v>4133</v>
      </c>
      <c r="K7285" s="2" t="s">
        <v>24578</v>
      </c>
      <c r="L7285" s="2" t="s">
        <v>31923</v>
      </c>
      <c r="M7285" s="2" t="s">
        <v>34429</v>
      </c>
      <c r="N7285" s="2" t="s">
        <v>34430</v>
      </c>
      <c r="O7285" s="2" t="s">
        <v>869</v>
      </c>
      <c r="P7285" s="2" t="s">
        <v>870</v>
      </c>
    </row>
    <row r="7286" ht="15.75" customHeight="1">
      <c r="H7286" s="2" t="s">
        <v>34431</v>
      </c>
      <c r="I7286" s="2" t="s">
        <v>34432</v>
      </c>
      <c r="J7286" s="2" t="s">
        <v>34433</v>
      </c>
      <c r="K7286" s="2" t="s">
        <v>15861</v>
      </c>
      <c r="L7286" s="2" t="s">
        <v>31923</v>
      </c>
      <c r="M7286" s="2" t="s">
        <v>34434</v>
      </c>
      <c r="N7286" s="2" t="s">
        <v>34435</v>
      </c>
      <c r="O7286" s="2" t="s">
        <v>869</v>
      </c>
      <c r="P7286" s="2" t="s">
        <v>870</v>
      </c>
    </row>
    <row r="7287" ht="15.75" customHeight="1">
      <c r="H7287" s="2" t="s">
        <v>34436</v>
      </c>
      <c r="I7287" s="2" t="s">
        <v>9325</v>
      </c>
      <c r="J7287" s="2" t="s">
        <v>9326</v>
      </c>
      <c r="K7287" s="2" t="s">
        <v>24528</v>
      </c>
      <c r="L7287" s="2" t="s">
        <v>31923</v>
      </c>
      <c r="M7287" s="2" t="s">
        <v>34437</v>
      </c>
      <c r="N7287" s="2" t="s">
        <v>34438</v>
      </c>
      <c r="O7287" s="2" t="s">
        <v>869</v>
      </c>
      <c r="P7287" s="2" t="s">
        <v>870</v>
      </c>
    </row>
    <row r="7288" ht="15.75" customHeight="1">
      <c r="H7288" s="2" t="s">
        <v>34439</v>
      </c>
      <c r="I7288" s="2" t="s">
        <v>34440</v>
      </c>
      <c r="J7288" s="2" t="s">
        <v>34441</v>
      </c>
      <c r="K7288" s="2" t="s">
        <v>31317</v>
      </c>
      <c r="L7288" s="2" t="s">
        <v>31923</v>
      </c>
      <c r="M7288" s="2" t="s">
        <v>34442</v>
      </c>
      <c r="N7288" s="2" t="s">
        <v>34443</v>
      </c>
      <c r="O7288" s="2" t="s">
        <v>869</v>
      </c>
      <c r="P7288" s="2" t="s">
        <v>870</v>
      </c>
    </row>
    <row r="7289" ht="15.75" customHeight="1">
      <c r="H7289" s="2" t="s">
        <v>34444</v>
      </c>
      <c r="I7289" s="2" t="s">
        <v>3462</v>
      </c>
      <c r="J7289" s="2" t="s">
        <v>3463</v>
      </c>
      <c r="K7289" s="2" t="s">
        <v>15805</v>
      </c>
      <c r="L7289" s="2" t="s">
        <v>31923</v>
      </c>
      <c r="M7289" s="2" t="s">
        <v>34445</v>
      </c>
      <c r="N7289" s="2" t="s">
        <v>34446</v>
      </c>
      <c r="O7289" s="2" t="s">
        <v>869</v>
      </c>
      <c r="P7289" s="2" t="s">
        <v>870</v>
      </c>
    </row>
    <row r="7290" ht="15.75" customHeight="1">
      <c r="H7290" s="2" t="s">
        <v>34447</v>
      </c>
      <c r="I7290" s="2" t="s">
        <v>34448</v>
      </c>
      <c r="J7290" s="2" t="s">
        <v>34449</v>
      </c>
      <c r="K7290" s="2" t="s">
        <v>22104</v>
      </c>
      <c r="L7290" s="2" t="s">
        <v>31923</v>
      </c>
      <c r="M7290" s="2" t="s">
        <v>34450</v>
      </c>
      <c r="N7290" s="2" t="s">
        <v>34451</v>
      </c>
      <c r="O7290" s="2" t="s">
        <v>869</v>
      </c>
      <c r="P7290" s="2" t="s">
        <v>870</v>
      </c>
    </row>
    <row r="7291" ht="15.75" customHeight="1">
      <c r="H7291" s="2" t="s">
        <v>34452</v>
      </c>
      <c r="I7291" s="2" t="s">
        <v>653</v>
      </c>
      <c r="J7291" s="2" t="s">
        <v>654</v>
      </c>
      <c r="K7291" s="2" t="s">
        <v>15868</v>
      </c>
      <c r="L7291" s="2" t="s">
        <v>31923</v>
      </c>
      <c r="M7291" s="2" t="s">
        <v>29965</v>
      </c>
      <c r="N7291" s="2" t="s">
        <v>34453</v>
      </c>
      <c r="O7291" s="2" t="s">
        <v>869</v>
      </c>
      <c r="P7291" s="2" t="s">
        <v>870</v>
      </c>
    </row>
    <row r="7292" ht="15.75" customHeight="1">
      <c r="H7292" s="2" t="s">
        <v>34454</v>
      </c>
      <c r="I7292" s="2" t="s">
        <v>34455</v>
      </c>
      <c r="J7292" s="2" t="s">
        <v>34456</v>
      </c>
      <c r="K7292" s="2" t="s">
        <v>24102</v>
      </c>
      <c r="L7292" s="2" t="s">
        <v>31923</v>
      </c>
      <c r="M7292" s="2" t="s">
        <v>34457</v>
      </c>
      <c r="N7292" s="2" t="s">
        <v>34458</v>
      </c>
      <c r="O7292" s="2" t="s">
        <v>869</v>
      </c>
      <c r="P7292" s="2" t="s">
        <v>870</v>
      </c>
    </row>
    <row r="7293" ht="15.75" customHeight="1">
      <c r="H7293" s="2" t="s">
        <v>34459</v>
      </c>
      <c r="I7293" s="2" t="s">
        <v>5202</v>
      </c>
      <c r="J7293" s="2" t="s">
        <v>5203</v>
      </c>
      <c r="K7293" s="2" t="s">
        <v>22055</v>
      </c>
      <c r="L7293" s="2" t="s">
        <v>31923</v>
      </c>
      <c r="M7293" s="2" t="s">
        <v>34460</v>
      </c>
      <c r="N7293" s="2" t="s">
        <v>34461</v>
      </c>
      <c r="O7293" s="2" t="s">
        <v>869</v>
      </c>
      <c r="P7293" s="2" t="s">
        <v>870</v>
      </c>
    </row>
    <row r="7294" ht="15.75" customHeight="1">
      <c r="H7294" s="2" t="s">
        <v>34462</v>
      </c>
      <c r="I7294" s="2" t="s">
        <v>432</v>
      </c>
      <c r="J7294" s="2" t="s">
        <v>433</v>
      </c>
      <c r="K7294" s="2" t="s">
        <v>24109</v>
      </c>
      <c r="L7294" s="2" t="s">
        <v>31923</v>
      </c>
      <c r="M7294" s="2" t="s">
        <v>34463</v>
      </c>
      <c r="N7294" s="2" t="s">
        <v>34464</v>
      </c>
      <c r="O7294" s="2" t="s">
        <v>869</v>
      </c>
      <c r="P7294" s="2" t="s">
        <v>870</v>
      </c>
    </row>
    <row r="7295" ht="15.75" customHeight="1">
      <c r="H7295" s="2" t="s">
        <v>34465</v>
      </c>
      <c r="I7295" s="2" t="s">
        <v>1410</v>
      </c>
      <c r="J7295" s="2" t="s">
        <v>1411</v>
      </c>
      <c r="K7295" s="2" t="s">
        <v>24679</v>
      </c>
      <c r="L7295" s="2" t="s">
        <v>31923</v>
      </c>
      <c r="M7295" s="2" t="s">
        <v>34466</v>
      </c>
      <c r="N7295" s="2" t="s">
        <v>34467</v>
      </c>
      <c r="O7295" s="2" t="s">
        <v>869</v>
      </c>
      <c r="P7295" s="2" t="s">
        <v>870</v>
      </c>
    </row>
    <row r="7296" ht="15.75" customHeight="1">
      <c r="H7296" s="2" t="s">
        <v>34468</v>
      </c>
      <c r="I7296" s="2" t="s">
        <v>34469</v>
      </c>
      <c r="J7296" s="2" t="s">
        <v>34470</v>
      </c>
      <c r="K7296" s="2" t="s">
        <v>15809</v>
      </c>
      <c r="L7296" s="2" t="s">
        <v>31923</v>
      </c>
      <c r="M7296" s="2" t="s">
        <v>34471</v>
      </c>
      <c r="N7296" s="2" t="s">
        <v>34472</v>
      </c>
      <c r="O7296" s="2" t="s">
        <v>869</v>
      </c>
      <c r="P7296" s="2" t="s">
        <v>870</v>
      </c>
    </row>
    <row r="7297" ht="15.75" customHeight="1">
      <c r="H7297" s="2" t="s">
        <v>34473</v>
      </c>
      <c r="I7297" s="2" t="s">
        <v>34474</v>
      </c>
      <c r="J7297" s="2" t="s">
        <v>34475</v>
      </c>
      <c r="K7297" s="2" t="s">
        <v>24263</v>
      </c>
      <c r="L7297" s="2" t="s">
        <v>31923</v>
      </c>
      <c r="M7297" s="2" t="s">
        <v>34476</v>
      </c>
      <c r="N7297" s="2" t="s">
        <v>34477</v>
      </c>
      <c r="O7297" s="2" t="s">
        <v>869</v>
      </c>
      <c r="P7297" s="2" t="s">
        <v>870</v>
      </c>
    </row>
    <row r="7298" ht="15.75" customHeight="1">
      <c r="H7298" s="2" t="s">
        <v>34478</v>
      </c>
      <c r="I7298" s="2" t="s">
        <v>34479</v>
      </c>
      <c r="J7298" s="2" t="s">
        <v>34480</v>
      </c>
      <c r="K7298" s="2" t="s">
        <v>31463</v>
      </c>
      <c r="L7298" s="2" t="s">
        <v>31923</v>
      </c>
      <c r="M7298" s="2" t="s">
        <v>34481</v>
      </c>
      <c r="N7298" s="2" t="s">
        <v>34482</v>
      </c>
      <c r="O7298" s="2" t="s">
        <v>869</v>
      </c>
      <c r="P7298" s="2" t="s">
        <v>870</v>
      </c>
    </row>
    <row r="7299" ht="15.75" customHeight="1">
      <c r="H7299" s="2" t="s">
        <v>34483</v>
      </c>
      <c r="I7299" s="2" t="s">
        <v>34484</v>
      </c>
      <c r="J7299" s="2" t="s">
        <v>34485</v>
      </c>
      <c r="K7299" s="2" t="s">
        <v>25287</v>
      </c>
      <c r="L7299" s="2" t="s">
        <v>31923</v>
      </c>
      <c r="M7299" s="2" t="s">
        <v>34486</v>
      </c>
      <c r="N7299" s="2" t="s">
        <v>34487</v>
      </c>
      <c r="O7299" s="2" t="s">
        <v>869</v>
      </c>
      <c r="P7299" s="2" t="s">
        <v>870</v>
      </c>
    </row>
    <row r="7300" ht="15.75" customHeight="1">
      <c r="F7300" s="2" t="s">
        <v>3521</v>
      </c>
      <c r="H7300" s="2" t="s">
        <v>34488</v>
      </c>
      <c r="I7300" s="2" t="s">
        <v>21414</v>
      </c>
      <c r="J7300" s="2" t="s">
        <v>21415</v>
      </c>
      <c r="K7300" s="2" t="s">
        <v>24561</v>
      </c>
      <c r="L7300" s="2" t="s">
        <v>31923</v>
      </c>
      <c r="M7300" s="2" t="s">
        <v>34489</v>
      </c>
      <c r="N7300" s="2" t="s">
        <v>34490</v>
      </c>
      <c r="O7300" s="2" t="s">
        <v>869</v>
      </c>
      <c r="P7300" s="2" t="s">
        <v>870</v>
      </c>
    </row>
    <row r="7301" ht="15.75" customHeight="1">
      <c r="H7301" s="2" t="s">
        <v>34491</v>
      </c>
      <c r="I7301" s="2" t="s">
        <v>12397</v>
      </c>
      <c r="J7301" s="2" t="s">
        <v>12398</v>
      </c>
      <c r="K7301" s="2" t="s">
        <v>24518</v>
      </c>
      <c r="L7301" s="2" t="s">
        <v>31923</v>
      </c>
      <c r="M7301" s="2" t="s">
        <v>34492</v>
      </c>
      <c r="N7301" s="2" t="s">
        <v>34493</v>
      </c>
      <c r="O7301" s="2" t="s">
        <v>869</v>
      </c>
      <c r="P7301" s="2" t="s">
        <v>870</v>
      </c>
    </row>
    <row r="7302" ht="15.75" customHeight="1">
      <c r="H7302" s="2" t="s">
        <v>34494</v>
      </c>
      <c r="I7302" s="2" t="s">
        <v>34495</v>
      </c>
      <c r="J7302" s="2" t="s">
        <v>34496</v>
      </c>
      <c r="K7302" s="2" t="s">
        <v>25009</v>
      </c>
      <c r="L7302" s="2" t="s">
        <v>31923</v>
      </c>
      <c r="M7302" s="2" t="s">
        <v>34497</v>
      </c>
      <c r="N7302" s="2" t="s">
        <v>34498</v>
      </c>
      <c r="O7302" s="2" t="s">
        <v>869</v>
      </c>
      <c r="P7302" s="2" t="s">
        <v>870</v>
      </c>
    </row>
    <row r="7303" ht="15.75" customHeight="1">
      <c r="H7303" s="2" t="s">
        <v>34499</v>
      </c>
      <c r="I7303" s="2" t="s">
        <v>20475</v>
      </c>
      <c r="J7303" s="2" t="s">
        <v>20476</v>
      </c>
      <c r="K7303" s="2" t="s">
        <v>6025</v>
      </c>
      <c r="L7303" s="2" t="s">
        <v>31923</v>
      </c>
      <c r="M7303" s="2" t="s">
        <v>34500</v>
      </c>
      <c r="N7303" s="2" t="s">
        <v>34501</v>
      </c>
      <c r="O7303" s="2" t="s">
        <v>869</v>
      </c>
      <c r="P7303" s="2" t="s">
        <v>870</v>
      </c>
    </row>
    <row r="7304" ht="15.75" customHeight="1">
      <c r="H7304" s="2" t="s">
        <v>34502</v>
      </c>
      <c r="I7304" s="2" t="s">
        <v>34503</v>
      </c>
      <c r="J7304" s="2" t="s">
        <v>34504</v>
      </c>
      <c r="K7304" s="2" t="s">
        <v>15897</v>
      </c>
      <c r="L7304" s="2" t="s">
        <v>31923</v>
      </c>
      <c r="M7304" s="2" t="s">
        <v>34505</v>
      </c>
      <c r="N7304" s="2" t="s">
        <v>869</v>
      </c>
      <c r="O7304" s="2" t="s">
        <v>870</v>
      </c>
    </row>
    <row r="7305" ht="15.75" customHeight="1">
      <c r="H7305" s="2" t="s">
        <v>34506</v>
      </c>
      <c r="I7305" s="2" t="s">
        <v>20483</v>
      </c>
      <c r="J7305" s="2" t="s">
        <v>20484</v>
      </c>
      <c r="K7305" s="2" t="s">
        <v>6050</v>
      </c>
      <c r="L7305" s="2" t="s">
        <v>31923</v>
      </c>
      <c r="M7305" s="2" t="s">
        <v>34507</v>
      </c>
      <c r="N7305" s="2" t="s">
        <v>34508</v>
      </c>
      <c r="O7305" s="2" t="s">
        <v>869</v>
      </c>
      <c r="P7305" s="2" t="s">
        <v>870</v>
      </c>
    </row>
    <row r="7306" ht="15.75" customHeight="1">
      <c r="H7306" s="2" t="s">
        <v>34509</v>
      </c>
      <c r="I7306" s="2" t="s">
        <v>1671</v>
      </c>
      <c r="J7306" s="2" t="s">
        <v>1671</v>
      </c>
      <c r="K7306" s="2" t="s">
        <v>996</v>
      </c>
    </row>
    <row r="7307" ht="15.75" customHeight="1">
      <c r="H7307" s="2" t="s">
        <v>34510</v>
      </c>
      <c r="I7307" s="2" t="s">
        <v>34511</v>
      </c>
      <c r="J7307" s="2" t="s">
        <v>34512</v>
      </c>
      <c r="K7307" s="2" t="s">
        <v>34513</v>
      </c>
      <c r="L7307" s="2" t="s">
        <v>31923</v>
      </c>
      <c r="M7307" s="2" t="s">
        <v>34514</v>
      </c>
      <c r="N7307" s="2" t="s">
        <v>869</v>
      </c>
      <c r="O7307" s="2" t="s">
        <v>870</v>
      </c>
    </row>
    <row r="7308" ht="15.75" customHeight="1">
      <c r="H7308" s="2" t="s">
        <v>34515</v>
      </c>
      <c r="I7308" s="2" t="s">
        <v>5188</v>
      </c>
      <c r="J7308" s="2" t="s">
        <v>5189</v>
      </c>
      <c r="K7308" s="2" t="s">
        <v>6046</v>
      </c>
      <c r="L7308" s="2" t="s">
        <v>31923</v>
      </c>
      <c r="M7308" s="2" t="s">
        <v>34516</v>
      </c>
      <c r="N7308" s="2" t="s">
        <v>34517</v>
      </c>
      <c r="O7308" s="2" t="s">
        <v>869</v>
      </c>
      <c r="P7308" s="2" t="s">
        <v>870</v>
      </c>
    </row>
    <row r="7309" ht="15.75" customHeight="1">
      <c r="H7309" s="2" t="s">
        <v>34518</v>
      </c>
      <c r="I7309" s="2" t="s">
        <v>3538</v>
      </c>
      <c r="J7309" s="2" t="s">
        <v>3539</v>
      </c>
      <c r="K7309" s="2" t="s">
        <v>25032</v>
      </c>
      <c r="L7309" s="2" t="s">
        <v>31923</v>
      </c>
      <c r="M7309" s="2" t="s">
        <v>30003</v>
      </c>
      <c r="N7309" s="2" t="s">
        <v>34519</v>
      </c>
      <c r="O7309" s="2" t="s">
        <v>869</v>
      </c>
      <c r="P7309" s="2" t="s">
        <v>870</v>
      </c>
    </row>
    <row r="7310" ht="15.75" customHeight="1">
      <c r="H7310" s="2" t="s">
        <v>34520</v>
      </c>
      <c r="I7310" s="2" t="s">
        <v>3553</v>
      </c>
      <c r="J7310" s="2" t="s">
        <v>3554</v>
      </c>
      <c r="K7310" s="2" t="s">
        <v>24379</v>
      </c>
      <c r="L7310" s="2" t="s">
        <v>31923</v>
      </c>
      <c r="M7310" s="2" t="s">
        <v>34521</v>
      </c>
      <c r="N7310" s="2" t="s">
        <v>34522</v>
      </c>
      <c r="O7310" s="2" t="s">
        <v>869</v>
      </c>
      <c r="P7310" s="2" t="s">
        <v>870</v>
      </c>
    </row>
    <row r="7311" ht="15.75" customHeight="1">
      <c r="H7311" s="2" t="s">
        <v>34523</v>
      </c>
      <c r="I7311" s="2" t="s">
        <v>9445</v>
      </c>
      <c r="J7311" s="2" t="s">
        <v>9446</v>
      </c>
      <c r="K7311" s="2" t="s">
        <v>24102</v>
      </c>
      <c r="L7311" s="2" t="s">
        <v>31923</v>
      </c>
      <c r="M7311" s="2" t="s">
        <v>34524</v>
      </c>
      <c r="N7311" s="2" t="s">
        <v>34525</v>
      </c>
      <c r="O7311" s="2" t="s">
        <v>869</v>
      </c>
      <c r="P7311" s="2" t="s">
        <v>870</v>
      </c>
    </row>
    <row r="7312" ht="15.75" customHeight="1">
      <c r="H7312" s="2" t="s">
        <v>34526</v>
      </c>
      <c r="I7312" s="2" t="s">
        <v>3558</v>
      </c>
      <c r="J7312" s="2" t="s">
        <v>3559</v>
      </c>
      <c r="K7312" s="2" t="s">
        <v>24137</v>
      </c>
      <c r="L7312" s="2" t="s">
        <v>31923</v>
      </c>
      <c r="M7312" s="2" t="s">
        <v>34527</v>
      </c>
      <c r="N7312" s="2" t="s">
        <v>34528</v>
      </c>
      <c r="O7312" s="2" t="s">
        <v>869</v>
      </c>
      <c r="P7312" s="2" t="s">
        <v>870</v>
      </c>
    </row>
    <row r="7313" ht="15.75" customHeight="1">
      <c r="F7313" s="2" t="s">
        <v>3567</v>
      </c>
      <c r="H7313" s="2" t="s">
        <v>34529</v>
      </c>
      <c r="I7313" s="2" t="s">
        <v>20495</v>
      </c>
      <c r="J7313" s="2" t="s">
        <v>20496</v>
      </c>
      <c r="K7313" s="2" t="s">
        <v>22462</v>
      </c>
      <c r="L7313" s="2" t="s">
        <v>31923</v>
      </c>
      <c r="M7313" s="2" t="s">
        <v>30025</v>
      </c>
      <c r="N7313" s="2" t="s">
        <v>34530</v>
      </c>
      <c r="O7313" s="2" t="s">
        <v>869</v>
      </c>
      <c r="P7313" s="2" t="s">
        <v>870</v>
      </c>
    </row>
    <row r="7314" ht="15.75" customHeight="1">
      <c r="H7314" s="2" t="s">
        <v>34531</v>
      </c>
      <c r="I7314" s="2" t="s">
        <v>34532</v>
      </c>
      <c r="J7314" s="2" t="s">
        <v>34533</v>
      </c>
      <c r="K7314" s="2" t="s">
        <v>31927</v>
      </c>
      <c r="L7314" s="2" t="s">
        <v>31923</v>
      </c>
      <c r="M7314" s="2" t="s">
        <v>34534</v>
      </c>
      <c r="N7314" s="2" t="s">
        <v>869</v>
      </c>
      <c r="O7314" s="2" t="s">
        <v>870</v>
      </c>
    </row>
    <row r="7315" ht="15.75" customHeight="1">
      <c r="H7315" s="2" t="s">
        <v>34535</v>
      </c>
      <c r="I7315" s="2" t="s">
        <v>20510</v>
      </c>
      <c r="J7315" s="2" t="s">
        <v>20511</v>
      </c>
      <c r="K7315" s="2" t="s">
        <v>24518</v>
      </c>
      <c r="L7315" s="2" t="s">
        <v>31923</v>
      </c>
      <c r="M7315" s="2" t="s">
        <v>34536</v>
      </c>
      <c r="N7315" s="2" t="s">
        <v>869</v>
      </c>
      <c r="O7315" s="2" t="s">
        <v>870</v>
      </c>
    </row>
    <row r="7316" ht="15.75" customHeight="1">
      <c r="H7316" s="2" t="s">
        <v>34537</v>
      </c>
      <c r="I7316" s="2" t="s">
        <v>27768</v>
      </c>
      <c r="J7316" s="2" t="s">
        <v>27769</v>
      </c>
      <c r="K7316" s="2" t="s">
        <v>25068</v>
      </c>
      <c r="L7316" s="2" t="s">
        <v>31923</v>
      </c>
      <c r="M7316" s="2" t="s">
        <v>27770</v>
      </c>
      <c r="N7316" s="2" t="s">
        <v>34538</v>
      </c>
      <c r="O7316" s="2" t="s">
        <v>869</v>
      </c>
      <c r="P7316" s="2" t="s">
        <v>870</v>
      </c>
    </row>
    <row r="7317" ht="15.75" customHeight="1">
      <c r="H7317" s="2" t="s">
        <v>34539</v>
      </c>
      <c r="I7317" s="2" t="s">
        <v>3110</v>
      </c>
      <c r="J7317" s="2" t="s">
        <v>3111</v>
      </c>
      <c r="K7317" s="2" t="s">
        <v>15801</v>
      </c>
      <c r="L7317" s="2" t="s">
        <v>31923</v>
      </c>
      <c r="M7317" s="2" t="s">
        <v>34540</v>
      </c>
      <c r="N7317" s="2" t="s">
        <v>34541</v>
      </c>
      <c r="O7317" s="2" t="s">
        <v>869</v>
      </c>
      <c r="P7317" s="2" t="s">
        <v>870</v>
      </c>
    </row>
    <row r="7318" ht="15.75" customHeight="1">
      <c r="H7318" s="2" t="s">
        <v>34542</v>
      </c>
      <c r="I7318" s="2" t="s">
        <v>3569</v>
      </c>
      <c r="J7318" s="2" t="s">
        <v>3570</v>
      </c>
      <c r="K7318" s="2" t="s">
        <v>15901</v>
      </c>
      <c r="L7318" s="2" t="s">
        <v>31923</v>
      </c>
      <c r="M7318" s="2" t="s">
        <v>27776</v>
      </c>
      <c r="N7318" s="2" t="s">
        <v>34543</v>
      </c>
      <c r="O7318" s="2" t="s">
        <v>869</v>
      </c>
      <c r="P7318" s="2" t="s">
        <v>870</v>
      </c>
    </row>
    <row r="7319" ht="15.75" customHeight="1">
      <c r="H7319" s="2" t="s">
        <v>34544</v>
      </c>
      <c r="I7319" s="2" t="s">
        <v>34545</v>
      </c>
      <c r="J7319" s="2" t="s">
        <v>34546</v>
      </c>
      <c r="K7319" s="2" t="s">
        <v>6050</v>
      </c>
      <c r="L7319" s="2" t="s">
        <v>31923</v>
      </c>
      <c r="M7319" s="2" t="s">
        <v>34547</v>
      </c>
      <c r="N7319" s="2" t="s">
        <v>869</v>
      </c>
      <c r="O7319" s="2" t="s">
        <v>870</v>
      </c>
    </row>
    <row r="7320" ht="15.75" customHeight="1">
      <c r="H7320" s="2" t="s">
        <v>34548</v>
      </c>
      <c r="I7320" s="2" t="s">
        <v>20525</v>
      </c>
      <c r="J7320" s="2" t="s">
        <v>20526</v>
      </c>
      <c r="K7320" s="2" t="s">
        <v>24578</v>
      </c>
      <c r="L7320" s="2" t="s">
        <v>31923</v>
      </c>
      <c r="M7320" s="2" t="s">
        <v>27787</v>
      </c>
      <c r="N7320" s="2" t="s">
        <v>34549</v>
      </c>
      <c r="O7320" s="2" t="s">
        <v>869</v>
      </c>
      <c r="P7320" s="2" t="s">
        <v>870</v>
      </c>
    </row>
    <row r="7321" ht="15.75" customHeight="1">
      <c r="F7321" s="2" t="s">
        <v>3577</v>
      </c>
      <c r="H7321" s="2" t="s">
        <v>34550</v>
      </c>
      <c r="I7321" s="2" t="s">
        <v>20530</v>
      </c>
      <c r="J7321" s="2" t="s">
        <v>20531</v>
      </c>
      <c r="K7321" s="2" t="s">
        <v>15779</v>
      </c>
      <c r="L7321" s="2" t="s">
        <v>31923</v>
      </c>
      <c r="M7321" s="2" t="s">
        <v>34551</v>
      </c>
      <c r="N7321" s="2" t="s">
        <v>34552</v>
      </c>
      <c r="O7321" s="2" t="s">
        <v>869</v>
      </c>
      <c r="P7321" s="2" t="s">
        <v>870</v>
      </c>
    </row>
    <row r="7322" ht="15.75" customHeight="1">
      <c r="H7322" s="2" t="s">
        <v>34553</v>
      </c>
      <c r="I7322" s="2" t="s">
        <v>34554</v>
      </c>
      <c r="J7322" s="2" t="s">
        <v>34555</v>
      </c>
      <c r="K7322" s="2" t="s">
        <v>24014</v>
      </c>
      <c r="L7322" s="2" t="s">
        <v>31923</v>
      </c>
      <c r="M7322" s="2" t="s">
        <v>34556</v>
      </c>
      <c r="N7322" s="2" t="s">
        <v>869</v>
      </c>
      <c r="O7322" s="2" t="s">
        <v>870</v>
      </c>
    </row>
    <row r="7323" ht="15.75" customHeight="1">
      <c r="H7323" s="2" t="s">
        <v>34557</v>
      </c>
      <c r="I7323" s="2" t="s">
        <v>3588</v>
      </c>
      <c r="J7323" s="2" t="s">
        <v>3589</v>
      </c>
      <c r="K7323" s="2" t="s">
        <v>5995</v>
      </c>
      <c r="L7323" s="2" t="s">
        <v>31923</v>
      </c>
      <c r="M7323" s="2" t="s">
        <v>34558</v>
      </c>
      <c r="N7323" s="2" t="s">
        <v>34559</v>
      </c>
      <c r="O7323" s="2" t="s">
        <v>869</v>
      </c>
      <c r="P7323" s="2" t="s">
        <v>870</v>
      </c>
    </row>
    <row r="7324" ht="15.75" customHeight="1">
      <c r="H7324" s="2" t="s">
        <v>34560</v>
      </c>
      <c r="I7324" s="2" t="s">
        <v>34561</v>
      </c>
      <c r="J7324" s="2" t="s">
        <v>34562</v>
      </c>
      <c r="K7324" s="2" t="s">
        <v>25009</v>
      </c>
      <c r="L7324" s="2" t="s">
        <v>31923</v>
      </c>
      <c r="M7324" s="2" t="s">
        <v>34563</v>
      </c>
      <c r="N7324" s="2" t="s">
        <v>34564</v>
      </c>
      <c r="O7324" s="2" t="s">
        <v>869</v>
      </c>
      <c r="P7324" s="2" t="s">
        <v>870</v>
      </c>
    </row>
    <row r="7325" ht="15.75" customHeight="1">
      <c r="H7325" s="2" t="s">
        <v>34565</v>
      </c>
      <c r="I7325" s="2" t="s">
        <v>3593</v>
      </c>
      <c r="J7325" s="2" t="s">
        <v>3594</v>
      </c>
      <c r="K7325" s="2" t="s">
        <v>25068</v>
      </c>
      <c r="L7325" s="2" t="s">
        <v>31923</v>
      </c>
      <c r="M7325" s="2" t="s">
        <v>30041</v>
      </c>
      <c r="N7325" s="2" t="s">
        <v>34566</v>
      </c>
      <c r="O7325" s="2" t="s">
        <v>869</v>
      </c>
      <c r="P7325" s="2" t="s">
        <v>870</v>
      </c>
    </row>
    <row r="7326" ht="15.75" customHeight="1">
      <c r="H7326" s="2" t="s">
        <v>34567</v>
      </c>
      <c r="I7326" s="2" t="s">
        <v>34568</v>
      </c>
      <c r="J7326" s="2" t="s">
        <v>34569</v>
      </c>
      <c r="K7326" s="2" t="s">
        <v>6050</v>
      </c>
      <c r="L7326" s="2" t="s">
        <v>31923</v>
      </c>
      <c r="M7326" s="2" t="s">
        <v>34570</v>
      </c>
      <c r="N7326" s="2" t="s">
        <v>34571</v>
      </c>
      <c r="O7326" s="2" t="s">
        <v>869</v>
      </c>
      <c r="P7326" s="2" t="s">
        <v>870</v>
      </c>
    </row>
    <row r="7327" ht="15.75" customHeight="1">
      <c r="H7327" s="2" t="s">
        <v>34572</v>
      </c>
      <c r="I7327" s="2" t="s">
        <v>34573</v>
      </c>
      <c r="J7327" s="2" t="s">
        <v>34574</v>
      </c>
      <c r="K7327" s="2" t="s">
        <v>6000</v>
      </c>
      <c r="L7327" s="2" t="s">
        <v>31923</v>
      </c>
      <c r="M7327" s="2" t="s">
        <v>30041</v>
      </c>
      <c r="N7327" s="2" t="s">
        <v>34575</v>
      </c>
      <c r="O7327" s="2" t="s">
        <v>869</v>
      </c>
      <c r="P7327" s="2" t="s">
        <v>870</v>
      </c>
    </row>
    <row r="7328" ht="15.75" customHeight="1">
      <c r="H7328" s="2" t="s">
        <v>34576</v>
      </c>
      <c r="I7328" s="2" t="s">
        <v>9510</v>
      </c>
      <c r="J7328" s="2" t="s">
        <v>9511</v>
      </c>
      <c r="K7328" s="2" t="s">
        <v>6054</v>
      </c>
      <c r="L7328" s="2" t="s">
        <v>31923</v>
      </c>
      <c r="M7328" s="2" t="s">
        <v>34577</v>
      </c>
      <c r="N7328" s="2" t="s">
        <v>34578</v>
      </c>
      <c r="O7328" s="2" t="s">
        <v>869</v>
      </c>
      <c r="P7328" s="2" t="s">
        <v>870</v>
      </c>
    </row>
    <row r="7329" ht="15.75" customHeight="1">
      <c r="H7329" s="2" t="s">
        <v>34579</v>
      </c>
      <c r="I7329" s="2" t="s">
        <v>9523</v>
      </c>
      <c r="J7329" s="2" t="s">
        <v>9524</v>
      </c>
      <c r="K7329" s="2" t="s">
        <v>25073</v>
      </c>
      <c r="L7329" s="2" t="s">
        <v>31923</v>
      </c>
      <c r="M7329" s="2" t="s">
        <v>34580</v>
      </c>
      <c r="N7329" s="2" t="s">
        <v>34581</v>
      </c>
      <c r="O7329" s="2" t="s">
        <v>869</v>
      </c>
      <c r="P7329" s="2" t="s">
        <v>870</v>
      </c>
    </row>
    <row r="7330" ht="15.75" customHeight="1">
      <c r="H7330" s="2" t="s">
        <v>34582</v>
      </c>
      <c r="I7330" s="2" t="s">
        <v>3601</v>
      </c>
      <c r="J7330" s="2" t="s">
        <v>3602</v>
      </c>
      <c r="K7330" s="2" t="s">
        <v>31317</v>
      </c>
      <c r="L7330" s="2" t="s">
        <v>31923</v>
      </c>
      <c r="M7330" s="2" t="s">
        <v>34583</v>
      </c>
      <c r="N7330" s="2" t="s">
        <v>34584</v>
      </c>
      <c r="O7330" s="2" t="s">
        <v>869</v>
      </c>
      <c r="P7330" s="2" t="s">
        <v>870</v>
      </c>
    </row>
    <row r="7331" ht="15.75" customHeight="1">
      <c r="F7331" s="2" t="s">
        <v>3605</v>
      </c>
      <c r="H7331" s="2" t="s">
        <v>34585</v>
      </c>
      <c r="I7331" s="2" t="s">
        <v>34586</v>
      </c>
      <c r="J7331" s="2" t="s">
        <v>34587</v>
      </c>
      <c r="K7331" s="2" t="s">
        <v>24665</v>
      </c>
      <c r="L7331" s="2" t="s">
        <v>31923</v>
      </c>
      <c r="M7331" s="2" t="s">
        <v>34588</v>
      </c>
      <c r="N7331" s="2" t="s">
        <v>34589</v>
      </c>
      <c r="O7331" s="2" t="s">
        <v>869</v>
      </c>
      <c r="P7331" s="2" t="s">
        <v>870</v>
      </c>
    </row>
    <row r="7332" ht="15.75" customHeight="1">
      <c r="H7332" s="2" t="s">
        <v>34590</v>
      </c>
      <c r="I7332" s="2" t="s">
        <v>3622</v>
      </c>
      <c r="J7332" s="2" t="s">
        <v>3623</v>
      </c>
      <c r="K7332" s="2" t="s">
        <v>15796</v>
      </c>
      <c r="L7332" s="2" t="s">
        <v>31923</v>
      </c>
      <c r="M7332" s="2" t="s">
        <v>30054</v>
      </c>
      <c r="N7332" s="2" t="s">
        <v>34591</v>
      </c>
      <c r="O7332" s="2" t="s">
        <v>869</v>
      </c>
      <c r="P7332" s="2" t="s">
        <v>870</v>
      </c>
    </row>
    <row r="7333" ht="15.75" customHeight="1">
      <c r="H7333" s="2" t="s">
        <v>34592</v>
      </c>
      <c r="I7333" s="2" t="s">
        <v>2298</v>
      </c>
      <c r="J7333" s="2" t="s">
        <v>2299</v>
      </c>
      <c r="K7333" s="2" t="s">
        <v>15861</v>
      </c>
      <c r="L7333" s="2" t="s">
        <v>31923</v>
      </c>
      <c r="M7333" s="2" t="s">
        <v>34593</v>
      </c>
      <c r="N7333" s="2" t="s">
        <v>34594</v>
      </c>
      <c r="O7333" s="2" t="s">
        <v>869</v>
      </c>
      <c r="P7333" s="2" t="s">
        <v>870</v>
      </c>
    </row>
    <row r="7334" ht="15.75" customHeight="1">
      <c r="H7334" s="2" t="s">
        <v>34595</v>
      </c>
      <c r="I7334" s="2" t="s">
        <v>34596</v>
      </c>
      <c r="J7334" s="2" t="s">
        <v>34597</v>
      </c>
      <c r="K7334" s="2" t="s">
        <v>25073</v>
      </c>
      <c r="L7334" s="2" t="s">
        <v>31923</v>
      </c>
      <c r="M7334" s="2" t="s">
        <v>34598</v>
      </c>
      <c r="N7334" s="2" t="s">
        <v>34599</v>
      </c>
      <c r="O7334" s="2" t="s">
        <v>869</v>
      </c>
      <c r="P7334" s="2" t="s">
        <v>870</v>
      </c>
    </row>
    <row r="7335" ht="15.75" customHeight="1">
      <c r="H7335" s="2" t="s">
        <v>34600</v>
      </c>
      <c r="I7335" s="2" t="s">
        <v>2578</v>
      </c>
      <c r="J7335" s="2" t="s">
        <v>2579</v>
      </c>
      <c r="K7335" s="2" t="s">
        <v>24414</v>
      </c>
      <c r="L7335" s="2" t="s">
        <v>31923</v>
      </c>
      <c r="M7335" s="2" t="s">
        <v>34601</v>
      </c>
      <c r="N7335" s="2" t="s">
        <v>34602</v>
      </c>
      <c r="O7335" s="2" t="s">
        <v>869</v>
      </c>
      <c r="P7335" s="2" t="s">
        <v>870</v>
      </c>
    </row>
    <row r="7336" ht="15.75" customHeight="1">
      <c r="H7336" s="2" t="s">
        <v>34603</v>
      </c>
      <c r="I7336" s="2" t="s">
        <v>34604</v>
      </c>
      <c r="J7336" s="2" t="s">
        <v>34605</v>
      </c>
      <c r="K7336" s="2" t="s">
        <v>15805</v>
      </c>
      <c r="L7336" s="2" t="s">
        <v>31923</v>
      </c>
      <c r="M7336" s="2" t="s">
        <v>34606</v>
      </c>
      <c r="N7336" s="2" t="s">
        <v>34607</v>
      </c>
      <c r="O7336" s="2" t="s">
        <v>869</v>
      </c>
      <c r="P7336" s="2" t="s">
        <v>870</v>
      </c>
    </row>
    <row r="7337" ht="15.75" customHeight="1">
      <c r="H7337" s="2" t="s">
        <v>34608</v>
      </c>
      <c r="I7337" s="2" t="s">
        <v>2815</v>
      </c>
      <c r="J7337" s="2" t="s">
        <v>2816</v>
      </c>
      <c r="K7337" s="2" t="s">
        <v>24379</v>
      </c>
      <c r="L7337" s="2" t="s">
        <v>31923</v>
      </c>
      <c r="M7337" s="2" t="s">
        <v>9636</v>
      </c>
      <c r="N7337" s="2" t="s">
        <v>34609</v>
      </c>
      <c r="O7337" s="2" t="s">
        <v>869</v>
      </c>
      <c r="P7337" s="2" t="s">
        <v>870</v>
      </c>
    </row>
    <row r="7338" ht="15.75" customHeight="1">
      <c r="F7338" s="2" t="s">
        <v>3629</v>
      </c>
      <c r="H7338" s="2" t="s">
        <v>34610</v>
      </c>
      <c r="I7338" s="2" t="s">
        <v>34611</v>
      </c>
      <c r="J7338" s="2" t="s">
        <v>34612</v>
      </c>
      <c r="K7338" s="2" t="s">
        <v>24561</v>
      </c>
      <c r="L7338" s="2" t="s">
        <v>31923</v>
      </c>
      <c r="M7338" s="2" t="s">
        <v>34613</v>
      </c>
      <c r="N7338" s="2" t="s">
        <v>34614</v>
      </c>
      <c r="O7338" s="2" t="s">
        <v>869</v>
      </c>
      <c r="P7338" s="2" t="s">
        <v>870</v>
      </c>
    </row>
    <row r="7339" ht="15.75" customHeight="1">
      <c r="H7339" s="2" t="s">
        <v>34615</v>
      </c>
      <c r="I7339" s="2" t="s">
        <v>34616</v>
      </c>
      <c r="J7339" s="2" t="s">
        <v>34617</v>
      </c>
      <c r="K7339" s="2" t="s">
        <v>24518</v>
      </c>
      <c r="L7339" s="2" t="s">
        <v>31923</v>
      </c>
      <c r="M7339" s="2" t="s">
        <v>34618</v>
      </c>
      <c r="N7339" s="2" t="s">
        <v>34619</v>
      </c>
      <c r="O7339" s="2" t="s">
        <v>869</v>
      </c>
      <c r="P7339" s="2" t="s">
        <v>870</v>
      </c>
    </row>
    <row r="7340" ht="15.75" customHeight="1">
      <c r="H7340" s="2" t="s">
        <v>34620</v>
      </c>
      <c r="I7340" s="2" t="s">
        <v>34621</v>
      </c>
      <c r="J7340" s="2" t="s">
        <v>34622</v>
      </c>
      <c r="K7340" s="2" t="s">
        <v>24665</v>
      </c>
      <c r="L7340" s="2" t="s">
        <v>31923</v>
      </c>
      <c r="M7340" s="2" t="s">
        <v>34623</v>
      </c>
      <c r="N7340" s="2" t="s">
        <v>34624</v>
      </c>
      <c r="O7340" s="2" t="s">
        <v>869</v>
      </c>
      <c r="P7340" s="2" t="s">
        <v>870</v>
      </c>
    </row>
    <row r="7341" ht="15.75" customHeight="1">
      <c r="H7341" s="2" t="s">
        <v>34625</v>
      </c>
      <c r="I7341" s="2" t="s">
        <v>3221</v>
      </c>
      <c r="J7341" s="2" t="s">
        <v>3222</v>
      </c>
      <c r="K7341" s="2" t="s">
        <v>5995</v>
      </c>
      <c r="L7341" s="2" t="s">
        <v>31923</v>
      </c>
      <c r="M7341" s="2" t="s">
        <v>9650</v>
      </c>
      <c r="N7341" s="2" t="s">
        <v>34626</v>
      </c>
      <c r="O7341" s="2" t="s">
        <v>869</v>
      </c>
      <c r="P7341" s="2" t="s">
        <v>870</v>
      </c>
    </row>
    <row r="7342" ht="15.75" customHeight="1">
      <c r="H7342" s="2" t="s">
        <v>34627</v>
      </c>
      <c r="I7342" s="2" t="s">
        <v>9653</v>
      </c>
      <c r="J7342" s="2" t="s">
        <v>9654</v>
      </c>
      <c r="K7342" s="2" t="s">
        <v>6000</v>
      </c>
      <c r="L7342" s="2" t="s">
        <v>31923</v>
      </c>
      <c r="M7342" s="2" t="s">
        <v>30076</v>
      </c>
      <c r="N7342" s="2" t="s">
        <v>34628</v>
      </c>
      <c r="O7342" s="2" t="s">
        <v>869</v>
      </c>
      <c r="P7342" s="2" t="s">
        <v>870</v>
      </c>
    </row>
    <row r="7343" ht="15.75" customHeight="1">
      <c r="H7343" s="2" t="s">
        <v>34629</v>
      </c>
      <c r="I7343" s="2" t="s">
        <v>9665</v>
      </c>
      <c r="J7343" s="2" t="s">
        <v>9666</v>
      </c>
      <c r="K7343" s="2" t="s">
        <v>15801</v>
      </c>
      <c r="L7343" s="2" t="s">
        <v>31923</v>
      </c>
      <c r="M7343" s="2" t="s">
        <v>34630</v>
      </c>
      <c r="N7343" s="2" t="s">
        <v>34631</v>
      </c>
      <c r="O7343" s="2" t="s">
        <v>869</v>
      </c>
      <c r="P7343" s="2" t="s">
        <v>870</v>
      </c>
    </row>
    <row r="7344" ht="15.75" customHeight="1">
      <c r="H7344" s="2" t="s">
        <v>34632</v>
      </c>
      <c r="I7344" s="2" t="s">
        <v>3661</v>
      </c>
      <c r="J7344" s="2" t="s">
        <v>3662</v>
      </c>
      <c r="K7344" s="2" t="s">
        <v>15861</v>
      </c>
      <c r="L7344" s="2" t="s">
        <v>31923</v>
      </c>
      <c r="M7344" s="2" t="s">
        <v>34633</v>
      </c>
      <c r="N7344" s="2" t="s">
        <v>34634</v>
      </c>
      <c r="O7344" s="2" t="s">
        <v>869</v>
      </c>
      <c r="P7344" s="2" t="s">
        <v>870</v>
      </c>
    </row>
    <row r="7345" ht="15.75" customHeight="1">
      <c r="H7345" s="2" t="s">
        <v>34635</v>
      </c>
      <c r="I7345" s="2" t="s">
        <v>34636</v>
      </c>
      <c r="J7345" s="2" t="s">
        <v>34637</v>
      </c>
      <c r="K7345" s="2" t="s">
        <v>966</v>
      </c>
    </row>
    <row r="7346" ht="15.75" customHeight="1">
      <c r="H7346" s="2" t="s">
        <v>34638</v>
      </c>
      <c r="I7346" s="2" t="s">
        <v>3671</v>
      </c>
      <c r="J7346" s="2" t="s">
        <v>3672</v>
      </c>
      <c r="K7346" s="2" t="s">
        <v>31317</v>
      </c>
      <c r="L7346" s="2" t="s">
        <v>31923</v>
      </c>
      <c r="M7346" s="2" t="s">
        <v>34639</v>
      </c>
      <c r="N7346" s="2" t="s">
        <v>34640</v>
      </c>
      <c r="O7346" s="2" t="s">
        <v>869</v>
      </c>
      <c r="P7346" s="2" t="s">
        <v>870</v>
      </c>
    </row>
    <row r="7347" ht="15.75" customHeight="1">
      <c r="H7347" s="2" t="s">
        <v>34641</v>
      </c>
      <c r="I7347" s="2" t="s">
        <v>34642</v>
      </c>
      <c r="J7347" s="2" t="s">
        <v>34643</v>
      </c>
      <c r="K7347" s="2" t="s">
        <v>31344</v>
      </c>
      <c r="L7347" s="2" t="s">
        <v>31923</v>
      </c>
      <c r="M7347" s="2" t="s">
        <v>34644</v>
      </c>
      <c r="N7347" s="2" t="s">
        <v>34645</v>
      </c>
      <c r="O7347" s="2" t="s">
        <v>869</v>
      </c>
      <c r="P7347" s="2" t="s">
        <v>870</v>
      </c>
    </row>
    <row r="7348" ht="15.75" customHeight="1">
      <c r="H7348" s="2" t="s">
        <v>34646</v>
      </c>
      <c r="I7348" s="2" t="s">
        <v>3676</v>
      </c>
      <c r="J7348" s="2" t="s">
        <v>3677</v>
      </c>
      <c r="K7348" s="2" t="s">
        <v>24528</v>
      </c>
      <c r="L7348" s="2" t="s">
        <v>31923</v>
      </c>
      <c r="M7348" s="2" t="s">
        <v>26498</v>
      </c>
      <c r="N7348" s="2" t="s">
        <v>34647</v>
      </c>
      <c r="O7348" s="2" t="s">
        <v>869</v>
      </c>
      <c r="P7348" s="2" t="s">
        <v>870</v>
      </c>
    </row>
    <row r="7349" ht="15.75" customHeight="1">
      <c r="F7349" s="2" t="s">
        <v>3685</v>
      </c>
      <c r="H7349" s="2" t="s">
        <v>34648</v>
      </c>
      <c r="I7349" s="2" t="s">
        <v>34649</v>
      </c>
      <c r="J7349" s="2" t="s">
        <v>34650</v>
      </c>
      <c r="K7349" s="2" t="s">
        <v>22462</v>
      </c>
      <c r="L7349" s="2" t="s">
        <v>31923</v>
      </c>
      <c r="M7349" s="2" t="s">
        <v>34651</v>
      </c>
      <c r="N7349" s="2" t="s">
        <v>34652</v>
      </c>
      <c r="O7349" s="2" t="s">
        <v>869</v>
      </c>
      <c r="P7349" s="2" t="s">
        <v>870</v>
      </c>
    </row>
    <row r="7350" ht="15.75" customHeight="1">
      <c r="H7350" s="2" t="s">
        <v>34653</v>
      </c>
      <c r="I7350" s="2" t="s">
        <v>31936</v>
      </c>
      <c r="J7350" s="2" t="s">
        <v>31937</v>
      </c>
      <c r="K7350" s="2" t="s">
        <v>25068</v>
      </c>
      <c r="L7350" s="2" t="s">
        <v>31923</v>
      </c>
      <c r="M7350" s="2" t="s">
        <v>34654</v>
      </c>
      <c r="N7350" s="2" t="s">
        <v>34655</v>
      </c>
      <c r="O7350" s="2" t="s">
        <v>869</v>
      </c>
      <c r="P7350" s="2" t="s">
        <v>870</v>
      </c>
    </row>
    <row r="7351" ht="15.75" customHeight="1">
      <c r="H7351" s="2" t="s">
        <v>34656</v>
      </c>
      <c r="I7351" s="2" t="s">
        <v>3692</v>
      </c>
      <c r="J7351" s="2" t="s">
        <v>3693</v>
      </c>
      <c r="K7351" s="2" t="s">
        <v>6025</v>
      </c>
      <c r="L7351" s="2" t="s">
        <v>31923</v>
      </c>
      <c r="M7351" s="2" t="s">
        <v>34657</v>
      </c>
      <c r="N7351" s="2" t="s">
        <v>34658</v>
      </c>
      <c r="O7351" s="2" t="s">
        <v>869</v>
      </c>
      <c r="P7351" s="2" t="s">
        <v>870</v>
      </c>
    </row>
    <row r="7352" ht="15.75" customHeight="1">
      <c r="H7352" s="2" t="s">
        <v>34659</v>
      </c>
      <c r="I7352" s="2" t="s">
        <v>34660</v>
      </c>
      <c r="J7352" s="2" t="s">
        <v>34661</v>
      </c>
      <c r="K7352" s="2" t="s">
        <v>24665</v>
      </c>
      <c r="L7352" s="2" t="s">
        <v>31923</v>
      </c>
      <c r="M7352" s="2" t="s">
        <v>34662</v>
      </c>
      <c r="N7352" s="2" t="s">
        <v>34663</v>
      </c>
      <c r="O7352" s="2" t="s">
        <v>869</v>
      </c>
      <c r="P7352" s="2" t="s">
        <v>870</v>
      </c>
    </row>
    <row r="7353" ht="15.75" customHeight="1">
      <c r="H7353" s="2" t="s">
        <v>34664</v>
      </c>
      <c r="I7353" s="2" t="s">
        <v>34665</v>
      </c>
      <c r="J7353" s="2" t="s">
        <v>34666</v>
      </c>
      <c r="K7353" s="2" t="s">
        <v>5995</v>
      </c>
      <c r="L7353" s="2" t="s">
        <v>31923</v>
      </c>
      <c r="M7353" s="2" t="s">
        <v>34667</v>
      </c>
      <c r="N7353" s="2" t="s">
        <v>34668</v>
      </c>
      <c r="O7353" s="2" t="s">
        <v>869</v>
      </c>
      <c r="P7353" s="2" t="s">
        <v>870</v>
      </c>
    </row>
    <row r="7354" ht="15.75" customHeight="1">
      <c r="H7354" s="2" t="s">
        <v>34669</v>
      </c>
      <c r="I7354" s="2" t="s">
        <v>34670</v>
      </c>
      <c r="J7354" s="2" t="s">
        <v>34671</v>
      </c>
      <c r="K7354" s="2" t="s">
        <v>15897</v>
      </c>
      <c r="L7354" s="2" t="s">
        <v>31923</v>
      </c>
      <c r="M7354" s="2" t="s">
        <v>34672</v>
      </c>
      <c r="N7354" s="2" t="s">
        <v>34673</v>
      </c>
      <c r="O7354" s="2" t="s">
        <v>869</v>
      </c>
      <c r="P7354" s="2" t="s">
        <v>870</v>
      </c>
    </row>
    <row r="7355" ht="15.75" customHeight="1">
      <c r="H7355" s="2" t="s">
        <v>34674</v>
      </c>
      <c r="I7355" s="2" t="s">
        <v>3697</v>
      </c>
      <c r="J7355" s="2" t="s">
        <v>3698</v>
      </c>
      <c r="K7355" s="2" t="s">
        <v>6000</v>
      </c>
      <c r="L7355" s="2" t="s">
        <v>31923</v>
      </c>
      <c r="M7355" s="2" t="s">
        <v>30098</v>
      </c>
      <c r="N7355" s="2" t="s">
        <v>34675</v>
      </c>
      <c r="O7355" s="2" t="s">
        <v>869</v>
      </c>
      <c r="P7355" s="2" t="s">
        <v>870</v>
      </c>
    </row>
    <row r="7356" ht="15.75" customHeight="1">
      <c r="H7356" s="2" t="s">
        <v>34676</v>
      </c>
      <c r="I7356" s="2" t="s">
        <v>3702</v>
      </c>
      <c r="J7356" s="2" t="s">
        <v>3703</v>
      </c>
      <c r="K7356" s="2" t="s">
        <v>24414</v>
      </c>
      <c r="L7356" s="2" t="s">
        <v>31923</v>
      </c>
      <c r="M7356" s="2" t="s">
        <v>34677</v>
      </c>
      <c r="N7356" s="2" t="s">
        <v>34678</v>
      </c>
      <c r="O7356" s="2" t="s">
        <v>869</v>
      </c>
      <c r="P7356" s="2" t="s">
        <v>870</v>
      </c>
    </row>
    <row r="7357" ht="15.75" customHeight="1">
      <c r="F7357" s="2" t="s">
        <v>660</v>
      </c>
      <c r="H7357" s="2" t="s">
        <v>34679</v>
      </c>
      <c r="I7357" s="2" t="s">
        <v>9751</v>
      </c>
      <c r="J7357" s="2" t="s">
        <v>9752</v>
      </c>
      <c r="K7357" s="2" t="s">
        <v>24561</v>
      </c>
      <c r="L7357" s="2" t="s">
        <v>31923</v>
      </c>
      <c r="M7357" s="2" t="s">
        <v>34680</v>
      </c>
      <c r="N7357" s="2" t="s">
        <v>34681</v>
      </c>
      <c r="O7357" s="2" t="s">
        <v>869</v>
      </c>
      <c r="P7357" s="2" t="s">
        <v>870</v>
      </c>
    </row>
    <row r="7358" ht="15.75" customHeight="1">
      <c r="H7358" s="2" t="s">
        <v>34682</v>
      </c>
      <c r="I7358" s="2" t="s">
        <v>34683</v>
      </c>
      <c r="J7358" s="2" t="s">
        <v>34684</v>
      </c>
      <c r="K7358" s="2" t="s">
        <v>24014</v>
      </c>
      <c r="L7358" s="2" t="s">
        <v>31923</v>
      </c>
      <c r="M7358" s="2" t="s">
        <v>34685</v>
      </c>
      <c r="N7358" s="2" t="s">
        <v>34686</v>
      </c>
      <c r="O7358" s="2" t="s">
        <v>869</v>
      </c>
      <c r="P7358" s="2" t="s">
        <v>870</v>
      </c>
    </row>
    <row r="7359" ht="15.75" customHeight="1">
      <c r="H7359" s="2" t="s">
        <v>34687</v>
      </c>
      <c r="I7359" s="2" t="s">
        <v>34688</v>
      </c>
      <c r="J7359" s="2" t="s">
        <v>34689</v>
      </c>
      <c r="K7359" s="2" t="s">
        <v>25009</v>
      </c>
      <c r="L7359" s="2" t="s">
        <v>31923</v>
      </c>
      <c r="M7359" s="2" t="s">
        <v>34690</v>
      </c>
      <c r="N7359" s="2" t="s">
        <v>34691</v>
      </c>
      <c r="O7359" s="2" t="s">
        <v>869</v>
      </c>
      <c r="P7359" s="2" t="s">
        <v>870</v>
      </c>
    </row>
    <row r="7360" ht="15.75" customHeight="1">
      <c r="H7360" s="2" t="s">
        <v>34692</v>
      </c>
      <c r="I7360" s="2" t="s">
        <v>30107</v>
      </c>
      <c r="J7360" s="2" t="s">
        <v>30108</v>
      </c>
      <c r="K7360" s="2" t="s">
        <v>15897</v>
      </c>
      <c r="L7360" s="2" t="s">
        <v>31923</v>
      </c>
      <c r="M7360" s="2" t="s">
        <v>30110</v>
      </c>
      <c r="N7360" s="2" t="s">
        <v>34693</v>
      </c>
      <c r="O7360" s="2" t="s">
        <v>869</v>
      </c>
      <c r="P7360" s="2" t="s">
        <v>870</v>
      </c>
    </row>
    <row r="7361" ht="15.75" customHeight="1">
      <c r="H7361" s="2" t="s">
        <v>34694</v>
      </c>
      <c r="I7361" s="2" t="s">
        <v>4027</v>
      </c>
      <c r="J7361" s="2" t="s">
        <v>4028</v>
      </c>
      <c r="K7361" s="2" t="s">
        <v>24379</v>
      </c>
      <c r="L7361" s="2" t="s">
        <v>31923</v>
      </c>
      <c r="M7361" s="2" t="s">
        <v>34695</v>
      </c>
      <c r="N7361" s="2" t="s">
        <v>34696</v>
      </c>
      <c r="O7361" s="2" t="s">
        <v>869</v>
      </c>
      <c r="P7361" s="2" t="s">
        <v>870</v>
      </c>
    </row>
    <row r="7362" ht="15.75" customHeight="1">
      <c r="H7362" s="2" t="s">
        <v>34697</v>
      </c>
      <c r="I7362" s="2" t="s">
        <v>2195</v>
      </c>
      <c r="J7362" s="2" t="s">
        <v>2196</v>
      </c>
      <c r="K7362" s="2" t="s">
        <v>6050</v>
      </c>
      <c r="L7362" s="2" t="s">
        <v>31923</v>
      </c>
      <c r="M7362" s="2" t="s">
        <v>34698</v>
      </c>
      <c r="N7362" s="2" t="s">
        <v>34699</v>
      </c>
      <c r="O7362" s="2" t="s">
        <v>869</v>
      </c>
      <c r="P7362" s="2" t="s">
        <v>870</v>
      </c>
    </row>
    <row r="7363" ht="15.75" customHeight="1">
      <c r="H7363" s="2" t="s">
        <v>34700</v>
      </c>
      <c r="I7363" s="2" t="s">
        <v>9769</v>
      </c>
      <c r="J7363" s="2" t="s">
        <v>9770</v>
      </c>
      <c r="K7363" s="2" t="s">
        <v>6046</v>
      </c>
      <c r="L7363" s="2" t="s">
        <v>31923</v>
      </c>
      <c r="M7363" s="2" t="s">
        <v>34701</v>
      </c>
      <c r="N7363" s="2" t="s">
        <v>34702</v>
      </c>
      <c r="O7363" s="2" t="s">
        <v>869</v>
      </c>
      <c r="P7363" s="2" t="s">
        <v>870</v>
      </c>
    </row>
    <row r="7364" ht="15.75" customHeight="1">
      <c r="H7364" s="2" t="s">
        <v>34703</v>
      </c>
      <c r="I7364" s="2" t="s">
        <v>34704</v>
      </c>
      <c r="J7364" s="2" t="s">
        <v>34705</v>
      </c>
      <c r="K7364" s="2" t="s">
        <v>25073</v>
      </c>
      <c r="L7364" s="2" t="s">
        <v>31923</v>
      </c>
      <c r="M7364" s="2" t="s">
        <v>34706</v>
      </c>
      <c r="N7364" s="2" t="s">
        <v>34707</v>
      </c>
      <c r="O7364" s="2" t="s">
        <v>869</v>
      </c>
      <c r="P7364" s="2" t="s">
        <v>870</v>
      </c>
    </row>
    <row r="7365" ht="15.75" customHeight="1">
      <c r="H7365" s="2" t="s">
        <v>34708</v>
      </c>
      <c r="I7365" s="2" t="s">
        <v>9782</v>
      </c>
      <c r="J7365" s="2" t="s">
        <v>9783</v>
      </c>
      <c r="K7365" s="2" t="s">
        <v>31317</v>
      </c>
      <c r="L7365" s="2" t="s">
        <v>31923</v>
      </c>
      <c r="M7365" s="2" t="s">
        <v>34709</v>
      </c>
      <c r="N7365" s="2" t="s">
        <v>34710</v>
      </c>
      <c r="O7365" s="2" t="s">
        <v>869</v>
      </c>
      <c r="P7365" s="2" t="s">
        <v>870</v>
      </c>
    </row>
    <row r="7366" ht="15.75" customHeight="1">
      <c r="H7366" s="2" t="s">
        <v>34711</v>
      </c>
      <c r="I7366" s="2" t="s">
        <v>34712</v>
      </c>
      <c r="J7366" s="2" t="s">
        <v>34713</v>
      </c>
      <c r="K7366" s="2" t="s">
        <v>31344</v>
      </c>
      <c r="L7366" s="2" t="s">
        <v>31923</v>
      </c>
      <c r="M7366" s="2" t="s">
        <v>34714</v>
      </c>
      <c r="N7366" s="2" t="s">
        <v>34715</v>
      </c>
      <c r="O7366" s="2" t="s">
        <v>869</v>
      </c>
      <c r="P7366" s="2" t="s">
        <v>870</v>
      </c>
    </row>
    <row r="7367" ht="15.75" customHeight="1">
      <c r="H7367" s="2" t="s">
        <v>34716</v>
      </c>
      <c r="I7367" s="2" t="s">
        <v>3727</v>
      </c>
      <c r="J7367" s="2" t="s">
        <v>3728</v>
      </c>
      <c r="K7367" s="2" t="s">
        <v>15868</v>
      </c>
      <c r="L7367" s="2" t="s">
        <v>31923</v>
      </c>
      <c r="M7367" s="2" t="s">
        <v>26542</v>
      </c>
      <c r="N7367" s="2" t="s">
        <v>34717</v>
      </c>
      <c r="O7367" s="2" t="s">
        <v>869</v>
      </c>
      <c r="P7367" s="2" t="s">
        <v>870</v>
      </c>
    </row>
    <row r="7368" ht="15.75" customHeight="1">
      <c r="H7368" s="2" t="s">
        <v>34718</v>
      </c>
      <c r="I7368" s="2" t="s">
        <v>662</v>
      </c>
      <c r="J7368" s="2" t="s">
        <v>663</v>
      </c>
      <c r="K7368" s="2" t="s">
        <v>15809</v>
      </c>
      <c r="L7368" s="2" t="s">
        <v>31923</v>
      </c>
      <c r="M7368" s="2" t="s">
        <v>34698</v>
      </c>
      <c r="N7368" s="2" t="s">
        <v>34719</v>
      </c>
      <c r="O7368" s="2" t="s">
        <v>869</v>
      </c>
      <c r="P7368" s="2" t="s">
        <v>870</v>
      </c>
    </row>
    <row r="7369" ht="15.75" customHeight="1">
      <c r="H7369" s="2" t="s">
        <v>34720</v>
      </c>
      <c r="I7369" s="2" t="s">
        <v>34721</v>
      </c>
      <c r="J7369" s="2" t="s">
        <v>34722</v>
      </c>
      <c r="K7369" s="2" t="s">
        <v>31977</v>
      </c>
      <c r="L7369" s="2" t="s">
        <v>31923</v>
      </c>
      <c r="M7369" s="2" t="s">
        <v>34723</v>
      </c>
      <c r="N7369" s="2" t="s">
        <v>869</v>
      </c>
      <c r="O7369" s="2" t="s">
        <v>870</v>
      </c>
    </row>
    <row r="7370" ht="15.75" customHeight="1">
      <c r="H7370" s="2" t="s">
        <v>34724</v>
      </c>
      <c r="I7370" s="2" t="s">
        <v>34725</v>
      </c>
      <c r="J7370" s="2" t="s">
        <v>34726</v>
      </c>
      <c r="K7370" s="2" t="s">
        <v>6029</v>
      </c>
      <c r="L7370" s="2" t="s">
        <v>31923</v>
      </c>
      <c r="M7370" s="2" t="s">
        <v>34727</v>
      </c>
      <c r="N7370" s="2" t="s">
        <v>34728</v>
      </c>
      <c r="O7370" s="2" t="s">
        <v>869</v>
      </c>
      <c r="P7370" s="2" t="s">
        <v>870</v>
      </c>
    </row>
    <row r="7371" ht="15.75" customHeight="1">
      <c r="H7371" s="2" t="s">
        <v>34729</v>
      </c>
      <c r="I7371" s="2" t="s">
        <v>9808</v>
      </c>
      <c r="J7371" s="2" t="s">
        <v>9809</v>
      </c>
      <c r="K7371" s="2" t="s">
        <v>25128</v>
      </c>
      <c r="L7371" s="2" t="s">
        <v>31923</v>
      </c>
      <c r="M7371" s="2" t="s">
        <v>9811</v>
      </c>
      <c r="N7371" s="2" t="s">
        <v>34730</v>
      </c>
      <c r="O7371" s="2" t="s">
        <v>869</v>
      </c>
      <c r="P7371" s="2" t="s">
        <v>870</v>
      </c>
    </row>
    <row r="7372" ht="15.75" customHeight="1">
      <c r="H7372" s="2" t="s">
        <v>34731</v>
      </c>
      <c r="I7372" s="2" t="s">
        <v>34732</v>
      </c>
      <c r="J7372" s="2" t="s">
        <v>34733</v>
      </c>
      <c r="K7372" s="2" t="s">
        <v>15901</v>
      </c>
      <c r="L7372" s="2" t="s">
        <v>31923</v>
      </c>
      <c r="M7372" s="2" t="s">
        <v>34698</v>
      </c>
      <c r="N7372" s="2" t="s">
        <v>34734</v>
      </c>
      <c r="O7372" s="2" t="s">
        <v>869</v>
      </c>
      <c r="P7372" s="2" t="s">
        <v>870</v>
      </c>
    </row>
    <row r="7373" ht="15.75" customHeight="1">
      <c r="H7373" s="2" t="s">
        <v>34735</v>
      </c>
      <c r="I7373" s="2" t="s">
        <v>34736</v>
      </c>
      <c r="J7373" s="2" t="s">
        <v>34737</v>
      </c>
      <c r="K7373" s="2" t="s">
        <v>24269</v>
      </c>
      <c r="L7373" s="2" t="s">
        <v>31923</v>
      </c>
      <c r="M7373" s="2" t="s">
        <v>34738</v>
      </c>
      <c r="N7373" s="2" t="s">
        <v>34739</v>
      </c>
      <c r="O7373" s="2" t="s">
        <v>869</v>
      </c>
      <c r="P7373" s="2" t="s">
        <v>870</v>
      </c>
    </row>
    <row r="7374" ht="15.75" customHeight="1">
      <c r="H7374" s="2" t="s">
        <v>34740</v>
      </c>
      <c r="I7374" s="2" t="s">
        <v>10257</v>
      </c>
      <c r="J7374" s="2" t="s">
        <v>10258</v>
      </c>
      <c r="K7374" s="2" t="s">
        <v>25287</v>
      </c>
      <c r="L7374" s="2" t="s">
        <v>31923</v>
      </c>
      <c r="M7374" s="2" t="s">
        <v>34741</v>
      </c>
      <c r="N7374" s="2" t="s">
        <v>34742</v>
      </c>
      <c r="O7374" s="2" t="s">
        <v>869</v>
      </c>
      <c r="P7374" s="2" t="s">
        <v>870</v>
      </c>
    </row>
    <row r="7375" ht="15.75" customHeight="1">
      <c r="H7375" s="2" t="s">
        <v>34743</v>
      </c>
      <c r="I7375" s="2" t="s">
        <v>2961</v>
      </c>
      <c r="J7375" s="2" t="s">
        <v>2962</v>
      </c>
      <c r="K7375" s="2" t="s">
        <v>6058</v>
      </c>
      <c r="L7375" s="2" t="s">
        <v>31923</v>
      </c>
      <c r="M7375" s="2" t="s">
        <v>34744</v>
      </c>
      <c r="N7375" s="2" t="s">
        <v>34745</v>
      </c>
      <c r="O7375" s="2" t="s">
        <v>869</v>
      </c>
      <c r="P7375" s="2" t="s">
        <v>870</v>
      </c>
    </row>
    <row r="7376" ht="15.75" customHeight="1">
      <c r="H7376" s="2" t="s">
        <v>34746</v>
      </c>
      <c r="I7376" s="2" t="s">
        <v>34747</v>
      </c>
      <c r="J7376" s="2" t="s">
        <v>34748</v>
      </c>
      <c r="K7376" s="2" t="s">
        <v>32142</v>
      </c>
      <c r="L7376" s="2" t="s">
        <v>31923</v>
      </c>
      <c r="M7376" s="2" t="s">
        <v>34749</v>
      </c>
      <c r="N7376" s="2" t="s">
        <v>34750</v>
      </c>
      <c r="O7376" s="2" t="s">
        <v>869</v>
      </c>
      <c r="P7376" s="2" t="s">
        <v>870</v>
      </c>
    </row>
    <row r="7377" ht="15.75" customHeight="1">
      <c r="H7377" s="2" t="s">
        <v>34751</v>
      </c>
      <c r="I7377" s="2" t="s">
        <v>670</v>
      </c>
      <c r="J7377" s="2" t="s">
        <v>671</v>
      </c>
      <c r="K7377" s="2" t="s">
        <v>6068</v>
      </c>
      <c r="L7377" s="2" t="s">
        <v>31923</v>
      </c>
      <c r="M7377" s="2" t="s">
        <v>9828</v>
      </c>
      <c r="N7377" s="2" t="s">
        <v>869</v>
      </c>
      <c r="O7377" s="2" t="s">
        <v>870</v>
      </c>
    </row>
    <row r="7378" ht="15.75" customHeight="1">
      <c r="H7378" s="2" t="s">
        <v>34752</v>
      </c>
      <c r="I7378" s="2" t="s">
        <v>34753</v>
      </c>
      <c r="J7378" s="2" t="s">
        <v>34754</v>
      </c>
      <c r="K7378" s="2" t="s">
        <v>6062</v>
      </c>
      <c r="L7378" s="2" t="s">
        <v>31923</v>
      </c>
      <c r="M7378" s="2" t="s">
        <v>34755</v>
      </c>
      <c r="N7378" s="2" t="s">
        <v>34756</v>
      </c>
      <c r="O7378" s="2" t="s">
        <v>869</v>
      </c>
      <c r="P7378" s="2" t="s">
        <v>870</v>
      </c>
    </row>
    <row r="7379" ht="15.75" customHeight="1">
      <c r="F7379" s="2" t="s">
        <v>3762</v>
      </c>
      <c r="H7379" s="2" t="s">
        <v>34757</v>
      </c>
      <c r="I7379" s="2" t="s">
        <v>34758</v>
      </c>
      <c r="J7379" s="2" t="s">
        <v>34759</v>
      </c>
      <c r="K7379" s="2" t="s">
        <v>24014</v>
      </c>
      <c r="L7379" s="2" t="s">
        <v>31923</v>
      </c>
      <c r="M7379" s="2" t="s">
        <v>34760</v>
      </c>
      <c r="N7379" s="2" t="s">
        <v>34761</v>
      </c>
      <c r="O7379" s="2" t="s">
        <v>869</v>
      </c>
      <c r="P7379" s="2" t="s">
        <v>870</v>
      </c>
    </row>
    <row r="7380" ht="15.75" customHeight="1">
      <c r="H7380" s="2" t="s">
        <v>34762</v>
      </c>
      <c r="I7380" s="2" t="s">
        <v>34763</v>
      </c>
      <c r="J7380" s="2" t="s">
        <v>34764</v>
      </c>
      <c r="K7380" s="2" t="s">
        <v>24518</v>
      </c>
      <c r="L7380" s="2" t="s">
        <v>31923</v>
      </c>
      <c r="M7380" s="2" t="s">
        <v>34765</v>
      </c>
      <c r="N7380" s="2" t="s">
        <v>34766</v>
      </c>
      <c r="O7380" s="2" t="s">
        <v>869</v>
      </c>
      <c r="P7380" s="2" t="s">
        <v>870</v>
      </c>
    </row>
    <row r="7381" ht="15.75" customHeight="1">
      <c r="H7381" s="2" t="s">
        <v>34767</v>
      </c>
      <c r="I7381" s="2" t="s">
        <v>9850</v>
      </c>
      <c r="J7381" s="2" t="s">
        <v>9851</v>
      </c>
      <c r="K7381" s="2" t="s">
        <v>5995</v>
      </c>
      <c r="L7381" s="2" t="s">
        <v>31923</v>
      </c>
      <c r="M7381" s="2" t="s">
        <v>9853</v>
      </c>
      <c r="N7381" s="2" t="s">
        <v>34768</v>
      </c>
      <c r="O7381" s="2" t="s">
        <v>869</v>
      </c>
      <c r="P7381" s="2" t="s">
        <v>870</v>
      </c>
    </row>
    <row r="7382" ht="15.75" customHeight="1">
      <c r="H7382" s="2" t="s">
        <v>34769</v>
      </c>
      <c r="I7382" s="2" t="s">
        <v>9378</v>
      </c>
      <c r="J7382" s="2" t="s">
        <v>9379</v>
      </c>
      <c r="K7382" s="2" t="s">
        <v>25068</v>
      </c>
      <c r="L7382" s="2" t="s">
        <v>31923</v>
      </c>
      <c r="M7382" s="2" t="s">
        <v>34770</v>
      </c>
      <c r="N7382" s="2" t="s">
        <v>34771</v>
      </c>
      <c r="O7382" s="2" t="s">
        <v>869</v>
      </c>
      <c r="P7382" s="2" t="s">
        <v>870</v>
      </c>
    </row>
    <row r="7383" ht="15.75" customHeight="1">
      <c r="H7383" s="2" t="s">
        <v>34772</v>
      </c>
      <c r="I7383" s="2" t="s">
        <v>9862</v>
      </c>
      <c r="J7383" s="2" t="s">
        <v>9863</v>
      </c>
      <c r="K7383" s="2" t="s">
        <v>15901</v>
      </c>
      <c r="L7383" s="2" t="s">
        <v>31923</v>
      </c>
      <c r="M7383" s="2" t="s">
        <v>9865</v>
      </c>
      <c r="N7383" s="2" t="s">
        <v>34773</v>
      </c>
      <c r="O7383" s="2" t="s">
        <v>869</v>
      </c>
      <c r="P7383" s="2" t="s">
        <v>870</v>
      </c>
    </row>
    <row r="7384" ht="15.75" customHeight="1">
      <c r="H7384" s="2" t="s">
        <v>34774</v>
      </c>
      <c r="I7384" s="2" t="s">
        <v>34775</v>
      </c>
      <c r="J7384" s="2" t="s">
        <v>34776</v>
      </c>
      <c r="K7384" s="2" t="s">
        <v>6050</v>
      </c>
      <c r="L7384" s="2" t="s">
        <v>31923</v>
      </c>
      <c r="M7384" s="2" t="s">
        <v>34777</v>
      </c>
      <c r="N7384" s="2" t="s">
        <v>34778</v>
      </c>
      <c r="O7384" s="2" t="s">
        <v>869</v>
      </c>
      <c r="P7384" s="2" t="s">
        <v>870</v>
      </c>
    </row>
    <row r="7385" ht="15.75" customHeight="1">
      <c r="H7385" s="2" t="s">
        <v>34779</v>
      </c>
      <c r="I7385" s="2" t="s">
        <v>34780</v>
      </c>
      <c r="J7385" s="2" t="s">
        <v>34781</v>
      </c>
      <c r="K7385" s="2" t="s">
        <v>31344</v>
      </c>
      <c r="L7385" s="2" t="s">
        <v>31923</v>
      </c>
      <c r="M7385" s="2" t="s">
        <v>34782</v>
      </c>
      <c r="N7385" s="2" t="s">
        <v>34783</v>
      </c>
      <c r="O7385" s="2" t="s">
        <v>869</v>
      </c>
      <c r="P7385" s="2" t="s">
        <v>870</v>
      </c>
    </row>
    <row r="7386" ht="15.75" customHeight="1">
      <c r="H7386" s="2" t="s">
        <v>34784</v>
      </c>
      <c r="I7386" s="2" t="s">
        <v>24199</v>
      </c>
      <c r="J7386" s="2" t="s">
        <v>24200</v>
      </c>
      <c r="K7386" s="2" t="s">
        <v>22104</v>
      </c>
      <c r="L7386" s="2" t="s">
        <v>31923</v>
      </c>
      <c r="M7386" s="2" t="s">
        <v>34785</v>
      </c>
      <c r="N7386" s="2" t="s">
        <v>34786</v>
      </c>
      <c r="O7386" s="2" t="s">
        <v>869</v>
      </c>
      <c r="P7386" s="2" t="s">
        <v>870</v>
      </c>
    </row>
    <row r="7387" ht="15.75" customHeight="1">
      <c r="H7387" s="2" t="s">
        <v>34787</v>
      </c>
      <c r="I7387" s="2" t="s">
        <v>3809</v>
      </c>
      <c r="J7387" s="2" t="s">
        <v>3810</v>
      </c>
      <c r="K7387" s="2" t="s">
        <v>24137</v>
      </c>
      <c r="L7387" s="2" t="s">
        <v>31923</v>
      </c>
      <c r="M7387" s="2" t="s">
        <v>20671</v>
      </c>
      <c r="N7387" s="2" t="s">
        <v>34788</v>
      </c>
      <c r="O7387" s="2" t="s">
        <v>869</v>
      </c>
      <c r="P7387" s="2" t="s">
        <v>870</v>
      </c>
    </row>
    <row r="7388" ht="15.75" customHeight="1">
      <c r="H7388" s="2" t="s">
        <v>34789</v>
      </c>
      <c r="I7388" s="2" t="s">
        <v>34790</v>
      </c>
      <c r="J7388" s="2" t="s">
        <v>34791</v>
      </c>
      <c r="K7388" s="2" t="s">
        <v>24679</v>
      </c>
      <c r="L7388" s="2" t="s">
        <v>31923</v>
      </c>
      <c r="M7388" s="2" t="s">
        <v>34792</v>
      </c>
      <c r="N7388" s="2" t="s">
        <v>34793</v>
      </c>
      <c r="O7388" s="2" t="s">
        <v>869</v>
      </c>
      <c r="P7388" s="2" t="s">
        <v>870</v>
      </c>
    </row>
    <row r="7389" ht="15.75" customHeight="1">
      <c r="H7389" s="2" t="s">
        <v>34794</v>
      </c>
      <c r="I7389" s="2" t="s">
        <v>34795</v>
      </c>
      <c r="J7389" s="2" t="s">
        <v>34796</v>
      </c>
      <c r="K7389" s="2" t="s">
        <v>24263</v>
      </c>
      <c r="L7389" s="2" t="s">
        <v>31923</v>
      </c>
      <c r="M7389" s="2" t="s">
        <v>34797</v>
      </c>
      <c r="N7389" s="2" t="s">
        <v>34798</v>
      </c>
      <c r="O7389" s="2" t="s">
        <v>869</v>
      </c>
      <c r="P7389" s="2" t="s">
        <v>870</v>
      </c>
    </row>
    <row r="7390" ht="15.75" customHeight="1">
      <c r="H7390" s="2" t="s">
        <v>34799</v>
      </c>
      <c r="I7390" s="2" t="s">
        <v>34800</v>
      </c>
      <c r="J7390" s="2" t="s">
        <v>34801</v>
      </c>
      <c r="K7390" s="2" t="s">
        <v>24269</v>
      </c>
      <c r="L7390" s="2" t="s">
        <v>31923</v>
      </c>
      <c r="M7390" s="2" t="s">
        <v>34802</v>
      </c>
      <c r="N7390" s="2" t="s">
        <v>34803</v>
      </c>
      <c r="O7390" s="2" t="s">
        <v>869</v>
      </c>
      <c r="P7390" s="2" t="s">
        <v>870</v>
      </c>
    </row>
    <row r="7391" ht="15.75" customHeight="1">
      <c r="H7391" s="2" t="s">
        <v>34804</v>
      </c>
      <c r="I7391" s="2" t="s">
        <v>9914</v>
      </c>
      <c r="J7391" s="2" t="s">
        <v>9915</v>
      </c>
      <c r="K7391" s="2" t="s">
        <v>25128</v>
      </c>
      <c r="L7391" s="2" t="s">
        <v>31923</v>
      </c>
      <c r="M7391" s="2" t="s">
        <v>9917</v>
      </c>
      <c r="N7391" s="2" t="s">
        <v>34805</v>
      </c>
      <c r="O7391" s="2" t="s">
        <v>869</v>
      </c>
      <c r="P7391" s="2" t="s">
        <v>870</v>
      </c>
    </row>
    <row r="7392" ht="15.75" customHeight="1">
      <c r="H7392" s="2" t="s">
        <v>34806</v>
      </c>
      <c r="I7392" s="2" t="s">
        <v>3826</v>
      </c>
      <c r="J7392" s="2" t="s">
        <v>3827</v>
      </c>
      <c r="K7392" s="2" t="s">
        <v>25133</v>
      </c>
      <c r="L7392" s="2" t="s">
        <v>31923</v>
      </c>
      <c r="M7392" s="2" t="s">
        <v>9921</v>
      </c>
      <c r="N7392" s="2" t="s">
        <v>34807</v>
      </c>
      <c r="O7392" s="2" t="s">
        <v>869</v>
      </c>
      <c r="P7392" s="2" t="s">
        <v>870</v>
      </c>
    </row>
    <row r="7393" ht="15.75" customHeight="1">
      <c r="H7393" s="2" t="s">
        <v>34808</v>
      </c>
      <c r="I7393" s="2" t="s">
        <v>30825</v>
      </c>
      <c r="J7393" s="2" t="s">
        <v>30826</v>
      </c>
      <c r="K7393" s="2" t="s">
        <v>31977</v>
      </c>
      <c r="L7393" s="2" t="s">
        <v>31923</v>
      </c>
      <c r="M7393" s="2" t="s">
        <v>34809</v>
      </c>
      <c r="N7393" s="2" t="s">
        <v>34810</v>
      </c>
      <c r="O7393" s="2" t="s">
        <v>869</v>
      </c>
      <c r="P7393" s="2" t="s">
        <v>870</v>
      </c>
    </row>
    <row r="7394" ht="15.75" customHeight="1">
      <c r="H7394" s="2" t="s">
        <v>34811</v>
      </c>
      <c r="I7394" s="2" t="s">
        <v>34812</v>
      </c>
      <c r="J7394" s="2" t="s">
        <v>34813</v>
      </c>
      <c r="K7394" s="2" t="s">
        <v>25287</v>
      </c>
      <c r="L7394" s="2" t="s">
        <v>31923</v>
      </c>
      <c r="M7394" s="2" t="s">
        <v>34814</v>
      </c>
      <c r="N7394" s="2" t="s">
        <v>34815</v>
      </c>
      <c r="O7394" s="2" t="s">
        <v>869</v>
      </c>
      <c r="P7394" s="2" t="s">
        <v>870</v>
      </c>
    </row>
    <row r="7395" ht="15.75" customHeight="1">
      <c r="H7395" s="2" t="s">
        <v>34816</v>
      </c>
      <c r="I7395" s="2" t="s">
        <v>9924</v>
      </c>
      <c r="J7395" s="2" t="s">
        <v>9925</v>
      </c>
      <c r="K7395" s="2" t="s">
        <v>6058</v>
      </c>
      <c r="L7395" s="2" t="s">
        <v>31923</v>
      </c>
      <c r="M7395" s="2" t="s">
        <v>9927</v>
      </c>
      <c r="N7395" s="2" t="s">
        <v>34817</v>
      </c>
      <c r="O7395" s="2" t="s">
        <v>869</v>
      </c>
      <c r="P7395" s="2" t="s">
        <v>870</v>
      </c>
    </row>
    <row r="7396" ht="15.75" customHeight="1">
      <c r="F7396" s="2" t="s">
        <v>677</v>
      </c>
      <c r="H7396" s="2" t="s">
        <v>34818</v>
      </c>
      <c r="I7396" s="2" t="s">
        <v>34819</v>
      </c>
      <c r="J7396" s="2" t="s">
        <v>34820</v>
      </c>
      <c r="K7396" s="2" t="s">
        <v>24561</v>
      </c>
      <c r="L7396" s="2" t="s">
        <v>31923</v>
      </c>
      <c r="M7396" s="2" t="s">
        <v>34821</v>
      </c>
      <c r="N7396" s="2" t="s">
        <v>34822</v>
      </c>
      <c r="O7396" s="2" t="s">
        <v>869</v>
      </c>
      <c r="P7396" s="2" t="s">
        <v>870</v>
      </c>
    </row>
    <row r="7397" ht="15.75" customHeight="1">
      <c r="H7397" s="2" t="s">
        <v>34823</v>
      </c>
      <c r="I7397" s="2" t="s">
        <v>34824</v>
      </c>
      <c r="J7397" s="2" t="s">
        <v>34825</v>
      </c>
      <c r="K7397" s="2" t="s">
        <v>6025</v>
      </c>
      <c r="L7397" s="2" t="s">
        <v>31923</v>
      </c>
      <c r="M7397" s="2" t="s">
        <v>34826</v>
      </c>
      <c r="N7397" s="2" t="s">
        <v>34827</v>
      </c>
      <c r="O7397" s="2" t="s">
        <v>869</v>
      </c>
      <c r="P7397" s="2" t="s">
        <v>870</v>
      </c>
    </row>
    <row r="7398" ht="15.75" customHeight="1">
      <c r="H7398" s="2" t="s">
        <v>34828</v>
      </c>
      <c r="I7398" s="2" t="s">
        <v>3841</v>
      </c>
      <c r="J7398" s="2" t="s">
        <v>3842</v>
      </c>
      <c r="K7398" s="2" t="s">
        <v>15897</v>
      </c>
      <c r="L7398" s="2" t="s">
        <v>31923</v>
      </c>
      <c r="M7398" s="2" t="s">
        <v>9959</v>
      </c>
      <c r="N7398" s="2" t="s">
        <v>34829</v>
      </c>
      <c r="O7398" s="2" t="s">
        <v>869</v>
      </c>
      <c r="P7398" s="2" t="s">
        <v>870</v>
      </c>
    </row>
    <row r="7399" ht="15.75" customHeight="1">
      <c r="H7399" s="2" t="s">
        <v>34830</v>
      </c>
      <c r="I7399" s="2" t="s">
        <v>34831</v>
      </c>
      <c r="J7399" s="2" t="s">
        <v>34832</v>
      </c>
      <c r="K7399" s="2" t="s">
        <v>25009</v>
      </c>
      <c r="L7399" s="2" t="s">
        <v>31923</v>
      </c>
      <c r="M7399" s="2" t="s">
        <v>34833</v>
      </c>
      <c r="N7399" s="2" t="s">
        <v>34834</v>
      </c>
      <c r="O7399" s="2" t="s">
        <v>869</v>
      </c>
      <c r="P7399" s="2" t="s">
        <v>870</v>
      </c>
    </row>
    <row r="7400" ht="15.75" customHeight="1">
      <c r="H7400" s="2" t="s">
        <v>34835</v>
      </c>
      <c r="I7400" s="2" t="s">
        <v>10004</v>
      </c>
      <c r="J7400" s="2" t="s">
        <v>10005</v>
      </c>
      <c r="K7400" s="2" t="s">
        <v>15890</v>
      </c>
      <c r="L7400" s="2" t="s">
        <v>31923</v>
      </c>
      <c r="M7400" s="2" t="s">
        <v>10007</v>
      </c>
      <c r="N7400" s="2" t="s">
        <v>34836</v>
      </c>
      <c r="O7400" s="2" t="s">
        <v>869</v>
      </c>
      <c r="P7400" s="2" t="s">
        <v>870</v>
      </c>
    </row>
    <row r="7401" ht="15.75" customHeight="1">
      <c r="H7401" s="2" t="s">
        <v>34837</v>
      </c>
      <c r="I7401" s="2" t="s">
        <v>8130</v>
      </c>
      <c r="J7401" s="2" t="s">
        <v>8131</v>
      </c>
      <c r="K7401" s="2" t="s">
        <v>15868</v>
      </c>
      <c r="L7401" s="2" t="s">
        <v>31923</v>
      </c>
      <c r="M7401" s="2" t="s">
        <v>30207</v>
      </c>
      <c r="N7401" s="2" t="s">
        <v>34838</v>
      </c>
      <c r="O7401" s="2" t="s">
        <v>869</v>
      </c>
      <c r="P7401" s="2" t="s">
        <v>870</v>
      </c>
    </row>
    <row r="7402" ht="15.75" customHeight="1">
      <c r="H7402" s="2" t="s">
        <v>34839</v>
      </c>
      <c r="I7402" s="2" t="s">
        <v>3866</v>
      </c>
      <c r="J7402" s="2" t="s">
        <v>3867</v>
      </c>
      <c r="K7402" s="2" t="s">
        <v>24102</v>
      </c>
      <c r="L7402" s="2" t="s">
        <v>31923</v>
      </c>
      <c r="M7402" s="2" t="s">
        <v>34840</v>
      </c>
      <c r="N7402" s="2" t="s">
        <v>34841</v>
      </c>
      <c r="O7402" s="2" t="s">
        <v>869</v>
      </c>
      <c r="P7402" s="2" t="s">
        <v>870</v>
      </c>
    </row>
    <row r="7403" ht="15.75" customHeight="1">
      <c r="H7403" s="2" t="s">
        <v>34842</v>
      </c>
      <c r="I7403" s="2" t="s">
        <v>5388</v>
      </c>
      <c r="J7403" s="2" t="s">
        <v>5389</v>
      </c>
      <c r="K7403" s="2" t="s">
        <v>24109</v>
      </c>
      <c r="L7403" s="2" t="s">
        <v>31923</v>
      </c>
      <c r="M7403" s="2" t="s">
        <v>10038</v>
      </c>
      <c r="N7403" s="2" t="s">
        <v>34843</v>
      </c>
      <c r="O7403" s="2" t="s">
        <v>869</v>
      </c>
      <c r="P7403" s="2" t="s">
        <v>870</v>
      </c>
    </row>
    <row r="7404" ht="15.75" customHeight="1">
      <c r="H7404" s="2" t="s">
        <v>34844</v>
      </c>
      <c r="I7404" s="2" t="s">
        <v>34845</v>
      </c>
      <c r="J7404" s="2" t="s">
        <v>34846</v>
      </c>
      <c r="K7404" s="2" t="s">
        <v>32406</v>
      </c>
      <c r="L7404" s="2" t="s">
        <v>31923</v>
      </c>
      <c r="M7404" s="2" t="s">
        <v>34847</v>
      </c>
      <c r="N7404" s="2" t="s">
        <v>34848</v>
      </c>
      <c r="O7404" s="2" t="s">
        <v>869</v>
      </c>
      <c r="P7404" s="2" t="s">
        <v>870</v>
      </c>
    </row>
    <row r="7405" ht="15.75" customHeight="1">
      <c r="H7405" s="2" t="s">
        <v>34849</v>
      </c>
      <c r="I7405" s="2" t="s">
        <v>10041</v>
      </c>
      <c r="J7405" s="2" t="s">
        <v>10042</v>
      </c>
      <c r="K7405" s="2" t="s">
        <v>6019</v>
      </c>
      <c r="L7405" s="2" t="s">
        <v>31923</v>
      </c>
      <c r="M7405" s="2" t="s">
        <v>10044</v>
      </c>
      <c r="N7405" s="2" t="s">
        <v>34850</v>
      </c>
      <c r="O7405" s="2" t="s">
        <v>869</v>
      </c>
      <c r="P7405" s="2" t="s">
        <v>870</v>
      </c>
    </row>
    <row r="7406" ht="15.75" customHeight="1">
      <c r="H7406" s="2" t="s">
        <v>34851</v>
      </c>
      <c r="I7406" s="2" t="s">
        <v>10047</v>
      </c>
      <c r="J7406" s="2" t="s">
        <v>10048</v>
      </c>
      <c r="K7406" s="2" t="s">
        <v>15809</v>
      </c>
      <c r="L7406" s="2" t="s">
        <v>31923</v>
      </c>
      <c r="M7406" s="2" t="s">
        <v>10050</v>
      </c>
      <c r="N7406" s="2" t="s">
        <v>34852</v>
      </c>
      <c r="O7406" s="2" t="s">
        <v>869</v>
      </c>
      <c r="P7406" s="2" t="s">
        <v>870</v>
      </c>
    </row>
    <row r="7407" ht="15.75" customHeight="1">
      <c r="H7407" s="2" t="s">
        <v>34853</v>
      </c>
      <c r="I7407" s="2" t="s">
        <v>21875</v>
      </c>
      <c r="J7407" s="2" t="s">
        <v>21876</v>
      </c>
      <c r="K7407" s="2" t="s">
        <v>34854</v>
      </c>
      <c r="L7407" s="2" t="s">
        <v>31923</v>
      </c>
      <c r="M7407" s="2" t="s">
        <v>34855</v>
      </c>
      <c r="N7407" s="2" t="s">
        <v>34856</v>
      </c>
      <c r="O7407" s="2" t="s">
        <v>869</v>
      </c>
      <c r="P7407" s="2" t="s">
        <v>870</v>
      </c>
    </row>
    <row r="7408" ht="15.75" customHeight="1">
      <c r="H7408" s="2" t="s">
        <v>34857</v>
      </c>
      <c r="I7408" s="2" t="s">
        <v>34858</v>
      </c>
      <c r="J7408" s="2" t="s">
        <v>34859</v>
      </c>
      <c r="K7408" s="2" t="s">
        <v>31463</v>
      </c>
      <c r="L7408" s="2" t="s">
        <v>31923</v>
      </c>
      <c r="M7408" s="2" t="s">
        <v>34860</v>
      </c>
      <c r="N7408" s="2" t="s">
        <v>34861</v>
      </c>
      <c r="O7408" s="2" t="s">
        <v>869</v>
      </c>
      <c r="P7408" s="2" t="s">
        <v>870</v>
      </c>
    </row>
    <row r="7409" ht="15.75" customHeight="1">
      <c r="H7409" s="2" t="s">
        <v>34862</v>
      </c>
      <c r="I7409" s="2" t="s">
        <v>34863</v>
      </c>
      <c r="J7409" s="2" t="s">
        <v>34864</v>
      </c>
      <c r="K7409" s="2" t="s">
        <v>6058</v>
      </c>
      <c r="L7409" s="2" t="s">
        <v>31923</v>
      </c>
      <c r="M7409" s="2" t="s">
        <v>34865</v>
      </c>
      <c r="N7409" s="2" t="s">
        <v>34866</v>
      </c>
      <c r="O7409" s="2" t="s">
        <v>869</v>
      </c>
      <c r="P7409" s="2" t="s">
        <v>870</v>
      </c>
    </row>
    <row r="7410" ht="15.75" customHeight="1">
      <c r="H7410" s="2" t="s">
        <v>34867</v>
      </c>
      <c r="I7410" s="2" t="s">
        <v>3885</v>
      </c>
      <c r="J7410" s="2" t="s">
        <v>3886</v>
      </c>
      <c r="K7410" s="2" t="s">
        <v>31469</v>
      </c>
      <c r="L7410" s="2" t="s">
        <v>31923</v>
      </c>
      <c r="M7410" s="2" t="s">
        <v>10100</v>
      </c>
      <c r="N7410" s="2" t="s">
        <v>34868</v>
      </c>
      <c r="O7410" s="2" t="s">
        <v>869</v>
      </c>
      <c r="P7410" s="2" t="s">
        <v>870</v>
      </c>
    </row>
    <row r="7411" ht="15.75" customHeight="1">
      <c r="H7411" s="2" t="s">
        <v>34869</v>
      </c>
      <c r="I7411" s="2" t="s">
        <v>679</v>
      </c>
      <c r="J7411" s="2" t="s">
        <v>680</v>
      </c>
      <c r="K7411" s="2" t="s">
        <v>6062</v>
      </c>
      <c r="L7411" s="2" t="s">
        <v>31923</v>
      </c>
      <c r="M7411" s="2" t="s">
        <v>34865</v>
      </c>
      <c r="N7411" s="2" t="s">
        <v>34870</v>
      </c>
      <c r="O7411" s="2" t="s">
        <v>869</v>
      </c>
      <c r="P7411" s="2" t="s">
        <v>870</v>
      </c>
    </row>
    <row r="7412" ht="15.75" customHeight="1">
      <c r="H7412" s="2" t="s">
        <v>34871</v>
      </c>
      <c r="I7412" s="2" t="s">
        <v>34872</v>
      </c>
      <c r="J7412" s="2" t="s">
        <v>34873</v>
      </c>
      <c r="K7412" s="2" t="s">
        <v>6074</v>
      </c>
      <c r="L7412" s="2" t="s">
        <v>31923</v>
      </c>
      <c r="M7412" s="2" t="s">
        <v>34874</v>
      </c>
      <c r="N7412" s="2" t="s">
        <v>34875</v>
      </c>
      <c r="O7412" s="2" t="s">
        <v>869</v>
      </c>
      <c r="P7412" s="2" t="s">
        <v>870</v>
      </c>
    </row>
    <row r="7413" ht="15.75" customHeight="1">
      <c r="H7413" s="2" t="s">
        <v>34876</v>
      </c>
      <c r="I7413" s="2" t="s">
        <v>10113</v>
      </c>
      <c r="J7413" s="2" t="s">
        <v>10114</v>
      </c>
      <c r="K7413" s="2" t="s">
        <v>25265</v>
      </c>
      <c r="L7413" s="2" t="s">
        <v>31923</v>
      </c>
      <c r="M7413" s="2" t="s">
        <v>10116</v>
      </c>
      <c r="N7413" s="2" t="s">
        <v>34877</v>
      </c>
      <c r="O7413" s="2" t="s">
        <v>869</v>
      </c>
      <c r="P7413" s="2" t="s">
        <v>870</v>
      </c>
    </row>
    <row r="7414" ht="15.75" customHeight="1">
      <c r="H7414" s="2" t="s">
        <v>34878</v>
      </c>
      <c r="I7414" s="2" t="s">
        <v>3907</v>
      </c>
      <c r="J7414" s="2" t="s">
        <v>3908</v>
      </c>
      <c r="K7414" s="2" t="s">
        <v>24379</v>
      </c>
      <c r="L7414" s="2" t="s">
        <v>31923</v>
      </c>
      <c r="M7414" s="2" t="s">
        <v>10120</v>
      </c>
      <c r="N7414" s="2" t="s">
        <v>34879</v>
      </c>
      <c r="O7414" s="2" t="s">
        <v>869</v>
      </c>
      <c r="P7414" s="2" t="s">
        <v>870</v>
      </c>
    </row>
    <row r="7415" ht="15.75" customHeight="1">
      <c r="H7415" s="2" t="s">
        <v>34880</v>
      </c>
      <c r="I7415" s="2" t="s">
        <v>34881</v>
      </c>
      <c r="J7415" s="2" t="s">
        <v>34882</v>
      </c>
      <c r="K7415" s="2" t="s">
        <v>6050</v>
      </c>
      <c r="L7415" s="2" t="s">
        <v>31923</v>
      </c>
      <c r="M7415" s="2" t="s">
        <v>34883</v>
      </c>
      <c r="N7415" s="2" t="s">
        <v>34884</v>
      </c>
      <c r="O7415" s="2" t="s">
        <v>869</v>
      </c>
      <c r="P7415" s="2" t="s">
        <v>870</v>
      </c>
    </row>
    <row r="7416" ht="15.75" customHeight="1">
      <c r="H7416" s="2" t="s">
        <v>34885</v>
      </c>
      <c r="I7416" s="2" t="s">
        <v>1506</v>
      </c>
      <c r="J7416" s="2" t="s">
        <v>1507</v>
      </c>
      <c r="K7416" s="2" t="s">
        <v>15819</v>
      </c>
      <c r="L7416" s="2" t="s">
        <v>31923</v>
      </c>
      <c r="M7416" s="2" t="s">
        <v>34886</v>
      </c>
      <c r="N7416" s="2" t="s">
        <v>34887</v>
      </c>
      <c r="O7416" s="2" t="s">
        <v>869</v>
      </c>
      <c r="P7416" s="2" t="s">
        <v>870</v>
      </c>
    </row>
    <row r="7417" ht="15.75" customHeight="1">
      <c r="H7417" s="2" t="s">
        <v>34888</v>
      </c>
      <c r="I7417" s="2" t="s">
        <v>34889</v>
      </c>
      <c r="J7417" s="2" t="s">
        <v>34890</v>
      </c>
      <c r="K7417" s="2" t="s">
        <v>6419</v>
      </c>
      <c r="L7417" s="2" t="s">
        <v>31923</v>
      </c>
      <c r="M7417" s="2" t="s">
        <v>34891</v>
      </c>
      <c r="N7417" s="2" t="s">
        <v>34892</v>
      </c>
      <c r="O7417" s="2" t="s">
        <v>869</v>
      </c>
      <c r="P7417" s="2" t="s">
        <v>870</v>
      </c>
    </row>
    <row r="7418" ht="15.75" customHeight="1">
      <c r="H7418" s="2" t="s">
        <v>34893</v>
      </c>
      <c r="I7418" s="2" t="s">
        <v>10141</v>
      </c>
      <c r="J7418" s="2" t="s">
        <v>10142</v>
      </c>
      <c r="K7418" s="2" t="s">
        <v>34127</v>
      </c>
      <c r="L7418" s="2" t="s">
        <v>31923</v>
      </c>
      <c r="M7418" s="2" t="s">
        <v>34894</v>
      </c>
      <c r="N7418" s="2" t="s">
        <v>34895</v>
      </c>
      <c r="O7418" s="2" t="s">
        <v>869</v>
      </c>
      <c r="P7418" s="2" t="s">
        <v>870</v>
      </c>
    </row>
    <row r="7419" ht="15.75" customHeight="1">
      <c r="H7419" s="2" t="s">
        <v>34896</v>
      </c>
      <c r="I7419" s="2" t="s">
        <v>3912</v>
      </c>
      <c r="J7419" s="2" t="s">
        <v>3913</v>
      </c>
      <c r="K7419" s="2" t="s">
        <v>24596</v>
      </c>
      <c r="L7419" s="2" t="s">
        <v>31923</v>
      </c>
      <c r="M7419" s="2" t="s">
        <v>3914</v>
      </c>
      <c r="N7419" s="2" t="s">
        <v>34897</v>
      </c>
      <c r="O7419" s="2" t="s">
        <v>869</v>
      </c>
      <c r="P7419" s="2" t="s">
        <v>870</v>
      </c>
    </row>
    <row r="7420" ht="15.75" customHeight="1">
      <c r="F7420" s="2" t="s">
        <v>694</v>
      </c>
      <c r="H7420" s="2" t="s">
        <v>34898</v>
      </c>
      <c r="I7420" s="2" t="s">
        <v>34899</v>
      </c>
      <c r="J7420" s="2" t="s">
        <v>34900</v>
      </c>
      <c r="K7420" s="2" t="s">
        <v>22462</v>
      </c>
      <c r="L7420" s="2" t="s">
        <v>31923</v>
      </c>
      <c r="M7420" s="2" t="s">
        <v>34901</v>
      </c>
      <c r="N7420" s="2" t="s">
        <v>869</v>
      </c>
      <c r="O7420" s="2" t="s">
        <v>870</v>
      </c>
    </row>
    <row r="7421" ht="15.75" customHeight="1">
      <c r="H7421" s="2" t="s">
        <v>34902</v>
      </c>
      <c r="I7421" s="2" t="s">
        <v>20747</v>
      </c>
      <c r="J7421" s="2" t="s">
        <v>20748</v>
      </c>
      <c r="K7421" s="2" t="s">
        <v>24014</v>
      </c>
      <c r="L7421" s="2" t="s">
        <v>31923</v>
      </c>
      <c r="M7421" s="2" t="s">
        <v>34903</v>
      </c>
      <c r="N7421" s="2" t="s">
        <v>34904</v>
      </c>
      <c r="O7421" s="2" t="s">
        <v>869</v>
      </c>
      <c r="P7421" s="2" t="s">
        <v>870</v>
      </c>
    </row>
    <row r="7422" ht="15.75" customHeight="1">
      <c r="H7422" s="2" t="s">
        <v>34905</v>
      </c>
      <c r="I7422" s="2" t="s">
        <v>27809</v>
      </c>
      <c r="J7422" s="2" t="s">
        <v>27810</v>
      </c>
      <c r="K7422" s="2" t="s">
        <v>24518</v>
      </c>
      <c r="L7422" s="2" t="s">
        <v>31923</v>
      </c>
      <c r="M7422" s="2" t="s">
        <v>27811</v>
      </c>
      <c r="N7422" s="2" t="s">
        <v>34906</v>
      </c>
      <c r="O7422" s="2" t="s">
        <v>869</v>
      </c>
      <c r="P7422" s="2" t="s">
        <v>870</v>
      </c>
    </row>
    <row r="7423" ht="15.75" customHeight="1">
      <c r="H7423" s="2" t="s">
        <v>34907</v>
      </c>
      <c r="I7423" s="2" t="s">
        <v>34908</v>
      </c>
      <c r="J7423" s="2" t="s">
        <v>34909</v>
      </c>
      <c r="K7423" s="2" t="s">
        <v>25009</v>
      </c>
      <c r="L7423" s="2" t="s">
        <v>31923</v>
      </c>
      <c r="M7423" s="2" t="s">
        <v>34910</v>
      </c>
      <c r="N7423" s="2" t="s">
        <v>869</v>
      </c>
      <c r="O7423" s="2" t="s">
        <v>870</v>
      </c>
    </row>
    <row r="7424" ht="15.75" customHeight="1">
      <c r="H7424" s="2" t="s">
        <v>34911</v>
      </c>
      <c r="I7424" s="2" t="s">
        <v>34912</v>
      </c>
      <c r="J7424" s="2" t="s">
        <v>34913</v>
      </c>
      <c r="K7424" s="2" t="s">
        <v>6000</v>
      </c>
      <c r="L7424" s="2" t="s">
        <v>31923</v>
      </c>
      <c r="M7424" s="2" t="s">
        <v>34914</v>
      </c>
      <c r="N7424" s="2" t="s">
        <v>869</v>
      </c>
      <c r="O7424" s="2" t="s">
        <v>870</v>
      </c>
    </row>
    <row r="7425" ht="15.75" customHeight="1">
      <c r="H7425" s="2" t="s">
        <v>34915</v>
      </c>
      <c r="I7425" s="2" t="s">
        <v>34916</v>
      </c>
      <c r="J7425" s="2" t="s">
        <v>34917</v>
      </c>
      <c r="K7425" s="2" t="s">
        <v>24414</v>
      </c>
      <c r="L7425" s="2" t="s">
        <v>31923</v>
      </c>
      <c r="M7425" s="2" t="s">
        <v>34918</v>
      </c>
      <c r="N7425" s="2" t="s">
        <v>34919</v>
      </c>
      <c r="O7425" s="2" t="s">
        <v>869</v>
      </c>
      <c r="P7425" s="2" t="s">
        <v>870</v>
      </c>
    </row>
    <row r="7426" ht="15.75" customHeight="1">
      <c r="H7426" s="2" t="s">
        <v>34920</v>
      </c>
      <c r="I7426" s="2" t="s">
        <v>34921</v>
      </c>
      <c r="J7426" s="2" t="s">
        <v>34922</v>
      </c>
      <c r="K7426" s="2" t="s">
        <v>22104</v>
      </c>
      <c r="L7426" s="2" t="s">
        <v>31923</v>
      </c>
      <c r="M7426" s="2" t="s">
        <v>34923</v>
      </c>
      <c r="N7426" s="2" t="s">
        <v>34924</v>
      </c>
      <c r="O7426" s="2" t="s">
        <v>869</v>
      </c>
      <c r="P7426" s="2" t="s">
        <v>870</v>
      </c>
    </row>
    <row r="7427" ht="15.75" customHeight="1">
      <c r="H7427" s="2" t="s">
        <v>34925</v>
      </c>
      <c r="I7427" s="2" t="s">
        <v>34926</v>
      </c>
      <c r="J7427" s="2" t="s">
        <v>34927</v>
      </c>
      <c r="K7427" s="2" t="s">
        <v>32406</v>
      </c>
      <c r="L7427" s="2" t="s">
        <v>31923</v>
      </c>
      <c r="M7427" s="2" t="s">
        <v>34928</v>
      </c>
      <c r="N7427" s="2" t="s">
        <v>869</v>
      </c>
      <c r="O7427" s="2" t="s">
        <v>870</v>
      </c>
    </row>
    <row r="7428" ht="15.75" customHeight="1">
      <c r="H7428" s="2" t="s">
        <v>34929</v>
      </c>
      <c r="I7428" s="2" t="s">
        <v>5481</v>
      </c>
      <c r="J7428" s="2" t="s">
        <v>5482</v>
      </c>
      <c r="K7428" s="2" t="s">
        <v>24102</v>
      </c>
      <c r="L7428" s="2" t="s">
        <v>31923</v>
      </c>
      <c r="M7428" s="2" t="s">
        <v>34930</v>
      </c>
      <c r="N7428" s="2" t="s">
        <v>34931</v>
      </c>
      <c r="O7428" s="2" t="s">
        <v>869</v>
      </c>
      <c r="P7428" s="2" t="s">
        <v>870</v>
      </c>
    </row>
    <row r="7429" ht="15.75" customHeight="1">
      <c r="H7429" s="2" t="s">
        <v>34932</v>
      </c>
      <c r="I7429" s="2" t="s">
        <v>34933</v>
      </c>
      <c r="J7429" s="2" t="s">
        <v>34934</v>
      </c>
      <c r="K7429" s="2" t="s">
        <v>22055</v>
      </c>
      <c r="L7429" s="2" t="s">
        <v>31923</v>
      </c>
      <c r="M7429" s="2" t="s">
        <v>34935</v>
      </c>
      <c r="N7429" s="2" t="s">
        <v>34936</v>
      </c>
      <c r="O7429" s="2" t="s">
        <v>869</v>
      </c>
      <c r="P7429" s="2" t="s">
        <v>870</v>
      </c>
    </row>
    <row r="7430" ht="15.75" customHeight="1">
      <c r="H7430" s="2" t="s">
        <v>34937</v>
      </c>
      <c r="I7430" s="2" t="s">
        <v>34938</v>
      </c>
      <c r="J7430" s="2" t="s">
        <v>34939</v>
      </c>
      <c r="K7430" s="2" t="s">
        <v>6019</v>
      </c>
      <c r="L7430" s="2" t="s">
        <v>31923</v>
      </c>
      <c r="M7430" s="2" t="s">
        <v>34940</v>
      </c>
      <c r="N7430" s="2" t="s">
        <v>869</v>
      </c>
      <c r="O7430" s="2" t="s">
        <v>870</v>
      </c>
    </row>
    <row r="7431" ht="15.75" customHeight="1">
      <c r="H7431" s="2" t="s">
        <v>34941</v>
      </c>
      <c r="I7431" s="2" t="s">
        <v>696</v>
      </c>
      <c r="J7431" s="2" t="s">
        <v>697</v>
      </c>
      <c r="K7431" s="2" t="s">
        <v>15809</v>
      </c>
      <c r="L7431" s="2" t="s">
        <v>31923</v>
      </c>
      <c r="M7431" s="2" t="s">
        <v>34942</v>
      </c>
      <c r="N7431" s="2" t="s">
        <v>34943</v>
      </c>
      <c r="O7431" s="2" t="s">
        <v>869</v>
      </c>
      <c r="P7431" s="2" t="s">
        <v>870</v>
      </c>
    </row>
    <row r="7432" ht="15.75" customHeight="1">
      <c r="H7432" s="2" t="s">
        <v>34944</v>
      </c>
      <c r="I7432" s="2" t="s">
        <v>20821</v>
      </c>
      <c r="J7432" s="2" t="s">
        <v>20822</v>
      </c>
      <c r="K7432" s="2" t="s">
        <v>22050</v>
      </c>
      <c r="L7432" s="2" t="s">
        <v>31923</v>
      </c>
      <c r="M7432" s="2" t="s">
        <v>27855</v>
      </c>
      <c r="N7432" s="2" t="s">
        <v>34945</v>
      </c>
      <c r="O7432" s="2" t="s">
        <v>869</v>
      </c>
      <c r="P7432" s="2" t="s">
        <v>870</v>
      </c>
    </row>
    <row r="7433" ht="15.75" customHeight="1">
      <c r="H7433" s="2" t="s">
        <v>34946</v>
      </c>
      <c r="I7433" s="2" t="s">
        <v>3963</v>
      </c>
      <c r="J7433" s="2" t="s">
        <v>3964</v>
      </c>
      <c r="K7433" s="2" t="s">
        <v>6081</v>
      </c>
      <c r="L7433" s="2" t="s">
        <v>31923</v>
      </c>
      <c r="M7433" s="2" t="s">
        <v>34947</v>
      </c>
      <c r="N7433" s="2" t="s">
        <v>869</v>
      </c>
      <c r="O7433" s="2" t="s">
        <v>870</v>
      </c>
    </row>
    <row r="7434" ht="15.75" customHeight="1">
      <c r="H7434" s="2" t="s">
        <v>34948</v>
      </c>
      <c r="I7434" s="2" t="s">
        <v>27867</v>
      </c>
      <c r="J7434" s="2" t="s">
        <v>27868</v>
      </c>
      <c r="K7434" s="2" t="s">
        <v>25287</v>
      </c>
      <c r="L7434" s="2" t="s">
        <v>31923</v>
      </c>
      <c r="M7434" s="2" t="s">
        <v>27869</v>
      </c>
      <c r="N7434" s="2" t="s">
        <v>34949</v>
      </c>
      <c r="O7434" s="2" t="s">
        <v>869</v>
      </c>
      <c r="P7434" s="2" t="s">
        <v>870</v>
      </c>
    </row>
    <row r="7435" ht="15.75" customHeight="1">
      <c r="H7435" s="2" t="s">
        <v>34950</v>
      </c>
      <c r="I7435" s="2" t="s">
        <v>27879</v>
      </c>
      <c r="J7435" s="2" t="s">
        <v>27880</v>
      </c>
      <c r="K7435" s="2" t="s">
        <v>32142</v>
      </c>
      <c r="L7435" s="2" t="s">
        <v>31923</v>
      </c>
      <c r="M7435" s="2" t="s">
        <v>34951</v>
      </c>
      <c r="N7435" s="2" t="s">
        <v>34952</v>
      </c>
      <c r="O7435" s="2" t="s">
        <v>869</v>
      </c>
      <c r="P7435" s="2" t="s">
        <v>870</v>
      </c>
    </row>
    <row r="7436" ht="15.75" customHeight="1">
      <c r="H7436" s="2" t="s">
        <v>34953</v>
      </c>
      <c r="I7436" s="2" t="s">
        <v>3968</v>
      </c>
      <c r="J7436" s="2" t="s">
        <v>3969</v>
      </c>
      <c r="K7436" s="2" t="s">
        <v>6062</v>
      </c>
      <c r="L7436" s="2" t="s">
        <v>31923</v>
      </c>
      <c r="M7436" s="2" t="s">
        <v>27892</v>
      </c>
      <c r="N7436" s="2" t="s">
        <v>34954</v>
      </c>
      <c r="O7436" s="2" t="s">
        <v>869</v>
      </c>
      <c r="P7436" s="2" t="s">
        <v>870</v>
      </c>
    </row>
    <row r="7437" ht="15.75" customHeight="1">
      <c r="H7437" s="2" t="s">
        <v>34955</v>
      </c>
      <c r="I7437" s="2" t="s">
        <v>34120</v>
      </c>
      <c r="J7437" s="2" t="s">
        <v>34121</v>
      </c>
      <c r="K7437" s="2" t="s">
        <v>6006</v>
      </c>
      <c r="L7437" s="2" t="s">
        <v>31923</v>
      </c>
      <c r="M7437" s="2" t="s">
        <v>34956</v>
      </c>
      <c r="N7437" s="2" t="s">
        <v>869</v>
      </c>
      <c r="O7437" s="2" t="s">
        <v>870</v>
      </c>
    </row>
    <row r="7438" ht="15.75" customHeight="1">
      <c r="H7438" s="2" t="s">
        <v>34957</v>
      </c>
      <c r="I7438" s="2" t="s">
        <v>34958</v>
      </c>
      <c r="J7438" s="2" t="s">
        <v>34959</v>
      </c>
      <c r="K7438" s="2" t="s">
        <v>15872</v>
      </c>
      <c r="L7438" s="2" t="s">
        <v>31923</v>
      </c>
      <c r="M7438" s="2" t="s">
        <v>27881</v>
      </c>
      <c r="N7438" s="2" t="s">
        <v>34960</v>
      </c>
      <c r="O7438" s="2" t="s">
        <v>869</v>
      </c>
      <c r="P7438" s="2" t="s">
        <v>870</v>
      </c>
    </row>
    <row r="7439" ht="15.75" customHeight="1">
      <c r="F7439" s="2" t="s">
        <v>3972</v>
      </c>
      <c r="H7439" s="2" t="s">
        <v>34961</v>
      </c>
      <c r="I7439" s="2" t="s">
        <v>34962</v>
      </c>
      <c r="J7439" s="2" t="s">
        <v>34963</v>
      </c>
      <c r="K7439" s="2" t="s">
        <v>24014</v>
      </c>
      <c r="L7439" s="2" t="s">
        <v>31923</v>
      </c>
      <c r="M7439" s="2" t="s">
        <v>34964</v>
      </c>
      <c r="N7439" s="2" t="s">
        <v>34965</v>
      </c>
      <c r="O7439" s="2" t="s">
        <v>869</v>
      </c>
      <c r="P7439" s="2" t="s">
        <v>870</v>
      </c>
    </row>
    <row r="7440" ht="15.75" customHeight="1">
      <c r="H7440" s="2" t="s">
        <v>34966</v>
      </c>
      <c r="I7440" s="2" t="s">
        <v>34967</v>
      </c>
      <c r="J7440" s="2" t="s">
        <v>34968</v>
      </c>
      <c r="K7440" s="2" t="s">
        <v>6025</v>
      </c>
      <c r="L7440" s="2" t="s">
        <v>31923</v>
      </c>
      <c r="M7440" s="2" t="s">
        <v>34969</v>
      </c>
      <c r="N7440" s="2" t="s">
        <v>34970</v>
      </c>
      <c r="O7440" s="2" t="s">
        <v>869</v>
      </c>
      <c r="P7440" s="2" t="s">
        <v>870</v>
      </c>
    </row>
    <row r="7441" ht="15.75" customHeight="1">
      <c r="H7441" s="2" t="s">
        <v>34971</v>
      </c>
      <c r="I7441" s="2" t="s">
        <v>3993</v>
      </c>
      <c r="J7441" s="2" t="s">
        <v>3994</v>
      </c>
      <c r="K7441" s="2" t="s">
        <v>25009</v>
      </c>
      <c r="L7441" s="2" t="s">
        <v>31923</v>
      </c>
      <c r="M7441" s="2" t="s">
        <v>34972</v>
      </c>
      <c r="N7441" s="2" t="s">
        <v>34973</v>
      </c>
      <c r="O7441" s="2" t="s">
        <v>869</v>
      </c>
      <c r="P7441" s="2" t="s">
        <v>870</v>
      </c>
    </row>
    <row r="7442" ht="15.75" customHeight="1">
      <c r="H7442" s="2" t="s">
        <v>34974</v>
      </c>
      <c r="I7442" s="2" t="s">
        <v>34975</v>
      </c>
      <c r="J7442" s="2" t="s">
        <v>34976</v>
      </c>
      <c r="K7442" s="2" t="s">
        <v>15801</v>
      </c>
      <c r="L7442" s="2" t="s">
        <v>31923</v>
      </c>
      <c r="M7442" s="2" t="s">
        <v>34977</v>
      </c>
      <c r="N7442" s="2" t="s">
        <v>34978</v>
      </c>
      <c r="O7442" s="2" t="s">
        <v>869</v>
      </c>
      <c r="P7442" s="2" t="s">
        <v>870</v>
      </c>
    </row>
    <row r="7443" ht="15.75" customHeight="1">
      <c r="H7443" s="2" t="s">
        <v>34979</v>
      </c>
      <c r="I7443" s="2" t="s">
        <v>193</v>
      </c>
      <c r="J7443" s="2" t="s">
        <v>194</v>
      </c>
      <c r="K7443" s="2" t="s">
        <v>24414</v>
      </c>
      <c r="L7443" s="2" t="s">
        <v>31923</v>
      </c>
      <c r="M7443" s="2" t="s">
        <v>34980</v>
      </c>
      <c r="N7443" s="2" t="s">
        <v>34981</v>
      </c>
      <c r="O7443" s="2" t="s">
        <v>869</v>
      </c>
      <c r="P7443" s="2" t="s">
        <v>870</v>
      </c>
    </row>
    <row r="7444" ht="15.75" customHeight="1">
      <c r="H7444" s="2" t="s">
        <v>34982</v>
      </c>
      <c r="I7444" s="2" t="s">
        <v>34983</v>
      </c>
      <c r="J7444" s="2" t="s">
        <v>34984</v>
      </c>
      <c r="K7444" s="2" t="s">
        <v>15796</v>
      </c>
      <c r="L7444" s="2" t="s">
        <v>31923</v>
      </c>
      <c r="M7444" s="2" t="s">
        <v>34985</v>
      </c>
      <c r="N7444" s="2" t="s">
        <v>869</v>
      </c>
      <c r="O7444" s="2" t="s">
        <v>870</v>
      </c>
    </row>
    <row r="7445" ht="15.75" customHeight="1">
      <c r="H7445" s="2" t="s">
        <v>34986</v>
      </c>
      <c r="I7445" s="2" t="s">
        <v>4001</v>
      </c>
      <c r="J7445" s="2" t="s">
        <v>4002</v>
      </c>
      <c r="K7445" s="2" t="s">
        <v>6054</v>
      </c>
      <c r="L7445" s="2" t="s">
        <v>31923</v>
      </c>
      <c r="M7445" s="2" t="s">
        <v>30261</v>
      </c>
      <c r="N7445" s="2" t="s">
        <v>34987</v>
      </c>
      <c r="O7445" s="2" t="s">
        <v>869</v>
      </c>
      <c r="P7445" s="2" t="s">
        <v>870</v>
      </c>
    </row>
    <row r="7446" ht="15.75" customHeight="1">
      <c r="H7446" s="2" t="s">
        <v>34988</v>
      </c>
      <c r="I7446" s="2" t="s">
        <v>34989</v>
      </c>
      <c r="J7446" s="2" t="s">
        <v>34990</v>
      </c>
      <c r="K7446" s="2" t="s">
        <v>6046</v>
      </c>
      <c r="L7446" s="2" t="s">
        <v>31923</v>
      </c>
      <c r="M7446" s="2" t="s">
        <v>34991</v>
      </c>
      <c r="N7446" s="2" t="s">
        <v>34992</v>
      </c>
      <c r="O7446" s="2" t="s">
        <v>869</v>
      </c>
      <c r="P7446" s="2" t="s">
        <v>870</v>
      </c>
    </row>
    <row r="7447" ht="15.75" customHeight="1">
      <c r="H7447" s="2" t="s">
        <v>34993</v>
      </c>
      <c r="I7447" s="2" t="s">
        <v>10251</v>
      </c>
      <c r="J7447" s="2" t="s">
        <v>10252</v>
      </c>
      <c r="K7447" s="2" t="s">
        <v>25032</v>
      </c>
      <c r="L7447" s="2" t="s">
        <v>31923</v>
      </c>
      <c r="M7447" s="2" t="s">
        <v>34994</v>
      </c>
      <c r="N7447" s="2" t="s">
        <v>34995</v>
      </c>
      <c r="O7447" s="2" t="s">
        <v>869</v>
      </c>
      <c r="P7447" s="2" t="s">
        <v>870</v>
      </c>
    </row>
    <row r="7448" ht="15.75" customHeight="1">
      <c r="H7448" s="2" t="s">
        <v>34996</v>
      </c>
      <c r="I7448" s="2" t="s">
        <v>34997</v>
      </c>
      <c r="J7448" s="2" t="s">
        <v>34998</v>
      </c>
      <c r="K7448" s="2" t="s">
        <v>31344</v>
      </c>
      <c r="L7448" s="2" t="s">
        <v>31923</v>
      </c>
      <c r="M7448" s="2" t="s">
        <v>34999</v>
      </c>
      <c r="N7448" s="2" t="s">
        <v>35000</v>
      </c>
      <c r="O7448" s="2" t="s">
        <v>869</v>
      </c>
      <c r="P7448" s="2" t="s">
        <v>870</v>
      </c>
    </row>
    <row r="7449" ht="15.75" customHeight="1">
      <c r="H7449" s="2" t="s">
        <v>35001</v>
      </c>
      <c r="I7449" s="2" t="s">
        <v>25805</v>
      </c>
      <c r="J7449" s="2" t="s">
        <v>25806</v>
      </c>
      <c r="K7449" s="2" t="s">
        <v>6000</v>
      </c>
      <c r="L7449" s="2" t="s">
        <v>31923</v>
      </c>
      <c r="M7449" s="2" t="s">
        <v>35002</v>
      </c>
      <c r="N7449" s="2" t="s">
        <v>35003</v>
      </c>
      <c r="O7449" s="2" t="s">
        <v>869</v>
      </c>
      <c r="P7449" s="2" t="s">
        <v>870</v>
      </c>
    </row>
    <row r="7450" ht="15.75" customHeight="1">
      <c r="F7450" s="2" t="s">
        <v>703</v>
      </c>
      <c r="H7450" s="2" t="s">
        <v>35004</v>
      </c>
      <c r="I7450" s="2" t="s">
        <v>4011</v>
      </c>
      <c r="J7450" s="2" t="s">
        <v>4012</v>
      </c>
      <c r="K7450" s="2" t="s">
        <v>22462</v>
      </c>
      <c r="L7450" s="2" t="s">
        <v>31923</v>
      </c>
      <c r="M7450" s="2" t="s">
        <v>10190</v>
      </c>
      <c r="N7450" s="2" t="s">
        <v>35005</v>
      </c>
      <c r="O7450" s="2" t="s">
        <v>869</v>
      </c>
      <c r="P7450" s="2" t="s">
        <v>870</v>
      </c>
    </row>
    <row r="7451" ht="15.75" customHeight="1">
      <c r="H7451" s="2" t="s">
        <v>35006</v>
      </c>
      <c r="I7451" s="2" t="s">
        <v>10193</v>
      </c>
      <c r="J7451" s="2" t="s">
        <v>10194</v>
      </c>
      <c r="K7451" s="2" t="s">
        <v>24014</v>
      </c>
      <c r="L7451" s="2" t="s">
        <v>31923</v>
      </c>
      <c r="M7451" s="2" t="s">
        <v>35007</v>
      </c>
      <c r="N7451" s="2" t="s">
        <v>35008</v>
      </c>
      <c r="O7451" s="2" t="s">
        <v>869</v>
      </c>
      <c r="P7451" s="2" t="s">
        <v>870</v>
      </c>
    </row>
    <row r="7452" ht="15.75" customHeight="1">
      <c r="H7452" s="2" t="s">
        <v>35009</v>
      </c>
      <c r="I7452" s="2" t="s">
        <v>35010</v>
      </c>
      <c r="J7452" s="2" t="s">
        <v>35011</v>
      </c>
      <c r="K7452" s="2" t="s">
        <v>6000</v>
      </c>
      <c r="L7452" s="2" t="s">
        <v>31923</v>
      </c>
      <c r="M7452" s="2" t="s">
        <v>35012</v>
      </c>
      <c r="N7452" s="2" t="s">
        <v>35013</v>
      </c>
      <c r="O7452" s="2" t="s">
        <v>869</v>
      </c>
      <c r="P7452" s="2" t="s">
        <v>870</v>
      </c>
    </row>
    <row r="7453" ht="15.75" customHeight="1">
      <c r="H7453" s="2" t="s">
        <v>35014</v>
      </c>
      <c r="I7453" s="2" t="s">
        <v>35015</v>
      </c>
      <c r="J7453" s="2" t="s">
        <v>35016</v>
      </c>
      <c r="K7453" s="2" t="s">
        <v>15801</v>
      </c>
      <c r="L7453" s="2" t="s">
        <v>31923</v>
      </c>
      <c r="M7453" s="2" t="s">
        <v>35017</v>
      </c>
      <c r="N7453" s="2" t="s">
        <v>35018</v>
      </c>
      <c r="O7453" s="2" t="s">
        <v>869</v>
      </c>
      <c r="P7453" s="2" t="s">
        <v>870</v>
      </c>
    </row>
    <row r="7454" ht="15.75" customHeight="1">
      <c r="H7454" s="2" t="s">
        <v>35019</v>
      </c>
      <c r="I7454" s="2" t="s">
        <v>17593</v>
      </c>
      <c r="J7454" s="2" t="s">
        <v>17594</v>
      </c>
      <c r="K7454" s="2" t="s">
        <v>6050</v>
      </c>
      <c r="L7454" s="2" t="s">
        <v>31923</v>
      </c>
      <c r="M7454" s="2" t="s">
        <v>35020</v>
      </c>
      <c r="N7454" s="2" t="s">
        <v>35021</v>
      </c>
      <c r="O7454" s="2" t="s">
        <v>869</v>
      </c>
      <c r="P7454" s="2" t="s">
        <v>870</v>
      </c>
    </row>
    <row r="7455" ht="15.75" customHeight="1">
      <c r="H7455" s="2" t="s">
        <v>35022</v>
      </c>
      <c r="I7455" s="2" t="s">
        <v>2195</v>
      </c>
      <c r="J7455" s="2" t="s">
        <v>2196</v>
      </c>
      <c r="K7455" s="2" t="s">
        <v>15805</v>
      </c>
      <c r="L7455" s="2" t="s">
        <v>31923</v>
      </c>
      <c r="M7455" s="2" t="s">
        <v>35023</v>
      </c>
      <c r="N7455" s="2" t="s">
        <v>35024</v>
      </c>
      <c r="O7455" s="2" t="s">
        <v>869</v>
      </c>
      <c r="P7455" s="2" t="s">
        <v>870</v>
      </c>
    </row>
    <row r="7456" ht="15.75" customHeight="1">
      <c r="H7456" s="2" t="s">
        <v>35025</v>
      </c>
      <c r="I7456" s="2" t="s">
        <v>20909</v>
      </c>
      <c r="J7456" s="2" t="s">
        <v>20910</v>
      </c>
      <c r="K7456" s="2" t="s">
        <v>15796</v>
      </c>
      <c r="L7456" s="2" t="s">
        <v>31923</v>
      </c>
      <c r="M7456" s="2" t="s">
        <v>35026</v>
      </c>
      <c r="N7456" s="2" t="s">
        <v>35027</v>
      </c>
      <c r="O7456" s="2" t="s">
        <v>869</v>
      </c>
      <c r="P7456" s="2" t="s">
        <v>870</v>
      </c>
    </row>
    <row r="7457" ht="15.75" customHeight="1">
      <c r="H7457" s="2" t="s">
        <v>35028</v>
      </c>
      <c r="I7457" s="2" t="s">
        <v>20914</v>
      </c>
      <c r="J7457" s="2" t="s">
        <v>20915</v>
      </c>
      <c r="K7457" s="2" t="s">
        <v>15861</v>
      </c>
      <c r="L7457" s="2" t="s">
        <v>31923</v>
      </c>
      <c r="M7457" s="2" t="s">
        <v>35029</v>
      </c>
      <c r="N7457" s="2" t="s">
        <v>35030</v>
      </c>
      <c r="O7457" s="2" t="s">
        <v>869</v>
      </c>
      <c r="P7457" s="2" t="s">
        <v>870</v>
      </c>
    </row>
    <row r="7458" ht="15.75" customHeight="1">
      <c r="H7458" s="2" t="s">
        <v>35031</v>
      </c>
      <c r="I7458" s="2" t="s">
        <v>35032</v>
      </c>
      <c r="J7458" s="2" t="s">
        <v>35033</v>
      </c>
      <c r="K7458" s="2" t="s">
        <v>15890</v>
      </c>
      <c r="L7458" s="2" t="s">
        <v>31923</v>
      </c>
      <c r="M7458" s="2" t="s">
        <v>35034</v>
      </c>
      <c r="N7458" s="2" t="s">
        <v>35035</v>
      </c>
      <c r="O7458" s="2" t="s">
        <v>869</v>
      </c>
      <c r="P7458" s="2" t="s">
        <v>870</v>
      </c>
    </row>
    <row r="7459" ht="15.75" customHeight="1">
      <c r="H7459" s="2" t="s">
        <v>35036</v>
      </c>
      <c r="I7459" s="2" t="s">
        <v>20935</v>
      </c>
      <c r="J7459" s="2" t="s">
        <v>20936</v>
      </c>
      <c r="K7459" s="2" t="s">
        <v>15868</v>
      </c>
      <c r="L7459" s="2" t="s">
        <v>31923</v>
      </c>
      <c r="M7459" s="2" t="s">
        <v>35037</v>
      </c>
      <c r="N7459" s="2" t="s">
        <v>35038</v>
      </c>
      <c r="O7459" s="2" t="s">
        <v>869</v>
      </c>
      <c r="P7459" s="2" t="s">
        <v>870</v>
      </c>
    </row>
    <row r="7460" ht="15.75" customHeight="1">
      <c r="H7460" s="2" t="s">
        <v>35039</v>
      </c>
      <c r="I7460" s="2" t="s">
        <v>24107</v>
      </c>
      <c r="J7460" s="2" t="s">
        <v>24108</v>
      </c>
      <c r="K7460" s="2" t="s">
        <v>24109</v>
      </c>
      <c r="L7460" s="2" t="s">
        <v>31923</v>
      </c>
      <c r="M7460" s="2" t="s">
        <v>35040</v>
      </c>
      <c r="N7460" s="2" t="s">
        <v>35041</v>
      </c>
      <c r="O7460" s="2" t="s">
        <v>869</v>
      </c>
      <c r="P7460" s="2" t="s">
        <v>870</v>
      </c>
    </row>
    <row r="7461" ht="15.75" customHeight="1">
      <c r="H7461" s="2" t="s">
        <v>35042</v>
      </c>
      <c r="I7461" s="2" t="s">
        <v>2895</v>
      </c>
      <c r="J7461" s="2" t="s">
        <v>2896</v>
      </c>
      <c r="K7461" s="2" t="s">
        <v>6019</v>
      </c>
      <c r="L7461" s="2" t="s">
        <v>31923</v>
      </c>
      <c r="M7461" s="2" t="s">
        <v>35043</v>
      </c>
      <c r="N7461" s="2" t="s">
        <v>35044</v>
      </c>
      <c r="O7461" s="2" t="s">
        <v>869</v>
      </c>
      <c r="P7461" s="2" t="s">
        <v>870</v>
      </c>
    </row>
    <row r="7462" ht="15.75" customHeight="1">
      <c r="H7462" s="2" t="s">
        <v>35045</v>
      </c>
      <c r="I7462" s="2" t="s">
        <v>713</v>
      </c>
      <c r="J7462" s="2" t="s">
        <v>714</v>
      </c>
      <c r="K7462" s="2" t="s">
        <v>24679</v>
      </c>
      <c r="L7462" s="2" t="s">
        <v>35046</v>
      </c>
      <c r="M7462" s="2" t="s">
        <v>35047</v>
      </c>
      <c r="N7462" s="2" t="s">
        <v>35048</v>
      </c>
      <c r="O7462" s="2" t="s">
        <v>869</v>
      </c>
      <c r="P7462" s="2" t="s">
        <v>870</v>
      </c>
    </row>
    <row r="7463" ht="15.75" customHeight="1">
      <c r="H7463" s="2" t="s">
        <v>35049</v>
      </c>
      <c r="I7463" s="2" t="s">
        <v>35050</v>
      </c>
      <c r="J7463" s="2" t="s">
        <v>35051</v>
      </c>
      <c r="K7463" s="2" t="s">
        <v>31977</v>
      </c>
      <c r="L7463" s="2" t="s">
        <v>31923</v>
      </c>
      <c r="M7463" s="2" t="s">
        <v>35052</v>
      </c>
      <c r="N7463" s="2" t="s">
        <v>35053</v>
      </c>
      <c r="O7463" s="2" t="s">
        <v>869</v>
      </c>
      <c r="P7463" s="2" t="s">
        <v>870</v>
      </c>
    </row>
    <row r="7464" ht="15.75" customHeight="1">
      <c r="H7464" s="2" t="s">
        <v>35054</v>
      </c>
      <c r="I7464" s="2" t="s">
        <v>14122</v>
      </c>
      <c r="J7464" s="2" t="s">
        <v>14123</v>
      </c>
      <c r="K7464" s="2" t="s">
        <v>22050</v>
      </c>
      <c r="L7464" s="2" t="s">
        <v>31923</v>
      </c>
      <c r="M7464" s="2" t="s">
        <v>35055</v>
      </c>
      <c r="N7464" s="2" t="s">
        <v>35056</v>
      </c>
      <c r="O7464" s="2" t="s">
        <v>869</v>
      </c>
      <c r="P7464" s="2" t="s">
        <v>870</v>
      </c>
    </row>
    <row r="7465" ht="15.75" customHeight="1">
      <c r="H7465" s="2" t="s">
        <v>35057</v>
      </c>
      <c r="I7465" s="2" t="s">
        <v>35058</v>
      </c>
      <c r="J7465" s="2" t="s">
        <v>35059</v>
      </c>
      <c r="K7465" s="2" t="s">
        <v>25128</v>
      </c>
      <c r="L7465" s="2" t="s">
        <v>31923</v>
      </c>
      <c r="M7465" s="2" t="s">
        <v>35060</v>
      </c>
      <c r="N7465" s="2" t="s">
        <v>35061</v>
      </c>
      <c r="O7465" s="2" t="s">
        <v>869</v>
      </c>
      <c r="P7465" s="2" t="s">
        <v>870</v>
      </c>
    </row>
    <row r="7466" ht="15.75" customHeight="1">
      <c r="H7466" s="2" t="s">
        <v>35062</v>
      </c>
      <c r="I7466" s="2" t="s">
        <v>10251</v>
      </c>
      <c r="J7466" s="2" t="s">
        <v>10252</v>
      </c>
      <c r="K7466" s="2" t="s">
        <v>6081</v>
      </c>
      <c r="L7466" s="2" t="s">
        <v>31923</v>
      </c>
      <c r="M7466" s="2" t="s">
        <v>35063</v>
      </c>
      <c r="N7466" s="2" t="s">
        <v>35064</v>
      </c>
      <c r="O7466" s="2" t="s">
        <v>869</v>
      </c>
      <c r="P7466" s="2" t="s">
        <v>870</v>
      </c>
    </row>
    <row r="7467" ht="15.75" customHeight="1">
      <c r="H7467" s="2" t="s">
        <v>35065</v>
      </c>
      <c r="I7467" s="2" t="s">
        <v>4060</v>
      </c>
      <c r="J7467" s="2" t="s">
        <v>4061</v>
      </c>
      <c r="K7467" s="2" t="s">
        <v>31469</v>
      </c>
      <c r="L7467" s="2" t="s">
        <v>31923</v>
      </c>
      <c r="M7467" s="2" t="s">
        <v>35066</v>
      </c>
      <c r="N7467" s="2" t="s">
        <v>35067</v>
      </c>
      <c r="O7467" s="2" t="s">
        <v>869</v>
      </c>
      <c r="P7467" s="2" t="s">
        <v>870</v>
      </c>
    </row>
    <row r="7468" ht="15.75" customHeight="1">
      <c r="H7468" s="2" t="s">
        <v>35068</v>
      </c>
      <c r="I7468" s="2" t="s">
        <v>35069</v>
      </c>
      <c r="J7468" s="2" t="s">
        <v>35070</v>
      </c>
      <c r="K7468" s="2" t="s">
        <v>24173</v>
      </c>
      <c r="L7468" s="2" t="s">
        <v>31923</v>
      </c>
      <c r="M7468" s="2" t="s">
        <v>35071</v>
      </c>
      <c r="N7468" s="2" t="s">
        <v>35072</v>
      </c>
      <c r="O7468" s="2" t="s">
        <v>869</v>
      </c>
      <c r="P7468" s="2" t="s">
        <v>870</v>
      </c>
    </row>
    <row r="7469" ht="15.75" customHeight="1">
      <c r="F7469" s="2" t="s">
        <v>728</v>
      </c>
      <c r="H7469" s="2" t="s">
        <v>35073</v>
      </c>
      <c r="I7469" s="2" t="s">
        <v>35074</v>
      </c>
      <c r="J7469" s="2" t="s">
        <v>35075</v>
      </c>
      <c r="K7469" s="2" t="s">
        <v>15779</v>
      </c>
      <c r="L7469" s="2" t="s">
        <v>31923</v>
      </c>
      <c r="M7469" s="2" t="s">
        <v>35076</v>
      </c>
      <c r="N7469" s="2" t="s">
        <v>35077</v>
      </c>
      <c r="O7469" s="2" t="s">
        <v>869</v>
      </c>
      <c r="P7469" s="2" t="s">
        <v>870</v>
      </c>
    </row>
    <row r="7470" ht="15.75" customHeight="1">
      <c r="H7470" s="2" t="s">
        <v>35078</v>
      </c>
      <c r="I7470" s="2" t="s">
        <v>10296</v>
      </c>
      <c r="J7470" s="2" t="s">
        <v>10297</v>
      </c>
      <c r="K7470" s="2" t="s">
        <v>24665</v>
      </c>
      <c r="L7470" s="2" t="s">
        <v>31923</v>
      </c>
      <c r="M7470" s="2" t="s">
        <v>35079</v>
      </c>
      <c r="N7470" s="2" t="s">
        <v>35080</v>
      </c>
      <c r="O7470" s="2" t="s">
        <v>869</v>
      </c>
      <c r="P7470" s="2" t="s">
        <v>870</v>
      </c>
    </row>
    <row r="7471" ht="15.75" customHeight="1">
      <c r="H7471" s="2" t="s">
        <v>35081</v>
      </c>
      <c r="I7471" s="2" t="s">
        <v>1360</v>
      </c>
      <c r="J7471" s="2" t="s">
        <v>1361</v>
      </c>
      <c r="K7471" s="2" t="s">
        <v>35082</v>
      </c>
      <c r="L7471" s="2" t="s">
        <v>31923</v>
      </c>
      <c r="M7471" s="2" t="s">
        <v>35083</v>
      </c>
      <c r="N7471" s="2" t="s">
        <v>35084</v>
      </c>
      <c r="O7471" s="2" t="s">
        <v>869</v>
      </c>
      <c r="P7471" s="2" t="s">
        <v>870</v>
      </c>
    </row>
    <row r="7472" ht="15.75" customHeight="1">
      <c r="H7472" s="2" t="s">
        <v>35085</v>
      </c>
      <c r="I7472" s="2" t="s">
        <v>31936</v>
      </c>
      <c r="J7472" s="2" t="s">
        <v>31937</v>
      </c>
      <c r="K7472" s="2" t="s">
        <v>25068</v>
      </c>
      <c r="L7472" s="2" t="s">
        <v>31923</v>
      </c>
      <c r="M7472" s="2" t="s">
        <v>35086</v>
      </c>
      <c r="N7472" s="2" t="s">
        <v>35087</v>
      </c>
      <c r="O7472" s="2" t="s">
        <v>869</v>
      </c>
      <c r="P7472" s="2" t="s">
        <v>870</v>
      </c>
    </row>
    <row r="7473" ht="15.75" customHeight="1">
      <c r="H7473" s="2" t="s">
        <v>35088</v>
      </c>
      <c r="I7473" s="2" t="s">
        <v>35089</v>
      </c>
      <c r="J7473" s="2" t="s">
        <v>35090</v>
      </c>
      <c r="K7473" s="2" t="s">
        <v>15801</v>
      </c>
      <c r="L7473" s="2" t="s">
        <v>31923</v>
      </c>
      <c r="M7473" s="2" t="s">
        <v>35091</v>
      </c>
      <c r="N7473" s="2" t="s">
        <v>35092</v>
      </c>
      <c r="O7473" s="2" t="s">
        <v>869</v>
      </c>
      <c r="P7473" s="2" t="s">
        <v>870</v>
      </c>
    </row>
    <row r="7474" ht="15.75" customHeight="1">
      <c r="H7474" s="2" t="s">
        <v>35093</v>
      </c>
      <c r="I7474" s="2" t="s">
        <v>35094</v>
      </c>
      <c r="J7474" s="2" t="s">
        <v>35095</v>
      </c>
      <c r="K7474" s="2" t="s">
        <v>15901</v>
      </c>
      <c r="L7474" s="2" t="s">
        <v>31923</v>
      </c>
      <c r="M7474" s="2" t="s">
        <v>35096</v>
      </c>
      <c r="N7474" s="2" t="s">
        <v>35097</v>
      </c>
      <c r="O7474" s="2" t="s">
        <v>869</v>
      </c>
      <c r="P7474" s="2" t="s">
        <v>870</v>
      </c>
    </row>
    <row r="7475" ht="15.75" customHeight="1">
      <c r="H7475" s="2" t="s">
        <v>35098</v>
      </c>
      <c r="I7475" s="2" t="s">
        <v>10316</v>
      </c>
      <c r="J7475" s="2" t="s">
        <v>10317</v>
      </c>
      <c r="K7475" s="2" t="s">
        <v>24414</v>
      </c>
      <c r="L7475" s="2" t="s">
        <v>31923</v>
      </c>
      <c r="M7475" s="2" t="s">
        <v>10319</v>
      </c>
      <c r="N7475" s="2" t="s">
        <v>35099</v>
      </c>
      <c r="O7475" s="2" t="s">
        <v>869</v>
      </c>
      <c r="P7475" s="2" t="s">
        <v>870</v>
      </c>
    </row>
    <row r="7476" ht="15.75" customHeight="1">
      <c r="H7476" s="2" t="s">
        <v>35100</v>
      </c>
      <c r="I7476" s="2" t="s">
        <v>730</v>
      </c>
      <c r="J7476" s="2" t="s">
        <v>731</v>
      </c>
      <c r="K7476" s="2" t="s">
        <v>6046</v>
      </c>
      <c r="L7476" s="2" t="s">
        <v>31923</v>
      </c>
      <c r="M7476" s="2" t="s">
        <v>35101</v>
      </c>
      <c r="N7476" s="2" t="s">
        <v>35102</v>
      </c>
      <c r="O7476" s="2" t="s">
        <v>869</v>
      </c>
      <c r="P7476" s="2" t="s">
        <v>870</v>
      </c>
    </row>
    <row r="7477" ht="15.75" customHeight="1">
      <c r="H7477" s="2" t="s">
        <v>35103</v>
      </c>
      <c r="I7477" s="2" t="s">
        <v>35104</v>
      </c>
      <c r="J7477" s="2" t="s">
        <v>35105</v>
      </c>
      <c r="K7477" s="2" t="s">
        <v>25032</v>
      </c>
      <c r="L7477" s="2" t="s">
        <v>31923</v>
      </c>
      <c r="M7477" s="2" t="s">
        <v>35106</v>
      </c>
      <c r="N7477" s="2" t="s">
        <v>35107</v>
      </c>
      <c r="O7477" s="2" t="s">
        <v>869</v>
      </c>
      <c r="P7477" s="2" t="s">
        <v>870</v>
      </c>
    </row>
    <row r="7478" ht="15.75" customHeight="1">
      <c r="H7478" s="2" t="s">
        <v>35108</v>
      </c>
      <c r="I7478" s="2" t="s">
        <v>8748</v>
      </c>
      <c r="J7478" s="2" t="s">
        <v>8749</v>
      </c>
      <c r="K7478" s="2" t="s">
        <v>24528</v>
      </c>
      <c r="L7478" s="2" t="s">
        <v>31923</v>
      </c>
      <c r="M7478" s="2" t="s">
        <v>35109</v>
      </c>
      <c r="N7478" s="2" t="s">
        <v>35110</v>
      </c>
      <c r="O7478" s="2" t="s">
        <v>869</v>
      </c>
      <c r="P7478" s="2" t="s">
        <v>870</v>
      </c>
    </row>
    <row r="7479" ht="15.75" customHeight="1">
      <c r="H7479" s="2" t="s">
        <v>35111</v>
      </c>
      <c r="I7479" s="2" t="s">
        <v>4096</v>
      </c>
      <c r="J7479" s="2" t="s">
        <v>4097</v>
      </c>
      <c r="K7479" s="2" t="s">
        <v>15890</v>
      </c>
      <c r="L7479" s="2" t="s">
        <v>31923</v>
      </c>
      <c r="M7479" s="2" t="s">
        <v>30305</v>
      </c>
      <c r="N7479" s="2" t="s">
        <v>35112</v>
      </c>
      <c r="O7479" s="2" t="s">
        <v>869</v>
      </c>
      <c r="P7479" s="2" t="s">
        <v>870</v>
      </c>
    </row>
    <row r="7480" ht="15.75" customHeight="1">
      <c r="H7480" s="2" t="s">
        <v>35113</v>
      </c>
      <c r="I7480" s="2" t="s">
        <v>10363</v>
      </c>
      <c r="J7480" s="2" t="s">
        <v>10364</v>
      </c>
      <c r="K7480" s="2" t="s">
        <v>22104</v>
      </c>
      <c r="L7480" s="2" t="s">
        <v>31923</v>
      </c>
      <c r="M7480" s="2" t="s">
        <v>35114</v>
      </c>
      <c r="N7480" s="2" t="s">
        <v>869</v>
      </c>
      <c r="O7480" s="2" t="s">
        <v>870</v>
      </c>
    </row>
    <row r="7481" ht="15.75" customHeight="1">
      <c r="H7481" s="2" t="s">
        <v>35115</v>
      </c>
      <c r="I7481" s="2" t="s">
        <v>31859</v>
      </c>
      <c r="J7481" s="2" t="s">
        <v>31860</v>
      </c>
      <c r="K7481" s="2" t="s">
        <v>24379</v>
      </c>
      <c r="L7481" s="2" t="s">
        <v>31923</v>
      </c>
      <c r="M7481" s="2" t="s">
        <v>35116</v>
      </c>
      <c r="N7481" s="2" t="s">
        <v>35117</v>
      </c>
      <c r="O7481" s="2" t="s">
        <v>869</v>
      </c>
      <c r="P7481" s="2" t="s">
        <v>870</v>
      </c>
    </row>
    <row r="7482" ht="15.75" customHeight="1">
      <c r="H7482" s="2" t="s">
        <v>35118</v>
      </c>
      <c r="I7482" s="2" t="s">
        <v>10369</v>
      </c>
      <c r="J7482" s="2" t="s">
        <v>10370</v>
      </c>
      <c r="K7482" s="2" t="s">
        <v>24102</v>
      </c>
      <c r="L7482" s="2" t="s">
        <v>31923</v>
      </c>
      <c r="M7482" s="2" t="s">
        <v>35119</v>
      </c>
      <c r="N7482" s="2" t="s">
        <v>35120</v>
      </c>
      <c r="O7482" s="2" t="s">
        <v>869</v>
      </c>
      <c r="P7482" s="2" t="s">
        <v>870</v>
      </c>
    </row>
    <row r="7483" ht="15.75" customHeight="1">
      <c r="H7483" s="2" t="s">
        <v>35121</v>
      </c>
      <c r="I7483" s="2" t="s">
        <v>35122</v>
      </c>
      <c r="J7483" s="2" t="s">
        <v>35123</v>
      </c>
      <c r="K7483" s="2" t="s">
        <v>24137</v>
      </c>
      <c r="L7483" s="2" t="s">
        <v>31923</v>
      </c>
      <c r="M7483" s="2" t="s">
        <v>35124</v>
      </c>
      <c r="N7483" s="2" t="s">
        <v>35125</v>
      </c>
      <c r="O7483" s="2" t="s">
        <v>869</v>
      </c>
      <c r="P7483" s="2" t="s">
        <v>870</v>
      </c>
    </row>
    <row r="7484" ht="15.75" customHeight="1">
      <c r="H7484" s="2" t="s">
        <v>35126</v>
      </c>
      <c r="I7484" s="2" t="s">
        <v>10376</v>
      </c>
      <c r="J7484" s="2" t="s">
        <v>10377</v>
      </c>
      <c r="K7484" s="2" t="s">
        <v>22055</v>
      </c>
      <c r="L7484" s="2" t="s">
        <v>31923</v>
      </c>
      <c r="M7484" s="2" t="s">
        <v>35127</v>
      </c>
      <c r="N7484" s="2" t="s">
        <v>35128</v>
      </c>
      <c r="O7484" s="2" t="s">
        <v>869</v>
      </c>
      <c r="P7484" s="2" t="s">
        <v>870</v>
      </c>
    </row>
    <row r="7485" ht="15.75" customHeight="1">
      <c r="H7485" s="2" t="s">
        <v>35129</v>
      </c>
      <c r="I7485" s="2" t="s">
        <v>25460</v>
      </c>
      <c r="J7485" s="2" t="s">
        <v>25461</v>
      </c>
      <c r="K7485" s="2" t="s">
        <v>32406</v>
      </c>
      <c r="L7485" s="2" t="s">
        <v>31923</v>
      </c>
      <c r="M7485" s="2" t="s">
        <v>35130</v>
      </c>
      <c r="N7485" s="2" t="s">
        <v>35131</v>
      </c>
      <c r="O7485" s="2" t="s">
        <v>869</v>
      </c>
      <c r="P7485" s="2" t="s">
        <v>870</v>
      </c>
    </row>
    <row r="7486" ht="15.75" customHeight="1">
      <c r="H7486" s="2" t="s">
        <v>35132</v>
      </c>
      <c r="I7486" s="2" t="s">
        <v>35133</v>
      </c>
      <c r="J7486" s="2" t="s">
        <v>35134</v>
      </c>
      <c r="K7486" s="2" t="s">
        <v>6019</v>
      </c>
      <c r="L7486" s="2" t="s">
        <v>31923</v>
      </c>
      <c r="M7486" s="2" t="s">
        <v>35135</v>
      </c>
      <c r="N7486" s="2" t="s">
        <v>35136</v>
      </c>
      <c r="O7486" s="2" t="s">
        <v>869</v>
      </c>
      <c r="P7486" s="2" t="s">
        <v>870</v>
      </c>
    </row>
    <row r="7487" ht="15.75" customHeight="1">
      <c r="H7487" s="2" t="s">
        <v>35137</v>
      </c>
      <c r="I7487" s="2" t="s">
        <v>35138</v>
      </c>
      <c r="J7487" s="2" t="s">
        <v>35139</v>
      </c>
      <c r="K7487" s="2" t="s">
        <v>24679</v>
      </c>
      <c r="L7487" s="2" t="s">
        <v>31923</v>
      </c>
      <c r="M7487" s="2" t="s">
        <v>35140</v>
      </c>
      <c r="N7487" s="2" t="s">
        <v>35141</v>
      </c>
      <c r="O7487" s="2" t="s">
        <v>869</v>
      </c>
      <c r="P7487" s="2" t="s">
        <v>870</v>
      </c>
    </row>
    <row r="7488" ht="15.75" customHeight="1">
      <c r="H7488" s="2" t="s">
        <v>35142</v>
      </c>
      <c r="I7488" s="2" t="s">
        <v>1335</v>
      </c>
      <c r="J7488" s="2" t="s">
        <v>1336</v>
      </c>
      <c r="K7488" s="2" t="s">
        <v>24263</v>
      </c>
      <c r="L7488" s="2" t="s">
        <v>31923</v>
      </c>
      <c r="M7488" s="2" t="s">
        <v>4111</v>
      </c>
      <c r="N7488" s="2" t="s">
        <v>35143</v>
      </c>
      <c r="O7488" s="2" t="s">
        <v>869</v>
      </c>
      <c r="P7488" s="2" t="s">
        <v>870</v>
      </c>
    </row>
    <row r="7489" ht="15.75" customHeight="1">
      <c r="F7489" s="2" t="s">
        <v>4115</v>
      </c>
      <c r="H7489" s="2" t="s">
        <v>35144</v>
      </c>
      <c r="I7489" s="2" t="s">
        <v>27911</v>
      </c>
      <c r="J7489" s="2" t="s">
        <v>27912</v>
      </c>
      <c r="K7489" s="2" t="s">
        <v>31927</v>
      </c>
      <c r="L7489" s="2" t="s">
        <v>31923</v>
      </c>
      <c r="M7489" s="2" t="s">
        <v>35145</v>
      </c>
      <c r="N7489" s="2" t="s">
        <v>869</v>
      </c>
      <c r="O7489" s="2" t="s">
        <v>870</v>
      </c>
    </row>
    <row r="7490" ht="15.75" customHeight="1">
      <c r="H7490" s="2" t="s">
        <v>35146</v>
      </c>
      <c r="I7490" s="2" t="s">
        <v>4117</v>
      </c>
      <c r="J7490" s="2" t="s">
        <v>4118</v>
      </c>
      <c r="K7490" s="2" t="s">
        <v>15779</v>
      </c>
      <c r="L7490" s="2" t="s">
        <v>31923</v>
      </c>
      <c r="M7490" s="2" t="s">
        <v>35147</v>
      </c>
      <c r="N7490" s="2" t="s">
        <v>35148</v>
      </c>
      <c r="O7490" s="2" t="s">
        <v>869</v>
      </c>
      <c r="P7490" s="2" t="s">
        <v>870</v>
      </c>
    </row>
    <row r="7491" ht="15.75" customHeight="1">
      <c r="H7491" s="2" t="s">
        <v>35149</v>
      </c>
      <c r="I7491" s="2" t="s">
        <v>27918</v>
      </c>
      <c r="J7491" s="2" t="s">
        <v>27919</v>
      </c>
      <c r="K7491" s="2" t="s">
        <v>24014</v>
      </c>
      <c r="L7491" s="2" t="s">
        <v>31923</v>
      </c>
      <c r="M7491" s="2" t="s">
        <v>35150</v>
      </c>
      <c r="N7491" s="2" t="s">
        <v>869</v>
      </c>
      <c r="O7491" s="2" t="s">
        <v>870</v>
      </c>
    </row>
    <row r="7492" ht="15.75" customHeight="1">
      <c r="H7492" s="2" t="s">
        <v>35151</v>
      </c>
      <c r="I7492" s="2" t="s">
        <v>35152</v>
      </c>
      <c r="J7492" s="2" t="s">
        <v>35153</v>
      </c>
      <c r="K7492" s="2" t="s">
        <v>15897</v>
      </c>
      <c r="L7492" s="2" t="s">
        <v>31923</v>
      </c>
      <c r="M7492" s="2" t="s">
        <v>35154</v>
      </c>
      <c r="N7492" s="2" t="s">
        <v>35155</v>
      </c>
      <c r="O7492" s="2" t="s">
        <v>869</v>
      </c>
      <c r="P7492" s="2" t="s">
        <v>870</v>
      </c>
    </row>
    <row r="7493" ht="15.75" customHeight="1">
      <c r="H7493" s="2" t="s">
        <v>35156</v>
      </c>
      <c r="I7493" s="2" t="s">
        <v>21058</v>
      </c>
      <c r="J7493" s="2" t="s">
        <v>21059</v>
      </c>
      <c r="K7493" s="2" t="s">
        <v>25068</v>
      </c>
      <c r="L7493" s="2" t="s">
        <v>31923</v>
      </c>
      <c r="M7493" s="2" t="s">
        <v>35157</v>
      </c>
      <c r="N7493" s="2" t="s">
        <v>869</v>
      </c>
      <c r="O7493" s="2" t="s">
        <v>870</v>
      </c>
    </row>
    <row r="7494" ht="15.75" customHeight="1">
      <c r="H7494" s="2" t="s">
        <v>35158</v>
      </c>
      <c r="I7494" s="2" t="s">
        <v>35159</v>
      </c>
      <c r="J7494" s="2" t="s">
        <v>35160</v>
      </c>
      <c r="K7494" s="2" t="s">
        <v>24263</v>
      </c>
      <c r="L7494" s="2" t="s">
        <v>31923</v>
      </c>
      <c r="M7494" s="2" t="s">
        <v>35161</v>
      </c>
      <c r="N7494" s="2" t="s">
        <v>35162</v>
      </c>
      <c r="O7494" s="2" t="s">
        <v>869</v>
      </c>
      <c r="P7494" s="2" t="s">
        <v>870</v>
      </c>
    </row>
    <row r="7495" ht="15.75" customHeight="1">
      <c r="H7495" s="2" t="s">
        <v>35163</v>
      </c>
      <c r="I7495" s="2" t="s">
        <v>21072</v>
      </c>
      <c r="J7495" s="2" t="s">
        <v>21073</v>
      </c>
      <c r="K7495" s="2" t="s">
        <v>15796</v>
      </c>
      <c r="L7495" s="2" t="s">
        <v>31923</v>
      </c>
      <c r="M7495" s="2" t="s">
        <v>27940</v>
      </c>
      <c r="N7495" s="2" t="s">
        <v>35164</v>
      </c>
      <c r="O7495" s="2" t="s">
        <v>869</v>
      </c>
      <c r="P7495" s="2" t="s">
        <v>870</v>
      </c>
    </row>
    <row r="7496" ht="15.75" customHeight="1">
      <c r="H7496" s="2" t="s">
        <v>35165</v>
      </c>
      <c r="I7496" s="2" t="s">
        <v>27966</v>
      </c>
      <c r="J7496" s="2" t="s">
        <v>27967</v>
      </c>
      <c r="K7496" s="2" t="s">
        <v>22104</v>
      </c>
      <c r="L7496" s="2" t="s">
        <v>31923</v>
      </c>
      <c r="M7496" s="2" t="s">
        <v>35166</v>
      </c>
      <c r="N7496" s="2" t="s">
        <v>35167</v>
      </c>
      <c r="O7496" s="2" t="s">
        <v>869</v>
      </c>
      <c r="P7496" s="2" t="s">
        <v>870</v>
      </c>
    </row>
    <row r="7497" ht="15.75" customHeight="1">
      <c r="H7497" s="2" t="s">
        <v>35168</v>
      </c>
      <c r="I7497" s="2" t="s">
        <v>4147</v>
      </c>
      <c r="J7497" s="2" t="s">
        <v>4148</v>
      </c>
      <c r="K7497" s="2" t="s">
        <v>22055</v>
      </c>
      <c r="L7497" s="2" t="s">
        <v>31923</v>
      </c>
      <c r="M7497" s="2" t="s">
        <v>27974</v>
      </c>
      <c r="N7497" s="2" t="s">
        <v>35169</v>
      </c>
      <c r="O7497" s="2" t="s">
        <v>869</v>
      </c>
      <c r="P7497" s="2" t="s">
        <v>870</v>
      </c>
    </row>
    <row r="7498" ht="15.75" customHeight="1">
      <c r="H7498" s="2" t="s">
        <v>35170</v>
      </c>
      <c r="I7498" s="2" t="s">
        <v>35171</v>
      </c>
      <c r="J7498" s="2" t="s">
        <v>35172</v>
      </c>
      <c r="K7498" s="2" t="s">
        <v>15805</v>
      </c>
      <c r="L7498" s="2" t="s">
        <v>31923</v>
      </c>
      <c r="M7498" s="2" t="s">
        <v>35173</v>
      </c>
      <c r="N7498" s="2" t="s">
        <v>35174</v>
      </c>
      <c r="O7498" s="2" t="s">
        <v>869</v>
      </c>
      <c r="P7498" s="2" t="s">
        <v>870</v>
      </c>
    </row>
    <row r="7499" ht="15.75" customHeight="1">
      <c r="H7499" s="2" t="s">
        <v>35175</v>
      </c>
      <c r="I7499" s="2" t="s">
        <v>4176</v>
      </c>
      <c r="J7499" s="2" t="s">
        <v>4177</v>
      </c>
      <c r="K7499" s="2" t="s">
        <v>24269</v>
      </c>
      <c r="L7499" s="2" t="s">
        <v>31923</v>
      </c>
      <c r="M7499" s="2" t="s">
        <v>27981</v>
      </c>
      <c r="N7499" s="2" t="s">
        <v>35176</v>
      </c>
      <c r="O7499" s="2" t="s">
        <v>869</v>
      </c>
      <c r="P7499" s="2" t="s">
        <v>870</v>
      </c>
    </row>
    <row r="7500" ht="15.75" customHeight="1">
      <c r="H7500" s="2" t="s">
        <v>35177</v>
      </c>
      <c r="I7500" s="2" t="s">
        <v>2966</v>
      </c>
      <c r="J7500" s="2" t="s">
        <v>2967</v>
      </c>
      <c r="K7500" s="2" t="s">
        <v>6058</v>
      </c>
      <c r="L7500" s="2" t="s">
        <v>31923</v>
      </c>
      <c r="M7500" s="2" t="s">
        <v>35178</v>
      </c>
      <c r="N7500" s="2" t="s">
        <v>35179</v>
      </c>
      <c r="O7500" s="2" t="s">
        <v>869</v>
      </c>
      <c r="P7500" s="2" t="s">
        <v>870</v>
      </c>
    </row>
    <row r="7501" ht="15.75" customHeight="1">
      <c r="F7501" s="2" t="s">
        <v>4180</v>
      </c>
      <c r="H7501" s="2" t="s">
        <v>35180</v>
      </c>
      <c r="I7501" s="2" t="s">
        <v>10399</v>
      </c>
      <c r="J7501" s="2" t="s">
        <v>10400</v>
      </c>
      <c r="K7501" s="2" t="s">
        <v>22462</v>
      </c>
      <c r="L7501" s="2" t="s">
        <v>31923</v>
      </c>
      <c r="M7501" s="2" t="s">
        <v>10402</v>
      </c>
      <c r="N7501" s="2" t="s">
        <v>35181</v>
      </c>
      <c r="O7501" s="2" t="s">
        <v>869</v>
      </c>
      <c r="P7501" s="2" t="s">
        <v>870</v>
      </c>
    </row>
    <row r="7502" ht="15.75" customHeight="1">
      <c r="H7502" s="2" t="s">
        <v>35182</v>
      </c>
      <c r="I7502" s="2" t="s">
        <v>4182</v>
      </c>
      <c r="J7502" s="2" t="s">
        <v>4183</v>
      </c>
      <c r="K7502" s="2" t="s">
        <v>31927</v>
      </c>
      <c r="L7502" s="2" t="s">
        <v>31923</v>
      </c>
      <c r="M7502" s="2" t="s">
        <v>35183</v>
      </c>
      <c r="N7502" s="2" t="s">
        <v>35184</v>
      </c>
      <c r="O7502" s="2" t="s">
        <v>869</v>
      </c>
      <c r="P7502" s="2" t="s">
        <v>870</v>
      </c>
    </row>
    <row r="7503" ht="15.75" customHeight="1">
      <c r="H7503" s="2" t="s">
        <v>35185</v>
      </c>
      <c r="I7503" s="2" t="s">
        <v>1629</v>
      </c>
      <c r="J7503" s="2" t="s">
        <v>1630</v>
      </c>
      <c r="K7503" s="2" t="s">
        <v>24518</v>
      </c>
      <c r="L7503" s="2" t="s">
        <v>31923</v>
      </c>
      <c r="M7503" s="2" t="s">
        <v>10424</v>
      </c>
      <c r="N7503" s="2" t="s">
        <v>35186</v>
      </c>
      <c r="O7503" s="2" t="s">
        <v>869</v>
      </c>
      <c r="P7503" s="2" t="s">
        <v>870</v>
      </c>
    </row>
    <row r="7504" ht="15.75" customHeight="1">
      <c r="H7504" s="2" t="s">
        <v>35187</v>
      </c>
      <c r="I7504" s="2" t="s">
        <v>10446</v>
      </c>
      <c r="J7504" s="2" t="s">
        <v>10447</v>
      </c>
      <c r="K7504" s="2" t="s">
        <v>15801</v>
      </c>
      <c r="L7504" s="2" t="s">
        <v>31923</v>
      </c>
      <c r="M7504" s="2" t="s">
        <v>10449</v>
      </c>
      <c r="N7504" s="2" t="s">
        <v>35188</v>
      </c>
      <c r="O7504" s="2" t="s">
        <v>869</v>
      </c>
      <c r="P7504" s="2" t="s">
        <v>870</v>
      </c>
    </row>
    <row r="7505" ht="15.75" customHeight="1">
      <c r="H7505" s="2" t="s">
        <v>35189</v>
      </c>
      <c r="I7505" s="2" t="s">
        <v>4205</v>
      </c>
      <c r="J7505" s="2" t="s">
        <v>4206</v>
      </c>
      <c r="K7505" s="2" t="s">
        <v>15901</v>
      </c>
      <c r="L7505" s="2" t="s">
        <v>31923</v>
      </c>
      <c r="M7505" s="2" t="s">
        <v>35190</v>
      </c>
      <c r="N7505" s="2" t="s">
        <v>35191</v>
      </c>
      <c r="O7505" s="2" t="s">
        <v>869</v>
      </c>
      <c r="P7505" s="2" t="s">
        <v>870</v>
      </c>
    </row>
    <row r="7506" ht="15.75" customHeight="1">
      <c r="H7506" s="2" t="s">
        <v>35192</v>
      </c>
      <c r="I7506" s="2" t="s">
        <v>10456</v>
      </c>
      <c r="J7506" s="2" t="s">
        <v>10457</v>
      </c>
      <c r="K7506" s="2" t="s">
        <v>24414</v>
      </c>
      <c r="L7506" s="2" t="s">
        <v>31923</v>
      </c>
      <c r="M7506" s="2" t="s">
        <v>35193</v>
      </c>
      <c r="N7506" s="2" t="s">
        <v>35194</v>
      </c>
      <c r="O7506" s="2" t="s">
        <v>869</v>
      </c>
      <c r="P7506" s="2" t="s">
        <v>870</v>
      </c>
    </row>
    <row r="7507" ht="15.75" customHeight="1">
      <c r="H7507" s="2" t="s">
        <v>35195</v>
      </c>
      <c r="I7507" s="2" t="s">
        <v>35196</v>
      </c>
      <c r="J7507" s="2" t="s">
        <v>35197</v>
      </c>
      <c r="K7507" s="2" t="s">
        <v>24578</v>
      </c>
      <c r="L7507" s="2" t="s">
        <v>31923</v>
      </c>
      <c r="M7507" s="2" t="s">
        <v>35198</v>
      </c>
      <c r="N7507" s="2" t="s">
        <v>35199</v>
      </c>
      <c r="O7507" s="2" t="s">
        <v>869</v>
      </c>
      <c r="P7507" s="2" t="s">
        <v>870</v>
      </c>
    </row>
    <row r="7508" ht="15.75" customHeight="1">
      <c r="H7508" s="2" t="s">
        <v>35200</v>
      </c>
      <c r="I7508" s="2" t="s">
        <v>10226</v>
      </c>
      <c r="J7508" s="2" t="s">
        <v>10227</v>
      </c>
      <c r="K7508" s="2" t="s">
        <v>6054</v>
      </c>
      <c r="L7508" s="2" t="s">
        <v>31923</v>
      </c>
      <c r="M7508" s="2" t="s">
        <v>35201</v>
      </c>
      <c r="N7508" s="2" t="s">
        <v>35202</v>
      </c>
      <c r="O7508" s="2" t="s">
        <v>869</v>
      </c>
      <c r="P7508" s="2" t="s">
        <v>870</v>
      </c>
    </row>
    <row r="7509" ht="15.75" customHeight="1">
      <c r="H7509" s="2" t="s">
        <v>35203</v>
      </c>
      <c r="I7509" s="2" t="s">
        <v>10476</v>
      </c>
      <c r="J7509" s="2" t="s">
        <v>10477</v>
      </c>
      <c r="K7509" s="2" t="s">
        <v>15861</v>
      </c>
      <c r="L7509" s="2" t="s">
        <v>31923</v>
      </c>
      <c r="M7509" s="2" t="s">
        <v>10479</v>
      </c>
      <c r="N7509" s="2" t="s">
        <v>35204</v>
      </c>
      <c r="O7509" s="2" t="s">
        <v>869</v>
      </c>
      <c r="P7509" s="2" t="s">
        <v>870</v>
      </c>
    </row>
    <row r="7510" ht="15.75" customHeight="1">
      <c r="H7510" s="2" t="s">
        <v>35205</v>
      </c>
      <c r="I7510" s="2" t="s">
        <v>4210</v>
      </c>
      <c r="J7510" s="2" t="s">
        <v>4211</v>
      </c>
      <c r="K7510" s="2" t="s">
        <v>6046</v>
      </c>
      <c r="L7510" s="2" t="s">
        <v>31923</v>
      </c>
      <c r="M7510" s="2" t="s">
        <v>35206</v>
      </c>
      <c r="N7510" s="2" t="s">
        <v>35207</v>
      </c>
      <c r="O7510" s="2" t="s">
        <v>869</v>
      </c>
      <c r="P7510" s="2" t="s">
        <v>870</v>
      </c>
    </row>
    <row r="7511" ht="15.75" customHeight="1">
      <c r="H7511" s="2" t="s">
        <v>35208</v>
      </c>
      <c r="I7511" s="2" t="s">
        <v>4215</v>
      </c>
      <c r="J7511" s="2" t="s">
        <v>4216</v>
      </c>
      <c r="K7511" s="2" t="s">
        <v>25032</v>
      </c>
      <c r="L7511" s="2" t="s">
        <v>31923</v>
      </c>
      <c r="M7511" s="2" t="s">
        <v>35209</v>
      </c>
      <c r="N7511" s="2" t="s">
        <v>35210</v>
      </c>
      <c r="O7511" s="2" t="s">
        <v>869</v>
      </c>
      <c r="P7511" s="2" t="s">
        <v>870</v>
      </c>
    </row>
    <row r="7512" ht="15.75" customHeight="1">
      <c r="H7512" s="2" t="s">
        <v>35211</v>
      </c>
      <c r="I7512" s="2" t="s">
        <v>4220</v>
      </c>
      <c r="J7512" s="2" t="s">
        <v>4221</v>
      </c>
      <c r="K7512" s="2" t="s">
        <v>31344</v>
      </c>
      <c r="L7512" s="2" t="s">
        <v>31923</v>
      </c>
      <c r="M7512" s="2" t="s">
        <v>35212</v>
      </c>
      <c r="N7512" s="2" t="s">
        <v>35213</v>
      </c>
      <c r="O7512" s="2" t="s">
        <v>869</v>
      </c>
      <c r="P7512" s="2" t="s">
        <v>870</v>
      </c>
    </row>
    <row r="7513" ht="15.75" customHeight="1">
      <c r="H7513" s="2" t="s">
        <v>35214</v>
      </c>
      <c r="I7513" s="2" t="s">
        <v>35215</v>
      </c>
      <c r="J7513" s="2" t="s">
        <v>35216</v>
      </c>
      <c r="K7513" s="2" t="s">
        <v>24137</v>
      </c>
      <c r="L7513" s="2" t="s">
        <v>31923</v>
      </c>
      <c r="M7513" s="2" t="s">
        <v>35217</v>
      </c>
      <c r="N7513" s="2" t="s">
        <v>35218</v>
      </c>
      <c r="O7513" s="2" t="s">
        <v>869</v>
      </c>
      <c r="P7513" s="2" t="s">
        <v>870</v>
      </c>
    </row>
    <row r="7514" ht="15.75" customHeight="1">
      <c r="F7514" s="2" t="s">
        <v>737</v>
      </c>
      <c r="H7514" s="2" t="s">
        <v>35219</v>
      </c>
      <c r="I7514" s="2" t="s">
        <v>21166</v>
      </c>
      <c r="J7514" s="2" t="s">
        <v>21167</v>
      </c>
      <c r="K7514" s="2" t="s">
        <v>24665</v>
      </c>
      <c r="L7514" s="2" t="s">
        <v>31923</v>
      </c>
      <c r="M7514" s="2" t="s">
        <v>35220</v>
      </c>
      <c r="N7514" s="2" t="s">
        <v>35221</v>
      </c>
      <c r="O7514" s="2" t="s">
        <v>869</v>
      </c>
      <c r="P7514" s="2" t="s">
        <v>870</v>
      </c>
    </row>
    <row r="7515" ht="15.75" customHeight="1">
      <c r="H7515" s="2" t="s">
        <v>35222</v>
      </c>
      <c r="I7515" s="2" t="s">
        <v>28008</v>
      </c>
      <c r="J7515" s="2" t="s">
        <v>28009</v>
      </c>
      <c r="K7515" s="2" t="s">
        <v>15897</v>
      </c>
      <c r="L7515" s="2" t="s">
        <v>31923</v>
      </c>
      <c r="M7515" s="2" t="s">
        <v>28010</v>
      </c>
      <c r="N7515" s="2" t="s">
        <v>35223</v>
      </c>
      <c r="O7515" s="2" t="s">
        <v>869</v>
      </c>
      <c r="P7515" s="2" t="s">
        <v>870</v>
      </c>
    </row>
    <row r="7516" ht="15.75" customHeight="1">
      <c r="H7516" s="2" t="s">
        <v>35224</v>
      </c>
      <c r="I7516" s="2" t="s">
        <v>21171</v>
      </c>
      <c r="J7516" s="2" t="s">
        <v>21172</v>
      </c>
      <c r="K7516" s="2" t="s">
        <v>25009</v>
      </c>
      <c r="L7516" s="2" t="s">
        <v>31923</v>
      </c>
      <c r="M7516" s="2" t="s">
        <v>28013</v>
      </c>
      <c r="N7516" s="2" t="s">
        <v>35225</v>
      </c>
      <c r="O7516" s="2" t="s">
        <v>869</v>
      </c>
      <c r="P7516" s="2" t="s">
        <v>870</v>
      </c>
    </row>
    <row r="7517" ht="15.75" customHeight="1">
      <c r="H7517" s="2" t="s">
        <v>35226</v>
      </c>
      <c r="I7517" s="2" t="s">
        <v>17653</v>
      </c>
      <c r="J7517" s="2" t="s">
        <v>17654</v>
      </c>
      <c r="K7517" s="2" t="s">
        <v>15901</v>
      </c>
      <c r="L7517" s="2" t="s">
        <v>31923</v>
      </c>
      <c r="M7517" s="2" t="s">
        <v>28028</v>
      </c>
      <c r="N7517" s="2" t="s">
        <v>35227</v>
      </c>
      <c r="O7517" s="2" t="s">
        <v>869</v>
      </c>
      <c r="P7517" s="2" t="s">
        <v>870</v>
      </c>
    </row>
    <row r="7518" ht="15.75" customHeight="1">
      <c r="H7518" s="2" t="s">
        <v>35228</v>
      </c>
      <c r="I7518" s="2" t="s">
        <v>3357</v>
      </c>
      <c r="J7518" s="2" t="s">
        <v>3358</v>
      </c>
      <c r="K7518" s="2" t="s">
        <v>24578</v>
      </c>
      <c r="L7518" s="2" t="s">
        <v>31923</v>
      </c>
      <c r="M7518" s="2" t="s">
        <v>28033</v>
      </c>
      <c r="N7518" s="2" t="s">
        <v>35229</v>
      </c>
      <c r="O7518" s="2" t="s">
        <v>869</v>
      </c>
      <c r="P7518" s="2" t="s">
        <v>870</v>
      </c>
    </row>
    <row r="7519" ht="15.75" customHeight="1">
      <c r="H7519" s="2" t="s">
        <v>35230</v>
      </c>
      <c r="I7519" s="2" t="s">
        <v>35231</v>
      </c>
      <c r="J7519" s="2" t="s">
        <v>35232</v>
      </c>
      <c r="K7519" s="2" t="s">
        <v>6054</v>
      </c>
      <c r="L7519" s="2" t="s">
        <v>31923</v>
      </c>
      <c r="M7519" s="2" t="s">
        <v>35233</v>
      </c>
      <c r="N7519" s="2" t="s">
        <v>35234</v>
      </c>
      <c r="O7519" s="2" t="s">
        <v>869</v>
      </c>
      <c r="P7519" s="2" t="s">
        <v>870</v>
      </c>
    </row>
    <row r="7520" ht="15.75" customHeight="1">
      <c r="H7520" s="2" t="s">
        <v>35235</v>
      </c>
      <c r="I7520" s="2" t="s">
        <v>35236</v>
      </c>
      <c r="J7520" s="2" t="s">
        <v>35237</v>
      </c>
      <c r="K7520" s="2" t="s">
        <v>15779</v>
      </c>
      <c r="L7520" s="2" t="s">
        <v>31923</v>
      </c>
      <c r="M7520" s="2" t="s">
        <v>35238</v>
      </c>
      <c r="N7520" s="2" t="s">
        <v>869</v>
      </c>
      <c r="O7520" s="2" t="s">
        <v>870</v>
      </c>
    </row>
    <row r="7521" ht="15.75" customHeight="1">
      <c r="H7521" s="2" t="s">
        <v>35239</v>
      </c>
      <c r="I7521" s="2" t="s">
        <v>4237</v>
      </c>
      <c r="J7521" s="2" t="s">
        <v>4238</v>
      </c>
      <c r="K7521" s="2" t="s">
        <v>25032</v>
      </c>
      <c r="L7521" s="2" t="s">
        <v>31923</v>
      </c>
      <c r="M7521" s="2" t="s">
        <v>28046</v>
      </c>
      <c r="N7521" s="2" t="s">
        <v>35240</v>
      </c>
      <c r="O7521" s="2" t="s">
        <v>869</v>
      </c>
      <c r="P7521" s="2" t="s">
        <v>870</v>
      </c>
    </row>
    <row r="7522" ht="15.75" customHeight="1">
      <c r="H7522" s="2" t="s">
        <v>35241</v>
      </c>
      <c r="I7522" s="2" t="s">
        <v>739</v>
      </c>
      <c r="J7522" s="2" t="s">
        <v>740</v>
      </c>
      <c r="K7522" s="2" t="s">
        <v>31344</v>
      </c>
      <c r="L7522" s="2" t="s">
        <v>31923</v>
      </c>
      <c r="M7522" s="2" t="s">
        <v>28049</v>
      </c>
      <c r="N7522" s="2" t="s">
        <v>35242</v>
      </c>
      <c r="O7522" s="2" t="s">
        <v>869</v>
      </c>
      <c r="P7522" s="2" t="s">
        <v>870</v>
      </c>
    </row>
    <row r="7523" ht="15.75" customHeight="1">
      <c r="H7523" s="2" t="s">
        <v>35243</v>
      </c>
      <c r="I7523" s="2" t="s">
        <v>4245</v>
      </c>
      <c r="J7523" s="2" t="s">
        <v>4246</v>
      </c>
      <c r="K7523" s="2" t="s">
        <v>24528</v>
      </c>
      <c r="L7523" s="2" t="s">
        <v>31923</v>
      </c>
      <c r="M7523" s="2" t="s">
        <v>35244</v>
      </c>
      <c r="N7523" s="2" t="s">
        <v>35245</v>
      </c>
      <c r="O7523" s="2" t="s">
        <v>869</v>
      </c>
      <c r="P7523" s="2" t="s">
        <v>870</v>
      </c>
    </row>
    <row r="7524" ht="15.75" customHeight="1">
      <c r="F7524" s="2" t="s">
        <v>746</v>
      </c>
      <c r="H7524" s="2" t="s">
        <v>35246</v>
      </c>
      <c r="I7524" s="2" t="s">
        <v>35247</v>
      </c>
      <c r="J7524" s="2" t="s">
        <v>35248</v>
      </c>
      <c r="K7524" s="2" t="s">
        <v>31927</v>
      </c>
      <c r="L7524" s="2" t="s">
        <v>31923</v>
      </c>
      <c r="M7524" s="2" t="s">
        <v>35249</v>
      </c>
      <c r="N7524" s="2" t="s">
        <v>35250</v>
      </c>
      <c r="O7524" s="2" t="s">
        <v>869</v>
      </c>
      <c r="P7524" s="2" t="s">
        <v>870</v>
      </c>
    </row>
    <row r="7525" ht="15.75" customHeight="1">
      <c r="H7525" s="2" t="s">
        <v>35251</v>
      </c>
      <c r="I7525" s="2" t="s">
        <v>4260</v>
      </c>
      <c r="J7525" s="2" t="s">
        <v>4261</v>
      </c>
      <c r="K7525" s="2" t="s">
        <v>24665</v>
      </c>
      <c r="L7525" s="2" t="s">
        <v>31923</v>
      </c>
      <c r="M7525" s="2" t="s">
        <v>30374</v>
      </c>
      <c r="N7525" s="2" t="s">
        <v>35252</v>
      </c>
      <c r="O7525" s="2" t="s">
        <v>869</v>
      </c>
      <c r="P7525" s="2" t="s">
        <v>870</v>
      </c>
    </row>
    <row r="7526" ht="15.75" customHeight="1">
      <c r="H7526" s="2" t="s">
        <v>35253</v>
      </c>
      <c r="I7526" s="2" t="s">
        <v>35254</v>
      </c>
      <c r="J7526" s="2" t="s">
        <v>35255</v>
      </c>
      <c r="K7526" s="2" t="s">
        <v>15801</v>
      </c>
      <c r="L7526" s="2" t="s">
        <v>31923</v>
      </c>
      <c r="M7526" s="2" t="s">
        <v>35256</v>
      </c>
      <c r="N7526" s="2" t="s">
        <v>35257</v>
      </c>
      <c r="O7526" s="2" t="s">
        <v>869</v>
      </c>
      <c r="P7526" s="2" t="s">
        <v>870</v>
      </c>
    </row>
    <row r="7527" ht="15.75" customHeight="1">
      <c r="H7527" s="2" t="s">
        <v>35258</v>
      </c>
      <c r="I7527" s="2" t="s">
        <v>35259</v>
      </c>
      <c r="J7527" s="2" t="s">
        <v>35260</v>
      </c>
      <c r="K7527" s="2" t="s">
        <v>24414</v>
      </c>
      <c r="L7527" s="2" t="s">
        <v>31923</v>
      </c>
      <c r="M7527" s="2" t="s">
        <v>35261</v>
      </c>
      <c r="N7527" s="2" t="s">
        <v>35262</v>
      </c>
      <c r="O7527" s="2" t="s">
        <v>869</v>
      </c>
      <c r="P7527" s="2" t="s">
        <v>870</v>
      </c>
    </row>
    <row r="7528" ht="15.75" customHeight="1">
      <c r="H7528" s="2" t="s">
        <v>35263</v>
      </c>
      <c r="I7528" s="2" t="s">
        <v>35264</v>
      </c>
      <c r="J7528" s="2" t="s">
        <v>35265</v>
      </c>
      <c r="K7528" s="2" t="s">
        <v>15796</v>
      </c>
      <c r="L7528" s="2" t="s">
        <v>31923</v>
      </c>
      <c r="M7528" s="2" t="s">
        <v>35266</v>
      </c>
      <c r="N7528" s="2" t="s">
        <v>35267</v>
      </c>
      <c r="O7528" s="2" t="s">
        <v>869</v>
      </c>
      <c r="P7528" s="2" t="s">
        <v>870</v>
      </c>
    </row>
    <row r="7529" ht="15.75" customHeight="1">
      <c r="H7529" s="2" t="s">
        <v>35268</v>
      </c>
      <c r="I7529" s="2" t="s">
        <v>4277</v>
      </c>
      <c r="J7529" s="2" t="s">
        <v>4278</v>
      </c>
      <c r="K7529" s="2" t="s">
        <v>24578</v>
      </c>
      <c r="L7529" s="2" t="s">
        <v>31923</v>
      </c>
      <c r="M7529" s="2" t="s">
        <v>30378</v>
      </c>
      <c r="N7529" s="2" t="s">
        <v>35269</v>
      </c>
      <c r="O7529" s="2" t="s">
        <v>869</v>
      </c>
      <c r="P7529" s="2" t="s">
        <v>870</v>
      </c>
    </row>
    <row r="7530" ht="15.75" customHeight="1">
      <c r="H7530" s="2" t="s">
        <v>35270</v>
      </c>
      <c r="I7530" s="2" t="s">
        <v>35271</v>
      </c>
      <c r="J7530" s="2" t="s">
        <v>35272</v>
      </c>
      <c r="K7530" s="2" t="s">
        <v>6054</v>
      </c>
      <c r="L7530" s="2" t="s">
        <v>31923</v>
      </c>
      <c r="M7530" s="2" t="s">
        <v>35273</v>
      </c>
      <c r="N7530" s="2" t="s">
        <v>35274</v>
      </c>
      <c r="O7530" s="2" t="s">
        <v>869</v>
      </c>
      <c r="P7530" s="2" t="s">
        <v>870</v>
      </c>
    </row>
    <row r="7531" ht="15.75" customHeight="1">
      <c r="H7531" s="2" t="s">
        <v>35275</v>
      </c>
      <c r="I7531" s="2" t="s">
        <v>8241</v>
      </c>
      <c r="J7531" s="2" t="s">
        <v>8242</v>
      </c>
      <c r="K7531" s="2" t="s">
        <v>25073</v>
      </c>
      <c r="L7531" s="2" t="s">
        <v>31923</v>
      </c>
      <c r="M7531" s="2" t="s">
        <v>35276</v>
      </c>
      <c r="N7531" s="2" t="s">
        <v>35277</v>
      </c>
      <c r="O7531" s="2" t="s">
        <v>869</v>
      </c>
      <c r="P7531" s="2" t="s">
        <v>870</v>
      </c>
    </row>
    <row r="7532" ht="15.75" customHeight="1">
      <c r="H7532" s="2" t="s">
        <v>35278</v>
      </c>
      <c r="I7532" s="2" t="s">
        <v>4282</v>
      </c>
      <c r="J7532" s="2" t="s">
        <v>4283</v>
      </c>
      <c r="K7532" s="2" t="s">
        <v>6046</v>
      </c>
      <c r="L7532" s="2" t="s">
        <v>31923</v>
      </c>
      <c r="M7532" s="2" t="s">
        <v>35279</v>
      </c>
      <c r="N7532" s="2" t="s">
        <v>35280</v>
      </c>
      <c r="O7532" s="2" t="s">
        <v>869</v>
      </c>
      <c r="P7532" s="2" t="s">
        <v>870</v>
      </c>
    </row>
    <row r="7533" ht="15.75" customHeight="1">
      <c r="H7533" s="2" t="s">
        <v>35281</v>
      </c>
      <c r="I7533" s="2" t="s">
        <v>35282</v>
      </c>
      <c r="J7533" s="2" t="s">
        <v>35283</v>
      </c>
      <c r="K7533" s="2" t="s">
        <v>25032</v>
      </c>
      <c r="L7533" s="2" t="s">
        <v>31923</v>
      </c>
      <c r="M7533" s="2" t="s">
        <v>35279</v>
      </c>
      <c r="N7533" s="2" t="s">
        <v>35284</v>
      </c>
      <c r="O7533" s="2" t="s">
        <v>869</v>
      </c>
      <c r="P7533" s="2" t="s">
        <v>870</v>
      </c>
    </row>
    <row r="7534" ht="15.75" customHeight="1">
      <c r="H7534" s="2" t="s">
        <v>35285</v>
      </c>
      <c r="I7534" s="2" t="s">
        <v>35286</v>
      </c>
      <c r="J7534" s="2" t="s">
        <v>35287</v>
      </c>
      <c r="K7534" s="2" t="s">
        <v>24528</v>
      </c>
      <c r="L7534" s="2" t="s">
        <v>31923</v>
      </c>
      <c r="M7534" s="2" t="s">
        <v>35288</v>
      </c>
      <c r="N7534" s="2" t="s">
        <v>35289</v>
      </c>
      <c r="O7534" s="2" t="s">
        <v>869</v>
      </c>
      <c r="P7534" s="2" t="s">
        <v>870</v>
      </c>
    </row>
    <row r="7535" ht="15.75" customHeight="1">
      <c r="H7535" s="2" t="s">
        <v>35290</v>
      </c>
      <c r="I7535" s="2" t="s">
        <v>4306</v>
      </c>
      <c r="J7535" s="2" t="s">
        <v>4307</v>
      </c>
      <c r="K7535" s="2" t="s">
        <v>24137</v>
      </c>
      <c r="L7535" s="2" t="s">
        <v>31923</v>
      </c>
      <c r="M7535" s="2" t="s">
        <v>35291</v>
      </c>
      <c r="N7535" s="2" t="s">
        <v>35292</v>
      </c>
      <c r="O7535" s="2" t="s">
        <v>869</v>
      </c>
      <c r="P7535" s="2" t="s">
        <v>870</v>
      </c>
    </row>
    <row r="7536" ht="15.75" customHeight="1">
      <c r="H7536" s="2" t="s">
        <v>35293</v>
      </c>
      <c r="I7536" s="2" t="s">
        <v>35294</v>
      </c>
      <c r="J7536" s="2" t="s">
        <v>35295</v>
      </c>
      <c r="K7536" s="2" t="s">
        <v>24109</v>
      </c>
      <c r="L7536" s="2" t="s">
        <v>31923</v>
      </c>
      <c r="M7536" s="2" t="s">
        <v>35296</v>
      </c>
      <c r="N7536" s="2" t="s">
        <v>35297</v>
      </c>
      <c r="O7536" s="2" t="s">
        <v>869</v>
      </c>
      <c r="P7536" s="2" t="s">
        <v>870</v>
      </c>
    </row>
    <row r="7537" ht="15.75" customHeight="1">
      <c r="H7537" s="2" t="s">
        <v>35298</v>
      </c>
      <c r="I7537" s="2" t="s">
        <v>21218</v>
      </c>
      <c r="J7537" s="2" t="s">
        <v>21219</v>
      </c>
      <c r="K7537" s="2" t="s">
        <v>6019</v>
      </c>
      <c r="L7537" s="2" t="s">
        <v>31923</v>
      </c>
      <c r="M7537" s="2" t="s">
        <v>35299</v>
      </c>
      <c r="N7537" s="2" t="s">
        <v>35300</v>
      </c>
      <c r="O7537" s="2" t="s">
        <v>869</v>
      </c>
      <c r="P7537" s="2" t="s">
        <v>870</v>
      </c>
    </row>
    <row r="7538" ht="15.75" customHeight="1">
      <c r="H7538" s="2" t="s">
        <v>35301</v>
      </c>
      <c r="I7538" s="2" t="s">
        <v>35302</v>
      </c>
      <c r="J7538" s="2" t="s">
        <v>35303</v>
      </c>
      <c r="K7538" s="2" t="s">
        <v>22050</v>
      </c>
      <c r="L7538" s="2" t="s">
        <v>31923</v>
      </c>
      <c r="M7538" s="2" t="s">
        <v>35304</v>
      </c>
      <c r="N7538" s="2" t="s">
        <v>35305</v>
      </c>
      <c r="O7538" s="2" t="s">
        <v>869</v>
      </c>
      <c r="P7538" s="2" t="s">
        <v>870</v>
      </c>
    </row>
    <row r="7539" ht="15.75" customHeight="1">
      <c r="H7539" s="2" t="s">
        <v>35306</v>
      </c>
      <c r="I7539" s="2" t="s">
        <v>35307</v>
      </c>
      <c r="J7539" s="2" t="s">
        <v>35308</v>
      </c>
      <c r="K7539" s="2" t="s">
        <v>24263</v>
      </c>
      <c r="L7539" s="2" t="s">
        <v>31923</v>
      </c>
      <c r="M7539" s="2" t="s">
        <v>35309</v>
      </c>
      <c r="N7539" s="2" t="s">
        <v>35310</v>
      </c>
      <c r="O7539" s="2" t="s">
        <v>869</v>
      </c>
      <c r="P7539" s="2" t="s">
        <v>870</v>
      </c>
    </row>
    <row r="7540" ht="15.75" customHeight="1">
      <c r="H7540" s="2" t="s">
        <v>35311</v>
      </c>
      <c r="I7540" s="2" t="s">
        <v>35312</v>
      </c>
      <c r="J7540" s="2" t="s">
        <v>35313</v>
      </c>
      <c r="K7540" s="2" t="s">
        <v>25133</v>
      </c>
      <c r="L7540" s="2" t="s">
        <v>31923</v>
      </c>
      <c r="M7540" s="2" t="s">
        <v>35314</v>
      </c>
      <c r="N7540" s="2" t="s">
        <v>35315</v>
      </c>
      <c r="O7540" s="2" t="s">
        <v>869</v>
      </c>
      <c r="P7540" s="2" t="s">
        <v>870</v>
      </c>
    </row>
    <row r="7541" ht="15.75" customHeight="1">
      <c r="H7541" s="2" t="s">
        <v>35316</v>
      </c>
      <c r="I7541" s="2" t="s">
        <v>35317</v>
      </c>
      <c r="J7541" s="2" t="s">
        <v>35318</v>
      </c>
      <c r="K7541" s="2" t="s">
        <v>6058</v>
      </c>
      <c r="L7541" s="2" t="s">
        <v>31923</v>
      </c>
      <c r="M7541" s="2" t="s">
        <v>35319</v>
      </c>
      <c r="N7541" s="2" t="s">
        <v>35320</v>
      </c>
      <c r="O7541" s="2" t="s">
        <v>869</v>
      </c>
      <c r="P7541" s="2" t="s">
        <v>870</v>
      </c>
    </row>
    <row r="7542" ht="15.75" customHeight="1">
      <c r="H7542" s="2" t="s">
        <v>35321</v>
      </c>
      <c r="I7542" s="2" t="s">
        <v>4323</v>
      </c>
      <c r="J7542" s="2" t="s">
        <v>4324</v>
      </c>
      <c r="K7542" s="2" t="s">
        <v>6041</v>
      </c>
      <c r="L7542" s="2" t="s">
        <v>31923</v>
      </c>
      <c r="M7542" s="2" t="s">
        <v>35319</v>
      </c>
      <c r="N7542" s="2" t="s">
        <v>35322</v>
      </c>
      <c r="O7542" s="2" t="s">
        <v>869</v>
      </c>
      <c r="P7542" s="2" t="s">
        <v>870</v>
      </c>
    </row>
    <row r="7543" ht="15.75" customHeight="1">
      <c r="H7543" s="2" t="s">
        <v>35323</v>
      </c>
      <c r="I7543" s="2" t="s">
        <v>35324</v>
      </c>
      <c r="J7543" s="2" t="s">
        <v>35325</v>
      </c>
      <c r="K7543" s="2" t="s">
        <v>24275</v>
      </c>
      <c r="L7543" s="2" t="s">
        <v>31923</v>
      </c>
      <c r="M7543" s="2" t="s">
        <v>21247</v>
      </c>
      <c r="N7543" s="2" t="s">
        <v>35326</v>
      </c>
      <c r="O7543" s="2" t="s">
        <v>869</v>
      </c>
      <c r="P7543" s="2" t="s">
        <v>870</v>
      </c>
    </row>
    <row r="7544" ht="15.75" customHeight="1">
      <c r="H7544" s="2" t="s">
        <v>35327</v>
      </c>
      <c r="I7544" s="2" t="s">
        <v>35328</v>
      </c>
      <c r="J7544" s="2" t="s">
        <v>35329</v>
      </c>
      <c r="K7544" s="2" t="s">
        <v>6010</v>
      </c>
      <c r="L7544" s="2" t="s">
        <v>31923</v>
      </c>
      <c r="M7544" s="2" t="s">
        <v>35330</v>
      </c>
      <c r="N7544" s="2" t="s">
        <v>35331</v>
      </c>
      <c r="O7544" s="2" t="s">
        <v>869</v>
      </c>
      <c r="P7544" s="2" t="s">
        <v>870</v>
      </c>
    </row>
    <row r="7545" ht="15.75" customHeight="1">
      <c r="H7545" s="2" t="s">
        <v>35332</v>
      </c>
      <c r="I7545" s="2" t="s">
        <v>21240</v>
      </c>
      <c r="J7545" s="2" t="s">
        <v>21241</v>
      </c>
      <c r="K7545" s="2" t="s">
        <v>24063</v>
      </c>
      <c r="L7545" s="2" t="s">
        <v>31923</v>
      </c>
      <c r="M7545" s="2" t="s">
        <v>35333</v>
      </c>
      <c r="N7545" s="2" t="s">
        <v>35334</v>
      </c>
      <c r="O7545" s="2" t="s">
        <v>869</v>
      </c>
      <c r="P7545" s="2" t="s">
        <v>870</v>
      </c>
    </row>
    <row r="7546" ht="15.75" customHeight="1">
      <c r="H7546" s="2" t="s">
        <v>35335</v>
      </c>
      <c r="I7546" s="2" t="s">
        <v>10637</v>
      </c>
      <c r="J7546" s="2" t="s">
        <v>10638</v>
      </c>
      <c r="K7546" s="2" t="s">
        <v>24878</v>
      </c>
      <c r="L7546" s="2" t="s">
        <v>31923</v>
      </c>
      <c r="M7546" s="2" t="s">
        <v>35336</v>
      </c>
      <c r="N7546" s="2" t="s">
        <v>35337</v>
      </c>
      <c r="O7546" s="2" t="s">
        <v>869</v>
      </c>
      <c r="P7546" s="2" t="s">
        <v>870</v>
      </c>
    </row>
    <row r="7547" ht="15.75" customHeight="1">
      <c r="H7547" s="2" t="s">
        <v>35338</v>
      </c>
      <c r="I7547" s="2" t="s">
        <v>35339</v>
      </c>
      <c r="J7547" s="2" t="s">
        <v>35340</v>
      </c>
      <c r="K7547" s="2" t="s">
        <v>32768</v>
      </c>
      <c r="L7547" s="2" t="s">
        <v>31923</v>
      </c>
      <c r="M7547" s="2" t="s">
        <v>35341</v>
      </c>
      <c r="N7547" s="2" t="s">
        <v>35342</v>
      </c>
      <c r="O7547" s="2" t="s">
        <v>869</v>
      </c>
      <c r="P7547" s="2" t="s">
        <v>870</v>
      </c>
    </row>
    <row r="7548" ht="15.75" customHeight="1">
      <c r="H7548" s="2" t="s">
        <v>35343</v>
      </c>
      <c r="I7548" s="2" t="s">
        <v>4344</v>
      </c>
      <c r="J7548" s="2" t="s">
        <v>4345</v>
      </c>
      <c r="K7548" s="2" t="s">
        <v>31624</v>
      </c>
      <c r="L7548" s="2" t="s">
        <v>31923</v>
      </c>
      <c r="M7548" s="2" t="s">
        <v>35344</v>
      </c>
      <c r="N7548" s="2" t="s">
        <v>35345</v>
      </c>
      <c r="O7548" s="2" t="s">
        <v>869</v>
      </c>
      <c r="P7548" s="2" t="s">
        <v>870</v>
      </c>
    </row>
    <row r="7549" ht="15.75" customHeight="1">
      <c r="H7549" s="2" t="s">
        <v>35346</v>
      </c>
      <c r="I7549" s="2" t="s">
        <v>35347</v>
      </c>
      <c r="J7549" s="2" t="s">
        <v>35348</v>
      </c>
      <c r="K7549" s="2" t="s">
        <v>6419</v>
      </c>
      <c r="L7549" s="2" t="s">
        <v>31923</v>
      </c>
      <c r="M7549" s="2" t="s">
        <v>35349</v>
      </c>
      <c r="N7549" s="2" t="s">
        <v>35350</v>
      </c>
      <c r="O7549" s="2" t="s">
        <v>869</v>
      </c>
      <c r="P7549" s="2" t="s">
        <v>870</v>
      </c>
    </row>
    <row r="7550" ht="15.75" customHeight="1">
      <c r="H7550" s="2" t="s">
        <v>35351</v>
      </c>
      <c r="I7550" s="2" t="s">
        <v>24594</v>
      </c>
      <c r="J7550" s="2" t="s">
        <v>24595</v>
      </c>
      <c r="K7550" s="2" t="s">
        <v>24596</v>
      </c>
      <c r="L7550" s="2" t="s">
        <v>31923</v>
      </c>
      <c r="M7550" s="2" t="s">
        <v>35352</v>
      </c>
      <c r="N7550" s="2" t="s">
        <v>869</v>
      </c>
      <c r="O7550" s="2" t="s">
        <v>870</v>
      </c>
    </row>
    <row r="7551" ht="15.75" customHeight="1">
      <c r="H7551" s="2" t="s">
        <v>35353</v>
      </c>
      <c r="I7551" s="2" t="s">
        <v>35354</v>
      </c>
      <c r="J7551" s="2" t="s">
        <v>35355</v>
      </c>
      <c r="K7551" s="2" t="s">
        <v>32286</v>
      </c>
      <c r="L7551" s="2" t="s">
        <v>31923</v>
      </c>
      <c r="M7551" s="2" t="s">
        <v>35356</v>
      </c>
      <c r="N7551" s="2" t="s">
        <v>35357</v>
      </c>
      <c r="O7551" s="2" t="s">
        <v>869</v>
      </c>
      <c r="P7551" s="2" t="s">
        <v>870</v>
      </c>
    </row>
    <row r="7552" ht="15.75" customHeight="1">
      <c r="F7552" s="2" t="s">
        <v>4353</v>
      </c>
      <c r="H7552" s="2" t="s">
        <v>35358</v>
      </c>
      <c r="I7552" s="2" t="s">
        <v>35359</v>
      </c>
      <c r="J7552" s="2" t="s">
        <v>35360</v>
      </c>
      <c r="K7552" s="2" t="s">
        <v>24561</v>
      </c>
      <c r="L7552" s="2" t="s">
        <v>31923</v>
      </c>
      <c r="M7552" s="2" t="s">
        <v>35361</v>
      </c>
      <c r="N7552" s="2" t="s">
        <v>35362</v>
      </c>
      <c r="O7552" s="2" t="s">
        <v>869</v>
      </c>
      <c r="P7552" s="2" t="s">
        <v>870</v>
      </c>
    </row>
    <row r="7553" ht="15.75" customHeight="1">
      <c r="H7553" s="2" t="s">
        <v>35363</v>
      </c>
      <c r="I7553" s="2" t="s">
        <v>35364</v>
      </c>
      <c r="J7553" s="2" t="s">
        <v>35365</v>
      </c>
      <c r="K7553" s="2" t="s">
        <v>24014</v>
      </c>
      <c r="L7553" s="2" t="s">
        <v>31923</v>
      </c>
      <c r="M7553" s="2" t="s">
        <v>35366</v>
      </c>
      <c r="N7553" s="2" t="s">
        <v>869</v>
      </c>
      <c r="O7553" s="2" t="s">
        <v>870</v>
      </c>
    </row>
    <row r="7554" ht="15.75" customHeight="1">
      <c r="H7554" s="2" t="s">
        <v>35367</v>
      </c>
      <c r="I7554" s="2" t="s">
        <v>4362</v>
      </c>
      <c r="J7554" s="2" t="s">
        <v>4363</v>
      </c>
      <c r="K7554" s="2" t="s">
        <v>24665</v>
      </c>
      <c r="L7554" s="2" t="s">
        <v>31923</v>
      </c>
      <c r="M7554" s="2" t="s">
        <v>35368</v>
      </c>
      <c r="N7554" s="2" t="s">
        <v>35369</v>
      </c>
      <c r="O7554" s="2" t="s">
        <v>869</v>
      </c>
      <c r="P7554" s="2" t="s">
        <v>870</v>
      </c>
    </row>
    <row r="7555" ht="15.75" customHeight="1">
      <c r="H7555" s="2" t="s">
        <v>35370</v>
      </c>
      <c r="I7555" s="2" t="s">
        <v>35371</v>
      </c>
      <c r="J7555" s="2" t="s">
        <v>35371</v>
      </c>
      <c r="K7555" s="2" t="s">
        <v>1467</v>
      </c>
    </row>
    <row r="7556" ht="15.75" customHeight="1">
      <c r="H7556" s="2" t="s">
        <v>35372</v>
      </c>
      <c r="I7556" s="2" t="s">
        <v>28071</v>
      </c>
      <c r="J7556" s="2" t="s">
        <v>28072</v>
      </c>
      <c r="K7556" s="2" t="s">
        <v>15801</v>
      </c>
      <c r="L7556" s="2" t="s">
        <v>31923</v>
      </c>
      <c r="M7556" s="2" t="s">
        <v>35373</v>
      </c>
      <c r="N7556" s="2" t="s">
        <v>35374</v>
      </c>
      <c r="O7556" s="2" t="s">
        <v>869</v>
      </c>
      <c r="P7556" s="2" t="s">
        <v>870</v>
      </c>
    </row>
    <row r="7557" ht="15.75" customHeight="1">
      <c r="H7557" s="2" t="s">
        <v>35375</v>
      </c>
      <c r="I7557" s="2" t="s">
        <v>21265</v>
      </c>
      <c r="J7557" s="2" t="s">
        <v>21266</v>
      </c>
      <c r="K7557" s="2" t="s">
        <v>15901</v>
      </c>
      <c r="L7557" s="2" t="s">
        <v>31923</v>
      </c>
      <c r="M7557" s="2" t="s">
        <v>28076</v>
      </c>
      <c r="N7557" s="2" t="s">
        <v>35376</v>
      </c>
      <c r="O7557" s="2" t="s">
        <v>869</v>
      </c>
      <c r="P7557" s="2" t="s">
        <v>870</v>
      </c>
    </row>
    <row r="7558" ht="15.75" customHeight="1">
      <c r="H7558" s="2" t="s">
        <v>35377</v>
      </c>
      <c r="I7558" s="2" t="s">
        <v>35378</v>
      </c>
      <c r="J7558" s="2" t="s">
        <v>35379</v>
      </c>
      <c r="K7558" s="2" t="s">
        <v>6050</v>
      </c>
      <c r="L7558" s="2" t="s">
        <v>31923</v>
      </c>
      <c r="M7558" s="2" t="s">
        <v>28081</v>
      </c>
      <c r="N7558" s="2" t="s">
        <v>35380</v>
      </c>
      <c r="O7558" s="2" t="s">
        <v>869</v>
      </c>
      <c r="P7558" s="2" t="s">
        <v>870</v>
      </c>
    </row>
    <row r="7559" ht="15.75" customHeight="1">
      <c r="H7559" s="2" t="s">
        <v>35381</v>
      </c>
      <c r="I7559" s="2" t="s">
        <v>21270</v>
      </c>
      <c r="J7559" s="2" t="s">
        <v>21271</v>
      </c>
      <c r="K7559" s="2" t="s">
        <v>6054</v>
      </c>
      <c r="L7559" s="2" t="s">
        <v>31923</v>
      </c>
      <c r="M7559" s="2" t="s">
        <v>28088</v>
      </c>
      <c r="N7559" s="2" t="s">
        <v>35382</v>
      </c>
      <c r="O7559" s="2" t="s">
        <v>869</v>
      </c>
      <c r="P7559" s="2" t="s">
        <v>870</v>
      </c>
    </row>
    <row r="7560" ht="15.75" customHeight="1">
      <c r="H7560" s="2" t="s">
        <v>35383</v>
      </c>
      <c r="I7560" s="2" t="s">
        <v>35384</v>
      </c>
      <c r="J7560" s="2" t="s">
        <v>35385</v>
      </c>
      <c r="K7560" s="2" t="s">
        <v>31344</v>
      </c>
      <c r="L7560" s="2" t="s">
        <v>31923</v>
      </c>
      <c r="M7560" s="2" t="s">
        <v>35386</v>
      </c>
      <c r="N7560" s="2" t="s">
        <v>35387</v>
      </c>
      <c r="O7560" s="2" t="s">
        <v>869</v>
      </c>
      <c r="P7560" s="2" t="s">
        <v>870</v>
      </c>
    </row>
    <row r="7561" ht="15.75" customHeight="1">
      <c r="H7561" s="2" t="s">
        <v>35388</v>
      </c>
      <c r="I7561" s="2" t="s">
        <v>35389</v>
      </c>
      <c r="J7561" s="2" t="s">
        <v>35390</v>
      </c>
      <c r="K7561" s="2" t="s">
        <v>24851</v>
      </c>
      <c r="L7561" s="2" t="s">
        <v>31923</v>
      </c>
      <c r="M7561" s="2" t="s">
        <v>30493</v>
      </c>
      <c r="N7561" s="2" t="s">
        <v>35391</v>
      </c>
      <c r="O7561" s="2" t="s">
        <v>869</v>
      </c>
      <c r="P7561" s="2" t="s">
        <v>870</v>
      </c>
    </row>
    <row r="7562" ht="15.75" customHeight="1">
      <c r="H7562" s="2" t="s">
        <v>35392</v>
      </c>
      <c r="I7562" s="2" t="s">
        <v>35393</v>
      </c>
      <c r="J7562" s="2" t="s">
        <v>35394</v>
      </c>
      <c r="K7562" s="2" t="s">
        <v>24137</v>
      </c>
      <c r="L7562" s="2" t="s">
        <v>31923</v>
      </c>
      <c r="M7562" s="2" t="s">
        <v>35395</v>
      </c>
      <c r="N7562" s="2" t="s">
        <v>35396</v>
      </c>
      <c r="O7562" s="2" t="s">
        <v>869</v>
      </c>
      <c r="P7562" s="2" t="s">
        <v>870</v>
      </c>
    </row>
    <row r="7563" ht="15.75" customHeight="1">
      <c r="H7563" s="2" t="s">
        <v>35397</v>
      </c>
      <c r="I7563" s="2" t="s">
        <v>4395</v>
      </c>
      <c r="J7563" s="2" t="s">
        <v>4396</v>
      </c>
      <c r="K7563" s="2" t="s">
        <v>24679</v>
      </c>
      <c r="L7563" s="2" t="s">
        <v>31923</v>
      </c>
      <c r="M7563" s="2" t="s">
        <v>28119</v>
      </c>
      <c r="N7563" s="2" t="s">
        <v>869</v>
      </c>
      <c r="O7563" s="2" t="s">
        <v>870</v>
      </c>
    </row>
    <row r="7564" ht="15.75" customHeight="1">
      <c r="H7564" s="2" t="s">
        <v>35398</v>
      </c>
      <c r="I7564" s="2" t="s">
        <v>35399</v>
      </c>
      <c r="J7564" s="2" t="s">
        <v>35400</v>
      </c>
      <c r="K7564" s="2" t="s">
        <v>22050</v>
      </c>
      <c r="L7564" s="2" t="s">
        <v>31923</v>
      </c>
      <c r="M7564" s="2" t="s">
        <v>35401</v>
      </c>
      <c r="N7564" s="2" t="s">
        <v>869</v>
      </c>
      <c r="O7564" s="2" t="s">
        <v>870</v>
      </c>
    </row>
    <row r="7565" ht="15.75" customHeight="1">
      <c r="H7565" s="2" t="s">
        <v>35402</v>
      </c>
      <c r="I7565" s="2" t="s">
        <v>35403</v>
      </c>
      <c r="J7565" s="2" t="s">
        <v>35404</v>
      </c>
      <c r="K7565" s="2" t="s">
        <v>24263</v>
      </c>
      <c r="L7565" s="2" t="s">
        <v>31923</v>
      </c>
      <c r="M7565" s="2" t="s">
        <v>35405</v>
      </c>
      <c r="N7565" s="2" t="s">
        <v>35406</v>
      </c>
      <c r="O7565" s="2" t="s">
        <v>869</v>
      </c>
      <c r="P7565" s="2" t="s">
        <v>870</v>
      </c>
    </row>
    <row r="7566" ht="15.75" customHeight="1">
      <c r="H7566" s="2" t="s">
        <v>35407</v>
      </c>
      <c r="I7566" s="2" t="s">
        <v>35408</v>
      </c>
      <c r="J7566" s="2" t="s">
        <v>35409</v>
      </c>
      <c r="K7566" s="2" t="s">
        <v>25128</v>
      </c>
      <c r="L7566" s="2" t="s">
        <v>31923</v>
      </c>
      <c r="M7566" s="2" t="s">
        <v>30493</v>
      </c>
      <c r="N7566" s="2" t="s">
        <v>35410</v>
      </c>
      <c r="O7566" s="2" t="s">
        <v>869</v>
      </c>
      <c r="P7566" s="2" t="s">
        <v>870</v>
      </c>
    </row>
    <row r="7567" ht="15.75" customHeight="1">
      <c r="H7567" s="2" t="s">
        <v>35411</v>
      </c>
      <c r="I7567" s="2" t="s">
        <v>6072</v>
      </c>
      <c r="J7567" s="2" t="s">
        <v>6073</v>
      </c>
      <c r="K7567" s="2" t="s">
        <v>6074</v>
      </c>
      <c r="L7567" s="2" t="s">
        <v>31923</v>
      </c>
      <c r="M7567" s="2" t="s">
        <v>30493</v>
      </c>
      <c r="N7567" s="2" t="s">
        <v>35412</v>
      </c>
      <c r="O7567" s="2" t="s">
        <v>869</v>
      </c>
      <c r="P7567" s="2" t="s">
        <v>870</v>
      </c>
    </row>
    <row r="7568" ht="15.75" customHeight="1">
      <c r="H7568" s="2" t="s">
        <v>35413</v>
      </c>
      <c r="I7568" s="2" t="s">
        <v>17731</v>
      </c>
      <c r="J7568" s="2" t="s">
        <v>17732</v>
      </c>
      <c r="K7568" s="2" t="s">
        <v>24063</v>
      </c>
      <c r="L7568" s="2" t="s">
        <v>31923</v>
      </c>
      <c r="M7568" s="2" t="s">
        <v>28139</v>
      </c>
      <c r="N7568" s="2" t="s">
        <v>35414</v>
      </c>
      <c r="O7568" s="2" t="s">
        <v>869</v>
      </c>
      <c r="P7568" s="2" t="s">
        <v>870</v>
      </c>
    </row>
    <row r="7569" ht="15.75" customHeight="1">
      <c r="H7569" s="2" t="s">
        <v>35415</v>
      </c>
      <c r="I7569" s="2" t="s">
        <v>4453</v>
      </c>
      <c r="J7569" s="2" t="s">
        <v>4454</v>
      </c>
      <c r="K7569" s="2" t="s">
        <v>34127</v>
      </c>
      <c r="L7569" s="2" t="s">
        <v>31923</v>
      </c>
      <c r="M7569" s="2" t="s">
        <v>28153</v>
      </c>
      <c r="N7569" s="2" t="s">
        <v>35416</v>
      </c>
      <c r="O7569" s="2" t="s">
        <v>869</v>
      </c>
      <c r="P7569" s="2" t="s">
        <v>870</v>
      </c>
    </row>
    <row r="7570" ht="15.75" customHeight="1">
      <c r="F7570" s="2" t="s">
        <v>4462</v>
      </c>
      <c r="H7570" s="2" t="s">
        <v>35417</v>
      </c>
      <c r="I7570" s="2" t="s">
        <v>21328</v>
      </c>
      <c r="J7570" s="2" t="s">
        <v>21329</v>
      </c>
      <c r="K7570" s="2" t="s">
        <v>22462</v>
      </c>
      <c r="L7570" s="2" t="s">
        <v>31923</v>
      </c>
      <c r="M7570" s="2" t="s">
        <v>35418</v>
      </c>
      <c r="N7570" s="2" t="s">
        <v>35419</v>
      </c>
      <c r="O7570" s="2" t="s">
        <v>869</v>
      </c>
      <c r="P7570" s="2" t="s">
        <v>870</v>
      </c>
    </row>
    <row r="7571" ht="15.75" customHeight="1">
      <c r="H7571" s="2" t="s">
        <v>35420</v>
      </c>
      <c r="I7571" s="2" t="s">
        <v>28159</v>
      </c>
      <c r="J7571" s="2" t="s">
        <v>28160</v>
      </c>
      <c r="K7571" s="2" t="s">
        <v>24561</v>
      </c>
      <c r="L7571" s="2" t="s">
        <v>31923</v>
      </c>
      <c r="M7571" s="2" t="s">
        <v>35421</v>
      </c>
      <c r="N7571" s="2" t="s">
        <v>869</v>
      </c>
      <c r="O7571" s="2" t="s">
        <v>870</v>
      </c>
    </row>
    <row r="7572" ht="15.75" customHeight="1">
      <c r="H7572" s="2" t="s">
        <v>35422</v>
      </c>
      <c r="I7572" s="2" t="s">
        <v>28163</v>
      </c>
      <c r="J7572" s="2" t="s">
        <v>28164</v>
      </c>
      <c r="K7572" s="2" t="s">
        <v>15779</v>
      </c>
      <c r="L7572" s="2" t="s">
        <v>31923</v>
      </c>
      <c r="M7572" s="2" t="s">
        <v>28165</v>
      </c>
      <c r="N7572" s="2" t="s">
        <v>35423</v>
      </c>
      <c r="O7572" s="2" t="s">
        <v>869</v>
      </c>
      <c r="P7572" s="2" t="s">
        <v>870</v>
      </c>
    </row>
    <row r="7573" ht="15.75" customHeight="1">
      <c r="H7573" s="2" t="s">
        <v>35424</v>
      </c>
      <c r="I7573" s="2" t="s">
        <v>21338</v>
      </c>
      <c r="J7573" s="2" t="s">
        <v>21339</v>
      </c>
      <c r="K7573" s="2" t="s">
        <v>24518</v>
      </c>
      <c r="L7573" s="2" t="s">
        <v>31923</v>
      </c>
      <c r="M7573" s="2" t="s">
        <v>28168</v>
      </c>
      <c r="N7573" s="2" t="s">
        <v>35425</v>
      </c>
      <c r="O7573" s="2" t="s">
        <v>869</v>
      </c>
      <c r="P7573" s="2" t="s">
        <v>870</v>
      </c>
    </row>
    <row r="7574" ht="15.75" customHeight="1">
      <c r="H7574" s="2" t="s">
        <v>35426</v>
      </c>
      <c r="I7574" s="2" t="s">
        <v>4477</v>
      </c>
      <c r="J7574" s="2" t="s">
        <v>4478</v>
      </c>
      <c r="K7574" s="2" t="s">
        <v>15796</v>
      </c>
      <c r="L7574" s="2" t="s">
        <v>31923</v>
      </c>
      <c r="M7574" s="2" t="s">
        <v>30515</v>
      </c>
      <c r="N7574" s="2" t="s">
        <v>35427</v>
      </c>
      <c r="O7574" s="2" t="s">
        <v>869</v>
      </c>
      <c r="P7574" s="2" t="s">
        <v>870</v>
      </c>
    </row>
    <row r="7575" ht="15.75" customHeight="1">
      <c r="H7575" s="2" t="s">
        <v>35428</v>
      </c>
      <c r="I7575" s="2" t="s">
        <v>28211</v>
      </c>
      <c r="J7575" s="2" t="s">
        <v>28212</v>
      </c>
      <c r="K7575" s="2" t="s">
        <v>25032</v>
      </c>
      <c r="L7575" s="2" t="s">
        <v>31923</v>
      </c>
      <c r="M7575" s="2" t="s">
        <v>28213</v>
      </c>
      <c r="N7575" s="2" t="s">
        <v>35429</v>
      </c>
      <c r="O7575" s="2" t="s">
        <v>869</v>
      </c>
      <c r="P7575" s="2" t="s">
        <v>870</v>
      </c>
    </row>
    <row r="7576" ht="15.75" customHeight="1">
      <c r="F7576" s="2" t="s">
        <v>4491</v>
      </c>
      <c r="H7576" s="2" t="s">
        <v>35430</v>
      </c>
      <c r="I7576" s="2" t="s">
        <v>35431</v>
      </c>
      <c r="J7576" s="2" t="s">
        <v>35432</v>
      </c>
      <c r="K7576" s="2" t="s">
        <v>24014</v>
      </c>
      <c r="L7576" s="2" t="s">
        <v>31923</v>
      </c>
      <c r="M7576" s="2" t="s">
        <v>35433</v>
      </c>
      <c r="N7576" s="2" t="s">
        <v>35434</v>
      </c>
      <c r="O7576" s="2" t="s">
        <v>869</v>
      </c>
      <c r="P7576" s="2" t="s">
        <v>870</v>
      </c>
    </row>
    <row r="7577" ht="15.75" customHeight="1">
      <c r="H7577" s="2" t="s">
        <v>35435</v>
      </c>
      <c r="I7577" s="2" t="s">
        <v>4493</v>
      </c>
      <c r="J7577" s="2" t="s">
        <v>4494</v>
      </c>
      <c r="K7577" s="2" t="s">
        <v>24518</v>
      </c>
      <c r="L7577" s="2" t="s">
        <v>31923</v>
      </c>
      <c r="M7577" s="2" t="s">
        <v>10676</v>
      </c>
      <c r="N7577" s="2" t="s">
        <v>35436</v>
      </c>
      <c r="O7577" s="2" t="s">
        <v>869</v>
      </c>
      <c r="P7577" s="2" t="s">
        <v>870</v>
      </c>
    </row>
    <row r="7578" ht="15.75" customHeight="1">
      <c r="H7578" s="2" t="s">
        <v>35437</v>
      </c>
      <c r="I7578" s="2" t="s">
        <v>35438</v>
      </c>
      <c r="J7578" s="2" t="s">
        <v>35439</v>
      </c>
      <c r="K7578" s="2" t="s">
        <v>31927</v>
      </c>
      <c r="L7578" s="2" t="s">
        <v>31923</v>
      </c>
      <c r="M7578" s="2" t="s">
        <v>35440</v>
      </c>
      <c r="N7578" s="2" t="s">
        <v>35441</v>
      </c>
      <c r="O7578" s="2" t="s">
        <v>869</v>
      </c>
      <c r="P7578" s="2" t="s">
        <v>870</v>
      </c>
    </row>
    <row r="7579" ht="15.75" customHeight="1">
      <c r="H7579" s="2" t="s">
        <v>35442</v>
      </c>
      <c r="I7579" s="2" t="s">
        <v>10706</v>
      </c>
      <c r="J7579" s="2" t="s">
        <v>10707</v>
      </c>
      <c r="K7579" s="2" t="s">
        <v>25009</v>
      </c>
      <c r="L7579" s="2" t="s">
        <v>31923</v>
      </c>
      <c r="M7579" s="2" t="s">
        <v>10709</v>
      </c>
      <c r="N7579" s="2" t="s">
        <v>35443</v>
      </c>
      <c r="O7579" s="2" t="s">
        <v>869</v>
      </c>
      <c r="P7579" s="2" t="s">
        <v>870</v>
      </c>
    </row>
    <row r="7580" ht="15.75" customHeight="1">
      <c r="H7580" s="2" t="s">
        <v>35444</v>
      </c>
      <c r="I7580" s="2" t="s">
        <v>10712</v>
      </c>
      <c r="J7580" s="2" t="s">
        <v>10713</v>
      </c>
      <c r="K7580" s="2" t="s">
        <v>15801</v>
      </c>
      <c r="L7580" s="2" t="s">
        <v>31923</v>
      </c>
      <c r="M7580" s="2" t="s">
        <v>10715</v>
      </c>
      <c r="N7580" s="2" t="s">
        <v>35445</v>
      </c>
      <c r="O7580" s="2" t="s">
        <v>869</v>
      </c>
      <c r="P7580" s="2" t="s">
        <v>870</v>
      </c>
    </row>
    <row r="7581" ht="15.75" customHeight="1">
      <c r="H7581" s="2" t="s">
        <v>35446</v>
      </c>
      <c r="I7581" s="2" t="s">
        <v>4503</v>
      </c>
      <c r="J7581" s="2" t="s">
        <v>4504</v>
      </c>
      <c r="K7581" s="2" t="s">
        <v>24414</v>
      </c>
      <c r="L7581" s="2" t="s">
        <v>31923</v>
      </c>
      <c r="M7581" s="2" t="s">
        <v>10726</v>
      </c>
      <c r="N7581" s="2" t="s">
        <v>35447</v>
      </c>
      <c r="O7581" s="2" t="s">
        <v>869</v>
      </c>
      <c r="P7581" s="2" t="s">
        <v>870</v>
      </c>
    </row>
    <row r="7582" ht="15.75" customHeight="1">
      <c r="H7582" s="2" t="s">
        <v>35448</v>
      </c>
      <c r="I7582" s="2" t="s">
        <v>35449</v>
      </c>
      <c r="J7582" s="2" t="s">
        <v>35450</v>
      </c>
      <c r="K7582" s="2" t="s">
        <v>15796</v>
      </c>
      <c r="L7582" s="2" t="s">
        <v>31923</v>
      </c>
      <c r="M7582" s="2" t="s">
        <v>10738</v>
      </c>
      <c r="N7582" s="2" t="s">
        <v>35451</v>
      </c>
      <c r="O7582" s="2" t="s">
        <v>869</v>
      </c>
      <c r="P7582" s="2" t="s">
        <v>870</v>
      </c>
    </row>
    <row r="7583" ht="15.75" customHeight="1">
      <c r="H7583" s="2" t="s">
        <v>35452</v>
      </c>
      <c r="I7583" s="2" t="s">
        <v>10759</v>
      </c>
      <c r="J7583" s="2" t="s">
        <v>10760</v>
      </c>
      <c r="K7583" s="2" t="s">
        <v>15890</v>
      </c>
      <c r="L7583" s="2" t="s">
        <v>31923</v>
      </c>
      <c r="M7583" s="2" t="s">
        <v>35453</v>
      </c>
      <c r="N7583" s="2" t="s">
        <v>35454</v>
      </c>
      <c r="O7583" s="2" t="s">
        <v>869</v>
      </c>
      <c r="P7583" s="2" t="s">
        <v>870</v>
      </c>
    </row>
    <row r="7584" ht="15.75" customHeight="1">
      <c r="H7584" s="2" t="s">
        <v>35455</v>
      </c>
      <c r="I7584" s="2" t="s">
        <v>35456</v>
      </c>
      <c r="J7584" s="2" t="s">
        <v>35457</v>
      </c>
      <c r="K7584" s="2" t="s">
        <v>15805</v>
      </c>
      <c r="L7584" s="2" t="s">
        <v>31923</v>
      </c>
      <c r="M7584" s="2" t="s">
        <v>35458</v>
      </c>
      <c r="N7584" s="2" t="s">
        <v>35459</v>
      </c>
      <c r="O7584" s="2" t="s">
        <v>869</v>
      </c>
      <c r="P7584" s="2" t="s">
        <v>870</v>
      </c>
    </row>
    <row r="7585" ht="15.75" customHeight="1">
      <c r="H7585" s="2" t="s">
        <v>35460</v>
      </c>
      <c r="I7585" s="2" t="s">
        <v>30544</v>
      </c>
      <c r="J7585" s="2" t="s">
        <v>30545</v>
      </c>
      <c r="K7585" s="2" t="s">
        <v>24379</v>
      </c>
      <c r="L7585" s="2" t="s">
        <v>31923</v>
      </c>
      <c r="M7585" s="2" t="s">
        <v>35461</v>
      </c>
      <c r="N7585" s="2" t="s">
        <v>35462</v>
      </c>
      <c r="O7585" s="2" t="s">
        <v>869</v>
      </c>
      <c r="P7585" s="2" t="s">
        <v>870</v>
      </c>
    </row>
    <row r="7586" ht="15.75" customHeight="1">
      <c r="H7586" s="2" t="s">
        <v>35463</v>
      </c>
      <c r="I7586" s="2" t="s">
        <v>10786</v>
      </c>
      <c r="J7586" s="2" t="s">
        <v>10787</v>
      </c>
      <c r="K7586" s="2" t="s">
        <v>22055</v>
      </c>
      <c r="L7586" s="2" t="s">
        <v>31923</v>
      </c>
      <c r="M7586" s="2" t="s">
        <v>35464</v>
      </c>
      <c r="N7586" s="2" t="s">
        <v>35465</v>
      </c>
      <c r="O7586" s="2" t="s">
        <v>869</v>
      </c>
      <c r="P7586" s="2" t="s">
        <v>870</v>
      </c>
    </row>
    <row r="7587" ht="15.75" customHeight="1">
      <c r="H7587" s="2" t="s">
        <v>35466</v>
      </c>
      <c r="I7587" s="2" t="s">
        <v>10799</v>
      </c>
      <c r="J7587" s="2" t="s">
        <v>10800</v>
      </c>
      <c r="K7587" s="2" t="s">
        <v>22050</v>
      </c>
      <c r="L7587" s="2" t="s">
        <v>31923</v>
      </c>
      <c r="M7587" s="2" t="s">
        <v>35467</v>
      </c>
      <c r="N7587" s="2" t="s">
        <v>35468</v>
      </c>
      <c r="O7587" s="2" t="s">
        <v>869</v>
      </c>
      <c r="P7587" s="2" t="s">
        <v>870</v>
      </c>
    </row>
    <row r="7588" ht="15.75" customHeight="1">
      <c r="H7588" s="2" t="s">
        <v>35469</v>
      </c>
      <c r="I7588" s="2" t="s">
        <v>6516</v>
      </c>
      <c r="J7588" s="2" t="s">
        <v>6517</v>
      </c>
      <c r="K7588" s="2" t="s">
        <v>6029</v>
      </c>
      <c r="L7588" s="2" t="s">
        <v>31923</v>
      </c>
      <c r="M7588" s="2" t="s">
        <v>35470</v>
      </c>
      <c r="N7588" s="2" t="s">
        <v>35471</v>
      </c>
      <c r="O7588" s="2" t="s">
        <v>869</v>
      </c>
      <c r="P7588" s="2" t="s">
        <v>870</v>
      </c>
    </row>
    <row r="7589" ht="15.75" customHeight="1">
      <c r="F7589" s="2" t="s">
        <v>4544</v>
      </c>
      <c r="H7589" s="2" t="s">
        <v>35472</v>
      </c>
      <c r="I7589" s="2" t="s">
        <v>4546</v>
      </c>
      <c r="J7589" s="2" t="s">
        <v>4547</v>
      </c>
      <c r="K7589" s="2" t="s">
        <v>15779</v>
      </c>
      <c r="L7589" s="2" t="s">
        <v>31923</v>
      </c>
      <c r="M7589" s="2" t="s">
        <v>10825</v>
      </c>
      <c r="N7589" s="2" t="s">
        <v>35473</v>
      </c>
      <c r="O7589" s="2" t="s">
        <v>869</v>
      </c>
      <c r="P7589" s="2" t="s">
        <v>870</v>
      </c>
    </row>
    <row r="7590" ht="15.75" customHeight="1">
      <c r="H7590" s="2" t="s">
        <v>35474</v>
      </c>
      <c r="I7590" s="2" t="s">
        <v>11049</v>
      </c>
      <c r="J7590" s="2" t="s">
        <v>11050</v>
      </c>
      <c r="K7590" s="2" t="s">
        <v>15801</v>
      </c>
      <c r="L7590" s="2" t="s">
        <v>31923</v>
      </c>
      <c r="M7590" s="2" t="s">
        <v>30572</v>
      </c>
      <c r="N7590" s="2" t="s">
        <v>35475</v>
      </c>
      <c r="O7590" s="2" t="s">
        <v>869</v>
      </c>
      <c r="P7590" s="2" t="s">
        <v>870</v>
      </c>
    </row>
    <row r="7591" ht="15.75" customHeight="1">
      <c r="H7591" s="2" t="s">
        <v>35476</v>
      </c>
      <c r="I7591" s="2" t="s">
        <v>4556</v>
      </c>
      <c r="J7591" s="2" t="s">
        <v>4557</v>
      </c>
      <c r="K7591" s="2" t="s">
        <v>6050</v>
      </c>
      <c r="L7591" s="2" t="s">
        <v>31923</v>
      </c>
      <c r="M7591" s="2" t="s">
        <v>10888</v>
      </c>
      <c r="N7591" s="2" t="s">
        <v>35477</v>
      </c>
      <c r="O7591" s="2" t="s">
        <v>869</v>
      </c>
      <c r="P7591" s="2" t="s">
        <v>870</v>
      </c>
    </row>
    <row r="7592" ht="15.75" customHeight="1">
      <c r="H7592" s="2" t="s">
        <v>35478</v>
      </c>
      <c r="I7592" s="2" t="s">
        <v>4157</v>
      </c>
      <c r="J7592" s="2" t="s">
        <v>4158</v>
      </c>
      <c r="K7592" s="2" t="s">
        <v>25073</v>
      </c>
      <c r="L7592" s="2" t="s">
        <v>31923</v>
      </c>
      <c r="M7592" s="2" t="s">
        <v>10905</v>
      </c>
      <c r="N7592" s="2" t="s">
        <v>35479</v>
      </c>
      <c r="O7592" s="2" t="s">
        <v>869</v>
      </c>
      <c r="P7592" s="2" t="s">
        <v>870</v>
      </c>
    </row>
    <row r="7593" ht="15.75" customHeight="1">
      <c r="H7593" s="2" t="s">
        <v>35480</v>
      </c>
      <c r="I7593" s="2" t="s">
        <v>4566</v>
      </c>
      <c r="J7593" s="2" t="s">
        <v>4567</v>
      </c>
      <c r="K7593" s="2" t="s">
        <v>25032</v>
      </c>
      <c r="L7593" s="2" t="s">
        <v>31923</v>
      </c>
      <c r="M7593" s="2" t="s">
        <v>35481</v>
      </c>
      <c r="N7593" s="2" t="s">
        <v>35482</v>
      </c>
      <c r="O7593" s="2" t="s">
        <v>869</v>
      </c>
      <c r="P7593" s="2" t="s">
        <v>870</v>
      </c>
    </row>
    <row r="7594" ht="15.75" customHeight="1">
      <c r="H7594" s="2" t="s">
        <v>35483</v>
      </c>
      <c r="I7594" s="2" t="s">
        <v>10908</v>
      </c>
      <c r="J7594" s="2" t="s">
        <v>10909</v>
      </c>
      <c r="K7594" s="2" t="s">
        <v>31317</v>
      </c>
      <c r="L7594" s="2" t="s">
        <v>31923</v>
      </c>
      <c r="M7594" s="2" t="s">
        <v>35484</v>
      </c>
      <c r="N7594" s="2" t="s">
        <v>35485</v>
      </c>
      <c r="O7594" s="2" t="s">
        <v>869</v>
      </c>
      <c r="P7594" s="2" t="s">
        <v>870</v>
      </c>
    </row>
    <row r="7595" ht="15.75" customHeight="1">
      <c r="H7595" s="2" t="s">
        <v>35486</v>
      </c>
      <c r="I7595" s="2" t="s">
        <v>35487</v>
      </c>
      <c r="J7595" s="2" t="s">
        <v>35488</v>
      </c>
      <c r="K7595" s="2" t="s">
        <v>15868</v>
      </c>
      <c r="L7595" s="2" t="s">
        <v>31923</v>
      </c>
      <c r="M7595" s="2" t="s">
        <v>35489</v>
      </c>
      <c r="N7595" s="2" t="s">
        <v>35490</v>
      </c>
      <c r="O7595" s="2" t="s">
        <v>869</v>
      </c>
      <c r="P7595" s="2" t="s">
        <v>870</v>
      </c>
    </row>
    <row r="7596" ht="15.75" customHeight="1">
      <c r="H7596" s="2" t="s">
        <v>35491</v>
      </c>
      <c r="I7596" s="2" t="s">
        <v>10926</v>
      </c>
      <c r="J7596" s="2" t="s">
        <v>10927</v>
      </c>
      <c r="K7596" s="2" t="s">
        <v>24379</v>
      </c>
      <c r="L7596" s="2" t="s">
        <v>31923</v>
      </c>
      <c r="M7596" s="2" t="s">
        <v>10929</v>
      </c>
      <c r="N7596" s="2" t="s">
        <v>35492</v>
      </c>
      <c r="O7596" s="2" t="s">
        <v>869</v>
      </c>
      <c r="P7596" s="2" t="s">
        <v>870</v>
      </c>
    </row>
    <row r="7597" ht="15.75" customHeight="1">
      <c r="H7597" s="2" t="s">
        <v>35493</v>
      </c>
      <c r="I7597" s="2" t="s">
        <v>35494</v>
      </c>
      <c r="J7597" s="2" t="s">
        <v>35495</v>
      </c>
      <c r="K7597" s="2" t="s">
        <v>24137</v>
      </c>
      <c r="L7597" s="2" t="s">
        <v>31923</v>
      </c>
      <c r="M7597" s="2" t="s">
        <v>35496</v>
      </c>
      <c r="N7597" s="2" t="s">
        <v>35497</v>
      </c>
      <c r="O7597" s="2" t="s">
        <v>869</v>
      </c>
      <c r="P7597" s="2" t="s">
        <v>870</v>
      </c>
    </row>
    <row r="7598" ht="15.75" customHeight="1">
      <c r="H7598" s="2" t="s">
        <v>35498</v>
      </c>
      <c r="I7598" s="2" t="s">
        <v>1262</v>
      </c>
      <c r="J7598" s="2" t="s">
        <v>1263</v>
      </c>
      <c r="K7598" s="2" t="s">
        <v>24109</v>
      </c>
      <c r="L7598" s="2" t="s">
        <v>31923</v>
      </c>
      <c r="M7598" s="2" t="s">
        <v>30590</v>
      </c>
      <c r="N7598" s="2" t="s">
        <v>35499</v>
      </c>
      <c r="O7598" s="2" t="s">
        <v>869</v>
      </c>
      <c r="P7598" s="2" t="s">
        <v>870</v>
      </c>
    </row>
    <row r="7599" ht="15.75" customHeight="1">
      <c r="F7599" s="2" t="s">
        <v>4576</v>
      </c>
      <c r="H7599" s="2" t="s">
        <v>35500</v>
      </c>
      <c r="I7599" s="2" t="s">
        <v>35501</v>
      </c>
      <c r="J7599" s="2" t="s">
        <v>35502</v>
      </c>
      <c r="K7599" s="2" t="s">
        <v>15779</v>
      </c>
      <c r="L7599" s="2" t="s">
        <v>31923</v>
      </c>
      <c r="M7599" s="2" t="s">
        <v>35503</v>
      </c>
      <c r="N7599" s="2" t="s">
        <v>35504</v>
      </c>
      <c r="O7599" s="2" t="s">
        <v>869</v>
      </c>
      <c r="P7599" s="2" t="s">
        <v>870</v>
      </c>
    </row>
    <row r="7600" ht="15.75" customHeight="1">
      <c r="H7600" s="2" t="s">
        <v>35505</v>
      </c>
      <c r="I7600" s="2" t="s">
        <v>10956</v>
      </c>
      <c r="J7600" s="2" t="s">
        <v>10957</v>
      </c>
      <c r="K7600" s="2" t="s">
        <v>24014</v>
      </c>
      <c r="L7600" s="2" t="s">
        <v>31923</v>
      </c>
      <c r="M7600" s="2" t="s">
        <v>10959</v>
      </c>
      <c r="N7600" s="2" t="s">
        <v>35506</v>
      </c>
      <c r="O7600" s="2" t="s">
        <v>869</v>
      </c>
      <c r="P7600" s="2" t="s">
        <v>870</v>
      </c>
    </row>
    <row r="7601" ht="15.75" customHeight="1">
      <c r="H7601" s="2" t="s">
        <v>35507</v>
      </c>
      <c r="I7601" s="2" t="s">
        <v>35508</v>
      </c>
      <c r="J7601" s="2" t="s">
        <v>35509</v>
      </c>
      <c r="K7601" s="2" t="s">
        <v>6025</v>
      </c>
      <c r="L7601" s="2" t="s">
        <v>31923</v>
      </c>
      <c r="M7601" s="2" t="s">
        <v>35510</v>
      </c>
      <c r="N7601" s="2" t="s">
        <v>35511</v>
      </c>
      <c r="O7601" s="2" t="s">
        <v>869</v>
      </c>
      <c r="P7601" s="2" t="s">
        <v>870</v>
      </c>
    </row>
    <row r="7602" ht="15.75" customHeight="1">
      <c r="H7602" s="2" t="s">
        <v>35512</v>
      </c>
      <c r="I7602" s="2" t="s">
        <v>10962</v>
      </c>
      <c r="J7602" s="2" t="s">
        <v>10963</v>
      </c>
      <c r="K7602" s="2" t="s">
        <v>5995</v>
      </c>
      <c r="L7602" s="2" t="s">
        <v>31923</v>
      </c>
      <c r="M7602" s="2" t="s">
        <v>10965</v>
      </c>
      <c r="N7602" s="2" t="s">
        <v>35513</v>
      </c>
      <c r="O7602" s="2" t="s">
        <v>869</v>
      </c>
      <c r="P7602" s="2" t="s">
        <v>870</v>
      </c>
    </row>
    <row r="7603" ht="15.75" customHeight="1">
      <c r="H7603" s="2" t="s">
        <v>35514</v>
      </c>
      <c r="I7603" s="2" t="s">
        <v>35515</v>
      </c>
      <c r="J7603" s="2" t="s">
        <v>35516</v>
      </c>
      <c r="K7603" s="2" t="s">
        <v>15897</v>
      </c>
      <c r="L7603" s="2" t="s">
        <v>31923</v>
      </c>
      <c r="M7603" s="2" t="s">
        <v>35517</v>
      </c>
      <c r="N7603" s="2" t="s">
        <v>869</v>
      </c>
      <c r="O7603" s="2" t="s">
        <v>870</v>
      </c>
    </row>
    <row r="7604" ht="15.75" customHeight="1">
      <c r="H7604" s="2" t="s">
        <v>35518</v>
      </c>
      <c r="I7604" s="2" t="s">
        <v>35519</v>
      </c>
      <c r="J7604" s="2" t="s">
        <v>35520</v>
      </c>
      <c r="K7604" s="2" t="s">
        <v>6000</v>
      </c>
      <c r="L7604" s="2" t="s">
        <v>31923</v>
      </c>
      <c r="M7604" s="2" t="s">
        <v>35521</v>
      </c>
      <c r="N7604" s="2" t="s">
        <v>35522</v>
      </c>
      <c r="O7604" s="2" t="s">
        <v>869</v>
      </c>
      <c r="P7604" s="2" t="s">
        <v>870</v>
      </c>
    </row>
    <row r="7605" ht="15.75" customHeight="1">
      <c r="H7605" s="2" t="s">
        <v>35523</v>
      </c>
      <c r="I7605" s="2" t="s">
        <v>35524</v>
      </c>
      <c r="J7605" s="2" t="s">
        <v>35525</v>
      </c>
      <c r="K7605" s="2" t="s">
        <v>25068</v>
      </c>
      <c r="L7605" s="2" t="s">
        <v>31923</v>
      </c>
      <c r="M7605" s="2" t="s">
        <v>35526</v>
      </c>
      <c r="N7605" s="2" t="s">
        <v>35527</v>
      </c>
      <c r="O7605" s="2" t="s">
        <v>869</v>
      </c>
      <c r="P7605" s="2" t="s">
        <v>870</v>
      </c>
    </row>
    <row r="7606" ht="15.75" customHeight="1">
      <c r="H7606" s="2" t="s">
        <v>35528</v>
      </c>
      <c r="I7606" s="2" t="s">
        <v>35529</v>
      </c>
      <c r="J7606" s="2" t="s">
        <v>35530</v>
      </c>
      <c r="K7606" s="2" t="s">
        <v>15901</v>
      </c>
      <c r="L7606" s="2" t="s">
        <v>31923</v>
      </c>
      <c r="M7606" s="2" t="s">
        <v>35531</v>
      </c>
      <c r="N7606" s="2" t="s">
        <v>35532</v>
      </c>
      <c r="O7606" s="2" t="s">
        <v>869</v>
      </c>
      <c r="P7606" s="2" t="s">
        <v>870</v>
      </c>
    </row>
    <row r="7607" ht="15.75" customHeight="1">
      <c r="H7607" s="2" t="s">
        <v>35533</v>
      </c>
      <c r="I7607" s="2" t="s">
        <v>4584</v>
      </c>
      <c r="J7607" s="2" t="s">
        <v>4585</v>
      </c>
      <c r="K7607" s="2" t="s">
        <v>6046</v>
      </c>
      <c r="L7607" s="2" t="s">
        <v>31923</v>
      </c>
      <c r="M7607" s="2" t="s">
        <v>10996</v>
      </c>
      <c r="N7607" s="2" t="s">
        <v>35534</v>
      </c>
      <c r="O7607" s="2" t="s">
        <v>869</v>
      </c>
      <c r="P7607" s="2" t="s">
        <v>870</v>
      </c>
    </row>
    <row r="7608" ht="15.75" customHeight="1">
      <c r="H7608" s="2" t="s">
        <v>35535</v>
      </c>
      <c r="I7608" s="2" t="s">
        <v>35536</v>
      </c>
      <c r="J7608" s="2" t="s">
        <v>35537</v>
      </c>
      <c r="K7608" s="2" t="s">
        <v>6054</v>
      </c>
      <c r="L7608" s="2" t="s">
        <v>31923</v>
      </c>
      <c r="M7608" s="2" t="s">
        <v>35538</v>
      </c>
      <c r="N7608" s="2" t="s">
        <v>35539</v>
      </c>
      <c r="O7608" s="2" t="s">
        <v>869</v>
      </c>
      <c r="P7608" s="2" t="s">
        <v>870</v>
      </c>
    </row>
    <row r="7609" ht="15.75" customHeight="1">
      <c r="H7609" s="2" t="s">
        <v>35540</v>
      </c>
      <c r="I7609" s="2" t="s">
        <v>4589</v>
      </c>
      <c r="J7609" s="2" t="s">
        <v>4590</v>
      </c>
      <c r="K7609" s="2" t="s">
        <v>25032</v>
      </c>
      <c r="L7609" s="2" t="s">
        <v>31923</v>
      </c>
      <c r="M7609" s="2" t="s">
        <v>30614</v>
      </c>
      <c r="N7609" s="2" t="s">
        <v>35541</v>
      </c>
      <c r="O7609" s="2" t="s">
        <v>869</v>
      </c>
      <c r="P7609" s="2" t="s">
        <v>870</v>
      </c>
    </row>
    <row r="7610" ht="15.75" customHeight="1">
      <c r="H7610" s="2" t="s">
        <v>35542</v>
      </c>
      <c r="I7610" s="2" t="s">
        <v>35543</v>
      </c>
      <c r="J7610" s="2" t="s">
        <v>35544</v>
      </c>
      <c r="K7610" s="2" t="s">
        <v>31317</v>
      </c>
      <c r="L7610" s="2" t="s">
        <v>31923</v>
      </c>
      <c r="M7610" s="2" t="s">
        <v>35545</v>
      </c>
      <c r="N7610" s="2" t="s">
        <v>35546</v>
      </c>
      <c r="O7610" s="2" t="s">
        <v>869</v>
      </c>
      <c r="P7610" s="2" t="s">
        <v>870</v>
      </c>
    </row>
    <row r="7611" ht="15.75" customHeight="1">
      <c r="F7611" s="2" t="s">
        <v>755</v>
      </c>
      <c r="H7611" s="2" t="s">
        <v>35547</v>
      </c>
      <c r="I7611" s="2" t="s">
        <v>21403</v>
      </c>
      <c r="J7611" s="2" t="s">
        <v>21404</v>
      </c>
      <c r="K7611" s="2" t="s">
        <v>24414</v>
      </c>
      <c r="L7611" s="2" t="s">
        <v>31923</v>
      </c>
      <c r="M7611" s="2" t="s">
        <v>21405</v>
      </c>
      <c r="N7611" s="2" t="s">
        <v>869</v>
      </c>
      <c r="O7611" s="2" t="s">
        <v>870</v>
      </c>
    </row>
    <row r="7612" ht="15.75" customHeight="1">
      <c r="H7612" s="2" t="s">
        <v>35548</v>
      </c>
      <c r="I7612" s="2" t="s">
        <v>28228</v>
      </c>
      <c r="J7612" s="2" t="s">
        <v>28229</v>
      </c>
      <c r="K7612" s="2" t="s">
        <v>24561</v>
      </c>
      <c r="L7612" s="2" t="s">
        <v>31923</v>
      </c>
      <c r="M7612" s="2" t="s">
        <v>28230</v>
      </c>
      <c r="N7612" s="2" t="s">
        <v>35549</v>
      </c>
      <c r="O7612" s="2" t="s">
        <v>869</v>
      </c>
      <c r="P7612" s="2" t="s">
        <v>870</v>
      </c>
    </row>
    <row r="7613" ht="15.75" customHeight="1">
      <c r="H7613" s="2" t="s">
        <v>35550</v>
      </c>
      <c r="I7613" s="2" t="s">
        <v>3523</v>
      </c>
      <c r="J7613" s="2" t="s">
        <v>3524</v>
      </c>
      <c r="K7613" s="2" t="s">
        <v>25009</v>
      </c>
      <c r="L7613" s="2" t="s">
        <v>31923</v>
      </c>
      <c r="M7613" s="2" t="s">
        <v>35551</v>
      </c>
      <c r="N7613" s="2" t="s">
        <v>35552</v>
      </c>
      <c r="O7613" s="2" t="s">
        <v>869</v>
      </c>
      <c r="P7613" s="2" t="s">
        <v>870</v>
      </c>
    </row>
    <row r="7614" ht="15.75" customHeight="1">
      <c r="H7614" s="2" t="s">
        <v>35553</v>
      </c>
      <c r="I7614" s="2" t="s">
        <v>4609</v>
      </c>
      <c r="J7614" s="2" t="s">
        <v>4610</v>
      </c>
      <c r="K7614" s="2" t="s">
        <v>25068</v>
      </c>
      <c r="L7614" s="2" t="s">
        <v>31923</v>
      </c>
      <c r="M7614" s="2" t="s">
        <v>35554</v>
      </c>
      <c r="N7614" s="2" t="s">
        <v>35555</v>
      </c>
      <c r="O7614" s="2" t="s">
        <v>869</v>
      </c>
      <c r="P7614" s="2" t="s">
        <v>870</v>
      </c>
    </row>
    <row r="7615" ht="15.75" customHeight="1">
      <c r="H7615" s="2" t="s">
        <v>35556</v>
      </c>
      <c r="I7615" s="2" t="s">
        <v>35557</v>
      </c>
      <c r="J7615" s="2" t="s">
        <v>35558</v>
      </c>
      <c r="K7615" s="2" t="s">
        <v>6058</v>
      </c>
      <c r="L7615" s="2" t="s">
        <v>31923</v>
      </c>
      <c r="M7615" s="2" t="s">
        <v>35559</v>
      </c>
      <c r="N7615" s="2" t="s">
        <v>869</v>
      </c>
      <c r="O7615" s="2" t="s">
        <v>870</v>
      </c>
    </row>
    <row r="7616" ht="15.75" customHeight="1">
      <c r="H7616" s="2" t="s">
        <v>35560</v>
      </c>
      <c r="I7616" s="2" t="s">
        <v>1629</v>
      </c>
      <c r="J7616" s="2" t="s">
        <v>1630</v>
      </c>
      <c r="K7616" s="2" t="s">
        <v>15796</v>
      </c>
      <c r="L7616" s="2" t="s">
        <v>31923</v>
      </c>
      <c r="M7616" s="2" t="s">
        <v>28243</v>
      </c>
      <c r="N7616" s="2" t="s">
        <v>35561</v>
      </c>
      <c r="O7616" s="2" t="s">
        <v>869</v>
      </c>
      <c r="P7616" s="2" t="s">
        <v>870</v>
      </c>
    </row>
    <row r="7617" ht="15.75" customHeight="1">
      <c r="H7617" s="2" t="s">
        <v>35562</v>
      </c>
      <c r="I7617" s="2" t="s">
        <v>21432</v>
      </c>
      <c r="J7617" s="2" t="s">
        <v>21433</v>
      </c>
      <c r="K7617" s="2" t="s">
        <v>15861</v>
      </c>
      <c r="L7617" s="2" t="s">
        <v>31923</v>
      </c>
      <c r="M7617" s="2" t="s">
        <v>28246</v>
      </c>
      <c r="N7617" s="2" t="s">
        <v>35563</v>
      </c>
      <c r="O7617" s="2" t="s">
        <v>869</v>
      </c>
      <c r="P7617" s="2" t="s">
        <v>870</v>
      </c>
    </row>
    <row r="7618" ht="15.75" customHeight="1">
      <c r="H7618" s="2" t="s">
        <v>35564</v>
      </c>
      <c r="I7618" s="2" t="s">
        <v>35565</v>
      </c>
      <c r="J7618" s="2" t="s">
        <v>35566</v>
      </c>
      <c r="K7618" s="2" t="s">
        <v>6046</v>
      </c>
      <c r="L7618" s="2" t="s">
        <v>31923</v>
      </c>
      <c r="M7618" s="2" t="s">
        <v>35567</v>
      </c>
      <c r="N7618" s="2" t="s">
        <v>35568</v>
      </c>
      <c r="O7618" s="2" t="s">
        <v>869</v>
      </c>
      <c r="P7618" s="2" t="s">
        <v>870</v>
      </c>
    </row>
    <row r="7619" ht="15.75" customHeight="1">
      <c r="H7619" s="2" t="s">
        <v>35569</v>
      </c>
      <c r="I7619" s="2" t="s">
        <v>35570</v>
      </c>
      <c r="J7619" s="2" t="s">
        <v>35571</v>
      </c>
      <c r="K7619" s="2" t="s">
        <v>24137</v>
      </c>
      <c r="L7619" s="2" t="s">
        <v>31923</v>
      </c>
      <c r="M7619" s="2" t="s">
        <v>35572</v>
      </c>
      <c r="N7619" s="2" t="s">
        <v>869</v>
      </c>
      <c r="O7619" s="2" t="s">
        <v>870</v>
      </c>
    </row>
    <row r="7620" ht="15.75" customHeight="1">
      <c r="H7620" s="2" t="s">
        <v>35573</v>
      </c>
      <c r="I7620" s="2" t="s">
        <v>18724</v>
      </c>
      <c r="J7620" s="2" t="s">
        <v>18725</v>
      </c>
      <c r="K7620" s="2" t="s">
        <v>25128</v>
      </c>
      <c r="L7620" s="2" t="s">
        <v>31923</v>
      </c>
      <c r="M7620" s="2" t="s">
        <v>28283</v>
      </c>
      <c r="N7620" s="2" t="s">
        <v>35574</v>
      </c>
      <c r="O7620" s="2" t="s">
        <v>869</v>
      </c>
      <c r="P7620" s="2" t="s">
        <v>870</v>
      </c>
    </row>
    <row r="7621" ht="15.75" customHeight="1">
      <c r="H7621" s="2" t="s">
        <v>35575</v>
      </c>
      <c r="I7621" s="2" t="s">
        <v>35576</v>
      </c>
      <c r="J7621" s="2" t="s">
        <v>35577</v>
      </c>
      <c r="K7621" s="2" t="s">
        <v>24269</v>
      </c>
      <c r="L7621" s="2" t="s">
        <v>31923</v>
      </c>
      <c r="M7621" s="2" t="s">
        <v>28230</v>
      </c>
      <c r="N7621" s="2" t="s">
        <v>35578</v>
      </c>
      <c r="O7621" s="2" t="s">
        <v>869</v>
      </c>
      <c r="P7621" s="2" t="s">
        <v>870</v>
      </c>
    </row>
    <row r="7622" ht="15.75" customHeight="1">
      <c r="H7622" s="2" t="s">
        <v>35579</v>
      </c>
      <c r="I7622" s="2" t="s">
        <v>35580</v>
      </c>
      <c r="J7622" s="2" t="s">
        <v>35581</v>
      </c>
      <c r="K7622" s="2" t="s">
        <v>25287</v>
      </c>
      <c r="L7622" s="2" t="s">
        <v>31923</v>
      </c>
      <c r="M7622" s="2" t="s">
        <v>35582</v>
      </c>
      <c r="N7622" s="2" t="s">
        <v>35583</v>
      </c>
      <c r="O7622" s="2" t="s">
        <v>869</v>
      </c>
      <c r="P7622" s="2" t="s">
        <v>870</v>
      </c>
    </row>
    <row r="7623" ht="15.75" customHeight="1">
      <c r="H7623" s="2" t="s">
        <v>35584</v>
      </c>
      <c r="I7623" s="2" t="s">
        <v>35585</v>
      </c>
      <c r="J7623" s="2" t="s">
        <v>35586</v>
      </c>
      <c r="K7623" s="2" t="s">
        <v>6041</v>
      </c>
      <c r="L7623" s="2" t="s">
        <v>31923</v>
      </c>
      <c r="M7623" s="2" t="s">
        <v>35587</v>
      </c>
      <c r="N7623" s="2" t="s">
        <v>35588</v>
      </c>
      <c r="O7623" s="2" t="s">
        <v>869</v>
      </c>
      <c r="P7623" s="2" t="s">
        <v>870</v>
      </c>
    </row>
    <row r="7624" ht="15.75" customHeight="1">
      <c r="H7624" s="2" t="s">
        <v>35589</v>
      </c>
      <c r="I7624" s="2" t="s">
        <v>28290</v>
      </c>
      <c r="J7624" s="2" t="s">
        <v>28291</v>
      </c>
      <c r="K7624" s="2" t="s">
        <v>31469</v>
      </c>
      <c r="L7624" s="2" t="s">
        <v>31923</v>
      </c>
      <c r="M7624" s="2" t="s">
        <v>35590</v>
      </c>
      <c r="N7624" s="2" t="s">
        <v>35591</v>
      </c>
      <c r="O7624" s="2" t="s">
        <v>869</v>
      </c>
      <c r="P7624" s="2" t="s">
        <v>870</v>
      </c>
    </row>
    <row r="7625" ht="15.75" customHeight="1">
      <c r="H7625" s="2" t="s">
        <v>35592</v>
      </c>
      <c r="I7625" s="2" t="s">
        <v>35593</v>
      </c>
      <c r="J7625" s="2" t="s">
        <v>35594</v>
      </c>
      <c r="K7625" s="2" t="s">
        <v>6074</v>
      </c>
      <c r="L7625" s="2" t="s">
        <v>31923</v>
      </c>
      <c r="M7625" s="2" t="s">
        <v>35595</v>
      </c>
      <c r="N7625" s="2" t="s">
        <v>35596</v>
      </c>
      <c r="O7625" s="2" t="s">
        <v>869</v>
      </c>
      <c r="P7625" s="2" t="s">
        <v>870</v>
      </c>
    </row>
    <row r="7626" ht="15.75" customHeight="1">
      <c r="H7626" s="2" t="s">
        <v>35597</v>
      </c>
      <c r="I7626" s="2" t="s">
        <v>4640</v>
      </c>
      <c r="J7626" s="2" t="s">
        <v>4641</v>
      </c>
      <c r="K7626" s="2" t="s">
        <v>24275</v>
      </c>
      <c r="L7626" s="2" t="s">
        <v>31923</v>
      </c>
      <c r="M7626" s="2" t="s">
        <v>28303</v>
      </c>
      <c r="N7626" s="2" t="s">
        <v>35598</v>
      </c>
      <c r="O7626" s="2" t="s">
        <v>869</v>
      </c>
      <c r="P7626" s="2" t="s">
        <v>870</v>
      </c>
    </row>
    <row r="7627" ht="15.75" customHeight="1">
      <c r="H7627" s="2" t="s">
        <v>35599</v>
      </c>
      <c r="I7627" s="2" t="s">
        <v>757</v>
      </c>
      <c r="J7627" s="2" t="s">
        <v>758</v>
      </c>
      <c r="K7627" s="2" t="s">
        <v>32271</v>
      </c>
      <c r="L7627" s="2" t="s">
        <v>35600</v>
      </c>
      <c r="M7627" s="2" t="s">
        <v>35601</v>
      </c>
      <c r="N7627" s="2" t="s">
        <v>35602</v>
      </c>
      <c r="O7627" s="2" t="s">
        <v>869</v>
      </c>
      <c r="P7627" s="2" t="s">
        <v>870</v>
      </c>
    </row>
    <row r="7628" ht="15.75" customHeight="1">
      <c r="H7628" s="2" t="s">
        <v>35603</v>
      </c>
      <c r="I7628" s="2" t="s">
        <v>35604</v>
      </c>
      <c r="J7628" s="2" t="s">
        <v>35605</v>
      </c>
      <c r="K7628" s="2" t="s">
        <v>6010</v>
      </c>
      <c r="L7628" s="2" t="s">
        <v>31923</v>
      </c>
      <c r="M7628" s="2" t="s">
        <v>35595</v>
      </c>
      <c r="N7628" s="2" t="s">
        <v>869</v>
      </c>
      <c r="O7628" s="2" t="s">
        <v>870</v>
      </c>
    </row>
    <row r="7629" ht="15.75" customHeight="1">
      <c r="H7629" s="2" t="s">
        <v>35606</v>
      </c>
      <c r="I7629" s="2" t="s">
        <v>4650</v>
      </c>
      <c r="J7629" s="2" t="s">
        <v>4651</v>
      </c>
      <c r="K7629" s="2" t="s">
        <v>32267</v>
      </c>
      <c r="L7629" s="2" t="s">
        <v>31923</v>
      </c>
      <c r="M7629" s="2" t="s">
        <v>35607</v>
      </c>
      <c r="N7629" s="2" t="s">
        <v>869</v>
      </c>
      <c r="O7629" s="2" t="s">
        <v>870</v>
      </c>
    </row>
    <row r="7630" ht="15.75" customHeight="1">
      <c r="H7630" s="2" t="s">
        <v>35608</v>
      </c>
      <c r="I7630" s="2" t="s">
        <v>35609</v>
      </c>
      <c r="J7630" s="2" t="s">
        <v>35610</v>
      </c>
      <c r="K7630" s="2" t="s">
        <v>15901</v>
      </c>
      <c r="L7630" s="2" t="s">
        <v>31923</v>
      </c>
      <c r="M7630" s="2" t="s">
        <v>35611</v>
      </c>
      <c r="N7630" s="2" t="s">
        <v>35612</v>
      </c>
      <c r="O7630" s="2" t="s">
        <v>869</v>
      </c>
      <c r="P7630" s="2" t="s">
        <v>870</v>
      </c>
    </row>
    <row r="7631" ht="15.75" customHeight="1">
      <c r="H7631" s="2" t="s">
        <v>35613</v>
      </c>
      <c r="I7631" s="2" t="s">
        <v>35614</v>
      </c>
      <c r="J7631" s="2" t="s">
        <v>35615</v>
      </c>
      <c r="K7631" s="2" t="s">
        <v>24063</v>
      </c>
      <c r="L7631" s="2" t="s">
        <v>31923</v>
      </c>
      <c r="M7631" s="2" t="s">
        <v>4624</v>
      </c>
      <c r="N7631" s="2" t="s">
        <v>35616</v>
      </c>
      <c r="O7631" s="2" t="s">
        <v>869</v>
      </c>
      <c r="P7631" s="2" t="s">
        <v>870</v>
      </c>
    </row>
    <row r="7632" ht="15.75" customHeight="1">
      <c r="H7632" s="2" t="s">
        <v>35617</v>
      </c>
      <c r="I7632" s="2" t="s">
        <v>35618</v>
      </c>
      <c r="J7632" s="2" t="s">
        <v>35619</v>
      </c>
      <c r="K7632" s="2" t="s">
        <v>24878</v>
      </c>
      <c r="L7632" s="2" t="s">
        <v>31923</v>
      </c>
      <c r="M7632" s="2" t="s">
        <v>35620</v>
      </c>
      <c r="N7632" s="2" t="s">
        <v>35621</v>
      </c>
      <c r="O7632" s="2" t="s">
        <v>869</v>
      </c>
      <c r="P7632" s="2" t="s">
        <v>870</v>
      </c>
    </row>
    <row r="7633" ht="15.75" customHeight="1">
      <c r="H7633" s="2" t="s">
        <v>35622</v>
      </c>
      <c r="I7633" s="2" t="s">
        <v>21516</v>
      </c>
      <c r="J7633" s="2" t="s">
        <v>21517</v>
      </c>
      <c r="K7633" s="2" t="s">
        <v>32581</v>
      </c>
      <c r="L7633" s="2" t="s">
        <v>31923</v>
      </c>
      <c r="M7633" s="2" t="s">
        <v>28316</v>
      </c>
      <c r="N7633" s="2" t="s">
        <v>35623</v>
      </c>
      <c r="O7633" s="2" t="s">
        <v>869</v>
      </c>
      <c r="P7633" s="2" t="s">
        <v>870</v>
      </c>
    </row>
    <row r="7634" ht="15.75" customHeight="1">
      <c r="F7634" s="2" t="s">
        <v>4677</v>
      </c>
      <c r="H7634" s="2" t="s">
        <v>35624</v>
      </c>
      <c r="I7634" s="2" t="s">
        <v>35625</v>
      </c>
      <c r="J7634" s="2" t="s">
        <v>35626</v>
      </c>
      <c r="K7634" s="2" t="s">
        <v>22462</v>
      </c>
      <c r="L7634" s="2" t="s">
        <v>31923</v>
      </c>
      <c r="M7634" s="2" t="s">
        <v>35627</v>
      </c>
      <c r="N7634" s="2" t="s">
        <v>35628</v>
      </c>
      <c r="O7634" s="2" t="s">
        <v>869</v>
      </c>
      <c r="P7634" s="2" t="s">
        <v>870</v>
      </c>
    </row>
    <row r="7635" ht="15.75" customHeight="1">
      <c r="H7635" s="2" t="s">
        <v>35629</v>
      </c>
      <c r="I7635" s="2" t="s">
        <v>30649</v>
      </c>
      <c r="J7635" s="2" t="s">
        <v>30650</v>
      </c>
      <c r="K7635" s="2" t="s">
        <v>31927</v>
      </c>
      <c r="L7635" s="2" t="s">
        <v>31923</v>
      </c>
      <c r="M7635" s="2" t="s">
        <v>30652</v>
      </c>
      <c r="N7635" s="2" t="s">
        <v>35630</v>
      </c>
      <c r="O7635" s="2" t="s">
        <v>869</v>
      </c>
      <c r="P7635" s="2" t="s">
        <v>870</v>
      </c>
    </row>
    <row r="7636" ht="15.75" customHeight="1">
      <c r="H7636" s="2" t="s">
        <v>35631</v>
      </c>
      <c r="I7636" s="2" t="s">
        <v>35632</v>
      </c>
      <c r="J7636" s="2" t="s">
        <v>35633</v>
      </c>
      <c r="K7636" s="2" t="s">
        <v>24561</v>
      </c>
      <c r="L7636" s="2" t="s">
        <v>31923</v>
      </c>
      <c r="M7636" s="2" t="s">
        <v>35634</v>
      </c>
      <c r="N7636" s="2" t="s">
        <v>35635</v>
      </c>
      <c r="O7636" s="2" t="s">
        <v>869</v>
      </c>
      <c r="P7636" s="2" t="s">
        <v>870</v>
      </c>
    </row>
    <row r="7637" ht="15.75" customHeight="1">
      <c r="H7637" s="2" t="s">
        <v>35636</v>
      </c>
      <c r="I7637" s="2" t="s">
        <v>11027</v>
      </c>
      <c r="J7637" s="2" t="s">
        <v>11028</v>
      </c>
      <c r="K7637" s="2" t="s">
        <v>15779</v>
      </c>
      <c r="L7637" s="2" t="s">
        <v>31923</v>
      </c>
      <c r="M7637" s="2" t="s">
        <v>35637</v>
      </c>
      <c r="N7637" s="2" t="s">
        <v>35638</v>
      </c>
      <c r="O7637" s="2" t="s">
        <v>869</v>
      </c>
      <c r="P7637" s="2" t="s">
        <v>870</v>
      </c>
    </row>
    <row r="7638" ht="15.75" customHeight="1">
      <c r="H7638" s="2" t="s">
        <v>35639</v>
      </c>
      <c r="I7638" s="2" t="s">
        <v>11033</v>
      </c>
      <c r="J7638" s="2" t="s">
        <v>11034</v>
      </c>
      <c r="K7638" s="2" t="s">
        <v>24014</v>
      </c>
      <c r="L7638" s="2" t="s">
        <v>31923</v>
      </c>
      <c r="M7638" s="2" t="s">
        <v>35640</v>
      </c>
      <c r="N7638" s="2" t="s">
        <v>35641</v>
      </c>
      <c r="O7638" s="2" t="s">
        <v>869</v>
      </c>
      <c r="P7638" s="2" t="s">
        <v>870</v>
      </c>
    </row>
    <row r="7639" ht="15.75" customHeight="1">
      <c r="H7639" s="2" t="s">
        <v>35642</v>
      </c>
      <c r="I7639" s="2" t="s">
        <v>4684</v>
      </c>
      <c r="J7639" s="2" t="s">
        <v>4685</v>
      </c>
      <c r="K7639" s="2" t="s">
        <v>24518</v>
      </c>
      <c r="L7639" s="2" t="s">
        <v>31923</v>
      </c>
      <c r="M7639" s="2" t="s">
        <v>35643</v>
      </c>
      <c r="N7639" s="2" t="s">
        <v>35644</v>
      </c>
      <c r="O7639" s="2" t="s">
        <v>869</v>
      </c>
      <c r="P7639" s="2" t="s">
        <v>870</v>
      </c>
    </row>
    <row r="7640" ht="15.75" customHeight="1">
      <c r="H7640" s="2" t="s">
        <v>35645</v>
      </c>
      <c r="I7640" s="2" t="s">
        <v>35646</v>
      </c>
      <c r="J7640" s="2" t="s">
        <v>35647</v>
      </c>
      <c r="K7640" s="2" t="s">
        <v>6025</v>
      </c>
      <c r="L7640" s="2" t="s">
        <v>31923</v>
      </c>
      <c r="M7640" s="2" t="s">
        <v>35648</v>
      </c>
      <c r="N7640" s="2" t="s">
        <v>35649</v>
      </c>
      <c r="O7640" s="2" t="s">
        <v>869</v>
      </c>
      <c r="P7640" s="2" t="s">
        <v>870</v>
      </c>
    </row>
    <row r="7641" ht="15.75" customHeight="1">
      <c r="H7641" s="2" t="s">
        <v>35650</v>
      </c>
      <c r="I7641" s="2" t="s">
        <v>11039</v>
      </c>
      <c r="J7641" s="2" t="s">
        <v>11040</v>
      </c>
      <c r="K7641" s="2" t="s">
        <v>24665</v>
      </c>
      <c r="L7641" s="2" t="s">
        <v>31923</v>
      </c>
      <c r="M7641" s="2" t="s">
        <v>35651</v>
      </c>
      <c r="N7641" s="2" t="s">
        <v>35652</v>
      </c>
      <c r="O7641" s="2" t="s">
        <v>869</v>
      </c>
      <c r="P7641" s="2" t="s">
        <v>870</v>
      </c>
    </row>
    <row r="7642" ht="15.75" customHeight="1">
      <c r="H7642" s="2" t="s">
        <v>35653</v>
      </c>
      <c r="I7642" s="2" t="s">
        <v>4689</v>
      </c>
      <c r="J7642" s="2" t="s">
        <v>4690</v>
      </c>
      <c r="K7642" s="2" t="s">
        <v>5995</v>
      </c>
      <c r="L7642" s="2" t="s">
        <v>31923</v>
      </c>
      <c r="M7642" s="2" t="s">
        <v>4691</v>
      </c>
      <c r="N7642" s="2" t="s">
        <v>35654</v>
      </c>
      <c r="O7642" s="2" t="s">
        <v>869</v>
      </c>
      <c r="P7642" s="2" t="s">
        <v>870</v>
      </c>
    </row>
    <row r="7643" ht="15.75" customHeight="1">
      <c r="H7643" s="2" t="s">
        <v>35655</v>
      </c>
      <c r="I7643" s="2" t="s">
        <v>11049</v>
      </c>
      <c r="J7643" s="2" t="s">
        <v>11050</v>
      </c>
      <c r="K7643" s="2" t="s">
        <v>25009</v>
      </c>
      <c r="L7643" s="2" t="s">
        <v>31923</v>
      </c>
      <c r="M7643" s="2" t="s">
        <v>11052</v>
      </c>
      <c r="N7643" s="2" t="s">
        <v>35656</v>
      </c>
      <c r="O7643" s="2" t="s">
        <v>869</v>
      </c>
      <c r="P7643" s="2" t="s">
        <v>870</v>
      </c>
    </row>
    <row r="7644" ht="15.75" customHeight="1">
      <c r="H7644" s="2" t="s">
        <v>35657</v>
      </c>
      <c r="I7644" s="2" t="s">
        <v>35658</v>
      </c>
      <c r="J7644" s="2" t="s">
        <v>35659</v>
      </c>
      <c r="K7644" s="2" t="s">
        <v>6000</v>
      </c>
      <c r="L7644" s="2" t="s">
        <v>31923</v>
      </c>
      <c r="M7644" s="2" t="s">
        <v>35660</v>
      </c>
      <c r="N7644" s="2" t="s">
        <v>35661</v>
      </c>
      <c r="O7644" s="2" t="s">
        <v>869</v>
      </c>
      <c r="P7644" s="2" t="s">
        <v>870</v>
      </c>
    </row>
    <row r="7645" ht="15.75" customHeight="1">
      <c r="H7645" s="2" t="s">
        <v>35662</v>
      </c>
      <c r="I7645" s="2" t="s">
        <v>11062</v>
      </c>
      <c r="J7645" s="2" t="s">
        <v>11063</v>
      </c>
      <c r="K7645" s="2" t="s">
        <v>25068</v>
      </c>
      <c r="L7645" s="2" t="s">
        <v>31923</v>
      </c>
      <c r="M7645" s="2" t="s">
        <v>11065</v>
      </c>
      <c r="N7645" s="2" t="s">
        <v>35663</v>
      </c>
      <c r="O7645" s="2" t="s">
        <v>869</v>
      </c>
      <c r="P7645" s="2" t="s">
        <v>870</v>
      </c>
    </row>
    <row r="7646" ht="15.75" customHeight="1">
      <c r="H7646" s="2" t="s">
        <v>35664</v>
      </c>
      <c r="I7646" s="2" t="s">
        <v>35665</v>
      </c>
      <c r="J7646" s="2" t="s">
        <v>35666</v>
      </c>
      <c r="K7646" s="2" t="s">
        <v>15801</v>
      </c>
      <c r="L7646" s="2" t="s">
        <v>31923</v>
      </c>
      <c r="M7646" s="2" t="s">
        <v>4696</v>
      </c>
      <c r="N7646" s="2" t="s">
        <v>35667</v>
      </c>
      <c r="O7646" s="2" t="s">
        <v>869</v>
      </c>
      <c r="P7646" s="2" t="s">
        <v>870</v>
      </c>
    </row>
    <row r="7647" ht="15.75" customHeight="1">
      <c r="H7647" s="2" t="s">
        <v>35668</v>
      </c>
      <c r="I7647" s="2" t="s">
        <v>11075</v>
      </c>
      <c r="J7647" s="2" t="s">
        <v>11076</v>
      </c>
      <c r="K7647" s="2" t="s">
        <v>24414</v>
      </c>
      <c r="L7647" s="2" t="s">
        <v>31923</v>
      </c>
      <c r="M7647" s="2" t="s">
        <v>35669</v>
      </c>
      <c r="N7647" s="2" t="s">
        <v>35670</v>
      </c>
      <c r="O7647" s="2" t="s">
        <v>869</v>
      </c>
      <c r="P7647" s="2" t="s">
        <v>870</v>
      </c>
    </row>
    <row r="7648" ht="15.75" customHeight="1">
      <c r="H7648" s="2" t="s">
        <v>35671</v>
      </c>
      <c r="I7648" s="2" t="s">
        <v>4694</v>
      </c>
      <c r="J7648" s="2" t="s">
        <v>4695</v>
      </c>
      <c r="K7648" s="2" t="s">
        <v>6050</v>
      </c>
      <c r="L7648" s="2" t="s">
        <v>31923</v>
      </c>
      <c r="M7648" s="2" t="s">
        <v>4696</v>
      </c>
      <c r="N7648" s="2" t="s">
        <v>35672</v>
      </c>
      <c r="O7648" s="2" t="s">
        <v>869</v>
      </c>
      <c r="P7648" s="2" t="s">
        <v>870</v>
      </c>
    </row>
    <row r="7649" ht="15.75" customHeight="1">
      <c r="F7649" s="2" t="s">
        <v>764</v>
      </c>
      <c r="H7649" s="2" t="s">
        <v>35673</v>
      </c>
      <c r="I7649" s="2" t="s">
        <v>4704</v>
      </c>
      <c r="J7649" s="2" t="s">
        <v>4705</v>
      </c>
      <c r="K7649" s="2" t="s">
        <v>24561</v>
      </c>
      <c r="L7649" s="2" t="s">
        <v>31923</v>
      </c>
      <c r="M7649" s="2" t="s">
        <v>28319</v>
      </c>
      <c r="N7649" s="2" t="s">
        <v>35674</v>
      </c>
      <c r="O7649" s="2" t="s">
        <v>869</v>
      </c>
      <c r="P7649" s="2" t="s">
        <v>870</v>
      </c>
    </row>
    <row r="7650" ht="15.75" customHeight="1">
      <c r="H7650" s="2" t="s">
        <v>35675</v>
      </c>
      <c r="I7650" s="2" t="s">
        <v>35676</v>
      </c>
      <c r="J7650" s="2" t="s">
        <v>35677</v>
      </c>
      <c r="K7650" s="2" t="s">
        <v>6000</v>
      </c>
      <c r="L7650" s="2" t="s">
        <v>31923</v>
      </c>
      <c r="M7650" s="2" t="s">
        <v>35678</v>
      </c>
      <c r="N7650" s="2" t="s">
        <v>35679</v>
      </c>
      <c r="O7650" s="2" t="s">
        <v>869</v>
      </c>
      <c r="P7650" s="2" t="s">
        <v>870</v>
      </c>
    </row>
    <row r="7651" ht="15.75" customHeight="1">
      <c r="H7651" s="2" t="s">
        <v>35680</v>
      </c>
      <c r="I7651" s="2" t="s">
        <v>17796</v>
      </c>
      <c r="J7651" s="2" t="s">
        <v>17797</v>
      </c>
      <c r="K7651" s="2" t="s">
        <v>6050</v>
      </c>
      <c r="L7651" s="2" t="s">
        <v>31923</v>
      </c>
      <c r="M7651" s="2" t="s">
        <v>35681</v>
      </c>
      <c r="N7651" s="2" t="s">
        <v>35682</v>
      </c>
      <c r="O7651" s="2" t="s">
        <v>869</v>
      </c>
      <c r="P7651" s="2" t="s">
        <v>870</v>
      </c>
    </row>
    <row r="7652" ht="15.75" customHeight="1">
      <c r="H7652" s="2" t="s">
        <v>35683</v>
      </c>
      <c r="I7652" s="2" t="s">
        <v>21539</v>
      </c>
      <c r="J7652" s="2" t="s">
        <v>21540</v>
      </c>
      <c r="K7652" s="2" t="s">
        <v>15861</v>
      </c>
      <c r="L7652" s="2" t="s">
        <v>31923</v>
      </c>
      <c r="M7652" s="2" t="s">
        <v>28346</v>
      </c>
      <c r="N7652" s="2" t="s">
        <v>35684</v>
      </c>
      <c r="O7652" s="2" t="s">
        <v>869</v>
      </c>
      <c r="P7652" s="2" t="s">
        <v>870</v>
      </c>
    </row>
    <row r="7653" ht="15.75" customHeight="1">
      <c r="H7653" s="2" t="s">
        <v>35685</v>
      </c>
      <c r="I7653" s="2" t="s">
        <v>21544</v>
      </c>
      <c r="J7653" s="2" t="s">
        <v>21545</v>
      </c>
      <c r="K7653" s="2" t="s">
        <v>6046</v>
      </c>
      <c r="L7653" s="2" t="s">
        <v>31923</v>
      </c>
      <c r="M7653" s="2" t="s">
        <v>30689</v>
      </c>
      <c r="N7653" s="2" t="s">
        <v>35686</v>
      </c>
      <c r="O7653" s="2" t="s">
        <v>869</v>
      </c>
      <c r="P7653" s="2" t="s">
        <v>870</v>
      </c>
    </row>
    <row r="7654" ht="15.75" customHeight="1">
      <c r="H7654" s="2" t="s">
        <v>35687</v>
      </c>
      <c r="I7654" s="2" t="s">
        <v>35688</v>
      </c>
      <c r="J7654" s="2" t="s">
        <v>35689</v>
      </c>
      <c r="K7654" s="2" t="s">
        <v>25073</v>
      </c>
      <c r="L7654" s="2" t="s">
        <v>31923</v>
      </c>
      <c r="M7654" s="2" t="s">
        <v>35690</v>
      </c>
      <c r="N7654" s="2" t="s">
        <v>35691</v>
      </c>
      <c r="O7654" s="2" t="s">
        <v>869</v>
      </c>
      <c r="P7654" s="2" t="s">
        <v>870</v>
      </c>
    </row>
    <row r="7655" ht="15.75" customHeight="1">
      <c r="H7655" s="2" t="s">
        <v>35692</v>
      </c>
      <c r="I7655" s="2" t="s">
        <v>35693</v>
      </c>
      <c r="J7655" s="2" t="s">
        <v>35694</v>
      </c>
      <c r="K7655" s="2" t="s">
        <v>25032</v>
      </c>
      <c r="L7655" s="2" t="s">
        <v>31923</v>
      </c>
      <c r="M7655" s="2" t="s">
        <v>35695</v>
      </c>
      <c r="N7655" s="2" t="s">
        <v>35696</v>
      </c>
      <c r="O7655" s="2" t="s">
        <v>869</v>
      </c>
      <c r="P7655" s="2" t="s">
        <v>870</v>
      </c>
    </row>
    <row r="7656" ht="15.75" customHeight="1">
      <c r="H7656" s="2" t="s">
        <v>35697</v>
      </c>
      <c r="I7656" s="2" t="s">
        <v>21549</v>
      </c>
      <c r="J7656" s="2" t="s">
        <v>21550</v>
      </c>
      <c r="K7656" s="2" t="s">
        <v>31317</v>
      </c>
      <c r="L7656" s="2" t="s">
        <v>31923</v>
      </c>
      <c r="M7656" s="2" t="s">
        <v>28357</v>
      </c>
      <c r="N7656" s="2" t="s">
        <v>35698</v>
      </c>
      <c r="O7656" s="2" t="s">
        <v>869</v>
      </c>
      <c r="P7656" s="2" t="s">
        <v>870</v>
      </c>
    </row>
    <row r="7657" ht="15.75" customHeight="1">
      <c r="H7657" s="2" t="s">
        <v>35699</v>
      </c>
      <c r="I7657" s="2" t="s">
        <v>35700</v>
      </c>
      <c r="J7657" s="2" t="s">
        <v>35701</v>
      </c>
      <c r="K7657" s="2" t="s">
        <v>31344</v>
      </c>
      <c r="L7657" s="2" t="s">
        <v>31923</v>
      </c>
      <c r="M7657" s="2" t="s">
        <v>35702</v>
      </c>
      <c r="N7657" s="2" t="s">
        <v>35703</v>
      </c>
      <c r="O7657" s="2" t="s">
        <v>869</v>
      </c>
      <c r="P7657" s="2" t="s">
        <v>870</v>
      </c>
    </row>
    <row r="7658" ht="15.75" customHeight="1">
      <c r="H7658" s="2" t="s">
        <v>35704</v>
      </c>
      <c r="I7658" s="2" t="s">
        <v>35705</v>
      </c>
      <c r="J7658" s="2" t="s">
        <v>35706</v>
      </c>
      <c r="K7658" s="2" t="s">
        <v>22104</v>
      </c>
      <c r="L7658" s="2" t="s">
        <v>31923</v>
      </c>
      <c r="M7658" s="2" t="s">
        <v>35707</v>
      </c>
      <c r="N7658" s="2" t="s">
        <v>35708</v>
      </c>
      <c r="O7658" s="2" t="s">
        <v>869</v>
      </c>
      <c r="P7658" s="2" t="s">
        <v>870</v>
      </c>
    </row>
    <row r="7659" ht="15.75" customHeight="1">
      <c r="H7659" s="2" t="s">
        <v>35709</v>
      </c>
      <c r="I7659" s="2" t="s">
        <v>30692</v>
      </c>
      <c r="J7659" s="2" t="s">
        <v>30693</v>
      </c>
      <c r="K7659" s="2" t="s">
        <v>24379</v>
      </c>
      <c r="L7659" s="2" t="s">
        <v>31923</v>
      </c>
      <c r="M7659" s="2" t="s">
        <v>35710</v>
      </c>
      <c r="N7659" s="2" t="s">
        <v>35711</v>
      </c>
      <c r="O7659" s="2" t="s">
        <v>869</v>
      </c>
      <c r="P7659" s="2" t="s">
        <v>870</v>
      </c>
    </row>
    <row r="7660" ht="15.75" customHeight="1">
      <c r="H7660" s="2" t="s">
        <v>35712</v>
      </c>
      <c r="I7660" s="2" t="s">
        <v>35713</v>
      </c>
      <c r="J7660" s="2" t="s">
        <v>35714</v>
      </c>
      <c r="K7660" s="2" t="s">
        <v>24109</v>
      </c>
      <c r="L7660" s="2" t="s">
        <v>31923</v>
      </c>
      <c r="M7660" s="2" t="s">
        <v>35715</v>
      </c>
      <c r="N7660" s="2" t="s">
        <v>869</v>
      </c>
      <c r="O7660" s="2" t="s">
        <v>870</v>
      </c>
    </row>
    <row r="7661" ht="15.75" customHeight="1">
      <c r="H7661" s="2" t="s">
        <v>35716</v>
      </c>
      <c r="I7661" s="2" t="s">
        <v>28368</v>
      </c>
      <c r="J7661" s="2" t="s">
        <v>28369</v>
      </c>
      <c r="K7661" s="2" t="s">
        <v>22055</v>
      </c>
      <c r="L7661" s="2" t="s">
        <v>31923</v>
      </c>
      <c r="M7661" s="2" t="s">
        <v>28370</v>
      </c>
      <c r="N7661" s="2" t="s">
        <v>35717</v>
      </c>
      <c r="O7661" s="2" t="s">
        <v>869</v>
      </c>
      <c r="P7661" s="2" t="s">
        <v>870</v>
      </c>
    </row>
    <row r="7662" ht="15.75" customHeight="1">
      <c r="H7662" s="2" t="s">
        <v>35718</v>
      </c>
      <c r="I7662" s="2" t="s">
        <v>4724</v>
      </c>
      <c r="J7662" s="2" t="s">
        <v>4725</v>
      </c>
      <c r="K7662" s="2" t="s">
        <v>6029</v>
      </c>
      <c r="L7662" s="2" t="s">
        <v>31923</v>
      </c>
      <c r="M7662" s="2" t="s">
        <v>35719</v>
      </c>
      <c r="N7662" s="2" t="s">
        <v>35720</v>
      </c>
      <c r="O7662" s="2" t="s">
        <v>869</v>
      </c>
      <c r="P7662" s="2" t="s">
        <v>870</v>
      </c>
    </row>
    <row r="7663" ht="15.75" customHeight="1">
      <c r="H7663" s="2" t="s">
        <v>35721</v>
      </c>
      <c r="I7663" s="2" t="s">
        <v>21567</v>
      </c>
      <c r="J7663" s="2" t="s">
        <v>21568</v>
      </c>
      <c r="K7663" s="2" t="s">
        <v>31463</v>
      </c>
      <c r="L7663" s="2" t="s">
        <v>31923</v>
      </c>
      <c r="M7663" s="2" t="s">
        <v>28388</v>
      </c>
      <c r="N7663" s="2" t="s">
        <v>35722</v>
      </c>
      <c r="O7663" s="2" t="s">
        <v>869</v>
      </c>
      <c r="P7663" s="2" t="s">
        <v>870</v>
      </c>
    </row>
    <row r="7664" ht="15.75" customHeight="1">
      <c r="H7664" s="2" t="s">
        <v>35723</v>
      </c>
      <c r="I7664" s="2" t="s">
        <v>35724</v>
      </c>
      <c r="J7664" s="2" t="s">
        <v>35725</v>
      </c>
      <c r="K7664" s="2" t="s">
        <v>15890</v>
      </c>
      <c r="L7664" s="2" t="s">
        <v>31923</v>
      </c>
      <c r="M7664" s="2" t="s">
        <v>35726</v>
      </c>
      <c r="N7664" s="2" t="s">
        <v>35727</v>
      </c>
      <c r="O7664" s="2" t="s">
        <v>869</v>
      </c>
      <c r="P7664" s="2" t="s">
        <v>870</v>
      </c>
    </row>
    <row r="7665" ht="15.75" customHeight="1">
      <c r="H7665" s="2" t="s">
        <v>35728</v>
      </c>
      <c r="I7665" s="2" t="s">
        <v>766</v>
      </c>
      <c r="J7665" s="2" t="s">
        <v>767</v>
      </c>
      <c r="K7665" s="2" t="s">
        <v>6058</v>
      </c>
      <c r="L7665" s="2" t="s">
        <v>35729</v>
      </c>
      <c r="M7665" s="2" t="s">
        <v>35730</v>
      </c>
      <c r="N7665" s="2" t="s">
        <v>35731</v>
      </c>
      <c r="O7665" s="2" t="s">
        <v>869</v>
      </c>
      <c r="P7665" s="2" t="s">
        <v>870</v>
      </c>
    </row>
    <row r="7666" ht="15.75" customHeight="1">
      <c r="H7666" s="2" t="s">
        <v>35732</v>
      </c>
      <c r="I7666" s="2" t="s">
        <v>35733</v>
      </c>
      <c r="J7666" s="2" t="s">
        <v>35734</v>
      </c>
      <c r="K7666" s="2" t="s">
        <v>24269</v>
      </c>
      <c r="L7666" s="2" t="s">
        <v>31923</v>
      </c>
      <c r="M7666" s="2" t="s">
        <v>28395</v>
      </c>
      <c r="N7666" s="2" t="s">
        <v>35735</v>
      </c>
      <c r="O7666" s="2" t="s">
        <v>869</v>
      </c>
      <c r="P7666" s="2" t="s">
        <v>870</v>
      </c>
    </row>
    <row r="7667" ht="15.75" customHeight="1">
      <c r="H7667" s="2" t="s">
        <v>35736</v>
      </c>
      <c r="I7667" s="2" t="s">
        <v>4752</v>
      </c>
      <c r="J7667" s="2" t="s">
        <v>4753</v>
      </c>
      <c r="K7667" s="2" t="s">
        <v>6006</v>
      </c>
      <c r="L7667" s="2" t="s">
        <v>31923</v>
      </c>
      <c r="M7667" s="2" t="s">
        <v>28412</v>
      </c>
      <c r="N7667" s="2" t="s">
        <v>35737</v>
      </c>
      <c r="O7667" s="2" t="s">
        <v>869</v>
      </c>
      <c r="P7667" s="2" t="s">
        <v>870</v>
      </c>
    </row>
    <row r="7668" ht="15.75" customHeight="1">
      <c r="F7668" s="2" t="s">
        <v>773</v>
      </c>
      <c r="H7668" s="2" t="s">
        <v>35738</v>
      </c>
      <c r="I7668" s="2" t="s">
        <v>11084</v>
      </c>
      <c r="J7668" s="2" t="s">
        <v>11085</v>
      </c>
      <c r="K7668" s="2" t="s">
        <v>31927</v>
      </c>
      <c r="L7668" s="2" t="s">
        <v>31923</v>
      </c>
      <c r="M7668" s="2" t="s">
        <v>11087</v>
      </c>
      <c r="N7668" s="2" t="s">
        <v>35739</v>
      </c>
      <c r="O7668" s="2" t="s">
        <v>869</v>
      </c>
      <c r="P7668" s="2" t="s">
        <v>870</v>
      </c>
    </row>
    <row r="7669" ht="15.75" customHeight="1">
      <c r="H7669" s="2" t="s">
        <v>35740</v>
      </c>
      <c r="I7669" s="2" t="s">
        <v>35741</v>
      </c>
      <c r="J7669" s="2" t="s">
        <v>35742</v>
      </c>
      <c r="K7669" s="2" t="s">
        <v>31463</v>
      </c>
      <c r="L7669" s="2" t="s">
        <v>31923</v>
      </c>
      <c r="M7669" s="2" t="s">
        <v>35743</v>
      </c>
      <c r="N7669" s="2" t="s">
        <v>35744</v>
      </c>
      <c r="O7669" s="2" t="s">
        <v>869</v>
      </c>
      <c r="P7669" s="2" t="s">
        <v>870</v>
      </c>
    </row>
    <row r="7670" ht="15.75" customHeight="1">
      <c r="H7670" s="2" t="s">
        <v>35745</v>
      </c>
      <c r="I7670" s="2" t="s">
        <v>35746</v>
      </c>
      <c r="J7670" s="2" t="s">
        <v>35747</v>
      </c>
      <c r="K7670" s="2" t="s">
        <v>25009</v>
      </c>
      <c r="L7670" s="2" t="s">
        <v>31923</v>
      </c>
      <c r="M7670" s="2" t="s">
        <v>35748</v>
      </c>
      <c r="N7670" s="2" t="s">
        <v>35749</v>
      </c>
      <c r="O7670" s="2" t="s">
        <v>869</v>
      </c>
      <c r="P7670" s="2" t="s">
        <v>870</v>
      </c>
    </row>
    <row r="7671" ht="15.75" customHeight="1">
      <c r="H7671" s="2" t="s">
        <v>35750</v>
      </c>
      <c r="I7671" s="2" t="s">
        <v>11101</v>
      </c>
      <c r="J7671" s="2" t="s">
        <v>11102</v>
      </c>
      <c r="K7671" s="2" t="s">
        <v>6000</v>
      </c>
      <c r="L7671" s="2" t="s">
        <v>31923</v>
      </c>
      <c r="M7671" s="2" t="s">
        <v>11104</v>
      </c>
      <c r="N7671" s="2" t="s">
        <v>35751</v>
      </c>
      <c r="O7671" s="2" t="s">
        <v>869</v>
      </c>
      <c r="P7671" s="2" t="s">
        <v>870</v>
      </c>
    </row>
    <row r="7672" ht="15.75" customHeight="1">
      <c r="H7672" s="2" t="s">
        <v>35752</v>
      </c>
      <c r="I7672" s="2" t="s">
        <v>35753</v>
      </c>
      <c r="J7672" s="2" t="s">
        <v>35754</v>
      </c>
      <c r="K7672" s="2" t="s">
        <v>24414</v>
      </c>
      <c r="L7672" s="2" t="s">
        <v>31923</v>
      </c>
      <c r="M7672" s="2" t="s">
        <v>35755</v>
      </c>
      <c r="N7672" s="2" t="s">
        <v>35756</v>
      </c>
      <c r="O7672" s="2" t="s">
        <v>869</v>
      </c>
      <c r="P7672" s="2" t="s">
        <v>870</v>
      </c>
    </row>
    <row r="7673" ht="15.75" customHeight="1">
      <c r="H7673" s="2" t="s">
        <v>35757</v>
      </c>
      <c r="I7673" s="2" t="s">
        <v>30728</v>
      </c>
      <c r="J7673" s="2" t="s">
        <v>30729</v>
      </c>
      <c r="K7673" s="2" t="s">
        <v>15796</v>
      </c>
      <c r="L7673" s="2" t="s">
        <v>31923</v>
      </c>
      <c r="M7673" s="2" t="s">
        <v>35758</v>
      </c>
      <c r="N7673" s="2" t="s">
        <v>35759</v>
      </c>
      <c r="O7673" s="2" t="s">
        <v>869</v>
      </c>
      <c r="P7673" s="2" t="s">
        <v>870</v>
      </c>
    </row>
    <row r="7674" ht="15.75" customHeight="1">
      <c r="H7674" s="2" t="s">
        <v>35760</v>
      </c>
      <c r="I7674" s="2" t="s">
        <v>11126</v>
      </c>
      <c r="J7674" s="2" t="s">
        <v>11127</v>
      </c>
      <c r="K7674" s="2" t="s">
        <v>24578</v>
      </c>
      <c r="L7674" s="2" t="s">
        <v>31923</v>
      </c>
      <c r="M7674" s="2" t="s">
        <v>11129</v>
      </c>
      <c r="N7674" s="2" t="s">
        <v>35761</v>
      </c>
      <c r="O7674" s="2" t="s">
        <v>869</v>
      </c>
      <c r="P7674" s="2" t="s">
        <v>870</v>
      </c>
    </row>
    <row r="7675" ht="15.75" customHeight="1">
      <c r="H7675" s="2" t="s">
        <v>35762</v>
      </c>
      <c r="I7675" s="2" t="s">
        <v>3110</v>
      </c>
      <c r="J7675" s="2" t="s">
        <v>3111</v>
      </c>
      <c r="K7675" s="2" t="s">
        <v>15861</v>
      </c>
      <c r="L7675" s="2" t="s">
        <v>31923</v>
      </c>
      <c r="M7675" s="2" t="s">
        <v>11133</v>
      </c>
      <c r="N7675" s="2" t="s">
        <v>35763</v>
      </c>
      <c r="O7675" s="2" t="s">
        <v>869</v>
      </c>
      <c r="P7675" s="2" t="s">
        <v>870</v>
      </c>
    </row>
    <row r="7676" ht="15.75" customHeight="1">
      <c r="H7676" s="2" t="s">
        <v>35764</v>
      </c>
      <c r="I7676" s="2" t="s">
        <v>35765</v>
      </c>
      <c r="J7676" s="2" t="s">
        <v>35766</v>
      </c>
      <c r="K7676" s="2" t="s">
        <v>6054</v>
      </c>
      <c r="L7676" s="2" t="s">
        <v>31923</v>
      </c>
      <c r="M7676" s="2" t="s">
        <v>35767</v>
      </c>
      <c r="N7676" s="2" t="s">
        <v>35768</v>
      </c>
      <c r="O7676" s="2" t="s">
        <v>869</v>
      </c>
      <c r="P7676" s="2" t="s">
        <v>870</v>
      </c>
    </row>
    <row r="7677" ht="15.75" customHeight="1">
      <c r="H7677" s="2" t="s">
        <v>35769</v>
      </c>
      <c r="I7677" s="2" t="s">
        <v>35770</v>
      </c>
      <c r="J7677" s="2" t="s">
        <v>35771</v>
      </c>
      <c r="K7677" s="2" t="s">
        <v>6046</v>
      </c>
      <c r="L7677" s="2" t="s">
        <v>31923</v>
      </c>
      <c r="M7677" s="2" t="s">
        <v>35772</v>
      </c>
      <c r="N7677" s="2" t="s">
        <v>35773</v>
      </c>
      <c r="O7677" s="2" t="s">
        <v>869</v>
      </c>
      <c r="P7677" s="2" t="s">
        <v>870</v>
      </c>
    </row>
    <row r="7678" ht="15.75" customHeight="1">
      <c r="H7678" s="2" t="s">
        <v>35774</v>
      </c>
      <c r="I7678" s="2" t="s">
        <v>35775</v>
      </c>
      <c r="J7678" s="2" t="s">
        <v>35776</v>
      </c>
      <c r="K7678" s="2" t="s">
        <v>31317</v>
      </c>
      <c r="L7678" s="2" t="s">
        <v>31923</v>
      </c>
      <c r="M7678" s="2" t="s">
        <v>35777</v>
      </c>
      <c r="N7678" s="2" t="s">
        <v>35778</v>
      </c>
      <c r="O7678" s="2" t="s">
        <v>869</v>
      </c>
      <c r="P7678" s="2" t="s">
        <v>870</v>
      </c>
    </row>
    <row r="7679" ht="15.75" customHeight="1">
      <c r="H7679" s="2" t="s">
        <v>35779</v>
      </c>
      <c r="I7679" s="2" t="s">
        <v>35780</v>
      </c>
      <c r="J7679" s="2" t="s">
        <v>35781</v>
      </c>
      <c r="K7679" s="2" t="s">
        <v>31344</v>
      </c>
      <c r="L7679" s="2" t="s">
        <v>31923</v>
      </c>
      <c r="M7679" s="2" t="s">
        <v>35782</v>
      </c>
      <c r="N7679" s="2" t="s">
        <v>869</v>
      </c>
      <c r="O7679" s="2" t="s">
        <v>870</v>
      </c>
    </row>
    <row r="7680" ht="15.75" customHeight="1">
      <c r="H7680" s="2" t="s">
        <v>35783</v>
      </c>
      <c r="I7680" s="2" t="s">
        <v>35784</v>
      </c>
      <c r="J7680" s="2" t="s">
        <v>35785</v>
      </c>
      <c r="K7680" s="2" t="s">
        <v>24528</v>
      </c>
      <c r="L7680" s="2" t="s">
        <v>31923</v>
      </c>
      <c r="M7680" s="2" t="s">
        <v>35786</v>
      </c>
      <c r="N7680" s="2" t="s">
        <v>35787</v>
      </c>
      <c r="O7680" s="2" t="s">
        <v>869</v>
      </c>
      <c r="P7680" s="2" t="s">
        <v>870</v>
      </c>
    </row>
    <row r="7681" ht="15.75" customHeight="1">
      <c r="H7681" s="2" t="s">
        <v>35788</v>
      </c>
      <c r="I7681" s="2" t="s">
        <v>35789</v>
      </c>
      <c r="J7681" s="2" t="s">
        <v>35790</v>
      </c>
      <c r="K7681" s="2" t="s">
        <v>24102</v>
      </c>
      <c r="L7681" s="2" t="s">
        <v>31923</v>
      </c>
      <c r="M7681" s="2" t="s">
        <v>35791</v>
      </c>
      <c r="N7681" s="2" t="s">
        <v>35792</v>
      </c>
      <c r="O7681" s="2" t="s">
        <v>869</v>
      </c>
      <c r="P7681" s="2" t="s">
        <v>870</v>
      </c>
    </row>
    <row r="7682" ht="15.75" customHeight="1">
      <c r="H7682" s="2" t="s">
        <v>35793</v>
      </c>
      <c r="I7682" s="2" t="s">
        <v>775</v>
      </c>
      <c r="J7682" s="2" t="s">
        <v>776</v>
      </c>
      <c r="K7682" s="2" t="s">
        <v>22055</v>
      </c>
      <c r="L7682" s="2" t="s">
        <v>31923</v>
      </c>
      <c r="M7682" s="2" t="s">
        <v>11161</v>
      </c>
      <c r="N7682" s="2" t="s">
        <v>35794</v>
      </c>
      <c r="O7682" s="2" t="s">
        <v>869</v>
      </c>
      <c r="P7682" s="2" t="s">
        <v>870</v>
      </c>
    </row>
    <row r="7683" ht="15.75" customHeight="1">
      <c r="H7683" s="2" t="s">
        <v>35795</v>
      </c>
      <c r="I7683" s="2" t="s">
        <v>4798</v>
      </c>
      <c r="J7683" s="2" t="s">
        <v>4799</v>
      </c>
      <c r="K7683" s="2" t="s">
        <v>24679</v>
      </c>
      <c r="L7683" s="2" t="s">
        <v>31923</v>
      </c>
      <c r="M7683" s="2" t="s">
        <v>35796</v>
      </c>
      <c r="N7683" s="2" t="s">
        <v>35797</v>
      </c>
      <c r="O7683" s="2" t="s">
        <v>869</v>
      </c>
      <c r="P7683" s="2" t="s">
        <v>870</v>
      </c>
    </row>
    <row r="7684" ht="15.75" customHeight="1">
      <c r="H7684" s="2" t="s">
        <v>35798</v>
      </c>
      <c r="I7684" s="2" t="s">
        <v>11176</v>
      </c>
      <c r="J7684" s="2" t="s">
        <v>11177</v>
      </c>
      <c r="K7684" s="2" t="s">
        <v>24263</v>
      </c>
      <c r="L7684" s="2" t="s">
        <v>31923</v>
      </c>
      <c r="M7684" s="2" t="s">
        <v>11179</v>
      </c>
      <c r="N7684" s="2" t="s">
        <v>35799</v>
      </c>
      <c r="O7684" s="2" t="s">
        <v>869</v>
      </c>
      <c r="P7684" s="2" t="s">
        <v>870</v>
      </c>
    </row>
    <row r="7685" ht="15.75" customHeight="1">
      <c r="F7685" s="2" t="s">
        <v>4802</v>
      </c>
      <c r="H7685" s="2" t="s">
        <v>35800</v>
      </c>
      <c r="I7685" s="2" t="s">
        <v>35801</v>
      </c>
      <c r="J7685" s="2" t="s">
        <v>35802</v>
      </c>
      <c r="K7685" s="2" t="s">
        <v>22462</v>
      </c>
      <c r="L7685" s="2" t="s">
        <v>31923</v>
      </c>
      <c r="M7685" s="2" t="s">
        <v>35803</v>
      </c>
      <c r="N7685" s="2" t="s">
        <v>35804</v>
      </c>
      <c r="O7685" s="2" t="s">
        <v>869</v>
      </c>
      <c r="P7685" s="2" t="s">
        <v>870</v>
      </c>
    </row>
    <row r="7686" ht="15.75" customHeight="1">
      <c r="H7686" s="2" t="s">
        <v>35805</v>
      </c>
      <c r="I7686" s="2" t="s">
        <v>11182</v>
      </c>
      <c r="J7686" s="2" t="s">
        <v>11183</v>
      </c>
      <c r="K7686" s="2" t="s">
        <v>24561</v>
      </c>
      <c r="L7686" s="2" t="s">
        <v>31923</v>
      </c>
      <c r="M7686" s="2" t="s">
        <v>35806</v>
      </c>
      <c r="N7686" s="2" t="s">
        <v>35807</v>
      </c>
      <c r="O7686" s="2" t="s">
        <v>869</v>
      </c>
      <c r="P7686" s="2" t="s">
        <v>870</v>
      </c>
    </row>
    <row r="7687" ht="15.75" customHeight="1">
      <c r="H7687" s="2" t="s">
        <v>35808</v>
      </c>
      <c r="I7687" s="2" t="s">
        <v>4804</v>
      </c>
      <c r="J7687" s="2" t="s">
        <v>4805</v>
      </c>
      <c r="K7687" s="2" t="s">
        <v>24518</v>
      </c>
      <c r="L7687" s="2" t="s">
        <v>31923</v>
      </c>
      <c r="M7687" s="2" t="s">
        <v>35809</v>
      </c>
      <c r="N7687" s="2" t="s">
        <v>35810</v>
      </c>
      <c r="O7687" s="2" t="s">
        <v>869</v>
      </c>
      <c r="P7687" s="2" t="s">
        <v>870</v>
      </c>
    </row>
    <row r="7688" ht="15.75" customHeight="1">
      <c r="H7688" s="2" t="s">
        <v>35811</v>
      </c>
      <c r="I7688" s="2" t="s">
        <v>35812</v>
      </c>
      <c r="J7688" s="2" t="s">
        <v>35813</v>
      </c>
      <c r="K7688" s="2" t="s">
        <v>25009</v>
      </c>
      <c r="L7688" s="2" t="s">
        <v>31923</v>
      </c>
      <c r="M7688" s="2" t="s">
        <v>35814</v>
      </c>
      <c r="N7688" s="2" t="s">
        <v>35815</v>
      </c>
      <c r="O7688" s="2" t="s">
        <v>869</v>
      </c>
      <c r="P7688" s="2" t="s">
        <v>870</v>
      </c>
    </row>
    <row r="7689" ht="15.75" customHeight="1">
      <c r="H7689" s="2" t="s">
        <v>35816</v>
      </c>
      <c r="I7689" s="2" t="s">
        <v>4814</v>
      </c>
      <c r="J7689" s="2" t="s">
        <v>4815</v>
      </c>
      <c r="K7689" s="2" t="s">
        <v>24578</v>
      </c>
      <c r="L7689" s="2" t="s">
        <v>31923</v>
      </c>
      <c r="M7689" s="2" t="s">
        <v>26890</v>
      </c>
      <c r="N7689" s="2" t="s">
        <v>869</v>
      </c>
      <c r="O7689" s="2" t="s">
        <v>870</v>
      </c>
    </row>
    <row r="7690" ht="15.75" customHeight="1">
      <c r="H7690" s="2" t="s">
        <v>35817</v>
      </c>
      <c r="I7690" s="2" t="s">
        <v>4819</v>
      </c>
      <c r="J7690" s="2" t="s">
        <v>4820</v>
      </c>
      <c r="K7690" s="2" t="s">
        <v>6046</v>
      </c>
      <c r="L7690" s="2" t="s">
        <v>31923</v>
      </c>
      <c r="M7690" s="2" t="s">
        <v>30757</v>
      </c>
      <c r="N7690" s="2" t="s">
        <v>35818</v>
      </c>
      <c r="O7690" s="2" t="s">
        <v>869</v>
      </c>
      <c r="P7690" s="2" t="s">
        <v>870</v>
      </c>
    </row>
    <row r="7691" ht="15.75" customHeight="1">
      <c r="H7691" s="2" t="s">
        <v>35819</v>
      </c>
      <c r="I7691" s="2" t="s">
        <v>11282</v>
      </c>
      <c r="J7691" s="2" t="s">
        <v>11283</v>
      </c>
      <c r="K7691" s="2" t="s">
        <v>25073</v>
      </c>
      <c r="L7691" s="2" t="s">
        <v>31923</v>
      </c>
      <c r="M7691" s="2" t="s">
        <v>11285</v>
      </c>
      <c r="N7691" s="2" t="s">
        <v>35820</v>
      </c>
      <c r="O7691" s="2" t="s">
        <v>869</v>
      </c>
      <c r="P7691" s="2" t="s">
        <v>870</v>
      </c>
    </row>
    <row r="7692" ht="15.75" customHeight="1">
      <c r="F7692" s="2" t="s">
        <v>4825</v>
      </c>
      <c r="H7692" s="2" t="s">
        <v>35821</v>
      </c>
      <c r="I7692" s="2" t="s">
        <v>35822</v>
      </c>
      <c r="J7692" s="2" t="s">
        <v>35823</v>
      </c>
      <c r="K7692" s="2" t="s">
        <v>24014</v>
      </c>
      <c r="L7692" s="2" t="s">
        <v>31923</v>
      </c>
      <c r="M7692" s="2" t="s">
        <v>35824</v>
      </c>
      <c r="N7692" s="2" t="s">
        <v>35825</v>
      </c>
      <c r="O7692" s="2" t="s">
        <v>869</v>
      </c>
      <c r="P7692" s="2" t="s">
        <v>870</v>
      </c>
    </row>
    <row r="7693" ht="15.75" customHeight="1">
      <c r="H7693" s="2" t="s">
        <v>35826</v>
      </c>
      <c r="I7693" s="2" t="s">
        <v>11334</v>
      </c>
      <c r="J7693" s="2" t="s">
        <v>11335</v>
      </c>
      <c r="K7693" s="2" t="s">
        <v>15897</v>
      </c>
      <c r="L7693" s="2" t="s">
        <v>31923</v>
      </c>
      <c r="M7693" s="2" t="s">
        <v>35827</v>
      </c>
      <c r="N7693" s="2" t="s">
        <v>35828</v>
      </c>
      <c r="O7693" s="2" t="s">
        <v>869</v>
      </c>
      <c r="P7693" s="2" t="s">
        <v>870</v>
      </c>
    </row>
    <row r="7694" ht="15.75" customHeight="1">
      <c r="H7694" s="2" t="s">
        <v>35829</v>
      </c>
      <c r="I7694" s="2" t="s">
        <v>4832</v>
      </c>
      <c r="J7694" s="2" t="s">
        <v>4833</v>
      </c>
      <c r="K7694" s="2" t="s">
        <v>25009</v>
      </c>
      <c r="L7694" s="2" t="s">
        <v>31923</v>
      </c>
      <c r="M7694" s="2" t="s">
        <v>11341</v>
      </c>
      <c r="N7694" s="2" t="s">
        <v>35830</v>
      </c>
      <c r="O7694" s="2" t="s">
        <v>869</v>
      </c>
      <c r="P7694" s="2" t="s">
        <v>870</v>
      </c>
    </row>
    <row r="7695" ht="15.75" customHeight="1">
      <c r="H7695" s="2" t="s">
        <v>35831</v>
      </c>
      <c r="I7695" s="2" t="s">
        <v>35832</v>
      </c>
      <c r="J7695" s="2" t="s">
        <v>35833</v>
      </c>
      <c r="K7695" s="2" t="s">
        <v>15801</v>
      </c>
      <c r="L7695" s="2" t="s">
        <v>31923</v>
      </c>
      <c r="M7695" s="2" t="s">
        <v>35834</v>
      </c>
      <c r="N7695" s="2" t="s">
        <v>35835</v>
      </c>
      <c r="O7695" s="2" t="s">
        <v>869</v>
      </c>
      <c r="P7695" s="2" t="s">
        <v>870</v>
      </c>
    </row>
    <row r="7696" ht="15.75" customHeight="1">
      <c r="H7696" s="2" t="s">
        <v>35836</v>
      </c>
      <c r="I7696" s="2" t="s">
        <v>1215</v>
      </c>
      <c r="J7696" s="2" t="s">
        <v>1216</v>
      </c>
      <c r="K7696" s="2" t="s">
        <v>15796</v>
      </c>
      <c r="L7696" s="2" t="s">
        <v>31923</v>
      </c>
      <c r="M7696" s="2" t="s">
        <v>35837</v>
      </c>
      <c r="N7696" s="2" t="s">
        <v>35838</v>
      </c>
      <c r="O7696" s="2" t="s">
        <v>869</v>
      </c>
      <c r="P7696" s="2" t="s">
        <v>870</v>
      </c>
    </row>
    <row r="7697" ht="15.75" customHeight="1">
      <c r="H7697" s="2" t="s">
        <v>35839</v>
      </c>
      <c r="I7697" s="2" t="s">
        <v>11369</v>
      </c>
      <c r="J7697" s="2" t="s">
        <v>11370</v>
      </c>
      <c r="K7697" s="2" t="s">
        <v>6054</v>
      </c>
      <c r="L7697" s="2" t="s">
        <v>31923</v>
      </c>
      <c r="M7697" s="2" t="s">
        <v>11372</v>
      </c>
      <c r="N7697" s="2" t="s">
        <v>35840</v>
      </c>
      <c r="O7697" s="2" t="s">
        <v>869</v>
      </c>
      <c r="P7697" s="2" t="s">
        <v>870</v>
      </c>
    </row>
    <row r="7698" ht="15.75" customHeight="1">
      <c r="H7698" s="2" t="s">
        <v>35841</v>
      </c>
      <c r="I7698" s="2" t="s">
        <v>35842</v>
      </c>
      <c r="J7698" s="2" t="s">
        <v>35843</v>
      </c>
      <c r="K7698" s="2" t="s">
        <v>6046</v>
      </c>
      <c r="L7698" s="2" t="s">
        <v>31923</v>
      </c>
      <c r="M7698" s="2" t="s">
        <v>35844</v>
      </c>
      <c r="N7698" s="2" t="s">
        <v>869</v>
      </c>
      <c r="O7698" s="2" t="s">
        <v>870</v>
      </c>
    </row>
    <row r="7699" ht="15.75" customHeight="1">
      <c r="F7699" s="2" t="s">
        <v>782</v>
      </c>
      <c r="H7699" s="2" t="s">
        <v>35845</v>
      </c>
      <c r="I7699" s="2" t="s">
        <v>21694</v>
      </c>
      <c r="J7699" s="2" t="s">
        <v>21695</v>
      </c>
      <c r="K7699" s="2" t="s">
        <v>15779</v>
      </c>
      <c r="L7699" s="2" t="s">
        <v>31923</v>
      </c>
      <c r="M7699" s="2" t="s">
        <v>35846</v>
      </c>
      <c r="N7699" s="2" t="s">
        <v>35847</v>
      </c>
      <c r="O7699" s="2" t="s">
        <v>869</v>
      </c>
      <c r="P7699" s="2" t="s">
        <v>870</v>
      </c>
    </row>
    <row r="7700" ht="15.75" customHeight="1">
      <c r="H7700" s="2" t="s">
        <v>35848</v>
      </c>
      <c r="I7700" s="2" t="s">
        <v>35849</v>
      </c>
      <c r="J7700" s="2" t="s">
        <v>35850</v>
      </c>
      <c r="K7700" s="2" t="s">
        <v>15801</v>
      </c>
      <c r="L7700" s="2" t="s">
        <v>31923</v>
      </c>
      <c r="M7700" s="2" t="s">
        <v>35851</v>
      </c>
      <c r="N7700" s="2" t="s">
        <v>869</v>
      </c>
      <c r="O7700" s="2" t="s">
        <v>870</v>
      </c>
    </row>
    <row r="7701" ht="15.75" customHeight="1">
      <c r="H7701" s="2" t="s">
        <v>35852</v>
      </c>
      <c r="I7701" s="2" t="s">
        <v>35853</v>
      </c>
      <c r="J7701" s="2" t="s">
        <v>35854</v>
      </c>
      <c r="K7701" s="2" t="s">
        <v>24414</v>
      </c>
      <c r="L7701" s="2" t="s">
        <v>31923</v>
      </c>
      <c r="M7701" s="2" t="s">
        <v>35855</v>
      </c>
      <c r="N7701" s="2" t="s">
        <v>35856</v>
      </c>
      <c r="O7701" s="2" t="s">
        <v>869</v>
      </c>
      <c r="P7701" s="2" t="s">
        <v>870</v>
      </c>
    </row>
    <row r="7702" ht="15.75" customHeight="1">
      <c r="H7702" s="2" t="s">
        <v>35857</v>
      </c>
      <c r="I7702" s="2" t="s">
        <v>31936</v>
      </c>
      <c r="J7702" s="2" t="s">
        <v>31937</v>
      </c>
      <c r="K7702" s="2" t="s">
        <v>15796</v>
      </c>
      <c r="L7702" s="2" t="s">
        <v>31923</v>
      </c>
      <c r="M7702" s="2" t="s">
        <v>28486</v>
      </c>
      <c r="N7702" s="2" t="s">
        <v>35858</v>
      </c>
      <c r="O7702" s="2" t="s">
        <v>869</v>
      </c>
      <c r="P7702" s="2" t="s">
        <v>870</v>
      </c>
    </row>
    <row r="7703" ht="15.75" customHeight="1">
      <c r="H7703" s="2" t="s">
        <v>35859</v>
      </c>
      <c r="I7703" s="2" t="s">
        <v>35860</v>
      </c>
      <c r="J7703" s="2" t="s">
        <v>35861</v>
      </c>
      <c r="K7703" s="2" t="s">
        <v>6046</v>
      </c>
      <c r="L7703" s="2" t="s">
        <v>31923</v>
      </c>
      <c r="M7703" s="2" t="s">
        <v>35862</v>
      </c>
      <c r="N7703" s="2" t="s">
        <v>35863</v>
      </c>
      <c r="O7703" s="2" t="s">
        <v>869</v>
      </c>
      <c r="P7703" s="2" t="s">
        <v>870</v>
      </c>
    </row>
    <row r="7704" ht="15.75" customHeight="1">
      <c r="H7704" s="2" t="s">
        <v>35864</v>
      </c>
      <c r="I7704" s="2" t="s">
        <v>4885</v>
      </c>
      <c r="J7704" s="2" t="s">
        <v>4886</v>
      </c>
      <c r="K7704" s="2" t="s">
        <v>24528</v>
      </c>
      <c r="L7704" s="2" t="s">
        <v>31923</v>
      </c>
      <c r="M7704" s="2" t="s">
        <v>35865</v>
      </c>
      <c r="N7704" s="2" t="s">
        <v>35866</v>
      </c>
      <c r="O7704" s="2" t="s">
        <v>869</v>
      </c>
      <c r="P7704" s="2" t="s">
        <v>870</v>
      </c>
    </row>
    <row r="7705" ht="15.75" customHeight="1">
      <c r="H7705" s="2" t="s">
        <v>35867</v>
      </c>
      <c r="I7705" s="2" t="s">
        <v>21732</v>
      </c>
      <c r="J7705" s="2" t="s">
        <v>21733</v>
      </c>
      <c r="K7705" s="2" t="s">
        <v>22104</v>
      </c>
      <c r="L7705" s="2" t="s">
        <v>31923</v>
      </c>
      <c r="M7705" s="2" t="s">
        <v>35868</v>
      </c>
      <c r="N7705" s="2" t="s">
        <v>869</v>
      </c>
      <c r="O7705" s="2" t="s">
        <v>870</v>
      </c>
    </row>
    <row r="7706" ht="15.75" customHeight="1">
      <c r="H7706" s="2" t="s">
        <v>35869</v>
      </c>
      <c r="I7706" s="2" t="s">
        <v>35870</v>
      </c>
      <c r="J7706" s="2" t="s">
        <v>35871</v>
      </c>
      <c r="K7706" s="2" t="s">
        <v>15868</v>
      </c>
      <c r="L7706" s="2" t="s">
        <v>31923</v>
      </c>
      <c r="M7706" s="2" t="s">
        <v>35872</v>
      </c>
      <c r="N7706" s="2" t="s">
        <v>35873</v>
      </c>
      <c r="O7706" s="2" t="s">
        <v>869</v>
      </c>
      <c r="P7706" s="2" t="s">
        <v>870</v>
      </c>
    </row>
    <row r="7707" ht="15.75" customHeight="1">
      <c r="H7707" s="2" t="s">
        <v>35874</v>
      </c>
      <c r="I7707" s="2" t="s">
        <v>35875</v>
      </c>
      <c r="J7707" s="2" t="s">
        <v>35876</v>
      </c>
      <c r="K7707" s="2" t="s">
        <v>22055</v>
      </c>
      <c r="L7707" s="2" t="s">
        <v>31923</v>
      </c>
      <c r="M7707" s="2" t="s">
        <v>35877</v>
      </c>
      <c r="N7707" s="2" t="s">
        <v>35878</v>
      </c>
      <c r="O7707" s="2" t="s">
        <v>869</v>
      </c>
      <c r="P7707" s="2" t="s">
        <v>870</v>
      </c>
    </row>
    <row r="7708" ht="15.75" customHeight="1">
      <c r="H7708" s="2" t="s">
        <v>35879</v>
      </c>
      <c r="I7708" s="2" t="s">
        <v>35880</v>
      </c>
      <c r="J7708" s="2" t="s">
        <v>35881</v>
      </c>
      <c r="K7708" s="2" t="s">
        <v>6019</v>
      </c>
      <c r="L7708" s="2" t="s">
        <v>31923</v>
      </c>
      <c r="M7708" s="2" t="s">
        <v>35882</v>
      </c>
      <c r="N7708" s="2" t="s">
        <v>35883</v>
      </c>
      <c r="O7708" s="2" t="s">
        <v>869</v>
      </c>
      <c r="P7708" s="2" t="s">
        <v>870</v>
      </c>
    </row>
    <row r="7709" ht="15.75" customHeight="1">
      <c r="H7709" s="2" t="s">
        <v>35884</v>
      </c>
      <c r="I7709" s="2" t="s">
        <v>35885</v>
      </c>
      <c r="J7709" s="2" t="s">
        <v>35886</v>
      </c>
      <c r="K7709" s="2" t="s">
        <v>24263</v>
      </c>
      <c r="L7709" s="2" t="s">
        <v>31923</v>
      </c>
      <c r="M7709" s="2" t="s">
        <v>35887</v>
      </c>
      <c r="N7709" s="2" t="s">
        <v>35888</v>
      </c>
      <c r="O7709" s="2" t="s">
        <v>869</v>
      </c>
      <c r="P7709" s="2" t="s">
        <v>870</v>
      </c>
    </row>
    <row r="7710" ht="15.75" customHeight="1">
      <c r="H7710" s="2" t="s">
        <v>35889</v>
      </c>
      <c r="I7710" s="2" t="s">
        <v>35890</v>
      </c>
      <c r="J7710" s="2" t="s">
        <v>35891</v>
      </c>
      <c r="K7710" s="2" t="s">
        <v>25128</v>
      </c>
      <c r="L7710" s="2" t="s">
        <v>31923</v>
      </c>
      <c r="M7710" s="2" t="s">
        <v>35892</v>
      </c>
      <c r="N7710" s="2" t="s">
        <v>35893</v>
      </c>
      <c r="O7710" s="2" t="s">
        <v>869</v>
      </c>
      <c r="P7710" s="2" t="s">
        <v>870</v>
      </c>
    </row>
    <row r="7711" ht="15.75" customHeight="1">
      <c r="H7711" s="2" t="s">
        <v>35894</v>
      </c>
      <c r="I7711" s="2" t="s">
        <v>35895</v>
      </c>
      <c r="J7711" s="2" t="s">
        <v>35896</v>
      </c>
      <c r="K7711" s="2" t="s">
        <v>25133</v>
      </c>
      <c r="L7711" s="2" t="s">
        <v>31923</v>
      </c>
      <c r="M7711" s="2" t="s">
        <v>35897</v>
      </c>
      <c r="N7711" s="2" t="s">
        <v>35898</v>
      </c>
      <c r="O7711" s="2" t="s">
        <v>869</v>
      </c>
      <c r="P7711" s="2" t="s">
        <v>870</v>
      </c>
    </row>
    <row r="7712" ht="15.75" customHeight="1">
      <c r="H7712" s="2" t="s">
        <v>35899</v>
      </c>
      <c r="I7712" s="2" t="s">
        <v>35900</v>
      </c>
      <c r="J7712" s="2" t="s">
        <v>35901</v>
      </c>
      <c r="K7712" s="2" t="s">
        <v>35902</v>
      </c>
      <c r="L7712" s="2" t="s">
        <v>31923</v>
      </c>
      <c r="M7712" s="2" t="s">
        <v>35903</v>
      </c>
      <c r="N7712" s="2" t="s">
        <v>35904</v>
      </c>
      <c r="O7712" s="2" t="s">
        <v>869</v>
      </c>
      <c r="P7712" s="2" t="s">
        <v>870</v>
      </c>
    </row>
    <row r="7713" ht="15.75" customHeight="1">
      <c r="H7713" s="2" t="s">
        <v>35905</v>
      </c>
      <c r="I7713" s="2" t="s">
        <v>35906</v>
      </c>
      <c r="J7713" s="2" t="s">
        <v>35907</v>
      </c>
      <c r="K7713" s="2" t="s">
        <v>32461</v>
      </c>
      <c r="L7713" s="2" t="s">
        <v>31923</v>
      </c>
      <c r="M7713" s="2" t="s">
        <v>35908</v>
      </c>
      <c r="N7713" s="2" t="s">
        <v>35909</v>
      </c>
      <c r="O7713" s="2" t="s">
        <v>869</v>
      </c>
      <c r="P7713" s="2" t="s">
        <v>870</v>
      </c>
    </row>
    <row r="7714" ht="15.75" customHeight="1">
      <c r="H7714" s="2" t="s">
        <v>35910</v>
      </c>
      <c r="I7714" s="2" t="s">
        <v>4923</v>
      </c>
      <c r="J7714" s="2" t="s">
        <v>4924</v>
      </c>
      <c r="K7714" s="2" t="s">
        <v>25265</v>
      </c>
      <c r="L7714" s="2" t="s">
        <v>31923</v>
      </c>
      <c r="M7714" s="2" t="s">
        <v>35911</v>
      </c>
      <c r="N7714" s="2" t="s">
        <v>35912</v>
      </c>
      <c r="O7714" s="2" t="s">
        <v>869</v>
      </c>
      <c r="P7714" s="2" t="s">
        <v>870</v>
      </c>
    </row>
    <row r="7715" ht="15.75" customHeight="1">
      <c r="H7715" s="2" t="s">
        <v>35913</v>
      </c>
      <c r="I7715" s="2" t="s">
        <v>784</v>
      </c>
      <c r="J7715" s="2" t="s">
        <v>785</v>
      </c>
      <c r="K7715" s="2" t="s">
        <v>31897</v>
      </c>
      <c r="L7715" s="2" t="s">
        <v>31923</v>
      </c>
      <c r="M7715" s="2" t="s">
        <v>28486</v>
      </c>
      <c r="N7715" s="2" t="s">
        <v>35914</v>
      </c>
      <c r="O7715" s="2" t="s">
        <v>869</v>
      </c>
      <c r="P7715" s="2" t="s">
        <v>870</v>
      </c>
    </row>
    <row r="7716" ht="15.75" customHeight="1">
      <c r="H7716" s="2" t="s">
        <v>35915</v>
      </c>
      <c r="I7716" s="2" t="s">
        <v>35916</v>
      </c>
      <c r="J7716" s="2" t="s">
        <v>35917</v>
      </c>
      <c r="K7716" s="2" t="s">
        <v>6010</v>
      </c>
      <c r="L7716" s="2" t="s">
        <v>31923</v>
      </c>
      <c r="M7716" s="2" t="s">
        <v>35918</v>
      </c>
      <c r="N7716" s="2" t="s">
        <v>35919</v>
      </c>
      <c r="O7716" s="2" t="s">
        <v>869</v>
      </c>
      <c r="P7716" s="2" t="s">
        <v>870</v>
      </c>
    </row>
    <row r="7717" ht="15.75" customHeight="1">
      <c r="H7717" s="2" t="s">
        <v>35920</v>
      </c>
      <c r="I7717" s="2" t="s">
        <v>29856</v>
      </c>
      <c r="J7717" s="2" t="s">
        <v>29857</v>
      </c>
      <c r="K7717" s="2" t="s">
        <v>32271</v>
      </c>
      <c r="L7717" s="2" t="s">
        <v>31923</v>
      </c>
      <c r="M7717" s="2" t="s">
        <v>35921</v>
      </c>
      <c r="N7717" s="2" t="s">
        <v>35922</v>
      </c>
      <c r="O7717" s="2" t="s">
        <v>869</v>
      </c>
      <c r="P7717" s="2" t="s">
        <v>870</v>
      </c>
    </row>
    <row r="7718" ht="15.75" customHeight="1">
      <c r="H7718" s="2" t="s">
        <v>35923</v>
      </c>
      <c r="I7718" s="2" t="s">
        <v>21788</v>
      </c>
      <c r="J7718" s="2" t="s">
        <v>21789</v>
      </c>
      <c r="K7718" s="2" t="s">
        <v>24164</v>
      </c>
      <c r="L7718" s="2" t="s">
        <v>31923</v>
      </c>
      <c r="M7718" s="2" t="s">
        <v>28491</v>
      </c>
      <c r="N7718" s="2" t="s">
        <v>35924</v>
      </c>
      <c r="O7718" s="2" t="s">
        <v>869</v>
      </c>
      <c r="P7718" s="2" t="s">
        <v>870</v>
      </c>
    </row>
    <row r="7719" ht="15.75" customHeight="1">
      <c r="H7719" s="2" t="s">
        <v>35925</v>
      </c>
      <c r="I7719" s="2" t="s">
        <v>4946</v>
      </c>
      <c r="J7719" s="2" t="s">
        <v>4947</v>
      </c>
      <c r="K7719" s="2" t="s">
        <v>31624</v>
      </c>
      <c r="L7719" s="2" t="s">
        <v>31923</v>
      </c>
      <c r="M7719" s="2" t="s">
        <v>35926</v>
      </c>
      <c r="N7719" s="2" t="s">
        <v>35927</v>
      </c>
      <c r="O7719" s="2" t="s">
        <v>869</v>
      </c>
      <c r="P7719" s="2" t="s">
        <v>870</v>
      </c>
    </row>
    <row r="7720" ht="15.75" customHeight="1">
      <c r="F7720" s="2" t="s">
        <v>791</v>
      </c>
      <c r="H7720" s="2" t="s">
        <v>35928</v>
      </c>
      <c r="I7720" s="2" t="s">
        <v>35929</v>
      </c>
      <c r="J7720" s="2" t="s">
        <v>35930</v>
      </c>
      <c r="K7720" s="2" t="s">
        <v>24518</v>
      </c>
      <c r="L7720" s="2" t="s">
        <v>31923</v>
      </c>
      <c r="M7720" s="2" t="s">
        <v>35931</v>
      </c>
      <c r="N7720" s="2" t="s">
        <v>35932</v>
      </c>
      <c r="O7720" s="2" t="s">
        <v>869</v>
      </c>
      <c r="P7720" s="2" t="s">
        <v>870</v>
      </c>
    </row>
    <row r="7721" ht="15.75" customHeight="1">
      <c r="H7721" s="2" t="s">
        <v>35933</v>
      </c>
      <c r="I7721" s="2" t="s">
        <v>793</v>
      </c>
      <c r="J7721" s="2" t="s">
        <v>794</v>
      </c>
      <c r="K7721" s="2" t="s">
        <v>6025</v>
      </c>
      <c r="L7721" s="2" t="s">
        <v>31923</v>
      </c>
      <c r="M7721" s="2" t="s">
        <v>11400</v>
      </c>
      <c r="N7721" s="2" t="s">
        <v>35934</v>
      </c>
      <c r="O7721" s="2" t="s">
        <v>869</v>
      </c>
      <c r="P7721" s="2" t="s">
        <v>870</v>
      </c>
    </row>
    <row r="7722" ht="15.75" customHeight="1">
      <c r="H7722" s="2" t="s">
        <v>35935</v>
      </c>
      <c r="I7722" s="2" t="s">
        <v>35936</v>
      </c>
      <c r="J7722" s="2" t="s">
        <v>35937</v>
      </c>
      <c r="K7722" s="2" t="s">
        <v>31869</v>
      </c>
      <c r="L7722" s="2" t="s">
        <v>31923</v>
      </c>
      <c r="M7722" s="2" t="s">
        <v>30822</v>
      </c>
      <c r="N7722" s="2" t="s">
        <v>35938</v>
      </c>
      <c r="O7722" s="2" t="s">
        <v>869</v>
      </c>
      <c r="P7722" s="2" t="s">
        <v>870</v>
      </c>
    </row>
    <row r="7723" ht="15.75" customHeight="1">
      <c r="H7723" s="2" t="s">
        <v>35939</v>
      </c>
      <c r="I7723" s="2" t="s">
        <v>4959</v>
      </c>
      <c r="J7723" s="2" t="s">
        <v>4960</v>
      </c>
      <c r="K7723" s="2" t="s">
        <v>24665</v>
      </c>
      <c r="L7723" s="2" t="s">
        <v>31923</v>
      </c>
      <c r="M7723" s="2" t="s">
        <v>11410</v>
      </c>
      <c r="N7723" s="2" t="s">
        <v>869</v>
      </c>
      <c r="O7723" s="2" t="s">
        <v>870</v>
      </c>
    </row>
    <row r="7724" ht="15.75" customHeight="1">
      <c r="H7724" s="2" t="s">
        <v>35940</v>
      </c>
      <c r="I7724" s="2" t="s">
        <v>35941</v>
      </c>
      <c r="J7724" s="2" t="s">
        <v>35942</v>
      </c>
      <c r="K7724" s="2" t="s">
        <v>5995</v>
      </c>
      <c r="L7724" s="2" t="s">
        <v>31923</v>
      </c>
      <c r="M7724" s="2" t="s">
        <v>35943</v>
      </c>
      <c r="N7724" s="2" t="s">
        <v>35944</v>
      </c>
      <c r="O7724" s="2" t="s">
        <v>869</v>
      </c>
      <c r="P7724" s="2" t="s">
        <v>870</v>
      </c>
    </row>
    <row r="7725" ht="15.75" customHeight="1">
      <c r="H7725" s="2" t="s">
        <v>35945</v>
      </c>
      <c r="I7725" s="2" t="s">
        <v>11419</v>
      </c>
      <c r="J7725" s="2" t="s">
        <v>11420</v>
      </c>
      <c r="K7725" s="2" t="s">
        <v>25009</v>
      </c>
      <c r="L7725" s="2" t="s">
        <v>31923</v>
      </c>
      <c r="M7725" s="2" t="s">
        <v>11422</v>
      </c>
      <c r="N7725" s="2" t="s">
        <v>35946</v>
      </c>
      <c r="O7725" s="2" t="s">
        <v>869</v>
      </c>
      <c r="P7725" s="2" t="s">
        <v>870</v>
      </c>
    </row>
    <row r="7726" ht="15.75" customHeight="1">
      <c r="H7726" s="2" t="s">
        <v>35947</v>
      </c>
      <c r="I7726" s="2" t="s">
        <v>7306</v>
      </c>
      <c r="J7726" s="2" t="s">
        <v>7307</v>
      </c>
      <c r="K7726" s="2" t="s">
        <v>24414</v>
      </c>
      <c r="L7726" s="2" t="s">
        <v>31923</v>
      </c>
      <c r="M7726" s="2" t="s">
        <v>11444</v>
      </c>
      <c r="N7726" s="2" t="s">
        <v>35948</v>
      </c>
      <c r="O7726" s="2" t="s">
        <v>869</v>
      </c>
      <c r="P7726" s="2" t="s">
        <v>870</v>
      </c>
    </row>
    <row r="7727" ht="15.75" customHeight="1">
      <c r="H7727" s="2" t="s">
        <v>35949</v>
      </c>
      <c r="I7727" s="2" t="s">
        <v>20229</v>
      </c>
      <c r="J7727" s="2" t="s">
        <v>20230</v>
      </c>
      <c r="K7727" s="2" t="s">
        <v>6050</v>
      </c>
      <c r="L7727" s="2" t="s">
        <v>31923</v>
      </c>
      <c r="M7727" s="2" t="s">
        <v>35950</v>
      </c>
      <c r="N7727" s="2" t="s">
        <v>869</v>
      </c>
      <c r="O7727" s="2" t="s">
        <v>870</v>
      </c>
    </row>
    <row r="7728" ht="15.75" customHeight="1">
      <c r="H7728" s="2" t="s">
        <v>35951</v>
      </c>
      <c r="I7728" s="2" t="s">
        <v>35952</v>
      </c>
      <c r="J7728" s="2" t="s">
        <v>35953</v>
      </c>
      <c r="K7728" s="2" t="s">
        <v>6046</v>
      </c>
      <c r="L7728" s="2" t="s">
        <v>31923</v>
      </c>
      <c r="M7728" s="2" t="s">
        <v>35954</v>
      </c>
      <c r="N7728" s="2" t="s">
        <v>35955</v>
      </c>
      <c r="O7728" s="2" t="s">
        <v>869</v>
      </c>
      <c r="P7728" s="2" t="s">
        <v>870</v>
      </c>
    </row>
    <row r="7729" ht="15.75" customHeight="1">
      <c r="H7729" s="2" t="s">
        <v>35956</v>
      </c>
      <c r="I7729" s="2" t="s">
        <v>35957</v>
      </c>
      <c r="J7729" s="2" t="s">
        <v>35957</v>
      </c>
      <c r="K7729" s="2" t="s">
        <v>906</v>
      </c>
    </row>
    <row r="7730" ht="15.75" customHeight="1">
      <c r="H7730" s="2" t="s">
        <v>35958</v>
      </c>
      <c r="I7730" s="2" t="s">
        <v>4969</v>
      </c>
      <c r="J7730" s="2" t="s">
        <v>4970</v>
      </c>
      <c r="K7730" s="2" t="s">
        <v>32406</v>
      </c>
      <c r="L7730" s="2" t="s">
        <v>31923</v>
      </c>
      <c r="M7730" s="2" t="s">
        <v>30822</v>
      </c>
      <c r="N7730" s="2" t="s">
        <v>35959</v>
      </c>
      <c r="O7730" s="2" t="s">
        <v>869</v>
      </c>
      <c r="P7730" s="2" t="s">
        <v>870</v>
      </c>
    </row>
    <row r="7731" ht="15.75" customHeight="1">
      <c r="H7731" s="2" t="s">
        <v>35960</v>
      </c>
      <c r="I7731" s="2" t="s">
        <v>16434</v>
      </c>
      <c r="J7731" s="2" t="s">
        <v>16435</v>
      </c>
      <c r="K7731" s="2" t="s">
        <v>24679</v>
      </c>
      <c r="L7731" s="2" t="s">
        <v>31923</v>
      </c>
      <c r="M7731" s="2" t="s">
        <v>35961</v>
      </c>
      <c r="N7731" s="2" t="s">
        <v>35932</v>
      </c>
      <c r="O7731" s="2" t="s">
        <v>869</v>
      </c>
      <c r="P7731" s="2" t="s">
        <v>870</v>
      </c>
    </row>
    <row r="7732" ht="15.75" customHeight="1">
      <c r="F7732" s="2" t="s">
        <v>800</v>
      </c>
      <c r="H7732" s="2" t="s">
        <v>35962</v>
      </c>
      <c r="I7732" s="2" t="s">
        <v>35963</v>
      </c>
      <c r="J7732" s="2" t="s">
        <v>35964</v>
      </c>
      <c r="K7732" s="2" t="s">
        <v>31927</v>
      </c>
      <c r="L7732" s="2" t="s">
        <v>31923</v>
      </c>
      <c r="M7732" s="2" t="s">
        <v>35965</v>
      </c>
      <c r="N7732" s="2" t="s">
        <v>35966</v>
      </c>
      <c r="O7732" s="2" t="s">
        <v>869</v>
      </c>
      <c r="P7732" s="2" t="s">
        <v>870</v>
      </c>
    </row>
    <row r="7733" ht="15.75" customHeight="1">
      <c r="H7733" s="2" t="s">
        <v>35967</v>
      </c>
      <c r="I7733" s="2" t="s">
        <v>35968</v>
      </c>
      <c r="J7733" s="2" t="s">
        <v>35969</v>
      </c>
      <c r="K7733" s="2" t="s">
        <v>15779</v>
      </c>
      <c r="L7733" s="2" t="s">
        <v>31923</v>
      </c>
      <c r="M7733" s="2" t="s">
        <v>35970</v>
      </c>
      <c r="N7733" s="2" t="s">
        <v>35971</v>
      </c>
      <c r="O7733" s="2" t="s">
        <v>869</v>
      </c>
      <c r="P7733" s="2" t="s">
        <v>870</v>
      </c>
    </row>
    <row r="7734" ht="15.75" customHeight="1">
      <c r="H7734" s="2" t="s">
        <v>35972</v>
      </c>
      <c r="I7734" s="2" t="s">
        <v>4984</v>
      </c>
      <c r="J7734" s="2" t="s">
        <v>4985</v>
      </c>
      <c r="K7734" s="2" t="s">
        <v>24014</v>
      </c>
      <c r="L7734" s="2" t="s">
        <v>31923</v>
      </c>
      <c r="M7734" s="2" t="s">
        <v>35973</v>
      </c>
      <c r="N7734" s="2" t="s">
        <v>35974</v>
      </c>
      <c r="O7734" s="2" t="s">
        <v>869</v>
      </c>
      <c r="P7734" s="2" t="s">
        <v>870</v>
      </c>
    </row>
    <row r="7735" ht="15.75" customHeight="1">
      <c r="H7735" s="2" t="s">
        <v>35975</v>
      </c>
      <c r="I7735" s="2" t="s">
        <v>4994</v>
      </c>
      <c r="J7735" s="2" t="s">
        <v>4995</v>
      </c>
      <c r="K7735" s="2" t="s">
        <v>15897</v>
      </c>
      <c r="L7735" s="2" t="s">
        <v>31923</v>
      </c>
      <c r="M7735" s="2" t="s">
        <v>35976</v>
      </c>
      <c r="N7735" s="2" t="s">
        <v>35977</v>
      </c>
      <c r="O7735" s="2" t="s">
        <v>869</v>
      </c>
      <c r="P7735" s="2" t="s">
        <v>870</v>
      </c>
    </row>
    <row r="7736" ht="15.75" customHeight="1">
      <c r="H7736" s="2" t="s">
        <v>35978</v>
      </c>
      <c r="I7736" s="2" t="s">
        <v>11561</v>
      </c>
      <c r="J7736" s="2" t="s">
        <v>11562</v>
      </c>
      <c r="K7736" s="2" t="s">
        <v>15801</v>
      </c>
      <c r="L7736" s="2" t="s">
        <v>31923</v>
      </c>
      <c r="M7736" s="2" t="s">
        <v>35979</v>
      </c>
      <c r="N7736" s="2" t="s">
        <v>35980</v>
      </c>
      <c r="O7736" s="2" t="s">
        <v>869</v>
      </c>
      <c r="P7736" s="2" t="s">
        <v>870</v>
      </c>
    </row>
    <row r="7737" ht="15.75" customHeight="1">
      <c r="H7737" s="2" t="s">
        <v>35981</v>
      </c>
      <c r="I7737" s="2" t="s">
        <v>11567</v>
      </c>
      <c r="J7737" s="2" t="s">
        <v>11568</v>
      </c>
      <c r="K7737" s="2" t="s">
        <v>25073</v>
      </c>
      <c r="L7737" s="2" t="s">
        <v>31923</v>
      </c>
      <c r="M7737" s="2" t="s">
        <v>35982</v>
      </c>
      <c r="N7737" s="2" t="s">
        <v>35983</v>
      </c>
      <c r="O7737" s="2" t="s">
        <v>869</v>
      </c>
      <c r="P7737" s="2" t="s">
        <v>870</v>
      </c>
    </row>
    <row r="7738" ht="15.75" customHeight="1">
      <c r="H7738" s="2" t="s">
        <v>35984</v>
      </c>
      <c r="I7738" s="2" t="s">
        <v>18891</v>
      </c>
      <c r="J7738" s="2" t="s">
        <v>18892</v>
      </c>
      <c r="K7738" s="2" t="s">
        <v>24940</v>
      </c>
      <c r="L7738" s="2" t="s">
        <v>31923</v>
      </c>
      <c r="M7738" s="2" t="s">
        <v>35985</v>
      </c>
      <c r="N7738" s="2" t="s">
        <v>35986</v>
      </c>
      <c r="O7738" s="2" t="s">
        <v>869</v>
      </c>
      <c r="P7738" s="2" t="s">
        <v>870</v>
      </c>
    </row>
    <row r="7739" ht="15.75" customHeight="1">
      <c r="H7739" s="2" t="s">
        <v>35987</v>
      </c>
      <c r="I7739" s="2" t="s">
        <v>5378</v>
      </c>
      <c r="J7739" s="2" t="s">
        <v>5379</v>
      </c>
      <c r="K7739" s="2" t="s">
        <v>22104</v>
      </c>
      <c r="L7739" s="2" t="s">
        <v>31923</v>
      </c>
      <c r="M7739" s="2" t="s">
        <v>35988</v>
      </c>
      <c r="N7739" s="2" t="s">
        <v>32356</v>
      </c>
      <c r="O7739" s="2" t="s">
        <v>869</v>
      </c>
      <c r="P7739" s="2" t="s">
        <v>870</v>
      </c>
    </row>
    <row r="7740" ht="15.75" customHeight="1">
      <c r="H7740" s="2" t="s">
        <v>35989</v>
      </c>
      <c r="I7740" s="2" t="s">
        <v>31936</v>
      </c>
      <c r="J7740" s="2" t="s">
        <v>31937</v>
      </c>
      <c r="K7740" s="2" t="s">
        <v>15868</v>
      </c>
      <c r="L7740" s="2" t="s">
        <v>31923</v>
      </c>
      <c r="M7740" s="2" t="s">
        <v>35990</v>
      </c>
      <c r="N7740" s="2" t="s">
        <v>35991</v>
      </c>
      <c r="O7740" s="2" t="s">
        <v>869</v>
      </c>
      <c r="P7740" s="2" t="s">
        <v>870</v>
      </c>
    </row>
    <row r="7741" ht="15.75" customHeight="1">
      <c r="H7741" s="2" t="s">
        <v>35992</v>
      </c>
      <c r="I7741" s="2" t="s">
        <v>35993</v>
      </c>
      <c r="J7741" s="2" t="s">
        <v>35994</v>
      </c>
      <c r="K7741" s="2" t="s">
        <v>24379</v>
      </c>
      <c r="L7741" s="2" t="s">
        <v>31923</v>
      </c>
      <c r="M7741" s="2" t="s">
        <v>35995</v>
      </c>
      <c r="N7741" s="2" t="s">
        <v>35996</v>
      </c>
      <c r="O7741" s="2" t="s">
        <v>869</v>
      </c>
      <c r="P7741" s="2" t="s">
        <v>870</v>
      </c>
    </row>
    <row r="7742" ht="15.75" customHeight="1">
      <c r="H7742" s="2" t="s">
        <v>35997</v>
      </c>
      <c r="I7742" s="2" t="s">
        <v>31437</v>
      </c>
      <c r="J7742" s="2" t="s">
        <v>31438</v>
      </c>
      <c r="K7742" s="2" t="s">
        <v>24109</v>
      </c>
      <c r="L7742" s="2" t="s">
        <v>35998</v>
      </c>
      <c r="M7742" s="2" t="s">
        <v>35999</v>
      </c>
      <c r="N7742" s="2" t="s">
        <v>36000</v>
      </c>
      <c r="O7742" s="2" t="s">
        <v>869</v>
      </c>
      <c r="P7742" s="2" t="s">
        <v>870</v>
      </c>
    </row>
    <row r="7743" ht="15.75" customHeight="1">
      <c r="H7743" s="2" t="s">
        <v>36001</v>
      </c>
      <c r="I7743" s="2" t="s">
        <v>5022</v>
      </c>
      <c r="J7743" s="2" t="s">
        <v>5023</v>
      </c>
      <c r="K7743" s="2" t="s">
        <v>24263</v>
      </c>
      <c r="L7743" s="2" t="s">
        <v>31923</v>
      </c>
      <c r="M7743" s="2" t="s">
        <v>14270</v>
      </c>
      <c r="N7743" s="2" t="s">
        <v>36002</v>
      </c>
      <c r="O7743" s="2" t="s">
        <v>869</v>
      </c>
      <c r="P7743" s="2" t="s">
        <v>870</v>
      </c>
    </row>
    <row r="7744" ht="15.75" customHeight="1">
      <c r="H7744" s="2" t="s">
        <v>36003</v>
      </c>
      <c r="I7744" s="2" t="s">
        <v>5027</v>
      </c>
      <c r="J7744" s="2" t="s">
        <v>5028</v>
      </c>
      <c r="K7744" s="2" t="s">
        <v>31463</v>
      </c>
      <c r="L7744" s="2" t="s">
        <v>31923</v>
      </c>
      <c r="M7744" s="2" t="s">
        <v>36004</v>
      </c>
      <c r="N7744" s="2" t="s">
        <v>36005</v>
      </c>
      <c r="O7744" s="2" t="s">
        <v>869</v>
      </c>
      <c r="P7744" s="2" t="s">
        <v>870</v>
      </c>
    </row>
    <row r="7745" ht="15.75" customHeight="1">
      <c r="H7745" s="2" t="s">
        <v>36006</v>
      </c>
      <c r="I7745" s="2" t="s">
        <v>36007</v>
      </c>
      <c r="J7745" s="2" t="s">
        <v>36008</v>
      </c>
      <c r="K7745" s="2" t="s">
        <v>25128</v>
      </c>
      <c r="L7745" s="2" t="s">
        <v>31923</v>
      </c>
      <c r="M7745" s="2" t="s">
        <v>36004</v>
      </c>
      <c r="N7745" s="2" t="s">
        <v>36009</v>
      </c>
      <c r="O7745" s="2" t="s">
        <v>869</v>
      </c>
      <c r="P7745" s="2" t="s">
        <v>870</v>
      </c>
    </row>
    <row r="7746" ht="15.75" customHeight="1">
      <c r="H7746" s="2" t="s">
        <v>36010</v>
      </c>
      <c r="I7746" s="2" t="s">
        <v>5047</v>
      </c>
      <c r="J7746" s="2" t="s">
        <v>5048</v>
      </c>
      <c r="K7746" s="2" t="s">
        <v>32142</v>
      </c>
      <c r="L7746" s="2" t="s">
        <v>31923</v>
      </c>
      <c r="M7746" s="2" t="s">
        <v>11615</v>
      </c>
      <c r="N7746" s="2" t="s">
        <v>36011</v>
      </c>
      <c r="O7746" s="2" t="s">
        <v>869</v>
      </c>
      <c r="P7746" s="2" t="s">
        <v>870</v>
      </c>
    </row>
    <row r="7747" ht="15.75" customHeight="1">
      <c r="H7747" s="2" t="s">
        <v>36012</v>
      </c>
      <c r="I7747" s="2" t="s">
        <v>11618</v>
      </c>
      <c r="J7747" s="2" t="s">
        <v>11619</v>
      </c>
      <c r="K7747" s="2" t="s">
        <v>15872</v>
      </c>
      <c r="L7747" s="2" t="s">
        <v>31923</v>
      </c>
      <c r="M7747" s="2" t="s">
        <v>11621</v>
      </c>
      <c r="N7747" s="2" t="s">
        <v>36013</v>
      </c>
      <c r="O7747" s="2" t="s">
        <v>869</v>
      </c>
      <c r="P7747" s="2" t="s">
        <v>870</v>
      </c>
    </row>
    <row r="7748" ht="15.75" customHeight="1">
      <c r="H7748" s="2" t="s">
        <v>36014</v>
      </c>
      <c r="I7748" s="2" t="s">
        <v>11631</v>
      </c>
      <c r="J7748" s="2" t="s">
        <v>11632</v>
      </c>
      <c r="K7748" s="2" t="s">
        <v>24173</v>
      </c>
      <c r="L7748" s="2" t="s">
        <v>31923</v>
      </c>
      <c r="M7748" s="2" t="s">
        <v>36015</v>
      </c>
      <c r="N7748" s="2" t="s">
        <v>36016</v>
      </c>
      <c r="O7748" s="2" t="s">
        <v>869</v>
      </c>
      <c r="P7748" s="2" t="s">
        <v>870</v>
      </c>
    </row>
    <row r="7749" ht="15.75" customHeight="1">
      <c r="H7749" s="2" t="s">
        <v>36017</v>
      </c>
      <c r="I7749" s="2" t="s">
        <v>36018</v>
      </c>
      <c r="J7749" s="2" t="s">
        <v>36019</v>
      </c>
      <c r="K7749" s="2" t="s">
        <v>32768</v>
      </c>
      <c r="L7749" s="2" t="s">
        <v>31923</v>
      </c>
      <c r="M7749" s="2" t="s">
        <v>36020</v>
      </c>
      <c r="N7749" s="2" t="s">
        <v>36021</v>
      </c>
      <c r="O7749" s="2" t="s">
        <v>869</v>
      </c>
      <c r="P7749" s="2" t="s">
        <v>870</v>
      </c>
    </row>
    <row r="7750" ht="15.75" customHeight="1">
      <c r="H7750" s="2" t="s">
        <v>36022</v>
      </c>
      <c r="I7750" s="2" t="s">
        <v>7117</v>
      </c>
      <c r="J7750" s="2" t="s">
        <v>7118</v>
      </c>
      <c r="K7750" s="2" t="s">
        <v>24063</v>
      </c>
      <c r="L7750" s="2" t="s">
        <v>31923</v>
      </c>
      <c r="M7750" s="2" t="s">
        <v>36023</v>
      </c>
      <c r="N7750" s="2" t="s">
        <v>36024</v>
      </c>
      <c r="O7750" s="2" t="s">
        <v>869</v>
      </c>
      <c r="P7750" s="2" t="s">
        <v>870</v>
      </c>
    </row>
    <row r="7751" ht="15.75" customHeight="1">
      <c r="H7751" s="2" t="s">
        <v>36025</v>
      </c>
      <c r="I7751" s="2" t="s">
        <v>11637</v>
      </c>
      <c r="J7751" s="2" t="s">
        <v>11638</v>
      </c>
      <c r="K7751" s="2" t="s">
        <v>24878</v>
      </c>
      <c r="L7751" s="2" t="s">
        <v>31923</v>
      </c>
      <c r="M7751" s="2" t="s">
        <v>30871</v>
      </c>
      <c r="N7751" s="2" t="s">
        <v>36026</v>
      </c>
      <c r="O7751" s="2" t="s">
        <v>869</v>
      </c>
      <c r="P7751" s="2" t="s">
        <v>870</v>
      </c>
    </row>
    <row r="7752" ht="15.75" customHeight="1">
      <c r="H7752" s="2" t="s">
        <v>36027</v>
      </c>
      <c r="I7752" s="2" t="s">
        <v>36028</v>
      </c>
      <c r="J7752" s="2" t="s">
        <v>36029</v>
      </c>
      <c r="K7752" s="2" t="s">
        <v>22467</v>
      </c>
      <c r="L7752" s="2" t="s">
        <v>31923</v>
      </c>
      <c r="M7752" s="2" t="s">
        <v>36030</v>
      </c>
      <c r="N7752" s="2" t="s">
        <v>36031</v>
      </c>
      <c r="O7752" s="2" t="s">
        <v>869</v>
      </c>
      <c r="P7752" s="2" t="s">
        <v>870</v>
      </c>
    </row>
    <row r="7753" ht="15.75" customHeight="1">
      <c r="H7753" s="2" t="s">
        <v>36032</v>
      </c>
      <c r="I7753" s="2" t="s">
        <v>32187</v>
      </c>
      <c r="J7753" s="2" t="s">
        <v>32188</v>
      </c>
      <c r="K7753" s="2" t="s">
        <v>24355</v>
      </c>
      <c r="L7753" s="2" t="s">
        <v>31923</v>
      </c>
      <c r="M7753" s="2" t="s">
        <v>36033</v>
      </c>
      <c r="N7753" s="2" t="s">
        <v>36034</v>
      </c>
      <c r="O7753" s="2" t="s">
        <v>869</v>
      </c>
      <c r="P7753" s="2" t="s">
        <v>870</v>
      </c>
    </row>
    <row r="7754" ht="15.75" customHeight="1">
      <c r="H7754" s="2" t="s">
        <v>36035</v>
      </c>
      <c r="I7754" s="2" t="s">
        <v>36036</v>
      </c>
      <c r="J7754" s="2" t="s">
        <v>36037</v>
      </c>
      <c r="K7754" s="2" t="s">
        <v>25068</v>
      </c>
      <c r="L7754" s="2" t="s">
        <v>31923</v>
      </c>
      <c r="M7754" s="2" t="s">
        <v>30949</v>
      </c>
      <c r="N7754" s="2" t="s">
        <v>36038</v>
      </c>
      <c r="O7754" s="2" t="s">
        <v>869</v>
      </c>
      <c r="P7754" s="2" t="s">
        <v>870</v>
      </c>
    </row>
    <row r="7755" ht="15.75" customHeight="1">
      <c r="H7755" s="2" t="s">
        <v>36039</v>
      </c>
      <c r="I7755" s="2" t="s">
        <v>36040</v>
      </c>
      <c r="J7755" s="2" t="s">
        <v>36041</v>
      </c>
      <c r="K7755" s="2" t="s">
        <v>24840</v>
      </c>
      <c r="L7755" s="2" t="s">
        <v>31923</v>
      </c>
      <c r="M7755" s="2" t="s">
        <v>36042</v>
      </c>
      <c r="N7755" s="2" t="s">
        <v>36043</v>
      </c>
      <c r="O7755" s="2" t="s">
        <v>869</v>
      </c>
      <c r="P7755" s="2" t="s">
        <v>870</v>
      </c>
    </row>
    <row r="7756" ht="15.75" customHeight="1">
      <c r="H7756" s="2" t="s">
        <v>36044</v>
      </c>
      <c r="I7756" s="2" t="s">
        <v>257</v>
      </c>
      <c r="J7756" s="2" t="s">
        <v>258</v>
      </c>
      <c r="K7756" s="2" t="s">
        <v>32914</v>
      </c>
      <c r="L7756" s="2" t="s">
        <v>31923</v>
      </c>
      <c r="M7756" s="2" t="s">
        <v>36045</v>
      </c>
      <c r="N7756" s="2" t="s">
        <v>36046</v>
      </c>
      <c r="O7756" s="2" t="s">
        <v>869</v>
      </c>
      <c r="P7756" s="2" t="s">
        <v>870</v>
      </c>
    </row>
    <row r="7757" ht="15.75" customHeight="1">
      <c r="H7757" s="2" t="s">
        <v>36047</v>
      </c>
      <c r="I7757" s="2" t="s">
        <v>36048</v>
      </c>
      <c r="J7757" s="2" t="s">
        <v>36049</v>
      </c>
      <c r="K7757" s="2" t="s">
        <v>15837</v>
      </c>
      <c r="L7757" s="2" t="s">
        <v>31923</v>
      </c>
      <c r="M7757" s="2" t="s">
        <v>36050</v>
      </c>
      <c r="N7757" s="2" t="s">
        <v>36051</v>
      </c>
      <c r="O7757" s="2" t="s">
        <v>869</v>
      </c>
      <c r="P7757" s="2" t="s">
        <v>870</v>
      </c>
    </row>
    <row r="7758" ht="15.75" customHeight="1">
      <c r="H7758" s="2" t="s">
        <v>36052</v>
      </c>
      <c r="I7758" s="2" t="s">
        <v>5986</v>
      </c>
      <c r="J7758" s="2" t="s">
        <v>5987</v>
      </c>
      <c r="K7758" s="2" t="s">
        <v>15784</v>
      </c>
      <c r="L7758" s="2" t="s">
        <v>31923</v>
      </c>
      <c r="M7758" s="2" t="s">
        <v>30949</v>
      </c>
      <c r="N7758" s="2" t="s">
        <v>36053</v>
      </c>
      <c r="O7758" s="2" t="s">
        <v>869</v>
      </c>
      <c r="P7758" s="2" t="s">
        <v>870</v>
      </c>
    </row>
    <row r="7759" ht="15.75" customHeight="1">
      <c r="H7759" s="2" t="s">
        <v>36054</v>
      </c>
      <c r="I7759" s="2" t="s">
        <v>36055</v>
      </c>
      <c r="J7759" s="2" t="s">
        <v>36056</v>
      </c>
      <c r="K7759" s="2" t="s">
        <v>24935</v>
      </c>
      <c r="L7759" s="2" t="s">
        <v>31923</v>
      </c>
      <c r="M7759" s="2" t="s">
        <v>36057</v>
      </c>
      <c r="N7759" s="2" t="s">
        <v>36058</v>
      </c>
      <c r="O7759" s="2" t="s">
        <v>869</v>
      </c>
      <c r="P7759" s="2" t="s">
        <v>870</v>
      </c>
    </row>
    <row r="7760" ht="15.75" customHeight="1">
      <c r="H7760" s="2" t="s">
        <v>36059</v>
      </c>
      <c r="I7760" s="2" t="s">
        <v>827</v>
      </c>
      <c r="J7760" s="2" t="s">
        <v>828</v>
      </c>
      <c r="K7760" s="2" t="s">
        <v>24438</v>
      </c>
      <c r="L7760" s="2" t="s">
        <v>31923</v>
      </c>
      <c r="M7760" s="2" t="s">
        <v>36060</v>
      </c>
      <c r="N7760" s="2" t="s">
        <v>36061</v>
      </c>
      <c r="O7760" s="2" t="s">
        <v>869</v>
      </c>
      <c r="P7760" s="2" t="s">
        <v>870</v>
      </c>
    </row>
    <row r="7761" ht="15.75" customHeight="1">
      <c r="H7761" s="2" t="s">
        <v>36062</v>
      </c>
      <c r="I7761" s="2" t="s">
        <v>36063</v>
      </c>
      <c r="J7761" s="2" t="s">
        <v>36064</v>
      </c>
      <c r="K7761" s="2" t="s">
        <v>36065</v>
      </c>
      <c r="L7761" s="2" t="s">
        <v>31923</v>
      </c>
      <c r="M7761" s="2" t="s">
        <v>36066</v>
      </c>
      <c r="N7761" s="2" t="s">
        <v>36067</v>
      </c>
      <c r="O7761" s="2" t="s">
        <v>869</v>
      </c>
      <c r="P7761" s="2" t="s">
        <v>870</v>
      </c>
    </row>
    <row r="7762" ht="15.75" customHeight="1">
      <c r="H7762" s="2" t="s">
        <v>36068</v>
      </c>
      <c r="I7762" s="2" t="s">
        <v>36069</v>
      </c>
      <c r="J7762" s="2" t="s">
        <v>36070</v>
      </c>
      <c r="K7762" s="2" t="s">
        <v>31150</v>
      </c>
      <c r="L7762" s="2" t="s">
        <v>31923</v>
      </c>
      <c r="M7762" s="2" t="s">
        <v>36071</v>
      </c>
      <c r="N7762" s="2" t="s">
        <v>36072</v>
      </c>
      <c r="O7762" s="2" t="s">
        <v>869</v>
      </c>
      <c r="P7762" s="2" t="s">
        <v>870</v>
      </c>
    </row>
    <row r="7763" ht="15.75" customHeight="1">
      <c r="H7763" s="2" t="s">
        <v>36073</v>
      </c>
      <c r="I7763" s="2" t="s">
        <v>11689</v>
      </c>
      <c r="J7763" s="2" t="s">
        <v>11690</v>
      </c>
      <c r="K7763" s="2" t="s">
        <v>24973</v>
      </c>
      <c r="L7763" s="2" t="s">
        <v>31923</v>
      </c>
      <c r="M7763" s="2" t="s">
        <v>36074</v>
      </c>
      <c r="N7763" s="2" t="s">
        <v>36075</v>
      </c>
      <c r="O7763" s="2" t="s">
        <v>869</v>
      </c>
      <c r="P7763" s="2" t="s">
        <v>870</v>
      </c>
    </row>
    <row r="7764" ht="15.75" customHeight="1">
      <c r="F7764" s="2" t="s">
        <v>843</v>
      </c>
      <c r="H7764" s="2" t="s">
        <v>36076</v>
      </c>
      <c r="I7764" s="2" t="s">
        <v>5151</v>
      </c>
      <c r="J7764" s="2" t="s">
        <v>5152</v>
      </c>
      <c r="K7764" s="2" t="s">
        <v>6000</v>
      </c>
      <c r="L7764" s="2" t="s">
        <v>31923</v>
      </c>
      <c r="M7764" s="2" t="s">
        <v>36077</v>
      </c>
      <c r="N7764" s="2" t="s">
        <v>36078</v>
      </c>
      <c r="O7764" s="2" t="s">
        <v>869</v>
      </c>
      <c r="P7764" s="2" t="s">
        <v>870</v>
      </c>
    </row>
    <row r="7765" ht="15.75" customHeight="1">
      <c r="H7765" s="2" t="s">
        <v>36079</v>
      </c>
      <c r="I7765" s="2" t="s">
        <v>5155</v>
      </c>
      <c r="J7765" s="2" t="s">
        <v>5156</v>
      </c>
      <c r="K7765" s="2" t="s">
        <v>15901</v>
      </c>
      <c r="L7765" s="2" t="s">
        <v>31923</v>
      </c>
      <c r="M7765" s="2" t="s">
        <v>36080</v>
      </c>
      <c r="N7765" s="2" t="s">
        <v>36081</v>
      </c>
      <c r="O7765" s="2" t="s">
        <v>869</v>
      </c>
      <c r="P7765" s="2" t="s">
        <v>870</v>
      </c>
    </row>
    <row r="7766" ht="15.75" customHeight="1">
      <c r="H7766" s="2" t="s">
        <v>36082</v>
      </c>
      <c r="I7766" s="2" t="s">
        <v>36083</v>
      </c>
      <c r="J7766" s="2" t="s">
        <v>36084</v>
      </c>
      <c r="K7766" s="2" t="s">
        <v>15897</v>
      </c>
      <c r="L7766" s="2" t="s">
        <v>31923</v>
      </c>
      <c r="M7766" s="2" t="s">
        <v>36085</v>
      </c>
      <c r="N7766" s="2" t="s">
        <v>36086</v>
      </c>
      <c r="O7766" s="2" t="s">
        <v>869</v>
      </c>
      <c r="P7766" s="2" t="s">
        <v>870</v>
      </c>
    </row>
    <row r="7767" ht="15.75" customHeight="1">
      <c r="H7767" s="2" t="s">
        <v>36087</v>
      </c>
      <c r="I7767" s="2" t="s">
        <v>31936</v>
      </c>
      <c r="J7767" s="2" t="s">
        <v>31937</v>
      </c>
      <c r="K7767" s="2" t="s">
        <v>15796</v>
      </c>
      <c r="L7767" s="2" t="s">
        <v>31923</v>
      </c>
      <c r="M7767" s="2" t="s">
        <v>31008</v>
      </c>
      <c r="N7767" s="2" t="s">
        <v>36088</v>
      </c>
      <c r="O7767" s="2" t="s">
        <v>869</v>
      </c>
      <c r="P7767" s="2" t="s">
        <v>870</v>
      </c>
    </row>
    <row r="7768" ht="15.75" customHeight="1">
      <c r="H7768" s="2" t="s">
        <v>36089</v>
      </c>
      <c r="I7768" s="2" t="s">
        <v>11755</v>
      </c>
      <c r="J7768" s="2" t="s">
        <v>11756</v>
      </c>
      <c r="K7768" s="2" t="s">
        <v>24578</v>
      </c>
      <c r="L7768" s="2" t="s">
        <v>31923</v>
      </c>
      <c r="M7768" s="2" t="s">
        <v>11758</v>
      </c>
      <c r="N7768" s="2" t="s">
        <v>36090</v>
      </c>
      <c r="O7768" s="2" t="s">
        <v>869</v>
      </c>
      <c r="P7768" s="2" t="s">
        <v>870</v>
      </c>
    </row>
    <row r="7769" ht="15.75" customHeight="1">
      <c r="H7769" s="2" t="s">
        <v>36091</v>
      </c>
      <c r="I7769" s="2" t="s">
        <v>11761</v>
      </c>
      <c r="J7769" s="2" t="s">
        <v>11762</v>
      </c>
      <c r="K7769" s="2" t="s">
        <v>6046</v>
      </c>
      <c r="L7769" s="2" t="s">
        <v>31923</v>
      </c>
      <c r="M7769" s="2" t="s">
        <v>36092</v>
      </c>
      <c r="N7769" s="2" t="s">
        <v>36093</v>
      </c>
      <c r="O7769" s="2" t="s">
        <v>869</v>
      </c>
      <c r="P7769" s="2" t="s">
        <v>870</v>
      </c>
    </row>
    <row r="7770" ht="15.75" customHeight="1">
      <c r="H7770" s="2" t="s">
        <v>36094</v>
      </c>
      <c r="I7770" s="2" t="s">
        <v>36095</v>
      </c>
      <c r="J7770" s="2" t="s">
        <v>36096</v>
      </c>
      <c r="K7770" s="2" t="s">
        <v>15805</v>
      </c>
      <c r="L7770" s="2" t="s">
        <v>31923</v>
      </c>
      <c r="M7770" s="2" t="s">
        <v>36097</v>
      </c>
      <c r="N7770" s="2" t="s">
        <v>36098</v>
      </c>
      <c r="O7770" s="2" t="s">
        <v>869</v>
      </c>
      <c r="P7770" s="2" t="s">
        <v>870</v>
      </c>
    </row>
    <row r="7771" ht="15.75" customHeight="1">
      <c r="H7771" s="2" t="s">
        <v>36099</v>
      </c>
      <c r="I7771" s="2" t="s">
        <v>36100</v>
      </c>
      <c r="J7771" s="2" t="s">
        <v>36101</v>
      </c>
      <c r="K7771" s="2" t="s">
        <v>36102</v>
      </c>
      <c r="L7771" s="2" t="s">
        <v>31923</v>
      </c>
      <c r="M7771" s="2" t="s">
        <v>36103</v>
      </c>
      <c r="N7771" s="2" t="s">
        <v>36104</v>
      </c>
      <c r="O7771" s="2" t="s">
        <v>869</v>
      </c>
      <c r="P7771" s="2" t="s">
        <v>870</v>
      </c>
    </row>
    <row r="7772" ht="15.75" customHeight="1">
      <c r="H7772" s="2" t="s">
        <v>36105</v>
      </c>
      <c r="I7772" s="2" t="s">
        <v>5170</v>
      </c>
      <c r="J7772" s="2" t="s">
        <v>5171</v>
      </c>
      <c r="K7772" s="2" t="s">
        <v>22104</v>
      </c>
      <c r="L7772" s="2" t="s">
        <v>31923</v>
      </c>
      <c r="M7772" s="2" t="s">
        <v>30975</v>
      </c>
      <c r="N7772" s="2" t="s">
        <v>36106</v>
      </c>
      <c r="O7772" s="2" t="s">
        <v>869</v>
      </c>
      <c r="P7772" s="2" t="s">
        <v>870</v>
      </c>
    </row>
    <row r="7773" ht="15.75" customHeight="1">
      <c r="H7773" s="2" t="s">
        <v>36107</v>
      </c>
      <c r="I7773" s="2" t="s">
        <v>36108</v>
      </c>
      <c r="J7773" s="2" t="s">
        <v>36109</v>
      </c>
      <c r="K7773" s="2" t="s">
        <v>24379</v>
      </c>
      <c r="L7773" s="2" t="s">
        <v>31923</v>
      </c>
      <c r="M7773" s="2" t="s">
        <v>36110</v>
      </c>
      <c r="N7773" s="2" t="s">
        <v>869</v>
      </c>
      <c r="O7773" s="2" t="s">
        <v>870</v>
      </c>
    </row>
    <row r="7774" ht="15.75" customHeight="1">
      <c r="H7774" s="2" t="s">
        <v>36111</v>
      </c>
      <c r="I7774" s="2" t="s">
        <v>4127</v>
      </c>
      <c r="J7774" s="2" t="s">
        <v>4128</v>
      </c>
      <c r="K7774" s="2" t="s">
        <v>24102</v>
      </c>
      <c r="L7774" s="2" t="s">
        <v>31923</v>
      </c>
      <c r="M7774" s="2" t="s">
        <v>36112</v>
      </c>
      <c r="N7774" s="2" t="s">
        <v>36113</v>
      </c>
      <c r="O7774" s="2" t="s">
        <v>869</v>
      </c>
      <c r="P7774" s="2" t="s">
        <v>870</v>
      </c>
    </row>
    <row r="7775" ht="15.75" customHeight="1">
      <c r="H7775" s="2" t="s">
        <v>36114</v>
      </c>
      <c r="I7775" s="2" t="s">
        <v>36115</v>
      </c>
      <c r="J7775" s="2" t="s">
        <v>36116</v>
      </c>
      <c r="K7775" s="2" t="s">
        <v>24137</v>
      </c>
      <c r="L7775" s="2" t="s">
        <v>31923</v>
      </c>
      <c r="M7775" s="2" t="s">
        <v>36117</v>
      </c>
      <c r="N7775" s="2" t="s">
        <v>36118</v>
      </c>
      <c r="O7775" s="2" t="s">
        <v>869</v>
      </c>
      <c r="P7775" s="2" t="s">
        <v>870</v>
      </c>
    </row>
    <row r="7776" ht="15.75" customHeight="1">
      <c r="H7776" s="2" t="s">
        <v>36119</v>
      </c>
      <c r="I7776" s="2" t="s">
        <v>11813</v>
      </c>
      <c r="J7776" s="2" t="s">
        <v>11814</v>
      </c>
      <c r="K7776" s="2" t="s">
        <v>24263</v>
      </c>
      <c r="L7776" s="2" t="s">
        <v>31923</v>
      </c>
      <c r="M7776" s="2" t="s">
        <v>30979</v>
      </c>
      <c r="N7776" s="2" t="s">
        <v>36120</v>
      </c>
      <c r="O7776" s="2" t="s">
        <v>869</v>
      </c>
      <c r="P7776" s="2" t="s">
        <v>870</v>
      </c>
    </row>
    <row r="7777" ht="15.75" customHeight="1">
      <c r="H7777" s="2" t="s">
        <v>36121</v>
      </c>
      <c r="I7777" s="2" t="s">
        <v>36122</v>
      </c>
      <c r="J7777" s="2" t="s">
        <v>36123</v>
      </c>
      <c r="K7777" s="2" t="s">
        <v>36124</v>
      </c>
      <c r="L7777" s="2" t="s">
        <v>31923</v>
      </c>
      <c r="M7777" s="2" t="s">
        <v>36125</v>
      </c>
      <c r="N7777" s="2" t="s">
        <v>869</v>
      </c>
      <c r="O7777" s="2" t="s">
        <v>870</v>
      </c>
    </row>
    <row r="7778" ht="15.75" customHeight="1">
      <c r="H7778" s="2" t="s">
        <v>36126</v>
      </c>
      <c r="I7778" s="2" t="s">
        <v>36127</v>
      </c>
      <c r="J7778" s="2" t="s">
        <v>36128</v>
      </c>
      <c r="K7778" s="2" t="s">
        <v>6081</v>
      </c>
      <c r="L7778" s="2" t="s">
        <v>31923</v>
      </c>
      <c r="M7778" s="2" t="s">
        <v>36129</v>
      </c>
      <c r="N7778" s="2" t="s">
        <v>36130</v>
      </c>
      <c r="O7778" s="2" t="s">
        <v>869</v>
      </c>
      <c r="P7778" s="2" t="s">
        <v>870</v>
      </c>
    </row>
    <row r="7779" ht="15.75" customHeight="1">
      <c r="H7779" s="2" t="s">
        <v>36131</v>
      </c>
      <c r="I7779" s="2" t="s">
        <v>5202</v>
      </c>
      <c r="J7779" s="2" t="s">
        <v>5203</v>
      </c>
      <c r="K7779" s="2" t="s">
        <v>24269</v>
      </c>
      <c r="L7779" s="2" t="s">
        <v>31923</v>
      </c>
      <c r="M7779" s="2" t="s">
        <v>11825</v>
      </c>
      <c r="N7779" s="2" t="s">
        <v>36132</v>
      </c>
      <c r="O7779" s="2" t="s">
        <v>869</v>
      </c>
      <c r="P7779" s="2" t="s">
        <v>870</v>
      </c>
    </row>
    <row r="7780" ht="15.75" customHeight="1">
      <c r="H7780" s="2" t="s">
        <v>36133</v>
      </c>
      <c r="I7780" s="2" t="s">
        <v>36134</v>
      </c>
      <c r="J7780" s="2" t="s">
        <v>36135</v>
      </c>
      <c r="K7780" s="2" t="s">
        <v>36136</v>
      </c>
      <c r="L7780" s="2" t="s">
        <v>31923</v>
      </c>
      <c r="M7780" s="2" t="s">
        <v>36137</v>
      </c>
      <c r="N7780" s="2" t="s">
        <v>36138</v>
      </c>
      <c r="O7780" s="2" t="s">
        <v>869</v>
      </c>
      <c r="P7780" s="2" t="s">
        <v>870</v>
      </c>
    </row>
    <row r="7781" ht="15.75" customHeight="1">
      <c r="H7781" s="2" t="s">
        <v>36139</v>
      </c>
      <c r="I7781" s="2" t="s">
        <v>1167</v>
      </c>
      <c r="J7781" s="2" t="s">
        <v>1168</v>
      </c>
      <c r="K7781" s="2" t="s">
        <v>25287</v>
      </c>
      <c r="L7781" s="2" t="s">
        <v>31923</v>
      </c>
      <c r="M7781" s="2" t="s">
        <v>11829</v>
      </c>
      <c r="N7781" s="2" t="s">
        <v>36140</v>
      </c>
      <c r="O7781" s="2" t="s">
        <v>869</v>
      </c>
      <c r="P7781" s="2" t="s">
        <v>870</v>
      </c>
    </row>
    <row r="7782" ht="15.75" customHeight="1">
      <c r="H7782" s="2" t="s">
        <v>36141</v>
      </c>
      <c r="I7782" s="2" t="s">
        <v>18724</v>
      </c>
      <c r="J7782" s="2" t="s">
        <v>18725</v>
      </c>
      <c r="K7782" s="2" t="s">
        <v>32142</v>
      </c>
      <c r="L7782" s="2" t="s">
        <v>31923</v>
      </c>
      <c r="M7782" s="2" t="s">
        <v>36142</v>
      </c>
      <c r="N7782" s="2" t="s">
        <v>36143</v>
      </c>
      <c r="O7782" s="2" t="s">
        <v>869</v>
      </c>
      <c r="P7782" s="2" t="s">
        <v>870</v>
      </c>
    </row>
    <row r="7783" ht="15.75" customHeight="1">
      <c r="H7783" s="2" t="s">
        <v>36144</v>
      </c>
      <c r="I7783" s="2" t="s">
        <v>5220</v>
      </c>
      <c r="J7783" s="2" t="s">
        <v>5221</v>
      </c>
      <c r="K7783" s="2" t="s">
        <v>25133</v>
      </c>
      <c r="L7783" s="2" t="s">
        <v>31923</v>
      </c>
      <c r="M7783" s="2" t="s">
        <v>36145</v>
      </c>
      <c r="N7783" s="2" t="s">
        <v>36146</v>
      </c>
      <c r="O7783" s="2" t="s">
        <v>869</v>
      </c>
      <c r="P7783" s="2" t="s">
        <v>870</v>
      </c>
    </row>
    <row r="7784" ht="15.75" customHeight="1">
      <c r="H7784" s="2" t="s">
        <v>36147</v>
      </c>
      <c r="I7784" s="2" t="s">
        <v>5225</v>
      </c>
      <c r="J7784" s="2" t="s">
        <v>5226</v>
      </c>
      <c r="K7784" s="2" t="s">
        <v>31469</v>
      </c>
      <c r="L7784" s="2" t="s">
        <v>31923</v>
      </c>
      <c r="M7784" s="2" t="s">
        <v>11839</v>
      </c>
      <c r="N7784" s="2" t="s">
        <v>36148</v>
      </c>
      <c r="O7784" s="2" t="s">
        <v>869</v>
      </c>
      <c r="P7784" s="2" t="s">
        <v>870</v>
      </c>
    </row>
    <row r="7785" ht="15.75" customHeight="1">
      <c r="H7785" s="2" t="s">
        <v>36149</v>
      </c>
      <c r="I7785" s="2" t="s">
        <v>36150</v>
      </c>
      <c r="J7785" s="2" t="s">
        <v>36151</v>
      </c>
      <c r="K7785" s="2" t="s">
        <v>36152</v>
      </c>
      <c r="L7785" s="2" t="s">
        <v>31923</v>
      </c>
      <c r="M7785" s="2" t="s">
        <v>36153</v>
      </c>
      <c r="N7785" s="2" t="s">
        <v>869</v>
      </c>
      <c r="O7785" s="2" t="s">
        <v>870</v>
      </c>
    </row>
    <row r="7786" ht="15.75" customHeight="1">
      <c r="H7786" s="2" t="s">
        <v>36154</v>
      </c>
      <c r="I7786" s="2" t="s">
        <v>36155</v>
      </c>
      <c r="J7786" s="2" t="s">
        <v>36156</v>
      </c>
      <c r="K7786" s="2" t="s">
        <v>24173</v>
      </c>
      <c r="L7786" s="2" t="s">
        <v>31923</v>
      </c>
      <c r="M7786" s="2" t="s">
        <v>36157</v>
      </c>
      <c r="N7786" s="2" t="s">
        <v>869</v>
      </c>
      <c r="O7786" s="2" t="s">
        <v>870</v>
      </c>
    </row>
    <row r="7787" ht="15.75" customHeight="1">
      <c r="H7787" s="2" t="s">
        <v>36158</v>
      </c>
      <c r="I7787" s="2" t="s">
        <v>36159</v>
      </c>
      <c r="J7787" s="2" t="s">
        <v>36160</v>
      </c>
      <c r="K7787" s="2" t="s">
        <v>31897</v>
      </c>
      <c r="L7787" s="2" t="s">
        <v>31923</v>
      </c>
      <c r="M7787" s="2" t="s">
        <v>36161</v>
      </c>
      <c r="N7787" s="2" t="s">
        <v>869</v>
      </c>
      <c r="O7787" s="2" t="s">
        <v>870</v>
      </c>
    </row>
    <row r="7788" ht="15.75" customHeight="1">
      <c r="H7788" s="2" t="s">
        <v>36162</v>
      </c>
      <c r="I7788" s="2" t="s">
        <v>27173</v>
      </c>
      <c r="J7788" s="2" t="s">
        <v>27174</v>
      </c>
      <c r="K7788" s="2" t="s">
        <v>25265</v>
      </c>
      <c r="L7788" s="2" t="s">
        <v>31923</v>
      </c>
      <c r="M7788" s="2" t="s">
        <v>36163</v>
      </c>
      <c r="N7788" s="2" t="s">
        <v>36164</v>
      </c>
      <c r="O7788" s="2" t="s">
        <v>869</v>
      </c>
      <c r="P7788" s="2" t="s">
        <v>870</v>
      </c>
    </row>
    <row r="7789" ht="15.75" customHeight="1">
      <c r="H7789" s="2" t="s">
        <v>36165</v>
      </c>
      <c r="I7789" s="2" t="s">
        <v>5235</v>
      </c>
      <c r="J7789" s="2" t="s">
        <v>5236</v>
      </c>
      <c r="K7789" s="2" t="s">
        <v>22467</v>
      </c>
      <c r="L7789" s="2" t="s">
        <v>31923</v>
      </c>
      <c r="M7789" s="2" t="s">
        <v>22468</v>
      </c>
      <c r="N7789" s="2" t="s">
        <v>36166</v>
      </c>
      <c r="O7789" s="2" t="s">
        <v>869</v>
      </c>
      <c r="P7789" s="2" t="s">
        <v>870</v>
      </c>
    </row>
    <row r="7790" ht="15.75" customHeight="1">
      <c r="H7790" s="2" t="s">
        <v>36167</v>
      </c>
      <c r="I7790" s="2" t="s">
        <v>36168</v>
      </c>
      <c r="J7790" s="2" t="s">
        <v>36169</v>
      </c>
      <c r="K7790" s="2" t="s">
        <v>24164</v>
      </c>
      <c r="L7790" s="2" t="s">
        <v>31923</v>
      </c>
      <c r="M7790" s="2" t="s">
        <v>36170</v>
      </c>
      <c r="N7790" s="2" t="s">
        <v>36171</v>
      </c>
      <c r="O7790" s="2" t="s">
        <v>869</v>
      </c>
      <c r="P7790" s="2" t="s">
        <v>870</v>
      </c>
    </row>
    <row r="7791" ht="15.75" customHeight="1">
      <c r="H7791" s="2" t="s">
        <v>36172</v>
      </c>
      <c r="I7791" s="2" t="s">
        <v>36173</v>
      </c>
      <c r="J7791" s="2" t="s">
        <v>36174</v>
      </c>
      <c r="K7791" s="2" t="s">
        <v>24851</v>
      </c>
      <c r="L7791" s="2" t="s">
        <v>31923</v>
      </c>
      <c r="M7791" s="2" t="s">
        <v>36175</v>
      </c>
      <c r="N7791" s="2" t="s">
        <v>36176</v>
      </c>
      <c r="O7791" s="2" t="s">
        <v>869</v>
      </c>
      <c r="P7791" s="2" t="s">
        <v>870</v>
      </c>
    </row>
    <row r="7792" ht="15.75" customHeight="1">
      <c r="H7792" s="2" t="s">
        <v>36177</v>
      </c>
      <c r="I7792" s="2" t="s">
        <v>845</v>
      </c>
      <c r="J7792" s="2" t="s">
        <v>846</v>
      </c>
      <c r="K7792" s="2" t="s">
        <v>6419</v>
      </c>
      <c r="L7792" s="2" t="s">
        <v>31923</v>
      </c>
      <c r="M7792" s="2" t="s">
        <v>31008</v>
      </c>
      <c r="N7792" s="2" t="s">
        <v>36178</v>
      </c>
      <c r="O7792" s="2" t="s">
        <v>869</v>
      </c>
      <c r="P7792" s="2" t="s">
        <v>870</v>
      </c>
    </row>
    <row r="7793" ht="15.75" customHeight="1">
      <c r="H7793" s="2" t="s">
        <v>36179</v>
      </c>
      <c r="I7793" s="2" t="s">
        <v>36180</v>
      </c>
      <c r="J7793" s="2" t="s">
        <v>36181</v>
      </c>
      <c r="K7793" s="2" t="s">
        <v>32581</v>
      </c>
      <c r="L7793" s="2" t="s">
        <v>31923</v>
      </c>
      <c r="M7793" s="2" t="s">
        <v>36182</v>
      </c>
      <c r="N7793" s="2" t="s">
        <v>36183</v>
      </c>
      <c r="O7793" s="2" t="s">
        <v>869</v>
      </c>
      <c r="P7793" s="2" t="s">
        <v>870</v>
      </c>
    </row>
    <row r="7794" ht="15.75" customHeight="1">
      <c r="F7794" s="2" t="s">
        <v>5257</v>
      </c>
      <c r="H7794" s="2" t="s">
        <v>36184</v>
      </c>
      <c r="I7794" s="2" t="s">
        <v>36185</v>
      </c>
      <c r="J7794" s="2" t="s">
        <v>36186</v>
      </c>
      <c r="K7794" s="2" t="s">
        <v>22462</v>
      </c>
      <c r="L7794" s="2" t="s">
        <v>31923</v>
      </c>
      <c r="M7794" s="2" t="s">
        <v>36187</v>
      </c>
      <c r="N7794" s="2" t="s">
        <v>869</v>
      </c>
      <c r="O7794" s="2" t="s">
        <v>870</v>
      </c>
    </row>
    <row r="7795" ht="15.75" customHeight="1">
      <c r="H7795" s="2" t="s">
        <v>36188</v>
      </c>
      <c r="I7795" s="2" t="s">
        <v>28503</v>
      </c>
      <c r="J7795" s="2" t="s">
        <v>28504</v>
      </c>
      <c r="K7795" s="2" t="s">
        <v>24561</v>
      </c>
      <c r="L7795" s="2" t="s">
        <v>31923</v>
      </c>
      <c r="M7795" s="2" t="s">
        <v>28505</v>
      </c>
      <c r="N7795" s="2" t="s">
        <v>36189</v>
      </c>
      <c r="O7795" s="2" t="s">
        <v>869</v>
      </c>
      <c r="P7795" s="2" t="s">
        <v>870</v>
      </c>
    </row>
    <row r="7796" ht="15.75" customHeight="1">
      <c r="H7796" s="2" t="s">
        <v>36190</v>
      </c>
      <c r="I7796" s="2" t="s">
        <v>36191</v>
      </c>
      <c r="J7796" s="2" t="s">
        <v>36192</v>
      </c>
      <c r="K7796" s="2" t="s">
        <v>15805</v>
      </c>
      <c r="L7796" s="2" t="s">
        <v>31923</v>
      </c>
      <c r="M7796" s="2" t="s">
        <v>36193</v>
      </c>
      <c r="N7796" s="2" t="s">
        <v>869</v>
      </c>
      <c r="O7796" s="2" t="s">
        <v>870</v>
      </c>
    </row>
    <row r="7797" ht="15.75" customHeight="1">
      <c r="H7797" s="2" t="s">
        <v>36194</v>
      </c>
      <c r="I7797" s="2" t="s">
        <v>8241</v>
      </c>
      <c r="J7797" s="2" t="s">
        <v>8242</v>
      </c>
      <c r="K7797" s="2" t="s">
        <v>5995</v>
      </c>
      <c r="L7797" s="2" t="s">
        <v>31923</v>
      </c>
      <c r="M7797" s="2" t="s">
        <v>36195</v>
      </c>
      <c r="N7797" s="2" t="s">
        <v>869</v>
      </c>
      <c r="O7797" s="2" t="s">
        <v>870</v>
      </c>
    </row>
    <row r="7798" ht="15.75" customHeight="1">
      <c r="H7798" s="2" t="s">
        <v>36196</v>
      </c>
      <c r="I7798" s="2" t="s">
        <v>36197</v>
      </c>
      <c r="J7798" s="2" t="s">
        <v>36198</v>
      </c>
      <c r="K7798" s="2" t="s">
        <v>15801</v>
      </c>
      <c r="L7798" s="2" t="s">
        <v>31923</v>
      </c>
      <c r="M7798" s="2" t="s">
        <v>36199</v>
      </c>
      <c r="N7798" s="2" t="s">
        <v>869</v>
      </c>
      <c r="O7798" s="2" t="s">
        <v>870</v>
      </c>
    </row>
    <row r="7799" ht="15.75" customHeight="1">
      <c r="H7799" s="2" t="s">
        <v>36200</v>
      </c>
      <c r="I7799" s="2" t="s">
        <v>5264</v>
      </c>
      <c r="J7799" s="2" t="s">
        <v>5265</v>
      </c>
      <c r="K7799" s="2" t="s">
        <v>15901</v>
      </c>
      <c r="L7799" s="2" t="s">
        <v>31923</v>
      </c>
      <c r="M7799" s="2" t="s">
        <v>36201</v>
      </c>
      <c r="N7799" s="2" t="s">
        <v>36202</v>
      </c>
      <c r="O7799" s="2" t="s">
        <v>869</v>
      </c>
      <c r="P7799" s="2" t="s">
        <v>870</v>
      </c>
    </row>
    <row r="7800" ht="15.75" customHeight="1">
      <c r="H7800" s="2" t="s">
        <v>36203</v>
      </c>
      <c r="I7800" s="2" t="s">
        <v>36204</v>
      </c>
      <c r="J7800" s="2" t="s">
        <v>36205</v>
      </c>
      <c r="K7800" s="2" t="s">
        <v>24414</v>
      </c>
      <c r="L7800" s="2" t="s">
        <v>31923</v>
      </c>
      <c r="M7800" s="2" t="s">
        <v>36206</v>
      </c>
      <c r="N7800" s="2" t="s">
        <v>869</v>
      </c>
      <c r="O7800" s="2" t="s">
        <v>870</v>
      </c>
    </row>
    <row r="7801" ht="15.75" customHeight="1">
      <c r="H7801" s="2" t="s">
        <v>36207</v>
      </c>
      <c r="I7801" s="2" t="s">
        <v>36208</v>
      </c>
      <c r="J7801" s="2" t="s">
        <v>36209</v>
      </c>
      <c r="K7801" s="2" t="s">
        <v>25032</v>
      </c>
      <c r="L7801" s="2" t="s">
        <v>31923</v>
      </c>
      <c r="M7801" s="2" t="s">
        <v>36210</v>
      </c>
      <c r="N7801" s="2" t="s">
        <v>869</v>
      </c>
      <c r="O7801" s="2" t="s">
        <v>870</v>
      </c>
    </row>
    <row r="7802" ht="15.75" customHeight="1">
      <c r="H7802" s="2" t="s">
        <v>36211</v>
      </c>
      <c r="I7802" s="2" t="s">
        <v>21567</v>
      </c>
      <c r="J7802" s="2" t="s">
        <v>21568</v>
      </c>
      <c r="K7802" s="2" t="s">
        <v>31317</v>
      </c>
      <c r="L7802" s="2" t="s">
        <v>31923</v>
      </c>
      <c r="M7802" s="2" t="s">
        <v>28561</v>
      </c>
      <c r="N7802" s="2" t="s">
        <v>36212</v>
      </c>
      <c r="O7802" s="2" t="s">
        <v>869</v>
      </c>
      <c r="P7802" s="2" t="s">
        <v>870</v>
      </c>
    </row>
    <row r="7803" ht="15.75" customHeight="1">
      <c r="H7803" s="2" t="s">
        <v>36213</v>
      </c>
      <c r="I7803" s="2" t="s">
        <v>36214</v>
      </c>
      <c r="J7803" s="2" t="s">
        <v>36215</v>
      </c>
      <c r="K7803" s="2" t="s">
        <v>24578</v>
      </c>
      <c r="L7803" s="2" t="s">
        <v>31923</v>
      </c>
      <c r="M7803" s="2" t="s">
        <v>36216</v>
      </c>
      <c r="N7803" s="2" t="s">
        <v>869</v>
      </c>
      <c r="O7803" s="2" t="s">
        <v>870</v>
      </c>
    </row>
    <row r="7804" ht="15.75" customHeight="1">
      <c r="H7804" s="2" t="s">
        <v>36217</v>
      </c>
      <c r="I7804" s="2" t="s">
        <v>22017</v>
      </c>
      <c r="J7804" s="2" t="s">
        <v>22018</v>
      </c>
      <c r="K7804" s="2" t="s">
        <v>24528</v>
      </c>
      <c r="L7804" s="2" t="s">
        <v>31923</v>
      </c>
      <c r="M7804" s="2" t="s">
        <v>36218</v>
      </c>
      <c r="N7804" s="2" t="s">
        <v>36219</v>
      </c>
      <c r="O7804" s="2" t="s">
        <v>869</v>
      </c>
      <c r="P7804" s="2" t="s">
        <v>870</v>
      </c>
    </row>
    <row r="7805" ht="15.75" customHeight="1">
      <c r="H7805" s="2" t="s">
        <v>36220</v>
      </c>
      <c r="I7805" s="2" t="s">
        <v>22022</v>
      </c>
      <c r="J7805" s="2" t="s">
        <v>22023</v>
      </c>
      <c r="K7805" s="2" t="s">
        <v>15890</v>
      </c>
      <c r="L7805" s="2" t="s">
        <v>31923</v>
      </c>
      <c r="M7805" s="2" t="s">
        <v>22024</v>
      </c>
      <c r="N7805" s="2" t="s">
        <v>36221</v>
      </c>
      <c r="O7805" s="2" t="s">
        <v>869</v>
      </c>
      <c r="P7805" s="2" t="s">
        <v>870</v>
      </c>
    </row>
    <row r="7806" ht="15.75" customHeight="1">
      <c r="H7806" s="2" t="s">
        <v>36222</v>
      </c>
      <c r="I7806" s="2" t="s">
        <v>1506</v>
      </c>
      <c r="J7806" s="2" t="s">
        <v>1507</v>
      </c>
      <c r="K7806" s="2" t="s">
        <v>22104</v>
      </c>
      <c r="L7806" s="2" t="s">
        <v>31923</v>
      </c>
      <c r="M7806" s="2" t="s">
        <v>36223</v>
      </c>
      <c r="N7806" s="2" t="s">
        <v>36224</v>
      </c>
      <c r="O7806" s="2" t="s">
        <v>869</v>
      </c>
      <c r="P7806" s="2" t="s">
        <v>870</v>
      </c>
    </row>
    <row r="7807" ht="15.75" customHeight="1">
      <c r="H7807" s="2" t="s">
        <v>36225</v>
      </c>
      <c r="I7807" s="2" t="s">
        <v>5272</v>
      </c>
      <c r="J7807" s="2" t="s">
        <v>5273</v>
      </c>
      <c r="K7807" s="2" t="s">
        <v>24379</v>
      </c>
      <c r="L7807" s="2" t="s">
        <v>31923</v>
      </c>
      <c r="M7807" s="2" t="s">
        <v>28566</v>
      </c>
      <c r="N7807" s="2" t="s">
        <v>36226</v>
      </c>
      <c r="O7807" s="2" t="s">
        <v>869</v>
      </c>
      <c r="P7807" s="2" t="s">
        <v>870</v>
      </c>
    </row>
    <row r="7808" ht="15.75" customHeight="1">
      <c r="H7808" s="2" t="s">
        <v>36227</v>
      </c>
      <c r="I7808" s="2" t="s">
        <v>36228</v>
      </c>
      <c r="J7808" s="2" t="s">
        <v>36229</v>
      </c>
      <c r="K7808" s="2" t="s">
        <v>24137</v>
      </c>
      <c r="L7808" s="2" t="s">
        <v>31923</v>
      </c>
      <c r="M7808" s="2" t="s">
        <v>36230</v>
      </c>
      <c r="N7808" s="2" t="s">
        <v>36231</v>
      </c>
      <c r="O7808" s="2" t="s">
        <v>869</v>
      </c>
      <c r="P7808" s="2" t="s">
        <v>870</v>
      </c>
    </row>
    <row r="7809" ht="15.75" customHeight="1">
      <c r="B7809" s="2" t="s">
        <v>36232</v>
      </c>
      <c r="C7809" s="2" t="s">
        <v>1439</v>
      </c>
      <c r="D7809" s="2" t="s">
        <v>36233</v>
      </c>
      <c r="F7809" s="2" t="s">
        <v>19</v>
      </c>
      <c r="H7809" s="2" t="s">
        <v>36234</v>
      </c>
      <c r="I7809" s="2" t="s">
        <v>21</v>
      </c>
      <c r="J7809" s="2" t="s">
        <v>22</v>
      </c>
      <c r="K7809" s="2" t="s">
        <v>5995</v>
      </c>
      <c r="L7809" s="2" t="s">
        <v>36235</v>
      </c>
      <c r="M7809" s="2" t="s">
        <v>36236</v>
      </c>
      <c r="N7809" s="2" t="s">
        <v>36237</v>
      </c>
      <c r="O7809" s="2" t="s">
        <v>36238</v>
      </c>
      <c r="P7809" s="2" t="s">
        <v>36239</v>
      </c>
    </row>
    <row r="7810" ht="15.75" customHeight="1">
      <c r="F7810" s="2" t="s">
        <v>29</v>
      </c>
      <c r="H7810" s="2" t="s">
        <v>36240</v>
      </c>
      <c r="I7810" s="2" t="s">
        <v>31</v>
      </c>
      <c r="J7810" s="2" t="s">
        <v>32</v>
      </c>
      <c r="K7810" s="2" t="s">
        <v>6000</v>
      </c>
      <c r="L7810" s="2" t="s">
        <v>36235</v>
      </c>
      <c r="M7810" s="2" t="s">
        <v>36241</v>
      </c>
      <c r="N7810" s="2" t="s">
        <v>36242</v>
      </c>
      <c r="O7810" s="2" t="s">
        <v>36243</v>
      </c>
      <c r="P7810" s="2" t="s">
        <v>36244</v>
      </c>
    </row>
    <row r="7811" ht="15.75" customHeight="1">
      <c r="F7811" s="2" t="s">
        <v>39</v>
      </c>
      <c r="H7811" s="2" t="s">
        <v>36245</v>
      </c>
      <c r="I7811" s="2" t="s">
        <v>12490</v>
      </c>
      <c r="J7811" s="2" t="s">
        <v>12491</v>
      </c>
      <c r="K7811" s="2" t="s">
        <v>24566</v>
      </c>
      <c r="L7811" s="2" t="s">
        <v>36235</v>
      </c>
      <c r="M7811" s="2" t="s">
        <v>36246</v>
      </c>
      <c r="N7811" s="2" t="s">
        <v>36247</v>
      </c>
      <c r="O7811" s="2" t="s">
        <v>36248</v>
      </c>
      <c r="P7811" s="2" t="s">
        <v>36249</v>
      </c>
    </row>
    <row r="7812" ht="15.75" customHeight="1">
      <c r="F7812" s="2" t="s">
        <v>65</v>
      </c>
      <c r="H7812" s="2" t="s">
        <v>36250</v>
      </c>
      <c r="I7812" s="2" t="s">
        <v>67</v>
      </c>
      <c r="J7812" s="2" t="s">
        <v>68</v>
      </c>
      <c r="K7812" s="2" t="s">
        <v>24665</v>
      </c>
      <c r="L7812" s="2" t="s">
        <v>36235</v>
      </c>
      <c r="M7812" s="2" t="s">
        <v>36251</v>
      </c>
      <c r="N7812" s="2" t="s">
        <v>36252</v>
      </c>
      <c r="O7812" s="2" t="s">
        <v>36253</v>
      </c>
      <c r="P7812" s="2" t="s">
        <v>13841</v>
      </c>
    </row>
    <row r="7813" ht="15.75" customHeight="1">
      <c r="F7813" s="2" t="s">
        <v>74</v>
      </c>
      <c r="H7813" s="2" t="s">
        <v>36254</v>
      </c>
      <c r="I7813" s="2" t="s">
        <v>76</v>
      </c>
      <c r="J7813" s="2" t="s">
        <v>77</v>
      </c>
      <c r="K7813" s="2" t="s">
        <v>15779</v>
      </c>
      <c r="L7813" s="2" t="s">
        <v>36255</v>
      </c>
      <c r="M7813" s="2" t="s">
        <v>36256</v>
      </c>
      <c r="N7813" s="2" t="s">
        <v>36257</v>
      </c>
      <c r="O7813" s="2" t="s">
        <v>36258</v>
      </c>
      <c r="P7813" s="2" t="s">
        <v>36259</v>
      </c>
    </row>
    <row r="7814" ht="15.75" customHeight="1">
      <c r="H7814" s="2" t="s">
        <v>36260</v>
      </c>
      <c r="I7814" s="2" t="s">
        <v>36261</v>
      </c>
      <c r="J7814" s="2" t="s">
        <v>36262</v>
      </c>
      <c r="K7814" s="2" t="s">
        <v>25287</v>
      </c>
      <c r="L7814" s="2" t="s">
        <v>36263</v>
      </c>
      <c r="M7814" s="2" t="s">
        <v>36264</v>
      </c>
      <c r="N7814" s="2" t="s">
        <v>36265</v>
      </c>
      <c r="O7814" s="2" t="s">
        <v>36266</v>
      </c>
      <c r="P7814" s="2" t="s">
        <v>36267</v>
      </c>
    </row>
    <row r="7815" ht="15.75" customHeight="1">
      <c r="H7815" s="2" t="s">
        <v>36268</v>
      </c>
      <c r="I7815" s="2" t="s">
        <v>36269</v>
      </c>
      <c r="J7815" s="2" t="s">
        <v>36270</v>
      </c>
      <c r="K7815" s="2" t="s">
        <v>36271</v>
      </c>
      <c r="L7815" s="2" t="s">
        <v>36235</v>
      </c>
      <c r="M7815" s="2" t="s">
        <v>36272</v>
      </c>
      <c r="N7815" s="2" t="s">
        <v>36273</v>
      </c>
      <c r="O7815" s="2" t="s">
        <v>36274</v>
      </c>
      <c r="P7815" s="2" t="s">
        <v>36275</v>
      </c>
    </row>
    <row r="7816" ht="15.75" customHeight="1">
      <c r="H7816" s="2" t="s">
        <v>36276</v>
      </c>
      <c r="I7816" s="2" t="s">
        <v>7081</v>
      </c>
      <c r="J7816" s="2" t="s">
        <v>7082</v>
      </c>
      <c r="K7816" s="2" t="s">
        <v>24655</v>
      </c>
      <c r="L7816" s="2" t="s">
        <v>36235</v>
      </c>
      <c r="M7816" s="2" t="s">
        <v>36277</v>
      </c>
      <c r="N7816" s="2" t="s">
        <v>36278</v>
      </c>
      <c r="O7816" s="2" t="s">
        <v>36279</v>
      </c>
      <c r="P7816" s="2" t="s">
        <v>36280</v>
      </c>
    </row>
    <row r="7817" ht="15.75" customHeight="1">
      <c r="H7817" s="2" t="s">
        <v>36281</v>
      </c>
      <c r="I7817" s="2" t="s">
        <v>1663</v>
      </c>
      <c r="J7817" s="2" t="s">
        <v>1664</v>
      </c>
      <c r="K7817" s="2" t="s">
        <v>24288</v>
      </c>
      <c r="L7817" s="2" t="s">
        <v>36235</v>
      </c>
      <c r="M7817" s="2" t="s">
        <v>36282</v>
      </c>
      <c r="N7817" s="2" t="s">
        <v>36283</v>
      </c>
      <c r="O7817" s="2" t="s">
        <v>36284</v>
      </c>
      <c r="P7817" s="2" t="s">
        <v>36285</v>
      </c>
    </row>
    <row r="7818" ht="15.75" customHeight="1">
      <c r="H7818" s="2" t="s">
        <v>36286</v>
      </c>
      <c r="I7818" s="2" t="s">
        <v>12530</v>
      </c>
      <c r="J7818" s="2" t="s">
        <v>12531</v>
      </c>
      <c r="K7818" s="2" t="s">
        <v>12361</v>
      </c>
    </row>
    <row r="7819" ht="15.75" customHeight="1">
      <c r="H7819" s="2" t="s">
        <v>36287</v>
      </c>
      <c r="I7819" s="2" t="s">
        <v>31564</v>
      </c>
      <c r="J7819" s="2" t="s">
        <v>31565</v>
      </c>
      <c r="K7819" s="2" t="s">
        <v>31566</v>
      </c>
      <c r="L7819" s="2" t="s">
        <v>36235</v>
      </c>
      <c r="M7819" s="2" t="s">
        <v>36288</v>
      </c>
      <c r="N7819" s="2" t="s">
        <v>36289</v>
      </c>
      <c r="O7819" s="2" t="s">
        <v>36290</v>
      </c>
      <c r="P7819" s="2" t="s">
        <v>36291</v>
      </c>
    </row>
    <row r="7820" ht="15.75" customHeight="1">
      <c r="H7820" s="2" t="s">
        <v>36292</v>
      </c>
      <c r="I7820" s="2" t="s">
        <v>167</v>
      </c>
      <c r="J7820" s="2" t="s">
        <v>168</v>
      </c>
      <c r="K7820" s="2" t="s">
        <v>15784</v>
      </c>
      <c r="L7820" s="2" t="s">
        <v>36293</v>
      </c>
      <c r="M7820" s="2" t="s">
        <v>36294</v>
      </c>
      <c r="N7820" s="2" t="s">
        <v>36295</v>
      </c>
      <c r="O7820" s="2" t="s">
        <v>36296</v>
      </c>
      <c r="P7820" s="2" t="s">
        <v>36297</v>
      </c>
    </row>
    <row r="7821" ht="15.75" customHeight="1">
      <c r="H7821" s="2" t="s">
        <v>36298</v>
      </c>
      <c r="I7821" s="2" t="s">
        <v>176</v>
      </c>
      <c r="J7821" s="2" t="s">
        <v>177</v>
      </c>
      <c r="K7821" s="2" t="s">
        <v>6015</v>
      </c>
      <c r="L7821" s="2" t="s">
        <v>36299</v>
      </c>
      <c r="M7821" s="2" t="s">
        <v>36300</v>
      </c>
      <c r="N7821" s="2" t="s">
        <v>36301</v>
      </c>
      <c r="O7821" s="2" t="s">
        <v>36302</v>
      </c>
      <c r="P7821" s="2" t="s">
        <v>36303</v>
      </c>
    </row>
    <row r="7822" ht="15.75" customHeight="1">
      <c r="H7822" s="2" t="s">
        <v>36304</v>
      </c>
      <c r="I7822" s="2" t="s">
        <v>36305</v>
      </c>
      <c r="J7822" s="2" t="s">
        <v>36306</v>
      </c>
      <c r="K7822" s="2" t="s">
        <v>36307</v>
      </c>
      <c r="L7822" s="2" t="s">
        <v>36235</v>
      </c>
      <c r="M7822" s="2" t="s">
        <v>36308</v>
      </c>
      <c r="N7822" s="2" t="s">
        <v>36309</v>
      </c>
      <c r="O7822" s="2" t="s">
        <v>36310</v>
      </c>
      <c r="P7822" s="2" t="s">
        <v>36311</v>
      </c>
    </row>
    <row r="7823" ht="15.75" customHeight="1">
      <c r="H7823" s="2" t="s">
        <v>36312</v>
      </c>
      <c r="I7823" s="2" t="s">
        <v>12540</v>
      </c>
      <c r="J7823" s="2" t="s">
        <v>12541</v>
      </c>
      <c r="K7823" s="2" t="s">
        <v>36313</v>
      </c>
      <c r="L7823" s="2" t="s">
        <v>36235</v>
      </c>
      <c r="M7823" s="2" t="s">
        <v>36314</v>
      </c>
      <c r="N7823" s="2" t="s">
        <v>36315</v>
      </c>
      <c r="O7823" s="2" t="s">
        <v>36316</v>
      </c>
      <c r="P7823" s="2" t="s">
        <v>36317</v>
      </c>
    </row>
    <row r="7824" ht="15.75" customHeight="1">
      <c r="H7824" s="2" t="s">
        <v>36318</v>
      </c>
      <c r="I7824" s="2" t="s">
        <v>1729</v>
      </c>
      <c r="J7824" s="2" t="s">
        <v>1730</v>
      </c>
      <c r="K7824" s="2" t="s">
        <v>22041</v>
      </c>
      <c r="L7824" s="2" t="s">
        <v>36235</v>
      </c>
      <c r="M7824" s="2" t="s">
        <v>36319</v>
      </c>
      <c r="N7824" s="2" t="s">
        <v>36320</v>
      </c>
      <c r="O7824" s="2" t="s">
        <v>36321</v>
      </c>
      <c r="P7824" s="2" t="s">
        <v>36322</v>
      </c>
    </row>
    <row r="7825" ht="15.75" customHeight="1">
      <c r="H7825" s="2" t="s">
        <v>36323</v>
      </c>
      <c r="I7825" s="2" t="s">
        <v>201</v>
      </c>
      <c r="J7825" s="2" t="s">
        <v>202</v>
      </c>
      <c r="K7825" s="2" t="s">
        <v>36324</v>
      </c>
      <c r="L7825" s="2" t="s">
        <v>36235</v>
      </c>
      <c r="M7825" s="2" t="s">
        <v>36325</v>
      </c>
      <c r="N7825" s="2" t="s">
        <v>36326</v>
      </c>
      <c r="O7825" s="2" t="s">
        <v>36327</v>
      </c>
      <c r="P7825" s="2" t="s">
        <v>36328</v>
      </c>
    </row>
    <row r="7826" ht="15.75" customHeight="1">
      <c r="H7826" s="2" t="s">
        <v>36329</v>
      </c>
      <c r="I7826" s="2" t="s">
        <v>12186</v>
      </c>
      <c r="J7826" s="2" t="s">
        <v>12187</v>
      </c>
      <c r="K7826" s="2" t="s">
        <v>24749</v>
      </c>
      <c r="L7826" s="2" t="s">
        <v>36235</v>
      </c>
      <c r="M7826" s="2" t="s">
        <v>36330</v>
      </c>
      <c r="N7826" s="2" t="s">
        <v>36331</v>
      </c>
      <c r="O7826" s="2" t="s">
        <v>36332</v>
      </c>
      <c r="P7826" s="2" t="s">
        <v>36333</v>
      </c>
    </row>
    <row r="7827" ht="15.75" customHeight="1">
      <c r="H7827" s="2" t="s">
        <v>36334</v>
      </c>
      <c r="I7827" s="2" t="s">
        <v>1766</v>
      </c>
      <c r="J7827" s="2" t="s">
        <v>1767</v>
      </c>
      <c r="K7827" s="2" t="s">
        <v>31089</v>
      </c>
      <c r="L7827" s="2" t="s">
        <v>36235</v>
      </c>
      <c r="M7827" s="2" t="s">
        <v>36335</v>
      </c>
      <c r="N7827" s="2" t="s">
        <v>36336</v>
      </c>
      <c r="O7827" s="2" t="s">
        <v>36337</v>
      </c>
      <c r="P7827" s="2" t="s">
        <v>36338</v>
      </c>
    </row>
    <row r="7828" ht="15.75" customHeight="1">
      <c r="H7828" s="2" t="s">
        <v>36339</v>
      </c>
      <c r="I7828" s="2" t="s">
        <v>225</v>
      </c>
      <c r="J7828" s="2" t="s">
        <v>226</v>
      </c>
      <c r="K7828" s="2" t="s">
        <v>24160</v>
      </c>
      <c r="L7828" s="2" t="s">
        <v>36235</v>
      </c>
      <c r="M7828" s="2" t="s">
        <v>36340</v>
      </c>
      <c r="N7828" s="2" t="s">
        <v>36341</v>
      </c>
      <c r="O7828" s="2" t="s">
        <v>36342</v>
      </c>
      <c r="P7828" s="2" t="s">
        <v>36343</v>
      </c>
    </row>
    <row r="7829" ht="15.75" customHeight="1">
      <c r="F7829" s="2" t="s">
        <v>265</v>
      </c>
      <c r="H7829" s="2" t="s">
        <v>36344</v>
      </c>
      <c r="I7829" s="2" t="s">
        <v>267</v>
      </c>
      <c r="J7829" s="2" t="s">
        <v>268</v>
      </c>
      <c r="K7829" s="2" t="s">
        <v>6019</v>
      </c>
      <c r="L7829" s="2" t="s">
        <v>36235</v>
      </c>
      <c r="M7829" s="2" t="s">
        <v>36345</v>
      </c>
      <c r="N7829" s="2" t="s">
        <v>36346</v>
      </c>
      <c r="O7829" s="2" t="s">
        <v>36347</v>
      </c>
      <c r="P7829" s="2" t="s">
        <v>36348</v>
      </c>
    </row>
    <row r="7830" ht="15.75" customHeight="1">
      <c r="H7830" s="2" t="s">
        <v>36349</v>
      </c>
      <c r="I7830" s="2" t="s">
        <v>5378</v>
      </c>
      <c r="J7830" s="2" t="s">
        <v>5379</v>
      </c>
      <c r="K7830" s="2" t="s">
        <v>25133</v>
      </c>
      <c r="L7830" s="2" t="s">
        <v>36235</v>
      </c>
      <c r="M7830" s="2" t="s">
        <v>36350</v>
      </c>
      <c r="N7830" s="2" t="s">
        <v>36351</v>
      </c>
      <c r="O7830" s="2" t="s">
        <v>36352</v>
      </c>
      <c r="P7830" s="2" t="s">
        <v>31627</v>
      </c>
    </row>
    <row r="7831" ht="15.75" customHeight="1">
      <c r="H7831" s="2" t="s">
        <v>36353</v>
      </c>
      <c r="I7831" s="2" t="s">
        <v>36354</v>
      </c>
      <c r="J7831" s="2" t="s">
        <v>36355</v>
      </c>
      <c r="K7831" s="2" t="s">
        <v>36356</v>
      </c>
      <c r="L7831" s="2" t="s">
        <v>36235</v>
      </c>
      <c r="M7831" s="2" t="s">
        <v>36357</v>
      </c>
      <c r="N7831" s="2" t="s">
        <v>36358</v>
      </c>
      <c r="O7831" s="2" t="s">
        <v>36359</v>
      </c>
      <c r="P7831" s="2" t="s">
        <v>36360</v>
      </c>
    </row>
    <row r="7832" ht="15.75" customHeight="1">
      <c r="F7832" s="2" t="s">
        <v>274</v>
      </c>
      <c r="H7832" s="2" t="s">
        <v>36361</v>
      </c>
      <c r="I7832" s="2" t="s">
        <v>36362</v>
      </c>
      <c r="J7832" s="2" t="s">
        <v>36363</v>
      </c>
      <c r="K7832" s="2" t="s">
        <v>865</v>
      </c>
    </row>
    <row r="7833" ht="15.75" customHeight="1">
      <c r="F7833" s="2" t="s">
        <v>284</v>
      </c>
      <c r="H7833" s="2" t="s">
        <v>36364</v>
      </c>
      <c r="I7833" s="2" t="s">
        <v>18041</v>
      </c>
      <c r="J7833" s="2" t="s">
        <v>18042</v>
      </c>
      <c r="K7833" s="2" t="s">
        <v>15779</v>
      </c>
      <c r="L7833" s="2" t="s">
        <v>36235</v>
      </c>
      <c r="M7833" s="2" t="s">
        <v>36365</v>
      </c>
      <c r="N7833" s="2" t="s">
        <v>36366</v>
      </c>
      <c r="O7833" s="2" t="s">
        <v>36367</v>
      </c>
      <c r="P7833" s="2" t="s">
        <v>36368</v>
      </c>
    </row>
    <row r="7834" ht="15.75" customHeight="1">
      <c r="H7834" s="2" t="s">
        <v>36369</v>
      </c>
      <c r="I7834" s="2" t="s">
        <v>32966</v>
      </c>
      <c r="J7834" s="2" t="s">
        <v>32967</v>
      </c>
      <c r="K7834" s="2" t="s">
        <v>22462</v>
      </c>
      <c r="L7834" s="2" t="s">
        <v>36370</v>
      </c>
      <c r="M7834" s="2" t="s">
        <v>36371</v>
      </c>
      <c r="N7834" s="2" t="s">
        <v>36372</v>
      </c>
      <c r="O7834" s="2" t="s">
        <v>36373</v>
      </c>
      <c r="P7834" s="2" t="s">
        <v>36374</v>
      </c>
    </row>
    <row r="7835" ht="15.75" customHeight="1">
      <c r="H7835" s="2" t="s">
        <v>36375</v>
      </c>
      <c r="I7835" s="2" t="s">
        <v>7688</v>
      </c>
      <c r="J7835" s="2" t="s">
        <v>7689</v>
      </c>
      <c r="K7835" s="2" t="s">
        <v>24665</v>
      </c>
      <c r="L7835" s="2" t="s">
        <v>36235</v>
      </c>
      <c r="M7835" s="2" t="s">
        <v>36376</v>
      </c>
      <c r="N7835" s="2" t="s">
        <v>36377</v>
      </c>
      <c r="O7835" s="2" t="s">
        <v>36378</v>
      </c>
      <c r="P7835" s="2" t="s">
        <v>36379</v>
      </c>
    </row>
    <row r="7836" ht="15.75" customHeight="1">
      <c r="H7836" s="2" t="s">
        <v>36380</v>
      </c>
      <c r="I7836" s="2" t="s">
        <v>6023</v>
      </c>
      <c r="J7836" s="2" t="s">
        <v>6024</v>
      </c>
      <c r="K7836" s="2" t="s">
        <v>6025</v>
      </c>
      <c r="L7836" s="2" t="s">
        <v>36235</v>
      </c>
      <c r="M7836" s="2" t="s">
        <v>36381</v>
      </c>
      <c r="N7836" s="2" t="s">
        <v>36382</v>
      </c>
      <c r="O7836" s="2" t="s">
        <v>36383</v>
      </c>
      <c r="P7836" s="2" t="s">
        <v>36384</v>
      </c>
    </row>
    <row r="7837" ht="15.75" customHeight="1">
      <c r="H7837" s="2" t="s">
        <v>36385</v>
      </c>
      <c r="I7837" s="2" t="s">
        <v>5403</v>
      </c>
      <c r="J7837" s="2" t="s">
        <v>5404</v>
      </c>
      <c r="K7837" s="2" t="s">
        <v>25009</v>
      </c>
      <c r="L7837" s="2" t="s">
        <v>36235</v>
      </c>
      <c r="M7837" s="2" t="s">
        <v>36386</v>
      </c>
      <c r="N7837" s="2" t="s">
        <v>36387</v>
      </c>
      <c r="O7837" s="2" t="s">
        <v>36388</v>
      </c>
      <c r="P7837" s="2" t="s">
        <v>36389</v>
      </c>
    </row>
    <row r="7838" ht="15.75" customHeight="1">
      <c r="H7838" s="2" t="s">
        <v>36390</v>
      </c>
      <c r="I7838" s="2" t="s">
        <v>36391</v>
      </c>
      <c r="J7838" s="2" t="s">
        <v>36392</v>
      </c>
      <c r="K7838" s="2" t="s">
        <v>36393</v>
      </c>
      <c r="L7838" s="2" t="s">
        <v>36235</v>
      </c>
      <c r="M7838" s="2" t="s">
        <v>36394</v>
      </c>
      <c r="N7838" s="2" t="s">
        <v>36395</v>
      </c>
      <c r="O7838" s="2" t="s">
        <v>36396</v>
      </c>
      <c r="P7838" s="2" t="s">
        <v>36397</v>
      </c>
    </row>
    <row r="7839" ht="15.75" customHeight="1">
      <c r="H7839" s="2" t="s">
        <v>36398</v>
      </c>
      <c r="I7839" s="2" t="s">
        <v>286</v>
      </c>
      <c r="J7839" s="2" t="s">
        <v>287</v>
      </c>
      <c r="K7839" s="2" t="s">
        <v>15801</v>
      </c>
      <c r="L7839" s="2" t="s">
        <v>36399</v>
      </c>
      <c r="M7839" s="2" t="s">
        <v>36400</v>
      </c>
      <c r="N7839" s="2" t="s">
        <v>36401</v>
      </c>
      <c r="O7839" s="2" t="s">
        <v>36402</v>
      </c>
      <c r="P7839" s="2" t="s">
        <v>36403</v>
      </c>
    </row>
    <row r="7840" ht="15.75" customHeight="1">
      <c r="H7840" s="2" t="s">
        <v>36404</v>
      </c>
      <c r="I7840" s="2" t="s">
        <v>12601</v>
      </c>
      <c r="J7840" s="2" t="s">
        <v>12602</v>
      </c>
      <c r="K7840" s="2" t="s">
        <v>24368</v>
      </c>
      <c r="L7840" s="2" t="s">
        <v>36235</v>
      </c>
      <c r="M7840" s="2" t="s">
        <v>36405</v>
      </c>
      <c r="N7840" s="2" t="s">
        <v>36406</v>
      </c>
      <c r="O7840" s="2" t="s">
        <v>36407</v>
      </c>
      <c r="P7840" s="2" t="s">
        <v>36408</v>
      </c>
    </row>
    <row r="7841" ht="15.75" customHeight="1">
      <c r="H7841" s="2" t="s">
        <v>36409</v>
      </c>
      <c r="I7841" s="2" t="s">
        <v>294</v>
      </c>
      <c r="J7841" s="2" t="s">
        <v>295</v>
      </c>
      <c r="K7841" s="2" t="s">
        <v>6054</v>
      </c>
      <c r="L7841" s="2" t="s">
        <v>36235</v>
      </c>
      <c r="M7841" s="2" t="s">
        <v>36410</v>
      </c>
      <c r="N7841" s="2" t="s">
        <v>36411</v>
      </c>
      <c r="O7841" s="2" t="s">
        <v>36412</v>
      </c>
      <c r="P7841" s="2" t="s">
        <v>36413</v>
      </c>
    </row>
    <row r="7842" ht="15.75" customHeight="1">
      <c r="H7842" s="2" t="s">
        <v>36414</v>
      </c>
      <c r="I7842" s="2" t="s">
        <v>5889</v>
      </c>
      <c r="J7842" s="2" t="s">
        <v>5890</v>
      </c>
      <c r="K7842" s="2" t="s">
        <v>15805</v>
      </c>
      <c r="L7842" s="2" t="s">
        <v>36415</v>
      </c>
      <c r="M7842" s="2" t="s">
        <v>36416</v>
      </c>
      <c r="N7842" s="2" t="s">
        <v>36417</v>
      </c>
      <c r="O7842" s="2" t="s">
        <v>36418</v>
      </c>
      <c r="P7842" s="2" t="s">
        <v>36419</v>
      </c>
    </row>
    <row r="7843" ht="15.75" customHeight="1">
      <c r="H7843" s="2" t="s">
        <v>36420</v>
      </c>
      <c r="I7843" s="2" t="s">
        <v>302</v>
      </c>
      <c r="J7843" s="2" t="s">
        <v>303</v>
      </c>
      <c r="K7843" s="2" t="s">
        <v>15796</v>
      </c>
      <c r="L7843" s="2" t="s">
        <v>36235</v>
      </c>
      <c r="M7843" s="2" t="s">
        <v>36421</v>
      </c>
      <c r="N7843" s="2" t="s">
        <v>36422</v>
      </c>
      <c r="O7843" s="2" t="s">
        <v>36423</v>
      </c>
      <c r="P7843" s="2" t="s">
        <v>36424</v>
      </c>
    </row>
    <row r="7844" ht="15.75" customHeight="1">
      <c r="H7844" s="2" t="s">
        <v>36425</v>
      </c>
      <c r="I7844" s="2" t="s">
        <v>12221</v>
      </c>
      <c r="J7844" s="2" t="s">
        <v>12222</v>
      </c>
      <c r="K7844" s="2" t="s">
        <v>25128</v>
      </c>
      <c r="L7844" s="2" t="s">
        <v>36426</v>
      </c>
      <c r="M7844" s="2" t="s">
        <v>36427</v>
      </c>
      <c r="N7844" s="2" t="s">
        <v>36428</v>
      </c>
      <c r="O7844" s="2" t="s">
        <v>36429</v>
      </c>
      <c r="P7844" s="2" t="s">
        <v>36430</v>
      </c>
    </row>
    <row r="7845" ht="15.75" customHeight="1">
      <c r="H7845" s="2" t="s">
        <v>36431</v>
      </c>
      <c r="I7845" s="2" t="s">
        <v>36432</v>
      </c>
      <c r="J7845" s="2" t="s">
        <v>36433</v>
      </c>
      <c r="K7845" s="2" t="s">
        <v>22104</v>
      </c>
      <c r="L7845" s="2" t="s">
        <v>36235</v>
      </c>
      <c r="M7845" s="2" t="s">
        <v>36434</v>
      </c>
      <c r="N7845" s="2" t="s">
        <v>36435</v>
      </c>
      <c r="O7845" s="2" t="s">
        <v>36436</v>
      </c>
      <c r="P7845" s="2" t="s">
        <v>13924</v>
      </c>
    </row>
    <row r="7846" ht="15.75" customHeight="1">
      <c r="H7846" s="2" t="s">
        <v>36437</v>
      </c>
      <c r="I7846" s="2" t="s">
        <v>310</v>
      </c>
      <c r="J7846" s="2" t="s">
        <v>311</v>
      </c>
      <c r="K7846" s="2" t="s">
        <v>15809</v>
      </c>
      <c r="L7846" s="2" t="s">
        <v>36438</v>
      </c>
      <c r="M7846" s="2" t="s">
        <v>36439</v>
      </c>
      <c r="N7846" s="2" t="s">
        <v>36440</v>
      </c>
      <c r="O7846" s="2" t="s">
        <v>36441</v>
      </c>
      <c r="P7846" s="2" t="s">
        <v>36442</v>
      </c>
    </row>
    <row r="7847" ht="15.75" customHeight="1">
      <c r="H7847" s="2" t="s">
        <v>36443</v>
      </c>
      <c r="I7847" s="2" t="s">
        <v>36444</v>
      </c>
      <c r="J7847" s="2" t="s">
        <v>36445</v>
      </c>
      <c r="K7847" s="2" t="s">
        <v>36446</v>
      </c>
      <c r="L7847" s="2" t="s">
        <v>36235</v>
      </c>
      <c r="M7847" s="2" t="s">
        <v>36447</v>
      </c>
      <c r="N7847" s="2" t="s">
        <v>36448</v>
      </c>
      <c r="O7847" s="2" t="s">
        <v>36449</v>
      </c>
      <c r="P7847" s="2" t="s">
        <v>36450</v>
      </c>
    </row>
    <row r="7848" ht="15.75" customHeight="1">
      <c r="H7848" s="2" t="s">
        <v>36451</v>
      </c>
      <c r="I7848" s="2" t="s">
        <v>12234</v>
      </c>
      <c r="J7848" s="2" t="s">
        <v>12235</v>
      </c>
      <c r="K7848" s="2" t="s">
        <v>25133</v>
      </c>
      <c r="L7848" s="2" t="s">
        <v>36235</v>
      </c>
      <c r="M7848" s="2" t="s">
        <v>36452</v>
      </c>
      <c r="N7848" s="2" t="s">
        <v>36453</v>
      </c>
      <c r="O7848" s="2" t="s">
        <v>36454</v>
      </c>
      <c r="P7848" s="2" t="s">
        <v>36455</v>
      </c>
    </row>
    <row r="7849" ht="15.75" customHeight="1">
      <c r="H7849" s="2" t="s">
        <v>36456</v>
      </c>
      <c r="I7849" s="2" t="s">
        <v>326</v>
      </c>
      <c r="J7849" s="2" t="s">
        <v>327</v>
      </c>
      <c r="K7849" s="2" t="s">
        <v>6068</v>
      </c>
      <c r="L7849" s="2" t="s">
        <v>36457</v>
      </c>
      <c r="M7849" s="2" t="s">
        <v>36458</v>
      </c>
      <c r="N7849" s="2" t="s">
        <v>36459</v>
      </c>
      <c r="O7849" s="2" t="s">
        <v>36460</v>
      </c>
      <c r="P7849" s="2" t="s">
        <v>36461</v>
      </c>
    </row>
    <row r="7850" ht="15.75" customHeight="1">
      <c r="H7850" s="2" t="s">
        <v>36462</v>
      </c>
      <c r="I7850" s="2" t="s">
        <v>6326</v>
      </c>
      <c r="J7850" s="2" t="s">
        <v>6327</v>
      </c>
      <c r="K7850" s="2" t="s">
        <v>6033</v>
      </c>
      <c r="L7850" s="2" t="s">
        <v>36235</v>
      </c>
      <c r="M7850" s="2" t="s">
        <v>36463</v>
      </c>
      <c r="N7850" s="2" t="s">
        <v>36464</v>
      </c>
      <c r="O7850" s="2" t="s">
        <v>36465</v>
      </c>
      <c r="P7850" s="2" t="s">
        <v>13602</v>
      </c>
    </row>
    <row r="7851" ht="15.75" customHeight="1">
      <c r="H7851" s="2" t="s">
        <v>36466</v>
      </c>
      <c r="I7851" s="2" t="s">
        <v>5436</v>
      </c>
      <c r="J7851" s="2" t="s">
        <v>5437</v>
      </c>
      <c r="K7851" s="2" t="s">
        <v>24063</v>
      </c>
      <c r="L7851" s="2" t="s">
        <v>36235</v>
      </c>
      <c r="M7851" s="2" t="s">
        <v>36467</v>
      </c>
      <c r="N7851" s="2" t="s">
        <v>36468</v>
      </c>
      <c r="O7851" s="2" t="s">
        <v>36469</v>
      </c>
      <c r="P7851" s="2" t="s">
        <v>13916</v>
      </c>
    </row>
    <row r="7852" ht="15.75" customHeight="1">
      <c r="H7852" s="2" t="s">
        <v>36470</v>
      </c>
      <c r="I7852" s="2" t="s">
        <v>335</v>
      </c>
      <c r="J7852" s="2" t="s">
        <v>336</v>
      </c>
      <c r="K7852" s="2" t="s">
        <v>15823</v>
      </c>
      <c r="L7852" s="2" t="s">
        <v>36471</v>
      </c>
      <c r="M7852" s="2" t="s">
        <v>36472</v>
      </c>
      <c r="N7852" s="2" t="s">
        <v>36473</v>
      </c>
      <c r="O7852" s="2" t="s">
        <v>36474</v>
      </c>
      <c r="P7852" s="2" t="s">
        <v>36475</v>
      </c>
    </row>
    <row r="7853" ht="15.75" customHeight="1">
      <c r="H7853" s="2" t="s">
        <v>36476</v>
      </c>
      <c r="I7853" s="2" t="s">
        <v>352</v>
      </c>
      <c r="J7853" s="2" t="s">
        <v>353</v>
      </c>
      <c r="K7853" s="2" t="s">
        <v>15827</v>
      </c>
      <c r="L7853" s="2" t="s">
        <v>36235</v>
      </c>
      <c r="M7853" s="2" t="s">
        <v>36477</v>
      </c>
      <c r="N7853" s="2" t="s">
        <v>36478</v>
      </c>
      <c r="O7853" s="2" t="s">
        <v>36479</v>
      </c>
      <c r="P7853" s="2" t="s">
        <v>16146</v>
      </c>
    </row>
    <row r="7854" ht="15.75" customHeight="1">
      <c r="H7854" s="2" t="s">
        <v>36480</v>
      </c>
      <c r="I7854" s="2" t="s">
        <v>376</v>
      </c>
      <c r="J7854" s="2" t="s">
        <v>377</v>
      </c>
      <c r="K7854" s="2" t="s">
        <v>24004</v>
      </c>
      <c r="L7854" s="2" t="s">
        <v>36235</v>
      </c>
      <c r="M7854" s="2" t="s">
        <v>36481</v>
      </c>
      <c r="N7854" s="2" t="s">
        <v>36482</v>
      </c>
      <c r="O7854" s="2" t="s">
        <v>36483</v>
      </c>
      <c r="P7854" s="2" t="s">
        <v>36484</v>
      </c>
    </row>
    <row r="7855" ht="15.75" customHeight="1">
      <c r="H7855" s="2" t="s">
        <v>36485</v>
      </c>
      <c r="I7855" s="2" t="s">
        <v>384</v>
      </c>
      <c r="J7855" s="2" t="s">
        <v>385</v>
      </c>
      <c r="K7855" s="2" t="s">
        <v>32902</v>
      </c>
      <c r="L7855" s="2" t="s">
        <v>36235</v>
      </c>
      <c r="M7855" s="2" t="s">
        <v>36486</v>
      </c>
      <c r="N7855" s="2" t="s">
        <v>36487</v>
      </c>
      <c r="O7855" s="2" t="s">
        <v>36488</v>
      </c>
      <c r="P7855" s="2" t="s">
        <v>36489</v>
      </c>
    </row>
    <row r="7856" ht="15.75" customHeight="1">
      <c r="H7856" s="2" t="s">
        <v>36490</v>
      </c>
      <c r="I7856" s="2" t="s">
        <v>409</v>
      </c>
      <c r="J7856" s="2" t="s">
        <v>410</v>
      </c>
      <c r="K7856" s="2" t="s">
        <v>24935</v>
      </c>
      <c r="L7856" s="2" t="s">
        <v>36235</v>
      </c>
      <c r="M7856" s="2" t="s">
        <v>36491</v>
      </c>
      <c r="N7856" s="2" t="s">
        <v>36492</v>
      </c>
      <c r="O7856" s="2" t="s">
        <v>36493</v>
      </c>
      <c r="P7856" s="2" t="s">
        <v>36494</v>
      </c>
    </row>
    <row r="7857" ht="15.75" customHeight="1">
      <c r="H7857" s="2" t="s">
        <v>36495</v>
      </c>
      <c r="I7857" s="2" t="s">
        <v>23283</v>
      </c>
      <c r="J7857" s="2" t="s">
        <v>23284</v>
      </c>
      <c r="K7857" s="2" t="s">
        <v>15831</v>
      </c>
      <c r="L7857" s="2" t="s">
        <v>36496</v>
      </c>
      <c r="M7857" s="2" t="s">
        <v>36497</v>
      </c>
      <c r="N7857" s="2" t="s">
        <v>36498</v>
      </c>
      <c r="O7857" s="2" t="s">
        <v>36499</v>
      </c>
      <c r="P7857" s="2" t="s">
        <v>36500</v>
      </c>
    </row>
    <row r="7858" ht="15.75" customHeight="1">
      <c r="H7858" s="2" t="s">
        <v>36501</v>
      </c>
      <c r="I7858" s="2" t="s">
        <v>432</v>
      </c>
      <c r="J7858" s="2" t="s">
        <v>433</v>
      </c>
      <c r="K7858" s="2" t="s">
        <v>15827</v>
      </c>
      <c r="L7858" s="2" t="s">
        <v>36235</v>
      </c>
      <c r="M7858" s="2" t="s">
        <v>36502</v>
      </c>
      <c r="N7858" s="2" t="s">
        <v>36503</v>
      </c>
      <c r="O7858" s="2" t="s">
        <v>36504</v>
      </c>
      <c r="P7858" s="2" t="s">
        <v>36505</v>
      </c>
    </row>
    <row r="7859" ht="15.75" customHeight="1">
      <c r="H7859" s="2" t="s">
        <v>36506</v>
      </c>
      <c r="I7859" s="2" t="s">
        <v>36507</v>
      </c>
      <c r="J7859" s="2" t="s">
        <v>36508</v>
      </c>
      <c r="K7859" s="2" t="s">
        <v>36509</v>
      </c>
      <c r="L7859" s="2" t="s">
        <v>36235</v>
      </c>
      <c r="M7859" s="2" t="s">
        <v>36510</v>
      </c>
      <c r="N7859" s="2" t="s">
        <v>36511</v>
      </c>
      <c r="O7859" s="2" t="s">
        <v>36512</v>
      </c>
      <c r="P7859" s="2" t="s">
        <v>36450</v>
      </c>
    </row>
    <row r="7860" ht="15.75" customHeight="1">
      <c r="H7860" s="2" t="s">
        <v>36513</v>
      </c>
      <c r="I7860" s="2" t="s">
        <v>36514</v>
      </c>
      <c r="J7860" s="2" t="s">
        <v>36515</v>
      </c>
      <c r="K7860" s="2" t="s">
        <v>24004</v>
      </c>
      <c r="L7860" s="2" t="s">
        <v>36235</v>
      </c>
      <c r="M7860" s="2" t="s">
        <v>36516</v>
      </c>
      <c r="N7860" s="2" t="s">
        <v>36517</v>
      </c>
      <c r="O7860" s="2" t="s">
        <v>36518</v>
      </c>
      <c r="P7860" s="2" t="s">
        <v>36519</v>
      </c>
    </row>
    <row r="7861" ht="15.75" customHeight="1">
      <c r="H7861" s="2" t="s">
        <v>36520</v>
      </c>
      <c r="I7861" s="2" t="s">
        <v>36521</v>
      </c>
      <c r="J7861" s="2" t="s">
        <v>36522</v>
      </c>
      <c r="K7861" s="2" t="s">
        <v>36523</v>
      </c>
      <c r="L7861" s="2" t="s">
        <v>36524</v>
      </c>
      <c r="M7861" s="2" t="s">
        <v>36525</v>
      </c>
      <c r="N7861" s="2" t="s">
        <v>36526</v>
      </c>
      <c r="O7861" s="2" t="s">
        <v>36527</v>
      </c>
      <c r="P7861" s="2" t="s">
        <v>36528</v>
      </c>
    </row>
    <row r="7862" ht="15.75" customHeight="1">
      <c r="H7862" s="2" t="s">
        <v>36529</v>
      </c>
      <c r="I7862" s="2" t="s">
        <v>2303</v>
      </c>
      <c r="J7862" s="2" t="s">
        <v>2304</v>
      </c>
      <c r="K7862" s="2" t="s">
        <v>31728</v>
      </c>
      <c r="L7862" s="2" t="s">
        <v>36235</v>
      </c>
      <c r="M7862" s="2" t="s">
        <v>36530</v>
      </c>
      <c r="N7862" s="2" t="s">
        <v>36531</v>
      </c>
      <c r="O7862" s="2" t="s">
        <v>36532</v>
      </c>
      <c r="P7862" s="2" t="s">
        <v>36533</v>
      </c>
    </row>
    <row r="7863" ht="15.75" customHeight="1">
      <c r="H7863" s="2" t="s">
        <v>36534</v>
      </c>
      <c r="I7863" s="2" t="s">
        <v>467</v>
      </c>
      <c r="J7863" s="2" t="s">
        <v>468</v>
      </c>
      <c r="K7863" s="2" t="s">
        <v>25270</v>
      </c>
      <c r="L7863" s="2" t="s">
        <v>36535</v>
      </c>
      <c r="M7863" s="2" t="s">
        <v>36536</v>
      </c>
      <c r="N7863" s="2" t="s">
        <v>36537</v>
      </c>
      <c r="O7863" s="2" t="s">
        <v>36538</v>
      </c>
      <c r="P7863" s="2" t="s">
        <v>36539</v>
      </c>
    </row>
    <row r="7864" ht="15.75" customHeight="1">
      <c r="H7864" s="2" t="s">
        <v>36540</v>
      </c>
      <c r="I7864" s="2" t="s">
        <v>31744</v>
      </c>
      <c r="J7864" s="2" t="s">
        <v>31745</v>
      </c>
      <c r="K7864" s="2" t="s">
        <v>24930</v>
      </c>
      <c r="L7864" s="2" t="s">
        <v>36541</v>
      </c>
      <c r="M7864" s="2" t="s">
        <v>36542</v>
      </c>
      <c r="N7864" s="2" t="s">
        <v>36543</v>
      </c>
      <c r="O7864" s="2" t="s">
        <v>36544</v>
      </c>
      <c r="P7864" s="2" t="s">
        <v>36545</v>
      </c>
    </row>
    <row r="7865" ht="15.75" customHeight="1">
      <c r="H7865" s="2" t="s">
        <v>36546</v>
      </c>
      <c r="I7865" s="2" t="s">
        <v>5541</v>
      </c>
      <c r="J7865" s="2" t="s">
        <v>5542</v>
      </c>
      <c r="K7865" s="2" t="s">
        <v>24465</v>
      </c>
      <c r="L7865" s="2" t="s">
        <v>36235</v>
      </c>
      <c r="M7865" s="2" t="s">
        <v>36547</v>
      </c>
      <c r="N7865" s="2" t="s">
        <v>36548</v>
      </c>
      <c r="O7865" s="2" t="s">
        <v>36549</v>
      </c>
      <c r="P7865" s="2" t="s">
        <v>36550</v>
      </c>
    </row>
    <row r="7866" ht="15.75" customHeight="1">
      <c r="H7866" s="2" t="s">
        <v>36551</v>
      </c>
      <c r="I7866" s="2" t="s">
        <v>485</v>
      </c>
      <c r="J7866" s="2" t="s">
        <v>486</v>
      </c>
      <c r="K7866" s="2" t="s">
        <v>15792</v>
      </c>
      <c r="L7866" s="2" t="s">
        <v>36552</v>
      </c>
      <c r="M7866" s="2" t="s">
        <v>36553</v>
      </c>
      <c r="N7866" s="2" t="s">
        <v>36554</v>
      </c>
      <c r="O7866" s="2" t="s">
        <v>36555</v>
      </c>
      <c r="P7866" s="2" t="s">
        <v>36556</v>
      </c>
    </row>
    <row r="7867" ht="15.75" customHeight="1">
      <c r="H7867" s="2" t="s">
        <v>36557</v>
      </c>
      <c r="I7867" s="2" t="s">
        <v>12694</v>
      </c>
      <c r="J7867" s="2" t="s">
        <v>12695</v>
      </c>
      <c r="K7867" s="2" t="s">
        <v>32936</v>
      </c>
      <c r="L7867" s="2" t="s">
        <v>36235</v>
      </c>
      <c r="M7867" s="2" t="s">
        <v>36558</v>
      </c>
      <c r="N7867" s="2" t="s">
        <v>36559</v>
      </c>
      <c r="O7867" s="2" t="s">
        <v>36560</v>
      </c>
      <c r="P7867" s="2" t="s">
        <v>36561</v>
      </c>
    </row>
    <row r="7868" ht="15.75" customHeight="1">
      <c r="H7868" s="2" t="s">
        <v>36562</v>
      </c>
      <c r="I7868" s="2" t="s">
        <v>12318</v>
      </c>
      <c r="J7868" s="2" t="s">
        <v>12319</v>
      </c>
      <c r="K7868" s="2" t="s">
        <v>36563</v>
      </c>
      <c r="L7868" s="2" t="s">
        <v>36235</v>
      </c>
      <c r="M7868" s="2" t="s">
        <v>36564</v>
      </c>
      <c r="N7868" s="2" t="s">
        <v>36565</v>
      </c>
      <c r="O7868" s="2" t="s">
        <v>36566</v>
      </c>
      <c r="P7868" s="2" t="s">
        <v>36567</v>
      </c>
    </row>
    <row r="7869" ht="15.75" customHeight="1">
      <c r="H7869" s="2" t="s">
        <v>36568</v>
      </c>
      <c r="I7869" s="2" t="s">
        <v>19681</v>
      </c>
      <c r="J7869" s="2" t="s">
        <v>19682</v>
      </c>
      <c r="K7869" s="2" t="s">
        <v>31265</v>
      </c>
      <c r="L7869" s="2" t="s">
        <v>36235</v>
      </c>
      <c r="M7869" s="2" t="s">
        <v>36569</v>
      </c>
      <c r="N7869" s="2" t="s">
        <v>36570</v>
      </c>
      <c r="O7869" s="2" t="s">
        <v>869</v>
      </c>
      <c r="P7869" s="2" t="s">
        <v>870</v>
      </c>
    </row>
    <row r="7870" ht="15.75" customHeight="1">
      <c r="H7870" s="2" t="s">
        <v>36571</v>
      </c>
      <c r="I7870" s="2" t="s">
        <v>2421</v>
      </c>
      <c r="J7870" s="2" t="s">
        <v>2422</v>
      </c>
      <c r="K7870" s="2" t="s">
        <v>24967</v>
      </c>
      <c r="L7870" s="2" t="s">
        <v>36235</v>
      </c>
      <c r="M7870" s="2" t="s">
        <v>36572</v>
      </c>
      <c r="N7870" s="2" t="s">
        <v>36573</v>
      </c>
      <c r="O7870" s="2" t="s">
        <v>36574</v>
      </c>
      <c r="P7870" s="2" t="s">
        <v>36575</v>
      </c>
    </row>
    <row r="7871" ht="15.75" customHeight="1">
      <c r="H7871" s="2" t="s">
        <v>36576</v>
      </c>
      <c r="I7871" s="2" t="s">
        <v>510</v>
      </c>
      <c r="J7871" s="2" t="s">
        <v>511</v>
      </c>
      <c r="K7871" s="2" t="s">
        <v>31277</v>
      </c>
      <c r="L7871" s="2" t="s">
        <v>36235</v>
      </c>
      <c r="M7871" s="2" t="s">
        <v>36577</v>
      </c>
      <c r="N7871" s="2" t="s">
        <v>36578</v>
      </c>
      <c r="O7871" s="2" t="s">
        <v>36579</v>
      </c>
      <c r="P7871" s="2" t="s">
        <v>36580</v>
      </c>
    </row>
    <row r="7872" ht="15.75" customHeight="1">
      <c r="H7872" s="2" t="s">
        <v>36581</v>
      </c>
      <c r="I7872" s="2" t="s">
        <v>518</v>
      </c>
      <c r="J7872" s="2" t="s">
        <v>519</v>
      </c>
      <c r="K7872" s="2" t="s">
        <v>36582</v>
      </c>
      <c r="L7872" s="2" t="s">
        <v>36583</v>
      </c>
      <c r="M7872" s="2" t="s">
        <v>36584</v>
      </c>
      <c r="N7872" s="2" t="s">
        <v>36585</v>
      </c>
      <c r="O7872" s="2" t="s">
        <v>36586</v>
      </c>
      <c r="P7872" s="2" t="s">
        <v>36587</v>
      </c>
    </row>
    <row r="7873" ht="15.75" customHeight="1">
      <c r="H7873" s="2" t="s">
        <v>36588</v>
      </c>
      <c r="I7873" s="2" t="s">
        <v>526</v>
      </c>
      <c r="J7873" s="2" t="s">
        <v>527</v>
      </c>
      <c r="K7873" s="2" t="s">
        <v>24084</v>
      </c>
      <c r="L7873" s="2" t="s">
        <v>36589</v>
      </c>
      <c r="M7873" s="2" t="s">
        <v>36590</v>
      </c>
      <c r="N7873" s="2" t="s">
        <v>36591</v>
      </c>
      <c r="O7873" s="2" t="s">
        <v>36592</v>
      </c>
      <c r="P7873" s="2" t="s">
        <v>36593</v>
      </c>
    </row>
    <row r="7874" ht="15.75" customHeight="1">
      <c r="F7874" s="2" t="s">
        <v>534</v>
      </c>
      <c r="H7874" s="2" t="s">
        <v>36594</v>
      </c>
      <c r="I7874" s="2" t="s">
        <v>2512</v>
      </c>
      <c r="J7874" s="2" t="s">
        <v>2513</v>
      </c>
      <c r="K7874" s="2" t="s">
        <v>2514</v>
      </c>
    </row>
    <row r="7875" ht="15.75" customHeight="1">
      <c r="H7875" s="2" t="s">
        <v>36595</v>
      </c>
      <c r="I7875" s="2" t="s">
        <v>536</v>
      </c>
      <c r="J7875" s="2" t="s">
        <v>537</v>
      </c>
      <c r="K7875" s="2" t="s">
        <v>538</v>
      </c>
    </row>
    <row r="7876" ht="15.75" customHeight="1">
      <c r="F7876" s="2" t="s">
        <v>539</v>
      </c>
      <c r="H7876" s="2" t="s">
        <v>36596</v>
      </c>
      <c r="I7876" s="2" t="s">
        <v>541</v>
      </c>
      <c r="J7876" s="2" t="s">
        <v>542</v>
      </c>
      <c r="K7876" s="2" t="s">
        <v>6046</v>
      </c>
      <c r="L7876" s="2" t="s">
        <v>36235</v>
      </c>
      <c r="M7876" s="2" t="s">
        <v>36597</v>
      </c>
      <c r="N7876" s="2" t="s">
        <v>36598</v>
      </c>
      <c r="O7876" s="2" t="s">
        <v>36599</v>
      </c>
      <c r="P7876" s="2" t="s">
        <v>36600</v>
      </c>
    </row>
    <row r="7877" ht="15.75" customHeight="1">
      <c r="F7877" s="2" t="s">
        <v>548</v>
      </c>
      <c r="H7877" s="2" t="s">
        <v>36601</v>
      </c>
      <c r="I7877" s="2" t="s">
        <v>36602</v>
      </c>
      <c r="J7877" s="2" t="s">
        <v>36603</v>
      </c>
      <c r="K7877" s="2" t="s">
        <v>31463</v>
      </c>
      <c r="L7877" s="2" t="s">
        <v>36235</v>
      </c>
      <c r="M7877" s="2" t="s">
        <v>36604</v>
      </c>
      <c r="N7877" s="2" t="s">
        <v>36605</v>
      </c>
      <c r="O7877" s="2" t="s">
        <v>36606</v>
      </c>
      <c r="P7877" s="2" t="s">
        <v>36607</v>
      </c>
    </row>
    <row r="7878" ht="15.75" customHeight="1">
      <c r="H7878" s="2" t="s">
        <v>36608</v>
      </c>
      <c r="I7878" s="2" t="s">
        <v>550</v>
      </c>
      <c r="J7878" s="2" t="s">
        <v>551</v>
      </c>
      <c r="K7878" s="2" t="s">
        <v>6050</v>
      </c>
      <c r="L7878" s="2" t="s">
        <v>36235</v>
      </c>
      <c r="M7878" s="2" t="s">
        <v>36609</v>
      </c>
      <c r="N7878" s="2" t="s">
        <v>36610</v>
      </c>
      <c r="O7878" s="2" t="s">
        <v>36611</v>
      </c>
      <c r="P7878" s="2" t="s">
        <v>36612</v>
      </c>
    </row>
    <row r="7879" ht="15.75" customHeight="1">
      <c r="H7879" s="2" t="s">
        <v>36613</v>
      </c>
      <c r="I7879" s="2" t="s">
        <v>2681</v>
      </c>
      <c r="J7879" s="2" t="s">
        <v>2682</v>
      </c>
      <c r="K7879" s="2" t="s">
        <v>36136</v>
      </c>
      <c r="L7879" s="2" t="s">
        <v>36235</v>
      </c>
      <c r="M7879" s="2" t="s">
        <v>36614</v>
      </c>
      <c r="N7879" s="2" t="s">
        <v>36615</v>
      </c>
      <c r="O7879" s="2" t="s">
        <v>36616</v>
      </c>
      <c r="P7879" s="2" t="s">
        <v>36617</v>
      </c>
    </row>
    <row r="7880" ht="15.75" customHeight="1">
      <c r="F7880" s="2" t="s">
        <v>556</v>
      </c>
      <c r="H7880" s="2" t="s">
        <v>36618</v>
      </c>
      <c r="I7880" s="2" t="s">
        <v>5599</v>
      </c>
      <c r="J7880" s="2" t="s">
        <v>5600</v>
      </c>
      <c r="K7880" s="2" t="s">
        <v>25032</v>
      </c>
      <c r="L7880" s="2" t="s">
        <v>36235</v>
      </c>
      <c r="M7880" s="2" t="s">
        <v>36619</v>
      </c>
      <c r="N7880" s="2" t="s">
        <v>36620</v>
      </c>
      <c r="O7880" s="2" t="s">
        <v>36621</v>
      </c>
      <c r="P7880" s="2" t="s">
        <v>31652</v>
      </c>
    </row>
    <row r="7881" ht="15.75" customHeight="1">
      <c r="H7881" s="2" t="s">
        <v>36622</v>
      </c>
      <c r="I7881" s="2" t="s">
        <v>2793</v>
      </c>
      <c r="J7881" s="2" t="s">
        <v>2794</v>
      </c>
      <c r="K7881" s="2" t="s">
        <v>15805</v>
      </c>
      <c r="L7881" s="2" t="s">
        <v>36235</v>
      </c>
      <c r="M7881" s="2" t="s">
        <v>36623</v>
      </c>
      <c r="N7881" s="2" t="s">
        <v>36624</v>
      </c>
      <c r="O7881" s="2" t="s">
        <v>36625</v>
      </c>
      <c r="P7881" s="2" t="s">
        <v>14191</v>
      </c>
    </row>
    <row r="7882" ht="15.75" customHeight="1">
      <c r="H7882" s="2" t="s">
        <v>36626</v>
      </c>
      <c r="I7882" s="2" t="s">
        <v>8166</v>
      </c>
      <c r="J7882" s="2" t="s">
        <v>8167</v>
      </c>
      <c r="K7882" s="2" t="s">
        <v>15868</v>
      </c>
      <c r="L7882" s="2" t="s">
        <v>36235</v>
      </c>
      <c r="M7882" s="2" t="s">
        <v>36627</v>
      </c>
      <c r="N7882" s="2" t="s">
        <v>36628</v>
      </c>
      <c r="O7882" s="2" t="s">
        <v>36629</v>
      </c>
      <c r="P7882" s="2" t="s">
        <v>36630</v>
      </c>
    </row>
    <row r="7883" ht="15.75" customHeight="1">
      <c r="H7883" s="2" t="s">
        <v>36631</v>
      </c>
      <c r="I7883" s="2" t="s">
        <v>36632</v>
      </c>
      <c r="J7883" s="2" t="s">
        <v>36633</v>
      </c>
      <c r="K7883" s="2" t="s">
        <v>36634</v>
      </c>
      <c r="L7883" s="2" t="s">
        <v>36235</v>
      </c>
      <c r="M7883" s="2" t="s">
        <v>36635</v>
      </c>
      <c r="N7883" s="2" t="s">
        <v>36636</v>
      </c>
      <c r="O7883" s="2" t="s">
        <v>36637</v>
      </c>
      <c r="P7883" s="2" t="s">
        <v>16054</v>
      </c>
    </row>
    <row r="7884" ht="15.75" customHeight="1">
      <c r="H7884" s="2" t="s">
        <v>36638</v>
      </c>
      <c r="I7884" s="2" t="s">
        <v>574</v>
      </c>
      <c r="J7884" s="2" t="s">
        <v>575</v>
      </c>
      <c r="K7884" s="2" t="s">
        <v>15872</v>
      </c>
      <c r="L7884" s="2" t="s">
        <v>36235</v>
      </c>
      <c r="M7884" s="2" t="s">
        <v>36639</v>
      </c>
      <c r="N7884" s="2" t="s">
        <v>36640</v>
      </c>
      <c r="O7884" s="2" t="s">
        <v>36641</v>
      </c>
      <c r="P7884" s="2" t="s">
        <v>36642</v>
      </c>
    </row>
    <row r="7885" ht="15.75" customHeight="1">
      <c r="F7885" s="2" t="s">
        <v>598</v>
      </c>
      <c r="H7885" s="2" t="s">
        <v>36643</v>
      </c>
      <c r="I7885" s="2" t="s">
        <v>36644</v>
      </c>
      <c r="J7885" s="2" t="s">
        <v>36645</v>
      </c>
      <c r="K7885" s="2" t="s">
        <v>31144</v>
      </c>
      <c r="L7885" s="2" t="s">
        <v>36235</v>
      </c>
      <c r="M7885" s="2" t="s">
        <v>36646</v>
      </c>
      <c r="N7885" s="2" t="s">
        <v>36647</v>
      </c>
      <c r="O7885" s="2" t="s">
        <v>36648</v>
      </c>
      <c r="P7885" s="2" t="s">
        <v>16335</v>
      </c>
    </row>
    <row r="7886" ht="15.75" customHeight="1">
      <c r="F7886" s="2" t="s">
        <v>624</v>
      </c>
      <c r="H7886" s="2" t="s">
        <v>36649</v>
      </c>
      <c r="I7886" s="2" t="s">
        <v>626</v>
      </c>
      <c r="J7886" s="2" t="s">
        <v>627</v>
      </c>
      <c r="K7886" s="2" t="s">
        <v>6058</v>
      </c>
      <c r="L7886" s="2" t="s">
        <v>36650</v>
      </c>
      <c r="M7886" s="2" t="s">
        <v>36651</v>
      </c>
      <c r="N7886" s="2" t="s">
        <v>36652</v>
      </c>
      <c r="O7886" s="2" t="s">
        <v>36653</v>
      </c>
      <c r="P7886" s="2" t="s">
        <v>36654</v>
      </c>
    </row>
    <row r="7887" ht="15.75" customHeight="1">
      <c r="H7887" s="2" t="s">
        <v>36655</v>
      </c>
      <c r="I7887" s="2" t="s">
        <v>34320</v>
      </c>
      <c r="J7887" s="2" t="s">
        <v>34321</v>
      </c>
      <c r="K7887" s="2" t="s">
        <v>34322</v>
      </c>
      <c r="L7887" s="2" t="s">
        <v>36235</v>
      </c>
      <c r="M7887" s="2" t="s">
        <v>36656</v>
      </c>
      <c r="N7887" s="2" t="s">
        <v>36657</v>
      </c>
      <c r="O7887" s="2" t="s">
        <v>36658</v>
      </c>
      <c r="P7887" s="2" t="s">
        <v>31467</v>
      </c>
    </row>
    <row r="7888" ht="15.75" customHeight="1">
      <c r="F7888" s="2" t="s">
        <v>660</v>
      </c>
      <c r="H7888" s="2" t="s">
        <v>36659</v>
      </c>
      <c r="I7888" s="2" t="s">
        <v>3727</v>
      </c>
      <c r="J7888" s="2" t="s">
        <v>3728</v>
      </c>
      <c r="K7888" s="2" t="s">
        <v>15868</v>
      </c>
      <c r="L7888" s="2" t="s">
        <v>36235</v>
      </c>
      <c r="M7888" s="2" t="s">
        <v>36660</v>
      </c>
      <c r="N7888" s="2" t="s">
        <v>36661</v>
      </c>
      <c r="O7888" s="2" t="s">
        <v>36662</v>
      </c>
      <c r="P7888" s="2" t="s">
        <v>36661</v>
      </c>
    </row>
    <row r="7889" ht="15.75" customHeight="1">
      <c r="H7889" s="2" t="s">
        <v>36663</v>
      </c>
      <c r="I7889" s="2" t="s">
        <v>662</v>
      </c>
      <c r="J7889" s="2" t="s">
        <v>663</v>
      </c>
      <c r="K7889" s="2" t="s">
        <v>15809</v>
      </c>
      <c r="L7889" s="2" t="s">
        <v>36235</v>
      </c>
      <c r="M7889" s="2" t="s">
        <v>36664</v>
      </c>
      <c r="N7889" s="2" t="s">
        <v>36665</v>
      </c>
      <c r="O7889" s="2" t="s">
        <v>36666</v>
      </c>
      <c r="P7889" s="2" t="s">
        <v>36667</v>
      </c>
    </row>
    <row r="7890" ht="15.75" customHeight="1">
      <c r="F7890" s="2" t="s">
        <v>694</v>
      </c>
      <c r="H7890" s="2" t="s">
        <v>36668</v>
      </c>
      <c r="I7890" s="2" t="s">
        <v>696</v>
      </c>
      <c r="J7890" s="2" t="s">
        <v>697</v>
      </c>
      <c r="K7890" s="2" t="s">
        <v>15809</v>
      </c>
      <c r="L7890" s="2" t="s">
        <v>36235</v>
      </c>
      <c r="M7890" s="2" t="s">
        <v>36669</v>
      </c>
      <c r="N7890" s="2" t="s">
        <v>36670</v>
      </c>
      <c r="O7890" s="2" t="s">
        <v>36671</v>
      </c>
      <c r="P7890" s="2" t="s">
        <v>36672</v>
      </c>
    </row>
    <row r="7891" ht="15.75" customHeight="1">
      <c r="F7891" s="2" t="s">
        <v>703</v>
      </c>
      <c r="H7891" s="2" t="s">
        <v>36673</v>
      </c>
      <c r="I7891" s="2" t="s">
        <v>705</v>
      </c>
      <c r="J7891" s="2" t="s">
        <v>706</v>
      </c>
      <c r="K7891" s="2" t="s">
        <v>6025</v>
      </c>
      <c r="L7891" s="2" t="s">
        <v>36235</v>
      </c>
      <c r="M7891" s="2" t="s">
        <v>36674</v>
      </c>
      <c r="N7891" s="2" t="s">
        <v>36675</v>
      </c>
      <c r="O7891" s="2" t="s">
        <v>36676</v>
      </c>
      <c r="P7891" s="2" t="s">
        <v>31252</v>
      </c>
    </row>
    <row r="7892" ht="15.75" customHeight="1">
      <c r="H7892" s="2" t="s">
        <v>36677</v>
      </c>
      <c r="I7892" s="2" t="s">
        <v>31838</v>
      </c>
      <c r="J7892" s="2" t="s">
        <v>31839</v>
      </c>
      <c r="K7892" s="2" t="s">
        <v>31840</v>
      </c>
      <c r="L7892" s="2" t="s">
        <v>36235</v>
      </c>
      <c r="M7892" s="2" t="s">
        <v>36678</v>
      </c>
      <c r="N7892" s="2" t="s">
        <v>36679</v>
      </c>
      <c r="O7892" s="2" t="s">
        <v>36680</v>
      </c>
      <c r="P7892" s="2" t="s">
        <v>36681</v>
      </c>
    </row>
    <row r="7893" ht="15.75" customHeight="1">
      <c r="H7893" s="2" t="s">
        <v>36682</v>
      </c>
      <c r="I7893" s="2" t="s">
        <v>32611</v>
      </c>
      <c r="J7893" s="2" t="s">
        <v>32612</v>
      </c>
      <c r="K7893" s="2" t="s">
        <v>36683</v>
      </c>
      <c r="L7893" s="2" t="s">
        <v>36235</v>
      </c>
      <c r="M7893" s="2" t="s">
        <v>36684</v>
      </c>
      <c r="N7893" s="2" t="s">
        <v>36685</v>
      </c>
      <c r="O7893" s="2" t="s">
        <v>36686</v>
      </c>
      <c r="P7893" s="2" t="s">
        <v>36687</v>
      </c>
    </row>
    <row r="7894" ht="15.75" customHeight="1">
      <c r="H7894" s="2" t="s">
        <v>36688</v>
      </c>
      <c r="I7894" s="2" t="s">
        <v>36689</v>
      </c>
      <c r="J7894" s="2" t="s">
        <v>36690</v>
      </c>
      <c r="K7894" s="2" t="s">
        <v>36691</v>
      </c>
      <c r="L7894" s="2" t="s">
        <v>36235</v>
      </c>
      <c r="M7894" s="2" t="s">
        <v>36692</v>
      </c>
      <c r="N7894" s="2" t="s">
        <v>36693</v>
      </c>
      <c r="O7894" s="2" t="s">
        <v>36694</v>
      </c>
      <c r="P7894" s="2" t="s">
        <v>14239</v>
      </c>
    </row>
    <row r="7895" ht="15.75" customHeight="1">
      <c r="H7895" s="2" t="s">
        <v>36695</v>
      </c>
      <c r="I7895" s="2" t="s">
        <v>713</v>
      </c>
      <c r="J7895" s="2" t="s">
        <v>714</v>
      </c>
      <c r="K7895" s="2" t="s">
        <v>15809</v>
      </c>
      <c r="L7895" s="2" t="s">
        <v>36696</v>
      </c>
      <c r="M7895" s="2" t="s">
        <v>36697</v>
      </c>
      <c r="N7895" s="2" t="s">
        <v>36698</v>
      </c>
      <c r="O7895" s="2" t="s">
        <v>36699</v>
      </c>
      <c r="P7895" s="2" t="s">
        <v>36700</v>
      </c>
    </row>
    <row r="7896" ht="15.75" customHeight="1">
      <c r="F7896" s="2" t="s">
        <v>728</v>
      </c>
      <c r="H7896" s="2" t="s">
        <v>36701</v>
      </c>
      <c r="I7896" s="2" t="s">
        <v>730</v>
      </c>
      <c r="J7896" s="2" t="s">
        <v>731</v>
      </c>
      <c r="K7896" s="2" t="s">
        <v>6046</v>
      </c>
      <c r="L7896" s="2" t="s">
        <v>36235</v>
      </c>
      <c r="M7896" s="2" t="s">
        <v>36702</v>
      </c>
      <c r="N7896" s="2" t="s">
        <v>36703</v>
      </c>
      <c r="O7896" s="2" t="s">
        <v>36704</v>
      </c>
      <c r="P7896" s="2" t="s">
        <v>36705</v>
      </c>
    </row>
    <row r="7897" ht="15.75" customHeight="1">
      <c r="H7897" s="2" t="s">
        <v>36706</v>
      </c>
      <c r="I7897" s="2" t="s">
        <v>12927</v>
      </c>
      <c r="J7897" s="2" t="s">
        <v>12928</v>
      </c>
      <c r="K7897" s="2" t="s">
        <v>15890</v>
      </c>
      <c r="L7897" s="2" t="s">
        <v>36235</v>
      </c>
      <c r="M7897" s="2" t="s">
        <v>36707</v>
      </c>
      <c r="N7897" s="2" t="s">
        <v>36708</v>
      </c>
      <c r="O7897" s="2" t="s">
        <v>36709</v>
      </c>
      <c r="P7897" s="2" t="s">
        <v>14239</v>
      </c>
    </row>
    <row r="7898" ht="15.75" customHeight="1">
      <c r="F7898" s="2" t="s">
        <v>746</v>
      </c>
      <c r="H7898" s="2" t="s">
        <v>36710</v>
      </c>
      <c r="I7898" s="2" t="s">
        <v>4260</v>
      </c>
      <c r="J7898" s="2" t="s">
        <v>4261</v>
      </c>
      <c r="K7898" s="2" t="s">
        <v>24665</v>
      </c>
      <c r="L7898" s="2" t="s">
        <v>36235</v>
      </c>
      <c r="M7898" s="2" t="s">
        <v>36711</v>
      </c>
      <c r="N7898" s="2" t="s">
        <v>36712</v>
      </c>
      <c r="O7898" s="2" t="s">
        <v>36713</v>
      </c>
      <c r="P7898" s="2" t="s">
        <v>36714</v>
      </c>
    </row>
    <row r="7899" ht="15.75" customHeight="1">
      <c r="H7899" s="2" t="s">
        <v>36715</v>
      </c>
      <c r="I7899" s="2" t="s">
        <v>4282</v>
      </c>
      <c r="J7899" s="2" t="s">
        <v>4283</v>
      </c>
      <c r="K7899" s="2" t="s">
        <v>6046</v>
      </c>
      <c r="L7899" s="2" t="s">
        <v>36235</v>
      </c>
      <c r="M7899" s="2" t="s">
        <v>36716</v>
      </c>
      <c r="N7899" s="2" t="s">
        <v>36717</v>
      </c>
      <c r="O7899" s="2" t="s">
        <v>36718</v>
      </c>
      <c r="P7899" s="2" t="s">
        <v>36719</v>
      </c>
    </row>
    <row r="7900" ht="15.75" customHeight="1">
      <c r="H7900" s="2" t="s">
        <v>36720</v>
      </c>
      <c r="I7900" s="2" t="s">
        <v>36721</v>
      </c>
      <c r="J7900" s="2" t="s">
        <v>36722</v>
      </c>
      <c r="K7900" s="2" t="s">
        <v>31695</v>
      </c>
      <c r="L7900" s="2" t="s">
        <v>36235</v>
      </c>
      <c r="M7900" s="2" t="s">
        <v>36723</v>
      </c>
      <c r="N7900" s="2" t="s">
        <v>36724</v>
      </c>
      <c r="O7900" s="2" t="s">
        <v>36725</v>
      </c>
      <c r="P7900" s="2" t="s">
        <v>36617</v>
      </c>
    </row>
    <row r="7901" ht="15.75" customHeight="1">
      <c r="F7901" s="2" t="s">
        <v>755</v>
      </c>
      <c r="H7901" s="2" t="s">
        <v>36726</v>
      </c>
      <c r="I7901" s="2" t="s">
        <v>16422</v>
      </c>
      <c r="J7901" s="2" t="s">
        <v>16423</v>
      </c>
      <c r="K7901" s="2" t="s">
        <v>6025</v>
      </c>
      <c r="L7901" s="2" t="s">
        <v>36235</v>
      </c>
      <c r="M7901" s="2" t="s">
        <v>36727</v>
      </c>
      <c r="N7901" s="2" t="s">
        <v>36728</v>
      </c>
      <c r="O7901" s="2" t="s">
        <v>36729</v>
      </c>
      <c r="P7901" s="2" t="s">
        <v>13759</v>
      </c>
    </row>
    <row r="7902" ht="15.75" customHeight="1">
      <c r="H7902" s="2" t="s">
        <v>36730</v>
      </c>
      <c r="I7902" s="2" t="s">
        <v>757</v>
      </c>
      <c r="J7902" s="2" t="s">
        <v>758</v>
      </c>
      <c r="K7902" s="2" t="s">
        <v>6006</v>
      </c>
      <c r="L7902" s="2" t="s">
        <v>36235</v>
      </c>
      <c r="M7902" s="2" t="s">
        <v>36731</v>
      </c>
      <c r="N7902" s="2" t="s">
        <v>36732</v>
      </c>
      <c r="O7902" s="2" t="s">
        <v>36733</v>
      </c>
      <c r="P7902" s="2" t="s">
        <v>36734</v>
      </c>
    </row>
    <row r="7903" ht="15.75" customHeight="1">
      <c r="F7903" s="2" t="s">
        <v>764</v>
      </c>
      <c r="H7903" s="2" t="s">
        <v>36735</v>
      </c>
      <c r="I7903" s="2" t="s">
        <v>766</v>
      </c>
      <c r="J7903" s="2" t="s">
        <v>767</v>
      </c>
      <c r="K7903" s="2" t="s">
        <v>6081</v>
      </c>
      <c r="L7903" s="2" t="s">
        <v>36235</v>
      </c>
      <c r="M7903" s="2" t="s">
        <v>36736</v>
      </c>
      <c r="N7903" s="2" t="s">
        <v>36737</v>
      </c>
      <c r="O7903" s="2" t="s">
        <v>36738</v>
      </c>
      <c r="P7903" s="2" t="s">
        <v>36739</v>
      </c>
    </row>
    <row r="7904" ht="15.75" customHeight="1">
      <c r="F7904" s="2" t="s">
        <v>773</v>
      </c>
      <c r="H7904" s="2" t="s">
        <v>36740</v>
      </c>
      <c r="I7904" s="2" t="s">
        <v>36741</v>
      </c>
      <c r="J7904" s="2" t="s">
        <v>36742</v>
      </c>
      <c r="K7904" s="2" t="s">
        <v>25062</v>
      </c>
      <c r="L7904" s="2" t="s">
        <v>36235</v>
      </c>
      <c r="M7904" s="2" t="s">
        <v>36743</v>
      </c>
      <c r="N7904" s="2" t="s">
        <v>36744</v>
      </c>
      <c r="O7904" s="2" t="s">
        <v>36745</v>
      </c>
      <c r="P7904" s="2" t="s">
        <v>36746</v>
      </c>
    </row>
    <row r="7905" ht="15.75" customHeight="1">
      <c r="F7905" s="2" t="s">
        <v>800</v>
      </c>
      <c r="H7905" s="2" t="s">
        <v>36747</v>
      </c>
      <c r="I7905" s="2" t="s">
        <v>36748</v>
      </c>
      <c r="J7905" s="2" t="s">
        <v>36749</v>
      </c>
      <c r="K7905" s="2" t="s">
        <v>6025</v>
      </c>
      <c r="L7905" s="2" t="s">
        <v>36235</v>
      </c>
      <c r="M7905" s="2" t="s">
        <v>36750</v>
      </c>
      <c r="N7905" s="2" t="s">
        <v>36751</v>
      </c>
      <c r="O7905" s="2" t="s">
        <v>36752</v>
      </c>
      <c r="P7905" s="2" t="s">
        <v>36753</v>
      </c>
    </row>
    <row r="7906" ht="15.75" customHeight="1">
      <c r="H7906" s="2" t="s">
        <v>36754</v>
      </c>
      <c r="I7906" s="2" t="s">
        <v>36755</v>
      </c>
      <c r="J7906" s="2" t="s">
        <v>36756</v>
      </c>
      <c r="K7906" s="2" t="s">
        <v>31376</v>
      </c>
      <c r="L7906" s="2" t="s">
        <v>36235</v>
      </c>
      <c r="M7906" s="2" t="s">
        <v>36757</v>
      </c>
      <c r="N7906" s="2" t="s">
        <v>36758</v>
      </c>
      <c r="O7906" s="2" t="s">
        <v>36759</v>
      </c>
      <c r="P7906" s="2" t="s">
        <v>869</v>
      </c>
    </row>
    <row r="7907" ht="15.75" customHeight="1">
      <c r="H7907" s="2" t="s">
        <v>36760</v>
      </c>
      <c r="I7907" s="2" t="s">
        <v>36761</v>
      </c>
      <c r="J7907" s="2" t="s">
        <v>36762</v>
      </c>
      <c r="K7907" s="2" t="s">
        <v>17683</v>
      </c>
      <c r="L7907" s="2" t="s">
        <v>36235</v>
      </c>
      <c r="M7907" s="2" t="s">
        <v>36763</v>
      </c>
      <c r="N7907" s="2" t="s">
        <v>36764</v>
      </c>
      <c r="O7907" s="2" t="s">
        <v>36765</v>
      </c>
      <c r="P7907" s="2" t="s">
        <v>36766</v>
      </c>
    </row>
    <row r="7908" ht="15.75" customHeight="1">
      <c r="H7908" s="2" t="s">
        <v>36767</v>
      </c>
      <c r="I7908" s="2" t="s">
        <v>11567</v>
      </c>
      <c r="J7908" s="2" t="s">
        <v>11568</v>
      </c>
      <c r="K7908" s="2" t="s">
        <v>25073</v>
      </c>
      <c r="L7908" s="2" t="s">
        <v>36235</v>
      </c>
      <c r="M7908" s="2" t="s">
        <v>36768</v>
      </c>
      <c r="N7908" s="2" t="s">
        <v>36769</v>
      </c>
      <c r="O7908" s="2" t="s">
        <v>36770</v>
      </c>
      <c r="P7908" s="2" t="s">
        <v>36771</v>
      </c>
    </row>
    <row r="7909" ht="15.75" customHeight="1">
      <c r="H7909" s="2" t="s">
        <v>36772</v>
      </c>
      <c r="I7909" s="2" t="s">
        <v>14663</v>
      </c>
      <c r="J7909" s="2" t="s">
        <v>14664</v>
      </c>
      <c r="K7909" s="2" t="s">
        <v>15890</v>
      </c>
      <c r="L7909" s="2" t="s">
        <v>36235</v>
      </c>
      <c r="M7909" s="2" t="s">
        <v>36773</v>
      </c>
      <c r="N7909" s="2" t="s">
        <v>36774</v>
      </c>
      <c r="O7909" s="2" t="s">
        <v>36775</v>
      </c>
      <c r="P7909" s="2" t="s">
        <v>36776</v>
      </c>
    </row>
    <row r="7910" ht="15.75" customHeight="1">
      <c r="H7910" s="2" t="s">
        <v>36777</v>
      </c>
      <c r="I7910" s="2" t="s">
        <v>27042</v>
      </c>
      <c r="J7910" s="2" t="s">
        <v>27043</v>
      </c>
      <c r="K7910" s="2" t="s">
        <v>6062</v>
      </c>
      <c r="L7910" s="2" t="s">
        <v>36235</v>
      </c>
      <c r="M7910" s="2" t="s">
        <v>36778</v>
      </c>
      <c r="N7910" s="2" t="s">
        <v>36779</v>
      </c>
      <c r="O7910" s="2" t="s">
        <v>36780</v>
      </c>
      <c r="P7910" s="2" t="s">
        <v>36781</v>
      </c>
    </row>
    <row r="7911" ht="15.75" customHeight="1">
      <c r="H7911" s="2" t="s">
        <v>36782</v>
      </c>
      <c r="I7911" s="2" t="s">
        <v>5093</v>
      </c>
      <c r="J7911" s="2" t="s">
        <v>5094</v>
      </c>
      <c r="K7911" s="2" t="s">
        <v>24632</v>
      </c>
      <c r="L7911" s="2" t="s">
        <v>36783</v>
      </c>
      <c r="M7911" s="2" t="s">
        <v>36784</v>
      </c>
      <c r="N7911" s="2" t="s">
        <v>36785</v>
      </c>
      <c r="O7911" s="2" t="s">
        <v>36786</v>
      </c>
      <c r="P7911" s="2" t="s">
        <v>36787</v>
      </c>
    </row>
    <row r="7912" ht="15.75" customHeight="1">
      <c r="H7912" s="2" t="s">
        <v>36788</v>
      </c>
      <c r="I7912" s="2" t="s">
        <v>27091</v>
      </c>
      <c r="J7912" s="2" t="s">
        <v>27092</v>
      </c>
      <c r="K7912" s="2" t="s">
        <v>36789</v>
      </c>
      <c r="L7912" s="2" t="s">
        <v>36235</v>
      </c>
      <c r="M7912" s="2" t="s">
        <v>36790</v>
      </c>
      <c r="N7912" s="2" t="s">
        <v>36791</v>
      </c>
      <c r="O7912" s="2" t="s">
        <v>36792</v>
      </c>
      <c r="P7912" s="2" t="s">
        <v>36793</v>
      </c>
    </row>
    <row r="7913" ht="15.75" customHeight="1">
      <c r="H7913" s="2" t="s">
        <v>36794</v>
      </c>
      <c r="I7913" s="2" t="s">
        <v>14286</v>
      </c>
      <c r="J7913" s="2" t="s">
        <v>14287</v>
      </c>
      <c r="K7913" s="2" t="s">
        <v>32896</v>
      </c>
      <c r="L7913" s="2" t="s">
        <v>36235</v>
      </c>
      <c r="M7913" s="2" t="s">
        <v>36795</v>
      </c>
      <c r="N7913" s="2" t="s">
        <v>36796</v>
      </c>
      <c r="O7913" s="2" t="s">
        <v>36797</v>
      </c>
      <c r="P7913" s="2" t="s">
        <v>36798</v>
      </c>
    </row>
    <row r="7914" ht="15.75" customHeight="1">
      <c r="H7914" s="2" t="s">
        <v>36799</v>
      </c>
      <c r="I7914" s="2" t="s">
        <v>36800</v>
      </c>
      <c r="J7914" s="2" t="s">
        <v>36801</v>
      </c>
      <c r="K7914" s="2" t="s">
        <v>36802</v>
      </c>
      <c r="L7914" s="2" t="s">
        <v>36235</v>
      </c>
      <c r="M7914" s="2" t="s">
        <v>36803</v>
      </c>
      <c r="N7914" s="2" t="s">
        <v>36804</v>
      </c>
      <c r="O7914" s="2" t="s">
        <v>36805</v>
      </c>
      <c r="P7914" s="2" t="s">
        <v>36759</v>
      </c>
    </row>
    <row r="7915" ht="15.75" customHeight="1">
      <c r="F7915" s="2" t="s">
        <v>843</v>
      </c>
      <c r="H7915" s="2" t="s">
        <v>36806</v>
      </c>
      <c r="I7915" s="2" t="s">
        <v>843</v>
      </c>
      <c r="J7915" s="2" t="s">
        <v>843</v>
      </c>
      <c r="K7915" s="2" t="s">
        <v>1618</v>
      </c>
    </row>
    <row r="7916" ht="15.75" customHeight="1">
      <c r="H7916" s="2" t="s">
        <v>36807</v>
      </c>
      <c r="I7916" s="2" t="s">
        <v>36808</v>
      </c>
      <c r="J7916" s="2" t="s">
        <v>36809</v>
      </c>
      <c r="K7916" s="2" t="s">
        <v>6450</v>
      </c>
      <c r="L7916" s="2" t="s">
        <v>36235</v>
      </c>
      <c r="M7916" s="2" t="s">
        <v>36810</v>
      </c>
      <c r="N7916" s="2" t="s">
        <v>36811</v>
      </c>
      <c r="O7916" s="2" t="s">
        <v>36812</v>
      </c>
      <c r="P7916" s="2" t="s">
        <v>36813</v>
      </c>
    </row>
    <row r="7917" ht="15.75" customHeight="1">
      <c r="B7917" s="2" t="s">
        <v>36814</v>
      </c>
      <c r="C7917" s="2" t="s">
        <v>22033</v>
      </c>
      <c r="D7917" s="2" t="s">
        <v>36815</v>
      </c>
      <c r="F7917" s="2" t="s">
        <v>855</v>
      </c>
      <c r="H7917" s="2" t="s">
        <v>36816</v>
      </c>
      <c r="I7917" s="2" t="s">
        <v>36817</v>
      </c>
      <c r="J7917" s="2" t="s">
        <v>36818</v>
      </c>
      <c r="K7917" s="2" t="s">
        <v>22457</v>
      </c>
      <c r="L7917" s="2" t="s">
        <v>36819</v>
      </c>
      <c r="M7917" s="2" t="s">
        <v>36820</v>
      </c>
      <c r="N7917" s="2" t="s">
        <v>36821</v>
      </c>
      <c r="O7917" s="2" t="s">
        <v>869</v>
      </c>
      <c r="P7917" s="2" t="s">
        <v>870</v>
      </c>
    </row>
    <row r="7918" ht="15.75" customHeight="1">
      <c r="F7918" s="2" t="s">
        <v>29</v>
      </c>
      <c r="H7918" s="2" t="s">
        <v>36822</v>
      </c>
      <c r="I7918" s="2" t="s">
        <v>31</v>
      </c>
      <c r="J7918" s="2" t="s">
        <v>32</v>
      </c>
      <c r="K7918" s="2" t="s">
        <v>6000</v>
      </c>
      <c r="L7918" s="2" t="s">
        <v>36819</v>
      </c>
      <c r="M7918" s="2" t="s">
        <v>36823</v>
      </c>
      <c r="N7918" s="2" t="s">
        <v>36824</v>
      </c>
      <c r="O7918" s="2" t="s">
        <v>869</v>
      </c>
      <c r="P7918" s="2" t="s">
        <v>870</v>
      </c>
    </row>
    <row r="7919" ht="15.75" customHeight="1">
      <c r="F7919" s="2" t="s">
        <v>74</v>
      </c>
      <c r="H7919" s="2" t="s">
        <v>36825</v>
      </c>
      <c r="I7919" s="2" t="s">
        <v>76</v>
      </c>
      <c r="J7919" s="2" t="s">
        <v>77</v>
      </c>
      <c r="K7919" s="2" t="s">
        <v>15779</v>
      </c>
      <c r="L7919" s="2" t="s">
        <v>36826</v>
      </c>
      <c r="M7919" s="2" t="s">
        <v>36827</v>
      </c>
      <c r="N7919" s="2" t="s">
        <v>36828</v>
      </c>
      <c r="O7919" s="2" t="s">
        <v>869</v>
      </c>
      <c r="P7919" s="2" t="s">
        <v>870</v>
      </c>
    </row>
    <row r="7920" ht="15.75" customHeight="1">
      <c r="H7920" s="2" t="s">
        <v>36829</v>
      </c>
      <c r="I7920" s="2" t="s">
        <v>12139</v>
      </c>
      <c r="J7920" s="2" t="s">
        <v>12140</v>
      </c>
      <c r="K7920" s="2" t="s">
        <v>24679</v>
      </c>
      <c r="L7920" s="2" t="s">
        <v>36819</v>
      </c>
      <c r="M7920" s="2" t="s">
        <v>36830</v>
      </c>
      <c r="N7920" s="2" t="s">
        <v>36831</v>
      </c>
      <c r="O7920" s="2" t="s">
        <v>869</v>
      </c>
      <c r="P7920" s="2" t="s">
        <v>870</v>
      </c>
    </row>
    <row r="7921" ht="15.75" customHeight="1">
      <c r="H7921" s="2" t="s">
        <v>36832</v>
      </c>
      <c r="I7921" s="2" t="s">
        <v>167</v>
      </c>
      <c r="J7921" s="2" t="s">
        <v>168</v>
      </c>
      <c r="K7921" s="2" t="s">
        <v>15784</v>
      </c>
      <c r="L7921" s="2" t="s">
        <v>36819</v>
      </c>
      <c r="M7921" s="2" t="s">
        <v>36833</v>
      </c>
      <c r="N7921" s="2" t="s">
        <v>36834</v>
      </c>
      <c r="O7921" s="2" t="s">
        <v>869</v>
      </c>
      <c r="P7921" s="2" t="s">
        <v>870</v>
      </c>
    </row>
    <row r="7922" ht="15.75" customHeight="1">
      <c r="H7922" s="2" t="s">
        <v>36835</v>
      </c>
      <c r="I7922" s="2" t="s">
        <v>1747</v>
      </c>
      <c r="J7922" s="2" t="s">
        <v>1748</v>
      </c>
      <c r="K7922" s="2" t="s">
        <v>15841</v>
      </c>
      <c r="L7922" s="2" t="s">
        <v>36819</v>
      </c>
      <c r="M7922" s="2" t="s">
        <v>36836</v>
      </c>
      <c r="N7922" s="2" t="s">
        <v>36837</v>
      </c>
      <c r="O7922" s="2" t="s">
        <v>869</v>
      </c>
      <c r="P7922" s="2" t="s">
        <v>870</v>
      </c>
    </row>
    <row r="7923" ht="15.75" customHeight="1">
      <c r="F7923" s="2" t="s">
        <v>265</v>
      </c>
      <c r="H7923" s="2" t="s">
        <v>36838</v>
      </c>
      <c r="I7923" s="2" t="s">
        <v>25784</v>
      </c>
      <c r="J7923" s="2" t="s">
        <v>25785</v>
      </c>
      <c r="K7923" s="2" t="s">
        <v>36839</v>
      </c>
      <c r="L7923" s="2" t="s">
        <v>36819</v>
      </c>
      <c r="M7923" s="2" t="s">
        <v>36840</v>
      </c>
      <c r="N7923" s="2" t="s">
        <v>36841</v>
      </c>
      <c r="O7923" s="2" t="s">
        <v>869</v>
      </c>
      <c r="P7923" s="2" t="s">
        <v>870</v>
      </c>
    </row>
    <row r="7924" ht="15.75" customHeight="1">
      <c r="F7924" s="2" t="s">
        <v>284</v>
      </c>
      <c r="H7924" s="2" t="s">
        <v>36842</v>
      </c>
      <c r="I7924" s="2" t="s">
        <v>6023</v>
      </c>
      <c r="J7924" s="2" t="s">
        <v>6024</v>
      </c>
      <c r="K7924" s="2" t="s">
        <v>6025</v>
      </c>
      <c r="L7924" s="2" t="s">
        <v>36819</v>
      </c>
      <c r="M7924" s="2" t="s">
        <v>36843</v>
      </c>
      <c r="N7924" s="2" t="s">
        <v>36844</v>
      </c>
      <c r="O7924" s="2" t="s">
        <v>869</v>
      </c>
      <c r="P7924" s="2" t="s">
        <v>870</v>
      </c>
    </row>
    <row r="7925" ht="15.75" customHeight="1">
      <c r="H7925" s="2" t="s">
        <v>36845</v>
      </c>
      <c r="I7925" s="2" t="s">
        <v>310</v>
      </c>
      <c r="J7925" s="2" t="s">
        <v>311</v>
      </c>
      <c r="K7925" s="2" t="s">
        <v>15809</v>
      </c>
      <c r="L7925" s="2" t="s">
        <v>36819</v>
      </c>
      <c r="M7925" s="2" t="s">
        <v>36846</v>
      </c>
      <c r="N7925" s="2" t="s">
        <v>36847</v>
      </c>
      <c r="O7925" s="2" t="s">
        <v>869</v>
      </c>
      <c r="P7925" s="2" t="s">
        <v>870</v>
      </c>
    </row>
    <row r="7926" ht="15.75" customHeight="1">
      <c r="H7926" s="2" t="s">
        <v>36848</v>
      </c>
      <c r="I7926" s="2" t="s">
        <v>326</v>
      </c>
      <c r="J7926" s="2" t="s">
        <v>327</v>
      </c>
      <c r="K7926" s="2" t="s">
        <v>6068</v>
      </c>
      <c r="L7926" s="2" t="s">
        <v>36849</v>
      </c>
      <c r="M7926" s="2" t="s">
        <v>36850</v>
      </c>
      <c r="N7926" s="2" t="s">
        <v>36851</v>
      </c>
      <c r="O7926" s="2" t="s">
        <v>869</v>
      </c>
      <c r="P7926" s="2" t="s">
        <v>870</v>
      </c>
    </row>
    <row r="7927" ht="15.75" customHeight="1">
      <c r="H7927" s="2" t="s">
        <v>36852</v>
      </c>
      <c r="I7927" s="2" t="s">
        <v>5436</v>
      </c>
      <c r="J7927" s="2" t="s">
        <v>5437</v>
      </c>
      <c r="K7927" s="2" t="s">
        <v>24063</v>
      </c>
      <c r="L7927" s="2" t="s">
        <v>36819</v>
      </c>
      <c r="M7927" s="2" t="s">
        <v>36853</v>
      </c>
      <c r="N7927" s="2" t="s">
        <v>36854</v>
      </c>
      <c r="O7927" s="2" t="s">
        <v>869</v>
      </c>
      <c r="P7927" s="2" t="s">
        <v>870</v>
      </c>
    </row>
    <row r="7928" ht="15.75" customHeight="1">
      <c r="H7928" s="2" t="s">
        <v>36855</v>
      </c>
      <c r="I7928" s="2" t="s">
        <v>335</v>
      </c>
      <c r="J7928" s="2" t="s">
        <v>336</v>
      </c>
      <c r="K7928" s="2" t="s">
        <v>15823</v>
      </c>
      <c r="L7928" s="2" t="s">
        <v>36819</v>
      </c>
      <c r="M7928" s="2" t="s">
        <v>36856</v>
      </c>
      <c r="N7928" s="2" t="s">
        <v>36857</v>
      </c>
      <c r="O7928" s="2" t="s">
        <v>869</v>
      </c>
      <c r="P7928" s="2" t="s">
        <v>870</v>
      </c>
    </row>
    <row r="7929" ht="15.75" customHeight="1">
      <c r="H7929" s="2" t="s">
        <v>36858</v>
      </c>
      <c r="I7929" s="2" t="s">
        <v>5459</v>
      </c>
      <c r="J7929" s="2" t="s">
        <v>5460</v>
      </c>
      <c r="K7929" s="2" t="s">
        <v>15784</v>
      </c>
      <c r="L7929" s="2" t="s">
        <v>36819</v>
      </c>
      <c r="M7929" s="2" t="s">
        <v>36859</v>
      </c>
      <c r="N7929" s="2" t="s">
        <v>36860</v>
      </c>
      <c r="O7929" s="2" t="s">
        <v>869</v>
      </c>
      <c r="P7929" s="2" t="s">
        <v>870</v>
      </c>
    </row>
    <row r="7930" ht="15.75" customHeight="1">
      <c r="H7930" s="2" t="s">
        <v>36861</v>
      </c>
      <c r="I7930" s="2" t="s">
        <v>485</v>
      </c>
      <c r="J7930" s="2" t="s">
        <v>486</v>
      </c>
      <c r="K7930" s="2" t="s">
        <v>15792</v>
      </c>
      <c r="L7930" s="2" t="s">
        <v>36862</v>
      </c>
      <c r="M7930" s="2" t="s">
        <v>36863</v>
      </c>
      <c r="N7930" s="2" t="s">
        <v>36864</v>
      </c>
      <c r="O7930" s="2" t="s">
        <v>869</v>
      </c>
      <c r="P7930" s="2" t="s">
        <v>870</v>
      </c>
    </row>
    <row r="7931" ht="15.75" customHeight="1">
      <c r="H7931" s="2" t="s">
        <v>36865</v>
      </c>
      <c r="I7931" s="2" t="s">
        <v>526</v>
      </c>
      <c r="J7931" s="2" t="s">
        <v>527</v>
      </c>
      <c r="K7931" s="2" t="s">
        <v>24084</v>
      </c>
      <c r="L7931" s="2" t="s">
        <v>36819</v>
      </c>
      <c r="M7931" s="2" t="s">
        <v>36866</v>
      </c>
      <c r="N7931" s="2" t="s">
        <v>36867</v>
      </c>
      <c r="O7931" s="2" t="s">
        <v>869</v>
      </c>
      <c r="P7931" s="2" t="s">
        <v>870</v>
      </c>
    </row>
    <row r="7932" ht="15.75" customHeight="1">
      <c r="F7932" s="2" t="s">
        <v>556</v>
      </c>
      <c r="H7932" s="2" t="s">
        <v>36868</v>
      </c>
      <c r="I7932" s="2" t="s">
        <v>2769</v>
      </c>
      <c r="J7932" s="2" t="s">
        <v>2770</v>
      </c>
      <c r="K7932" s="2" t="s">
        <v>6050</v>
      </c>
      <c r="L7932" s="2" t="s">
        <v>36819</v>
      </c>
      <c r="M7932" s="2" t="s">
        <v>36869</v>
      </c>
      <c r="N7932" s="2" t="s">
        <v>36870</v>
      </c>
      <c r="O7932" s="2" t="s">
        <v>869</v>
      </c>
      <c r="P7932" s="2" t="s">
        <v>870</v>
      </c>
    </row>
    <row r="7933" ht="15.75" customHeight="1">
      <c r="H7933" s="2" t="s">
        <v>36871</v>
      </c>
      <c r="I7933" s="2" t="s">
        <v>12033</v>
      </c>
      <c r="J7933" s="2" t="s">
        <v>12034</v>
      </c>
      <c r="K7933" s="2" t="s">
        <v>24102</v>
      </c>
      <c r="L7933" s="2" t="s">
        <v>36819</v>
      </c>
      <c r="M7933" s="2" t="s">
        <v>36872</v>
      </c>
      <c r="N7933" s="2" t="s">
        <v>36873</v>
      </c>
      <c r="O7933" s="2" t="s">
        <v>869</v>
      </c>
      <c r="P7933" s="2" t="s">
        <v>870</v>
      </c>
    </row>
    <row r="7934" ht="15.75" customHeight="1">
      <c r="F7934" s="2" t="s">
        <v>624</v>
      </c>
      <c r="H7934" s="2" t="s">
        <v>36874</v>
      </c>
      <c r="I7934" s="2" t="s">
        <v>626</v>
      </c>
      <c r="J7934" s="2" t="s">
        <v>627</v>
      </c>
      <c r="K7934" s="2" t="s">
        <v>6058</v>
      </c>
      <c r="L7934" s="2" t="s">
        <v>36875</v>
      </c>
      <c r="M7934" s="2" t="s">
        <v>36876</v>
      </c>
      <c r="N7934" s="2" t="s">
        <v>36877</v>
      </c>
      <c r="O7934" s="2" t="s">
        <v>869</v>
      </c>
      <c r="P7934" s="2" t="s">
        <v>870</v>
      </c>
    </row>
    <row r="7935" ht="15.75" customHeight="1">
      <c r="F7935" s="2" t="s">
        <v>728</v>
      </c>
      <c r="H7935" s="2" t="s">
        <v>36878</v>
      </c>
      <c r="I7935" s="2" t="s">
        <v>21030</v>
      </c>
      <c r="J7935" s="2" t="s">
        <v>21031</v>
      </c>
      <c r="K7935" s="2" t="s">
        <v>25128</v>
      </c>
      <c r="L7935" s="2" t="s">
        <v>36819</v>
      </c>
      <c r="M7935" s="2" t="s">
        <v>36879</v>
      </c>
      <c r="N7935" s="2" t="s">
        <v>36880</v>
      </c>
      <c r="O7935" s="2" t="s">
        <v>869</v>
      </c>
      <c r="P7935" s="2" t="s">
        <v>870</v>
      </c>
    </row>
    <row r="7936" ht="15.75" customHeight="1">
      <c r="F7936" s="2" t="s">
        <v>773</v>
      </c>
      <c r="H7936" s="2" t="s">
        <v>36881</v>
      </c>
      <c r="I7936" s="2" t="s">
        <v>4798</v>
      </c>
      <c r="J7936" s="2" t="s">
        <v>4799</v>
      </c>
      <c r="K7936" s="2" t="s">
        <v>24679</v>
      </c>
      <c r="L7936" s="2" t="s">
        <v>36819</v>
      </c>
      <c r="M7936" s="2" t="s">
        <v>36882</v>
      </c>
      <c r="N7936" s="2" t="s">
        <v>36883</v>
      </c>
      <c r="O7936" s="2" t="s">
        <v>869</v>
      </c>
      <c r="P7936" s="2" t="s">
        <v>870</v>
      </c>
    </row>
    <row r="7937" ht="15.75" customHeight="1">
      <c r="F7937" s="2" t="s">
        <v>800</v>
      </c>
      <c r="H7937" s="2" t="s">
        <v>36884</v>
      </c>
      <c r="I7937" s="2" t="s">
        <v>2917</v>
      </c>
      <c r="J7937" s="2" t="s">
        <v>2918</v>
      </c>
      <c r="K7937" s="2" t="s">
        <v>6074</v>
      </c>
      <c r="L7937" s="2" t="s">
        <v>36819</v>
      </c>
      <c r="M7937" s="2" t="s">
        <v>36885</v>
      </c>
      <c r="N7937" s="2" t="s">
        <v>36886</v>
      </c>
      <c r="O7937" s="2" t="s">
        <v>869</v>
      </c>
      <c r="P7937" s="2" t="s">
        <v>870</v>
      </c>
    </row>
    <row r="7938" ht="15.75" customHeight="1">
      <c r="H7938" s="2" t="s">
        <v>36887</v>
      </c>
      <c r="I7938" s="2" t="s">
        <v>5986</v>
      </c>
      <c r="J7938" s="2" t="s">
        <v>5987</v>
      </c>
      <c r="K7938" s="2" t="s">
        <v>6091</v>
      </c>
      <c r="L7938" s="2" t="s">
        <v>36819</v>
      </c>
      <c r="M7938" s="2" t="s">
        <v>36888</v>
      </c>
      <c r="N7938" s="2" t="s">
        <v>36889</v>
      </c>
      <c r="O7938" s="2" t="s">
        <v>869</v>
      </c>
      <c r="P7938" s="2" t="s">
        <v>870</v>
      </c>
    </row>
    <row r="7939" ht="15.75" customHeight="1">
      <c r="B7939" s="2" t="s">
        <v>36890</v>
      </c>
      <c r="C7939" s="2" t="s">
        <v>36891</v>
      </c>
      <c r="D7939" s="2" t="s">
        <v>36892</v>
      </c>
      <c r="F7939" s="2" t="s">
        <v>19</v>
      </c>
      <c r="H7939" s="2" t="s">
        <v>36893</v>
      </c>
      <c r="I7939" s="2" t="s">
        <v>21</v>
      </c>
      <c r="J7939" s="2" t="s">
        <v>22</v>
      </c>
      <c r="K7939" s="2" t="s">
        <v>36894</v>
      </c>
      <c r="L7939" s="2" t="s">
        <v>36895</v>
      </c>
      <c r="M7939" s="2" t="s">
        <v>36896</v>
      </c>
      <c r="N7939" s="2" t="s">
        <v>36897</v>
      </c>
      <c r="O7939" s="2" t="s">
        <v>36898</v>
      </c>
      <c r="P7939" s="2" t="s">
        <v>869</v>
      </c>
    </row>
    <row r="7940" ht="15.75" customHeight="1">
      <c r="F7940" s="2" t="s">
        <v>29</v>
      </c>
      <c r="H7940" s="2" t="s">
        <v>36899</v>
      </c>
      <c r="I7940" s="2" t="s">
        <v>31</v>
      </c>
      <c r="J7940" s="2" t="s">
        <v>32</v>
      </c>
      <c r="K7940" s="2" t="s">
        <v>36900</v>
      </c>
      <c r="L7940" s="2" t="s">
        <v>36895</v>
      </c>
      <c r="M7940" s="2" t="s">
        <v>36901</v>
      </c>
      <c r="N7940" s="2" t="s">
        <v>36902</v>
      </c>
      <c r="O7940" s="2" t="s">
        <v>36903</v>
      </c>
      <c r="P7940" s="2" t="s">
        <v>869</v>
      </c>
    </row>
    <row r="7941" ht="15.75" customHeight="1">
      <c r="F7941" s="2" t="s">
        <v>39</v>
      </c>
      <c r="H7941" s="2" t="s">
        <v>36904</v>
      </c>
      <c r="I7941" s="2" t="s">
        <v>49</v>
      </c>
      <c r="J7941" s="2" t="s">
        <v>50</v>
      </c>
      <c r="K7941" s="2" t="s">
        <v>36905</v>
      </c>
      <c r="L7941" s="2" t="s">
        <v>36895</v>
      </c>
      <c r="M7941" s="2" t="s">
        <v>36906</v>
      </c>
      <c r="N7941" s="2" t="s">
        <v>36907</v>
      </c>
      <c r="O7941" s="2" t="s">
        <v>36908</v>
      </c>
      <c r="P7941" s="2" t="s">
        <v>869</v>
      </c>
    </row>
    <row r="7942" ht="15.75" customHeight="1">
      <c r="F7942" s="2" t="s">
        <v>74</v>
      </c>
      <c r="H7942" s="2" t="s">
        <v>36909</v>
      </c>
      <c r="I7942" s="2" t="s">
        <v>76</v>
      </c>
      <c r="J7942" s="2" t="s">
        <v>77</v>
      </c>
      <c r="K7942" s="2" t="s">
        <v>36910</v>
      </c>
      <c r="L7942" s="2" t="s">
        <v>36911</v>
      </c>
      <c r="M7942" s="2" t="s">
        <v>36912</v>
      </c>
      <c r="N7942" s="2" t="s">
        <v>36913</v>
      </c>
      <c r="O7942" s="2" t="s">
        <v>36914</v>
      </c>
      <c r="P7942" s="2" t="s">
        <v>869</v>
      </c>
    </row>
    <row r="7943" ht="15.75" customHeight="1">
      <c r="H7943" s="2" t="s">
        <v>36915</v>
      </c>
      <c r="I7943" s="2" t="s">
        <v>36916</v>
      </c>
      <c r="J7943" s="2" t="s">
        <v>36917</v>
      </c>
      <c r="K7943" s="2" t="s">
        <v>5277</v>
      </c>
    </row>
    <row r="7944" ht="15.75" customHeight="1">
      <c r="H7944" s="2" t="s">
        <v>36918</v>
      </c>
      <c r="I7944" s="2" t="s">
        <v>93</v>
      </c>
      <c r="J7944" s="2" t="s">
        <v>94</v>
      </c>
      <c r="K7944" s="2" t="s">
        <v>36919</v>
      </c>
      <c r="L7944" s="2" t="s">
        <v>36895</v>
      </c>
      <c r="M7944" s="2" t="s">
        <v>36920</v>
      </c>
      <c r="N7944" s="2" t="s">
        <v>36921</v>
      </c>
      <c r="O7944" s="2" t="s">
        <v>36922</v>
      </c>
      <c r="P7944" s="2" t="s">
        <v>869</v>
      </c>
    </row>
    <row r="7945" ht="15.75" customHeight="1">
      <c r="H7945" s="2" t="s">
        <v>36923</v>
      </c>
      <c r="I7945" s="2" t="s">
        <v>18816</v>
      </c>
      <c r="J7945" s="2" t="s">
        <v>18817</v>
      </c>
      <c r="K7945" s="2" t="s">
        <v>36924</v>
      </c>
      <c r="L7945" s="2" t="s">
        <v>36895</v>
      </c>
      <c r="M7945" s="2" t="s">
        <v>36925</v>
      </c>
      <c r="N7945" s="2" t="s">
        <v>36926</v>
      </c>
      <c r="O7945" s="2" t="s">
        <v>36927</v>
      </c>
      <c r="P7945" s="2" t="s">
        <v>869</v>
      </c>
    </row>
    <row r="7946" ht="15.75" customHeight="1">
      <c r="H7946" s="2" t="s">
        <v>36928</v>
      </c>
      <c r="I7946" s="2" t="s">
        <v>117</v>
      </c>
      <c r="J7946" s="2" t="s">
        <v>118</v>
      </c>
      <c r="K7946" s="2" t="s">
        <v>36929</v>
      </c>
      <c r="L7946" s="2" t="s">
        <v>36895</v>
      </c>
      <c r="M7946" s="2" t="s">
        <v>36930</v>
      </c>
      <c r="N7946" s="2" t="s">
        <v>36931</v>
      </c>
      <c r="O7946" s="2" t="s">
        <v>36932</v>
      </c>
      <c r="P7946" s="2" t="s">
        <v>36933</v>
      </c>
    </row>
    <row r="7947" ht="15.75" customHeight="1">
      <c r="H7947" s="2" t="s">
        <v>36934</v>
      </c>
      <c r="I7947" s="2" t="s">
        <v>1573</v>
      </c>
      <c r="J7947" s="2" t="s">
        <v>1574</v>
      </c>
      <c r="K7947" s="2" t="s">
        <v>36935</v>
      </c>
      <c r="L7947" s="2" t="s">
        <v>36895</v>
      </c>
      <c r="M7947" s="2" t="s">
        <v>36936</v>
      </c>
      <c r="N7947" s="2" t="s">
        <v>36937</v>
      </c>
      <c r="O7947" s="2" t="s">
        <v>36938</v>
      </c>
      <c r="P7947" s="2" t="s">
        <v>869</v>
      </c>
    </row>
    <row r="7948" ht="15.75" customHeight="1">
      <c r="H7948" s="2" t="s">
        <v>36939</v>
      </c>
      <c r="I7948" s="2" t="s">
        <v>11923</v>
      </c>
      <c r="J7948" s="2" t="s">
        <v>11924</v>
      </c>
      <c r="K7948" s="2" t="s">
        <v>36940</v>
      </c>
      <c r="L7948" s="2" t="s">
        <v>36895</v>
      </c>
      <c r="M7948" s="2" t="s">
        <v>36941</v>
      </c>
      <c r="N7948" s="2" t="s">
        <v>36942</v>
      </c>
      <c r="O7948" s="2" t="s">
        <v>36943</v>
      </c>
      <c r="P7948" s="2" t="s">
        <v>869</v>
      </c>
    </row>
    <row r="7949" ht="15.75" customHeight="1">
      <c r="H7949" s="2" t="s">
        <v>36944</v>
      </c>
      <c r="I7949" s="2" t="s">
        <v>8241</v>
      </c>
      <c r="J7949" s="2" t="s">
        <v>8242</v>
      </c>
      <c r="K7949" s="2" t="s">
        <v>36945</v>
      </c>
      <c r="L7949" s="2" t="s">
        <v>36895</v>
      </c>
      <c r="M7949" s="2" t="s">
        <v>36946</v>
      </c>
      <c r="N7949" s="2" t="s">
        <v>36947</v>
      </c>
      <c r="O7949" s="2" t="s">
        <v>36948</v>
      </c>
      <c r="P7949" s="2" t="s">
        <v>869</v>
      </c>
    </row>
    <row r="7950" ht="15.75" customHeight="1">
      <c r="H7950" s="2" t="s">
        <v>36949</v>
      </c>
      <c r="I7950" s="2" t="s">
        <v>1658</v>
      </c>
      <c r="J7950" s="2" t="s">
        <v>1659</v>
      </c>
      <c r="K7950" s="2" t="s">
        <v>36950</v>
      </c>
      <c r="L7950" s="2" t="s">
        <v>36895</v>
      </c>
      <c r="M7950" s="2" t="s">
        <v>36951</v>
      </c>
      <c r="N7950" s="2" t="s">
        <v>36952</v>
      </c>
      <c r="O7950" s="2" t="s">
        <v>36953</v>
      </c>
      <c r="P7950" s="2" t="s">
        <v>869</v>
      </c>
    </row>
    <row r="7951" ht="15.75" customHeight="1">
      <c r="H7951" s="2" t="s">
        <v>36954</v>
      </c>
      <c r="I7951" s="2" t="s">
        <v>167</v>
      </c>
      <c r="J7951" s="2" t="s">
        <v>168</v>
      </c>
      <c r="K7951" s="2" t="s">
        <v>36955</v>
      </c>
      <c r="L7951" s="2" t="s">
        <v>36956</v>
      </c>
      <c r="M7951" s="2" t="s">
        <v>36957</v>
      </c>
      <c r="N7951" s="2" t="s">
        <v>36958</v>
      </c>
      <c r="O7951" s="2" t="s">
        <v>36959</v>
      </c>
      <c r="P7951" s="2" t="s">
        <v>869</v>
      </c>
    </row>
    <row r="7952" ht="15.75" customHeight="1">
      <c r="H7952" s="2" t="s">
        <v>36960</v>
      </c>
      <c r="I7952" s="2" t="s">
        <v>36961</v>
      </c>
      <c r="J7952" s="2" t="s">
        <v>36962</v>
      </c>
      <c r="K7952" s="2" t="s">
        <v>36963</v>
      </c>
      <c r="L7952" s="2" t="s">
        <v>36895</v>
      </c>
      <c r="M7952" s="2" t="s">
        <v>36964</v>
      </c>
      <c r="N7952" s="2" t="s">
        <v>36965</v>
      </c>
      <c r="O7952" s="2" t="s">
        <v>36966</v>
      </c>
      <c r="P7952" s="2" t="s">
        <v>869</v>
      </c>
    </row>
    <row r="7953" ht="15.75" customHeight="1">
      <c r="H7953" s="2" t="s">
        <v>36967</v>
      </c>
      <c r="I7953" s="2" t="s">
        <v>176</v>
      </c>
      <c r="J7953" s="2" t="s">
        <v>177</v>
      </c>
      <c r="K7953" s="2" t="s">
        <v>36968</v>
      </c>
      <c r="L7953" s="2" t="s">
        <v>36969</v>
      </c>
      <c r="M7953" s="2" t="s">
        <v>36970</v>
      </c>
      <c r="N7953" s="2" t="s">
        <v>36971</v>
      </c>
      <c r="O7953" s="2" t="s">
        <v>36972</v>
      </c>
      <c r="P7953" s="2" t="s">
        <v>36973</v>
      </c>
    </row>
    <row r="7954" ht="15.75" customHeight="1">
      <c r="H7954" s="2" t="s">
        <v>36974</v>
      </c>
      <c r="I7954" s="2" t="s">
        <v>36975</v>
      </c>
      <c r="J7954" s="2" t="s">
        <v>36976</v>
      </c>
      <c r="K7954" s="2" t="s">
        <v>36977</v>
      </c>
      <c r="L7954" s="2" t="s">
        <v>36895</v>
      </c>
      <c r="M7954" s="2" t="s">
        <v>36978</v>
      </c>
      <c r="N7954" s="2" t="s">
        <v>36979</v>
      </c>
      <c r="O7954" s="2" t="s">
        <v>36980</v>
      </c>
      <c r="P7954" s="2" t="s">
        <v>869</v>
      </c>
    </row>
    <row r="7955" ht="15.75" customHeight="1">
      <c r="H7955" s="2" t="s">
        <v>36981</v>
      </c>
      <c r="I7955" s="2" t="s">
        <v>12186</v>
      </c>
      <c r="J7955" s="2" t="s">
        <v>12187</v>
      </c>
      <c r="K7955" s="2" t="s">
        <v>36982</v>
      </c>
      <c r="L7955" s="2" t="s">
        <v>36895</v>
      </c>
      <c r="M7955" s="2" t="s">
        <v>36983</v>
      </c>
      <c r="N7955" s="2" t="s">
        <v>36984</v>
      </c>
      <c r="O7955" s="2" t="s">
        <v>36985</v>
      </c>
      <c r="P7955" s="2" t="s">
        <v>869</v>
      </c>
    </row>
    <row r="7956" ht="15.75" customHeight="1">
      <c r="H7956" s="2" t="s">
        <v>36986</v>
      </c>
      <c r="I7956" s="2" t="s">
        <v>1766</v>
      </c>
      <c r="J7956" s="2" t="s">
        <v>1767</v>
      </c>
      <c r="K7956" s="2" t="s">
        <v>36987</v>
      </c>
      <c r="L7956" s="2" t="s">
        <v>36895</v>
      </c>
      <c r="M7956" s="2" t="s">
        <v>36988</v>
      </c>
      <c r="N7956" s="2" t="s">
        <v>36989</v>
      </c>
      <c r="O7956" s="2" t="s">
        <v>36990</v>
      </c>
      <c r="P7956" s="2" t="s">
        <v>869</v>
      </c>
    </row>
    <row r="7957" ht="15.75" customHeight="1">
      <c r="H7957" s="2" t="s">
        <v>36991</v>
      </c>
      <c r="I7957" s="2" t="s">
        <v>14392</v>
      </c>
      <c r="J7957" s="2" t="s">
        <v>14393</v>
      </c>
      <c r="K7957" s="2" t="s">
        <v>36992</v>
      </c>
      <c r="L7957" s="2" t="s">
        <v>36895</v>
      </c>
      <c r="M7957" s="2" t="s">
        <v>36993</v>
      </c>
      <c r="N7957" s="2" t="s">
        <v>36994</v>
      </c>
      <c r="O7957" s="2" t="s">
        <v>36995</v>
      </c>
      <c r="P7957" s="2" t="s">
        <v>869</v>
      </c>
    </row>
    <row r="7958" ht="15.75" customHeight="1">
      <c r="H7958" s="2" t="s">
        <v>36996</v>
      </c>
      <c r="I7958" s="2" t="s">
        <v>225</v>
      </c>
      <c r="J7958" s="2" t="s">
        <v>226</v>
      </c>
      <c r="K7958" s="2" t="s">
        <v>36997</v>
      </c>
      <c r="L7958" s="2" t="s">
        <v>36895</v>
      </c>
      <c r="M7958" s="2" t="s">
        <v>36998</v>
      </c>
      <c r="N7958" s="2" t="s">
        <v>36999</v>
      </c>
      <c r="O7958" s="2" t="s">
        <v>37000</v>
      </c>
      <c r="P7958" s="2" t="s">
        <v>869</v>
      </c>
    </row>
    <row r="7959" ht="15.75" customHeight="1">
      <c r="H7959" s="2" t="s">
        <v>37001</v>
      </c>
      <c r="I7959" s="2" t="s">
        <v>1501</v>
      </c>
      <c r="J7959" s="2" t="s">
        <v>1502</v>
      </c>
      <c r="K7959" s="2" t="s">
        <v>37002</v>
      </c>
      <c r="L7959" s="2" t="s">
        <v>36895</v>
      </c>
      <c r="M7959" s="2" t="s">
        <v>37003</v>
      </c>
      <c r="N7959" s="2" t="s">
        <v>37004</v>
      </c>
      <c r="O7959" s="2" t="s">
        <v>37005</v>
      </c>
      <c r="P7959" s="2" t="s">
        <v>869</v>
      </c>
    </row>
    <row r="7960" ht="15.75" customHeight="1">
      <c r="F7960" s="2" t="s">
        <v>274</v>
      </c>
      <c r="H7960" s="2" t="s">
        <v>37006</v>
      </c>
      <c r="I7960" s="2" t="s">
        <v>279</v>
      </c>
      <c r="J7960" s="2" t="s">
        <v>274</v>
      </c>
      <c r="K7960" s="2" t="s">
        <v>280</v>
      </c>
    </row>
    <row r="7961" ht="15.75" customHeight="1">
      <c r="F7961" s="2" t="s">
        <v>284</v>
      </c>
      <c r="H7961" s="2" t="s">
        <v>37007</v>
      </c>
      <c r="I7961" s="2" t="s">
        <v>18041</v>
      </c>
      <c r="J7961" s="2" t="s">
        <v>18042</v>
      </c>
      <c r="K7961" s="2" t="s">
        <v>37008</v>
      </c>
      <c r="L7961" s="2" t="s">
        <v>36895</v>
      </c>
      <c r="M7961" s="2" t="s">
        <v>37009</v>
      </c>
      <c r="N7961" s="2" t="s">
        <v>37010</v>
      </c>
      <c r="O7961" s="2" t="s">
        <v>37011</v>
      </c>
      <c r="P7961" s="2" t="s">
        <v>869</v>
      </c>
    </row>
    <row r="7962" ht="15.75" customHeight="1">
      <c r="H7962" s="2" t="s">
        <v>37012</v>
      </c>
      <c r="I7962" s="2" t="s">
        <v>12593</v>
      </c>
      <c r="J7962" s="2" t="s">
        <v>12594</v>
      </c>
      <c r="K7962" s="2" t="s">
        <v>37013</v>
      </c>
      <c r="L7962" s="2" t="s">
        <v>36895</v>
      </c>
      <c r="M7962" s="2" t="s">
        <v>37014</v>
      </c>
      <c r="N7962" s="2" t="s">
        <v>37015</v>
      </c>
      <c r="O7962" s="2" t="s">
        <v>37016</v>
      </c>
      <c r="P7962" s="2" t="s">
        <v>869</v>
      </c>
    </row>
    <row r="7963" ht="15.75" customHeight="1">
      <c r="H7963" s="2" t="s">
        <v>37017</v>
      </c>
      <c r="I7963" s="2" t="s">
        <v>6023</v>
      </c>
      <c r="J7963" s="2" t="s">
        <v>6024</v>
      </c>
      <c r="K7963" s="2" t="s">
        <v>37018</v>
      </c>
      <c r="L7963" s="2" t="s">
        <v>36895</v>
      </c>
      <c r="M7963" s="2" t="s">
        <v>37019</v>
      </c>
      <c r="N7963" s="2" t="s">
        <v>37020</v>
      </c>
      <c r="O7963" s="2" t="s">
        <v>37021</v>
      </c>
      <c r="P7963" s="2" t="s">
        <v>869</v>
      </c>
    </row>
    <row r="7964" ht="15.75" customHeight="1">
      <c r="H7964" s="2" t="s">
        <v>37022</v>
      </c>
      <c r="I7964" s="2" t="s">
        <v>286</v>
      </c>
      <c r="J7964" s="2" t="s">
        <v>287</v>
      </c>
      <c r="K7964" s="2" t="s">
        <v>37023</v>
      </c>
      <c r="L7964" s="2" t="s">
        <v>37024</v>
      </c>
      <c r="M7964" s="2" t="s">
        <v>37025</v>
      </c>
      <c r="N7964" s="2" t="s">
        <v>37026</v>
      </c>
      <c r="O7964" s="2" t="s">
        <v>37027</v>
      </c>
      <c r="P7964" s="2" t="s">
        <v>37028</v>
      </c>
    </row>
    <row r="7965" ht="15.75" customHeight="1">
      <c r="H7965" s="2" t="s">
        <v>37029</v>
      </c>
      <c r="I7965" s="2" t="s">
        <v>37030</v>
      </c>
      <c r="J7965" s="2" t="s">
        <v>37031</v>
      </c>
      <c r="K7965" s="2" t="s">
        <v>37032</v>
      </c>
      <c r="L7965" s="2" t="s">
        <v>36895</v>
      </c>
      <c r="M7965" s="2" t="s">
        <v>37033</v>
      </c>
      <c r="N7965" s="2" t="s">
        <v>37034</v>
      </c>
      <c r="O7965" s="2" t="s">
        <v>37035</v>
      </c>
      <c r="P7965" s="2" t="s">
        <v>869</v>
      </c>
    </row>
    <row r="7966" ht="15.75" customHeight="1">
      <c r="H7966" s="2" t="s">
        <v>37036</v>
      </c>
      <c r="I7966" s="2" t="s">
        <v>310</v>
      </c>
      <c r="J7966" s="2" t="s">
        <v>311</v>
      </c>
      <c r="K7966" s="2" t="s">
        <v>37037</v>
      </c>
      <c r="L7966" s="2" t="s">
        <v>37038</v>
      </c>
      <c r="M7966" s="2" t="s">
        <v>37039</v>
      </c>
      <c r="N7966" s="2" t="s">
        <v>37040</v>
      </c>
      <c r="O7966" s="2" t="s">
        <v>37041</v>
      </c>
      <c r="P7966" s="2" t="s">
        <v>869</v>
      </c>
    </row>
    <row r="7967" ht="15.75" customHeight="1">
      <c r="H7967" s="2" t="s">
        <v>37042</v>
      </c>
      <c r="I7967" s="2" t="s">
        <v>37043</v>
      </c>
      <c r="J7967" s="2" t="s">
        <v>37044</v>
      </c>
      <c r="K7967" s="2" t="s">
        <v>37045</v>
      </c>
      <c r="L7967" s="2" t="s">
        <v>36895</v>
      </c>
      <c r="M7967" s="2" t="s">
        <v>37046</v>
      </c>
      <c r="N7967" s="2" t="s">
        <v>37047</v>
      </c>
      <c r="O7967" s="2" t="s">
        <v>37048</v>
      </c>
      <c r="P7967" s="2" t="s">
        <v>869</v>
      </c>
    </row>
    <row r="7968" ht="15.75" customHeight="1">
      <c r="H7968" s="2" t="s">
        <v>37049</v>
      </c>
      <c r="I7968" s="2" t="s">
        <v>2195</v>
      </c>
      <c r="J7968" s="2" t="s">
        <v>2196</v>
      </c>
      <c r="K7968" s="2" t="s">
        <v>37050</v>
      </c>
      <c r="L7968" s="2" t="s">
        <v>37051</v>
      </c>
      <c r="M7968" s="2" t="s">
        <v>37052</v>
      </c>
      <c r="N7968" s="2" t="s">
        <v>37053</v>
      </c>
      <c r="O7968" s="2" t="s">
        <v>37054</v>
      </c>
      <c r="P7968" s="2" t="s">
        <v>869</v>
      </c>
    </row>
    <row r="7969" ht="15.75" customHeight="1">
      <c r="H7969" s="2" t="s">
        <v>37055</v>
      </c>
      <c r="I7969" s="2" t="s">
        <v>2207</v>
      </c>
      <c r="J7969" s="2" t="s">
        <v>2208</v>
      </c>
      <c r="K7969" s="2" t="s">
        <v>37056</v>
      </c>
      <c r="L7969" s="2" t="s">
        <v>37057</v>
      </c>
      <c r="M7969" s="2" t="s">
        <v>37058</v>
      </c>
      <c r="N7969" s="2" t="s">
        <v>37059</v>
      </c>
      <c r="O7969" s="2" t="s">
        <v>37060</v>
      </c>
      <c r="P7969" s="2" t="s">
        <v>869</v>
      </c>
    </row>
    <row r="7970" ht="15.75" customHeight="1">
      <c r="H7970" s="2" t="s">
        <v>37061</v>
      </c>
      <c r="I7970" s="2" t="s">
        <v>16982</v>
      </c>
      <c r="J7970" s="2" t="s">
        <v>16983</v>
      </c>
      <c r="K7970" s="2" t="s">
        <v>37062</v>
      </c>
      <c r="L7970" s="2" t="s">
        <v>37063</v>
      </c>
      <c r="M7970" s="2" t="s">
        <v>37064</v>
      </c>
      <c r="N7970" s="2" t="s">
        <v>37065</v>
      </c>
      <c r="O7970" s="2" t="s">
        <v>37066</v>
      </c>
      <c r="P7970" s="2" t="s">
        <v>37067</v>
      </c>
    </row>
    <row r="7971" ht="15.75" customHeight="1">
      <c r="H7971" s="2" t="s">
        <v>37068</v>
      </c>
      <c r="I7971" s="2" t="s">
        <v>326</v>
      </c>
      <c r="J7971" s="2" t="s">
        <v>327</v>
      </c>
      <c r="K7971" s="2" t="s">
        <v>37069</v>
      </c>
      <c r="L7971" s="2" t="s">
        <v>37070</v>
      </c>
      <c r="M7971" s="2" t="s">
        <v>37071</v>
      </c>
      <c r="N7971" s="2" t="s">
        <v>37072</v>
      </c>
      <c r="O7971" s="2" t="s">
        <v>37073</v>
      </c>
      <c r="P7971" s="2" t="s">
        <v>869</v>
      </c>
    </row>
    <row r="7972" ht="15.75" customHeight="1">
      <c r="H7972" s="2" t="s">
        <v>37074</v>
      </c>
      <c r="I7972" s="2" t="s">
        <v>335</v>
      </c>
      <c r="J7972" s="2" t="s">
        <v>336</v>
      </c>
      <c r="K7972" s="2" t="s">
        <v>37075</v>
      </c>
      <c r="L7972" s="2" t="s">
        <v>37076</v>
      </c>
      <c r="M7972" s="2" t="s">
        <v>37077</v>
      </c>
      <c r="N7972" s="2" t="s">
        <v>37078</v>
      </c>
      <c r="O7972" s="2" t="s">
        <v>37079</v>
      </c>
      <c r="P7972" s="2" t="s">
        <v>869</v>
      </c>
    </row>
    <row r="7973" ht="15.75" customHeight="1">
      <c r="H7973" s="2" t="s">
        <v>37080</v>
      </c>
      <c r="I7973" s="2" t="s">
        <v>2715</v>
      </c>
      <c r="J7973" s="2" t="s">
        <v>2716</v>
      </c>
      <c r="K7973" s="2" t="s">
        <v>37081</v>
      </c>
      <c r="L7973" s="2" t="s">
        <v>36895</v>
      </c>
      <c r="M7973" s="2" t="s">
        <v>37082</v>
      </c>
      <c r="N7973" s="2" t="s">
        <v>37083</v>
      </c>
      <c r="O7973" s="2" t="s">
        <v>37084</v>
      </c>
      <c r="P7973" s="2" t="s">
        <v>869</v>
      </c>
    </row>
    <row r="7974" ht="15.75" customHeight="1">
      <c r="H7974" s="2" t="s">
        <v>37085</v>
      </c>
      <c r="I7974" s="2" t="s">
        <v>424</v>
      </c>
      <c r="J7974" s="2" t="s">
        <v>425</v>
      </c>
      <c r="K7974" s="2" t="s">
        <v>37086</v>
      </c>
      <c r="L7974" s="2" t="s">
        <v>36895</v>
      </c>
      <c r="M7974" s="2" t="s">
        <v>37087</v>
      </c>
      <c r="N7974" s="2" t="s">
        <v>37088</v>
      </c>
      <c r="O7974" s="2" t="s">
        <v>37089</v>
      </c>
      <c r="P7974" s="2" t="s">
        <v>869</v>
      </c>
    </row>
    <row r="7975" ht="15.75" customHeight="1">
      <c r="H7975" s="2" t="s">
        <v>37090</v>
      </c>
      <c r="I7975" s="2" t="s">
        <v>2286</v>
      </c>
      <c r="J7975" s="2" t="s">
        <v>2287</v>
      </c>
      <c r="K7975" s="2" t="s">
        <v>37091</v>
      </c>
      <c r="L7975" s="2" t="s">
        <v>36895</v>
      </c>
      <c r="M7975" s="2" t="s">
        <v>37092</v>
      </c>
      <c r="N7975" s="2" t="s">
        <v>37093</v>
      </c>
      <c r="O7975" s="2" t="s">
        <v>37094</v>
      </c>
      <c r="P7975" s="2" t="s">
        <v>869</v>
      </c>
    </row>
    <row r="7976" ht="15.75" customHeight="1">
      <c r="H7976" s="2" t="s">
        <v>37095</v>
      </c>
      <c r="I7976" s="2" t="s">
        <v>432</v>
      </c>
      <c r="J7976" s="2" t="s">
        <v>433</v>
      </c>
      <c r="K7976" s="2" t="s">
        <v>2236</v>
      </c>
    </row>
    <row r="7977" ht="15.75" customHeight="1">
      <c r="H7977" s="2" t="s">
        <v>37096</v>
      </c>
      <c r="I7977" s="2" t="s">
        <v>440</v>
      </c>
      <c r="J7977" s="2" t="s">
        <v>441</v>
      </c>
      <c r="K7977" s="2" t="s">
        <v>37097</v>
      </c>
      <c r="L7977" s="2" t="s">
        <v>37098</v>
      </c>
      <c r="M7977" s="2" t="s">
        <v>37099</v>
      </c>
      <c r="N7977" s="2" t="s">
        <v>37100</v>
      </c>
      <c r="O7977" s="2" t="s">
        <v>37101</v>
      </c>
      <c r="P7977" s="2" t="s">
        <v>869</v>
      </c>
    </row>
    <row r="7978" ht="15.75" customHeight="1">
      <c r="H7978" s="2" t="s">
        <v>37102</v>
      </c>
      <c r="I7978" s="2" t="s">
        <v>2298</v>
      </c>
      <c r="J7978" s="2" t="s">
        <v>2299</v>
      </c>
      <c r="K7978" s="2" t="s">
        <v>37103</v>
      </c>
      <c r="L7978" s="2" t="s">
        <v>36895</v>
      </c>
      <c r="M7978" s="2" t="s">
        <v>37104</v>
      </c>
      <c r="N7978" s="2" t="s">
        <v>37105</v>
      </c>
      <c r="O7978" s="2" t="s">
        <v>37106</v>
      </c>
      <c r="P7978" s="2" t="s">
        <v>869</v>
      </c>
    </row>
    <row r="7979" ht="15.75" customHeight="1">
      <c r="H7979" s="2" t="s">
        <v>37107</v>
      </c>
      <c r="I7979" s="2" t="s">
        <v>2331</v>
      </c>
      <c r="J7979" s="2" t="s">
        <v>2332</v>
      </c>
      <c r="K7979" s="2" t="s">
        <v>37108</v>
      </c>
      <c r="L7979" s="2" t="s">
        <v>36895</v>
      </c>
      <c r="M7979" s="2" t="s">
        <v>37109</v>
      </c>
      <c r="N7979" s="2" t="s">
        <v>37110</v>
      </c>
      <c r="O7979" s="2" t="s">
        <v>37111</v>
      </c>
      <c r="P7979" s="2" t="s">
        <v>869</v>
      </c>
    </row>
    <row r="7980" ht="15.75" customHeight="1">
      <c r="H7980" s="2" t="s">
        <v>37112</v>
      </c>
      <c r="I7980" s="2" t="s">
        <v>2341</v>
      </c>
      <c r="J7980" s="2" t="s">
        <v>2342</v>
      </c>
      <c r="K7980" s="2" t="s">
        <v>37113</v>
      </c>
      <c r="L7980" s="2" t="s">
        <v>36895</v>
      </c>
      <c r="M7980" s="2" t="s">
        <v>37114</v>
      </c>
      <c r="N7980" s="2" t="s">
        <v>37115</v>
      </c>
      <c r="O7980" s="2" t="s">
        <v>37116</v>
      </c>
      <c r="P7980" s="2" t="s">
        <v>869</v>
      </c>
    </row>
    <row r="7981" ht="15.75" customHeight="1">
      <c r="H7981" s="2" t="s">
        <v>37117</v>
      </c>
      <c r="I7981" s="2" t="s">
        <v>14894</v>
      </c>
      <c r="J7981" s="2" t="s">
        <v>14895</v>
      </c>
      <c r="K7981" s="2" t="s">
        <v>37118</v>
      </c>
      <c r="L7981" s="2" t="s">
        <v>36895</v>
      </c>
      <c r="M7981" s="2" t="s">
        <v>37119</v>
      </c>
      <c r="N7981" s="2" t="s">
        <v>37120</v>
      </c>
      <c r="O7981" s="2" t="s">
        <v>37121</v>
      </c>
      <c r="P7981" s="2" t="s">
        <v>869</v>
      </c>
    </row>
    <row r="7982" ht="15.75" customHeight="1">
      <c r="H7982" s="2" t="s">
        <v>37122</v>
      </c>
      <c r="I7982" s="2" t="s">
        <v>2357</v>
      </c>
      <c r="J7982" s="2" t="s">
        <v>2358</v>
      </c>
      <c r="K7982" s="2" t="s">
        <v>37123</v>
      </c>
      <c r="L7982" s="2" t="s">
        <v>37124</v>
      </c>
      <c r="M7982" s="2" t="s">
        <v>37125</v>
      </c>
      <c r="N7982" s="2" t="s">
        <v>37126</v>
      </c>
      <c r="O7982" s="2" t="s">
        <v>37127</v>
      </c>
      <c r="P7982" s="2" t="s">
        <v>37128</v>
      </c>
    </row>
    <row r="7983" ht="15.75" customHeight="1">
      <c r="H7983" s="2" t="s">
        <v>37129</v>
      </c>
      <c r="I7983" s="2" t="s">
        <v>5541</v>
      </c>
      <c r="J7983" s="2" t="s">
        <v>5542</v>
      </c>
      <c r="K7983" s="2" t="s">
        <v>37130</v>
      </c>
      <c r="L7983" s="2" t="s">
        <v>36895</v>
      </c>
      <c r="M7983" s="2" t="s">
        <v>37131</v>
      </c>
      <c r="N7983" s="2" t="s">
        <v>37132</v>
      </c>
      <c r="O7983" s="2" t="s">
        <v>37133</v>
      </c>
      <c r="P7983" s="2" t="s">
        <v>37134</v>
      </c>
    </row>
    <row r="7984" ht="15.75" customHeight="1">
      <c r="H7984" s="2" t="s">
        <v>37135</v>
      </c>
      <c r="I7984" s="2" t="s">
        <v>485</v>
      </c>
      <c r="J7984" s="2" t="s">
        <v>486</v>
      </c>
      <c r="K7984" s="2" t="s">
        <v>37136</v>
      </c>
      <c r="L7984" s="2" t="s">
        <v>37137</v>
      </c>
      <c r="M7984" s="2" t="s">
        <v>37138</v>
      </c>
      <c r="N7984" s="2" t="s">
        <v>37139</v>
      </c>
      <c r="O7984" s="2" t="s">
        <v>37140</v>
      </c>
      <c r="P7984" s="2" t="s">
        <v>37141</v>
      </c>
    </row>
    <row r="7985" ht="15.75" customHeight="1">
      <c r="H7985" s="2" t="s">
        <v>37142</v>
      </c>
      <c r="I7985" s="2" t="s">
        <v>13849</v>
      </c>
      <c r="J7985" s="2" t="s">
        <v>13850</v>
      </c>
      <c r="K7985" s="2" t="s">
        <v>37143</v>
      </c>
      <c r="L7985" s="2" t="s">
        <v>36895</v>
      </c>
      <c r="M7985" s="2" t="s">
        <v>37144</v>
      </c>
      <c r="N7985" s="2" t="s">
        <v>37145</v>
      </c>
      <c r="O7985" s="2" t="s">
        <v>37146</v>
      </c>
      <c r="P7985" s="2" t="s">
        <v>869</v>
      </c>
    </row>
    <row r="7986" ht="15.75" customHeight="1">
      <c r="H7986" s="2" t="s">
        <v>37147</v>
      </c>
      <c r="I7986" s="2" t="s">
        <v>37148</v>
      </c>
      <c r="J7986" s="2" t="s">
        <v>37149</v>
      </c>
      <c r="K7986" s="2" t="s">
        <v>37150</v>
      </c>
      <c r="L7986" s="2" t="s">
        <v>36895</v>
      </c>
      <c r="M7986" s="2" t="s">
        <v>37151</v>
      </c>
      <c r="N7986" s="2" t="s">
        <v>37152</v>
      </c>
      <c r="O7986" s="2" t="s">
        <v>37153</v>
      </c>
      <c r="P7986" s="2" t="s">
        <v>869</v>
      </c>
    </row>
    <row r="7987" ht="15.75" customHeight="1">
      <c r="H7987" s="2" t="s">
        <v>37154</v>
      </c>
      <c r="I7987" s="2" t="s">
        <v>13881</v>
      </c>
      <c r="J7987" s="2" t="s">
        <v>13882</v>
      </c>
      <c r="K7987" s="2" t="s">
        <v>37155</v>
      </c>
      <c r="L7987" s="2" t="s">
        <v>36895</v>
      </c>
      <c r="M7987" s="2" t="s">
        <v>37156</v>
      </c>
      <c r="N7987" s="2" t="s">
        <v>37157</v>
      </c>
      <c r="O7987" s="2" t="s">
        <v>37158</v>
      </c>
      <c r="P7987" s="2" t="s">
        <v>869</v>
      </c>
    </row>
    <row r="7988" ht="15.75" customHeight="1">
      <c r="H7988" s="2" t="s">
        <v>37159</v>
      </c>
      <c r="I7988" s="2" t="s">
        <v>15495</v>
      </c>
      <c r="J7988" s="2" t="s">
        <v>15496</v>
      </c>
      <c r="K7988" s="2" t="s">
        <v>37160</v>
      </c>
      <c r="L7988" s="2" t="s">
        <v>37161</v>
      </c>
      <c r="M7988" s="2" t="s">
        <v>37162</v>
      </c>
      <c r="N7988" s="2" t="s">
        <v>37163</v>
      </c>
      <c r="O7988" s="2" t="s">
        <v>37164</v>
      </c>
      <c r="P7988" s="2" t="s">
        <v>869</v>
      </c>
    </row>
    <row r="7989" ht="15.75" customHeight="1">
      <c r="H7989" s="2" t="s">
        <v>37165</v>
      </c>
      <c r="I7989" s="2" t="s">
        <v>2489</v>
      </c>
      <c r="J7989" s="2" t="s">
        <v>2490</v>
      </c>
      <c r="K7989" s="2" t="s">
        <v>37166</v>
      </c>
      <c r="L7989" s="2" t="s">
        <v>37167</v>
      </c>
      <c r="M7989" s="2" t="s">
        <v>37168</v>
      </c>
      <c r="N7989" s="2" t="s">
        <v>37169</v>
      </c>
      <c r="O7989" s="2" t="s">
        <v>37170</v>
      </c>
      <c r="P7989" s="2" t="s">
        <v>37171</v>
      </c>
    </row>
    <row r="7990" ht="15.75" customHeight="1">
      <c r="F7990" s="2" t="s">
        <v>534</v>
      </c>
      <c r="H7990" s="2" t="s">
        <v>37172</v>
      </c>
      <c r="I7990" s="2" t="s">
        <v>37173</v>
      </c>
      <c r="J7990" s="2" t="s">
        <v>37173</v>
      </c>
      <c r="K7990" s="2" t="s">
        <v>2479</v>
      </c>
    </row>
    <row r="7991" ht="15.75" customHeight="1">
      <c r="H7991" s="2" t="s">
        <v>37174</v>
      </c>
      <c r="I7991" s="2" t="s">
        <v>37175</v>
      </c>
      <c r="J7991" s="2" t="s">
        <v>37176</v>
      </c>
      <c r="K7991" s="2" t="s">
        <v>37177</v>
      </c>
    </row>
    <row r="7992" ht="15.75" customHeight="1">
      <c r="H7992" s="2" t="s">
        <v>37178</v>
      </c>
      <c r="I7992" s="2" t="s">
        <v>536</v>
      </c>
      <c r="J7992" s="2" t="s">
        <v>537</v>
      </c>
      <c r="K7992" s="2" t="s">
        <v>538</v>
      </c>
    </row>
    <row r="7993" ht="15.75" customHeight="1">
      <c r="F7993" s="2" t="s">
        <v>539</v>
      </c>
      <c r="H7993" s="2" t="s">
        <v>37179</v>
      </c>
      <c r="I7993" s="2" t="s">
        <v>541</v>
      </c>
      <c r="J7993" s="2" t="s">
        <v>542</v>
      </c>
      <c r="K7993" s="2" t="s">
        <v>37180</v>
      </c>
      <c r="L7993" s="2" t="s">
        <v>36895</v>
      </c>
      <c r="M7993" s="2" t="s">
        <v>37181</v>
      </c>
      <c r="N7993" s="2" t="s">
        <v>37182</v>
      </c>
      <c r="O7993" s="2" t="s">
        <v>37183</v>
      </c>
      <c r="P7993" s="2" t="s">
        <v>869</v>
      </c>
    </row>
    <row r="7994" ht="15.75" customHeight="1">
      <c r="F7994" s="2" t="s">
        <v>2597</v>
      </c>
      <c r="H7994" s="2" t="s">
        <v>37184</v>
      </c>
      <c r="I7994" s="2" t="s">
        <v>2624</v>
      </c>
      <c r="J7994" s="2" t="s">
        <v>2625</v>
      </c>
      <c r="K7994" s="2" t="s">
        <v>37185</v>
      </c>
      <c r="L7994" s="2" t="s">
        <v>36895</v>
      </c>
      <c r="M7994" s="2" t="s">
        <v>37186</v>
      </c>
      <c r="N7994" s="2" t="s">
        <v>37187</v>
      </c>
      <c r="O7994" s="2" t="s">
        <v>37188</v>
      </c>
      <c r="P7994" s="2" t="s">
        <v>869</v>
      </c>
    </row>
    <row r="7995" ht="15.75" customHeight="1">
      <c r="F7995" s="2" t="s">
        <v>556</v>
      </c>
      <c r="H7995" s="2" t="s">
        <v>37189</v>
      </c>
      <c r="I7995" s="2" t="s">
        <v>12793</v>
      </c>
      <c r="J7995" s="2" t="s">
        <v>12794</v>
      </c>
      <c r="K7995" s="2" t="s">
        <v>37190</v>
      </c>
      <c r="L7995" s="2" t="s">
        <v>36895</v>
      </c>
      <c r="M7995" s="2" t="s">
        <v>37191</v>
      </c>
      <c r="N7995" s="2" t="s">
        <v>37192</v>
      </c>
      <c r="O7995" s="2" t="s">
        <v>37193</v>
      </c>
      <c r="P7995" s="2" t="s">
        <v>869</v>
      </c>
    </row>
    <row r="7996" ht="15.75" customHeight="1">
      <c r="H7996" s="2" t="s">
        <v>37194</v>
      </c>
      <c r="I7996" s="2" t="s">
        <v>8189</v>
      </c>
      <c r="J7996" s="2" t="s">
        <v>8190</v>
      </c>
      <c r="K7996" s="2" t="s">
        <v>37195</v>
      </c>
      <c r="L7996" s="2" t="s">
        <v>36895</v>
      </c>
      <c r="M7996" s="2" t="s">
        <v>37196</v>
      </c>
      <c r="N7996" s="2" t="s">
        <v>37197</v>
      </c>
      <c r="O7996" s="2" t="s">
        <v>37198</v>
      </c>
      <c r="P7996" s="2" t="s">
        <v>869</v>
      </c>
    </row>
    <row r="7997" ht="15.75" customHeight="1">
      <c r="F7997" s="2" t="s">
        <v>2827</v>
      </c>
      <c r="H7997" s="2" t="s">
        <v>37199</v>
      </c>
      <c r="I7997" s="2" t="s">
        <v>2842</v>
      </c>
      <c r="J7997" s="2" t="s">
        <v>2843</v>
      </c>
      <c r="K7997" s="2" t="s">
        <v>37200</v>
      </c>
      <c r="L7997" s="2" t="s">
        <v>36895</v>
      </c>
      <c r="M7997" s="2" t="s">
        <v>37201</v>
      </c>
      <c r="N7997" s="2" t="s">
        <v>37202</v>
      </c>
      <c r="O7997" s="2" t="s">
        <v>37203</v>
      </c>
      <c r="P7997" s="2" t="s">
        <v>869</v>
      </c>
    </row>
    <row r="7998" ht="15.75" customHeight="1">
      <c r="H7998" s="2" t="s">
        <v>37204</v>
      </c>
      <c r="I7998" s="2" t="s">
        <v>2862</v>
      </c>
      <c r="J7998" s="2" t="s">
        <v>2863</v>
      </c>
      <c r="K7998" s="2" t="s">
        <v>37205</v>
      </c>
      <c r="L7998" s="2" t="s">
        <v>36895</v>
      </c>
      <c r="M7998" s="2" t="s">
        <v>37206</v>
      </c>
      <c r="N7998" s="2" t="s">
        <v>37207</v>
      </c>
      <c r="O7998" s="2" t="s">
        <v>37208</v>
      </c>
      <c r="P7998" s="2" t="s">
        <v>869</v>
      </c>
    </row>
    <row r="7999" ht="15.75" customHeight="1">
      <c r="H7999" s="2" t="s">
        <v>37209</v>
      </c>
      <c r="I7999" s="2" t="s">
        <v>2880</v>
      </c>
      <c r="J7999" s="2" t="s">
        <v>2881</v>
      </c>
      <c r="K7999" s="2" t="s">
        <v>37210</v>
      </c>
      <c r="L7999" s="2" t="s">
        <v>36895</v>
      </c>
      <c r="M7999" s="2" t="s">
        <v>37211</v>
      </c>
      <c r="N7999" s="2" t="s">
        <v>37212</v>
      </c>
      <c r="O7999" s="2" t="s">
        <v>37213</v>
      </c>
      <c r="P7999" s="2" t="s">
        <v>869</v>
      </c>
    </row>
    <row r="8000" ht="15.75" customHeight="1">
      <c r="F8000" s="2" t="s">
        <v>598</v>
      </c>
      <c r="H8000" s="2" t="s">
        <v>37214</v>
      </c>
      <c r="I8000" s="2" t="s">
        <v>600</v>
      </c>
      <c r="J8000" s="2" t="s">
        <v>601</v>
      </c>
      <c r="K8000" s="2" t="s">
        <v>37215</v>
      </c>
      <c r="L8000" s="2" t="s">
        <v>36895</v>
      </c>
      <c r="M8000" s="2" t="s">
        <v>37216</v>
      </c>
      <c r="N8000" s="2" t="s">
        <v>37217</v>
      </c>
      <c r="O8000" s="2" t="s">
        <v>37218</v>
      </c>
      <c r="P8000" s="2" t="s">
        <v>869</v>
      </c>
    </row>
    <row r="8001" ht="15.75" customHeight="1">
      <c r="H8001" s="2" t="s">
        <v>37219</v>
      </c>
      <c r="I8001" s="2" t="s">
        <v>608</v>
      </c>
      <c r="J8001" s="2" t="s">
        <v>609</v>
      </c>
      <c r="K8001" s="2" t="s">
        <v>37220</v>
      </c>
      <c r="L8001" s="2" t="s">
        <v>36895</v>
      </c>
      <c r="M8001" s="2" t="s">
        <v>37221</v>
      </c>
      <c r="N8001" s="2" t="s">
        <v>37222</v>
      </c>
      <c r="O8001" s="2" t="s">
        <v>37223</v>
      </c>
      <c r="P8001" s="2" t="s">
        <v>869</v>
      </c>
    </row>
    <row r="8002" ht="15.75" customHeight="1">
      <c r="F8002" s="2" t="s">
        <v>624</v>
      </c>
      <c r="H8002" s="2" t="s">
        <v>37224</v>
      </c>
      <c r="I8002" s="2" t="s">
        <v>37225</v>
      </c>
      <c r="J8002" s="2" t="s">
        <v>37226</v>
      </c>
      <c r="K8002" s="2" t="s">
        <v>37227</v>
      </c>
      <c r="L8002" s="2" t="s">
        <v>36895</v>
      </c>
      <c r="M8002" s="2" t="s">
        <v>36651</v>
      </c>
      <c r="N8002" s="2" t="s">
        <v>37228</v>
      </c>
      <c r="O8002" s="2" t="s">
        <v>37229</v>
      </c>
      <c r="P8002" s="2" t="s">
        <v>869</v>
      </c>
    </row>
    <row r="8003" ht="15.75" customHeight="1">
      <c r="H8003" s="2" t="s">
        <v>37230</v>
      </c>
      <c r="I8003" s="2" t="s">
        <v>626</v>
      </c>
      <c r="J8003" s="2" t="s">
        <v>627</v>
      </c>
      <c r="K8003" s="2" t="s">
        <v>37231</v>
      </c>
      <c r="L8003" s="2" t="s">
        <v>37232</v>
      </c>
      <c r="M8003" s="2" t="s">
        <v>37233</v>
      </c>
      <c r="N8003" s="2" t="s">
        <v>37234</v>
      </c>
      <c r="O8003" s="2" t="s">
        <v>37235</v>
      </c>
      <c r="P8003" s="2" t="s">
        <v>869</v>
      </c>
    </row>
    <row r="8004" ht="15.75" customHeight="1">
      <c r="F8004" s="2" t="s">
        <v>634</v>
      </c>
      <c r="H8004" s="2" t="s">
        <v>37236</v>
      </c>
      <c r="I8004" s="2" t="s">
        <v>37237</v>
      </c>
      <c r="J8004" s="2" t="s">
        <v>37238</v>
      </c>
      <c r="K8004" s="2" t="s">
        <v>37239</v>
      </c>
      <c r="L8004" s="2" t="s">
        <v>36895</v>
      </c>
      <c r="M8004" s="2" t="s">
        <v>37240</v>
      </c>
      <c r="N8004" s="2" t="s">
        <v>37241</v>
      </c>
      <c r="O8004" s="2" t="s">
        <v>37242</v>
      </c>
      <c r="P8004" s="2" t="s">
        <v>869</v>
      </c>
    </row>
    <row r="8005" ht="15.75" customHeight="1">
      <c r="F8005" s="2" t="s">
        <v>651</v>
      </c>
      <c r="H8005" s="2" t="s">
        <v>37243</v>
      </c>
      <c r="I8005" s="2" t="s">
        <v>653</v>
      </c>
      <c r="J8005" s="2" t="s">
        <v>654</v>
      </c>
      <c r="K8005" s="2" t="s">
        <v>37244</v>
      </c>
      <c r="L8005" s="2" t="s">
        <v>36895</v>
      </c>
      <c r="M8005" s="2" t="s">
        <v>37245</v>
      </c>
      <c r="N8005" s="2" t="s">
        <v>37246</v>
      </c>
      <c r="O8005" s="2" t="s">
        <v>37247</v>
      </c>
      <c r="P8005" s="2" t="s">
        <v>869</v>
      </c>
    </row>
    <row r="8006" ht="15.75" customHeight="1">
      <c r="F8006" s="2" t="s">
        <v>3577</v>
      </c>
      <c r="H8006" s="2" t="s">
        <v>37248</v>
      </c>
      <c r="I8006" s="2" t="s">
        <v>9523</v>
      </c>
      <c r="J8006" s="2" t="s">
        <v>9524</v>
      </c>
      <c r="K8006" s="2" t="s">
        <v>37249</v>
      </c>
      <c r="L8006" s="2" t="s">
        <v>36895</v>
      </c>
      <c r="M8006" s="2" t="s">
        <v>37250</v>
      </c>
      <c r="N8006" s="2" t="s">
        <v>37251</v>
      </c>
      <c r="O8006" s="2" t="s">
        <v>37252</v>
      </c>
      <c r="P8006" s="2" t="s">
        <v>869</v>
      </c>
    </row>
    <row r="8007" ht="15.75" customHeight="1">
      <c r="H8007" s="2" t="s">
        <v>37253</v>
      </c>
      <c r="I8007" s="2" t="s">
        <v>3601</v>
      </c>
      <c r="J8007" s="2" t="s">
        <v>3602</v>
      </c>
      <c r="K8007" s="2" t="s">
        <v>37254</v>
      </c>
      <c r="L8007" s="2" t="s">
        <v>36895</v>
      </c>
      <c r="M8007" s="2" t="s">
        <v>37255</v>
      </c>
      <c r="N8007" s="2" t="s">
        <v>37256</v>
      </c>
      <c r="O8007" s="2" t="s">
        <v>37257</v>
      </c>
      <c r="P8007" s="2" t="s">
        <v>869</v>
      </c>
    </row>
    <row r="8008" ht="15.75" customHeight="1">
      <c r="F8008" s="2" t="s">
        <v>660</v>
      </c>
      <c r="H8008" s="2" t="s">
        <v>37258</v>
      </c>
      <c r="I8008" s="2" t="s">
        <v>662</v>
      </c>
      <c r="J8008" s="2" t="s">
        <v>663</v>
      </c>
      <c r="K8008" s="2" t="s">
        <v>37259</v>
      </c>
      <c r="L8008" s="2" t="s">
        <v>36895</v>
      </c>
      <c r="M8008" s="2" t="s">
        <v>37260</v>
      </c>
      <c r="N8008" s="2" t="s">
        <v>37261</v>
      </c>
      <c r="O8008" s="2" t="s">
        <v>37262</v>
      </c>
      <c r="P8008" s="2" t="s">
        <v>869</v>
      </c>
    </row>
    <row r="8009" ht="15.75" customHeight="1">
      <c r="F8009" s="2" t="s">
        <v>677</v>
      </c>
      <c r="H8009" s="2" t="s">
        <v>37263</v>
      </c>
      <c r="I8009" s="2" t="s">
        <v>679</v>
      </c>
      <c r="J8009" s="2" t="s">
        <v>680</v>
      </c>
      <c r="K8009" s="2" t="s">
        <v>37264</v>
      </c>
      <c r="L8009" s="2" t="s">
        <v>36895</v>
      </c>
      <c r="M8009" s="2" t="s">
        <v>37265</v>
      </c>
      <c r="N8009" s="2" t="s">
        <v>37266</v>
      </c>
      <c r="O8009" s="2" t="s">
        <v>37267</v>
      </c>
      <c r="P8009" s="2" t="s">
        <v>869</v>
      </c>
    </row>
    <row r="8010" ht="15.75" customHeight="1">
      <c r="F8010" s="2" t="s">
        <v>703</v>
      </c>
      <c r="H8010" s="2" t="s">
        <v>37268</v>
      </c>
      <c r="I8010" s="2" t="s">
        <v>17599</v>
      </c>
      <c r="J8010" s="2" t="s">
        <v>17600</v>
      </c>
      <c r="K8010" s="2" t="s">
        <v>37269</v>
      </c>
      <c r="L8010" s="2" t="s">
        <v>36895</v>
      </c>
      <c r="M8010" s="2" t="s">
        <v>37270</v>
      </c>
      <c r="N8010" s="2" t="s">
        <v>37271</v>
      </c>
      <c r="O8010" s="2" t="s">
        <v>37272</v>
      </c>
      <c r="P8010" s="2" t="s">
        <v>869</v>
      </c>
    </row>
    <row r="8011" ht="15.75" customHeight="1">
      <c r="H8011" s="2" t="s">
        <v>37273</v>
      </c>
      <c r="I8011" s="2" t="s">
        <v>713</v>
      </c>
      <c r="J8011" s="2" t="s">
        <v>714</v>
      </c>
      <c r="K8011" s="2" t="s">
        <v>37274</v>
      </c>
      <c r="L8011" s="2" t="s">
        <v>37275</v>
      </c>
      <c r="M8011" s="2" t="s">
        <v>37276</v>
      </c>
      <c r="N8011" s="2" t="s">
        <v>37277</v>
      </c>
      <c r="O8011" s="2" t="s">
        <v>37278</v>
      </c>
      <c r="P8011" s="2" t="s">
        <v>37279</v>
      </c>
    </row>
    <row r="8012" ht="15.75" customHeight="1">
      <c r="F8012" s="2" t="s">
        <v>737</v>
      </c>
      <c r="H8012" s="2" t="s">
        <v>37280</v>
      </c>
      <c r="I8012" s="2" t="s">
        <v>4237</v>
      </c>
      <c r="J8012" s="2" t="s">
        <v>4238</v>
      </c>
      <c r="K8012" s="2" t="s">
        <v>37281</v>
      </c>
      <c r="L8012" s="2" t="s">
        <v>36895</v>
      </c>
      <c r="M8012" s="2" t="s">
        <v>37282</v>
      </c>
      <c r="N8012" s="2" t="s">
        <v>37283</v>
      </c>
      <c r="O8012" s="2" t="s">
        <v>37284</v>
      </c>
      <c r="P8012" s="2" t="s">
        <v>869</v>
      </c>
    </row>
    <row r="8013" ht="15.75" customHeight="1">
      <c r="H8013" s="2" t="s">
        <v>37285</v>
      </c>
      <c r="I8013" s="2" t="s">
        <v>37286</v>
      </c>
      <c r="J8013" s="2" t="s">
        <v>37287</v>
      </c>
      <c r="K8013" s="2" t="s">
        <v>37288</v>
      </c>
      <c r="L8013" s="2" t="s">
        <v>36895</v>
      </c>
      <c r="M8013" s="2" t="s">
        <v>37289</v>
      </c>
      <c r="N8013" s="2" t="s">
        <v>37290</v>
      </c>
      <c r="O8013" s="2" t="s">
        <v>37291</v>
      </c>
      <c r="P8013" s="2" t="s">
        <v>869</v>
      </c>
    </row>
    <row r="8014" ht="15.75" customHeight="1">
      <c r="F8014" s="2" t="s">
        <v>4491</v>
      </c>
      <c r="H8014" s="2" t="s">
        <v>37292</v>
      </c>
      <c r="I8014" s="2" t="s">
        <v>10786</v>
      </c>
      <c r="J8014" s="2" t="s">
        <v>10787</v>
      </c>
      <c r="K8014" s="2" t="s">
        <v>37293</v>
      </c>
      <c r="L8014" s="2" t="s">
        <v>36895</v>
      </c>
      <c r="M8014" s="2" t="s">
        <v>37294</v>
      </c>
      <c r="N8014" s="2" t="s">
        <v>37295</v>
      </c>
      <c r="O8014" s="2" t="s">
        <v>37296</v>
      </c>
      <c r="P8014" s="2" t="s">
        <v>869</v>
      </c>
    </row>
    <row r="8015" ht="15.75" customHeight="1">
      <c r="F8015" s="2" t="s">
        <v>755</v>
      </c>
      <c r="H8015" s="2" t="s">
        <v>37297</v>
      </c>
      <c r="I8015" s="2" t="s">
        <v>757</v>
      </c>
      <c r="J8015" s="2" t="s">
        <v>758</v>
      </c>
      <c r="K8015" s="2" t="s">
        <v>37298</v>
      </c>
      <c r="L8015" s="2" t="s">
        <v>36895</v>
      </c>
      <c r="M8015" s="2" t="s">
        <v>37299</v>
      </c>
      <c r="N8015" s="2" t="s">
        <v>37300</v>
      </c>
      <c r="O8015" s="2" t="s">
        <v>37301</v>
      </c>
      <c r="P8015" s="2" t="s">
        <v>37302</v>
      </c>
    </row>
    <row r="8016" ht="15.75" customHeight="1">
      <c r="F8016" s="2" t="s">
        <v>764</v>
      </c>
      <c r="H8016" s="2" t="s">
        <v>37303</v>
      </c>
      <c r="I8016" s="2" t="s">
        <v>766</v>
      </c>
      <c r="J8016" s="2" t="s">
        <v>767</v>
      </c>
      <c r="K8016" s="2" t="s">
        <v>37304</v>
      </c>
      <c r="L8016" s="2" t="s">
        <v>36895</v>
      </c>
      <c r="M8016" s="2" t="s">
        <v>37305</v>
      </c>
      <c r="N8016" s="2" t="s">
        <v>37306</v>
      </c>
      <c r="O8016" s="2" t="s">
        <v>37307</v>
      </c>
      <c r="P8016" s="2" t="s">
        <v>869</v>
      </c>
    </row>
    <row r="8017" ht="15.75" customHeight="1">
      <c r="F8017" s="2" t="s">
        <v>800</v>
      </c>
      <c r="H8017" s="2" t="s">
        <v>37308</v>
      </c>
      <c r="I8017" s="2" t="s">
        <v>4994</v>
      </c>
      <c r="J8017" s="2" t="s">
        <v>4995</v>
      </c>
      <c r="K8017" s="2" t="s">
        <v>37309</v>
      </c>
      <c r="L8017" s="2" t="s">
        <v>36895</v>
      </c>
      <c r="M8017" s="2" t="s">
        <v>37310</v>
      </c>
      <c r="N8017" s="2" t="s">
        <v>37311</v>
      </c>
      <c r="O8017" s="2" t="s">
        <v>37312</v>
      </c>
      <c r="P8017" s="2" t="s">
        <v>869</v>
      </c>
    </row>
    <row r="8018" ht="15.75" customHeight="1">
      <c r="H8018" s="2" t="s">
        <v>37313</v>
      </c>
      <c r="I8018" s="2" t="s">
        <v>37314</v>
      </c>
      <c r="J8018" s="2" t="s">
        <v>37315</v>
      </c>
      <c r="K8018" s="2" t="s">
        <v>37316</v>
      </c>
      <c r="L8018" s="2" t="s">
        <v>36895</v>
      </c>
      <c r="M8018" s="2" t="s">
        <v>37317</v>
      </c>
      <c r="N8018" s="2" t="s">
        <v>37318</v>
      </c>
      <c r="O8018" s="2" t="s">
        <v>37319</v>
      </c>
      <c r="P8018" s="2" t="s">
        <v>869</v>
      </c>
    </row>
    <row r="8019" ht="15.75" customHeight="1">
      <c r="H8019" s="2" t="s">
        <v>37320</v>
      </c>
      <c r="I8019" s="2" t="s">
        <v>37321</v>
      </c>
      <c r="J8019" s="2" t="s">
        <v>37322</v>
      </c>
      <c r="K8019" s="2" t="s">
        <v>37323</v>
      </c>
      <c r="L8019" s="2" t="s">
        <v>36895</v>
      </c>
      <c r="M8019" s="2" t="s">
        <v>37324</v>
      </c>
      <c r="N8019" s="2" t="s">
        <v>37325</v>
      </c>
      <c r="O8019" s="2" t="s">
        <v>37326</v>
      </c>
      <c r="P8019" s="2" t="s">
        <v>869</v>
      </c>
    </row>
    <row r="8020" ht="15.75" customHeight="1">
      <c r="H8020" s="2" t="s">
        <v>37327</v>
      </c>
      <c r="I8020" s="2" t="s">
        <v>5986</v>
      </c>
      <c r="J8020" s="2" t="s">
        <v>5987</v>
      </c>
      <c r="K8020" s="2" t="s">
        <v>37328</v>
      </c>
      <c r="L8020" s="2" t="s">
        <v>37329</v>
      </c>
      <c r="M8020" s="2" t="s">
        <v>37330</v>
      </c>
      <c r="N8020" s="2" t="s">
        <v>37331</v>
      </c>
      <c r="O8020" s="2" t="s">
        <v>37332</v>
      </c>
      <c r="P8020" s="2" t="s">
        <v>37333</v>
      </c>
    </row>
    <row r="8021" ht="15.75" customHeight="1">
      <c r="B8021" s="2" t="s">
        <v>37334</v>
      </c>
      <c r="C8021" s="2" t="s">
        <v>17389</v>
      </c>
      <c r="D8021" s="2" t="s">
        <v>37335</v>
      </c>
      <c r="F8021" s="2" t="s">
        <v>29</v>
      </c>
      <c r="H8021" s="2" t="s">
        <v>37336</v>
      </c>
      <c r="I8021" s="2" t="s">
        <v>31</v>
      </c>
      <c r="J8021" s="2" t="s">
        <v>32</v>
      </c>
      <c r="K8021" s="2" t="s">
        <v>6000</v>
      </c>
      <c r="L8021" s="2" t="s">
        <v>37337</v>
      </c>
      <c r="M8021" s="2" t="s">
        <v>37338</v>
      </c>
      <c r="N8021" s="2" t="s">
        <v>869</v>
      </c>
      <c r="O8021" s="2" t="s">
        <v>870</v>
      </c>
    </row>
    <row r="8022" ht="15.75" customHeight="1">
      <c r="F8022" s="2" t="s">
        <v>74</v>
      </c>
      <c r="H8022" s="2" t="s">
        <v>37339</v>
      </c>
      <c r="I8022" s="2" t="s">
        <v>15763</v>
      </c>
      <c r="J8022" s="2" t="s">
        <v>15763</v>
      </c>
      <c r="K8022" s="2" t="s">
        <v>947</v>
      </c>
    </row>
    <row r="8023" ht="15.75" customHeight="1">
      <c r="H8023" s="2" t="s">
        <v>37340</v>
      </c>
      <c r="I8023" s="2" t="s">
        <v>76</v>
      </c>
      <c r="J8023" s="2" t="s">
        <v>77</v>
      </c>
      <c r="K8023" s="2" t="s">
        <v>22462</v>
      </c>
      <c r="L8023" s="2" t="s">
        <v>37337</v>
      </c>
      <c r="M8023" s="2" t="s">
        <v>37341</v>
      </c>
      <c r="N8023" s="2" t="s">
        <v>869</v>
      </c>
      <c r="O8023" s="2" t="s">
        <v>870</v>
      </c>
    </row>
    <row r="8024" ht="15.75" customHeight="1">
      <c r="H8024" s="2" t="s">
        <v>37342</v>
      </c>
      <c r="I8024" s="2" t="s">
        <v>37343</v>
      </c>
      <c r="J8024" s="2" t="s">
        <v>37344</v>
      </c>
      <c r="K8024" s="2" t="s">
        <v>15819</v>
      </c>
      <c r="L8024" s="2" t="s">
        <v>37345</v>
      </c>
      <c r="M8024" s="2" t="s">
        <v>37346</v>
      </c>
      <c r="N8024" s="2" t="s">
        <v>869</v>
      </c>
      <c r="O8024" s="2" t="s">
        <v>870</v>
      </c>
    </row>
    <row r="8025" ht="15.75" customHeight="1">
      <c r="H8025" s="2" t="s">
        <v>37347</v>
      </c>
      <c r="I8025" s="2" t="s">
        <v>18010</v>
      </c>
      <c r="J8025" s="2" t="s">
        <v>18011</v>
      </c>
      <c r="K8025" s="2" t="s">
        <v>24156</v>
      </c>
      <c r="L8025" s="2" t="s">
        <v>37337</v>
      </c>
      <c r="M8025" s="2" t="s">
        <v>37348</v>
      </c>
      <c r="N8025" s="2" t="s">
        <v>869</v>
      </c>
      <c r="O8025" s="2" t="s">
        <v>870</v>
      </c>
    </row>
    <row r="8026" ht="15.75" customHeight="1">
      <c r="H8026" s="2" t="s">
        <v>37349</v>
      </c>
      <c r="I8026" s="2" t="s">
        <v>257</v>
      </c>
      <c r="J8026" s="2" t="s">
        <v>258</v>
      </c>
      <c r="K8026" s="2" t="s">
        <v>24344</v>
      </c>
      <c r="L8026" s="2" t="s">
        <v>37337</v>
      </c>
      <c r="M8026" s="2" t="s">
        <v>37350</v>
      </c>
      <c r="N8026" s="2" t="s">
        <v>869</v>
      </c>
      <c r="O8026" s="2" t="s">
        <v>870</v>
      </c>
    </row>
    <row r="8027" ht="15.75" customHeight="1">
      <c r="F8027" s="2" t="s">
        <v>284</v>
      </c>
      <c r="H8027" s="2" t="s">
        <v>37351</v>
      </c>
      <c r="I8027" s="2" t="s">
        <v>134</v>
      </c>
      <c r="J8027" s="2" t="s">
        <v>135</v>
      </c>
      <c r="K8027" s="2" t="s">
        <v>22050</v>
      </c>
      <c r="L8027" s="2" t="s">
        <v>37337</v>
      </c>
      <c r="M8027" s="2" t="s">
        <v>37352</v>
      </c>
      <c r="N8027" s="2" t="s">
        <v>869</v>
      </c>
      <c r="O8027" s="2" t="s">
        <v>870</v>
      </c>
    </row>
    <row r="8028" ht="15.75" customHeight="1">
      <c r="H8028" s="2" t="s">
        <v>37353</v>
      </c>
      <c r="I8028" s="2" t="s">
        <v>37354</v>
      </c>
      <c r="J8028" s="2" t="s">
        <v>37355</v>
      </c>
      <c r="K8028" s="2" t="s">
        <v>31977</v>
      </c>
      <c r="L8028" s="2" t="s">
        <v>37337</v>
      </c>
      <c r="M8028" s="2" t="s">
        <v>37356</v>
      </c>
      <c r="N8028" s="2" t="s">
        <v>869</v>
      </c>
      <c r="O8028" s="2" t="s">
        <v>870</v>
      </c>
    </row>
    <row r="8029" ht="15.75" customHeight="1">
      <c r="H8029" s="2" t="s">
        <v>37357</v>
      </c>
      <c r="I8029" s="2" t="s">
        <v>326</v>
      </c>
      <c r="J8029" s="2" t="s">
        <v>327</v>
      </c>
      <c r="K8029" s="2" t="s">
        <v>6068</v>
      </c>
      <c r="L8029" s="2" t="s">
        <v>37337</v>
      </c>
      <c r="M8029" s="2" t="s">
        <v>37358</v>
      </c>
      <c r="N8029" s="2" t="s">
        <v>37359</v>
      </c>
      <c r="O8029" s="2" t="s">
        <v>869</v>
      </c>
      <c r="P8029" s="2" t="s">
        <v>870</v>
      </c>
    </row>
    <row r="8030" ht="15.75" customHeight="1">
      <c r="H8030" s="2" t="s">
        <v>37360</v>
      </c>
      <c r="I8030" s="2" t="s">
        <v>23283</v>
      </c>
      <c r="J8030" s="2" t="s">
        <v>23284</v>
      </c>
      <c r="K8030" s="2" t="s">
        <v>15831</v>
      </c>
      <c r="L8030" s="2" t="s">
        <v>37337</v>
      </c>
      <c r="M8030" s="2" t="s">
        <v>37361</v>
      </c>
      <c r="N8030" s="2" t="s">
        <v>869</v>
      </c>
      <c r="O8030" s="2" t="s">
        <v>870</v>
      </c>
    </row>
    <row r="8031" ht="15.75" customHeight="1">
      <c r="H8031" s="2" t="s">
        <v>37362</v>
      </c>
      <c r="I8031" s="2" t="s">
        <v>432</v>
      </c>
      <c r="J8031" s="2" t="s">
        <v>433</v>
      </c>
      <c r="K8031" s="2" t="s">
        <v>15827</v>
      </c>
      <c r="L8031" s="2" t="s">
        <v>37337</v>
      </c>
      <c r="M8031" s="2" t="s">
        <v>37363</v>
      </c>
      <c r="N8031" s="2" t="s">
        <v>869</v>
      </c>
      <c r="O8031" s="2" t="s">
        <v>870</v>
      </c>
    </row>
    <row r="8032" ht="15.75" customHeight="1">
      <c r="H8032" s="2" t="s">
        <v>37364</v>
      </c>
      <c r="I8032" s="2" t="s">
        <v>449</v>
      </c>
      <c r="J8032" s="2" t="s">
        <v>450</v>
      </c>
      <c r="K8032" s="2" t="s">
        <v>6037</v>
      </c>
      <c r="L8032" s="2" t="s">
        <v>37337</v>
      </c>
      <c r="M8032" s="2" t="s">
        <v>37365</v>
      </c>
      <c r="N8032" s="2" t="s">
        <v>869</v>
      </c>
      <c r="O8032" s="2" t="s">
        <v>870</v>
      </c>
    </row>
    <row r="8033" ht="15.75" customHeight="1">
      <c r="H8033" s="2" t="s">
        <v>37366</v>
      </c>
      <c r="I8033" s="2" t="s">
        <v>37367</v>
      </c>
      <c r="J8033" s="2" t="s">
        <v>37368</v>
      </c>
      <c r="K8033" s="2" t="s">
        <v>25265</v>
      </c>
      <c r="L8033" s="2" t="s">
        <v>37337</v>
      </c>
      <c r="M8033" s="2" t="s">
        <v>37369</v>
      </c>
      <c r="N8033" s="2" t="s">
        <v>869</v>
      </c>
      <c r="O8033" s="2" t="s">
        <v>870</v>
      </c>
    </row>
    <row r="8034" ht="15.75" customHeight="1">
      <c r="H8034" s="2" t="s">
        <v>37370</v>
      </c>
      <c r="I8034" s="2" t="s">
        <v>510</v>
      </c>
      <c r="J8034" s="2" t="s">
        <v>511</v>
      </c>
      <c r="K8034" s="2" t="s">
        <v>31277</v>
      </c>
      <c r="L8034" s="2" t="s">
        <v>37371</v>
      </c>
      <c r="M8034" s="2" t="s">
        <v>37372</v>
      </c>
      <c r="N8034" s="2" t="s">
        <v>869</v>
      </c>
      <c r="O8034" s="2" t="s">
        <v>870</v>
      </c>
    </row>
    <row r="8035" ht="15.75" customHeight="1">
      <c r="F8035" s="2" t="s">
        <v>2508</v>
      </c>
      <c r="H8035" s="2" t="s">
        <v>37373</v>
      </c>
      <c r="I8035" s="2" t="s">
        <v>37374</v>
      </c>
      <c r="J8035" s="2" t="s">
        <v>37375</v>
      </c>
      <c r="K8035" s="2" t="s">
        <v>1141</v>
      </c>
    </row>
    <row r="8036" ht="15.75" customHeight="1">
      <c r="F8036" s="2" t="s">
        <v>534</v>
      </c>
      <c r="H8036" s="2" t="s">
        <v>37376</v>
      </c>
      <c r="I8036" s="2" t="s">
        <v>37377</v>
      </c>
      <c r="J8036" s="2" t="s">
        <v>37378</v>
      </c>
      <c r="K8036" s="2" t="s">
        <v>1433</v>
      </c>
    </row>
    <row r="8037" ht="15.75" customHeight="1">
      <c r="H8037" s="2" t="s">
        <v>37379</v>
      </c>
      <c r="I8037" s="2" t="s">
        <v>536</v>
      </c>
      <c r="J8037" s="2" t="s">
        <v>537</v>
      </c>
      <c r="K8037" s="2" t="s">
        <v>538</v>
      </c>
    </row>
    <row r="8038" ht="15.75" customHeight="1">
      <c r="F8038" s="2" t="s">
        <v>624</v>
      </c>
      <c r="H8038" s="2" t="s">
        <v>37380</v>
      </c>
      <c r="I8038" s="2" t="s">
        <v>626</v>
      </c>
      <c r="J8038" s="2" t="s">
        <v>627</v>
      </c>
      <c r="K8038" s="2" t="s">
        <v>6058</v>
      </c>
      <c r="L8038" s="2" t="s">
        <v>37337</v>
      </c>
      <c r="M8038" s="2" t="s">
        <v>37381</v>
      </c>
      <c r="N8038" s="2" t="s">
        <v>869</v>
      </c>
      <c r="O8038" s="2" t="s">
        <v>870</v>
      </c>
    </row>
    <row r="8039" ht="15.75" customHeight="1">
      <c r="F8039" s="2" t="s">
        <v>703</v>
      </c>
      <c r="H8039" s="2" t="s">
        <v>37382</v>
      </c>
      <c r="I8039" s="2" t="s">
        <v>713</v>
      </c>
      <c r="J8039" s="2" t="s">
        <v>714</v>
      </c>
      <c r="K8039" s="2" t="s">
        <v>15809</v>
      </c>
      <c r="L8039" s="2" t="s">
        <v>37337</v>
      </c>
      <c r="M8039" s="2" t="s">
        <v>37383</v>
      </c>
      <c r="N8039" s="2" t="s">
        <v>869</v>
      </c>
      <c r="O8039" s="2" t="s">
        <v>870</v>
      </c>
    </row>
    <row r="8040" ht="15.75" customHeight="1">
      <c r="F8040" s="2" t="s">
        <v>800</v>
      </c>
      <c r="H8040" s="2" t="s">
        <v>37384</v>
      </c>
      <c r="I8040" s="2" t="s">
        <v>5986</v>
      </c>
      <c r="J8040" s="2" t="s">
        <v>5987</v>
      </c>
      <c r="K8040" s="2" t="s">
        <v>33218</v>
      </c>
      <c r="L8040" s="2" t="s">
        <v>37337</v>
      </c>
      <c r="M8040" s="2" t="s">
        <v>37385</v>
      </c>
      <c r="N8040" s="2" t="s">
        <v>869</v>
      </c>
      <c r="O8040" s="2" t="s">
        <v>870</v>
      </c>
    </row>
    <row r="8041" ht="15.75" customHeight="1">
      <c r="B8041" s="2" t="s">
        <v>37386</v>
      </c>
      <c r="C8041" s="2" t="s">
        <v>1193</v>
      </c>
      <c r="D8041" s="2" t="s">
        <v>37387</v>
      </c>
      <c r="F8041" s="2" t="s">
        <v>74</v>
      </c>
      <c r="H8041" s="2" t="s">
        <v>37388</v>
      </c>
      <c r="I8041" s="2" t="s">
        <v>15722</v>
      </c>
      <c r="J8041" s="2" t="s">
        <v>15723</v>
      </c>
      <c r="K8041" s="2" t="s">
        <v>6010</v>
      </c>
      <c r="L8041" s="2" t="s">
        <v>37389</v>
      </c>
      <c r="M8041" s="2" t="s">
        <v>37390</v>
      </c>
      <c r="N8041" s="2" t="s">
        <v>37391</v>
      </c>
      <c r="O8041" s="2" t="s">
        <v>869</v>
      </c>
      <c r="P8041" s="2" t="s">
        <v>870</v>
      </c>
    </row>
    <row r="8042" ht="15.75" customHeight="1">
      <c r="F8042" s="2" t="s">
        <v>284</v>
      </c>
      <c r="H8042" s="2" t="s">
        <v>37392</v>
      </c>
      <c r="I8042" s="2" t="s">
        <v>37393</v>
      </c>
      <c r="J8042" s="2" t="s">
        <v>37394</v>
      </c>
      <c r="K8042" s="2" t="s">
        <v>25287</v>
      </c>
      <c r="L8042" s="2" t="s">
        <v>37395</v>
      </c>
      <c r="M8042" s="2" t="s">
        <v>37396</v>
      </c>
      <c r="N8042" s="2" t="s">
        <v>37397</v>
      </c>
      <c r="O8042" s="2" t="s">
        <v>869</v>
      </c>
      <c r="P8042" s="2" t="s">
        <v>870</v>
      </c>
    </row>
    <row r="8043" ht="15.75" customHeight="1">
      <c r="H8043" s="2" t="s">
        <v>37398</v>
      </c>
      <c r="I8043" s="2" t="s">
        <v>326</v>
      </c>
      <c r="J8043" s="2" t="s">
        <v>327</v>
      </c>
      <c r="K8043" s="2" t="s">
        <v>6068</v>
      </c>
      <c r="L8043" s="2" t="s">
        <v>37399</v>
      </c>
      <c r="M8043" s="2" t="s">
        <v>37400</v>
      </c>
      <c r="N8043" s="2" t="s">
        <v>37401</v>
      </c>
      <c r="O8043" s="2" t="s">
        <v>869</v>
      </c>
      <c r="P8043" s="2" t="s">
        <v>870</v>
      </c>
    </row>
    <row r="8044" ht="15.75" customHeight="1">
      <c r="F8044" s="2" t="s">
        <v>534</v>
      </c>
      <c r="H8044" s="2" t="s">
        <v>37402</v>
      </c>
      <c r="I8044" s="2" t="s">
        <v>536</v>
      </c>
      <c r="J8044" s="2" t="s">
        <v>537</v>
      </c>
      <c r="K8044" s="2" t="s">
        <v>538</v>
      </c>
    </row>
    <row r="8045" ht="15.75" customHeight="1">
      <c r="F8045" s="2" t="s">
        <v>624</v>
      </c>
      <c r="H8045" s="2" t="s">
        <v>37403</v>
      </c>
      <c r="I8045" s="2" t="s">
        <v>626</v>
      </c>
      <c r="J8045" s="2" t="s">
        <v>627</v>
      </c>
      <c r="K8045" s="2" t="s">
        <v>6058</v>
      </c>
      <c r="L8045" s="2" t="s">
        <v>37404</v>
      </c>
      <c r="M8045" s="2" t="s">
        <v>37405</v>
      </c>
      <c r="N8045" s="2" t="s">
        <v>37406</v>
      </c>
      <c r="O8045" s="2" t="s">
        <v>869</v>
      </c>
      <c r="P8045" s="2" t="s">
        <v>870</v>
      </c>
    </row>
    <row r="8046" ht="15.75" customHeight="1">
      <c r="F8046" s="2" t="s">
        <v>755</v>
      </c>
      <c r="H8046" s="2" t="s">
        <v>37407</v>
      </c>
      <c r="I8046" s="2" t="s">
        <v>757</v>
      </c>
      <c r="J8046" s="2" t="s">
        <v>758</v>
      </c>
      <c r="K8046" s="2" t="s">
        <v>6006</v>
      </c>
      <c r="L8046" s="2" t="s">
        <v>37408</v>
      </c>
      <c r="M8046" s="2" t="s">
        <v>37409</v>
      </c>
      <c r="N8046" s="2" t="s">
        <v>37410</v>
      </c>
      <c r="O8046" s="2" t="s">
        <v>869</v>
      </c>
      <c r="P8046" s="2" t="s">
        <v>870</v>
      </c>
    </row>
    <row r="8047" ht="15.75" customHeight="1">
      <c r="F8047" s="2" t="s">
        <v>800</v>
      </c>
      <c r="H8047" s="2" t="s">
        <v>37411</v>
      </c>
      <c r="I8047" s="2" t="s">
        <v>5986</v>
      </c>
      <c r="J8047" s="2" t="s">
        <v>5987</v>
      </c>
      <c r="K8047" s="2" t="s">
        <v>6091</v>
      </c>
      <c r="L8047" s="2" t="s">
        <v>37412</v>
      </c>
      <c r="M8047" s="2" t="s">
        <v>37413</v>
      </c>
      <c r="N8047" s="2" t="s">
        <v>37414</v>
      </c>
      <c r="O8047" s="2" t="s">
        <v>869</v>
      </c>
      <c r="P8047" s="2" t="s">
        <v>870</v>
      </c>
    </row>
    <row r="8048" ht="15.75" customHeight="1">
      <c r="B8048" s="2" t="s">
        <v>37415</v>
      </c>
      <c r="C8048" s="2" t="s">
        <v>37416</v>
      </c>
      <c r="D8048" s="2" t="s">
        <v>37417</v>
      </c>
      <c r="F8048" s="2" t="s">
        <v>19</v>
      </c>
      <c r="H8048" s="2" t="s">
        <v>37418</v>
      </c>
      <c r="I8048" s="2" t="s">
        <v>21</v>
      </c>
      <c r="J8048" s="2" t="s">
        <v>22</v>
      </c>
      <c r="K8048" s="2" t="s">
        <v>5995</v>
      </c>
      <c r="L8048" s="2" t="s">
        <v>37419</v>
      </c>
      <c r="M8048" s="2" t="s">
        <v>37420</v>
      </c>
      <c r="N8048" s="2" t="s">
        <v>37421</v>
      </c>
      <c r="O8048" s="2" t="s">
        <v>869</v>
      </c>
      <c r="P8048" s="2" t="s">
        <v>870</v>
      </c>
    </row>
    <row r="8049" ht="15.75" customHeight="1">
      <c r="F8049" s="2" t="s">
        <v>29</v>
      </c>
      <c r="H8049" s="2" t="s">
        <v>37422</v>
      </c>
      <c r="I8049" s="2" t="s">
        <v>31</v>
      </c>
      <c r="J8049" s="2" t="s">
        <v>32</v>
      </c>
      <c r="K8049" s="2" t="s">
        <v>6000</v>
      </c>
      <c r="L8049" s="2" t="s">
        <v>37419</v>
      </c>
      <c r="M8049" s="2" t="s">
        <v>37423</v>
      </c>
      <c r="N8049" s="2" t="s">
        <v>37424</v>
      </c>
      <c r="O8049" s="2" t="s">
        <v>869</v>
      </c>
      <c r="P8049" s="2" t="s">
        <v>870</v>
      </c>
    </row>
    <row r="8050" ht="15.75" customHeight="1">
      <c r="H8050" s="2" t="s">
        <v>37425</v>
      </c>
      <c r="I8050" s="2" t="s">
        <v>1215</v>
      </c>
      <c r="J8050" s="2" t="s">
        <v>1216</v>
      </c>
      <c r="K8050" s="2" t="s">
        <v>24655</v>
      </c>
      <c r="L8050" s="2" t="s">
        <v>37419</v>
      </c>
      <c r="M8050" s="2" t="s">
        <v>37426</v>
      </c>
      <c r="N8050" s="2" t="s">
        <v>37427</v>
      </c>
      <c r="O8050" s="2" t="s">
        <v>869</v>
      </c>
      <c r="P8050" s="2" t="s">
        <v>870</v>
      </c>
    </row>
    <row r="8051" ht="15.75" customHeight="1">
      <c r="F8051" s="2" t="s">
        <v>39</v>
      </c>
      <c r="H8051" s="2" t="s">
        <v>37428</v>
      </c>
      <c r="I8051" s="2" t="s">
        <v>49</v>
      </c>
      <c r="J8051" s="2" t="s">
        <v>50</v>
      </c>
      <c r="K8051" s="2" t="s">
        <v>15801</v>
      </c>
      <c r="L8051" s="2" t="s">
        <v>37419</v>
      </c>
      <c r="M8051" s="2" t="s">
        <v>37429</v>
      </c>
      <c r="N8051" s="2" t="s">
        <v>37430</v>
      </c>
      <c r="O8051" s="2" t="s">
        <v>869</v>
      </c>
      <c r="P8051" s="2" t="s">
        <v>870</v>
      </c>
    </row>
    <row r="8052" ht="15.75" customHeight="1">
      <c r="F8052" s="2" t="s">
        <v>56</v>
      </c>
      <c r="H8052" s="2" t="s">
        <v>37431</v>
      </c>
      <c r="I8052" s="2" t="s">
        <v>58</v>
      </c>
      <c r="J8052" s="2" t="s">
        <v>59</v>
      </c>
      <c r="K8052" s="2" t="s">
        <v>15897</v>
      </c>
      <c r="L8052" s="2" t="s">
        <v>37419</v>
      </c>
      <c r="M8052" s="2" t="s">
        <v>37432</v>
      </c>
      <c r="N8052" s="2" t="s">
        <v>37433</v>
      </c>
      <c r="O8052" s="2" t="s">
        <v>869</v>
      </c>
      <c r="P8052" s="2" t="s">
        <v>870</v>
      </c>
    </row>
    <row r="8053" ht="15.75" customHeight="1">
      <c r="H8053" s="2" t="s">
        <v>37434</v>
      </c>
      <c r="I8053" s="2" t="s">
        <v>25439</v>
      </c>
      <c r="J8053" s="2" t="s">
        <v>25440</v>
      </c>
      <c r="K8053" s="2" t="s">
        <v>15805</v>
      </c>
      <c r="L8053" s="2" t="s">
        <v>37419</v>
      </c>
      <c r="M8053" s="2" t="s">
        <v>37435</v>
      </c>
      <c r="N8053" s="2" t="s">
        <v>37436</v>
      </c>
      <c r="O8053" s="2" t="s">
        <v>869</v>
      </c>
      <c r="P8053" s="2" t="s">
        <v>870</v>
      </c>
    </row>
    <row r="8054" ht="15.75" customHeight="1">
      <c r="H8054" s="2" t="s">
        <v>37437</v>
      </c>
      <c r="I8054" s="2" t="s">
        <v>1387</v>
      </c>
      <c r="J8054" s="2" t="s">
        <v>1388</v>
      </c>
      <c r="K8054" s="2" t="s">
        <v>22104</v>
      </c>
      <c r="L8054" s="2" t="s">
        <v>37419</v>
      </c>
      <c r="M8054" s="2" t="s">
        <v>37438</v>
      </c>
      <c r="N8054" s="2" t="s">
        <v>37439</v>
      </c>
      <c r="O8054" s="2" t="s">
        <v>869</v>
      </c>
      <c r="P8054" s="2" t="s">
        <v>870</v>
      </c>
    </row>
    <row r="8055" ht="15.75" customHeight="1">
      <c r="F8055" s="2" t="s">
        <v>65</v>
      </c>
      <c r="H8055" s="2" t="s">
        <v>37440</v>
      </c>
      <c r="I8055" s="2" t="s">
        <v>67</v>
      </c>
      <c r="J8055" s="2" t="s">
        <v>68</v>
      </c>
      <c r="K8055" s="2" t="s">
        <v>24665</v>
      </c>
      <c r="L8055" s="2" t="s">
        <v>37419</v>
      </c>
      <c r="M8055" s="2" t="s">
        <v>37441</v>
      </c>
      <c r="N8055" s="2" t="s">
        <v>37442</v>
      </c>
      <c r="O8055" s="2" t="s">
        <v>869</v>
      </c>
      <c r="P8055" s="2" t="s">
        <v>870</v>
      </c>
    </row>
    <row r="8056" ht="15.75" customHeight="1">
      <c r="F8056" s="2" t="s">
        <v>74</v>
      </c>
      <c r="H8056" s="2" t="s">
        <v>37443</v>
      </c>
      <c r="I8056" s="2" t="s">
        <v>76</v>
      </c>
      <c r="J8056" s="2" t="s">
        <v>77</v>
      </c>
      <c r="K8056" s="2" t="s">
        <v>15779</v>
      </c>
      <c r="L8056" s="2" t="s">
        <v>37419</v>
      </c>
      <c r="M8056" s="2" t="s">
        <v>37444</v>
      </c>
      <c r="N8056" s="2" t="s">
        <v>37445</v>
      </c>
      <c r="O8056" s="2" t="s">
        <v>869</v>
      </c>
      <c r="P8056" s="2" t="s">
        <v>870</v>
      </c>
    </row>
    <row r="8057" ht="15.75" customHeight="1">
      <c r="H8057" s="2" t="s">
        <v>37446</v>
      </c>
      <c r="I8057" s="2" t="s">
        <v>17968</v>
      </c>
      <c r="J8057" s="2" t="s">
        <v>17969</v>
      </c>
      <c r="K8057" s="2" t="s">
        <v>15901</v>
      </c>
      <c r="L8057" s="2" t="s">
        <v>37419</v>
      </c>
      <c r="M8057" s="2" t="s">
        <v>37447</v>
      </c>
      <c r="N8057" s="2" t="s">
        <v>37448</v>
      </c>
      <c r="O8057" s="2" t="s">
        <v>869</v>
      </c>
      <c r="P8057" s="2" t="s">
        <v>870</v>
      </c>
    </row>
    <row r="8058" ht="15.75" customHeight="1">
      <c r="H8058" s="2" t="s">
        <v>37449</v>
      </c>
      <c r="I8058" s="2" t="s">
        <v>12516</v>
      </c>
      <c r="J8058" s="2" t="s">
        <v>12516</v>
      </c>
      <c r="K8058" s="2" t="s">
        <v>1508</v>
      </c>
    </row>
    <row r="8059" ht="15.75" customHeight="1">
      <c r="H8059" s="2" t="s">
        <v>37450</v>
      </c>
      <c r="I8059" s="2" t="s">
        <v>37451</v>
      </c>
      <c r="J8059" s="2" t="s">
        <v>37452</v>
      </c>
      <c r="K8059" s="2" t="s">
        <v>37453</v>
      </c>
      <c r="L8059" s="2" t="s">
        <v>37419</v>
      </c>
      <c r="M8059" s="2" t="s">
        <v>37454</v>
      </c>
      <c r="N8059" s="2" t="s">
        <v>37455</v>
      </c>
      <c r="O8059" s="2" t="s">
        <v>869</v>
      </c>
      <c r="P8059" s="2" t="s">
        <v>870</v>
      </c>
    </row>
    <row r="8060" ht="15.75" customHeight="1">
      <c r="H8060" s="2" t="s">
        <v>37456</v>
      </c>
      <c r="I8060" s="2" t="s">
        <v>1000</v>
      </c>
      <c r="J8060" s="2" t="s">
        <v>1001</v>
      </c>
      <c r="K8060" s="2" t="s">
        <v>6006</v>
      </c>
      <c r="L8060" s="2" t="s">
        <v>37419</v>
      </c>
      <c r="M8060" s="2" t="s">
        <v>37457</v>
      </c>
      <c r="N8060" s="2" t="s">
        <v>37458</v>
      </c>
      <c r="O8060" s="2" t="s">
        <v>869</v>
      </c>
      <c r="P8060" s="2" t="s">
        <v>870</v>
      </c>
    </row>
    <row r="8061" ht="15.75" customHeight="1">
      <c r="H8061" s="2" t="s">
        <v>37459</v>
      </c>
      <c r="I8061" s="2" t="s">
        <v>167</v>
      </c>
      <c r="J8061" s="2" t="s">
        <v>168</v>
      </c>
      <c r="K8061" s="2" t="s">
        <v>15784</v>
      </c>
      <c r="L8061" s="2" t="s">
        <v>37419</v>
      </c>
      <c r="M8061" s="2" t="s">
        <v>37460</v>
      </c>
      <c r="N8061" s="2" t="s">
        <v>37461</v>
      </c>
      <c r="O8061" s="2" t="s">
        <v>869</v>
      </c>
      <c r="P8061" s="2" t="s">
        <v>870</v>
      </c>
    </row>
    <row r="8062" ht="15.75" customHeight="1">
      <c r="H8062" s="2" t="s">
        <v>37462</v>
      </c>
      <c r="I8062" s="2" t="s">
        <v>2262</v>
      </c>
      <c r="J8062" s="2" t="s">
        <v>2263</v>
      </c>
      <c r="K8062" s="2" t="s">
        <v>32855</v>
      </c>
      <c r="L8062" s="2" t="s">
        <v>37419</v>
      </c>
      <c r="M8062" s="2" t="s">
        <v>37463</v>
      </c>
      <c r="N8062" s="2" t="s">
        <v>37464</v>
      </c>
      <c r="O8062" s="2" t="s">
        <v>869</v>
      </c>
      <c r="P8062" s="2" t="s">
        <v>870</v>
      </c>
    </row>
    <row r="8063" ht="15.75" customHeight="1">
      <c r="H8063" s="2" t="s">
        <v>37465</v>
      </c>
      <c r="I8063" s="2" t="s">
        <v>176</v>
      </c>
      <c r="J8063" s="2" t="s">
        <v>177</v>
      </c>
      <c r="K8063" s="2" t="s">
        <v>6015</v>
      </c>
      <c r="L8063" s="2" t="s">
        <v>37419</v>
      </c>
      <c r="M8063" s="2" t="s">
        <v>37466</v>
      </c>
      <c r="N8063" s="2" t="s">
        <v>37467</v>
      </c>
      <c r="O8063" s="2" t="s">
        <v>869</v>
      </c>
      <c r="P8063" s="2" t="s">
        <v>870</v>
      </c>
    </row>
    <row r="8064" ht="15.75" customHeight="1">
      <c r="H8064" s="2" t="s">
        <v>37468</v>
      </c>
      <c r="I8064" s="2" t="s">
        <v>193</v>
      </c>
      <c r="J8064" s="2" t="s">
        <v>194</v>
      </c>
      <c r="K8064" s="2" t="s">
        <v>36313</v>
      </c>
      <c r="L8064" s="2" t="s">
        <v>37419</v>
      </c>
      <c r="M8064" s="2" t="s">
        <v>37469</v>
      </c>
      <c r="N8064" s="2" t="s">
        <v>37470</v>
      </c>
      <c r="O8064" s="2" t="s">
        <v>869</v>
      </c>
      <c r="P8064" s="2" t="s">
        <v>870</v>
      </c>
    </row>
    <row r="8065" ht="15.75" customHeight="1">
      <c r="H8065" s="2" t="s">
        <v>37471</v>
      </c>
      <c r="I8065" s="2" t="s">
        <v>5346</v>
      </c>
      <c r="J8065" s="2" t="s">
        <v>5347</v>
      </c>
      <c r="K8065" s="2" t="s">
        <v>24040</v>
      </c>
      <c r="L8065" s="2" t="s">
        <v>37419</v>
      </c>
      <c r="M8065" s="2" t="s">
        <v>37472</v>
      </c>
      <c r="N8065" s="2" t="s">
        <v>37473</v>
      </c>
      <c r="O8065" s="2" t="s">
        <v>869</v>
      </c>
      <c r="P8065" s="2" t="s">
        <v>870</v>
      </c>
    </row>
    <row r="8066" ht="15.75" customHeight="1">
      <c r="H8066" s="2" t="s">
        <v>37474</v>
      </c>
      <c r="I8066" s="2" t="s">
        <v>1766</v>
      </c>
      <c r="J8066" s="2" t="s">
        <v>1767</v>
      </c>
      <c r="K8066" s="2" t="s">
        <v>31089</v>
      </c>
      <c r="L8066" s="2" t="s">
        <v>37419</v>
      </c>
      <c r="M8066" s="2" t="s">
        <v>37475</v>
      </c>
      <c r="N8066" s="2" t="s">
        <v>37476</v>
      </c>
      <c r="O8066" s="2" t="s">
        <v>869</v>
      </c>
      <c r="P8066" s="2" t="s">
        <v>870</v>
      </c>
    </row>
    <row r="8067" ht="15.75" customHeight="1">
      <c r="H8067" s="2" t="s">
        <v>37477</v>
      </c>
      <c r="I8067" s="2" t="s">
        <v>225</v>
      </c>
      <c r="J8067" s="2" t="s">
        <v>226</v>
      </c>
      <c r="K8067" s="2" t="s">
        <v>24160</v>
      </c>
      <c r="L8067" s="2" t="s">
        <v>37419</v>
      </c>
      <c r="M8067" s="2" t="s">
        <v>37478</v>
      </c>
      <c r="N8067" s="2" t="s">
        <v>37479</v>
      </c>
      <c r="O8067" s="2" t="s">
        <v>869</v>
      </c>
      <c r="P8067" s="2" t="s">
        <v>870</v>
      </c>
    </row>
    <row r="8068" ht="15.75" customHeight="1">
      <c r="H8068" s="2" t="s">
        <v>37480</v>
      </c>
      <c r="I8068" s="2" t="s">
        <v>37481</v>
      </c>
      <c r="J8068" s="2" t="s">
        <v>37482</v>
      </c>
      <c r="K8068" s="2" t="s">
        <v>37483</v>
      </c>
      <c r="L8068" s="2" t="s">
        <v>37419</v>
      </c>
      <c r="M8068" s="2" t="s">
        <v>37484</v>
      </c>
      <c r="N8068" s="2" t="s">
        <v>37485</v>
      </c>
      <c r="O8068" s="2" t="s">
        <v>869</v>
      </c>
      <c r="P8068" s="2" t="s">
        <v>870</v>
      </c>
    </row>
    <row r="8069" ht="15.75" customHeight="1">
      <c r="H8069" s="2" t="s">
        <v>37486</v>
      </c>
      <c r="I8069" s="2" t="s">
        <v>7241</v>
      </c>
      <c r="J8069" s="2" t="s">
        <v>7242</v>
      </c>
      <c r="K8069" s="2" t="s">
        <v>32741</v>
      </c>
      <c r="L8069" s="2" t="s">
        <v>37419</v>
      </c>
      <c r="M8069" s="2" t="s">
        <v>37487</v>
      </c>
      <c r="N8069" s="2" t="s">
        <v>37488</v>
      </c>
      <c r="O8069" s="2" t="s">
        <v>869</v>
      </c>
      <c r="P8069" s="2" t="s">
        <v>870</v>
      </c>
    </row>
    <row r="8070" ht="15.75" customHeight="1">
      <c r="F8070" s="2" t="s">
        <v>265</v>
      </c>
      <c r="H8070" s="2" t="s">
        <v>37489</v>
      </c>
      <c r="I8070" s="2" t="s">
        <v>7440</v>
      </c>
      <c r="J8070" s="2" t="s">
        <v>7441</v>
      </c>
      <c r="K8070" s="2" t="s">
        <v>24109</v>
      </c>
      <c r="L8070" s="2" t="s">
        <v>37419</v>
      </c>
      <c r="M8070" s="2" t="s">
        <v>37490</v>
      </c>
      <c r="N8070" s="2" t="s">
        <v>37491</v>
      </c>
      <c r="O8070" s="2" t="s">
        <v>869</v>
      </c>
      <c r="P8070" s="2" t="s">
        <v>870</v>
      </c>
    </row>
    <row r="8071" ht="15.75" customHeight="1">
      <c r="H8071" s="2" t="s">
        <v>37492</v>
      </c>
      <c r="I8071" s="2" t="s">
        <v>267</v>
      </c>
      <c r="J8071" s="2" t="s">
        <v>268</v>
      </c>
      <c r="K8071" s="2" t="s">
        <v>6019</v>
      </c>
      <c r="L8071" s="2" t="s">
        <v>37419</v>
      </c>
      <c r="M8071" s="2" t="s">
        <v>37493</v>
      </c>
      <c r="N8071" s="2" t="s">
        <v>37494</v>
      </c>
      <c r="O8071" s="2" t="s">
        <v>869</v>
      </c>
      <c r="P8071" s="2" t="s">
        <v>870</v>
      </c>
    </row>
    <row r="8072" ht="15.75" customHeight="1">
      <c r="H8072" s="2" t="s">
        <v>37495</v>
      </c>
      <c r="I8072" s="2" t="s">
        <v>25760</v>
      </c>
      <c r="J8072" s="2" t="s">
        <v>25761</v>
      </c>
      <c r="K8072" s="2" t="s">
        <v>6058</v>
      </c>
      <c r="L8072" s="2" t="s">
        <v>37419</v>
      </c>
      <c r="M8072" s="2" t="s">
        <v>37496</v>
      </c>
      <c r="N8072" s="2" t="s">
        <v>37497</v>
      </c>
      <c r="O8072" s="2" t="s">
        <v>869</v>
      </c>
      <c r="P8072" s="2" t="s">
        <v>870</v>
      </c>
    </row>
    <row r="8073" ht="15.75" customHeight="1">
      <c r="F8073" s="2" t="s">
        <v>274</v>
      </c>
      <c r="H8073" s="2" t="s">
        <v>37498</v>
      </c>
      <c r="I8073" s="2" t="s">
        <v>279</v>
      </c>
      <c r="J8073" s="2" t="s">
        <v>274</v>
      </c>
      <c r="K8073" s="2" t="s">
        <v>280</v>
      </c>
    </row>
    <row r="8074" ht="15.75" customHeight="1">
      <c r="F8074" s="2" t="s">
        <v>284</v>
      </c>
      <c r="H8074" s="2" t="s">
        <v>37499</v>
      </c>
      <c r="I8074" s="2" t="s">
        <v>6023</v>
      </c>
      <c r="J8074" s="2" t="s">
        <v>6024</v>
      </c>
      <c r="K8074" s="2" t="s">
        <v>6025</v>
      </c>
      <c r="L8074" s="2" t="s">
        <v>37419</v>
      </c>
      <c r="M8074" s="2" t="s">
        <v>37500</v>
      </c>
      <c r="N8074" s="2" t="s">
        <v>37501</v>
      </c>
      <c r="O8074" s="2" t="s">
        <v>869</v>
      </c>
      <c r="P8074" s="2" t="s">
        <v>870</v>
      </c>
    </row>
    <row r="8075" ht="15.75" customHeight="1">
      <c r="H8075" s="2" t="s">
        <v>37502</v>
      </c>
      <c r="I8075" s="2" t="s">
        <v>286</v>
      </c>
      <c r="J8075" s="2" t="s">
        <v>287</v>
      </c>
      <c r="K8075" s="2" t="s">
        <v>15801</v>
      </c>
      <c r="L8075" s="2" t="s">
        <v>37419</v>
      </c>
      <c r="M8075" s="2" t="s">
        <v>37503</v>
      </c>
      <c r="N8075" s="2" t="s">
        <v>37504</v>
      </c>
      <c r="O8075" s="2" t="s">
        <v>869</v>
      </c>
      <c r="P8075" s="2" t="s">
        <v>870</v>
      </c>
    </row>
    <row r="8076" ht="15.75" customHeight="1">
      <c r="H8076" s="2" t="s">
        <v>37505</v>
      </c>
      <c r="I8076" s="2" t="s">
        <v>2103</v>
      </c>
      <c r="J8076" s="2" t="s">
        <v>2104</v>
      </c>
      <c r="K8076" s="2" t="s">
        <v>15801</v>
      </c>
      <c r="L8076" s="2" t="s">
        <v>37419</v>
      </c>
      <c r="M8076" s="2" t="s">
        <v>37506</v>
      </c>
      <c r="N8076" s="2" t="s">
        <v>37507</v>
      </c>
      <c r="O8076" s="2" t="s">
        <v>869</v>
      </c>
      <c r="P8076" s="2" t="s">
        <v>870</v>
      </c>
    </row>
    <row r="8077" ht="15.75" customHeight="1">
      <c r="H8077" s="2" t="s">
        <v>37508</v>
      </c>
      <c r="I8077" s="2" t="s">
        <v>2152</v>
      </c>
      <c r="J8077" s="2" t="s">
        <v>2153</v>
      </c>
      <c r="K8077" s="2" t="s">
        <v>33097</v>
      </c>
      <c r="L8077" s="2" t="s">
        <v>37419</v>
      </c>
      <c r="M8077" s="2" t="s">
        <v>37509</v>
      </c>
      <c r="N8077" s="2" t="s">
        <v>37510</v>
      </c>
      <c r="O8077" s="2" t="s">
        <v>869</v>
      </c>
      <c r="P8077" s="2" t="s">
        <v>870</v>
      </c>
    </row>
    <row r="8078" ht="15.75" customHeight="1">
      <c r="H8078" s="2" t="s">
        <v>37511</v>
      </c>
      <c r="I8078" s="2" t="s">
        <v>310</v>
      </c>
      <c r="J8078" s="2" t="s">
        <v>311</v>
      </c>
      <c r="K8078" s="2" t="s">
        <v>15809</v>
      </c>
      <c r="L8078" s="2" t="s">
        <v>37419</v>
      </c>
      <c r="M8078" s="2" t="s">
        <v>37512</v>
      </c>
      <c r="N8078" s="2" t="s">
        <v>37513</v>
      </c>
      <c r="O8078" s="2" t="s">
        <v>869</v>
      </c>
      <c r="P8078" s="2" t="s">
        <v>870</v>
      </c>
    </row>
    <row r="8079" ht="15.75" customHeight="1">
      <c r="H8079" s="2" t="s">
        <v>37514</v>
      </c>
      <c r="I8079" s="2" t="s">
        <v>37515</v>
      </c>
      <c r="J8079" s="2" t="s">
        <v>37516</v>
      </c>
      <c r="K8079" s="2" t="s">
        <v>22050</v>
      </c>
      <c r="L8079" s="2" t="s">
        <v>37419</v>
      </c>
      <c r="M8079" s="2" t="s">
        <v>37517</v>
      </c>
      <c r="N8079" s="2" t="s">
        <v>37518</v>
      </c>
      <c r="O8079" s="2" t="s">
        <v>869</v>
      </c>
      <c r="P8079" s="2" t="s">
        <v>870</v>
      </c>
    </row>
    <row r="8080" ht="15.75" customHeight="1">
      <c r="H8080" s="2" t="s">
        <v>37519</v>
      </c>
      <c r="I8080" s="2" t="s">
        <v>2195</v>
      </c>
      <c r="J8080" s="2" t="s">
        <v>2196</v>
      </c>
      <c r="K8080" s="2" t="s">
        <v>24851</v>
      </c>
      <c r="L8080" s="2" t="s">
        <v>37419</v>
      </c>
      <c r="M8080" s="2" t="s">
        <v>37520</v>
      </c>
      <c r="N8080" s="2" t="s">
        <v>37521</v>
      </c>
      <c r="O8080" s="2" t="s">
        <v>869</v>
      </c>
      <c r="P8080" s="2" t="s">
        <v>870</v>
      </c>
    </row>
    <row r="8081" ht="15.75" customHeight="1">
      <c r="H8081" s="2" t="s">
        <v>37522</v>
      </c>
      <c r="I8081" s="2" t="s">
        <v>37523</v>
      </c>
      <c r="J8081" s="2" t="s">
        <v>37524</v>
      </c>
      <c r="K8081" s="2" t="s">
        <v>37525</v>
      </c>
      <c r="L8081" s="2" t="s">
        <v>37419</v>
      </c>
      <c r="M8081" s="2" t="s">
        <v>37526</v>
      </c>
      <c r="N8081" s="2" t="s">
        <v>37527</v>
      </c>
      <c r="O8081" s="2" t="s">
        <v>869</v>
      </c>
      <c r="P8081" s="2" t="s">
        <v>870</v>
      </c>
    </row>
    <row r="8082" ht="15.75" customHeight="1">
      <c r="H8082" s="2" t="s">
        <v>37528</v>
      </c>
      <c r="I8082" s="2" t="s">
        <v>326</v>
      </c>
      <c r="J8082" s="2" t="s">
        <v>327</v>
      </c>
      <c r="K8082" s="2" t="s">
        <v>6068</v>
      </c>
      <c r="L8082" s="2" t="s">
        <v>37419</v>
      </c>
      <c r="M8082" s="2" t="s">
        <v>37529</v>
      </c>
      <c r="N8082" s="2" t="s">
        <v>37530</v>
      </c>
      <c r="O8082" s="2" t="s">
        <v>869</v>
      </c>
      <c r="P8082" s="2" t="s">
        <v>870</v>
      </c>
    </row>
    <row r="8083" ht="15.75" customHeight="1">
      <c r="H8083" s="2" t="s">
        <v>37531</v>
      </c>
      <c r="I8083" s="2" t="s">
        <v>335</v>
      </c>
      <c r="J8083" s="2" t="s">
        <v>336</v>
      </c>
      <c r="K8083" s="2" t="s">
        <v>15823</v>
      </c>
      <c r="L8083" s="2" t="s">
        <v>37419</v>
      </c>
      <c r="M8083" s="2" t="s">
        <v>37532</v>
      </c>
      <c r="N8083" s="2" t="s">
        <v>37533</v>
      </c>
      <c r="O8083" s="2" t="s">
        <v>869</v>
      </c>
      <c r="P8083" s="2" t="s">
        <v>870</v>
      </c>
    </row>
    <row r="8084" ht="15.75" customHeight="1">
      <c r="H8084" s="2" t="s">
        <v>37534</v>
      </c>
      <c r="I8084" s="2" t="s">
        <v>37535</v>
      </c>
      <c r="J8084" s="2" t="s">
        <v>37536</v>
      </c>
      <c r="K8084" s="2" t="s">
        <v>36789</v>
      </c>
      <c r="L8084" s="2" t="s">
        <v>37419</v>
      </c>
      <c r="M8084" s="2" t="s">
        <v>37537</v>
      </c>
      <c r="N8084" s="2" t="s">
        <v>37538</v>
      </c>
      <c r="O8084" s="2" t="s">
        <v>869</v>
      </c>
      <c r="P8084" s="2" t="s">
        <v>870</v>
      </c>
    </row>
    <row r="8085" ht="15.75" customHeight="1">
      <c r="H8085" s="2" t="s">
        <v>37539</v>
      </c>
      <c r="I8085" s="2" t="s">
        <v>19490</v>
      </c>
      <c r="J8085" s="2" t="s">
        <v>19491</v>
      </c>
      <c r="K8085" s="2" t="s">
        <v>15827</v>
      </c>
      <c r="L8085" s="2" t="s">
        <v>37419</v>
      </c>
      <c r="M8085" s="2" t="s">
        <v>37540</v>
      </c>
      <c r="N8085" s="2" t="s">
        <v>37541</v>
      </c>
      <c r="O8085" s="2" t="s">
        <v>869</v>
      </c>
      <c r="P8085" s="2" t="s">
        <v>870</v>
      </c>
    </row>
    <row r="8086" ht="15.75" customHeight="1">
      <c r="H8086" s="2" t="s">
        <v>37542</v>
      </c>
      <c r="I8086" s="2" t="s">
        <v>37543</v>
      </c>
      <c r="J8086" s="2" t="s">
        <v>37544</v>
      </c>
      <c r="K8086" s="2" t="s">
        <v>31566</v>
      </c>
      <c r="L8086" s="2" t="s">
        <v>37419</v>
      </c>
      <c r="M8086" s="2" t="s">
        <v>37545</v>
      </c>
      <c r="N8086" s="2" t="s">
        <v>37546</v>
      </c>
      <c r="O8086" s="2" t="s">
        <v>869</v>
      </c>
      <c r="P8086" s="2" t="s">
        <v>870</v>
      </c>
    </row>
    <row r="8087" ht="15.75" customHeight="1">
      <c r="H8087" s="2" t="s">
        <v>37547</v>
      </c>
      <c r="I8087" s="2" t="s">
        <v>25967</v>
      </c>
      <c r="J8087" s="2" t="s">
        <v>25968</v>
      </c>
      <c r="K8087" s="2" t="s">
        <v>32896</v>
      </c>
      <c r="L8087" s="2" t="s">
        <v>37419</v>
      </c>
      <c r="M8087" s="2" t="s">
        <v>37548</v>
      </c>
      <c r="N8087" s="2" t="s">
        <v>37549</v>
      </c>
      <c r="O8087" s="2" t="s">
        <v>869</v>
      </c>
      <c r="P8087" s="2" t="s">
        <v>870</v>
      </c>
    </row>
    <row r="8088" ht="15.75" customHeight="1">
      <c r="H8088" s="2" t="s">
        <v>37550</v>
      </c>
      <c r="I8088" s="2" t="s">
        <v>37551</v>
      </c>
      <c r="J8088" s="2" t="s">
        <v>37552</v>
      </c>
      <c r="K8088" s="2" t="s">
        <v>37553</v>
      </c>
      <c r="L8088" s="2" t="s">
        <v>37419</v>
      </c>
      <c r="M8088" s="2" t="s">
        <v>37554</v>
      </c>
      <c r="N8088" s="2" t="s">
        <v>37555</v>
      </c>
      <c r="O8088" s="2" t="s">
        <v>869</v>
      </c>
      <c r="P8088" s="2" t="s">
        <v>870</v>
      </c>
    </row>
    <row r="8089" ht="15.75" customHeight="1">
      <c r="H8089" s="2" t="s">
        <v>37556</v>
      </c>
      <c r="I8089" s="2" t="s">
        <v>23283</v>
      </c>
      <c r="J8089" s="2" t="s">
        <v>23284</v>
      </c>
      <c r="K8089" s="2" t="s">
        <v>15831</v>
      </c>
      <c r="L8089" s="2" t="s">
        <v>37419</v>
      </c>
      <c r="M8089" s="2" t="s">
        <v>37557</v>
      </c>
      <c r="N8089" s="2" t="s">
        <v>37558</v>
      </c>
      <c r="O8089" s="2" t="s">
        <v>869</v>
      </c>
      <c r="P8089" s="2" t="s">
        <v>870</v>
      </c>
    </row>
    <row r="8090" ht="15.75" customHeight="1">
      <c r="H8090" s="2" t="s">
        <v>37559</v>
      </c>
      <c r="I8090" s="2" t="s">
        <v>432</v>
      </c>
      <c r="J8090" s="2" t="s">
        <v>433</v>
      </c>
      <c r="K8090" s="2" t="s">
        <v>15827</v>
      </c>
      <c r="L8090" s="2" t="s">
        <v>37419</v>
      </c>
      <c r="M8090" s="2" t="s">
        <v>37560</v>
      </c>
      <c r="N8090" s="2" t="s">
        <v>37561</v>
      </c>
      <c r="O8090" s="2" t="s">
        <v>869</v>
      </c>
      <c r="P8090" s="2" t="s">
        <v>870</v>
      </c>
    </row>
    <row r="8091" ht="15.75" customHeight="1">
      <c r="H8091" s="2" t="s">
        <v>37562</v>
      </c>
      <c r="I8091" s="2" t="s">
        <v>12278</v>
      </c>
      <c r="J8091" s="2" t="s">
        <v>12279</v>
      </c>
      <c r="K8091" s="2" t="s">
        <v>24450</v>
      </c>
      <c r="L8091" s="2" t="s">
        <v>37419</v>
      </c>
      <c r="M8091" s="2" t="s">
        <v>37563</v>
      </c>
      <c r="N8091" s="2" t="s">
        <v>37564</v>
      </c>
      <c r="O8091" s="2" t="s">
        <v>869</v>
      </c>
      <c r="P8091" s="2" t="s">
        <v>870</v>
      </c>
    </row>
    <row r="8092" ht="15.75" customHeight="1">
      <c r="H8092" s="2" t="s">
        <v>37565</v>
      </c>
      <c r="I8092" s="2" t="s">
        <v>2303</v>
      </c>
      <c r="J8092" s="2" t="s">
        <v>2304</v>
      </c>
      <c r="K8092" s="2" t="s">
        <v>31728</v>
      </c>
      <c r="L8092" s="2" t="s">
        <v>37419</v>
      </c>
      <c r="M8092" s="2" t="s">
        <v>37566</v>
      </c>
      <c r="N8092" s="2" t="s">
        <v>37567</v>
      </c>
      <c r="O8092" s="2" t="s">
        <v>869</v>
      </c>
      <c r="P8092" s="2" t="s">
        <v>870</v>
      </c>
    </row>
    <row r="8093" ht="15.75" customHeight="1">
      <c r="H8093" s="2" t="s">
        <v>37568</v>
      </c>
      <c r="I8093" s="2" t="s">
        <v>2331</v>
      </c>
      <c r="J8093" s="2" t="s">
        <v>2332</v>
      </c>
      <c r="K8093" s="2" t="s">
        <v>22041</v>
      </c>
      <c r="L8093" s="2" t="s">
        <v>37419</v>
      </c>
      <c r="M8093" s="2" t="s">
        <v>37569</v>
      </c>
      <c r="N8093" s="2" t="s">
        <v>37570</v>
      </c>
      <c r="O8093" s="2" t="s">
        <v>869</v>
      </c>
      <c r="P8093" s="2" t="s">
        <v>870</v>
      </c>
    </row>
    <row r="8094" ht="15.75" customHeight="1">
      <c r="H8094" s="2" t="s">
        <v>37571</v>
      </c>
      <c r="I8094" s="2" t="s">
        <v>2341</v>
      </c>
      <c r="J8094" s="2" t="s">
        <v>2342</v>
      </c>
      <c r="K8094" s="2" t="s">
        <v>37572</v>
      </c>
      <c r="L8094" s="2" t="s">
        <v>37419</v>
      </c>
      <c r="M8094" s="2" t="s">
        <v>37573</v>
      </c>
      <c r="N8094" s="2" t="s">
        <v>37574</v>
      </c>
      <c r="O8094" s="2" t="s">
        <v>869</v>
      </c>
      <c r="P8094" s="2" t="s">
        <v>870</v>
      </c>
    </row>
    <row r="8095" ht="15.75" customHeight="1">
      <c r="H8095" s="2" t="s">
        <v>37575</v>
      </c>
      <c r="I8095" s="2" t="s">
        <v>2352</v>
      </c>
      <c r="J8095" s="2" t="s">
        <v>2353</v>
      </c>
      <c r="K8095" s="2" t="s">
        <v>24935</v>
      </c>
      <c r="L8095" s="2" t="s">
        <v>37419</v>
      </c>
      <c r="M8095" s="2" t="s">
        <v>37576</v>
      </c>
      <c r="N8095" s="2" t="s">
        <v>37577</v>
      </c>
      <c r="O8095" s="2" t="s">
        <v>869</v>
      </c>
      <c r="P8095" s="2" t="s">
        <v>870</v>
      </c>
    </row>
    <row r="8096" ht="15.75" customHeight="1">
      <c r="H8096" s="2" t="s">
        <v>37578</v>
      </c>
      <c r="I8096" s="2" t="s">
        <v>2369</v>
      </c>
      <c r="J8096" s="2" t="s">
        <v>2370</v>
      </c>
      <c r="K8096" s="2" t="s">
        <v>32670</v>
      </c>
      <c r="L8096" s="2" t="s">
        <v>37419</v>
      </c>
      <c r="M8096" s="2" t="s">
        <v>37579</v>
      </c>
      <c r="N8096" s="2" t="s">
        <v>37580</v>
      </c>
      <c r="O8096" s="2" t="s">
        <v>869</v>
      </c>
      <c r="P8096" s="2" t="s">
        <v>870</v>
      </c>
    </row>
    <row r="8097" ht="15.75" customHeight="1">
      <c r="H8097" s="2" t="s">
        <v>37581</v>
      </c>
      <c r="I8097" s="2" t="s">
        <v>5541</v>
      </c>
      <c r="J8097" s="2" t="s">
        <v>5542</v>
      </c>
      <c r="K8097" s="2" t="s">
        <v>24465</v>
      </c>
      <c r="L8097" s="2" t="s">
        <v>37419</v>
      </c>
      <c r="M8097" s="2" t="s">
        <v>37582</v>
      </c>
      <c r="N8097" s="2" t="s">
        <v>37583</v>
      </c>
      <c r="O8097" s="2" t="s">
        <v>869</v>
      </c>
      <c r="P8097" s="2" t="s">
        <v>870</v>
      </c>
    </row>
    <row r="8098" ht="15.75" customHeight="1">
      <c r="H8098" s="2" t="s">
        <v>37584</v>
      </c>
      <c r="I8098" s="2" t="s">
        <v>12309</v>
      </c>
      <c r="J8098" s="2" t="s">
        <v>12310</v>
      </c>
      <c r="K8098" s="2" t="s">
        <v>15792</v>
      </c>
      <c r="L8098" s="2" t="s">
        <v>37419</v>
      </c>
      <c r="M8098" s="2" t="s">
        <v>37585</v>
      </c>
      <c r="N8098" s="2" t="s">
        <v>37586</v>
      </c>
      <c r="O8098" s="2" t="s">
        <v>869</v>
      </c>
      <c r="P8098" s="2" t="s">
        <v>870</v>
      </c>
    </row>
    <row r="8099" ht="15.75" customHeight="1">
      <c r="H8099" s="2" t="s">
        <v>37587</v>
      </c>
      <c r="I8099" s="2" t="s">
        <v>1501</v>
      </c>
      <c r="J8099" s="2" t="s">
        <v>1502</v>
      </c>
      <c r="K8099" s="2" t="s">
        <v>31089</v>
      </c>
      <c r="L8099" s="2" t="s">
        <v>37419</v>
      </c>
      <c r="M8099" s="2" t="s">
        <v>37588</v>
      </c>
      <c r="N8099" s="2" t="s">
        <v>37589</v>
      </c>
      <c r="O8099" s="2" t="s">
        <v>869</v>
      </c>
      <c r="P8099" s="2" t="s">
        <v>870</v>
      </c>
    </row>
    <row r="8100" ht="15.75" customHeight="1">
      <c r="H8100" s="2" t="s">
        <v>37590</v>
      </c>
      <c r="I8100" s="2" t="s">
        <v>37591</v>
      </c>
      <c r="J8100" s="2" t="s">
        <v>37592</v>
      </c>
      <c r="K8100" s="2" t="s">
        <v>37593</v>
      </c>
      <c r="L8100" s="2" t="s">
        <v>37419</v>
      </c>
      <c r="M8100" s="2" t="s">
        <v>37594</v>
      </c>
      <c r="N8100" s="2" t="s">
        <v>37595</v>
      </c>
      <c r="O8100" s="2" t="s">
        <v>869</v>
      </c>
      <c r="P8100" s="2" t="s">
        <v>870</v>
      </c>
    </row>
    <row r="8101" ht="15.75" customHeight="1">
      <c r="H8101" s="2" t="s">
        <v>37596</v>
      </c>
      <c r="I8101" s="2" t="s">
        <v>518</v>
      </c>
      <c r="J8101" s="2" t="s">
        <v>519</v>
      </c>
      <c r="K8101" s="2" t="s">
        <v>36582</v>
      </c>
      <c r="L8101" s="2" t="s">
        <v>37419</v>
      </c>
      <c r="M8101" s="2" t="s">
        <v>37597</v>
      </c>
      <c r="N8101" s="2" t="s">
        <v>37598</v>
      </c>
      <c r="O8101" s="2" t="s">
        <v>869</v>
      </c>
      <c r="P8101" s="2" t="s">
        <v>870</v>
      </c>
    </row>
    <row r="8102" ht="15.75" customHeight="1">
      <c r="H8102" s="2" t="s">
        <v>37599</v>
      </c>
      <c r="I8102" s="2" t="s">
        <v>19733</v>
      </c>
      <c r="J8102" s="2" t="s">
        <v>19734</v>
      </c>
      <c r="K8102" s="2" t="s">
        <v>33421</v>
      </c>
      <c r="L8102" s="2" t="s">
        <v>37419</v>
      </c>
      <c r="M8102" s="2" t="s">
        <v>37600</v>
      </c>
      <c r="N8102" s="2" t="s">
        <v>37601</v>
      </c>
      <c r="O8102" s="2" t="s">
        <v>869</v>
      </c>
      <c r="P8102" s="2" t="s">
        <v>870</v>
      </c>
    </row>
    <row r="8103" ht="15.75" customHeight="1">
      <c r="H8103" s="2" t="s">
        <v>37602</v>
      </c>
      <c r="I8103" s="2" t="s">
        <v>526</v>
      </c>
      <c r="J8103" s="2" t="s">
        <v>527</v>
      </c>
      <c r="K8103" s="2" t="s">
        <v>24084</v>
      </c>
      <c r="L8103" s="2" t="s">
        <v>37419</v>
      </c>
      <c r="M8103" s="2" t="s">
        <v>37603</v>
      </c>
      <c r="N8103" s="2" t="s">
        <v>37604</v>
      </c>
      <c r="O8103" s="2" t="s">
        <v>869</v>
      </c>
      <c r="P8103" s="2" t="s">
        <v>870</v>
      </c>
    </row>
    <row r="8104" ht="15.75" customHeight="1">
      <c r="H8104" s="2" t="s">
        <v>37605</v>
      </c>
      <c r="I8104" s="2" t="s">
        <v>835</v>
      </c>
      <c r="J8104" s="2" t="s">
        <v>836</v>
      </c>
      <c r="K8104" s="2" t="s">
        <v>15850</v>
      </c>
      <c r="L8104" s="2" t="s">
        <v>37419</v>
      </c>
      <c r="M8104" s="2" t="s">
        <v>37606</v>
      </c>
      <c r="N8104" s="2" t="s">
        <v>37607</v>
      </c>
      <c r="O8104" s="2" t="s">
        <v>869</v>
      </c>
      <c r="P8104" s="2" t="s">
        <v>870</v>
      </c>
    </row>
    <row r="8105" ht="15.75" customHeight="1">
      <c r="H8105" s="2" t="s">
        <v>37608</v>
      </c>
      <c r="I8105" s="2" t="s">
        <v>2504</v>
      </c>
      <c r="J8105" s="2" t="s">
        <v>2505</v>
      </c>
      <c r="K8105" s="2" t="s">
        <v>37609</v>
      </c>
      <c r="L8105" s="2" t="s">
        <v>37419</v>
      </c>
      <c r="M8105" s="2" t="s">
        <v>37610</v>
      </c>
      <c r="N8105" s="2" t="s">
        <v>37611</v>
      </c>
      <c r="O8105" s="2" t="s">
        <v>869</v>
      </c>
      <c r="P8105" s="2" t="s">
        <v>870</v>
      </c>
    </row>
    <row r="8106" ht="15.75" customHeight="1">
      <c r="F8106" s="2" t="s">
        <v>534</v>
      </c>
      <c r="H8106" s="2" t="s">
        <v>37612</v>
      </c>
      <c r="I8106" s="2" t="s">
        <v>37613</v>
      </c>
      <c r="J8106" s="2" t="s">
        <v>37613</v>
      </c>
      <c r="K8106" s="2" t="s">
        <v>1313</v>
      </c>
    </row>
    <row r="8107" ht="15.75" customHeight="1">
      <c r="H8107" s="2" t="s">
        <v>37614</v>
      </c>
      <c r="I8107" s="2" t="s">
        <v>37615</v>
      </c>
      <c r="J8107" s="2" t="s">
        <v>37616</v>
      </c>
      <c r="K8107" s="2" t="s">
        <v>2203</v>
      </c>
    </row>
    <row r="8108" ht="15.75" customHeight="1">
      <c r="H8108" s="2" t="s">
        <v>37617</v>
      </c>
      <c r="I8108" s="2" t="s">
        <v>2512</v>
      </c>
      <c r="J8108" s="2" t="s">
        <v>2513</v>
      </c>
      <c r="K8108" s="2" t="s">
        <v>2514</v>
      </c>
    </row>
    <row r="8109" ht="15.75" customHeight="1">
      <c r="H8109" s="2" t="s">
        <v>37618</v>
      </c>
      <c r="I8109" s="2" t="s">
        <v>37619</v>
      </c>
      <c r="J8109" s="2" t="s">
        <v>37619</v>
      </c>
      <c r="K8109" s="2" t="s">
        <v>5126</v>
      </c>
    </row>
    <row r="8110" ht="15.75" customHeight="1">
      <c r="H8110" s="2" t="s">
        <v>37620</v>
      </c>
      <c r="I8110" s="2" t="s">
        <v>536</v>
      </c>
      <c r="J8110" s="2" t="s">
        <v>537</v>
      </c>
      <c r="K8110" s="2" t="s">
        <v>538</v>
      </c>
    </row>
    <row r="8111" ht="15.75" customHeight="1">
      <c r="F8111" s="2" t="s">
        <v>539</v>
      </c>
      <c r="H8111" s="2" t="s">
        <v>37621</v>
      </c>
      <c r="I8111" s="2" t="s">
        <v>541</v>
      </c>
      <c r="J8111" s="2" t="s">
        <v>542</v>
      </c>
      <c r="K8111" s="2" t="s">
        <v>6046</v>
      </c>
      <c r="L8111" s="2" t="s">
        <v>37419</v>
      </c>
      <c r="M8111" s="2" t="s">
        <v>37622</v>
      </c>
      <c r="N8111" s="2" t="s">
        <v>37623</v>
      </c>
      <c r="O8111" s="2" t="s">
        <v>869</v>
      </c>
      <c r="P8111" s="2" t="s">
        <v>870</v>
      </c>
    </row>
    <row r="8112" ht="15.75" customHeight="1">
      <c r="F8112" s="2" t="s">
        <v>2597</v>
      </c>
      <c r="H8112" s="2" t="s">
        <v>37624</v>
      </c>
      <c r="I8112" s="2" t="s">
        <v>7848</v>
      </c>
      <c r="J8112" s="2" t="s">
        <v>7849</v>
      </c>
      <c r="K8112" s="2" t="s">
        <v>22462</v>
      </c>
      <c r="L8112" s="2" t="s">
        <v>37419</v>
      </c>
      <c r="M8112" s="2" t="s">
        <v>37625</v>
      </c>
      <c r="N8112" s="2" t="s">
        <v>37626</v>
      </c>
      <c r="O8112" s="2" t="s">
        <v>869</v>
      </c>
      <c r="P8112" s="2" t="s">
        <v>870</v>
      </c>
    </row>
    <row r="8113" ht="15.75" customHeight="1">
      <c r="H8113" s="2" t="s">
        <v>37627</v>
      </c>
      <c r="I8113" s="2" t="s">
        <v>2624</v>
      </c>
      <c r="J8113" s="2" t="s">
        <v>2625</v>
      </c>
      <c r="K8113" s="2" t="s">
        <v>6050</v>
      </c>
      <c r="L8113" s="2" t="s">
        <v>37419</v>
      </c>
      <c r="M8113" s="2" t="s">
        <v>37628</v>
      </c>
      <c r="N8113" s="2" t="s">
        <v>37629</v>
      </c>
      <c r="O8113" s="2" t="s">
        <v>869</v>
      </c>
      <c r="P8113" s="2" t="s">
        <v>870</v>
      </c>
    </row>
    <row r="8114" ht="15.75" customHeight="1">
      <c r="F8114" s="2" t="s">
        <v>548</v>
      </c>
      <c r="H8114" s="2" t="s">
        <v>37630</v>
      </c>
      <c r="I8114" s="2" t="s">
        <v>550</v>
      </c>
      <c r="J8114" s="2" t="s">
        <v>551</v>
      </c>
      <c r="K8114" s="2" t="s">
        <v>6050</v>
      </c>
      <c r="L8114" s="2" t="s">
        <v>37419</v>
      </c>
      <c r="M8114" s="2" t="s">
        <v>37631</v>
      </c>
      <c r="N8114" s="2" t="s">
        <v>37632</v>
      </c>
      <c r="O8114" s="2" t="s">
        <v>869</v>
      </c>
      <c r="P8114" s="2" t="s">
        <v>870</v>
      </c>
    </row>
    <row r="8115" ht="15.75" customHeight="1">
      <c r="F8115" s="2" t="s">
        <v>2693</v>
      </c>
      <c r="H8115" s="2" t="s">
        <v>37633</v>
      </c>
      <c r="I8115" s="2" t="s">
        <v>11431</v>
      </c>
      <c r="J8115" s="2" t="s">
        <v>11432</v>
      </c>
      <c r="K8115" s="2" t="s">
        <v>24578</v>
      </c>
      <c r="L8115" s="2" t="s">
        <v>37419</v>
      </c>
      <c r="M8115" s="2" t="s">
        <v>37634</v>
      </c>
      <c r="N8115" s="2" t="s">
        <v>37635</v>
      </c>
      <c r="O8115" s="2" t="s">
        <v>869</v>
      </c>
      <c r="P8115" s="2" t="s">
        <v>870</v>
      </c>
    </row>
    <row r="8116" ht="15.75" customHeight="1">
      <c r="F8116" s="2" t="s">
        <v>556</v>
      </c>
      <c r="H8116" s="2" t="s">
        <v>37636</v>
      </c>
      <c r="I8116" s="2" t="s">
        <v>37637</v>
      </c>
      <c r="J8116" s="2" t="s">
        <v>37638</v>
      </c>
      <c r="K8116" s="2" t="s">
        <v>37639</v>
      </c>
      <c r="L8116" s="2" t="s">
        <v>37419</v>
      </c>
      <c r="M8116" s="2" t="s">
        <v>37640</v>
      </c>
      <c r="N8116" s="2" t="s">
        <v>37641</v>
      </c>
      <c r="O8116" s="2" t="s">
        <v>869</v>
      </c>
      <c r="P8116" s="2" t="s">
        <v>870</v>
      </c>
    </row>
    <row r="8117" ht="15.75" customHeight="1">
      <c r="H8117" s="2" t="s">
        <v>37642</v>
      </c>
      <c r="I8117" s="2" t="s">
        <v>574</v>
      </c>
      <c r="J8117" s="2" t="s">
        <v>575</v>
      </c>
      <c r="K8117" s="2" t="s">
        <v>15872</v>
      </c>
      <c r="L8117" s="2" t="s">
        <v>37419</v>
      </c>
      <c r="M8117" s="2" t="s">
        <v>37643</v>
      </c>
      <c r="N8117" s="2" t="s">
        <v>37644</v>
      </c>
      <c r="O8117" s="2" t="s">
        <v>869</v>
      </c>
      <c r="P8117" s="2" t="s">
        <v>870</v>
      </c>
    </row>
    <row r="8118" ht="15.75" customHeight="1">
      <c r="F8118" s="2" t="s">
        <v>581</v>
      </c>
      <c r="H8118" s="2" t="s">
        <v>37645</v>
      </c>
      <c r="I8118" s="2" t="s">
        <v>37646</v>
      </c>
      <c r="J8118" s="2" t="s">
        <v>37647</v>
      </c>
      <c r="K8118" s="2" t="s">
        <v>37648</v>
      </c>
      <c r="L8118" s="2" t="s">
        <v>37419</v>
      </c>
      <c r="M8118" s="2" t="s">
        <v>37649</v>
      </c>
      <c r="N8118" s="2" t="s">
        <v>37650</v>
      </c>
      <c r="O8118" s="2" t="s">
        <v>869</v>
      </c>
      <c r="P8118" s="2" t="s">
        <v>870</v>
      </c>
    </row>
    <row r="8119" ht="15.75" customHeight="1">
      <c r="F8119" s="2" t="s">
        <v>2902</v>
      </c>
      <c r="H8119" s="2" t="s">
        <v>37651</v>
      </c>
      <c r="I8119" s="2" t="s">
        <v>37652</v>
      </c>
      <c r="J8119" s="2" t="s">
        <v>37653</v>
      </c>
      <c r="K8119" s="2" t="s">
        <v>25176</v>
      </c>
      <c r="L8119" s="2" t="s">
        <v>37419</v>
      </c>
      <c r="M8119" s="2" t="s">
        <v>37654</v>
      </c>
      <c r="N8119" s="2" t="s">
        <v>37655</v>
      </c>
      <c r="O8119" s="2" t="s">
        <v>869</v>
      </c>
      <c r="P8119" s="2" t="s">
        <v>870</v>
      </c>
    </row>
    <row r="8120" ht="15.75" customHeight="1">
      <c r="F8120" s="2" t="s">
        <v>598</v>
      </c>
      <c r="H8120" s="2" t="s">
        <v>37656</v>
      </c>
      <c r="I8120" s="2" t="s">
        <v>600</v>
      </c>
      <c r="J8120" s="2" t="s">
        <v>601</v>
      </c>
      <c r="K8120" s="2" t="s">
        <v>5995</v>
      </c>
      <c r="L8120" s="2" t="s">
        <v>37419</v>
      </c>
      <c r="M8120" s="2" t="s">
        <v>37657</v>
      </c>
      <c r="N8120" s="2" t="s">
        <v>37658</v>
      </c>
      <c r="O8120" s="2" t="s">
        <v>869</v>
      </c>
      <c r="P8120" s="2" t="s">
        <v>870</v>
      </c>
    </row>
    <row r="8121" ht="15.75" customHeight="1">
      <c r="H8121" s="2" t="s">
        <v>37659</v>
      </c>
      <c r="I8121" s="2" t="s">
        <v>608</v>
      </c>
      <c r="J8121" s="2" t="s">
        <v>609</v>
      </c>
      <c r="K8121" s="2" t="s">
        <v>15868</v>
      </c>
      <c r="L8121" s="2" t="s">
        <v>37419</v>
      </c>
      <c r="M8121" s="2" t="s">
        <v>37660</v>
      </c>
      <c r="N8121" s="2" t="s">
        <v>37661</v>
      </c>
      <c r="O8121" s="2" t="s">
        <v>869</v>
      </c>
      <c r="P8121" s="2" t="s">
        <v>870</v>
      </c>
    </row>
    <row r="8122" ht="15.75" customHeight="1">
      <c r="F8122" s="2" t="s">
        <v>624</v>
      </c>
      <c r="H8122" s="2" t="s">
        <v>37662</v>
      </c>
      <c r="I8122" s="2" t="s">
        <v>626</v>
      </c>
      <c r="J8122" s="2" t="s">
        <v>627</v>
      </c>
      <c r="K8122" s="2" t="s">
        <v>6058</v>
      </c>
      <c r="L8122" s="2" t="s">
        <v>37419</v>
      </c>
      <c r="M8122" s="2" t="s">
        <v>37663</v>
      </c>
      <c r="N8122" s="2" t="s">
        <v>37664</v>
      </c>
      <c r="O8122" s="2" t="s">
        <v>869</v>
      </c>
      <c r="P8122" s="2" t="s">
        <v>870</v>
      </c>
    </row>
    <row r="8123" ht="15.75" customHeight="1">
      <c r="F8123" s="2" t="s">
        <v>634</v>
      </c>
      <c r="H8123" s="2" t="s">
        <v>37665</v>
      </c>
      <c r="I8123" s="2" t="s">
        <v>644</v>
      </c>
      <c r="J8123" s="2" t="s">
        <v>645</v>
      </c>
      <c r="K8123" s="2" t="s">
        <v>6025</v>
      </c>
      <c r="L8123" s="2" t="s">
        <v>37419</v>
      </c>
      <c r="M8123" s="2" t="s">
        <v>37666</v>
      </c>
      <c r="N8123" s="2" t="s">
        <v>37667</v>
      </c>
      <c r="O8123" s="2" t="s">
        <v>869</v>
      </c>
      <c r="P8123" s="2" t="s">
        <v>870</v>
      </c>
    </row>
    <row r="8124" ht="15.75" customHeight="1">
      <c r="H8124" s="2" t="s">
        <v>37668</v>
      </c>
      <c r="I8124" s="2" t="s">
        <v>37669</v>
      </c>
      <c r="J8124" s="2" t="s">
        <v>37670</v>
      </c>
      <c r="K8124" s="2" t="s">
        <v>31853</v>
      </c>
      <c r="L8124" s="2" t="s">
        <v>37419</v>
      </c>
      <c r="M8124" s="2" t="s">
        <v>37671</v>
      </c>
      <c r="N8124" s="2" t="s">
        <v>37672</v>
      </c>
      <c r="O8124" s="2" t="s">
        <v>869</v>
      </c>
      <c r="P8124" s="2" t="s">
        <v>870</v>
      </c>
    </row>
    <row r="8125" ht="15.75" customHeight="1">
      <c r="F8125" s="2" t="s">
        <v>651</v>
      </c>
      <c r="H8125" s="2" t="s">
        <v>37673</v>
      </c>
      <c r="I8125" s="2" t="s">
        <v>653</v>
      </c>
      <c r="J8125" s="2" t="s">
        <v>654</v>
      </c>
      <c r="K8125" s="2" t="s">
        <v>15868</v>
      </c>
      <c r="L8125" s="2" t="s">
        <v>37419</v>
      </c>
      <c r="M8125" s="2" t="s">
        <v>37674</v>
      </c>
      <c r="N8125" s="2" t="s">
        <v>37675</v>
      </c>
      <c r="O8125" s="2" t="s">
        <v>869</v>
      </c>
      <c r="P8125" s="2" t="s">
        <v>870</v>
      </c>
    </row>
    <row r="8126" ht="15.75" customHeight="1">
      <c r="F8126" s="2" t="s">
        <v>3521</v>
      </c>
      <c r="H8126" s="2" t="s">
        <v>37676</v>
      </c>
      <c r="I8126" s="2" t="s">
        <v>3538</v>
      </c>
      <c r="J8126" s="2" t="s">
        <v>3539</v>
      </c>
      <c r="K8126" s="2" t="s">
        <v>25032</v>
      </c>
      <c r="L8126" s="2" t="s">
        <v>37419</v>
      </c>
      <c r="M8126" s="2" t="s">
        <v>37677</v>
      </c>
      <c r="N8126" s="2" t="s">
        <v>37678</v>
      </c>
      <c r="O8126" s="2" t="s">
        <v>869</v>
      </c>
      <c r="P8126" s="2" t="s">
        <v>870</v>
      </c>
    </row>
    <row r="8127" ht="15.75" customHeight="1">
      <c r="F8127" s="2" t="s">
        <v>3629</v>
      </c>
      <c r="H8127" s="2" t="s">
        <v>37679</v>
      </c>
      <c r="I8127" s="2" t="s">
        <v>3661</v>
      </c>
      <c r="J8127" s="2" t="s">
        <v>3662</v>
      </c>
      <c r="K8127" s="2" t="s">
        <v>15861</v>
      </c>
      <c r="L8127" s="2" t="s">
        <v>37419</v>
      </c>
      <c r="M8127" s="2" t="s">
        <v>37680</v>
      </c>
      <c r="N8127" s="2" t="s">
        <v>37681</v>
      </c>
      <c r="O8127" s="2" t="s">
        <v>869</v>
      </c>
      <c r="P8127" s="2" t="s">
        <v>870</v>
      </c>
    </row>
    <row r="8128" ht="15.75" customHeight="1">
      <c r="F8128" s="2" t="s">
        <v>660</v>
      </c>
      <c r="H8128" s="2" t="s">
        <v>37682</v>
      </c>
      <c r="I8128" s="2" t="s">
        <v>662</v>
      </c>
      <c r="J8128" s="2" t="s">
        <v>663</v>
      </c>
      <c r="K8128" s="2" t="s">
        <v>15809</v>
      </c>
      <c r="L8128" s="2" t="s">
        <v>37419</v>
      </c>
      <c r="M8128" s="2" t="s">
        <v>37683</v>
      </c>
      <c r="N8128" s="2" t="s">
        <v>37684</v>
      </c>
      <c r="O8128" s="2" t="s">
        <v>869</v>
      </c>
      <c r="P8128" s="2" t="s">
        <v>870</v>
      </c>
    </row>
    <row r="8129" ht="15.75" customHeight="1">
      <c r="H8129" s="2" t="s">
        <v>37685</v>
      </c>
      <c r="I8129" s="2" t="s">
        <v>670</v>
      </c>
      <c r="J8129" s="2" t="s">
        <v>671</v>
      </c>
      <c r="K8129" s="2" t="s">
        <v>6068</v>
      </c>
      <c r="L8129" s="2" t="s">
        <v>37419</v>
      </c>
      <c r="M8129" s="2" t="s">
        <v>37686</v>
      </c>
      <c r="N8129" s="2" t="s">
        <v>37687</v>
      </c>
      <c r="O8129" s="2" t="s">
        <v>869</v>
      </c>
      <c r="P8129" s="2" t="s">
        <v>870</v>
      </c>
    </row>
    <row r="8130" ht="15.75" customHeight="1">
      <c r="F8130" s="2" t="s">
        <v>3762</v>
      </c>
      <c r="H8130" s="2" t="s">
        <v>37688</v>
      </c>
      <c r="I8130" s="2" t="s">
        <v>37689</v>
      </c>
      <c r="J8130" s="2" t="s">
        <v>37690</v>
      </c>
      <c r="K8130" s="2" t="s">
        <v>1141</v>
      </c>
    </row>
    <row r="8131" ht="15.75" customHeight="1">
      <c r="F8131" s="2" t="s">
        <v>677</v>
      </c>
      <c r="H8131" s="2" t="s">
        <v>37691</v>
      </c>
      <c r="I8131" s="2" t="s">
        <v>679</v>
      </c>
      <c r="J8131" s="2" t="s">
        <v>680</v>
      </c>
      <c r="K8131" s="2" t="s">
        <v>6062</v>
      </c>
      <c r="L8131" s="2" t="s">
        <v>37419</v>
      </c>
      <c r="M8131" s="2" t="s">
        <v>37692</v>
      </c>
      <c r="N8131" s="2" t="s">
        <v>37693</v>
      </c>
      <c r="O8131" s="2" t="s">
        <v>869</v>
      </c>
      <c r="P8131" s="2" t="s">
        <v>870</v>
      </c>
    </row>
    <row r="8132" ht="15.75" customHeight="1">
      <c r="F8132" s="2" t="s">
        <v>703</v>
      </c>
      <c r="H8132" s="2" t="s">
        <v>37694</v>
      </c>
      <c r="I8132" s="2" t="s">
        <v>37695</v>
      </c>
      <c r="J8132" s="2" t="s">
        <v>37696</v>
      </c>
      <c r="K8132" s="2" t="s">
        <v>22050</v>
      </c>
      <c r="L8132" s="2" t="s">
        <v>37419</v>
      </c>
      <c r="M8132" s="2" t="s">
        <v>37697</v>
      </c>
      <c r="N8132" s="2" t="s">
        <v>37698</v>
      </c>
      <c r="O8132" s="2" t="s">
        <v>869</v>
      </c>
      <c r="P8132" s="2" t="s">
        <v>870</v>
      </c>
    </row>
    <row r="8133" ht="15.75" customHeight="1">
      <c r="H8133" s="2" t="s">
        <v>37699</v>
      </c>
      <c r="I8133" s="2" t="s">
        <v>37700</v>
      </c>
      <c r="J8133" s="2" t="s">
        <v>37701</v>
      </c>
      <c r="K8133" s="2" t="s">
        <v>1157</v>
      </c>
    </row>
    <row r="8134" ht="15.75" customHeight="1">
      <c r="F8134" s="2" t="s">
        <v>728</v>
      </c>
      <c r="H8134" s="2" t="s">
        <v>37702</v>
      </c>
      <c r="I8134" s="2" t="s">
        <v>730</v>
      </c>
      <c r="J8134" s="2" t="s">
        <v>731</v>
      </c>
      <c r="K8134" s="2" t="s">
        <v>6046</v>
      </c>
      <c r="L8134" s="2" t="s">
        <v>37419</v>
      </c>
      <c r="M8134" s="2" t="s">
        <v>37703</v>
      </c>
      <c r="N8134" s="2" t="s">
        <v>37704</v>
      </c>
      <c r="O8134" s="2" t="s">
        <v>869</v>
      </c>
      <c r="P8134" s="2" t="s">
        <v>870</v>
      </c>
    </row>
    <row r="8135" ht="15.75" customHeight="1">
      <c r="H8135" s="2" t="s">
        <v>37705</v>
      </c>
      <c r="I8135" s="2" t="s">
        <v>4096</v>
      </c>
      <c r="J8135" s="2" t="s">
        <v>4097</v>
      </c>
      <c r="K8135" s="2" t="s">
        <v>15890</v>
      </c>
      <c r="L8135" s="2" t="s">
        <v>37419</v>
      </c>
      <c r="M8135" s="2" t="s">
        <v>37706</v>
      </c>
      <c r="N8135" s="2" t="s">
        <v>37707</v>
      </c>
      <c r="O8135" s="2" t="s">
        <v>869</v>
      </c>
      <c r="P8135" s="2" t="s">
        <v>870</v>
      </c>
    </row>
    <row r="8136" ht="15.75" customHeight="1">
      <c r="F8136" s="2" t="s">
        <v>4115</v>
      </c>
      <c r="H8136" s="2" t="s">
        <v>37708</v>
      </c>
      <c r="I8136" s="2" t="s">
        <v>37709</v>
      </c>
      <c r="J8136" s="2" t="s">
        <v>37710</v>
      </c>
      <c r="K8136" s="2" t="s">
        <v>36152</v>
      </c>
      <c r="L8136" s="2" t="s">
        <v>37419</v>
      </c>
      <c r="M8136" s="2" t="s">
        <v>37711</v>
      </c>
      <c r="N8136" s="2" t="s">
        <v>37712</v>
      </c>
      <c r="O8136" s="2" t="s">
        <v>869</v>
      </c>
      <c r="P8136" s="2" t="s">
        <v>870</v>
      </c>
    </row>
    <row r="8137" ht="15.75" customHeight="1">
      <c r="F8137" s="2" t="s">
        <v>737</v>
      </c>
      <c r="H8137" s="2" t="s">
        <v>37713</v>
      </c>
      <c r="I8137" s="2" t="s">
        <v>30825</v>
      </c>
      <c r="J8137" s="2" t="s">
        <v>30826</v>
      </c>
      <c r="K8137" s="2" t="s">
        <v>31344</v>
      </c>
      <c r="L8137" s="2" t="s">
        <v>37419</v>
      </c>
      <c r="M8137" s="2" t="s">
        <v>37714</v>
      </c>
      <c r="N8137" s="2" t="s">
        <v>37715</v>
      </c>
      <c r="O8137" s="2" t="s">
        <v>869</v>
      </c>
      <c r="P8137" s="2" t="s">
        <v>870</v>
      </c>
    </row>
    <row r="8138" ht="15.75" customHeight="1">
      <c r="F8138" s="2" t="s">
        <v>746</v>
      </c>
      <c r="H8138" s="2" t="s">
        <v>37716</v>
      </c>
      <c r="I8138" s="2" t="s">
        <v>4282</v>
      </c>
      <c r="J8138" s="2" t="s">
        <v>4283</v>
      </c>
      <c r="K8138" s="2" t="s">
        <v>6046</v>
      </c>
      <c r="L8138" s="2" t="s">
        <v>37419</v>
      </c>
      <c r="M8138" s="2" t="s">
        <v>37717</v>
      </c>
      <c r="N8138" s="2" t="s">
        <v>37718</v>
      </c>
      <c r="O8138" s="2" t="s">
        <v>869</v>
      </c>
      <c r="P8138" s="2" t="s">
        <v>870</v>
      </c>
    </row>
    <row r="8139" ht="15.75" customHeight="1">
      <c r="H8139" s="2" t="s">
        <v>37719</v>
      </c>
      <c r="I8139" s="2" t="s">
        <v>37720</v>
      </c>
      <c r="J8139" s="2" t="s">
        <v>37721</v>
      </c>
      <c r="K8139" s="2" t="s">
        <v>37722</v>
      </c>
      <c r="L8139" s="2" t="s">
        <v>37419</v>
      </c>
      <c r="M8139" s="2" t="s">
        <v>37723</v>
      </c>
      <c r="N8139" s="2" t="s">
        <v>37724</v>
      </c>
      <c r="O8139" s="2" t="s">
        <v>869</v>
      </c>
      <c r="P8139" s="2" t="s">
        <v>870</v>
      </c>
    </row>
    <row r="8140" ht="15.75" customHeight="1">
      <c r="F8140" s="2" t="s">
        <v>4353</v>
      </c>
      <c r="H8140" s="2" t="s">
        <v>37725</v>
      </c>
      <c r="I8140" s="2" t="s">
        <v>6072</v>
      </c>
      <c r="J8140" s="2" t="s">
        <v>6073</v>
      </c>
      <c r="K8140" s="2" t="s">
        <v>6074</v>
      </c>
      <c r="L8140" s="2" t="s">
        <v>37419</v>
      </c>
      <c r="M8140" s="2" t="s">
        <v>37726</v>
      </c>
      <c r="N8140" s="2" t="s">
        <v>37727</v>
      </c>
      <c r="O8140" s="2" t="s">
        <v>869</v>
      </c>
      <c r="P8140" s="2" t="s">
        <v>870</v>
      </c>
    </row>
    <row r="8141" ht="15.75" customHeight="1">
      <c r="F8141" s="2" t="s">
        <v>755</v>
      </c>
      <c r="H8141" s="2" t="s">
        <v>37728</v>
      </c>
      <c r="I8141" s="2" t="s">
        <v>757</v>
      </c>
      <c r="J8141" s="2" t="s">
        <v>758</v>
      </c>
      <c r="K8141" s="2" t="s">
        <v>6006</v>
      </c>
      <c r="L8141" s="2" t="s">
        <v>37419</v>
      </c>
      <c r="M8141" s="2" t="s">
        <v>37729</v>
      </c>
      <c r="N8141" s="2" t="s">
        <v>37730</v>
      </c>
      <c r="O8141" s="2" t="s">
        <v>869</v>
      </c>
      <c r="P8141" s="2" t="s">
        <v>870</v>
      </c>
    </row>
    <row r="8142" ht="15.75" customHeight="1">
      <c r="F8142" s="2" t="s">
        <v>764</v>
      </c>
      <c r="H8142" s="2" t="s">
        <v>37731</v>
      </c>
      <c r="I8142" s="2" t="s">
        <v>766</v>
      </c>
      <c r="J8142" s="2" t="s">
        <v>767</v>
      </c>
      <c r="K8142" s="2" t="s">
        <v>6081</v>
      </c>
      <c r="L8142" s="2" t="s">
        <v>37419</v>
      </c>
      <c r="M8142" s="2" t="s">
        <v>37732</v>
      </c>
      <c r="N8142" s="2" t="s">
        <v>37733</v>
      </c>
      <c r="O8142" s="2" t="s">
        <v>869</v>
      </c>
      <c r="P8142" s="2" t="s">
        <v>870</v>
      </c>
    </row>
    <row r="8143" ht="15.75" customHeight="1">
      <c r="F8143" s="2" t="s">
        <v>773</v>
      </c>
      <c r="H8143" s="2" t="s">
        <v>37734</v>
      </c>
      <c r="I8143" s="2" t="s">
        <v>775</v>
      </c>
      <c r="J8143" s="2" t="s">
        <v>776</v>
      </c>
      <c r="K8143" s="2" t="s">
        <v>22055</v>
      </c>
      <c r="L8143" s="2" t="s">
        <v>37419</v>
      </c>
      <c r="M8143" s="2" t="s">
        <v>37735</v>
      </c>
      <c r="N8143" s="2" t="s">
        <v>37736</v>
      </c>
      <c r="O8143" s="2" t="s">
        <v>869</v>
      </c>
      <c r="P8143" s="2" t="s">
        <v>870</v>
      </c>
    </row>
    <row r="8144" ht="15.75" customHeight="1">
      <c r="F8144" s="2" t="s">
        <v>782</v>
      </c>
      <c r="H8144" s="2" t="s">
        <v>37737</v>
      </c>
      <c r="I8144" s="2" t="s">
        <v>784</v>
      </c>
      <c r="J8144" s="2" t="s">
        <v>785</v>
      </c>
      <c r="K8144" s="2" t="s">
        <v>31897</v>
      </c>
      <c r="L8144" s="2" t="s">
        <v>37419</v>
      </c>
      <c r="M8144" s="2" t="s">
        <v>37738</v>
      </c>
      <c r="N8144" s="2" t="s">
        <v>37739</v>
      </c>
      <c r="O8144" s="2" t="s">
        <v>869</v>
      </c>
      <c r="P8144" s="2" t="s">
        <v>870</v>
      </c>
    </row>
    <row r="8145" ht="15.75" customHeight="1">
      <c r="F8145" s="2" t="s">
        <v>791</v>
      </c>
      <c r="H8145" s="2" t="s">
        <v>37740</v>
      </c>
      <c r="I8145" s="2" t="s">
        <v>7306</v>
      </c>
      <c r="J8145" s="2" t="s">
        <v>7307</v>
      </c>
      <c r="K8145" s="2" t="s">
        <v>24414</v>
      </c>
      <c r="L8145" s="2" t="s">
        <v>37419</v>
      </c>
      <c r="M8145" s="2" t="s">
        <v>37741</v>
      </c>
      <c r="N8145" s="2" t="s">
        <v>37742</v>
      </c>
      <c r="O8145" s="2" t="s">
        <v>869</v>
      </c>
      <c r="P8145" s="2" t="s">
        <v>870</v>
      </c>
    </row>
    <row r="8146" ht="15.75" customHeight="1">
      <c r="F8146" s="2" t="s">
        <v>800</v>
      </c>
      <c r="H8146" s="2" t="s">
        <v>37743</v>
      </c>
      <c r="I8146" s="2" t="s">
        <v>4974</v>
      </c>
      <c r="J8146" s="2" t="s">
        <v>4975</v>
      </c>
      <c r="K8146" s="2" t="s">
        <v>22462</v>
      </c>
      <c r="L8146" s="2" t="s">
        <v>37419</v>
      </c>
      <c r="M8146" s="2" t="s">
        <v>37744</v>
      </c>
      <c r="N8146" s="2" t="s">
        <v>37745</v>
      </c>
      <c r="O8146" s="2" t="s">
        <v>869</v>
      </c>
      <c r="P8146" s="2" t="s">
        <v>870</v>
      </c>
    </row>
    <row r="8147" ht="15.75" customHeight="1">
      <c r="H8147" s="2" t="s">
        <v>37746</v>
      </c>
      <c r="I8147" s="2" t="s">
        <v>4989</v>
      </c>
      <c r="J8147" s="2" t="s">
        <v>4990</v>
      </c>
      <c r="K8147" s="2" t="s">
        <v>6091</v>
      </c>
      <c r="L8147" s="2" t="s">
        <v>37419</v>
      </c>
      <c r="M8147" s="2" t="s">
        <v>37747</v>
      </c>
      <c r="N8147" s="2" t="s">
        <v>37748</v>
      </c>
      <c r="O8147" s="2" t="s">
        <v>869</v>
      </c>
      <c r="P8147" s="2" t="s">
        <v>870</v>
      </c>
    </row>
    <row r="8148" ht="15.75" customHeight="1">
      <c r="H8148" s="2" t="s">
        <v>37749</v>
      </c>
      <c r="I8148" s="2" t="s">
        <v>4994</v>
      </c>
      <c r="J8148" s="2" t="s">
        <v>4995</v>
      </c>
      <c r="K8148" s="2" t="s">
        <v>15897</v>
      </c>
      <c r="L8148" s="2" t="s">
        <v>37419</v>
      </c>
      <c r="M8148" s="2" t="s">
        <v>37750</v>
      </c>
      <c r="N8148" s="2" t="s">
        <v>37751</v>
      </c>
      <c r="O8148" s="2" t="s">
        <v>869</v>
      </c>
      <c r="P8148" s="2" t="s">
        <v>870</v>
      </c>
    </row>
    <row r="8149" ht="15.75" customHeight="1">
      <c r="H8149" s="2" t="s">
        <v>37752</v>
      </c>
      <c r="I8149" s="2" t="s">
        <v>11561</v>
      </c>
      <c r="J8149" s="2" t="s">
        <v>11562</v>
      </c>
      <c r="K8149" s="2" t="s">
        <v>15801</v>
      </c>
      <c r="L8149" s="2" t="s">
        <v>37419</v>
      </c>
      <c r="M8149" s="2" t="s">
        <v>37753</v>
      </c>
      <c r="N8149" s="2" t="s">
        <v>37754</v>
      </c>
      <c r="O8149" s="2" t="s">
        <v>869</v>
      </c>
      <c r="P8149" s="2" t="s">
        <v>870</v>
      </c>
    </row>
    <row r="8150" ht="15.75" customHeight="1">
      <c r="H8150" s="2" t="s">
        <v>37755</v>
      </c>
      <c r="I8150" s="2" t="s">
        <v>5022</v>
      </c>
      <c r="J8150" s="2" t="s">
        <v>5023</v>
      </c>
      <c r="K8150" s="2" t="s">
        <v>24263</v>
      </c>
      <c r="L8150" s="2" t="s">
        <v>37419</v>
      </c>
      <c r="M8150" s="2" t="s">
        <v>37756</v>
      </c>
      <c r="N8150" s="2" t="s">
        <v>37757</v>
      </c>
      <c r="O8150" s="2" t="s">
        <v>869</v>
      </c>
      <c r="P8150" s="2" t="s">
        <v>870</v>
      </c>
    </row>
    <row r="8151" ht="15.75" customHeight="1">
      <c r="H8151" s="2" t="s">
        <v>37758</v>
      </c>
      <c r="I8151" s="2" t="s">
        <v>5140</v>
      </c>
      <c r="J8151" s="2" t="s">
        <v>5141</v>
      </c>
      <c r="K8151" s="2" t="s">
        <v>37759</v>
      </c>
      <c r="L8151" s="2" t="s">
        <v>37419</v>
      </c>
      <c r="M8151" s="2" t="s">
        <v>37760</v>
      </c>
      <c r="N8151" s="2" t="s">
        <v>37761</v>
      </c>
      <c r="O8151" s="2" t="s">
        <v>869</v>
      </c>
      <c r="P8151" s="2" t="s">
        <v>870</v>
      </c>
    </row>
    <row r="8152" ht="15.75" customHeight="1">
      <c r="F8152" s="2" t="s">
        <v>843</v>
      </c>
      <c r="H8152" s="2" t="s">
        <v>37762</v>
      </c>
      <c r="I8152" s="2" t="s">
        <v>845</v>
      </c>
      <c r="J8152" s="2" t="s">
        <v>846</v>
      </c>
      <c r="K8152" s="2" t="s">
        <v>6419</v>
      </c>
      <c r="L8152" s="2" t="s">
        <v>37419</v>
      </c>
      <c r="M8152" s="2" t="s">
        <v>37763</v>
      </c>
      <c r="N8152" s="2" t="s">
        <v>37764</v>
      </c>
      <c r="O8152" s="2" t="s">
        <v>869</v>
      </c>
      <c r="P8152" s="2" t="s">
        <v>870</v>
      </c>
    </row>
    <row r="8153" ht="15.75" customHeight="1">
      <c r="B8153" s="2" t="s">
        <v>37765</v>
      </c>
      <c r="C8153" s="2" t="s">
        <v>22033</v>
      </c>
      <c r="D8153" s="2" t="s">
        <v>37766</v>
      </c>
      <c r="F8153" s="2" t="s">
        <v>29</v>
      </c>
      <c r="H8153" s="2" t="s">
        <v>37767</v>
      </c>
      <c r="I8153" s="2" t="s">
        <v>31</v>
      </c>
      <c r="J8153" s="2" t="s">
        <v>32</v>
      </c>
      <c r="K8153" s="2" t="s">
        <v>6000</v>
      </c>
      <c r="L8153" s="2" t="s">
        <v>37768</v>
      </c>
      <c r="M8153" s="2" t="s">
        <v>37769</v>
      </c>
      <c r="N8153" s="2" t="s">
        <v>37770</v>
      </c>
      <c r="O8153" s="2" t="s">
        <v>37771</v>
      </c>
      <c r="P8153" s="2" t="s">
        <v>869</v>
      </c>
    </row>
    <row r="8154" ht="15.75" customHeight="1">
      <c r="F8154" s="2" t="s">
        <v>56</v>
      </c>
      <c r="H8154" s="2" t="s">
        <v>37772</v>
      </c>
      <c r="I8154" s="2" t="s">
        <v>58</v>
      </c>
      <c r="J8154" s="2" t="s">
        <v>59</v>
      </c>
      <c r="K8154" s="2" t="s">
        <v>15897</v>
      </c>
      <c r="L8154" s="2" t="s">
        <v>37768</v>
      </c>
      <c r="M8154" s="2" t="s">
        <v>37773</v>
      </c>
      <c r="N8154" s="2" t="s">
        <v>37774</v>
      </c>
      <c r="O8154" s="2" t="s">
        <v>37775</v>
      </c>
      <c r="P8154" s="2" t="s">
        <v>37776</v>
      </c>
    </row>
    <row r="8155" ht="15.75" customHeight="1">
      <c r="H8155" s="2" t="s">
        <v>37777</v>
      </c>
      <c r="I8155" s="2" t="s">
        <v>1387</v>
      </c>
      <c r="J8155" s="2" t="s">
        <v>1388</v>
      </c>
      <c r="K8155" s="2" t="s">
        <v>22104</v>
      </c>
      <c r="L8155" s="2" t="s">
        <v>37768</v>
      </c>
      <c r="M8155" s="2" t="s">
        <v>37778</v>
      </c>
      <c r="N8155" s="2" t="s">
        <v>37779</v>
      </c>
      <c r="O8155" s="2" t="s">
        <v>37780</v>
      </c>
      <c r="P8155" s="2" t="s">
        <v>37781</v>
      </c>
    </row>
    <row r="8156" ht="15.75" customHeight="1">
      <c r="F8156" s="2" t="s">
        <v>74</v>
      </c>
      <c r="H8156" s="2" t="s">
        <v>37782</v>
      </c>
      <c r="I8156" s="2" t="s">
        <v>176</v>
      </c>
      <c r="J8156" s="2" t="s">
        <v>177</v>
      </c>
      <c r="K8156" s="2" t="s">
        <v>6015</v>
      </c>
      <c r="L8156" s="2" t="s">
        <v>37768</v>
      </c>
      <c r="M8156" s="2" t="s">
        <v>37783</v>
      </c>
      <c r="N8156" s="2" t="s">
        <v>37784</v>
      </c>
      <c r="O8156" s="2" t="s">
        <v>37785</v>
      </c>
      <c r="P8156" s="2" t="s">
        <v>869</v>
      </c>
    </row>
    <row r="8157" ht="15.75" customHeight="1">
      <c r="H8157" s="2" t="s">
        <v>37786</v>
      </c>
      <c r="I8157" s="2" t="s">
        <v>193</v>
      </c>
      <c r="J8157" s="2" t="s">
        <v>194</v>
      </c>
      <c r="K8157" s="2" t="s">
        <v>31583</v>
      </c>
      <c r="L8157" s="2" t="s">
        <v>37768</v>
      </c>
      <c r="M8157" s="2" t="s">
        <v>37787</v>
      </c>
      <c r="N8157" s="2" t="s">
        <v>37788</v>
      </c>
      <c r="O8157" s="2" t="s">
        <v>37789</v>
      </c>
      <c r="P8157" s="2" t="s">
        <v>869</v>
      </c>
    </row>
    <row r="8158" ht="15.75" customHeight="1">
      <c r="F8158" s="2" t="s">
        <v>284</v>
      </c>
      <c r="H8158" s="2" t="s">
        <v>37790</v>
      </c>
      <c r="I8158" s="2" t="s">
        <v>18041</v>
      </c>
      <c r="J8158" s="2" t="s">
        <v>18042</v>
      </c>
      <c r="K8158" s="2" t="s">
        <v>15779</v>
      </c>
      <c r="L8158" s="2" t="s">
        <v>37768</v>
      </c>
      <c r="M8158" s="2" t="s">
        <v>37791</v>
      </c>
      <c r="N8158" s="2" t="s">
        <v>37792</v>
      </c>
      <c r="O8158" s="2" t="s">
        <v>37793</v>
      </c>
      <c r="P8158" s="2" t="s">
        <v>869</v>
      </c>
    </row>
    <row r="8159" ht="15.75" customHeight="1">
      <c r="H8159" s="2" t="s">
        <v>37794</v>
      </c>
      <c r="I8159" s="2" t="s">
        <v>24171</v>
      </c>
      <c r="J8159" s="2" t="s">
        <v>24172</v>
      </c>
      <c r="K8159" s="2" t="s">
        <v>24173</v>
      </c>
      <c r="L8159" s="2" t="s">
        <v>37768</v>
      </c>
      <c r="M8159" s="2" t="s">
        <v>37795</v>
      </c>
      <c r="N8159" s="2" t="s">
        <v>37796</v>
      </c>
      <c r="O8159" s="2" t="s">
        <v>37797</v>
      </c>
      <c r="P8159" s="2" t="s">
        <v>37798</v>
      </c>
    </row>
    <row r="8160" ht="15.75" customHeight="1">
      <c r="H8160" s="2" t="s">
        <v>37799</v>
      </c>
      <c r="I8160" s="2" t="s">
        <v>335</v>
      </c>
      <c r="J8160" s="2" t="s">
        <v>336</v>
      </c>
      <c r="K8160" s="2" t="s">
        <v>15823</v>
      </c>
      <c r="L8160" s="2" t="s">
        <v>37768</v>
      </c>
      <c r="M8160" s="2" t="s">
        <v>37800</v>
      </c>
      <c r="N8160" s="2" t="s">
        <v>37801</v>
      </c>
      <c r="O8160" s="2" t="s">
        <v>37802</v>
      </c>
      <c r="P8160" s="2" t="s">
        <v>869</v>
      </c>
    </row>
    <row r="8161" ht="15.75" customHeight="1">
      <c r="H8161" s="2" t="s">
        <v>37803</v>
      </c>
      <c r="I8161" s="2" t="s">
        <v>376</v>
      </c>
      <c r="J8161" s="2" t="s">
        <v>377</v>
      </c>
      <c r="K8161" s="2" t="s">
        <v>24004</v>
      </c>
      <c r="L8161" s="2" t="s">
        <v>37768</v>
      </c>
      <c r="M8161" s="2" t="s">
        <v>37804</v>
      </c>
      <c r="N8161" s="2" t="s">
        <v>37805</v>
      </c>
      <c r="O8161" s="2" t="s">
        <v>37806</v>
      </c>
      <c r="P8161" s="2" t="s">
        <v>869</v>
      </c>
    </row>
    <row r="8162" ht="15.75" customHeight="1">
      <c r="H8162" s="2" t="s">
        <v>37807</v>
      </c>
      <c r="I8162" s="2" t="s">
        <v>449</v>
      </c>
      <c r="J8162" s="2" t="s">
        <v>450</v>
      </c>
      <c r="K8162" s="2" t="s">
        <v>6037</v>
      </c>
      <c r="L8162" s="2" t="s">
        <v>37768</v>
      </c>
      <c r="M8162" s="2" t="s">
        <v>37808</v>
      </c>
      <c r="N8162" s="2" t="s">
        <v>37809</v>
      </c>
      <c r="O8162" s="2" t="s">
        <v>37810</v>
      </c>
      <c r="P8162" s="2" t="s">
        <v>37811</v>
      </c>
    </row>
    <row r="8163" ht="15.75" customHeight="1">
      <c r="H8163" s="2" t="s">
        <v>37812</v>
      </c>
      <c r="I8163" s="2" t="s">
        <v>19958</v>
      </c>
      <c r="J8163" s="2" t="s">
        <v>19959</v>
      </c>
      <c r="K8163" s="2" t="s">
        <v>37813</v>
      </c>
      <c r="L8163" s="2" t="s">
        <v>37768</v>
      </c>
      <c r="M8163" s="2" t="s">
        <v>37814</v>
      </c>
      <c r="N8163" s="2" t="s">
        <v>37815</v>
      </c>
      <c r="O8163" s="2" t="s">
        <v>37816</v>
      </c>
      <c r="P8163" s="2" t="s">
        <v>869</v>
      </c>
    </row>
    <row r="8164" ht="15.75" customHeight="1">
      <c r="H8164" s="2" t="s">
        <v>37817</v>
      </c>
      <c r="I8164" s="2" t="s">
        <v>17156</v>
      </c>
      <c r="J8164" s="2" t="s">
        <v>17157</v>
      </c>
      <c r="K8164" s="2" t="s">
        <v>32719</v>
      </c>
      <c r="L8164" s="2" t="s">
        <v>37768</v>
      </c>
      <c r="M8164" s="2" t="s">
        <v>37818</v>
      </c>
      <c r="N8164" s="2" t="s">
        <v>37819</v>
      </c>
      <c r="O8164" s="2" t="s">
        <v>37820</v>
      </c>
      <c r="P8164" s="2" t="s">
        <v>869</v>
      </c>
    </row>
    <row r="8165" ht="15.75" customHeight="1">
      <c r="F8165" s="2" t="s">
        <v>2902</v>
      </c>
      <c r="H8165" s="2" t="s">
        <v>37821</v>
      </c>
      <c r="I8165" s="2" t="s">
        <v>8512</v>
      </c>
      <c r="J8165" s="2" t="s">
        <v>8513</v>
      </c>
      <c r="K8165" s="2" t="s">
        <v>24561</v>
      </c>
      <c r="L8165" s="2" t="s">
        <v>37768</v>
      </c>
      <c r="M8165" s="2" t="s">
        <v>37822</v>
      </c>
      <c r="N8165" s="2" t="s">
        <v>37823</v>
      </c>
      <c r="O8165" s="2" t="s">
        <v>37824</v>
      </c>
      <c r="P8165" s="2" t="s">
        <v>37825</v>
      </c>
    </row>
    <row r="8166" ht="15.75" customHeight="1">
      <c r="H8166" s="2" t="s">
        <v>37826</v>
      </c>
      <c r="I8166" s="2" t="s">
        <v>2925</v>
      </c>
      <c r="J8166" s="2" t="s">
        <v>2926</v>
      </c>
      <c r="K8166" s="2" t="s">
        <v>15890</v>
      </c>
      <c r="L8166" s="2" t="s">
        <v>37768</v>
      </c>
      <c r="M8166" s="2" t="s">
        <v>37827</v>
      </c>
      <c r="N8166" s="2" t="s">
        <v>37828</v>
      </c>
      <c r="O8166" s="2" t="s">
        <v>37829</v>
      </c>
      <c r="P8166" s="2" t="s">
        <v>869</v>
      </c>
    </row>
    <row r="8167" ht="15.75" customHeight="1">
      <c r="F8167" s="2" t="s">
        <v>677</v>
      </c>
      <c r="H8167" s="2" t="s">
        <v>37830</v>
      </c>
      <c r="I8167" s="2" t="s">
        <v>10041</v>
      </c>
      <c r="J8167" s="2" t="s">
        <v>10042</v>
      </c>
      <c r="K8167" s="2" t="s">
        <v>6019</v>
      </c>
      <c r="L8167" s="2" t="s">
        <v>37768</v>
      </c>
      <c r="M8167" s="2" t="s">
        <v>37831</v>
      </c>
      <c r="N8167" s="2" t="s">
        <v>37832</v>
      </c>
      <c r="O8167" s="2" t="s">
        <v>37833</v>
      </c>
      <c r="P8167" s="2" t="s">
        <v>37834</v>
      </c>
    </row>
    <row r="8168" ht="15.75" customHeight="1">
      <c r="H8168" s="2" t="s">
        <v>37835</v>
      </c>
      <c r="I8168" s="2" t="s">
        <v>10141</v>
      </c>
      <c r="J8168" s="2" t="s">
        <v>10142</v>
      </c>
      <c r="K8168" s="2" t="s">
        <v>34127</v>
      </c>
      <c r="L8168" s="2" t="s">
        <v>37768</v>
      </c>
      <c r="M8168" s="2" t="s">
        <v>37836</v>
      </c>
      <c r="N8168" s="2" t="s">
        <v>37837</v>
      </c>
      <c r="O8168" s="2" t="s">
        <v>37838</v>
      </c>
      <c r="P8168" s="2" t="s">
        <v>869</v>
      </c>
    </row>
    <row r="8169" ht="15.75" customHeight="1">
      <c r="F8169" s="2" t="s">
        <v>703</v>
      </c>
      <c r="H8169" s="2" t="s">
        <v>37839</v>
      </c>
      <c r="I8169" s="2" t="s">
        <v>705</v>
      </c>
      <c r="J8169" s="2" t="s">
        <v>706</v>
      </c>
      <c r="K8169" s="2" t="s">
        <v>6025</v>
      </c>
      <c r="L8169" s="2" t="s">
        <v>37768</v>
      </c>
      <c r="M8169" s="2" t="s">
        <v>37840</v>
      </c>
      <c r="N8169" s="2" t="s">
        <v>37841</v>
      </c>
      <c r="O8169" s="2" t="s">
        <v>37842</v>
      </c>
      <c r="P8169" s="2" t="s">
        <v>869</v>
      </c>
    </row>
    <row r="8170" ht="15.75" customHeight="1">
      <c r="F8170" s="2" t="s">
        <v>728</v>
      </c>
      <c r="H8170" s="2" t="s">
        <v>37843</v>
      </c>
      <c r="I8170" s="2" t="s">
        <v>24118</v>
      </c>
      <c r="J8170" s="2" t="s">
        <v>24119</v>
      </c>
      <c r="K8170" s="2" t="s">
        <v>24120</v>
      </c>
      <c r="L8170" s="2" t="s">
        <v>37768</v>
      </c>
      <c r="M8170" s="2" t="s">
        <v>37844</v>
      </c>
      <c r="N8170" s="2" t="s">
        <v>37845</v>
      </c>
      <c r="O8170" s="2" t="s">
        <v>37846</v>
      </c>
      <c r="P8170" s="2" t="s">
        <v>37847</v>
      </c>
    </row>
    <row r="8171" ht="15.75" customHeight="1">
      <c r="F8171" s="2" t="s">
        <v>4491</v>
      </c>
      <c r="H8171" s="2" t="s">
        <v>37848</v>
      </c>
      <c r="I8171" s="2" t="s">
        <v>10712</v>
      </c>
      <c r="J8171" s="2" t="s">
        <v>10713</v>
      </c>
      <c r="K8171" s="2" t="s">
        <v>15801</v>
      </c>
      <c r="L8171" s="2" t="s">
        <v>37768</v>
      </c>
      <c r="M8171" s="2" t="s">
        <v>37849</v>
      </c>
      <c r="N8171" s="2" t="s">
        <v>37850</v>
      </c>
      <c r="O8171" s="2" t="s">
        <v>37851</v>
      </c>
      <c r="P8171" s="2" t="s">
        <v>869</v>
      </c>
    </row>
    <row r="8172" ht="15.75" customHeight="1">
      <c r="H8172" s="2" t="s">
        <v>37852</v>
      </c>
      <c r="I8172" s="2" t="s">
        <v>10786</v>
      </c>
      <c r="J8172" s="2" t="s">
        <v>10787</v>
      </c>
      <c r="K8172" s="2" t="s">
        <v>22055</v>
      </c>
      <c r="L8172" s="2" t="s">
        <v>37768</v>
      </c>
      <c r="M8172" s="2" t="s">
        <v>37853</v>
      </c>
      <c r="N8172" s="2" t="s">
        <v>37854</v>
      </c>
      <c r="O8172" s="2" t="s">
        <v>37855</v>
      </c>
      <c r="P8172" s="2" t="s">
        <v>37856</v>
      </c>
    </row>
    <row r="8173" ht="15.75" customHeight="1">
      <c r="F8173" s="2" t="s">
        <v>4825</v>
      </c>
      <c r="H8173" s="2" t="s">
        <v>37857</v>
      </c>
      <c r="I8173" s="2" t="s">
        <v>4832</v>
      </c>
      <c r="J8173" s="2" t="s">
        <v>4833</v>
      </c>
      <c r="K8173" s="2" t="s">
        <v>25009</v>
      </c>
      <c r="L8173" s="2" t="s">
        <v>37768</v>
      </c>
      <c r="M8173" s="2" t="s">
        <v>37858</v>
      </c>
      <c r="N8173" s="2" t="s">
        <v>37859</v>
      </c>
      <c r="O8173" s="2" t="s">
        <v>37860</v>
      </c>
      <c r="P8173" s="2" t="s">
        <v>869</v>
      </c>
    </row>
    <row r="8174" ht="15.75" customHeight="1">
      <c r="H8174" s="2" t="s">
        <v>37861</v>
      </c>
      <c r="I8174" s="2" t="s">
        <v>1215</v>
      </c>
      <c r="J8174" s="2" t="s">
        <v>1216</v>
      </c>
      <c r="K8174" s="2" t="s">
        <v>15796</v>
      </c>
      <c r="L8174" s="2" t="s">
        <v>37768</v>
      </c>
      <c r="M8174" s="2" t="s">
        <v>37862</v>
      </c>
      <c r="N8174" s="2" t="s">
        <v>37863</v>
      </c>
      <c r="O8174" s="2" t="s">
        <v>37864</v>
      </c>
      <c r="P8174" s="2" t="s">
        <v>869</v>
      </c>
    </row>
    <row r="8175" ht="15.75" customHeight="1">
      <c r="H8175" s="2" t="s">
        <v>37865</v>
      </c>
      <c r="I8175" s="2" t="s">
        <v>37866</v>
      </c>
      <c r="J8175" s="2" t="s">
        <v>37867</v>
      </c>
      <c r="K8175" s="2" t="s">
        <v>6054</v>
      </c>
      <c r="L8175" s="2" t="s">
        <v>37768</v>
      </c>
      <c r="M8175" s="2" t="s">
        <v>37868</v>
      </c>
      <c r="N8175" s="2" t="s">
        <v>37869</v>
      </c>
      <c r="O8175" s="2" t="s">
        <v>37870</v>
      </c>
      <c r="P8175" s="2" t="s">
        <v>869</v>
      </c>
    </row>
    <row r="8176" ht="15.75" customHeight="1">
      <c r="B8176" s="2" t="s">
        <v>37871</v>
      </c>
      <c r="C8176" s="2" t="s">
        <v>1313</v>
      </c>
      <c r="D8176" s="2" t="s">
        <v>37872</v>
      </c>
      <c r="F8176" s="2" t="s">
        <v>74</v>
      </c>
      <c r="H8176" s="2" t="s">
        <v>37873</v>
      </c>
      <c r="I8176" s="2" t="s">
        <v>15722</v>
      </c>
      <c r="J8176" s="2" t="s">
        <v>15723</v>
      </c>
      <c r="K8176" s="2" t="s">
        <v>1175</v>
      </c>
      <c r="L8176" s="2" t="s">
        <v>37874</v>
      </c>
      <c r="M8176" s="2" t="s">
        <v>37875</v>
      </c>
      <c r="N8176" s="2" t="s">
        <v>37876</v>
      </c>
      <c r="O8176" s="2" t="s">
        <v>869</v>
      </c>
      <c r="P8176" s="2" t="s">
        <v>870</v>
      </c>
    </row>
    <row r="8177" ht="15.75" customHeight="1">
      <c r="H8177" s="2" t="s">
        <v>37877</v>
      </c>
      <c r="I8177" s="2" t="s">
        <v>37878</v>
      </c>
      <c r="J8177" s="2" t="s">
        <v>37879</v>
      </c>
      <c r="K8177" s="2" t="s">
        <v>1229</v>
      </c>
      <c r="L8177" s="2" t="s">
        <v>37880</v>
      </c>
      <c r="M8177" s="2" t="s">
        <v>37881</v>
      </c>
      <c r="N8177" s="2" t="s">
        <v>37882</v>
      </c>
      <c r="O8177" s="2" t="s">
        <v>869</v>
      </c>
      <c r="P8177" s="2" t="s">
        <v>870</v>
      </c>
    </row>
    <row r="8178" ht="15.75" customHeight="1">
      <c r="F8178" s="2" t="s">
        <v>284</v>
      </c>
      <c r="H8178" s="2" t="s">
        <v>37883</v>
      </c>
      <c r="I8178" s="2" t="s">
        <v>286</v>
      </c>
      <c r="J8178" s="2" t="s">
        <v>287</v>
      </c>
      <c r="K8178" s="2" t="s">
        <v>1117</v>
      </c>
      <c r="L8178" s="2" t="s">
        <v>37880</v>
      </c>
      <c r="M8178" s="2" t="s">
        <v>37884</v>
      </c>
      <c r="N8178" s="2" t="s">
        <v>37885</v>
      </c>
      <c r="O8178" s="2" t="s">
        <v>869</v>
      </c>
      <c r="P8178" s="2" t="s">
        <v>870</v>
      </c>
    </row>
    <row r="8179" ht="15.75" customHeight="1">
      <c r="H8179" s="2" t="s">
        <v>37886</v>
      </c>
      <c r="I8179" s="2" t="s">
        <v>13211</v>
      </c>
      <c r="J8179" s="2" t="s">
        <v>13212</v>
      </c>
      <c r="L8179" s="2" t="s">
        <v>37880</v>
      </c>
      <c r="M8179" s="2" t="s">
        <v>37887</v>
      </c>
      <c r="N8179" s="2" t="s">
        <v>37888</v>
      </c>
      <c r="O8179" s="2" t="s">
        <v>869</v>
      </c>
      <c r="P8179" s="2" t="s">
        <v>870</v>
      </c>
    </row>
    <row r="8180" ht="15.75" customHeight="1">
      <c r="H8180" s="2" t="s">
        <v>37889</v>
      </c>
      <c r="I8180" s="2" t="s">
        <v>31161</v>
      </c>
      <c r="J8180" s="2" t="s">
        <v>31162</v>
      </c>
      <c r="K8180" s="2" t="s">
        <v>918</v>
      </c>
      <c r="L8180" s="2" t="s">
        <v>37880</v>
      </c>
      <c r="M8180" s="2" t="s">
        <v>37890</v>
      </c>
      <c r="N8180" s="2" t="s">
        <v>37891</v>
      </c>
      <c r="O8180" s="2" t="s">
        <v>869</v>
      </c>
      <c r="P8180" s="2" t="s">
        <v>870</v>
      </c>
    </row>
    <row r="8181" ht="15.75" customHeight="1">
      <c r="H8181" s="2" t="s">
        <v>37892</v>
      </c>
      <c r="I8181" s="2" t="s">
        <v>310</v>
      </c>
      <c r="J8181" s="2" t="s">
        <v>311</v>
      </c>
      <c r="K8181" s="2" t="s">
        <v>1567</v>
      </c>
      <c r="L8181" s="2" t="s">
        <v>37880</v>
      </c>
      <c r="M8181" s="2" t="s">
        <v>37893</v>
      </c>
      <c r="N8181" s="2" t="s">
        <v>37894</v>
      </c>
      <c r="O8181" s="2" t="s">
        <v>869</v>
      </c>
      <c r="P8181" s="2" t="s">
        <v>870</v>
      </c>
    </row>
    <row r="8182" ht="15.75" customHeight="1">
      <c r="H8182" s="2" t="s">
        <v>37895</v>
      </c>
      <c r="I8182" s="2" t="s">
        <v>326</v>
      </c>
      <c r="J8182" s="2" t="s">
        <v>327</v>
      </c>
      <c r="K8182" s="2" t="s">
        <v>1331</v>
      </c>
      <c r="L8182" s="2" t="s">
        <v>37880</v>
      </c>
      <c r="M8182" s="2" t="s">
        <v>37896</v>
      </c>
      <c r="N8182" s="2" t="s">
        <v>37897</v>
      </c>
      <c r="O8182" s="2" t="s">
        <v>869</v>
      </c>
      <c r="P8182" s="2" t="s">
        <v>870</v>
      </c>
    </row>
    <row r="8183" ht="15.75" customHeight="1">
      <c r="H8183" s="2" t="s">
        <v>37898</v>
      </c>
      <c r="I8183" s="2" t="s">
        <v>449</v>
      </c>
      <c r="J8183" s="2" t="s">
        <v>450</v>
      </c>
      <c r="K8183" s="2" t="s">
        <v>5500</v>
      </c>
      <c r="L8183" s="2" t="s">
        <v>37880</v>
      </c>
      <c r="M8183" s="2" t="s">
        <v>37899</v>
      </c>
      <c r="N8183" s="2" t="s">
        <v>37900</v>
      </c>
      <c r="O8183" s="2" t="s">
        <v>869</v>
      </c>
      <c r="P8183" s="2" t="s">
        <v>870</v>
      </c>
    </row>
    <row r="8184" ht="15.75" customHeight="1">
      <c r="H8184" s="2" t="s">
        <v>37901</v>
      </c>
      <c r="I8184" s="2" t="s">
        <v>526</v>
      </c>
      <c r="J8184" s="2" t="s">
        <v>527</v>
      </c>
      <c r="K8184" s="2" t="s">
        <v>2316</v>
      </c>
      <c r="L8184" s="2" t="s">
        <v>37880</v>
      </c>
      <c r="M8184" s="2" t="s">
        <v>37902</v>
      </c>
      <c r="N8184" s="2" t="s">
        <v>37903</v>
      </c>
      <c r="O8184" s="2" t="s">
        <v>869</v>
      </c>
      <c r="P8184" s="2" t="s">
        <v>870</v>
      </c>
    </row>
    <row r="8185" ht="15.75" customHeight="1">
      <c r="F8185" s="2" t="s">
        <v>703</v>
      </c>
      <c r="H8185" s="2" t="s">
        <v>37904</v>
      </c>
      <c r="I8185" s="2" t="s">
        <v>713</v>
      </c>
      <c r="J8185" s="2" t="s">
        <v>714</v>
      </c>
      <c r="K8185" s="2" t="s">
        <v>12995</v>
      </c>
      <c r="L8185" s="2" t="s">
        <v>37880</v>
      </c>
      <c r="M8185" s="2" t="s">
        <v>37905</v>
      </c>
      <c r="N8185" s="2" t="s">
        <v>37906</v>
      </c>
      <c r="O8185" s="2" t="s">
        <v>869</v>
      </c>
      <c r="P8185" s="2" t="s">
        <v>870</v>
      </c>
    </row>
    <row r="8186" ht="15.75" customHeight="1">
      <c r="F8186" s="2" t="s">
        <v>800</v>
      </c>
      <c r="H8186" s="2" t="s">
        <v>37907</v>
      </c>
      <c r="I8186" s="2" t="s">
        <v>5986</v>
      </c>
      <c r="J8186" s="2" t="s">
        <v>5987</v>
      </c>
      <c r="K8186" s="2" t="s">
        <v>5988</v>
      </c>
      <c r="L8186" s="2" t="s">
        <v>37880</v>
      </c>
      <c r="M8186" s="2" t="s">
        <v>37908</v>
      </c>
      <c r="N8186" s="2" t="s">
        <v>37909</v>
      </c>
      <c r="O8186" s="2" t="s">
        <v>869</v>
      </c>
      <c r="P8186" s="2" t="s">
        <v>870</v>
      </c>
    </row>
    <row r="8187" ht="15.75" customHeight="1">
      <c r="B8187" s="2" t="s">
        <v>37910</v>
      </c>
      <c r="C8187" s="2" t="s">
        <v>1975</v>
      </c>
      <c r="D8187" s="2" t="s">
        <v>37911</v>
      </c>
      <c r="F8187" s="2" t="s">
        <v>19</v>
      </c>
      <c r="H8187" s="2" t="s">
        <v>37912</v>
      </c>
      <c r="I8187" s="2" t="s">
        <v>21</v>
      </c>
      <c r="J8187" s="2" t="s">
        <v>22</v>
      </c>
      <c r="K8187" s="2" t="s">
        <v>37913</v>
      </c>
      <c r="L8187" s="2" t="s">
        <v>37914</v>
      </c>
      <c r="M8187" s="2" t="s">
        <v>37915</v>
      </c>
      <c r="N8187" s="2" t="s">
        <v>37916</v>
      </c>
      <c r="O8187" s="2" t="s">
        <v>37917</v>
      </c>
      <c r="P8187" s="2" t="s">
        <v>869</v>
      </c>
    </row>
    <row r="8188" ht="15.75" customHeight="1">
      <c r="F8188" s="2" t="s">
        <v>29</v>
      </c>
      <c r="H8188" s="2" t="s">
        <v>37918</v>
      </c>
      <c r="I8188" s="2" t="s">
        <v>37919</v>
      </c>
      <c r="J8188" s="2" t="s">
        <v>37920</v>
      </c>
      <c r="K8188" s="2" t="s">
        <v>37921</v>
      </c>
      <c r="L8188" s="2" t="s">
        <v>37914</v>
      </c>
      <c r="M8188" s="2" t="s">
        <v>37922</v>
      </c>
      <c r="N8188" s="2" t="s">
        <v>37923</v>
      </c>
      <c r="O8188" s="2" t="s">
        <v>37924</v>
      </c>
      <c r="P8188" s="2" t="s">
        <v>869</v>
      </c>
    </row>
    <row r="8189" ht="15.75" customHeight="1">
      <c r="H8189" s="2" t="s">
        <v>37925</v>
      </c>
      <c r="I8189" s="2" t="s">
        <v>31</v>
      </c>
      <c r="J8189" s="2" t="s">
        <v>32</v>
      </c>
      <c r="K8189" s="2" t="s">
        <v>37926</v>
      </c>
      <c r="L8189" s="2" t="s">
        <v>37914</v>
      </c>
      <c r="M8189" s="2" t="s">
        <v>37927</v>
      </c>
      <c r="N8189" s="2" t="s">
        <v>37928</v>
      </c>
      <c r="O8189" s="2" t="s">
        <v>37929</v>
      </c>
      <c r="P8189" s="2" t="s">
        <v>869</v>
      </c>
    </row>
    <row r="8190" ht="15.75" customHeight="1">
      <c r="F8190" s="2" t="s">
        <v>39</v>
      </c>
      <c r="H8190" s="2" t="s">
        <v>37930</v>
      </c>
      <c r="I8190" s="2" t="s">
        <v>41</v>
      </c>
      <c r="J8190" s="2" t="s">
        <v>42</v>
      </c>
      <c r="K8190" s="2" t="s">
        <v>37931</v>
      </c>
      <c r="L8190" s="2" t="s">
        <v>37914</v>
      </c>
      <c r="M8190" s="2" t="s">
        <v>25398</v>
      </c>
      <c r="N8190" s="2" t="s">
        <v>37932</v>
      </c>
      <c r="O8190" s="2" t="s">
        <v>37933</v>
      </c>
      <c r="P8190" s="2" t="s">
        <v>869</v>
      </c>
    </row>
    <row r="8191" ht="15.75" customHeight="1">
      <c r="H8191" s="2" t="s">
        <v>37934</v>
      </c>
      <c r="I8191" s="2" t="s">
        <v>12490</v>
      </c>
      <c r="J8191" s="2" t="s">
        <v>12491</v>
      </c>
      <c r="K8191" s="2" t="s">
        <v>37935</v>
      </c>
      <c r="L8191" s="2" t="s">
        <v>37914</v>
      </c>
      <c r="M8191" s="2" t="s">
        <v>37936</v>
      </c>
      <c r="N8191" s="2" t="s">
        <v>37937</v>
      </c>
      <c r="O8191" s="2" t="s">
        <v>37938</v>
      </c>
      <c r="P8191" s="2" t="s">
        <v>869</v>
      </c>
    </row>
    <row r="8192" ht="15.75" customHeight="1">
      <c r="F8192" s="2" t="s">
        <v>74</v>
      </c>
      <c r="H8192" s="2" t="s">
        <v>37939</v>
      </c>
      <c r="I8192" s="2" t="s">
        <v>76</v>
      </c>
      <c r="J8192" s="2" t="s">
        <v>77</v>
      </c>
      <c r="K8192" s="2" t="s">
        <v>37940</v>
      </c>
      <c r="L8192" s="2" t="s">
        <v>37941</v>
      </c>
      <c r="M8192" s="2" t="s">
        <v>37942</v>
      </c>
      <c r="N8192" s="2" t="s">
        <v>37943</v>
      </c>
      <c r="O8192" s="2" t="s">
        <v>37944</v>
      </c>
      <c r="P8192" s="2" t="s">
        <v>869</v>
      </c>
    </row>
    <row r="8193" ht="15.75" customHeight="1">
      <c r="H8193" s="2" t="s">
        <v>37945</v>
      </c>
      <c r="I8193" s="2" t="s">
        <v>11923</v>
      </c>
      <c r="J8193" s="2" t="s">
        <v>11924</v>
      </c>
      <c r="K8193" s="2" t="s">
        <v>37946</v>
      </c>
      <c r="L8193" s="2" t="s">
        <v>37914</v>
      </c>
      <c r="M8193" s="2" t="s">
        <v>37947</v>
      </c>
      <c r="N8193" s="2" t="s">
        <v>37948</v>
      </c>
      <c r="O8193" s="2" t="s">
        <v>37949</v>
      </c>
      <c r="P8193" s="2" t="s">
        <v>869</v>
      </c>
    </row>
    <row r="8194" ht="15.75" customHeight="1">
      <c r="H8194" s="2" t="s">
        <v>37950</v>
      </c>
      <c r="I8194" s="2" t="s">
        <v>167</v>
      </c>
      <c r="J8194" s="2" t="s">
        <v>168</v>
      </c>
      <c r="K8194" s="2" t="s">
        <v>37951</v>
      </c>
      <c r="L8194" s="2" t="s">
        <v>37914</v>
      </c>
      <c r="M8194" s="2" t="s">
        <v>37952</v>
      </c>
      <c r="N8194" s="2" t="s">
        <v>37953</v>
      </c>
      <c r="O8194" s="2" t="s">
        <v>37954</v>
      </c>
      <c r="P8194" s="2" t="s">
        <v>869</v>
      </c>
    </row>
    <row r="8195" ht="15.75" customHeight="1">
      <c r="H8195" s="2" t="s">
        <v>37955</v>
      </c>
      <c r="I8195" s="2" t="s">
        <v>2262</v>
      </c>
      <c r="J8195" s="2" t="s">
        <v>2263</v>
      </c>
      <c r="K8195" s="2" t="s">
        <v>37956</v>
      </c>
      <c r="L8195" s="2" t="s">
        <v>37914</v>
      </c>
      <c r="M8195" s="2" t="s">
        <v>37957</v>
      </c>
      <c r="N8195" s="2" t="s">
        <v>37958</v>
      </c>
      <c r="O8195" s="2" t="s">
        <v>37959</v>
      </c>
      <c r="P8195" s="2" t="s">
        <v>869</v>
      </c>
    </row>
    <row r="8196" ht="15.75" customHeight="1">
      <c r="H8196" s="2" t="s">
        <v>37960</v>
      </c>
      <c r="I8196" s="2" t="s">
        <v>176</v>
      </c>
      <c r="J8196" s="2" t="s">
        <v>177</v>
      </c>
      <c r="K8196" s="2" t="s">
        <v>37961</v>
      </c>
      <c r="L8196" s="2" t="s">
        <v>37962</v>
      </c>
      <c r="M8196" s="2" t="s">
        <v>37963</v>
      </c>
      <c r="N8196" s="2" t="s">
        <v>37964</v>
      </c>
      <c r="O8196" s="2" t="s">
        <v>37965</v>
      </c>
      <c r="P8196" s="2" t="s">
        <v>869</v>
      </c>
    </row>
    <row r="8197" ht="15.75" customHeight="1">
      <c r="H8197" s="2" t="s">
        <v>37966</v>
      </c>
      <c r="I8197" s="2" t="s">
        <v>1753</v>
      </c>
      <c r="J8197" s="2" t="s">
        <v>1754</v>
      </c>
      <c r="K8197" s="2" t="s">
        <v>37967</v>
      </c>
      <c r="L8197" s="2" t="s">
        <v>37914</v>
      </c>
      <c r="M8197" s="2" t="s">
        <v>37968</v>
      </c>
      <c r="N8197" s="2" t="s">
        <v>37969</v>
      </c>
      <c r="O8197" s="2" t="s">
        <v>37970</v>
      </c>
      <c r="P8197" s="2" t="s">
        <v>869</v>
      </c>
    </row>
    <row r="8198" ht="15.75" customHeight="1">
      <c r="H8198" s="2" t="s">
        <v>37971</v>
      </c>
      <c r="I8198" s="2" t="s">
        <v>5346</v>
      </c>
      <c r="J8198" s="2" t="s">
        <v>5347</v>
      </c>
      <c r="K8198" s="2" t="s">
        <v>37972</v>
      </c>
      <c r="L8198" s="2" t="s">
        <v>37973</v>
      </c>
      <c r="M8198" s="2" t="s">
        <v>37974</v>
      </c>
      <c r="N8198" s="2" t="s">
        <v>37975</v>
      </c>
      <c r="O8198" s="2" t="s">
        <v>37976</v>
      </c>
      <c r="P8198" s="2" t="s">
        <v>869</v>
      </c>
    </row>
    <row r="8199" ht="15.75" customHeight="1">
      <c r="H8199" s="2" t="s">
        <v>37977</v>
      </c>
      <c r="I8199" s="2" t="s">
        <v>1766</v>
      </c>
      <c r="J8199" s="2" t="s">
        <v>1767</v>
      </c>
      <c r="K8199" s="2" t="s">
        <v>37978</v>
      </c>
      <c r="L8199" s="2" t="s">
        <v>37914</v>
      </c>
      <c r="M8199" s="2" t="s">
        <v>37979</v>
      </c>
      <c r="N8199" s="2" t="s">
        <v>37980</v>
      </c>
      <c r="O8199" s="2" t="s">
        <v>37981</v>
      </c>
      <c r="P8199" s="2" t="s">
        <v>869</v>
      </c>
    </row>
    <row r="8200" ht="15.75" customHeight="1">
      <c r="F8200" s="2" t="s">
        <v>265</v>
      </c>
      <c r="H8200" s="2" t="s">
        <v>37982</v>
      </c>
      <c r="I8200" s="2" t="s">
        <v>267</v>
      </c>
      <c r="J8200" s="2" t="s">
        <v>268</v>
      </c>
      <c r="K8200" s="2" t="s">
        <v>37983</v>
      </c>
      <c r="L8200" s="2" t="s">
        <v>37914</v>
      </c>
      <c r="M8200" s="2" t="s">
        <v>37984</v>
      </c>
      <c r="N8200" s="2" t="s">
        <v>37985</v>
      </c>
      <c r="O8200" s="2" t="s">
        <v>37986</v>
      </c>
      <c r="P8200" s="2" t="s">
        <v>869</v>
      </c>
    </row>
    <row r="8201" ht="15.75" customHeight="1">
      <c r="F8201" s="2" t="s">
        <v>284</v>
      </c>
      <c r="H8201" s="2" t="s">
        <v>37987</v>
      </c>
      <c r="I8201" s="2" t="s">
        <v>12593</v>
      </c>
      <c r="J8201" s="2" t="s">
        <v>12594</v>
      </c>
      <c r="K8201" s="2" t="s">
        <v>37988</v>
      </c>
      <c r="L8201" s="2" t="s">
        <v>37914</v>
      </c>
      <c r="M8201" s="2" t="s">
        <v>37989</v>
      </c>
      <c r="N8201" s="2" t="s">
        <v>37990</v>
      </c>
      <c r="O8201" s="2" t="s">
        <v>37991</v>
      </c>
      <c r="P8201" s="2" t="s">
        <v>37992</v>
      </c>
    </row>
    <row r="8202" ht="15.75" customHeight="1">
      <c r="H8202" s="2" t="s">
        <v>37993</v>
      </c>
      <c r="I8202" s="2" t="s">
        <v>6023</v>
      </c>
      <c r="J8202" s="2" t="s">
        <v>6024</v>
      </c>
      <c r="K8202" s="2" t="s">
        <v>37994</v>
      </c>
      <c r="L8202" s="2" t="s">
        <v>37914</v>
      </c>
      <c r="M8202" s="2" t="s">
        <v>37995</v>
      </c>
      <c r="N8202" s="2" t="s">
        <v>37996</v>
      </c>
      <c r="O8202" s="2" t="s">
        <v>37997</v>
      </c>
      <c r="P8202" s="2" t="s">
        <v>869</v>
      </c>
    </row>
    <row r="8203" ht="15.75" customHeight="1">
      <c r="H8203" s="2" t="s">
        <v>37998</v>
      </c>
      <c r="I8203" s="2" t="s">
        <v>32986</v>
      </c>
      <c r="J8203" s="2" t="s">
        <v>32987</v>
      </c>
      <c r="K8203" s="2" t="s">
        <v>37999</v>
      </c>
      <c r="L8203" s="2" t="s">
        <v>37914</v>
      </c>
      <c r="M8203" s="2" t="s">
        <v>38000</v>
      </c>
      <c r="N8203" s="2" t="s">
        <v>38001</v>
      </c>
      <c r="O8203" s="2" t="s">
        <v>38002</v>
      </c>
      <c r="P8203" s="2" t="s">
        <v>869</v>
      </c>
    </row>
    <row r="8204" ht="15.75" customHeight="1">
      <c r="H8204" s="2" t="s">
        <v>38003</v>
      </c>
      <c r="I8204" s="2" t="s">
        <v>286</v>
      </c>
      <c r="J8204" s="2" t="s">
        <v>287</v>
      </c>
      <c r="K8204" s="2" t="s">
        <v>38004</v>
      </c>
      <c r="L8204" s="2" t="s">
        <v>38005</v>
      </c>
      <c r="M8204" s="2" t="s">
        <v>38006</v>
      </c>
      <c r="N8204" s="2" t="s">
        <v>38007</v>
      </c>
      <c r="O8204" s="2" t="s">
        <v>38008</v>
      </c>
      <c r="P8204" s="2" t="s">
        <v>869</v>
      </c>
    </row>
    <row r="8205" ht="15.75" customHeight="1">
      <c r="H8205" s="2" t="s">
        <v>38009</v>
      </c>
      <c r="I8205" s="2" t="s">
        <v>38010</v>
      </c>
      <c r="J8205" s="2" t="s">
        <v>38011</v>
      </c>
      <c r="K8205" s="2" t="s">
        <v>38012</v>
      </c>
      <c r="L8205" s="2" t="s">
        <v>37914</v>
      </c>
      <c r="M8205" s="2" t="s">
        <v>38013</v>
      </c>
      <c r="N8205" s="2" t="s">
        <v>38014</v>
      </c>
      <c r="O8205" s="2" t="s">
        <v>38015</v>
      </c>
      <c r="P8205" s="2" t="s">
        <v>869</v>
      </c>
    </row>
    <row r="8206" ht="15.75" customHeight="1">
      <c r="H8206" s="2" t="s">
        <v>38016</v>
      </c>
      <c r="I8206" s="2" t="s">
        <v>38017</v>
      </c>
      <c r="J8206" s="2" t="s">
        <v>38018</v>
      </c>
      <c r="K8206" s="2" t="s">
        <v>38019</v>
      </c>
      <c r="L8206" s="2" t="s">
        <v>37914</v>
      </c>
      <c r="M8206" s="2" t="s">
        <v>38020</v>
      </c>
      <c r="N8206" s="2" t="s">
        <v>38021</v>
      </c>
      <c r="O8206" s="2" t="s">
        <v>38022</v>
      </c>
      <c r="P8206" s="2" t="s">
        <v>869</v>
      </c>
    </row>
    <row r="8207" ht="15.75" customHeight="1">
      <c r="H8207" s="2" t="s">
        <v>38023</v>
      </c>
      <c r="I8207" s="2" t="s">
        <v>5889</v>
      </c>
      <c r="J8207" s="2" t="s">
        <v>5890</v>
      </c>
      <c r="K8207" s="2" t="s">
        <v>38024</v>
      </c>
      <c r="L8207" s="2" t="s">
        <v>38025</v>
      </c>
      <c r="M8207" s="2" t="s">
        <v>38026</v>
      </c>
      <c r="N8207" s="2" t="s">
        <v>38027</v>
      </c>
      <c r="O8207" s="2" t="s">
        <v>38028</v>
      </c>
      <c r="P8207" s="2" t="s">
        <v>869</v>
      </c>
    </row>
    <row r="8208" ht="15.75" customHeight="1">
      <c r="H8208" s="2" t="s">
        <v>38029</v>
      </c>
      <c r="I8208" s="2" t="s">
        <v>13211</v>
      </c>
      <c r="J8208" s="2" t="s">
        <v>13212</v>
      </c>
      <c r="K8208" s="2" t="s">
        <v>38030</v>
      </c>
      <c r="L8208" s="2" t="s">
        <v>37914</v>
      </c>
      <c r="M8208" s="2" t="s">
        <v>38031</v>
      </c>
      <c r="N8208" s="2" t="s">
        <v>38032</v>
      </c>
      <c r="O8208" s="2" t="s">
        <v>38033</v>
      </c>
      <c r="P8208" s="2" t="s">
        <v>869</v>
      </c>
    </row>
    <row r="8209" ht="15.75" customHeight="1">
      <c r="H8209" s="2" t="s">
        <v>38034</v>
      </c>
      <c r="I8209" s="2" t="s">
        <v>302</v>
      </c>
      <c r="J8209" s="2" t="s">
        <v>303</v>
      </c>
      <c r="K8209" s="2" t="s">
        <v>38035</v>
      </c>
      <c r="L8209" s="2" t="s">
        <v>37914</v>
      </c>
      <c r="M8209" s="2" t="s">
        <v>38036</v>
      </c>
      <c r="N8209" s="2" t="s">
        <v>38037</v>
      </c>
      <c r="O8209" s="2" t="s">
        <v>38038</v>
      </c>
      <c r="P8209" s="2" t="s">
        <v>869</v>
      </c>
    </row>
    <row r="8210" ht="15.75" customHeight="1">
      <c r="H8210" s="2" t="s">
        <v>38039</v>
      </c>
      <c r="I8210" s="2" t="s">
        <v>12221</v>
      </c>
      <c r="J8210" s="2" t="s">
        <v>12222</v>
      </c>
      <c r="K8210" s="2" t="s">
        <v>38040</v>
      </c>
      <c r="L8210" s="2" t="s">
        <v>37914</v>
      </c>
      <c r="M8210" s="2" t="s">
        <v>38041</v>
      </c>
      <c r="N8210" s="2" t="s">
        <v>38042</v>
      </c>
      <c r="O8210" s="2" t="s">
        <v>38043</v>
      </c>
      <c r="P8210" s="2" t="s">
        <v>869</v>
      </c>
    </row>
    <row r="8211" ht="15.75" customHeight="1">
      <c r="H8211" s="2" t="s">
        <v>38044</v>
      </c>
      <c r="I8211" s="2" t="s">
        <v>2152</v>
      </c>
      <c r="J8211" s="2" t="s">
        <v>2153</v>
      </c>
      <c r="K8211" s="2" t="s">
        <v>38045</v>
      </c>
      <c r="L8211" s="2" t="s">
        <v>37914</v>
      </c>
      <c r="M8211" s="2" t="s">
        <v>38046</v>
      </c>
      <c r="N8211" s="2" t="s">
        <v>38047</v>
      </c>
      <c r="O8211" s="2" t="s">
        <v>38048</v>
      </c>
      <c r="P8211" s="2" t="s">
        <v>869</v>
      </c>
    </row>
    <row r="8212" ht="15.75" customHeight="1">
      <c r="H8212" s="2" t="s">
        <v>38049</v>
      </c>
      <c r="I8212" s="2" t="s">
        <v>310</v>
      </c>
      <c r="J8212" s="2" t="s">
        <v>311</v>
      </c>
      <c r="K8212" s="2" t="s">
        <v>38050</v>
      </c>
      <c r="L8212" s="2" t="s">
        <v>38051</v>
      </c>
      <c r="M8212" s="2" t="s">
        <v>38052</v>
      </c>
      <c r="N8212" s="2" t="s">
        <v>38053</v>
      </c>
      <c r="O8212" s="2" t="s">
        <v>38054</v>
      </c>
      <c r="P8212" s="2" t="s">
        <v>869</v>
      </c>
    </row>
    <row r="8213" ht="15.75" customHeight="1">
      <c r="H8213" s="2" t="s">
        <v>38055</v>
      </c>
      <c r="I8213" s="2" t="s">
        <v>5421</v>
      </c>
      <c r="J8213" s="2" t="s">
        <v>5422</v>
      </c>
      <c r="K8213" s="2" t="s">
        <v>38056</v>
      </c>
      <c r="L8213" s="2" t="s">
        <v>38057</v>
      </c>
      <c r="M8213" s="2" t="s">
        <v>38058</v>
      </c>
      <c r="N8213" s="2" t="s">
        <v>38059</v>
      </c>
      <c r="O8213" s="2" t="s">
        <v>38060</v>
      </c>
      <c r="P8213" s="2" t="s">
        <v>869</v>
      </c>
    </row>
    <row r="8214" ht="15.75" customHeight="1">
      <c r="H8214" s="2" t="s">
        <v>38061</v>
      </c>
      <c r="I8214" s="2" t="s">
        <v>38062</v>
      </c>
      <c r="J8214" s="2" t="s">
        <v>38063</v>
      </c>
      <c r="K8214" s="2" t="s">
        <v>38064</v>
      </c>
      <c r="L8214" s="2" t="s">
        <v>37914</v>
      </c>
      <c r="M8214" s="2" t="s">
        <v>38065</v>
      </c>
      <c r="N8214" s="2" t="s">
        <v>38066</v>
      </c>
      <c r="O8214" s="2" t="s">
        <v>38067</v>
      </c>
      <c r="P8214" s="2" t="s">
        <v>869</v>
      </c>
    </row>
    <row r="8215" ht="15.75" customHeight="1">
      <c r="H8215" s="2" t="s">
        <v>38068</v>
      </c>
      <c r="I8215" s="2" t="s">
        <v>2175</v>
      </c>
      <c r="J8215" s="2" t="s">
        <v>2176</v>
      </c>
      <c r="K8215" s="2" t="s">
        <v>38069</v>
      </c>
      <c r="L8215" s="2" t="s">
        <v>38070</v>
      </c>
      <c r="M8215" s="2" t="s">
        <v>38071</v>
      </c>
      <c r="N8215" s="2" t="s">
        <v>38072</v>
      </c>
      <c r="O8215" s="2" t="s">
        <v>38073</v>
      </c>
      <c r="P8215" s="2" t="s">
        <v>869</v>
      </c>
    </row>
    <row r="8216" ht="15.75" customHeight="1">
      <c r="H8216" s="2" t="s">
        <v>38074</v>
      </c>
      <c r="I8216" s="2" t="s">
        <v>318</v>
      </c>
      <c r="J8216" s="2" t="s">
        <v>319</v>
      </c>
      <c r="K8216" s="2" t="s">
        <v>38075</v>
      </c>
      <c r="L8216" s="2" t="s">
        <v>37914</v>
      </c>
      <c r="M8216" s="2" t="s">
        <v>38076</v>
      </c>
      <c r="N8216" s="2" t="s">
        <v>38077</v>
      </c>
      <c r="O8216" s="2" t="s">
        <v>38078</v>
      </c>
      <c r="P8216" s="2" t="s">
        <v>869</v>
      </c>
    </row>
    <row r="8217" ht="15.75" customHeight="1">
      <c r="H8217" s="2" t="s">
        <v>38079</v>
      </c>
      <c r="I8217" s="2" t="s">
        <v>326</v>
      </c>
      <c r="J8217" s="2" t="s">
        <v>327</v>
      </c>
      <c r="K8217" s="2" t="s">
        <v>38080</v>
      </c>
      <c r="L8217" s="2" t="s">
        <v>38081</v>
      </c>
      <c r="M8217" s="2" t="s">
        <v>38082</v>
      </c>
      <c r="N8217" s="2" t="s">
        <v>38083</v>
      </c>
      <c r="O8217" s="2" t="s">
        <v>38084</v>
      </c>
      <c r="P8217" s="2" t="s">
        <v>869</v>
      </c>
    </row>
    <row r="8218" ht="15.75" customHeight="1">
      <c r="H8218" s="2" t="s">
        <v>38085</v>
      </c>
      <c r="I8218" s="2" t="s">
        <v>19468</v>
      </c>
      <c r="J8218" s="2" t="s">
        <v>19469</v>
      </c>
      <c r="K8218" s="2" t="s">
        <v>38086</v>
      </c>
      <c r="L8218" s="2" t="s">
        <v>38087</v>
      </c>
      <c r="M8218" s="2" t="s">
        <v>38088</v>
      </c>
      <c r="N8218" s="2" t="s">
        <v>38089</v>
      </c>
      <c r="O8218" s="2" t="s">
        <v>38090</v>
      </c>
      <c r="P8218" s="2" t="s">
        <v>38091</v>
      </c>
    </row>
    <row r="8219" ht="15.75" customHeight="1">
      <c r="H8219" s="2" t="s">
        <v>38092</v>
      </c>
      <c r="I8219" s="2" t="s">
        <v>38093</v>
      </c>
      <c r="J8219" s="2" t="s">
        <v>38094</v>
      </c>
      <c r="K8219" s="2" t="s">
        <v>38095</v>
      </c>
      <c r="L8219" s="2" t="s">
        <v>37914</v>
      </c>
      <c r="M8219" s="2" t="s">
        <v>38096</v>
      </c>
      <c r="N8219" s="2" t="s">
        <v>38097</v>
      </c>
      <c r="O8219" s="2" t="s">
        <v>38098</v>
      </c>
      <c r="P8219" s="2" t="s">
        <v>869</v>
      </c>
    </row>
    <row r="8220" ht="15.75" customHeight="1">
      <c r="H8220" s="2" t="s">
        <v>38099</v>
      </c>
      <c r="I8220" s="2" t="s">
        <v>335</v>
      </c>
      <c r="J8220" s="2" t="s">
        <v>336</v>
      </c>
      <c r="K8220" s="2" t="s">
        <v>38100</v>
      </c>
      <c r="L8220" s="2" t="s">
        <v>38101</v>
      </c>
      <c r="M8220" s="2" t="s">
        <v>38102</v>
      </c>
      <c r="N8220" s="2" t="s">
        <v>38103</v>
      </c>
      <c r="O8220" s="2" t="s">
        <v>38104</v>
      </c>
      <c r="P8220" s="2" t="s">
        <v>38105</v>
      </c>
    </row>
    <row r="8221" ht="15.75" customHeight="1">
      <c r="H8221" s="2" t="s">
        <v>38106</v>
      </c>
      <c r="I8221" s="2" t="s">
        <v>5599</v>
      </c>
      <c r="J8221" s="2" t="s">
        <v>5600</v>
      </c>
      <c r="K8221" s="2" t="s">
        <v>38107</v>
      </c>
      <c r="L8221" s="2" t="s">
        <v>37914</v>
      </c>
      <c r="M8221" s="2" t="s">
        <v>38108</v>
      </c>
      <c r="N8221" s="2" t="s">
        <v>38109</v>
      </c>
      <c r="O8221" s="2" t="s">
        <v>38110</v>
      </c>
      <c r="P8221" s="2" t="s">
        <v>869</v>
      </c>
    </row>
    <row r="8222" ht="15.75" customHeight="1">
      <c r="H8222" s="2" t="s">
        <v>38111</v>
      </c>
      <c r="I8222" s="2" t="s">
        <v>384</v>
      </c>
      <c r="J8222" s="2" t="s">
        <v>385</v>
      </c>
      <c r="K8222" s="2" t="s">
        <v>38112</v>
      </c>
      <c r="L8222" s="2" t="s">
        <v>37914</v>
      </c>
      <c r="M8222" s="2" t="s">
        <v>38113</v>
      </c>
      <c r="N8222" s="2" t="s">
        <v>38114</v>
      </c>
      <c r="O8222" s="2" t="s">
        <v>38115</v>
      </c>
      <c r="P8222" s="2" t="s">
        <v>869</v>
      </c>
    </row>
    <row r="8223" ht="15.75" customHeight="1">
      <c r="H8223" s="2" t="s">
        <v>38116</v>
      </c>
      <c r="I8223" s="2" t="s">
        <v>415</v>
      </c>
      <c r="J8223" s="2" t="s">
        <v>416</v>
      </c>
      <c r="K8223" s="2" t="s">
        <v>38117</v>
      </c>
      <c r="L8223" s="2" t="s">
        <v>38118</v>
      </c>
      <c r="M8223" s="2" t="s">
        <v>38119</v>
      </c>
      <c r="N8223" s="2" t="s">
        <v>38120</v>
      </c>
      <c r="O8223" s="2" t="s">
        <v>38121</v>
      </c>
      <c r="P8223" s="2" t="s">
        <v>869</v>
      </c>
    </row>
    <row r="8224" ht="15.75" customHeight="1">
      <c r="H8224" s="2" t="s">
        <v>38122</v>
      </c>
      <c r="I8224" s="2" t="s">
        <v>38123</v>
      </c>
      <c r="J8224" s="2" t="s">
        <v>38124</v>
      </c>
      <c r="K8224" s="2" t="s">
        <v>38125</v>
      </c>
      <c r="L8224" s="2" t="s">
        <v>37914</v>
      </c>
      <c r="M8224" s="2" t="s">
        <v>38126</v>
      </c>
      <c r="N8224" s="2" t="s">
        <v>38127</v>
      </c>
      <c r="O8224" s="2" t="s">
        <v>38128</v>
      </c>
      <c r="P8224" s="2" t="s">
        <v>869</v>
      </c>
    </row>
    <row r="8225" ht="15.75" customHeight="1">
      <c r="H8225" s="2" t="s">
        <v>38129</v>
      </c>
      <c r="I8225" s="2" t="s">
        <v>14506</v>
      </c>
      <c r="J8225" s="2" t="s">
        <v>14507</v>
      </c>
      <c r="K8225" s="2" t="s">
        <v>38130</v>
      </c>
      <c r="L8225" s="2" t="s">
        <v>37914</v>
      </c>
      <c r="M8225" s="2" t="s">
        <v>38131</v>
      </c>
      <c r="N8225" s="2" t="s">
        <v>38132</v>
      </c>
      <c r="O8225" s="2" t="s">
        <v>38133</v>
      </c>
      <c r="P8225" s="2" t="s">
        <v>869</v>
      </c>
    </row>
    <row r="8226" ht="15.75" customHeight="1">
      <c r="H8226" s="2" t="s">
        <v>38134</v>
      </c>
      <c r="I8226" s="2" t="s">
        <v>2286</v>
      </c>
      <c r="J8226" s="2" t="s">
        <v>2287</v>
      </c>
      <c r="K8226" s="2" t="s">
        <v>38135</v>
      </c>
      <c r="L8226" s="2" t="s">
        <v>37914</v>
      </c>
      <c r="M8226" s="2" t="s">
        <v>38136</v>
      </c>
      <c r="N8226" s="2" t="s">
        <v>38137</v>
      </c>
      <c r="O8226" s="2" t="s">
        <v>38138</v>
      </c>
      <c r="P8226" s="2" t="s">
        <v>869</v>
      </c>
    </row>
    <row r="8227" ht="15.75" customHeight="1">
      <c r="H8227" s="2" t="s">
        <v>38139</v>
      </c>
      <c r="I8227" s="2" t="s">
        <v>432</v>
      </c>
      <c r="J8227" s="2" t="s">
        <v>433</v>
      </c>
      <c r="K8227" s="2" t="s">
        <v>38140</v>
      </c>
      <c r="L8227" s="2" t="s">
        <v>37914</v>
      </c>
      <c r="M8227" s="2" t="s">
        <v>38141</v>
      </c>
      <c r="N8227" s="2" t="s">
        <v>38142</v>
      </c>
      <c r="O8227" s="2" t="s">
        <v>38143</v>
      </c>
      <c r="P8227" s="2" t="s">
        <v>869</v>
      </c>
    </row>
    <row r="8228" ht="15.75" customHeight="1">
      <c r="H8228" s="2" t="s">
        <v>38144</v>
      </c>
      <c r="I8228" s="2" t="s">
        <v>440</v>
      </c>
      <c r="J8228" s="2" t="s">
        <v>441</v>
      </c>
      <c r="K8228" s="2" t="s">
        <v>38145</v>
      </c>
      <c r="L8228" s="2" t="s">
        <v>38146</v>
      </c>
      <c r="M8228" s="2" t="s">
        <v>38147</v>
      </c>
      <c r="N8228" s="2" t="s">
        <v>38148</v>
      </c>
      <c r="O8228" s="2" t="s">
        <v>38149</v>
      </c>
      <c r="P8228" s="2" t="s">
        <v>869</v>
      </c>
    </row>
    <row r="8229" ht="15.75" customHeight="1">
      <c r="H8229" s="2" t="s">
        <v>38150</v>
      </c>
      <c r="I8229" s="2" t="s">
        <v>38151</v>
      </c>
      <c r="J8229" s="2" t="s">
        <v>38152</v>
      </c>
      <c r="K8229" s="2" t="s">
        <v>38153</v>
      </c>
      <c r="L8229" s="2" t="s">
        <v>37914</v>
      </c>
      <c r="M8229" s="2" t="s">
        <v>38154</v>
      </c>
      <c r="N8229" s="2" t="s">
        <v>38155</v>
      </c>
      <c r="O8229" s="2" t="s">
        <v>38156</v>
      </c>
      <c r="P8229" s="2" t="s">
        <v>869</v>
      </c>
    </row>
    <row r="8230" ht="15.75" customHeight="1">
      <c r="H8230" s="2" t="s">
        <v>38157</v>
      </c>
      <c r="I8230" s="2" t="s">
        <v>449</v>
      </c>
      <c r="J8230" s="2" t="s">
        <v>450</v>
      </c>
      <c r="K8230" s="2" t="s">
        <v>38158</v>
      </c>
      <c r="L8230" s="2" t="s">
        <v>38159</v>
      </c>
      <c r="M8230" s="2" t="s">
        <v>38160</v>
      </c>
      <c r="N8230" s="2" t="s">
        <v>38161</v>
      </c>
      <c r="O8230" s="2" t="s">
        <v>38162</v>
      </c>
      <c r="P8230" s="2" t="s">
        <v>869</v>
      </c>
    </row>
    <row r="8231" ht="15.75" customHeight="1">
      <c r="H8231" s="2" t="s">
        <v>38163</v>
      </c>
      <c r="I8231" s="2" t="s">
        <v>38164</v>
      </c>
      <c r="J8231" s="2" t="s">
        <v>38165</v>
      </c>
      <c r="K8231" s="2" t="s">
        <v>38166</v>
      </c>
      <c r="L8231" s="2" t="s">
        <v>37914</v>
      </c>
      <c r="M8231" s="2" t="s">
        <v>38167</v>
      </c>
      <c r="N8231" s="2" t="s">
        <v>38168</v>
      </c>
      <c r="O8231" s="2" t="s">
        <v>38169</v>
      </c>
      <c r="P8231" s="2" t="s">
        <v>869</v>
      </c>
    </row>
    <row r="8232" ht="15.75" customHeight="1">
      <c r="H8232" s="2" t="s">
        <v>38170</v>
      </c>
      <c r="I8232" s="2" t="s">
        <v>458</v>
      </c>
      <c r="J8232" s="2" t="s">
        <v>459</v>
      </c>
      <c r="K8232" s="2" t="s">
        <v>38171</v>
      </c>
      <c r="L8232" s="2" t="s">
        <v>37914</v>
      </c>
      <c r="M8232" s="2" t="s">
        <v>38172</v>
      </c>
      <c r="N8232" s="2" t="s">
        <v>38173</v>
      </c>
      <c r="O8232" s="2" t="s">
        <v>38174</v>
      </c>
      <c r="P8232" s="2" t="s">
        <v>38175</v>
      </c>
    </row>
    <row r="8233" ht="15.75" customHeight="1">
      <c r="H8233" s="2" t="s">
        <v>38176</v>
      </c>
      <c r="I8233" s="2" t="s">
        <v>2357</v>
      </c>
      <c r="J8233" s="2" t="s">
        <v>2358</v>
      </c>
      <c r="K8233" s="2" t="s">
        <v>38177</v>
      </c>
      <c r="L8233" s="2" t="s">
        <v>37914</v>
      </c>
      <c r="M8233" s="2" t="s">
        <v>38178</v>
      </c>
      <c r="N8233" s="2" t="s">
        <v>38179</v>
      </c>
      <c r="O8233" s="2" t="s">
        <v>38180</v>
      </c>
      <c r="P8233" s="2" t="s">
        <v>869</v>
      </c>
    </row>
    <row r="8234" ht="15.75" customHeight="1">
      <c r="H8234" s="2" t="s">
        <v>38181</v>
      </c>
      <c r="I8234" s="2" t="s">
        <v>2406</v>
      </c>
      <c r="J8234" s="2" t="s">
        <v>2407</v>
      </c>
      <c r="K8234" s="2" t="s">
        <v>38182</v>
      </c>
      <c r="L8234" s="2" t="s">
        <v>37914</v>
      </c>
      <c r="M8234" s="2" t="s">
        <v>38183</v>
      </c>
      <c r="N8234" s="2" t="s">
        <v>38184</v>
      </c>
      <c r="O8234" s="2" t="s">
        <v>38185</v>
      </c>
      <c r="P8234" s="2" t="s">
        <v>869</v>
      </c>
    </row>
    <row r="8235" ht="15.75" customHeight="1">
      <c r="H8235" s="2" t="s">
        <v>38186</v>
      </c>
      <c r="I8235" s="2" t="s">
        <v>12694</v>
      </c>
      <c r="J8235" s="2" t="s">
        <v>12695</v>
      </c>
      <c r="K8235" s="2" t="s">
        <v>38187</v>
      </c>
      <c r="L8235" s="2" t="s">
        <v>37914</v>
      </c>
      <c r="M8235" s="2" t="s">
        <v>38188</v>
      </c>
      <c r="N8235" s="2" t="s">
        <v>38189</v>
      </c>
      <c r="O8235" s="2" t="s">
        <v>38190</v>
      </c>
      <c r="P8235" s="2" t="s">
        <v>869</v>
      </c>
    </row>
    <row r="8236" ht="15.75" customHeight="1">
      <c r="H8236" s="2" t="s">
        <v>38191</v>
      </c>
      <c r="I8236" s="2" t="s">
        <v>14922</v>
      </c>
      <c r="J8236" s="2" t="s">
        <v>14923</v>
      </c>
      <c r="K8236" s="2" t="s">
        <v>38192</v>
      </c>
      <c r="L8236" s="2" t="s">
        <v>37914</v>
      </c>
      <c r="M8236" s="2" t="s">
        <v>38193</v>
      </c>
      <c r="N8236" s="2" t="s">
        <v>38194</v>
      </c>
      <c r="O8236" s="2" t="s">
        <v>38195</v>
      </c>
      <c r="P8236" s="2" t="s">
        <v>869</v>
      </c>
    </row>
    <row r="8237" ht="15.75" customHeight="1">
      <c r="H8237" s="2" t="s">
        <v>38196</v>
      </c>
      <c r="I8237" s="2" t="s">
        <v>2421</v>
      </c>
      <c r="J8237" s="2" t="s">
        <v>2422</v>
      </c>
      <c r="K8237" s="2" t="s">
        <v>38197</v>
      </c>
      <c r="L8237" s="2" t="s">
        <v>37914</v>
      </c>
      <c r="M8237" s="2" t="s">
        <v>38198</v>
      </c>
      <c r="N8237" s="2" t="s">
        <v>38199</v>
      </c>
      <c r="O8237" s="2" t="s">
        <v>38200</v>
      </c>
      <c r="P8237" s="2" t="s">
        <v>869</v>
      </c>
    </row>
    <row r="8238" ht="15.75" customHeight="1">
      <c r="H8238" s="2" t="s">
        <v>38201</v>
      </c>
      <c r="I8238" s="2" t="s">
        <v>510</v>
      </c>
      <c r="J8238" s="2" t="s">
        <v>511</v>
      </c>
      <c r="K8238" s="2" t="s">
        <v>38202</v>
      </c>
      <c r="L8238" s="2" t="s">
        <v>37914</v>
      </c>
      <c r="M8238" s="2" t="s">
        <v>38203</v>
      </c>
      <c r="N8238" s="2" t="s">
        <v>38204</v>
      </c>
      <c r="O8238" s="2" t="s">
        <v>38205</v>
      </c>
      <c r="P8238" s="2" t="s">
        <v>869</v>
      </c>
    </row>
    <row r="8239" ht="15.75" customHeight="1">
      <c r="H8239" s="2" t="s">
        <v>38206</v>
      </c>
      <c r="I8239" s="2" t="s">
        <v>518</v>
      </c>
      <c r="J8239" s="2" t="s">
        <v>519</v>
      </c>
      <c r="K8239" s="2" t="s">
        <v>38207</v>
      </c>
      <c r="L8239" s="2" t="s">
        <v>37914</v>
      </c>
      <c r="M8239" s="2" t="s">
        <v>38208</v>
      </c>
      <c r="N8239" s="2" t="s">
        <v>38209</v>
      </c>
      <c r="O8239" s="2" t="s">
        <v>38210</v>
      </c>
      <c r="P8239" s="2" t="s">
        <v>38211</v>
      </c>
    </row>
    <row r="8240" ht="15.75" customHeight="1">
      <c r="H8240" s="2" t="s">
        <v>38212</v>
      </c>
      <c r="I8240" s="2" t="s">
        <v>526</v>
      </c>
      <c r="J8240" s="2" t="s">
        <v>527</v>
      </c>
      <c r="K8240" s="2" t="s">
        <v>38213</v>
      </c>
      <c r="L8240" s="2" t="s">
        <v>38214</v>
      </c>
      <c r="M8240" s="2" t="s">
        <v>38215</v>
      </c>
      <c r="N8240" s="2" t="s">
        <v>38216</v>
      </c>
      <c r="O8240" s="2" t="s">
        <v>38217</v>
      </c>
      <c r="P8240" s="2" t="s">
        <v>869</v>
      </c>
    </row>
    <row r="8241" ht="15.75" customHeight="1">
      <c r="H8241" s="2" t="s">
        <v>38218</v>
      </c>
      <c r="I8241" s="2" t="s">
        <v>2504</v>
      </c>
      <c r="J8241" s="2" t="s">
        <v>2505</v>
      </c>
      <c r="K8241" s="2" t="s">
        <v>38219</v>
      </c>
      <c r="L8241" s="2" t="s">
        <v>37914</v>
      </c>
      <c r="M8241" s="2" t="s">
        <v>38220</v>
      </c>
      <c r="N8241" s="2" t="s">
        <v>38221</v>
      </c>
      <c r="O8241" s="2" t="s">
        <v>38222</v>
      </c>
      <c r="P8241" s="2" t="s">
        <v>869</v>
      </c>
    </row>
    <row r="8242" ht="15.75" customHeight="1">
      <c r="F8242" s="2" t="s">
        <v>2508</v>
      </c>
      <c r="H8242" s="2" t="s">
        <v>38223</v>
      </c>
      <c r="I8242" s="2" t="s">
        <v>38224</v>
      </c>
      <c r="J8242" s="2" t="s">
        <v>38225</v>
      </c>
      <c r="K8242" s="2" t="s">
        <v>13335</v>
      </c>
    </row>
    <row r="8243" ht="15.75" customHeight="1">
      <c r="F8243" s="2" t="s">
        <v>534</v>
      </c>
      <c r="H8243" s="2" t="s">
        <v>38226</v>
      </c>
      <c r="I8243" s="2" t="s">
        <v>38227</v>
      </c>
      <c r="J8243" s="2" t="s">
        <v>38228</v>
      </c>
      <c r="K8243" s="2" t="s">
        <v>27313</v>
      </c>
    </row>
    <row r="8244" ht="15.75" customHeight="1">
      <c r="H8244" s="2" t="s">
        <v>38229</v>
      </c>
      <c r="I8244" s="2" t="s">
        <v>536</v>
      </c>
      <c r="J8244" s="2" t="s">
        <v>537</v>
      </c>
      <c r="K8244" s="2" t="s">
        <v>538</v>
      </c>
    </row>
    <row r="8245" ht="15.75" customHeight="1">
      <c r="F8245" s="2" t="s">
        <v>548</v>
      </c>
      <c r="H8245" s="2" t="s">
        <v>38230</v>
      </c>
      <c r="I8245" s="2" t="s">
        <v>550</v>
      </c>
      <c r="J8245" s="2" t="s">
        <v>551</v>
      </c>
      <c r="K8245" s="2" t="s">
        <v>38231</v>
      </c>
      <c r="L8245" s="2" t="s">
        <v>37914</v>
      </c>
      <c r="M8245" s="2" t="s">
        <v>38232</v>
      </c>
      <c r="N8245" s="2" t="s">
        <v>38233</v>
      </c>
      <c r="O8245" s="2" t="s">
        <v>38234</v>
      </c>
      <c r="P8245" s="2" t="s">
        <v>869</v>
      </c>
    </row>
    <row r="8246" ht="15.75" customHeight="1">
      <c r="F8246" s="2" t="s">
        <v>556</v>
      </c>
      <c r="H8246" s="2" t="s">
        <v>38235</v>
      </c>
      <c r="I8246" s="2" t="s">
        <v>558</v>
      </c>
      <c r="J8246" s="2" t="s">
        <v>559</v>
      </c>
      <c r="K8246" s="2" t="s">
        <v>38236</v>
      </c>
      <c r="L8246" s="2" t="s">
        <v>37914</v>
      </c>
      <c r="M8246" s="2" t="s">
        <v>38237</v>
      </c>
      <c r="N8246" s="2" t="s">
        <v>38238</v>
      </c>
      <c r="O8246" s="2" t="s">
        <v>38239</v>
      </c>
      <c r="P8246" s="2" t="s">
        <v>869</v>
      </c>
    </row>
    <row r="8247" ht="15.75" customHeight="1">
      <c r="H8247" s="2" t="s">
        <v>38240</v>
      </c>
      <c r="I8247" s="2" t="s">
        <v>8166</v>
      </c>
      <c r="J8247" s="2" t="s">
        <v>8167</v>
      </c>
      <c r="K8247" s="2" t="s">
        <v>38241</v>
      </c>
      <c r="L8247" s="2" t="s">
        <v>37914</v>
      </c>
      <c r="M8247" s="2" t="s">
        <v>38242</v>
      </c>
      <c r="N8247" s="2" t="s">
        <v>38243</v>
      </c>
      <c r="O8247" s="2" t="s">
        <v>38244</v>
      </c>
      <c r="P8247" s="2" t="s">
        <v>869</v>
      </c>
    </row>
    <row r="8248" ht="15.75" customHeight="1">
      <c r="H8248" s="2" t="s">
        <v>38245</v>
      </c>
      <c r="I8248" s="2" t="s">
        <v>574</v>
      </c>
      <c r="J8248" s="2" t="s">
        <v>575</v>
      </c>
      <c r="K8248" s="2" t="s">
        <v>38246</v>
      </c>
      <c r="L8248" s="2" t="s">
        <v>37914</v>
      </c>
      <c r="M8248" s="2" t="s">
        <v>38247</v>
      </c>
      <c r="N8248" s="2" t="s">
        <v>38248</v>
      </c>
      <c r="O8248" s="2" t="s">
        <v>38249</v>
      </c>
      <c r="P8248" s="2" t="s">
        <v>869</v>
      </c>
    </row>
    <row r="8249" ht="15.75" customHeight="1">
      <c r="F8249" s="2" t="s">
        <v>598</v>
      </c>
      <c r="H8249" s="2" t="s">
        <v>38250</v>
      </c>
      <c r="I8249" s="2" t="s">
        <v>608</v>
      </c>
      <c r="J8249" s="2" t="s">
        <v>609</v>
      </c>
      <c r="K8249" s="2" t="s">
        <v>38251</v>
      </c>
      <c r="L8249" s="2" t="s">
        <v>37914</v>
      </c>
      <c r="M8249" s="2" t="s">
        <v>38252</v>
      </c>
      <c r="N8249" s="2" t="s">
        <v>38253</v>
      </c>
      <c r="O8249" s="2" t="s">
        <v>38254</v>
      </c>
      <c r="P8249" s="2" t="s">
        <v>869</v>
      </c>
    </row>
    <row r="8250" ht="15.75" customHeight="1">
      <c r="F8250" s="2" t="s">
        <v>624</v>
      </c>
      <c r="H8250" s="2" t="s">
        <v>38255</v>
      </c>
      <c r="I8250" s="2" t="s">
        <v>626</v>
      </c>
      <c r="J8250" s="2" t="s">
        <v>627</v>
      </c>
      <c r="K8250" s="2" t="s">
        <v>38256</v>
      </c>
      <c r="L8250" s="2" t="s">
        <v>38257</v>
      </c>
      <c r="M8250" s="2" t="s">
        <v>38258</v>
      </c>
      <c r="N8250" s="2" t="s">
        <v>38259</v>
      </c>
      <c r="O8250" s="2" t="s">
        <v>38260</v>
      </c>
      <c r="P8250" s="2" t="s">
        <v>869</v>
      </c>
    </row>
    <row r="8251" ht="15.75" customHeight="1">
      <c r="F8251" s="2" t="s">
        <v>634</v>
      </c>
      <c r="H8251" s="2" t="s">
        <v>38261</v>
      </c>
      <c r="I8251" s="2" t="s">
        <v>644</v>
      </c>
      <c r="J8251" s="2" t="s">
        <v>645</v>
      </c>
      <c r="K8251" s="2" t="s">
        <v>38262</v>
      </c>
      <c r="L8251" s="2" t="s">
        <v>37914</v>
      </c>
      <c r="M8251" s="2" t="s">
        <v>38263</v>
      </c>
      <c r="N8251" s="2" t="s">
        <v>38264</v>
      </c>
      <c r="O8251" s="2" t="s">
        <v>38265</v>
      </c>
      <c r="P8251" s="2" t="s">
        <v>869</v>
      </c>
    </row>
    <row r="8252" ht="15.75" customHeight="1">
      <c r="F8252" s="2" t="s">
        <v>660</v>
      </c>
      <c r="H8252" s="2" t="s">
        <v>38266</v>
      </c>
      <c r="I8252" s="2" t="s">
        <v>662</v>
      </c>
      <c r="J8252" s="2" t="s">
        <v>663</v>
      </c>
      <c r="K8252" s="2" t="s">
        <v>38267</v>
      </c>
      <c r="L8252" s="2" t="s">
        <v>37914</v>
      </c>
      <c r="M8252" s="2" t="s">
        <v>38268</v>
      </c>
      <c r="N8252" s="2" t="s">
        <v>38269</v>
      </c>
      <c r="O8252" s="2" t="s">
        <v>38270</v>
      </c>
      <c r="P8252" s="2" t="s">
        <v>869</v>
      </c>
    </row>
    <row r="8253" ht="15.75" customHeight="1">
      <c r="F8253" s="2" t="s">
        <v>677</v>
      </c>
      <c r="H8253" s="2" t="s">
        <v>38271</v>
      </c>
      <c r="I8253" s="2" t="s">
        <v>3841</v>
      </c>
      <c r="J8253" s="2" t="s">
        <v>3842</v>
      </c>
      <c r="K8253" s="2" t="s">
        <v>38272</v>
      </c>
      <c r="L8253" s="2" t="s">
        <v>37914</v>
      </c>
      <c r="M8253" s="2" t="s">
        <v>38273</v>
      </c>
      <c r="N8253" s="2" t="s">
        <v>38274</v>
      </c>
      <c r="O8253" s="2" t="s">
        <v>38275</v>
      </c>
      <c r="P8253" s="2" t="s">
        <v>869</v>
      </c>
    </row>
    <row r="8254" ht="15.75" customHeight="1">
      <c r="H8254" s="2" t="s">
        <v>38276</v>
      </c>
      <c r="I8254" s="2" t="s">
        <v>679</v>
      </c>
      <c r="J8254" s="2" t="s">
        <v>680</v>
      </c>
      <c r="K8254" s="2" t="s">
        <v>38277</v>
      </c>
      <c r="L8254" s="2" t="s">
        <v>37914</v>
      </c>
      <c r="M8254" s="2" t="s">
        <v>38278</v>
      </c>
      <c r="N8254" s="2" t="s">
        <v>38279</v>
      </c>
      <c r="O8254" s="2" t="s">
        <v>38280</v>
      </c>
      <c r="P8254" s="2" t="s">
        <v>869</v>
      </c>
    </row>
    <row r="8255" ht="15.75" customHeight="1">
      <c r="H8255" s="2" t="s">
        <v>38281</v>
      </c>
      <c r="I8255" s="2" t="s">
        <v>38282</v>
      </c>
      <c r="J8255" s="2" t="s">
        <v>38283</v>
      </c>
      <c r="K8255" s="2" t="s">
        <v>38284</v>
      </c>
      <c r="L8255" s="2" t="s">
        <v>37914</v>
      </c>
      <c r="M8255" s="2" t="s">
        <v>38285</v>
      </c>
      <c r="N8255" s="2" t="s">
        <v>38286</v>
      </c>
      <c r="O8255" s="2" t="s">
        <v>38287</v>
      </c>
      <c r="P8255" s="2" t="s">
        <v>869</v>
      </c>
    </row>
    <row r="8256" ht="15.75" customHeight="1">
      <c r="F8256" s="2" t="s">
        <v>703</v>
      </c>
      <c r="H8256" s="2" t="s">
        <v>38288</v>
      </c>
      <c r="I8256" s="2" t="s">
        <v>705</v>
      </c>
      <c r="J8256" s="2" t="s">
        <v>706</v>
      </c>
      <c r="K8256" s="2" t="s">
        <v>38289</v>
      </c>
      <c r="L8256" s="2" t="s">
        <v>37914</v>
      </c>
      <c r="M8256" s="2" t="s">
        <v>38290</v>
      </c>
      <c r="N8256" s="2" t="s">
        <v>38291</v>
      </c>
      <c r="O8256" s="2" t="s">
        <v>38292</v>
      </c>
      <c r="P8256" s="2" t="s">
        <v>869</v>
      </c>
    </row>
    <row r="8257" ht="15.75" customHeight="1">
      <c r="H8257" s="2" t="s">
        <v>38293</v>
      </c>
      <c r="I8257" s="2" t="s">
        <v>21875</v>
      </c>
      <c r="J8257" s="2" t="s">
        <v>21876</v>
      </c>
      <c r="K8257" s="2" t="s">
        <v>38294</v>
      </c>
      <c r="L8257" s="2" t="s">
        <v>37914</v>
      </c>
      <c r="M8257" s="2" t="s">
        <v>38295</v>
      </c>
      <c r="N8257" s="2" t="s">
        <v>38296</v>
      </c>
      <c r="O8257" s="2" t="s">
        <v>38297</v>
      </c>
      <c r="P8257" s="2" t="s">
        <v>869</v>
      </c>
    </row>
    <row r="8258" ht="15.75" customHeight="1">
      <c r="H8258" s="2" t="s">
        <v>38298</v>
      </c>
      <c r="I8258" s="2" t="s">
        <v>10226</v>
      </c>
      <c r="J8258" s="2" t="s">
        <v>10227</v>
      </c>
      <c r="K8258" s="2" t="s">
        <v>38299</v>
      </c>
      <c r="L8258" s="2" t="s">
        <v>37914</v>
      </c>
      <c r="M8258" s="2" t="s">
        <v>38300</v>
      </c>
      <c r="N8258" s="2" t="s">
        <v>38301</v>
      </c>
      <c r="O8258" s="2" t="s">
        <v>38302</v>
      </c>
      <c r="P8258" s="2" t="s">
        <v>869</v>
      </c>
    </row>
    <row r="8259" ht="15.75" customHeight="1">
      <c r="H8259" s="2" t="s">
        <v>38303</v>
      </c>
      <c r="I8259" s="2" t="s">
        <v>38304</v>
      </c>
      <c r="J8259" s="2" t="s">
        <v>38305</v>
      </c>
      <c r="K8259" s="2" t="s">
        <v>38306</v>
      </c>
      <c r="L8259" s="2" t="s">
        <v>37914</v>
      </c>
      <c r="M8259" s="2" t="s">
        <v>38307</v>
      </c>
      <c r="N8259" s="2" t="s">
        <v>38308</v>
      </c>
      <c r="O8259" s="2" t="s">
        <v>38309</v>
      </c>
      <c r="P8259" s="2" t="s">
        <v>869</v>
      </c>
    </row>
    <row r="8260" ht="15.75" customHeight="1">
      <c r="H8260" s="2" t="s">
        <v>38310</v>
      </c>
      <c r="I8260" s="2" t="s">
        <v>713</v>
      </c>
      <c r="J8260" s="2" t="s">
        <v>714</v>
      </c>
      <c r="K8260" s="2" t="s">
        <v>38311</v>
      </c>
      <c r="L8260" s="2" t="s">
        <v>38312</v>
      </c>
      <c r="M8260" s="2" t="s">
        <v>38313</v>
      </c>
      <c r="N8260" s="2" t="s">
        <v>38314</v>
      </c>
      <c r="O8260" s="2" t="s">
        <v>38315</v>
      </c>
      <c r="P8260" s="2" t="s">
        <v>869</v>
      </c>
    </row>
    <row r="8261" ht="15.75" customHeight="1">
      <c r="H8261" s="2" t="s">
        <v>38316</v>
      </c>
      <c r="I8261" s="2" t="s">
        <v>721</v>
      </c>
      <c r="J8261" s="2" t="s">
        <v>722</v>
      </c>
      <c r="K8261" s="2" t="s">
        <v>38317</v>
      </c>
      <c r="L8261" s="2" t="s">
        <v>37914</v>
      </c>
      <c r="M8261" s="2" t="s">
        <v>38318</v>
      </c>
      <c r="N8261" s="2" t="s">
        <v>38319</v>
      </c>
      <c r="O8261" s="2" t="s">
        <v>38320</v>
      </c>
      <c r="P8261" s="2" t="s">
        <v>869</v>
      </c>
    </row>
    <row r="8262" ht="15.75" customHeight="1">
      <c r="F8262" s="2" t="s">
        <v>746</v>
      </c>
      <c r="H8262" s="2" t="s">
        <v>38321</v>
      </c>
      <c r="I8262" s="2" t="s">
        <v>38322</v>
      </c>
      <c r="J8262" s="2" t="s">
        <v>38323</v>
      </c>
      <c r="K8262" s="2" t="s">
        <v>38324</v>
      </c>
      <c r="L8262" s="2" t="s">
        <v>37914</v>
      </c>
      <c r="M8262" s="2" t="s">
        <v>38325</v>
      </c>
      <c r="N8262" s="2" t="s">
        <v>38326</v>
      </c>
      <c r="O8262" s="2" t="s">
        <v>38327</v>
      </c>
      <c r="P8262" s="2" t="s">
        <v>869</v>
      </c>
    </row>
    <row r="8263" ht="15.75" customHeight="1">
      <c r="F8263" s="2" t="s">
        <v>755</v>
      </c>
      <c r="H8263" s="2" t="s">
        <v>38328</v>
      </c>
      <c r="I8263" s="2" t="s">
        <v>757</v>
      </c>
      <c r="J8263" s="2" t="s">
        <v>758</v>
      </c>
      <c r="K8263" s="2" t="s">
        <v>38329</v>
      </c>
      <c r="L8263" s="2" t="s">
        <v>37914</v>
      </c>
      <c r="M8263" s="2" t="s">
        <v>38330</v>
      </c>
      <c r="N8263" s="2" t="s">
        <v>38331</v>
      </c>
      <c r="O8263" s="2" t="s">
        <v>38332</v>
      </c>
      <c r="P8263" s="2" t="s">
        <v>869</v>
      </c>
    </row>
    <row r="8264" ht="15.75" customHeight="1">
      <c r="F8264" s="2" t="s">
        <v>764</v>
      </c>
      <c r="H8264" s="2" t="s">
        <v>38333</v>
      </c>
      <c r="I8264" s="2" t="s">
        <v>766</v>
      </c>
      <c r="J8264" s="2" t="s">
        <v>767</v>
      </c>
      <c r="K8264" s="2" t="s">
        <v>38334</v>
      </c>
      <c r="L8264" s="2" t="s">
        <v>37914</v>
      </c>
      <c r="M8264" s="2" t="s">
        <v>38335</v>
      </c>
      <c r="N8264" s="2" t="s">
        <v>38336</v>
      </c>
      <c r="O8264" s="2" t="s">
        <v>38337</v>
      </c>
      <c r="P8264" s="2" t="s">
        <v>869</v>
      </c>
    </row>
    <row r="8265" ht="15.75" customHeight="1">
      <c r="F8265" s="2" t="s">
        <v>800</v>
      </c>
      <c r="H8265" s="2" t="s">
        <v>38338</v>
      </c>
      <c r="I8265" s="2" t="s">
        <v>5722</v>
      </c>
      <c r="J8265" s="2" t="s">
        <v>5723</v>
      </c>
      <c r="K8265" s="2" t="s">
        <v>38339</v>
      </c>
      <c r="L8265" s="2" t="s">
        <v>37914</v>
      </c>
      <c r="M8265" s="2" t="s">
        <v>38340</v>
      </c>
      <c r="N8265" s="2" t="s">
        <v>38341</v>
      </c>
      <c r="O8265" s="2" t="s">
        <v>38342</v>
      </c>
      <c r="P8265" s="2" t="s">
        <v>869</v>
      </c>
    </row>
    <row r="8266" ht="15.75" customHeight="1">
      <c r="H8266" s="2" t="s">
        <v>38343</v>
      </c>
      <c r="I8266" s="2" t="s">
        <v>5986</v>
      </c>
      <c r="J8266" s="2" t="s">
        <v>5987</v>
      </c>
      <c r="K8266" s="2" t="s">
        <v>38344</v>
      </c>
      <c r="L8266" s="2" t="s">
        <v>37914</v>
      </c>
      <c r="M8266" s="2" t="s">
        <v>38345</v>
      </c>
      <c r="N8266" s="2" t="s">
        <v>38346</v>
      </c>
      <c r="O8266" s="2" t="s">
        <v>38347</v>
      </c>
      <c r="P8266" s="2" t="s">
        <v>869</v>
      </c>
    </row>
    <row r="8267" ht="15.75" customHeight="1">
      <c r="B8267" s="2" t="s">
        <v>38348</v>
      </c>
      <c r="C8267" s="2" t="s">
        <v>38349</v>
      </c>
      <c r="D8267" s="2" t="s">
        <v>38350</v>
      </c>
      <c r="F8267" s="2" t="s">
        <v>19</v>
      </c>
      <c r="H8267" s="2" t="s">
        <v>38351</v>
      </c>
      <c r="I8267" s="2" t="s">
        <v>21</v>
      </c>
      <c r="J8267" s="2" t="s">
        <v>22</v>
      </c>
      <c r="K8267" s="2" t="s">
        <v>5995</v>
      </c>
      <c r="L8267" s="2" t="s">
        <v>38352</v>
      </c>
      <c r="M8267" s="2" t="s">
        <v>38353</v>
      </c>
      <c r="N8267" s="2" t="s">
        <v>38354</v>
      </c>
      <c r="O8267" s="2" t="s">
        <v>38355</v>
      </c>
      <c r="P8267" s="2" t="s">
        <v>869</v>
      </c>
    </row>
    <row r="8268" ht="15.75" customHeight="1">
      <c r="F8268" s="2" t="s">
        <v>29</v>
      </c>
      <c r="H8268" s="2" t="s">
        <v>38356</v>
      </c>
      <c r="I8268" s="2" t="s">
        <v>32221</v>
      </c>
      <c r="J8268" s="2" t="s">
        <v>32222</v>
      </c>
      <c r="K8268" s="2" t="s">
        <v>15801</v>
      </c>
      <c r="L8268" s="2" t="s">
        <v>38357</v>
      </c>
      <c r="M8268" s="2" t="s">
        <v>32223</v>
      </c>
      <c r="N8268" s="2" t="s">
        <v>38358</v>
      </c>
      <c r="O8268" s="2" t="s">
        <v>38359</v>
      </c>
      <c r="P8268" s="2" t="s">
        <v>869</v>
      </c>
    </row>
    <row r="8269" ht="15.75" customHeight="1">
      <c r="F8269" s="2" t="s">
        <v>39</v>
      </c>
      <c r="H8269" s="2" t="s">
        <v>38360</v>
      </c>
      <c r="I8269" s="2" t="s">
        <v>41</v>
      </c>
      <c r="J8269" s="2" t="s">
        <v>42</v>
      </c>
      <c r="K8269" s="2" t="s">
        <v>24561</v>
      </c>
      <c r="L8269" s="2" t="s">
        <v>38361</v>
      </c>
      <c r="M8269" s="2" t="s">
        <v>38362</v>
      </c>
      <c r="N8269" s="2" t="s">
        <v>38363</v>
      </c>
      <c r="O8269" s="2" t="s">
        <v>38364</v>
      </c>
      <c r="P8269" s="2" t="s">
        <v>869</v>
      </c>
    </row>
    <row r="8270" ht="15.75" customHeight="1">
      <c r="F8270" s="2" t="s">
        <v>74</v>
      </c>
      <c r="H8270" s="2" t="s">
        <v>38365</v>
      </c>
      <c r="I8270" s="2" t="s">
        <v>76</v>
      </c>
      <c r="J8270" s="2" t="s">
        <v>77</v>
      </c>
      <c r="K8270" s="2" t="s">
        <v>15779</v>
      </c>
      <c r="L8270" s="2" t="s">
        <v>38366</v>
      </c>
      <c r="M8270" s="2" t="s">
        <v>38367</v>
      </c>
      <c r="N8270" s="2" t="s">
        <v>38368</v>
      </c>
      <c r="O8270" s="2" t="s">
        <v>38369</v>
      </c>
      <c r="P8270" s="2" t="s">
        <v>869</v>
      </c>
    </row>
    <row r="8271" ht="15.75" customHeight="1">
      <c r="H8271" s="2" t="s">
        <v>38370</v>
      </c>
      <c r="I8271" s="2" t="s">
        <v>1520</v>
      </c>
      <c r="J8271" s="2" t="s">
        <v>1521</v>
      </c>
      <c r="K8271" s="2" t="s">
        <v>38371</v>
      </c>
      <c r="L8271" s="2" t="s">
        <v>38372</v>
      </c>
      <c r="M8271" s="2" t="s">
        <v>38373</v>
      </c>
      <c r="N8271" s="2" t="s">
        <v>38374</v>
      </c>
      <c r="O8271" s="2" t="s">
        <v>38375</v>
      </c>
      <c r="P8271" s="2" t="s">
        <v>869</v>
      </c>
    </row>
    <row r="8272" ht="15.75" customHeight="1">
      <c r="H8272" s="2" t="s">
        <v>38376</v>
      </c>
      <c r="I8272" s="2" t="s">
        <v>117</v>
      </c>
      <c r="J8272" s="2" t="s">
        <v>118</v>
      </c>
      <c r="K8272" s="2" t="s">
        <v>24269</v>
      </c>
      <c r="L8272" s="2" t="s">
        <v>38377</v>
      </c>
      <c r="M8272" s="2" t="s">
        <v>38378</v>
      </c>
      <c r="N8272" s="2" t="s">
        <v>38379</v>
      </c>
      <c r="O8272" s="2" t="s">
        <v>38380</v>
      </c>
      <c r="P8272" s="2" t="s">
        <v>869</v>
      </c>
    </row>
    <row r="8273" ht="15.75" customHeight="1">
      <c r="H8273" s="2" t="s">
        <v>38381</v>
      </c>
      <c r="I8273" s="2" t="s">
        <v>18850</v>
      </c>
      <c r="J8273" s="2" t="s">
        <v>18851</v>
      </c>
      <c r="K8273" s="2" t="s">
        <v>32267</v>
      </c>
      <c r="L8273" s="2" t="s">
        <v>38382</v>
      </c>
      <c r="M8273" s="2" t="s">
        <v>38383</v>
      </c>
      <c r="N8273" s="2" t="s">
        <v>38384</v>
      </c>
      <c r="O8273" s="2" t="s">
        <v>38385</v>
      </c>
      <c r="P8273" s="2" t="s">
        <v>869</v>
      </c>
    </row>
    <row r="8274" ht="15.75" customHeight="1">
      <c r="H8274" s="2" t="s">
        <v>38386</v>
      </c>
      <c r="I8274" s="2" t="s">
        <v>11590</v>
      </c>
      <c r="J8274" s="2" t="s">
        <v>11591</v>
      </c>
      <c r="K8274" s="2" t="s">
        <v>32286</v>
      </c>
      <c r="L8274" s="2" t="s">
        <v>38387</v>
      </c>
      <c r="M8274" s="2" t="s">
        <v>38388</v>
      </c>
      <c r="N8274" s="2" t="s">
        <v>38389</v>
      </c>
      <c r="O8274" s="2" t="s">
        <v>38390</v>
      </c>
      <c r="P8274" s="2" t="s">
        <v>869</v>
      </c>
    </row>
    <row r="8275" ht="15.75" customHeight="1">
      <c r="H8275" s="2" t="s">
        <v>38391</v>
      </c>
      <c r="I8275" s="2" t="s">
        <v>1663</v>
      </c>
      <c r="J8275" s="2" t="s">
        <v>1664</v>
      </c>
      <c r="K8275" s="2" t="s">
        <v>24288</v>
      </c>
      <c r="L8275" s="2" t="s">
        <v>38392</v>
      </c>
      <c r="M8275" s="2" t="s">
        <v>38393</v>
      </c>
      <c r="N8275" s="2" t="s">
        <v>38394</v>
      </c>
      <c r="O8275" s="2" t="s">
        <v>38395</v>
      </c>
      <c r="P8275" s="2" t="s">
        <v>869</v>
      </c>
    </row>
    <row r="8276" ht="15.75" customHeight="1">
      <c r="H8276" s="2" t="s">
        <v>38396</v>
      </c>
      <c r="I8276" s="2" t="s">
        <v>38397</v>
      </c>
      <c r="J8276" s="2" t="s">
        <v>38398</v>
      </c>
      <c r="K8276" s="2" t="s">
        <v>15784</v>
      </c>
      <c r="L8276" s="2" t="s">
        <v>38399</v>
      </c>
      <c r="M8276" s="2" t="s">
        <v>38400</v>
      </c>
      <c r="N8276" s="2" t="s">
        <v>38401</v>
      </c>
      <c r="O8276" s="2" t="s">
        <v>38402</v>
      </c>
      <c r="P8276" s="2" t="s">
        <v>869</v>
      </c>
    </row>
    <row r="8277" ht="15.75" customHeight="1">
      <c r="H8277" s="2" t="s">
        <v>38403</v>
      </c>
      <c r="I8277" s="2" t="s">
        <v>2262</v>
      </c>
      <c r="J8277" s="2" t="s">
        <v>2263</v>
      </c>
      <c r="K8277" s="2" t="s">
        <v>38404</v>
      </c>
      <c r="L8277" s="2" t="s">
        <v>38405</v>
      </c>
      <c r="M8277" s="2" t="s">
        <v>38406</v>
      </c>
      <c r="N8277" s="2" t="s">
        <v>38407</v>
      </c>
      <c r="O8277" s="2" t="s">
        <v>38408</v>
      </c>
      <c r="P8277" s="2" t="s">
        <v>869</v>
      </c>
    </row>
    <row r="8278" ht="15.75" customHeight="1">
      <c r="H8278" s="2" t="s">
        <v>38409</v>
      </c>
      <c r="I8278" s="2" t="s">
        <v>176</v>
      </c>
      <c r="J8278" s="2" t="s">
        <v>177</v>
      </c>
      <c r="K8278" s="2" t="s">
        <v>6015</v>
      </c>
      <c r="L8278" s="2" t="s">
        <v>38410</v>
      </c>
      <c r="M8278" s="2" t="s">
        <v>38411</v>
      </c>
      <c r="N8278" s="2" t="s">
        <v>38412</v>
      </c>
      <c r="O8278" s="2" t="s">
        <v>38413</v>
      </c>
      <c r="P8278" s="2" t="s">
        <v>869</v>
      </c>
    </row>
    <row r="8279" ht="15.75" customHeight="1">
      <c r="H8279" s="2" t="s">
        <v>38414</v>
      </c>
      <c r="I8279" s="2" t="s">
        <v>38415</v>
      </c>
      <c r="J8279" s="2" t="s">
        <v>38416</v>
      </c>
      <c r="K8279" s="2" t="s">
        <v>38417</v>
      </c>
      <c r="L8279" s="2" t="s">
        <v>38418</v>
      </c>
      <c r="M8279" s="2" t="s">
        <v>38419</v>
      </c>
      <c r="N8279" s="2" t="s">
        <v>38420</v>
      </c>
      <c r="O8279" s="2" t="s">
        <v>38421</v>
      </c>
      <c r="P8279" s="2" t="s">
        <v>869</v>
      </c>
    </row>
    <row r="8280" ht="15.75" customHeight="1">
      <c r="F8280" s="2" t="s">
        <v>265</v>
      </c>
      <c r="H8280" s="2" t="s">
        <v>38422</v>
      </c>
      <c r="I8280" s="2" t="s">
        <v>267</v>
      </c>
      <c r="J8280" s="2" t="s">
        <v>268</v>
      </c>
      <c r="K8280" s="2" t="s">
        <v>6019</v>
      </c>
      <c r="L8280" s="2" t="s">
        <v>38423</v>
      </c>
      <c r="M8280" s="2" t="s">
        <v>38424</v>
      </c>
      <c r="N8280" s="2" t="s">
        <v>38425</v>
      </c>
      <c r="O8280" s="2" t="s">
        <v>38426</v>
      </c>
      <c r="P8280" s="2" t="s">
        <v>869</v>
      </c>
    </row>
    <row r="8281" ht="15.75" customHeight="1">
      <c r="H8281" s="2" t="s">
        <v>38427</v>
      </c>
      <c r="I8281" s="2" t="s">
        <v>29152</v>
      </c>
      <c r="J8281" s="2" t="s">
        <v>29153</v>
      </c>
      <c r="K8281" s="2" t="s">
        <v>24679</v>
      </c>
      <c r="L8281" s="2" t="s">
        <v>38428</v>
      </c>
      <c r="M8281" s="2" t="s">
        <v>38429</v>
      </c>
      <c r="N8281" s="2" t="s">
        <v>38430</v>
      </c>
      <c r="O8281" s="2" t="s">
        <v>38431</v>
      </c>
      <c r="P8281" s="2" t="s">
        <v>869</v>
      </c>
    </row>
    <row r="8282" ht="15.75" customHeight="1">
      <c r="H8282" s="2" t="s">
        <v>38432</v>
      </c>
      <c r="I8282" s="2" t="s">
        <v>38433</v>
      </c>
      <c r="J8282" s="2" t="s">
        <v>38434</v>
      </c>
      <c r="K8282" s="2" t="s">
        <v>35082</v>
      </c>
      <c r="L8282" s="2" t="s">
        <v>38435</v>
      </c>
      <c r="M8282" s="2" t="s">
        <v>38436</v>
      </c>
      <c r="N8282" s="2" t="s">
        <v>38437</v>
      </c>
      <c r="O8282" s="2" t="s">
        <v>869</v>
      </c>
      <c r="P8282" s="2" t="s">
        <v>870</v>
      </c>
    </row>
    <row r="8283" ht="15.75" customHeight="1">
      <c r="H8283" s="2" t="s">
        <v>38438</v>
      </c>
      <c r="I8283" s="2" t="s">
        <v>32945</v>
      </c>
      <c r="J8283" s="2" t="s">
        <v>32946</v>
      </c>
      <c r="K8283" s="2" t="s">
        <v>24314</v>
      </c>
      <c r="L8283" s="2" t="s">
        <v>38439</v>
      </c>
      <c r="M8283" s="2" t="s">
        <v>38440</v>
      </c>
      <c r="N8283" s="2" t="s">
        <v>38441</v>
      </c>
      <c r="O8283" s="2" t="s">
        <v>869</v>
      </c>
      <c r="P8283" s="2" t="s">
        <v>870</v>
      </c>
    </row>
    <row r="8284" ht="15.75" customHeight="1">
      <c r="F8284" s="2" t="s">
        <v>274</v>
      </c>
      <c r="H8284" s="2" t="s">
        <v>38442</v>
      </c>
      <c r="I8284" s="2" t="s">
        <v>279</v>
      </c>
      <c r="J8284" s="2" t="s">
        <v>274</v>
      </c>
      <c r="K8284" s="2" t="s">
        <v>280</v>
      </c>
    </row>
    <row r="8285" ht="15.75" customHeight="1">
      <c r="F8285" s="2" t="s">
        <v>284</v>
      </c>
      <c r="H8285" s="2" t="s">
        <v>38443</v>
      </c>
      <c r="I8285" s="2" t="s">
        <v>6023</v>
      </c>
      <c r="J8285" s="2" t="s">
        <v>6024</v>
      </c>
      <c r="K8285" s="2" t="s">
        <v>6025</v>
      </c>
      <c r="L8285" s="2" t="s">
        <v>38444</v>
      </c>
      <c r="M8285" s="2" t="s">
        <v>38445</v>
      </c>
      <c r="N8285" s="2" t="s">
        <v>38446</v>
      </c>
      <c r="O8285" s="2" t="s">
        <v>38446</v>
      </c>
      <c r="P8285" s="2" t="s">
        <v>869</v>
      </c>
    </row>
    <row r="8286" ht="15.75" customHeight="1">
      <c r="H8286" s="2" t="s">
        <v>38447</v>
      </c>
      <c r="I8286" s="2" t="s">
        <v>286</v>
      </c>
      <c r="J8286" s="2" t="s">
        <v>287</v>
      </c>
      <c r="K8286" s="2" t="s">
        <v>15801</v>
      </c>
      <c r="L8286" s="2" t="s">
        <v>38448</v>
      </c>
      <c r="M8286" s="2" t="s">
        <v>38449</v>
      </c>
      <c r="N8286" s="2" t="s">
        <v>38450</v>
      </c>
      <c r="O8286" s="2" t="s">
        <v>38450</v>
      </c>
      <c r="P8286" s="2" t="s">
        <v>869</v>
      </c>
    </row>
    <row r="8287" ht="15.75" customHeight="1">
      <c r="H8287" s="2" t="s">
        <v>38451</v>
      </c>
      <c r="I8287" s="2" t="s">
        <v>2162</v>
      </c>
      <c r="J8287" s="2" t="s">
        <v>2163</v>
      </c>
      <c r="K8287" s="2" t="s">
        <v>6019</v>
      </c>
      <c r="L8287" s="2" t="s">
        <v>38452</v>
      </c>
      <c r="M8287" s="2" t="s">
        <v>38453</v>
      </c>
      <c r="N8287" s="2" t="s">
        <v>38454</v>
      </c>
      <c r="O8287" s="2" t="s">
        <v>38455</v>
      </c>
      <c r="P8287" s="2" t="s">
        <v>869</v>
      </c>
    </row>
    <row r="8288" ht="15.75" customHeight="1">
      <c r="H8288" s="2" t="s">
        <v>38456</v>
      </c>
      <c r="I8288" s="2" t="s">
        <v>310</v>
      </c>
      <c r="J8288" s="2" t="s">
        <v>311</v>
      </c>
      <c r="K8288" s="2" t="s">
        <v>15809</v>
      </c>
      <c r="L8288" s="2" t="s">
        <v>38457</v>
      </c>
      <c r="M8288" s="2" t="s">
        <v>38458</v>
      </c>
      <c r="N8288" s="2" t="s">
        <v>38459</v>
      </c>
      <c r="O8288" s="2" t="s">
        <v>38460</v>
      </c>
      <c r="P8288" s="2" t="s">
        <v>869</v>
      </c>
    </row>
    <row r="8289" ht="15.75" customHeight="1">
      <c r="H8289" s="2" t="s">
        <v>38461</v>
      </c>
      <c r="I8289" s="2" t="s">
        <v>38462</v>
      </c>
      <c r="J8289" s="2" t="s">
        <v>38463</v>
      </c>
      <c r="K8289" s="2" t="s">
        <v>24621</v>
      </c>
      <c r="L8289" s="2" t="s">
        <v>38464</v>
      </c>
      <c r="M8289" s="2" t="s">
        <v>38465</v>
      </c>
      <c r="N8289" s="2" t="s">
        <v>38466</v>
      </c>
      <c r="O8289" s="2" t="s">
        <v>38467</v>
      </c>
      <c r="P8289" s="2" t="s">
        <v>869</v>
      </c>
    </row>
    <row r="8290" ht="15.75" customHeight="1">
      <c r="H8290" s="2" t="s">
        <v>38468</v>
      </c>
      <c r="I8290" s="2" t="s">
        <v>38469</v>
      </c>
      <c r="J8290" s="2" t="s">
        <v>38470</v>
      </c>
      <c r="K8290" s="2" t="s">
        <v>6006</v>
      </c>
      <c r="L8290" s="2" t="s">
        <v>38471</v>
      </c>
      <c r="M8290" s="2" t="s">
        <v>38472</v>
      </c>
      <c r="N8290" s="2" t="s">
        <v>38473</v>
      </c>
      <c r="O8290" s="2" t="s">
        <v>38474</v>
      </c>
      <c r="P8290" s="2" t="s">
        <v>869</v>
      </c>
    </row>
    <row r="8291" ht="15.75" customHeight="1">
      <c r="H8291" s="2" t="s">
        <v>38475</v>
      </c>
      <c r="I8291" s="2" t="s">
        <v>2175</v>
      </c>
      <c r="J8291" s="2" t="s">
        <v>2176</v>
      </c>
      <c r="K8291" s="2" t="s">
        <v>6029</v>
      </c>
      <c r="L8291" s="2" t="s">
        <v>38476</v>
      </c>
      <c r="M8291" s="2" t="s">
        <v>38477</v>
      </c>
      <c r="N8291" s="2" t="s">
        <v>38478</v>
      </c>
      <c r="O8291" s="2" t="s">
        <v>38479</v>
      </c>
      <c r="P8291" s="2" t="s">
        <v>869</v>
      </c>
    </row>
    <row r="8292" ht="15.75" customHeight="1">
      <c r="H8292" s="2" t="s">
        <v>38480</v>
      </c>
      <c r="I8292" s="2" t="s">
        <v>24171</v>
      </c>
      <c r="J8292" s="2" t="s">
        <v>24172</v>
      </c>
      <c r="K8292" s="2" t="s">
        <v>24173</v>
      </c>
      <c r="L8292" s="2" t="s">
        <v>38481</v>
      </c>
      <c r="M8292" s="2" t="s">
        <v>38482</v>
      </c>
      <c r="N8292" s="2" t="s">
        <v>38483</v>
      </c>
      <c r="O8292" s="2" t="s">
        <v>38484</v>
      </c>
      <c r="P8292" s="2" t="s">
        <v>869</v>
      </c>
    </row>
    <row r="8293" ht="15.75" customHeight="1">
      <c r="H8293" s="2" t="s">
        <v>38485</v>
      </c>
      <c r="I8293" s="2" t="s">
        <v>376</v>
      </c>
      <c r="J8293" s="2" t="s">
        <v>377</v>
      </c>
      <c r="K8293" s="2" t="s">
        <v>24004</v>
      </c>
      <c r="L8293" s="2" t="s">
        <v>38486</v>
      </c>
      <c r="M8293" s="2" t="s">
        <v>38487</v>
      </c>
      <c r="N8293" s="2" t="s">
        <v>38488</v>
      </c>
      <c r="O8293" s="2" t="s">
        <v>38489</v>
      </c>
      <c r="P8293" s="2" t="s">
        <v>869</v>
      </c>
    </row>
    <row r="8294" ht="15.75" customHeight="1">
      <c r="H8294" s="2" t="s">
        <v>38490</v>
      </c>
      <c r="I8294" s="2" t="s">
        <v>25973</v>
      </c>
      <c r="J8294" s="2" t="s">
        <v>25974</v>
      </c>
      <c r="K8294" s="2" t="s">
        <v>32581</v>
      </c>
      <c r="L8294" s="2" t="s">
        <v>38491</v>
      </c>
      <c r="M8294" s="2" t="s">
        <v>38492</v>
      </c>
      <c r="N8294" s="2" t="s">
        <v>38493</v>
      </c>
      <c r="O8294" s="2" t="s">
        <v>38494</v>
      </c>
      <c r="P8294" s="2" t="s">
        <v>869</v>
      </c>
    </row>
    <row r="8295" ht="15.75" customHeight="1">
      <c r="H8295" s="2" t="s">
        <v>38495</v>
      </c>
      <c r="I8295" s="2" t="s">
        <v>384</v>
      </c>
      <c r="J8295" s="2" t="s">
        <v>385</v>
      </c>
      <c r="K8295" s="2" t="s">
        <v>32902</v>
      </c>
      <c r="L8295" s="2" t="s">
        <v>38496</v>
      </c>
      <c r="M8295" s="2" t="s">
        <v>38497</v>
      </c>
      <c r="N8295" s="2" t="s">
        <v>38498</v>
      </c>
      <c r="O8295" s="2" t="s">
        <v>38499</v>
      </c>
      <c r="P8295" s="2" t="s">
        <v>869</v>
      </c>
    </row>
    <row r="8296" ht="15.75" customHeight="1">
      <c r="H8296" s="2" t="s">
        <v>38500</v>
      </c>
      <c r="I8296" s="2" t="s">
        <v>415</v>
      </c>
      <c r="J8296" s="2" t="s">
        <v>416</v>
      </c>
      <c r="K8296" s="2" t="s">
        <v>15831</v>
      </c>
      <c r="L8296" s="2" t="s">
        <v>38501</v>
      </c>
      <c r="M8296" s="2" t="s">
        <v>38502</v>
      </c>
      <c r="N8296" s="2" t="s">
        <v>38503</v>
      </c>
      <c r="O8296" s="2" t="s">
        <v>38504</v>
      </c>
      <c r="P8296" s="2" t="s">
        <v>869</v>
      </c>
    </row>
    <row r="8297" ht="15.75" customHeight="1">
      <c r="H8297" s="2" t="s">
        <v>38505</v>
      </c>
      <c r="I8297" s="2" t="s">
        <v>5459</v>
      </c>
      <c r="J8297" s="2" t="s">
        <v>5460</v>
      </c>
      <c r="K8297" s="2" t="s">
        <v>15784</v>
      </c>
      <c r="L8297" s="2" t="s">
        <v>38506</v>
      </c>
      <c r="M8297" s="2" t="s">
        <v>38507</v>
      </c>
      <c r="N8297" s="2" t="s">
        <v>38508</v>
      </c>
      <c r="O8297" s="2" t="s">
        <v>869</v>
      </c>
      <c r="P8297" s="2" t="s">
        <v>870</v>
      </c>
    </row>
    <row r="8298" ht="15.75" customHeight="1">
      <c r="H8298" s="2" t="s">
        <v>38509</v>
      </c>
      <c r="I8298" s="2" t="s">
        <v>38510</v>
      </c>
      <c r="J8298" s="2" t="s">
        <v>38511</v>
      </c>
      <c r="K8298" s="2" t="s">
        <v>38512</v>
      </c>
      <c r="L8298" s="2" t="s">
        <v>38513</v>
      </c>
      <c r="M8298" s="2" t="s">
        <v>38514</v>
      </c>
      <c r="N8298" s="2" t="s">
        <v>38515</v>
      </c>
      <c r="O8298" s="2" t="s">
        <v>38516</v>
      </c>
      <c r="P8298" s="2" t="s">
        <v>869</v>
      </c>
    </row>
    <row r="8299" ht="15.75" customHeight="1">
      <c r="H8299" s="2" t="s">
        <v>38517</v>
      </c>
      <c r="I8299" s="2" t="s">
        <v>2286</v>
      </c>
      <c r="J8299" s="2" t="s">
        <v>2287</v>
      </c>
      <c r="K8299" s="2" t="s">
        <v>32936</v>
      </c>
      <c r="L8299" s="2" t="s">
        <v>38518</v>
      </c>
      <c r="M8299" s="2" t="s">
        <v>38519</v>
      </c>
      <c r="N8299" s="2" t="s">
        <v>38520</v>
      </c>
      <c r="O8299" s="2" t="s">
        <v>38521</v>
      </c>
      <c r="P8299" s="2" t="s">
        <v>869</v>
      </c>
    </row>
    <row r="8300" ht="15.75" customHeight="1">
      <c r="H8300" s="2" t="s">
        <v>38522</v>
      </c>
      <c r="I8300" s="2" t="s">
        <v>38523</v>
      </c>
      <c r="J8300" s="2" t="s">
        <v>38524</v>
      </c>
      <c r="K8300" s="2" t="s">
        <v>38525</v>
      </c>
      <c r="L8300" s="2" t="s">
        <v>38526</v>
      </c>
      <c r="M8300" s="2" t="s">
        <v>38527</v>
      </c>
      <c r="N8300" s="2" t="s">
        <v>38528</v>
      </c>
      <c r="O8300" s="2" t="s">
        <v>38529</v>
      </c>
      <c r="P8300" s="2" t="s">
        <v>869</v>
      </c>
    </row>
    <row r="8301" ht="15.75" customHeight="1">
      <c r="H8301" s="2" t="s">
        <v>38530</v>
      </c>
      <c r="I8301" s="2" t="s">
        <v>432</v>
      </c>
      <c r="J8301" s="2" t="s">
        <v>433</v>
      </c>
      <c r="K8301" s="2" t="s">
        <v>15827</v>
      </c>
      <c r="L8301" s="2" t="s">
        <v>38531</v>
      </c>
      <c r="M8301" s="2" t="s">
        <v>38532</v>
      </c>
      <c r="N8301" s="2" t="s">
        <v>38533</v>
      </c>
      <c r="O8301" s="2" t="s">
        <v>38534</v>
      </c>
      <c r="P8301" s="2" t="s">
        <v>869</v>
      </c>
    </row>
    <row r="8302" ht="15.75" customHeight="1">
      <c r="H8302" s="2" t="s">
        <v>38535</v>
      </c>
      <c r="I8302" s="2" t="s">
        <v>440</v>
      </c>
      <c r="J8302" s="2" t="s">
        <v>441</v>
      </c>
      <c r="K8302" s="2" t="s">
        <v>24907</v>
      </c>
      <c r="L8302" s="2" t="s">
        <v>38536</v>
      </c>
      <c r="M8302" s="2" t="s">
        <v>38537</v>
      </c>
      <c r="N8302" s="2" t="s">
        <v>38538</v>
      </c>
      <c r="O8302" s="2" t="s">
        <v>38539</v>
      </c>
      <c r="P8302" s="2" t="s">
        <v>869</v>
      </c>
    </row>
    <row r="8303" ht="15.75" customHeight="1">
      <c r="H8303" s="2" t="s">
        <v>38540</v>
      </c>
      <c r="I8303" s="2" t="s">
        <v>24945</v>
      </c>
      <c r="J8303" s="2" t="s">
        <v>24946</v>
      </c>
      <c r="K8303" s="2" t="s">
        <v>24947</v>
      </c>
      <c r="L8303" s="2" t="s">
        <v>38541</v>
      </c>
      <c r="M8303" s="2" t="s">
        <v>38542</v>
      </c>
      <c r="N8303" s="2" t="s">
        <v>38543</v>
      </c>
      <c r="O8303" s="2" t="s">
        <v>38544</v>
      </c>
      <c r="P8303" s="2" t="s">
        <v>869</v>
      </c>
    </row>
    <row r="8304" ht="15.75" customHeight="1">
      <c r="H8304" s="2" t="s">
        <v>38545</v>
      </c>
      <c r="I8304" s="2" t="s">
        <v>5541</v>
      </c>
      <c r="J8304" s="2" t="s">
        <v>5542</v>
      </c>
      <c r="K8304" s="2" t="s">
        <v>5543</v>
      </c>
    </row>
    <row r="8305" ht="15.75" customHeight="1">
      <c r="H8305" s="2" t="s">
        <v>38546</v>
      </c>
      <c r="I8305" s="2" t="s">
        <v>485</v>
      </c>
      <c r="J8305" s="2" t="s">
        <v>486</v>
      </c>
      <c r="K8305" s="2" t="s">
        <v>15792</v>
      </c>
      <c r="L8305" s="2" t="s">
        <v>38547</v>
      </c>
      <c r="M8305" s="2" t="s">
        <v>38548</v>
      </c>
      <c r="N8305" s="2" t="s">
        <v>38549</v>
      </c>
      <c r="O8305" s="2" t="s">
        <v>38550</v>
      </c>
      <c r="P8305" s="2" t="s">
        <v>869</v>
      </c>
    </row>
    <row r="8306" ht="15.75" customHeight="1">
      <c r="H8306" s="2" t="s">
        <v>38551</v>
      </c>
      <c r="I8306" s="2" t="s">
        <v>38552</v>
      </c>
      <c r="J8306" s="2" t="s">
        <v>38553</v>
      </c>
      <c r="K8306" s="2" t="s">
        <v>24023</v>
      </c>
      <c r="L8306" s="2" t="s">
        <v>38554</v>
      </c>
      <c r="M8306" s="2" t="s">
        <v>38555</v>
      </c>
      <c r="N8306" s="2" t="s">
        <v>38556</v>
      </c>
      <c r="O8306" s="2" t="s">
        <v>38556</v>
      </c>
      <c r="P8306" s="2" t="s">
        <v>869</v>
      </c>
    </row>
    <row r="8307" ht="15.75" customHeight="1">
      <c r="H8307" s="2" t="s">
        <v>38557</v>
      </c>
      <c r="I8307" s="2" t="s">
        <v>29468</v>
      </c>
      <c r="J8307" s="2" t="s">
        <v>29469</v>
      </c>
      <c r="K8307" s="2" t="s">
        <v>24450</v>
      </c>
      <c r="L8307" s="2" t="s">
        <v>38558</v>
      </c>
      <c r="M8307" s="2" t="s">
        <v>38559</v>
      </c>
      <c r="N8307" s="2" t="s">
        <v>38560</v>
      </c>
      <c r="O8307" s="2" t="s">
        <v>38561</v>
      </c>
      <c r="P8307" s="2" t="s">
        <v>869</v>
      </c>
    </row>
    <row r="8308" ht="15.75" customHeight="1">
      <c r="H8308" s="2" t="s">
        <v>38562</v>
      </c>
      <c r="I8308" s="2" t="s">
        <v>38563</v>
      </c>
      <c r="J8308" s="2" t="s">
        <v>38564</v>
      </c>
      <c r="K8308" s="2" t="s">
        <v>38565</v>
      </c>
      <c r="L8308" s="2" t="s">
        <v>38566</v>
      </c>
      <c r="M8308" s="2" t="s">
        <v>26031</v>
      </c>
      <c r="N8308" s="2" t="s">
        <v>38567</v>
      </c>
      <c r="O8308" s="2" t="s">
        <v>38568</v>
      </c>
      <c r="P8308" s="2" t="s">
        <v>869</v>
      </c>
    </row>
    <row r="8309" ht="15.75" customHeight="1">
      <c r="H8309" s="2" t="s">
        <v>38569</v>
      </c>
      <c r="I8309" s="2" t="s">
        <v>38570</v>
      </c>
      <c r="J8309" s="2" t="s">
        <v>38571</v>
      </c>
      <c r="K8309" s="2" t="s">
        <v>31583</v>
      </c>
      <c r="L8309" s="2" t="s">
        <v>38572</v>
      </c>
      <c r="M8309" s="2" t="s">
        <v>38573</v>
      </c>
      <c r="N8309" s="2" t="s">
        <v>38574</v>
      </c>
      <c r="O8309" s="2" t="s">
        <v>38575</v>
      </c>
      <c r="P8309" s="2" t="s">
        <v>869</v>
      </c>
    </row>
    <row r="8310" ht="15.75" customHeight="1">
      <c r="F8310" s="2" t="s">
        <v>534</v>
      </c>
      <c r="H8310" s="2" t="s">
        <v>38576</v>
      </c>
      <c r="I8310" s="2" t="s">
        <v>536</v>
      </c>
      <c r="J8310" s="2" t="s">
        <v>537</v>
      </c>
      <c r="K8310" s="2" t="s">
        <v>538</v>
      </c>
    </row>
    <row r="8311" ht="15.75" customHeight="1">
      <c r="F8311" s="2" t="s">
        <v>548</v>
      </c>
      <c r="H8311" s="2" t="s">
        <v>38577</v>
      </c>
      <c r="I8311" s="2" t="s">
        <v>550</v>
      </c>
      <c r="J8311" s="2" t="s">
        <v>551</v>
      </c>
      <c r="K8311" s="2" t="s">
        <v>6050</v>
      </c>
      <c r="L8311" s="2" t="s">
        <v>38578</v>
      </c>
      <c r="M8311" s="2" t="s">
        <v>25028</v>
      </c>
      <c r="N8311" s="2" t="s">
        <v>38579</v>
      </c>
      <c r="O8311" s="2" t="s">
        <v>38580</v>
      </c>
      <c r="P8311" s="2" t="s">
        <v>869</v>
      </c>
    </row>
    <row r="8312" ht="15.75" customHeight="1">
      <c r="F8312" s="2" t="s">
        <v>556</v>
      </c>
      <c r="H8312" s="2" t="s">
        <v>38581</v>
      </c>
      <c r="I8312" s="2" t="s">
        <v>5599</v>
      </c>
      <c r="J8312" s="2" t="s">
        <v>5600</v>
      </c>
      <c r="K8312" s="2" t="s">
        <v>24679</v>
      </c>
      <c r="L8312" s="2" t="s">
        <v>38582</v>
      </c>
      <c r="M8312" s="2" t="s">
        <v>38583</v>
      </c>
      <c r="N8312" s="2" t="s">
        <v>38584</v>
      </c>
      <c r="O8312" s="2" t="s">
        <v>38585</v>
      </c>
      <c r="P8312" s="2" t="s">
        <v>869</v>
      </c>
    </row>
    <row r="8313" ht="15.75" customHeight="1">
      <c r="H8313" s="2" t="s">
        <v>38586</v>
      </c>
      <c r="I8313" s="2" t="s">
        <v>38587</v>
      </c>
      <c r="J8313" s="2" t="s">
        <v>38588</v>
      </c>
      <c r="K8313" s="2" t="s">
        <v>38589</v>
      </c>
      <c r="L8313" s="2" t="s">
        <v>38590</v>
      </c>
      <c r="M8313" s="2" t="s">
        <v>38591</v>
      </c>
      <c r="N8313" s="2" t="s">
        <v>38592</v>
      </c>
      <c r="O8313" s="2" t="s">
        <v>869</v>
      </c>
      <c r="P8313" s="2" t="s">
        <v>870</v>
      </c>
    </row>
    <row r="8314" ht="15.75" customHeight="1">
      <c r="H8314" s="2" t="s">
        <v>38593</v>
      </c>
      <c r="I8314" s="2" t="s">
        <v>33825</v>
      </c>
      <c r="J8314" s="2" t="s">
        <v>33826</v>
      </c>
      <c r="K8314" s="2" t="s">
        <v>6029</v>
      </c>
      <c r="L8314" s="2" t="s">
        <v>38594</v>
      </c>
      <c r="M8314" s="2" t="s">
        <v>38595</v>
      </c>
      <c r="N8314" s="2" t="s">
        <v>38596</v>
      </c>
      <c r="O8314" s="2" t="s">
        <v>38597</v>
      </c>
      <c r="P8314" s="2" t="s">
        <v>869</v>
      </c>
    </row>
    <row r="8315" ht="15.75" customHeight="1">
      <c r="H8315" s="2" t="s">
        <v>38598</v>
      </c>
      <c r="I8315" s="2" t="s">
        <v>574</v>
      </c>
      <c r="J8315" s="2" t="s">
        <v>575</v>
      </c>
      <c r="K8315" s="2" t="s">
        <v>15872</v>
      </c>
      <c r="L8315" s="2" t="s">
        <v>38599</v>
      </c>
      <c r="M8315" s="2" t="s">
        <v>38600</v>
      </c>
      <c r="N8315" s="2" t="s">
        <v>38601</v>
      </c>
      <c r="O8315" s="2" t="s">
        <v>38602</v>
      </c>
      <c r="P8315" s="2" t="s">
        <v>869</v>
      </c>
    </row>
    <row r="8316" ht="15.75" customHeight="1">
      <c r="F8316" s="2" t="s">
        <v>598</v>
      </c>
      <c r="H8316" s="2" t="s">
        <v>38603</v>
      </c>
      <c r="I8316" s="2" t="s">
        <v>34061</v>
      </c>
      <c r="J8316" s="2" t="s">
        <v>34062</v>
      </c>
      <c r="K8316" s="2" t="s">
        <v>24137</v>
      </c>
      <c r="L8316" s="2" t="s">
        <v>38604</v>
      </c>
      <c r="M8316" s="2" t="s">
        <v>38605</v>
      </c>
      <c r="N8316" s="2" t="s">
        <v>38606</v>
      </c>
      <c r="O8316" s="2" t="s">
        <v>38607</v>
      </c>
      <c r="P8316" s="2" t="s">
        <v>869</v>
      </c>
    </row>
    <row r="8317" ht="15.75" customHeight="1">
      <c r="F8317" s="2" t="s">
        <v>624</v>
      </c>
      <c r="H8317" s="2" t="s">
        <v>38608</v>
      </c>
      <c r="I8317" s="2" t="s">
        <v>38609</v>
      </c>
      <c r="J8317" s="2" t="s">
        <v>38610</v>
      </c>
      <c r="K8317" s="2" t="s">
        <v>38589</v>
      </c>
      <c r="L8317" s="2" t="s">
        <v>38611</v>
      </c>
      <c r="M8317" s="2" t="s">
        <v>38612</v>
      </c>
      <c r="N8317" s="2" t="s">
        <v>38613</v>
      </c>
      <c r="O8317" s="2" t="s">
        <v>38614</v>
      </c>
      <c r="P8317" s="2" t="s">
        <v>869</v>
      </c>
    </row>
    <row r="8318" ht="15.75" customHeight="1">
      <c r="H8318" s="2" t="s">
        <v>38615</v>
      </c>
      <c r="I8318" s="2" t="s">
        <v>626</v>
      </c>
      <c r="J8318" s="2" t="s">
        <v>627</v>
      </c>
      <c r="K8318" s="2" t="s">
        <v>6058</v>
      </c>
      <c r="L8318" s="2" t="s">
        <v>38616</v>
      </c>
      <c r="M8318" s="2" t="s">
        <v>14029</v>
      </c>
      <c r="N8318" s="2" t="s">
        <v>38617</v>
      </c>
      <c r="O8318" s="2" t="s">
        <v>38618</v>
      </c>
      <c r="P8318" s="2" t="s">
        <v>869</v>
      </c>
    </row>
    <row r="8319" ht="15.75" customHeight="1">
      <c r="F8319" s="2" t="s">
        <v>3629</v>
      </c>
      <c r="H8319" s="2" t="s">
        <v>38619</v>
      </c>
      <c r="I8319" s="2" t="s">
        <v>38620</v>
      </c>
      <c r="J8319" s="2" t="s">
        <v>38621</v>
      </c>
      <c r="K8319" s="2" t="s">
        <v>37648</v>
      </c>
      <c r="L8319" s="2" t="s">
        <v>38622</v>
      </c>
      <c r="M8319" s="2" t="s">
        <v>38623</v>
      </c>
      <c r="N8319" s="2" t="s">
        <v>38624</v>
      </c>
      <c r="O8319" s="2" t="s">
        <v>38625</v>
      </c>
      <c r="P8319" s="2" t="s">
        <v>869</v>
      </c>
    </row>
    <row r="8320" ht="15.75" customHeight="1">
      <c r="F8320" s="2" t="s">
        <v>660</v>
      </c>
      <c r="H8320" s="2" t="s">
        <v>38626</v>
      </c>
      <c r="I8320" s="2" t="s">
        <v>662</v>
      </c>
      <c r="J8320" s="2" t="s">
        <v>663</v>
      </c>
      <c r="K8320" s="2" t="s">
        <v>15809</v>
      </c>
      <c r="L8320" s="2" t="s">
        <v>38627</v>
      </c>
      <c r="M8320" s="2" t="s">
        <v>38628</v>
      </c>
      <c r="N8320" s="2" t="s">
        <v>38629</v>
      </c>
      <c r="O8320" s="2" t="s">
        <v>38630</v>
      </c>
      <c r="P8320" s="2" t="s">
        <v>869</v>
      </c>
    </row>
    <row r="8321" ht="15.75" customHeight="1">
      <c r="F8321" s="2" t="s">
        <v>677</v>
      </c>
      <c r="H8321" s="2" t="s">
        <v>38631</v>
      </c>
      <c r="I8321" s="2" t="s">
        <v>20723</v>
      </c>
      <c r="J8321" s="2" t="s">
        <v>20724</v>
      </c>
      <c r="K8321" s="2" t="s">
        <v>24173</v>
      </c>
      <c r="L8321" s="2" t="s">
        <v>38632</v>
      </c>
      <c r="M8321" s="2" t="s">
        <v>38633</v>
      </c>
      <c r="N8321" s="2" t="s">
        <v>38634</v>
      </c>
      <c r="O8321" s="2" t="s">
        <v>38635</v>
      </c>
      <c r="P8321" s="2" t="s">
        <v>869</v>
      </c>
    </row>
    <row r="8322" ht="15.75" customHeight="1">
      <c r="H8322" s="2" t="s">
        <v>38636</v>
      </c>
      <c r="I8322" s="2" t="s">
        <v>38637</v>
      </c>
      <c r="J8322" s="2" t="s">
        <v>38638</v>
      </c>
      <c r="K8322" s="2" t="s">
        <v>38639</v>
      </c>
      <c r="L8322" s="2" t="s">
        <v>38640</v>
      </c>
      <c r="M8322" s="2" t="s">
        <v>38641</v>
      </c>
      <c r="N8322" s="2" t="s">
        <v>38642</v>
      </c>
      <c r="O8322" s="2" t="s">
        <v>869</v>
      </c>
      <c r="P8322" s="2" t="s">
        <v>870</v>
      </c>
    </row>
    <row r="8323" ht="15.75" customHeight="1">
      <c r="F8323" s="2" t="s">
        <v>703</v>
      </c>
      <c r="H8323" s="2" t="s">
        <v>38643</v>
      </c>
      <c r="I8323" s="2" t="s">
        <v>17599</v>
      </c>
      <c r="J8323" s="2" t="s">
        <v>17600</v>
      </c>
      <c r="K8323" s="2" t="s">
        <v>38644</v>
      </c>
      <c r="L8323" s="2" t="s">
        <v>38645</v>
      </c>
      <c r="M8323" s="2" t="s">
        <v>38646</v>
      </c>
      <c r="N8323" s="2" t="s">
        <v>38647</v>
      </c>
      <c r="O8323" s="2" t="s">
        <v>869</v>
      </c>
      <c r="P8323" s="2" t="s">
        <v>870</v>
      </c>
    </row>
    <row r="8324" ht="15.75" customHeight="1">
      <c r="H8324" s="2" t="s">
        <v>38648</v>
      </c>
      <c r="I8324" s="2" t="s">
        <v>713</v>
      </c>
      <c r="J8324" s="2" t="s">
        <v>714</v>
      </c>
      <c r="K8324" s="2" t="s">
        <v>15809</v>
      </c>
      <c r="L8324" s="2" t="s">
        <v>38649</v>
      </c>
      <c r="M8324" s="2" t="s">
        <v>38650</v>
      </c>
      <c r="N8324" s="2" t="s">
        <v>38651</v>
      </c>
      <c r="O8324" s="2" t="s">
        <v>38652</v>
      </c>
      <c r="P8324" s="2" t="s">
        <v>869</v>
      </c>
    </row>
    <row r="8325" ht="15.75" customHeight="1">
      <c r="F8325" s="2" t="s">
        <v>728</v>
      </c>
      <c r="H8325" s="2" t="s">
        <v>38653</v>
      </c>
      <c r="I8325" s="2" t="s">
        <v>15631</v>
      </c>
      <c r="J8325" s="2" t="s">
        <v>15632</v>
      </c>
      <c r="K8325" s="2" t="s">
        <v>31853</v>
      </c>
      <c r="L8325" s="2" t="s">
        <v>38654</v>
      </c>
      <c r="M8325" s="2" t="s">
        <v>38655</v>
      </c>
      <c r="N8325" s="2" t="s">
        <v>38656</v>
      </c>
      <c r="O8325" s="2" t="s">
        <v>38657</v>
      </c>
      <c r="P8325" s="2" t="s">
        <v>869</v>
      </c>
    </row>
    <row r="8326" ht="15.75" customHeight="1">
      <c r="H8326" s="2" t="s">
        <v>38658</v>
      </c>
      <c r="I8326" s="2" t="s">
        <v>4096</v>
      </c>
      <c r="J8326" s="2" t="s">
        <v>4097</v>
      </c>
      <c r="K8326" s="2" t="s">
        <v>15890</v>
      </c>
      <c r="L8326" s="2" t="s">
        <v>38659</v>
      </c>
      <c r="M8326" s="2" t="s">
        <v>38660</v>
      </c>
      <c r="N8326" s="2" t="s">
        <v>38661</v>
      </c>
      <c r="O8326" s="2" t="s">
        <v>38662</v>
      </c>
      <c r="P8326" s="2" t="s">
        <v>869</v>
      </c>
    </row>
    <row r="8327" ht="15.75" customHeight="1">
      <c r="F8327" s="2" t="s">
        <v>4115</v>
      </c>
      <c r="H8327" s="2" t="s">
        <v>38663</v>
      </c>
      <c r="I8327" s="2" t="s">
        <v>21058</v>
      </c>
      <c r="J8327" s="2" t="s">
        <v>21059</v>
      </c>
      <c r="K8327" s="2" t="s">
        <v>25068</v>
      </c>
      <c r="L8327" s="2" t="s">
        <v>38664</v>
      </c>
      <c r="M8327" s="2" t="s">
        <v>38665</v>
      </c>
      <c r="N8327" s="2" t="s">
        <v>38666</v>
      </c>
      <c r="O8327" s="2" t="s">
        <v>38666</v>
      </c>
      <c r="P8327" s="2" t="s">
        <v>869</v>
      </c>
    </row>
    <row r="8328" ht="15.75" customHeight="1">
      <c r="H8328" s="2" t="s">
        <v>38667</v>
      </c>
      <c r="I8328" s="2" t="s">
        <v>38668</v>
      </c>
      <c r="J8328" s="2" t="s">
        <v>38669</v>
      </c>
      <c r="K8328" s="2" t="s">
        <v>36152</v>
      </c>
      <c r="L8328" s="2" t="s">
        <v>38670</v>
      </c>
      <c r="M8328" s="2" t="s">
        <v>38671</v>
      </c>
      <c r="N8328" s="2" t="s">
        <v>38672</v>
      </c>
      <c r="O8328" s="2" t="s">
        <v>38673</v>
      </c>
      <c r="P8328" s="2" t="s">
        <v>869</v>
      </c>
    </row>
    <row r="8329" ht="15.75" customHeight="1">
      <c r="F8329" s="2" t="s">
        <v>746</v>
      </c>
      <c r="H8329" s="2" t="s">
        <v>38674</v>
      </c>
      <c r="I8329" s="2" t="s">
        <v>4282</v>
      </c>
      <c r="J8329" s="2" t="s">
        <v>4283</v>
      </c>
      <c r="K8329" s="2" t="s">
        <v>6046</v>
      </c>
      <c r="L8329" s="2" t="s">
        <v>38675</v>
      </c>
      <c r="M8329" s="2" t="s">
        <v>38676</v>
      </c>
      <c r="N8329" s="2" t="s">
        <v>38677</v>
      </c>
      <c r="O8329" s="2" t="s">
        <v>38678</v>
      </c>
      <c r="P8329" s="2" t="s">
        <v>869</v>
      </c>
    </row>
    <row r="8330" ht="15.75" customHeight="1">
      <c r="F8330" s="2" t="s">
        <v>755</v>
      </c>
      <c r="H8330" s="2" t="s">
        <v>38679</v>
      </c>
      <c r="I8330" s="2" t="s">
        <v>757</v>
      </c>
      <c r="J8330" s="2" t="s">
        <v>758</v>
      </c>
      <c r="K8330" s="2" t="s">
        <v>6006</v>
      </c>
      <c r="L8330" s="2" t="s">
        <v>38680</v>
      </c>
      <c r="M8330" s="2" t="s">
        <v>38681</v>
      </c>
      <c r="N8330" s="2" t="s">
        <v>38682</v>
      </c>
      <c r="O8330" s="2" t="s">
        <v>38683</v>
      </c>
      <c r="P8330" s="2" t="s">
        <v>869</v>
      </c>
    </row>
    <row r="8331" ht="15.75" customHeight="1">
      <c r="F8331" s="2" t="s">
        <v>4677</v>
      </c>
      <c r="H8331" s="2" t="s">
        <v>38684</v>
      </c>
      <c r="I8331" s="2" t="s">
        <v>4694</v>
      </c>
      <c r="J8331" s="2" t="s">
        <v>4695</v>
      </c>
      <c r="K8331" s="2" t="s">
        <v>6050</v>
      </c>
      <c r="L8331" s="2" t="s">
        <v>38685</v>
      </c>
      <c r="M8331" s="2" t="s">
        <v>38686</v>
      </c>
      <c r="N8331" s="2" t="s">
        <v>38687</v>
      </c>
      <c r="O8331" s="2" t="s">
        <v>38688</v>
      </c>
      <c r="P8331" s="2" t="s">
        <v>869</v>
      </c>
    </row>
    <row r="8332" ht="15.75" customHeight="1">
      <c r="F8332" s="2" t="s">
        <v>764</v>
      </c>
      <c r="H8332" s="2" t="s">
        <v>38689</v>
      </c>
      <c r="I8332" s="2" t="s">
        <v>35733</v>
      </c>
      <c r="J8332" s="2" t="s">
        <v>35734</v>
      </c>
      <c r="K8332" s="2" t="s">
        <v>24269</v>
      </c>
      <c r="L8332" s="2" t="s">
        <v>38690</v>
      </c>
      <c r="M8332" s="2" t="s">
        <v>38691</v>
      </c>
      <c r="N8332" s="2" t="s">
        <v>38692</v>
      </c>
      <c r="O8332" s="2" t="s">
        <v>38693</v>
      </c>
      <c r="P8332" s="2" t="s">
        <v>869</v>
      </c>
    </row>
    <row r="8333" ht="15.75" customHeight="1">
      <c r="H8333" s="2" t="s">
        <v>38694</v>
      </c>
      <c r="I8333" s="2" t="s">
        <v>22098</v>
      </c>
      <c r="J8333" s="2" t="s">
        <v>22099</v>
      </c>
      <c r="K8333" s="2" t="s">
        <v>6074</v>
      </c>
      <c r="L8333" s="2" t="s">
        <v>38695</v>
      </c>
      <c r="M8333" s="2" t="s">
        <v>38696</v>
      </c>
      <c r="N8333" s="2" t="s">
        <v>38697</v>
      </c>
      <c r="O8333" s="2" t="s">
        <v>38698</v>
      </c>
      <c r="P8333" s="2" t="s">
        <v>869</v>
      </c>
    </row>
    <row r="8334" ht="15.75" customHeight="1">
      <c r="F8334" s="2" t="s">
        <v>782</v>
      </c>
      <c r="H8334" s="2" t="s">
        <v>38699</v>
      </c>
      <c r="I8334" s="2" t="s">
        <v>38700</v>
      </c>
      <c r="J8334" s="2" t="s">
        <v>38701</v>
      </c>
      <c r="K8334" s="2" t="s">
        <v>15809</v>
      </c>
      <c r="L8334" s="2" t="s">
        <v>38702</v>
      </c>
      <c r="M8334" s="2" t="s">
        <v>38703</v>
      </c>
      <c r="N8334" s="2" t="s">
        <v>38704</v>
      </c>
      <c r="O8334" s="2" t="s">
        <v>38705</v>
      </c>
      <c r="P8334" s="2" t="s">
        <v>869</v>
      </c>
    </row>
    <row r="8335" ht="15.75" customHeight="1">
      <c r="H8335" s="2" t="s">
        <v>38706</v>
      </c>
      <c r="I8335" s="2" t="s">
        <v>38707</v>
      </c>
      <c r="J8335" s="2" t="s">
        <v>38708</v>
      </c>
      <c r="K8335" s="2" t="s">
        <v>38709</v>
      </c>
      <c r="L8335" s="2" t="s">
        <v>38710</v>
      </c>
      <c r="M8335" s="2" t="s">
        <v>38711</v>
      </c>
      <c r="N8335" s="2" t="s">
        <v>38712</v>
      </c>
      <c r="O8335" s="2" t="s">
        <v>869</v>
      </c>
      <c r="P8335" s="2" t="s">
        <v>870</v>
      </c>
    </row>
    <row r="8336" ht="15.75" customHeight="1">
      <c r="F8336" s="2" t="s">
        <v>800</v>
      </c>
      <c r="H8336" s="2" t="s">
        <v>38713</v>
      </c>
      <c r="I8336" s="2" t="s">
        <v>4994</v>
      </c>
      <c r="J8336" s="2" t="s">
        <v>4995</v>
      </c>
      <c r="K8336" s="2" t="s">
        <v>15897</v>
      </c>
      <c r="L8336" s="2" t="s">
        <v>38714</v>
      </c>
      <c r="M8336" s="2" t="s">
        <v>38715</v>
      </c>
      <c r="N8336" s="2" t="s">
        <v>38716</v>
      </c>
      <c r="O8336" s="2" t="s">
        <v>38717</v>
      </c>
      <c r="P8336" s="2" t="s">
        <v>869</v>
      </c>
    </row>
    <row r="8337" ht="15.75" customHeight="1">
      <c r="H8337" s="2" t="s">
        <v>38718</v>
      </c>
      <c r="I8337" s="2" t="s">
        <v>5037</v>
      </c>
      <c r="J8337" s="2" t="s">
        <v>5038</v>
      </c>
      <c r="K8337" s="2" t="s">
        <v>6058</v>
      </c>
      <c r="L8337" s="2" t="s">
        <v>38719</v>
      </c>
      <c r="M8337" s="2" t="s">
        <v>38720</v>
      </c>
      <c r="N8337" s="2" t="s">
        <v>38721</v>
      </c>
      <c r="O8337" s="2" t="s">
        <v>38722</v>
      </c>
      <c r="P8337" s="2" t="s">
        <v>869</v>
      </c>
    </row>
    <row r="8338" ht="15.75" customHeight="1">
      <c r="H8338" s="2" t="s">
        <v>38723</v>
      </c>
      <c r="I8338" s="2" t="s">
        <v>5047</v>
      </c>
      <c r="J8338" s="2" t="s">
        <v>5048</v>
      </c>
      <c r="K8338" s="2" t="s">
        <v>32142</v>
      </c>
      <c r="L8338" s="2" t="s">
        <v>38724</v>
      </c>
      <c r="M8338" s="2" t="s">
        <v>38725</v>
      </c>
      <c r="N8338" s="2" t="s">
        <v>38726</v>
      </c>
      <c r="O8338" s="2" t="s">
        <v>38727</v>
      </c>
      <c r="P8338" s="2" t="s">
        <v>869</v>
      </c>
    </row>
    <row r="8339" ht="15.75" customHeight="1">
      <c r="H8339" s="2" t="s">
        <v>38728</v>
      </c>
      <c r="I8339" s="2" t="s">
        <v>38729</v>
      </c>
      <c r="J8339" s="2" t="s">
        <v>38730</v>
      </c>
      <c r="K8339" s="2" t="s">
        <v>24275</v>
      </c>
      <c r="L8339" s="2" t="s">
        <v>38731</v>
      </c>
      <c r="M8339" s="2" t="s">
        <v>38732</v>
      </c>
      <c r="N8339" s="2" t="s">
        <v>38733</v>
      </c>
      <c r="O8339" s="2" t="s">
        <v>38734</v>
      </c>
      <c r="P8339" s="2" t="s">
        <v>869</v>
      </c>
    </row>
    <row r="8340" ht="15.75" customHeight="1">
      <c r="H8340" s="2" t="s">
        <v>38735</v>
      </c>
      <c r="I8340" s="2" t="s">
        <v>38736</v>
      </c>
      <c r="J8340" s="2" t="s">
        <v>38737</v>
      </c>
      <c r="K8340" s="2" t="s">
        <v>17389</v>
      </c>
    </row>
    <row r="8341" ht="15.75" customHeight="1">
      <c r="H8341" s="2" t="s">
        <v>38738</v>
      </c>
      <c r="I8341" s="2" t="s">
        <v>13482</v>
      </c>
      <c r="J8341" s="2" t="s">
        <v>13483</v>
      </c>
      <c r="K8341" s="2" t="s">
        <v>38739</v>
      </c>
      <c r="L8341" s="2" t="s">
        <v>38740</v>
      </c>
      <c r="M8341" s="2" t="s">
        <v>38741</v>
      </c>
      <c r="N8341" s="2" t="s">
        <v>38742</v>
      </c>
      <c r="O8341" s="2" t="s">
        <v>38742</v>
      </c>
      <c r="P8341" s="2" t="s">
        <v>869</v>
      </c>
    </row>
    <row r="8342" ht="15.75" customHeight="1">
      <c r="H8342" s="2" t="s">
        <v>38743</v>
      </c>
      <c r="I8342" s="2" t="s">
        <v>14286</v>
      </c>
      <c r="J8342" s="2" t="s">
        <v>14287</v>
      </c>
      <c r="K8342" s="2" t="s">
        <v>32896</v>
      </c>
      <c r="L8342" s="2" t="s">
        <v>38744</v>
      </c>
      <c r="M8342" s="2" t="s">
        <v>38745</v>
      </c>
      <c r="N8342" s="2" t="s">
        <v>38746</v>
      </c>
      <c r="O8342" s="2" t="s">
        <v>38747</v>
      </c>
      <c r="P8342" s="2" t="s">
        <v>869</v>
      </c>
    </row>
    <row r="8343" ht="15.75" customHeight="1">
      <c r="H8343" s="2" t="s">
        <v>38748</v>
      </c>
      <c r="I8343" s="2" t="s">
        <v>11676</v>
      </c>
      <c r="J8343" s="2" t="s">
        <v>11677</v>
      </c>
      <c r="K8343" s="2" t="s">
        <v>15784</v>
      </c>
      <c r="L8343" s="2" t="s">
        <v>38749</v>
      </c>
      <c r="M8343" s="2" t="s">
        <v>38750</v>
      </c>
      <c r="N8343" s="2" t="s">
        <v>38751</v>
      </c>
      <c r="O8343" s="2" t="s">
        <v>38752</v>
      </c>
      <c r="P8343" s="2" t="s">
        <v>869</v>
      </c>
    </row>
    <row r="8344" ht="15.75" customHeight="1">
      <c r="F8344" s="2" t="s">
        <v>843</v>
      </c>
      <c r="H8344" s="2" t="s">
        <v>38753</v>
      </c>
      <c r="I8344" s="2" t="s">
        <v>38754</v>
      </c>
      <c r="J8344" s="2" t="s">
        <v>38755</v>
      </c>
      <c r="K8344" s="2" t="s">
        <v>24195</v>
      </c>
      <c r="L8344" s="2" t="s">
        <v>38756</v>
      </c>
      <c r="M8344" s="2" t="s">
        <v>38757</v>
      </c>
      <c r="N8344" s="2" t="s">
        <v>38758</v>
      </c>
      <c r="O8344" s="2" t="s">
        <v>869</v>
      </c>
      <c r="P8344" s="2" t="s">
        <v>870</v>
      </c>
    </row>
    <row r="8345" ht="15.75" customHeight="1">
      <c r="H8345" s="2" t="s">
        <v>38759</v>
      </c>
      <c r="I8345" s="2" t="s">
        <v>38760</v>
      </c>
      <c r="J8345" s="2" t="s">
        <v>38761</v>
      </c>
      <c r="K8345" s="2" t="s">
        <v>15868</v>
      </c>
      <c r="L8345" s="2" t="s">
        <v>38762</v>
      </c>
      <c r="M8345" s="2" t="s">
        <v>38763</v>
      </c>
      <c r="N8345" s="2" t="s">
        <v>38764</v>
      </c>
      <c r="O8345" s="2" t="s">
        <v>38765</v>
      </c>
      <c r="P8345" s="2" t="s">
        <v>869</v>
      </c>
    </row>
    <row r="8346" ht="15.75" customHeight="1">
      <c r="B8346" s="2" t="s">
        <v>38766</v>
      </c>
      <c r="C8346" s="2" t="s">
        <v>22033</v>
      </c>
      <c r="D8346" s="2" t="s">
        <v>38767</v>
      </c>
      <c r="F8346" s="2" t="s">
        <v>29</v>
      </c>
      <c r="H8346" s="2" t="s">
        <v>38768</v>
      </c>
      <c r="I8346" s="2" t="s">
        <v>31</v>
      </c>
      <c r="J8346" s="2" t="s">
        <v>32</v>
      </c>
      <c r="K8346" s="2" t="s">
        <v>6000</v>
      </c>
      <c r="L8346" s="2" t="s">
        <v>38769</v>
      </c>
      <c r="M8346" s="2" t="s">
        <v>38770</v>
      </c>
      <c r="N8346" s="2" t="s">
        <v>38771</v>
      </c>
      <c r="O8346" s="2" t="s">
        <v>38772</v>
      </c>
      <c r="P8346" s="2" t="s">
        <v>869</v>
      </c>
    </row>
    <row r="8347" ht="15.75" customHeight="1">
      <c r="F8347" s="2" t="s">
        <v>74</v>
      </c>
      <c r="H8347" s="2" t="s">
        <v>38773</v>
      </c>
      <c r="I8347" s="2" t="s">
        <v>76</v>
      </c>
      <c r="J8347" s="2" t="s">
        <v>77</v>
      </c>
      <c r="K8347" s="2" t="s">
        <v>15779</v>
      </c>
      <c r="L8347" s="2" t="s">
        <v>38769</v>
      </c>
      <c r="M8347" s="2" t="s">
        <v>38774</v>
      </c>
      <c r="N8347" s="2" t="s">
        <v>38775</v>
      </c>
      <c r="O8347" s="2" t="s">
        <v>38776</v>
      </c>
      <c r="P8347" s="2" t="s">
        <v>869</v>
      </c>
    </row>
    <row r="8348" ht="15.75" customHeight="1">
      <c r="H8348" s="2" t="s">
        <v>38777</v>
      </c>
      <c r="I8348" s="2" t="s">
        <v>176</v>
      </c>
      <c r="J8348" s="2" t="s">
        <v>177</v>
      </c>
      <c r="K8348" s="2" t="s">
        <v>6015</v>
      </c>
      <c r="L8348" s="2" t="s">
        <v>38778</v>
      </c>
      <c r="M8348" s="2" t="s">
        <v>38779</v>
      </c>
      <c r="N8348" s="2" t="s">
        <v>38780</v>
      </c>
      <c r="O8348" s="2" t="s">
        <v>38781</v>
      </c>
      <c r="P8348" s="2" t="s">
        <v>869</v>
      </c>
    </row>
    <row r="8349" ht="15.75" customHeight="1">
      <c r="H8349" s="2" t="s">
        <v>38782</v>
      </c>
      <c r="I8349" s="2" t="s">
        <v>38783</v>
      </c>
      <c r="J8349" s="2" t="s">
        <v>38784</v>
      </c>
      <c r="K8349" s="2" t="s">
        <v>24084</v>
      </c>
      <c r="L8349" s="2" t="s">
        <v>38769</v>
      </c>
      <c r="M8349" s="2" t="s">
        <v>38785</v>
      </c>
      <c r="N8349" s="2" t="s">
        <v>38786</v>
      </c>
      <c r="O8349" s="2" t="s">
        <v>38787</v>
      </c>
      <c r="P8349" s="2" t="s">
        <v>869</v>
      </c>
    </row>
    <row r="8350" ht="15.75" customHeight="1">
      <c r="H8350" s="2" t="s">
        <v>38788</v>
      </c>
      <c r="I8350" s="2" t="s">
        <v>1766</v>
      </c>
      <c r="J8350" s="2" t="s">
        <v>1767</v>
      </c>
      <c r="K8350" s="2" t="s">
        <v>31089</v>
      </c>
      <c r="L8350" s="2" t="s">
        <v>38769</v>
      </c>
      <c r="M8350" s="2" t="s">
        <v>38789</v>
      </c>
      <c r="N8350" s="2" t="s">
        <v>38790</v>
      </c>
      <c r="O8350" s="2" t="s">
        <v>38791</v>
      </c>
      <c r="P8350" s="2" t="s">
        <v>869</v>
      </c>
    </row>
    <row r="8351" ht="15.75" customHeight="1">
      <c r="H8351" s="2" t="s">
        <v>38792</v>
      </c>
      <c r="I8351" s="2" t="s">
        <v>38793</v>
      </c>
      <c r="J8351" s="2" t="s">
        <v>38794</v>
      </c>
      <c r="K8351" s="2" t="s">
        <v>24996</v>
      </c>
      <c r="L8351" s="2" t="s">
        <v>38769</v>
      </c>
      <c r="M8351" s="2" t="s">
        <v>38795</v>
      </c>
      <c r="N8351" s="2" t="s">
        <v>38796</v>
      </c>
      <c r="O8351" s="2" t="s">
        <v>38797</v>
      </c>
      <c r="P8351" s="2" t="s">
        <v>869</v>
      </c>
    </row>
    <row r="8352" ht="15.75" customHeight="1">
      <c r="H8352" s="2" t="s">
        <v>38798</v>
      </c>
      <c r="I8352" s="2" t="s">
        <v>25697</v>
      </c>
      <c r="J8352" s="2" t="s">
        <v>25698</v>
      </c>
      <c r="K8352" s="2" t="s">
        <v>38799</v>
      </c>
      <c r="L8352" s="2" t="s">
        <v>38769</v>
      </c>
      <c r="M8352" s="2" t="s">
        <v>38800</v>
      </c>
      <c r="N8352" s="2" t="s">
        <v>38801</v>
      </c>
      <c r="O8352" s="2" t="s">
        <v>38802</v>
      </c>
      <c r="P8352" s="2" t="s">
        <v>869</v>
      </c>
    </row>
    <row r="8353" ht="15.75" customHeight="1">
      <c r="F8353" s="2" t="s">
        <v>284</v>
      </c>
      <c r="H8353" s="2" t="s">
        <v>38803</v>
      </c>
      <c r="I8353" s="2" t="s">
        <v>12593</v>
      </c>
      <c r="J8353" s="2" t="s">
        <v>12594</v>
      </c>
      <c r="K8353" s="2" t="s">
        <v>31376</v>
      </c>
      <c r="L8353" s="2" t="s">
        <v>38769</v>
      </c>
      <c r="M8353" s="2" t="s">
        <v>38804</v>
      </c>
      <c r="N8353" s="2" t="s">
        <v>38805</v>
      </c>
      <c r="O8353" s="2" t="s">
        <v>38806</v>
      </c>
      <c r="P8353" s="2" t="s">
        <v>869</v>
      </c>
    </row>
    <row r="8354" ht="15.75" customHeight="1">
      <c r="H8354" s="2" t="s">
        <v>38807</v>
      </c>
      <c r="I8354" s="2" t="s">
        <v>38808</v>
      </c>
      <c r="J8354" s="2" t="s">
        <v>38809</v>
      </c>
      <c r="K8354" s="2" t="s">
        <v>31938</v>
      </c>
      <c r="L8354" s="2" t="s">
        <v>38769</v>
      </c>
      <c r="M8354" s="2" t="s">
        <v>38810</v>
      </c>
      <c r="N8354" s="2" t="s">
        <v>38811</v>
      </c>
      <c r="O8354" s="2" t="s">
        <v>38812</v>
      </c>
      <c r="P8354" s="2" t="s">
        <v>869</v>
      </c>
    </row>
    <row r="8355" ht="15.75" customHeight="1">
      <c r="H8355" s="2" t="s">
        <v>38813</v>
      </c>
      <c r="I8355" s="2" t="s">
        <v>5421</v>
      </c>
      <c r="J8355" s="2" t="s">
        <v>5422</v>
      </c>
      <c r="K8355" s="2" t="s">
        <v>25265</v>
      </c>
      <c r="L8355" s="2" t="s">
        <v>38814</v>
      </c>
      <c r="M8355" s="2" t="s">
        <v>38815</v>
      </c>
      <c r="N8355" s="2" t="s">
        <v>38816</v>
      </c>
      <c r="O8355" s="2" t="s">
        <v>38817</v>
      </c>
      <c r="P8355" s="2" t="s">
        <v>869</v>
      </c>
    </row>
    <row r="8356" ht="15.75" customHeight="1">
      <c r="H8356" s="2" t="s">
        <v>38818</v>
      </c>
      <c r="I8356" s="2" t="s">
        <v>326</v>
      </c>
      <c r="J8356" s="2" t="s">
        <v>327</v>
      </c>
      <c r="K8356" s="2" t="s">
        <v>6068</v>
      </c>
      <c r="L8356" s="2" t="s">
        <v>38819</v>
      </c>
      <c r="M8356" s="2" t="s">
        <v>38820</v>
      </c>
      <c r="N8356" s="2" t="s">
        <v>38821</v>
      </c>
      <c r="O8356" s="2" t="s">
        <v>38822</v>
      </c>
      <c r="P8356" s="2" t="s">
        <v>869</v>
      </c>
    </row>
    <row r="8357" ht="15.75" customHeight="1">
      <c r="H8357" s="2" t="s">
        <v>38823</v>
      </c>
      <c r="I8357" s="2" t="s">
        <v>2216</v>
      </c>
      <c r="J8357" s="2" t="s">
        <v>2217</v>
      </c>
      <c r="K8357" s="2" t="s">
        <v>34322</v>
      </c>
      <c r="L8357" s="2" t="s">
        <v>38769</v>
      </c>
      <c r="M8357" s="2" t="s">
        <v>38824</v>
      </c>
      <c r="N8357" s="2" t="s">
        <v>38825</v>
      </c>
      <c r="O8357" s="2" t="s">
        <v>38826</v>
      </c>
      <c r="P8357" s="2" t="s">
        <v>38827</v>
      </c>
    </row>
    <row r="8358" ht="15.75" customHeight="1">
      <c r="H8358" s="2" t="s">
        <v>38828</v>
      </c>
      <c r="I8358" s="2" t="s">
        <v>2357</v>
      </c>
      <c r="J8358" s="2" t="s">
        <v>2358</v>
      </c>
      <c r="K8358" s="2" t="s">
        <v>24940</v>
      </c>
      <c r="L8358" s="2" t="s">
        <v>38769</v>
      </c>
      <c r="M8358" s="2" t="s">
        <v>38829</v>
      </c>
      <c r="N8358" s="2" t="s">
        <v>38830</v>
      </c>
      <c r="O8358" s="2" t="s">
        <v>38831</v>
      </c>
      <c r="P8358" s="2" t="s">
        <v>38832</v>
      </c>
    </row>
    <row r="8359" ht="15.75" customHeight="1">
      <c r="F8359" s="2" t="s">
        <v>556</v>
      </c>
      <c r="H8359" s="2" t="s">
        <v>38833</v>
      </c>
      <c r="I8359" s="2" t="s">
        <v>2303</v>
      </c>
      <c r="J8359" s="2" t="s">
        <v>2304</v>
      </c>
      <c r="K8359" s="2" t="s">
        <v>38644</v>
      </c>
      <c r="L8359" s="2" t="s">
        <v>38769</v>
      </c>
      <c r="M8359" s="2" t="s">
        <v>38834</v>
      </c>
      <c r="N8359" s="2" t="s">
        <v>38835</v>
      </c>
      <c r="O8359" s="2" t="s">
        <v>38836</v>
      </c>
      <c r="P8359" s="2" t="s">
        <v>869</v>
      </c>
    </row>
    <row r="8360" ht="15.75" customHeight="1">
      <c r="F8360" s="2" t="s">
        <v>624</v>
      </c>
      <c r="H8360" s="2" t="s">
        <v>38837</v>
      </c>
      <c r="I8360" s="2" t="s">
        <v>626</v>
      </c>
      <c r="J8360" s="2" t="s">
        <v>627</v>
      </c>
      <c r="K8360" s="2" t="s">
        <v>6058</v>
      </c>
      <c r="L8360" s="2" t="s">
        <v>38769</v>
      </c>
      <c r="M8360" s="2" t="s">
        <v>38838</v>
      </c>
      <c r="N8360" s="2" t="s">
        <v>38839</v>
      </c>
      <c r="O8360" s="2" t="s">
        <v>38840</v>
      </c>
      <c r="P8360" s="2" t="s">
        <v>869</v>
      </c>
    </row>
    <row r="8361" ht="15.75" customHeight="1">
      <c r="F8361" s="2" t="s">
        <v>746</v>
      </c>
      <c r="H8361" s="2" t="s">
        <v>38841</v>
      </c>
      <c r="I8361" s="2" t="s">
        <v>21240</v>
      </c>
      <c r="J8361" s="2" t="s">
        <v>21241</v>
      </c>
      <c r="K8361" s="2" t="s">
        <v>24063</v>
      </c>
      <c r="L8361" s="2" t="s">
        <v>38769</v>
      </c>
      <c r="M8361" s="2" t="s">
        <v>38842</v>
      </c>
      <c r="N8361" s="2" t="s">
        <v>38843</v>
      </c>
      <c r="O8361" s="2" t="s">
        <v>38844</v>
      </c>
      <c r="P8361" s="2" t="s">
        <v>869</v>
      </c>
    </row>
    <row r="8362" ht="15.75" customHeight="1">
      <c r="F8362" s="2" t="s">
        <v>764</v>
      </c>
      <c r="H8362" s="2" t="s">
        <v>38845</v>
      </c>
      <c r="I8362" s="2" t="s">
        <v>22098</v>
      </c>
      <c r="J8362" s="2" t="s">
        <v>22099</v>
      </c>
      <c r="K8362" s="2" t="s">
        <v>6074</v>
      </c>
      <c r="L8362" s="2" t="s">
        <v>38769</v>
      </c>
      <c r="M8362" s="2" t="s">
        <v>38846</v>
      </c>
      <c r="N8362" s="2" t="s">
        <v>38847</v>
      </c>
      <c r="O8362" s="2" t="s">
        <v>38848</v>
      </c>
      <c r="P8362" s="2" t="s">
        <v>869</v>
      </c>
    </row>
    <row r="8363" ht="15.75" customHeight="1">
      <c r="F8363" s="2" t="s">
        <v>800</v>
      </c>
      <c r="H8363" s="2" t="s">
        <v>38849</v>
      </c>
      <c r="I8363" s="2" t="s">
        <v>352</v>
      </c>
      <c r="J8363" s="2" t="s">
        <v>353</v>
      </c>
      <c r="K8363" s="2" t="s">
        <v>6074</v>
      </c>
      <c r="L8363" s="2" t="s">
        <v>38769</v>
      </c>
      <c r="M8363" s="2" t="s">
        <v>38850</v>
      </c>
      <c r="N8363" s="2" t="s">
        <v>38851</v>
      </c>
      <c r="O8363" s="2" t="s">
        <v>38852</v>
      </c>
      <c r="P8363" s="2" t="s">
        <v>869</v>
      </c>
    </row>
    <row r="8364" ht="15.75" customHeight="1">
      <c r="H8364" s="2" t="s">
        <v>38853</v>
      </c>
      <c r="I8364" s="2" t="s">
        <v>5140</v>
      </c>
      <c r="J8364" s="2" t="s">
        <v>5141</v>
      </c>
      <c r="K8364" s="2" t="s">
        <v>37759</v>
      </c>
      <c r="L8364" s="2" t="s">
        <v>38769</v>
      </c>
      <c r="M8364" s="2" t="s">
        <v>38854</v>
      </c>
      <c r="N8364" s="2" t="s">
        <v>38855</v>
      </c>
      <c r="O8364" s="2" t="s">
        <v>38856</v>
      </c>
      <c r="P8364" s="2" t="s">
        <v>38857</v>
      </c>
    </row>
    <row r="8365" ht="15.75" customHeight="1">
      <c r="B8365" s="2" t="s">
        <v>38858</v>
      </c>
      <c r="C8365" s="2" t="s">
        <v>17025</v>
      </c>
      <c r="D8365" s="2" t="s">
        <v>38859</v>
      </c>
      <c r="F8365" s="2" t="s">
        <v>19</v>
      </c>
      <c r="H8365" s="2" t="s">
        <v>38860</v>
      </c>
      <c r="I8365" s="2" t="s">
        <v>21</v>
      </c>
      <c r="J8365" s="2" t="s">
        <v>22</v>
      </c>
      <c r="K8365" s="2" t="s">
        <v>5995</v>
      </c>
      <c r="L8365" s="2" t="s">
        <v>38861</v>
      </c>
      <c r="M8365" s="2" t="s">
        <v>38862</v>
      </c>
      <c r="N8365" s="2" t="s">
        <v>38863</v>
      </c>
      <c r="O8365" s="2" t="s">
        <v>38864</v>
      </c>
      <c r="P8365" s="2" t="s">
        <v>869</v>
      </c>
    </row>
    <row r="8366" ht="15.75" customHeight="1">
      <c r="F8366" s="2" t="s">
        <v>29</v>
      </c>
      <c r="H8366" s="2" t="s">
        <v>38865</v>
      </c>
      <c r="I8366" s="2" t="s">
        <v>31</v>
      </c>
      <c r="J8366" s="2" t="s">
        <v>32</v>
      </c>
      <c r="K8366" s="2" t="s">
        <v>6000</v>
      </c>
      <c r="L8366" s="2" t="s">
        <v>38866</v>
      </c>
      <c r="M8366" s="2" t="s">
        <v>38867</v>
      </c>
      <c r="N8366" s="2" t="s">
        <v>38868</v>
      </c>
      <c r="O8366" s="2" t="s">
        <v>38869</v>
      </c>
      <c r="P8366" s="2" t="s">
        <v>869</v>
      </c>
    </row>
    <row r="8367" ht="15.75" customHeight="1">
      <c r="F8367" s="2" t="s">
        <v>39</v>
      </c>
      <c r="H8367" s="2" t="s">
        <v>38870</v>
      </c>
      <c r="I8367" s="2" t="s">
        <v>18596</v>
      </c>
      <c r="J8367" s="2" t="s">
        <v>18597</v>
      </c>
      <c r="K8367" s="2" t="s">
        <v>24665</v>
      </c>
      <c r="L8367" s="2" t="s">
        <v>38861</v>
      </c>
      <c r="M8367" s="2" t="s">
        <v>38871</v>
      </c>
      <c r="N8367" s="2" t="s">
        <v>38872</v>
      </c>
      <c r="O8367" s="2" t="s">
        <v>38873</v>
      </c>
      <c r="P8367" s="2" t="s">
        <v>869</v>
      </c>
    </row>
    <row r="8368" ht="15.75" customHeight="1">
      <c r="H8368" s="2" t="s">
        <v>38874</v>
      </c>
      <c r="I8368" s="2" t="s">
        <v>49</v>
      </c>
      <c r="J8368" s="2" t="s">
        <v>50</v>
      </c>
      <c r="K8368" s="2" t="s">
        <v>15801</v>
      </c>
      <c r="L8368" s="2" t="s">
        <v>38861</v>
      </c>
      <c r="M8368" s="2" t="s">
        <v>52</v>
      </c>
      <c r="N8368" s="2" t="s">
        <v>38875</v>
      </c>
      <c r="O8368" s="2" t="s">
        <v>38876</v>
      </c>
      <c r="P8368" s="2" t="s">
        <v>869</v>
      </c>
    </row>
    <row r="8369" ht="15.75" customHeight="1">
      <c r="H8369" s="2" t="s">
        <v>38877</v>
      </c>
      <c r="I8369" s="2" t="s">
        <v>1306</v>
      </c>
      <c r="J8369" s="2" t="s">
        <v>1307</v>
      </c>
      <c r="L8369" s="2" t="s">
        <v>38861</v>
      </c>
      <c r="M8369" s="2" t="s">
        <v>38878</v>
      </c>
      <c r="N8369" s="2" t="s">
        <v>38879</v>
      </c>
      <c r="O8369" s="2" t="s">
        <v>38880</v>
      </c>
      <c r="P8369" s="2" t="s">
        <v>869</v>
      </c>
    </row>
    <row r="8370" ht="15.75" customHeight="1">
      <c r="F8370" s="2" t="s">
        <v>56</v>
      </c>
      <c r="H8370" s="2" t="s">
        <v>38881</v>
      </c>
      <c r="I8370" s="2" t="s">
        <v>58</v>
      </c>
      <c r="J8370" s="2" t="s">
        <v>59</v>
      </c>
      <c r="K8370" s="2" t="s">
        <v>15897</v>
      </c>
      <c r="L8370" s="2" t="s">
        <v>38861</v>
      </c>
      <c r="M8370" s="2" t="s">
        <v>38882</v>
      </c>
      <c r="N8370" s="2" t="s">
        <v>38883</v>
      </c>
      <c r="O8370" s="2" t="s">
        <v>38884</v>
      </c>
      <c r="P8370" s="2" t="s">
        <v>869</v>
      </c>
    </row>
    <row r="8371" ht="15.75" customHeight="1">
      <c r="F8371" s="2" t="s">
        <v>65</v>
      </c>
      <c r="H8371" s="2" t="s">
        <v>38885</v>
      </c>
      <c r="I8371" s="2" t="s">
        <v>67</v>
      </c>
      <c r="J8371" s="2" t="s">
        <v>68</v>
      </c>
      <c r="K8371" s="2" t="s">
        <v>24665</v>
      </c>
      <c r="L8371" s="2" t="s">
        <v>38861</v>
      </c>
      <c r="M8371" s="2" t="s">
        <v>38886</v>
      </c>
      <c r="N8371" s="2" t="s">
        <v>38887</v>
      </c>
      <c r="O8371" s="2" t="s">
        <v>38888</v>
      </c>
      <c r="P8371" s="2" t="s">
        <v>869</v>
      </c>
    </row>
    <row r="8372" ht="15.75" customHeight="1">
      <c r="F8372" s="2" t="s">
        <v>74</v>
      </c>
      <c r="H8372" s="2" t="s">
        <v>38889</v>
      </c>
      <c r="I8372" s="2" t="s">
        <v>76</v>
      </c>
      <c r="J8372" s="2" t="s">
        <v>77</v>
      </c>
      <c r="K8372" s="2" t="s">
        <v>15779</v>
      </c>
      <c r="L8372" s="2" t="s">
        <v>38890</v>
      </c>
      <c r="M8372" s="2" t="s">
        <v>38891</v>
      </c>
      <c r="N8372" s="2" t="s">
        <v>38892</v>
      </c>
      <c r="O8372" s="2" t="s">
        <v>38893</v>
      </c>
      <c r="P8372" s="2" t="s">
        <v>869</v>
      </c>
    </row>
    <row r="8373" ht="15.75" customHeight="1">
      <c r="H8373" s="2" t="s">
        <v>38894</v>
      </c>
      <c r="I8373" s="2" t="s">
        <v>85</v>
      </c>
      <c r="J8373" s="2" t="s">
        <v>86</v>
      </c>
      <c r="K8373" s="2" t="s">
        <v>15901</v>
      </c>
      <c r="L8373" s="2" t="s">
        <v>38861</v>
      </c>
      <c r="M8373" s="2" t="s">
        <v>38895</v>
      </c>
      <c r="N8373" s="2" t="s">
        <v>38896</v>
      </c>
      <c r="O8373" s="2" t="s">
        <v>38897</v>
      </c>
      <c r="P8373" s="2" t="s">
        <v>869</v>
      </c>
    </row>
    <row r="8374" ht="15.75" customHeight="1">
      <c r="H8374" s="2" t="s">
        <v>38898</v>
      </c>
      <c r="I8374" s="2" t="s">
        <v>6964</v>
      </c>
      <c r="J8374" s="2" t="s">
        <v>6965</v>
      </c>
      <c r="K8374" s="2" t="s">
        <v>6050</v>
      </c>
      <c r="L8374" s="2" t="s">
        <v>38861</v>
      </c>
      <c r="M8374" s="2" t="s">
        <v>38899</v>
      </c>
      <c r="N8374" s="2" t="s">
        <v>38900</v>
      </c>
      <c r="O8374" s="2" t="s">
        <v>38901</v>
      </c>
      <c r="P8374" s="2" t="s">
        <v>869</v>
      </c>
    </row>
    <row r="8375" ht="15.75" customHeight="1">
      <c r="H8375" s="2" t="s">
        <v>38902</v>
      </c>
      <c r="I8375" s="2" t="s">
        <v>1546</v>
      </c>
      <c r="J8375" s="2" t="s">
        <v>1547</v>
      </c>
      <c r="K8375" s="2" t="s">
        <v>25032</v>
      </c>
      <c r="L8375" s="2" t="s">
        <v>38861</v>
      </c>
      <c r="M8375" s="2" t="s">
        <v>38903</v>
      </c>
      <c r="N8375" s="2" t="s">
        <v>38904</v>
      </c>
      <c r="O8375" s="2" t="s">
        <v>38905</v>
      </c>
      <c r="P8375" s="2" t="s">
        <v>869</v>
      </c>
    </row>
    <row r="8376" ht="15.75" customHeight="1">
      <c r="H8376" s="2" t="s">
        <v>38906</v>
      </c>
      <c r="I8376" s="2" t="s">
        <v>93</v>
      </c>
      <c r="J8376" s="2" t="s">
        <v>94</v>
      </c>
      <c r="K8376" s="2" t="s">
        <v>31344</v>
      </c>
      <c r="L8376" s="2" t="s">
        <v>38861</v>
      </c>
      <c r="M8376" s="2" t="s">
        <v>38907</v>
      </c>
      <c r="N8376" s="2" t="s">
        <v>38908</v>
      </c>
      <c r="O8376" s="2" t="s">
        <v>38909</v>
      </c>
      <c r="P8376" s="2" t="s">
        <v>869</v>
      </c>
    </row>
    <row r="8377" ht="15.75" customHeight="1">
      <c r="H8377" s="2" t="s">
        <v>38910</v>
      </c>
      <c r="I8377" s="2" t="s">
        <v>25509</v>
      </c>
      <c r="J8377" s="2" t="s">
        <v>25510</v>
      </c>
      <c r="K8377" s="2" t="s">
        <v>22055</v>
      </c>
      <c r="L8377" s="2" t="s">
        <v>38861</v>
      </c>
      <c r="M8377" s="2" t="s">
        <v>38911</v>
      </c>
      <c r="N8377" s="2" t="s">
        <v>38912</v>
      </c>
      <c r="O8377" s="2" t="s">
        <v>38913</v>
      </c>
      <c r="P8377" s="2" t="s">
        <v>869</v>
      </c>
    </row>
    <row r="8378" ht="15.75" customHeight="1">
      <c r="H8378" s="2" t="s">
        <v>38914</v>
      </c>
      <c r="I8378" s="2" t="s">
        <v>38915</v>
      </c>
      <c r="J8378" s="2" t="s">
        <v>38916</v>
      </c>
      <c r="K8378" s="2" t="s">
        <v>38917</v>
      </c>
      <c r="L8378" s="2" t="s">
        <v>38861</v>
      </c>
      <c r="M8378" s="2" t="s">
        <v>38918</v>
      </c>
      <c r="N8378" s="2" t="s">
        <v>38919</v>
      </c>
      <c r="O8378" s="2" t="s">
        <v>38920</v>
      </c>
      <c r="P8378" s="2" t="s">
        <v>869</v>
      </c>
    </row>
    <row r="8379" ht="15.75" customHeight="1">
      <c r="H8379" s="2" t="s">
        <v>38921</v>
      </c>
      <c r="I8379" s="2" t="s">
        <v>12139</v>
      </c>
      <c r="J8379" s="2" t="s">
        <v>12140</v>
      </c>
      <c r="K8379" s="2" t="s">
        <v>24679</v>
      </c>
      <c r="L8379" s="2" t="s">
        <v>38861</v>
      </c>
      <c r="M8379" s="2" t="s">
        <v>38922</v>
      </c>
      <c r="N8379" s="2" t="s">
        <v>38923</v>
      </c>
      <c r="O8379" s="2" t="s">
        <v>38924</v>
      </c>
      <c r="P8379" s="2" t="s">
        <v>869</v>
      </c>
    </row>
    <row r="8380" ht="15.75" customHeight="1">
      <c r="H8380" s="2" t="s">
        <v>38925</v>
      </c>
      <c r="I8380" s="2" t="s">
        <v>1000</v>
      </c>
      <c r="J8380" s="2" t="s">
        <v>1001</v>
      </c>
      <c r="K8380" s="2" t="s">
        <v>6006</v>
      </c>
      <c r="L8380" s="2" t="s">
        <v>38861</v>
      </c>
      <c r="M8380" s="2" t="s">
        <v>38926</v>
      </c>
      <c r="N8380" s="2" t="s">
        <v>38927</v>
      </c>
      <c r="O8380" s="2" t="s">
        <v>38928</v>
      </c>
      <c r="P8380" s="2" t="s">
        <v>869</v>
      </c>
    </row>
    <row r="8381" ht="15.75" customHeight="1">
      <c r="H8381" s="2" t="s">
        <v>38929</v>
      </c>
      <c r="I8381" s="2" t="s">
        <v>1600</v>
      </c>
      <c r="J8381" s="2" t="s">
        <v>1601</v>
      </c>
      <c r="K8381" s="2" t="s">
        <v>32271</v>
      </c>
      <c r="L8381" s="2" t="s">
        <v>38861</v>
      </c>
      <c r="M8381" s="2" t="s">
        <v>38930</v>
      </c>
      <c r="N8381" s="2" t="s">
        <v>38931</v>
      </c>
      <c r="O8381" s="2" t="s">
        <v>38932</v>
      </c>
      <c r="P8381" s="2" t="s">
        <v>869</v>
      </c>
    </row>
    <row r="8382" ht="15.75" customHeight="1">
      <c r="H8382" s="2" t="s">
        <v>38933</v>
      </c>
      <c r="I8382" s="2" t="s">
        <v>1606</v>
      </c>
      <c r="J8382" s="2" t="s">
        <v>1607</v>
      </c>
      <c r="K8382" s="2" t="s">
        <v>32697</v>
      </c>
      <c r="L8382" s="2" t="s">
        <v>38861</v>
      </c>
      <c r="M8382" s="2" t="s">
        <v>38934</v>
      </c>
      <c r="N8382" s="2" t="s">
        <v>38935</v>
      </c>
      <c r="O8382" s="2" t="s">
        <v>38936</v>
      </c>
      <c r="P8382" s="2" t="s">
        <v>869</v>
      </c>
    </row>
    <row r="8383" ht="15.75" customHeight="1">
      <c r="H8383" s="2" t="s">
        <v>38937</v>
      </c>
      <c r="I8383" s="2" t="s">
        <v>8241</v>
      </c>
      <c r="J8383" s="2" t="s">
        <v>8242</v>
      </c>
      <c r="L8383" s="2" t="s">
        <v>38861</v>
      </c>
      <c r="M8383" s="2" t="s">
        <v>38938</v>
      </c>
      <c r="N8383" s="2" t="s">
        <v>38939</v>
      </c>
      <c r="O8383" s="2" t="s">
        <v>38940</v>
      </c>
      <c r="P8383" s="2" t="s">
        <v>869</v>
      </c>
    </row>
    <row r="8384" ht="15.75" customHeight="1">
      <c r="H8384" s="2" t="s">
        <v>38941</v>
      </c>
      <c r="I8384" s="2" t="s">
        <v>38942</v>
      </c>
      <c r="J8384" s="2" t="s">
        <v>38943</v>
      </c>
      <c r="K8384" s="2" t="s">
        <v>38644</v>
      </c>
      <c r="L8384" s="2" t="s">
        <v>38861</v>
      </c>
      <c r="M8384" s="2" t="s">
        <v>38944</v>
      </c>
      <c r="N8384" s="2" t="s">
        <v>38945</v>
      </c>
      <c r="O8384" s="2" t="s">
        <v>38946</v>
      </c>
      <c r="P8384" s="2" t="s">
        <v>869</v>
      </c>
    </row>
    <row r="8385" ht="15.75" customHeight="1">
      <c r="H8385" s="2" t="s">
        <v>38947</v>
      </c>
      <c r="I8385" s="2" t="s">
        <v>7075</v>
      </c>
      <c r="J8385" s="2" t="s">
        <v>7076</v>
      </c>
      <c r="K8385" s="2" t="s">
        <v>6033</v>
      </c>
      <c r="L8385" s="2" t="s">
        <v>38861</v>
      </c>
      <c r="M8385" s="2" t="s">
        <v>38948</v>
      </c>
      <c r="N8385" s="2" t="s">
        <v>38949</v>
      </c>
      <c r="O8385" s="2" t="s">
        <v>38950</v>
      </c>
      <c r="P8385" s="2" t="s">
        <v>869</v>
      </c>
    </row>
    <row r="8386" ht="15.75" customHeight="1">
      <c r="H8386" s="2" t="s">
        <v>38951</v>
      </c>
      <c r="I8386" s="2" t="s">
        <v>38952</v>
      </c>
      <c r="J8386" s="2" t="s">
        <v>38953</v>
      </c>
      <c r="K8386" s="2" t="s">
        <v>22457</v>
      </c>
      <c r="L8386" s="2" t="s">
        <v>38861</v>
      </c>
      <c r="M8386" s="2" t="s">
        <v>38954</v>
      </c>
      <c r="N8386" s="2" t="s">
        <v>38955</v>
      </c>
      <c r="O8386" s="2" t="s">
        <v>38956</v>
      </c>
      <c r="P8386" s="2" t="s">
        <v>869</v>
      </c>
    </row>
    <row r="8387" ht="15.75" customHeight="1">
      <c r="H8387" s="2" t="s">
        <v>38957</v>
      </c>
      <c r="I8387" s="2" t="s">
        <v>7081</v>
      </c>
      <c r="J8387" s="2" t="s">
        <v>7082</v>
      </c>
      <c r="K8387" s="2" t="s">
        <v>24655</v>
      </c>
      <c r="L8387" s="2" t="s">
        <v>38861</v>
      </c>
      <c r="M8387" s="2" t="s">
        <v>38958</v>
      </c>
      <c r="N8387" s="2" t="s">
        <v>38959</v>
      </c>
      <c r="O8387" s="2" t="s">
        <v>38960</v>
      </c>
      <c r="P8387" s="2" t="s">
        <v>869</v>
      </c>
    </row>
    <row r="8388" ht="15.75" customHeight="1">
      <c r="H8388" s="2" t="s">
        <v>38961</v>
      </c>
      <c r="I8388" s="2" t="s">
        <v>13140</v>
      </c>
      <c r="J8388" s="2" t="s">
        <v>13141</v>
      </c>
      <c r="K8388" s="2" t="s">
        <v>33262</v>
      </c>
      <c r="L8388" s="2" t="s">
        <v>38861</v>
      </c>
      <c r="M8388" s="2" t="s">
        <v>38962</v>
      </c>
      <c r="N8388" s="2" t="s">
        <v>38963</v>
      </c>
      <c r="O8388" s="2" t="s">
        <v>38964</v>
      </c>
      <c r="P8388" s="2" t="s">
        <v>869</v>
      </c>
    </row>
    <row r="8389" ht="15.75" customHeight="1">
      <c r="H8389" s="2" t="s">
        <v>38965</v>
      </c>
      <c r="I8389" s="2" t="s">
        <v>1663</v>
      </c>
      <c r="J8389" s="2" t="s">
        <v>1664</v>
      </c>
      <c r="K8389" s="2" t="s">
        <v>24288</v>
      </c>
      <c r="L8389" s="2" t="s">
        <v>38861</v>
      </c>
      <c r="M8389" s="2" t="s">
        <v>38966</v>
      </c>
      <c r="N8389" s="2" t="s">
        <v>38967</v>
      </c>
      <c r="O8389" s="2" t="s">
        <v>38968</v>
      </c>
      <c r="P8389" s="2" t="s">
        <v>869</v>
      </c>
    </row>
    <row r="8390" ht="15.75" customHeight="1">
      <c r="H8390" s="2" t="s">
        <v>38969</v>
      </c>
      <c r="I8390" s="2" t="s">
        <v>159</v>
      </c>
      <c r="J8390" s="2" t="s">
        <v>160</v>
      </c>
      <c r="K8390" s="2" t="s">
        <v>24294</v>
      </c>
      <c r="L8390" s="2" t="s">
        <v>38861</v>
      </c>
      <c r="M8390" s="2" t="s">
        <v>38970</v>
      </c>
      <c r="N8390" s="2" t="s">
        <v>38971</v>
      </c>
      <c r="O8390" s="2" t="s">
        <v>38972</v>
      </c>
      <c r="P8390" s="2" t="s">
        <v>869</v>
      </c>
    </row>
    <row r="8391" ht="15.75" customHeight="1">
      <c r="H8391" s="2" t="s">
        <v>38973</v>
      </c>
      <c r="I8391" s="2" t="s">
        <v>167</v>
      </c>
      <c r="J8391" s="2" t="s">
        <v>168</v>
      </c>
      <c r="K8391" s="2" t="s">
        <v>15784</v>
      </c>
      <c r="L8391" s="2" t="s">
        <v>38974</v>
      </c>
      <c r="M8391" s="2" t="s">
        <v>38975</v>
      </c>
      <c r="N8391" s="2" t="s">
        <v>38976</v>
      </c>
      <c r="O8391" s="2" t="s">
        <v>38977</v>
      </c>
      <c r="P8391" s="2" t="s">
        <v>869</v>
      </c>
    </row>
    <row r="8392" ht="15.75" customHeight="1">
      <c r="H8392" s="2" t="s">
        <v>38978</v>
      </c>
      <c r="I8392" s="2" t="s">
        <v>2262</v>
      </c>
      <c r="J8392" s="2" t="s">
        <v>2263</v>
      </c>
      <c r="K8392" s="2" t="s">
        <v>32855</v>
      </c>
      <c r="L8392" s="2" t="s">
        <v>38979</v>
      </c>
      <c r="M8392" s="2" t="s">
        <v>38980</v>
      </c>
      <c r="N8392" s="2" t="s">
        <v>38981</v>
      </c>
      <c r="O8392" s="2" t="s">
        <v>38982</v>
      </c>
      <c r="P8392" s="2" t="s">
        <v>869</v>
      </c>
    </row>
    <row r="8393" ht="15.75" customHeight="1">
      <c r="H8393" s="2" t="s">
        <v>38983</v>
      </c>
      <c r="I8393" s="2" t="s">
        <v>7117</v>
      </c>
      <c r="J8393" s="2" t="s">
        <v>7118</v>
      </c>
      <c r="K8393" s="2" t="s">
        <v>24477</v>
      </c>
      <c r="L8393" s="2" t="s">
        <v>38861</v>
      </c>
      <c r="M8393" s="2" t="s">
        <v>38984</v>
      </c>
      <c r="N8393" s="2" t="s">
        <v>38985</v>
      </c>
      <c r="O8393" s="2" t="s">
        <v>38986</v>
      </c>
      <c r="P8393" s="2" t="s">
        <v>869</v>
      </c>
    </row>
    <row r="8394" ht="15.75" customHeight="1">
      <c r="H8394" s="2" t="s">
        <v>38987</v>
      </c>
      <c r="I8394" s="2" t="s">
        <v>36961</v>
      </c>
      <c r="J8394" s="2" t="s">
        <v>36962</v>
      </c>
      <c r="L8394" s="2" t="s">
        <v>38861</v>
      </c>
      <c r="M8394" s="2" t="s">
        <v>38988</v>
      </c>
      <c r="N8394" s="2" t="s">
        <v>38989</v>
      </c>
      <c r="O8394" s="2" t="s">
        <v>38990</v>
      </c>
      <c r="P8394" s="2" t="s">
        <v>869</v>
      </c>
    </row>
    <row r="8395" ht="15.75" customHeight="1">
      <c r="H8395" s="2" t="s">
        <v>38991</v>
      </c>
      <c r="I8395" s="2" t="s">
        <v>18967</v>
      </c>
      <c r="J8395" s="2" t="s">
        <v>18968</v>
      </c>
      <c r="L8395" s="2" t="s">
        <v>38861</v>
      </c>
      <c r="M8395" s="2" t="s">
        <v>38992</v>
      </c>
      <c r="N8395" s="2" t="s">
        <v>38993</v>
      </c>
      <c r="O8395" s="2" t="s">
        <v>38994</v>
      </c>
      <c r="P8395" s="2" t="s">
        <v>869</v>
      </c>
    </row>
    <row r="8396" ht="15.75" customHeight="1">
      <c r="H8396" s="2" t="s">
        <v>38995</v>
      </c>
      <c r="I8396" s="2" t="s">
        <v>38996</v>
      </c>
      <c r="J8396" s="2" t="s">
        <v>38997</v>
      </c>
      <c r="K8396" s="2" t="s">
        <v>6015</v>
      </c>
      <c r="L8396" s="2" t="s">
        <v>38998</v>
      </c>
      <c r="M8396" s="2" t="s">
        <v>38999</v>
      </c>
      <c r="N8396" s="2" t="s">
        <v>39000</v>
      </c>
      <c r="O8396" s="2" t="s">
        <v>39001</v>
      </c>
      <c r="P8396" s="2" t="s">
        <v>869</v>
      </c>
    </row>
    <row r="8397" ht="15.75" customHeight="1">
      <c r="H8397" s="2" t="s">
        <v>39002</v>
      </c>
      <c r="I8397" s="2" t="s">
        <v>193</v>
      </c>
      <c r="J8397" s="2" t="s">
        <v>194</v>
      </c>
      <c r="K8397" s="2" t="s">
        <v>31583</v>
      </c>
      <c r="L8397" s="2" t="s">
        <v>38861</v>
      </c>
      <c r="M8397" s="2" t="s">
        <v>39003</v>
      </c>
      <c r="N8397" s="2" t="s">
        <v>39004</v>
      </c>
      <c r="O8397" s="2" t="s">
        <v>39005</v>
      </c>
      <c r="P8397" s="2" t="s">
        <v>869</v>
      </c>
    </row>
    <row r="8398" ht="15.75" customHeight="1">
      <c r="H8398" s="2" t="s">
        <v>39006</v>
      </c>
      <c r="I8398" s="2" t="s">
        <v>25598</v>
      </c>
      <c r="J8398" s="2" t="s">
        <v>25599</v>
      </c>
      <c r="K8398" s="2" t="s">
        <v>15841</v>
      </c>
      <c r="L8398" s="2" t="s">
        <v>38861</v>
      </c>
      <c r="M8398" s="2" t="s">
        <v>39007</v>
      </c>
      <c r="N8398" s="2" t="s">
        <v>39008</v>
      </c>
      <c r="O8398" s="2" t="s">
        <v>39009</v>
      </c>
      <c r="P8398" s="2" t="s">
        <v>869</v>
      </c>
    </row>
    <row r="8399" ht="15.75" customHeight="1">
      <c r="H8399" s="2" t="s">
        <v>39010</v>
      </c>
      <c r="I8399" s="2" t="s">
        <v>5341</v>
      </c>
      <c r="J8399" s="2" t="s">
        <v>5342</v>
      </c>
      <c r="K8399" s="2" t="s">
        <v>24739</v>
      </c>
      <c r="L8399" s="2" t="s">
        <v>38861</v>
      </c>
      <c r="M8399" s="2" t="s">
        <v>39011</v>
      </c>
      <c r="N8399" s="2" t="s">
        <v>39012</v>
      </c>
      <c r="O8399" s="2" t="s">
        <v>39013</v>
      </c>
      <c r="P8399" s="2" t="s">
        <v>869</v>
      </c>
    </row>
    <row r="8400" ht="15.75" customHeight="1">
      <c r="H8400" s="2" t="s">
        <v>39014</v>
      </c>
      <c r="I8400" s="2" t="s">
        <v>1753</v>
      </c>
      <c r="J8400" s="2" t="s">
        <v>1754</v>
      </c>
      <c r="K8400" s="2" t="s">
        <v>31083</v>
      </c>
      <c r="L8400" s="2" t="s">
        <v>38861</v>
      </c>
      <c r="M8400" s="2" t="s">
        <v>39015</v>
      </c>
      <c r="N8400" s="2" t="s">
        <v>39016</v>
      </c>
      <c r="O8400" s="2" t="s">
        <v>39017</v>
      </c>
      <c r="P8400" s="2" t="s">
        <v>869</v>
      </c>
    </row>
    <row r="8401" ht="15.75" customHeight="1">
      <c r="H8401" s="2" t="s">
        <v>39018</v>
      </c>
      <c r="I8401" s="2" t="s">
        <v>8761</v>
      </c>
      <c r="J8401" s="2" t="s">
        <v>8762</v>
      </c>
      <c r="K8401" s="2" t="s">
        <v>33352</v>
      </c>
      <c r="L8401" s="2" t="s">
        <v>38861</v>
      </c>
      <c r="M8401" s="2" t="s">
        <v>39019</v>
      </c>
      <c r="N8401" s="2" t="s">
        <v>39020</v>
      </c>
      <c r="O8401" s="2" t="s">
        <v>39021</v>
      </c>
      <c r="P8401" s="2" t="s">
        <v>869</v>
      </c>
    </row>
    <row r="8402" ht="15.75" customHeight="1">
      <c r="H8402" s="2" t="s">
        <v>39022</v>
      </c>
      <c r="I8402" s="2" t="s">
        <v>5346</v>
      </c>
      <c r="J8402" s="2" t="s">
        <v>5347</v>
      </c>
      <c r="K8402" s="2" t="s">
        <v>24040</v>
      </c>
      <c r="L8402" s="2" t="s">
        <v>38861</v>
      </c>
      <c r="M8402" s="2" t="s">
        <v>39023</v>
      </c>
      <c r="N8402" s="2" t="s">
        <v>39024</v>
      </c>
      <c r="O8402" s="2" t="s">
        <v>39025</v>
      </c>
      <c r="P8402" s="2" t="s">
        <v>869</v>
      </c>
    </row>
    <row r="8403" ht="15.75" customHeight="1">
      <c r="H8403" s="2" t="s">
        <v>39026</v>
      </c>
      <c r="I8403" s="2" t="s">
        <v>39027</v>
      </c>
      <c r="J8403" s="2" t="s">
        <v>39028</v>
      </c>
      <c r="L8403" s="2" t="s">
        <v>38861</v>
      </c>
      <c r="M8403" s="2" t="s">
        <v>39029</v>
      </c>
      <c r="N8403" s="2" t="s">
        <v>39030</v>
      </c>
      <c r="O8403" s="2" t="s">
        <v>39031</v>
      </c>
      <c r="P8403" s="2" t="s">
        <v>869</v>
      </c>
    </row>
    <row r="8404" ht="15.75" customHeight="1">
      <c r="H8404" s="2" t="s">
        <v>39032</v>
      </c>
      <c r="I8404" s="2" t="s">
        <v>1766</v>
      </c>
      <c r="J8404" s="2" t="s">
        <v>1767</v>
      </c>
      <c r="K8404" s="2" t="s">
        <v>31089</v>
      </c>
      <c r="L8404" s="2" t="s">
        <v>38861</v>
      </c>
      <c r="M8404" s="2" t="s">
        <v>39033</v>
      </c>
      <c r="N8404" s="2" t="s">
        <v>39034</v>
      </c>
      <c r="O8404" s="2" t="s">
        <v>39035</v>
      </c>
      <c r="P8404" s="2" t="s">
        <v>869</v>
      </c>
    </row>
    <row r="8405" ht="15.75" customHeight="1">
      <c r="H8405" s="2" t="s">
        <v>39036</v>
      </c>
      <c r="I8405" s="2" t="s">
        <v>7221</v>
      </c>
      <c r="J8405" s="2" t="s">
        <v>7222</v>
      </c>
      <c r="K8405" s="2" t="s">
        <v>32709</v>
      </c>
      <c r="L8405" s="2" t="s">
        <v>38861</v>
      </c>
      <c r="M8405" s="2" t="s">
        <v>39037</v>
      </c>
      <c r="N8405" s="2" t="s">
        <v>39038</v>
      </c>
      <c r="O8405" s="2" t="s">
        <v>39039</v>
      </c>
      <c r="P8405" s="2" t="s">
        <v>869</v>
      </c>
    </row>
    <row r="8406" ht="15.75" customHeight="1">
      <c r="H8406" s="2" t="s">
        <v>39040</v>
      </c>
      <c r="I8406" s="2" t="s">
        <v>13584</v>
      </c>
      <c r="J8406" s="2" t="s">
        <v>13585</v>
      </c>
      <c r="K8406" s="2" t="s">
        <v>24332</v>
      </c>
      <c r="L8406" s="2" t="s">
        <v>38861</v>
      </c>
      <c r="M8406" s="2" t="s">
        <v>39041</v>
      </c>
      <c r="N8406" s="2" t="s">
        <v>39042</v>
      </c>
      <c r="O8406" s="2" t="s">
        <v>39043</v>
      </c>
      <c r="P8406" s="2" t="s">
        <v>869</v>
      </c>
    </row>
    <row r="8407" ht="15.75" customHeight="1">
      <c r="H8407" s="2" t="s">
        <v>39044</v>
      </c>
      <c r="I8407" s="2" t="s">
        <v>1501</v>
      </c>
      <c r="J8407" s="2" t="s">
        <v>1502</v>
      </c>
      <c r="K8407" s="2" t="s">
        <v>32729</v>
      </c>
      <c r="L8407" s="2" t="s">
        <v>38861</v>
      </c>
      <c r="M8407" s="2" t="s">
        <v>39045</v>
      </c>
      <c r="N8407" s="2" t="s">
        <v>39046</v>
      </c>
      <c r="O8407" s="2" t="s">
        <v>39047</v>
      </c>
      <c r="P8407" s="2" t="s">
        <v>869</v>
      </c>
    </row>
    <row r="8408" ht="15.75" customHeight="1">
      <c r="H8408" s="2" t="s">
        <v>39048</v>
      </c>
      <c r="I8408" s="2" t="s">
        <v>257</v>
      </c>
      <c r="J8408" s="2" t="s">
        <v>258</v>
      </c>
      <c r="K8408" s="2" t="s">
        <v>24344</v>
      </c>
      <c r="L8408" s="2" t="s">
        <v>38861</v>
      </c>
      <c r="M8408" s="2" t="s">
        <v>39049</v>
      </c>
      <c r="N8408" s="2" t="s">
        <v>39050</v>
      </c>
      <c r="O8408" s="2" t="s">
        <v>39051</v>
      </c>
      <c r="P8408" s="2" t="s">
        <v>869</v>
      </c>
    </row>
    <row r="8409" ht="15.75" customHeight="1">
      <c r="F8409" s="2" t="s">
        <v>1854</v>
      </c>
      <c r="H8409" s="2" t="s">
        <v>39052</v>
      </c>
      <c r="I8409" s="2" t="s">
        <v>1871</v>
      </c>
      <c r="J8409" s="2" t="s">
        <v>1872</v>
      </c>
      <c r="K8409" s="2" t="s">
        <v>24518</v>
      </c>
      <c r="L8409" s="2" t="s">
        <v>38861</v>
      </c>
      <c r="M8409" s="2" t="s">
        <v>39053</v>
      </c>
      <c r="N8409" s="2" t="s">
        <v>39054</v>
      </c>
      <c r="O8409" s="2" t="s">
        <v>39055</v>
      </c>
      <c r="P8409" s="2" t="s">
        <v>869</v>
      </c>
    </row>
    <row r="8410" ht="15.75" customHeight="1">
      <c r="F8410" s="2" t="s">
        <v>265</v>
      </c>
      <c r="H8410" s="2" t="s">
        <v>39056</v>
      </c>
      <c r="I8410" s="2" t="s">
        <v>267</v>
      </c>
      <c r="J8410" s="2" t="s">
        <v>268</v>
      </c>
      <c r="K8410" s="2" t="s">
        <v>6019</v>
      </c>
      <c r="L8410" s="2" t="s">
        <v>38861</v>
      </c>
      <c r="M8410" s="2" t="s">
        <v>39057</v>
      </c>
      <c r="N8410" s="2" t="s">
        <v>39058</v>
      </c>
      <c r="O8410" s="2" t="s">
        <v>39059</v>
      </c>
      <c r="P8410" s="2" t="s">
        <v>869</v>
      </c>
    </row>
    <row r="8411" ht="15.75" customHeight="1">
      <c r="H8411" s="2" t="s">
        <v>39060</v>
      </c>
      <c r="I8411" s="2" t="s">
        <v>39061</v>
      </c>
      <c r="J8411" s="2" t="s">
        <v>39062</v>
      </c>
      <c r="K8411" s="2" t="s">
        <v>24195</v>
      </c>
      <c r="L8411" s="2" t="s">
        <v>38861</v>
      </c>
      <c r="M8411" s="2" t="s">
        <v>39063</v>
      </c>
      <c r="N8411" s="2" t="s">
        <v>39064</v>
      </c>
      <c r="O8411" s="2" t="s">
        <v>39065</v>
      </c>
      <c r="P8411" s="2" t="s">
        <v>869</v>
      </c>
    </row>
    <row r="8412" ht="15.75" customHeight="1">
      <c r="F8412" s="2" t="s">
        <v>274</v>
      </c>
      <c r="H8412" s="2" t="s">
        <v>39066</v>
      </c>
      <c r="I8412" s="2" t="s">
        <v>276</v>
      </c>
      <c r="J8412" s="2" t="s">
        <v>276</v>
      </c>
      <c r="K8412" s="2" t="s">
        <v>277</v>
      </c>
    </row>
    <row r="8413" ht="15.75" customHeight="1">
      <c r="H8413" s="2" t="s">
        <v>39067</v>
      </c>
      <c r="I8413" s="2" t="s">
        <v>279</v>
      </c>
      <c r="J8413" s="2" t="s">
        <v>274</v>
      </c>
      <c r="K8413" s="2" t="s">
        <v>280</v>
      </c>
    </row>
    <row r="8414" ht="15.75" customHeight="1">
      <c r="H8414" s="2" t="s">
        <v>39068</v>
      </c>
      <c r="I8414" s="2" t="s">
        <v>7661</v>
      </c>
      <c r="J8414" s="2" t="s">
        <v>7661</v>
      </c>
      <c r="K8414" s="2" t="s">
        <v>1288</v>
      </c>
    </row>
    <row r="8415" ht="15.75" customHeight="1">
      <c r="F8415" s="2" t="s">
        <v>284</v>
      </c>
      <c r="H8415" s="2" t="s">
        <v>39069</v>
      </c>
      <c r="I8415" s="2" t="s">
        <v>286</v>
      </c>
      <c r="J8415" s="2" t="s">
        <v>287</v>
      </c>
      <c r="K8415" s="2" t="s">
        <v>15801</v>
      </c>
      <c r="L8415" s="2" t="s">
        <v>39070</v>
      </c>
      <c r="M8415" s="2" t="s">
        <v>39071</v>
      </c>
      <c r="N8415" s="2" t="s">
        <v>39072</v>
      </c>
      <c r="O8415" s="2" t="s">
        <v>39073</v>
      </c>
      <c r="P8415" s="2" t="s">
        <v>869</v>
      </c>
    </row>
    <row r="8416" ht="15.75" customHeight="1">
      <c r="H8416" s="2" t="s">
        <v>39074</v>
      </c>
      <c r="I8416" s="2" t="s">
        <v>12601</v>
      </c>
      <c r="J8416" s="2" t="s">
        <v>12602</v>
      </c>
      <c r="K8416" s="2" t="s">
        <v>24368</v>
      </c>
      <c r="L8416" s="2" t="s">
        <v>38861</v>
      </c>
      <c r="M8416" s="2" t="s">
        <v>39075</v>
      </c>
      <c r="N8416" s="2" t="s">
        <v>39076</v>
      </c>
      <c r="O8416" s="2" t="s">
        <v>39077</v>
      </c>
      <c r="P8416" s="2" t="s">
        <v>869</v>
      </c>
    </row>
    <row r="8417" ht="15.75" customHeight="1">
      <c r="H8417" s="2" t="s">
        <v>39078</v>
      </c>
      <c r="I8417" s="2" t="s">
        <v>5889</v>
      </c>
      <c r="J8417" s="2" t="s">
        <v>5890</v>
      </c>
      <c r="K8417" s="2" t="s">
        <v>15805</v>
      </c>
      <c r="L8417" s="2" t="s">
        <v>39079</v>
      </c>
      <c r="M8417" s="2" t="s">
        <v>39080</v>
      </c>
      <c r="N8417" s="2" t="s">
        <v>39081</v>
      </c>
      <c r="O8417" s="2" t="s">
        <v>39082</v>
      </c>
      <c r="P8417" s="2" t="s">
        <v>869</v>
      </c>
    </row>
    <row r="8418" ht="15.75" customHeight="1">
      <c r="H8418" s="2" t="s">
        <v>39083</v>
      </c>
      <c r="I8418" s="2" t="s">
        <v>302</v>
      </c>
      <c r="J8418" s="2" t="s">
        <v>303</v>
      </c>
      <c r="K8418" s="2" t="s">
        <v>15796</v>
      </c>
      <c r="L8418" s="2" t="s">
        <v>38861</v>
      </c>
      <c r="M8418" s="2" t="s">
        <v>39084</v>
      </c>
      <c r="N8418" s="2" t="s">
        <v>39085</v>
      </c>
      <c r="O8418" s="2" t="s">
        <v>39086</v>
      </c>
      <c r="P8418" s="2" t="s">
        <v>869</v>
      </c>
    </row>
    <row r="8419" ht="15.75" customHeight="1">
      <c r="H8419" s="2" t="s">
        <v>39087</v>
      </c>
      <c r="I8419" s="2" t="s">
        <v>24828</v>
      </c>
      <c r="J8419" s="2" t="s">
        <v>24829</v>
      </c>
      <c r="K8419" s="2" t="s">
        <v>22055</v>
      </c>
      <c r="L8419" s="2" t="s">
        <v>39088</v>
      </c>
      <c r="M8419" s="2" t="s">
        <v>39089</v>
      </c>
      <c r="N8419" s="2" t="s">
        <v>39090</v>
      </c>
      <c r="O8419" s="2" t="s">
        <v>39091</v>
      </c>
      <c r="P8419" s="2" t="s">
        <v>869</v>
      </c>
    </row>
    <row r="8420" ht="15.75" customHeight="1">
      <c r="H8420" s="2" t="s">
        <v>39092</v>
      </c>
      <c r="I8420" s="2" t="s">
        <v>12221</v>
      </c>
      <c r="J8420" s="2" t="s">
        <v>12222</v>
      </c>
      <c r="K8420" s="2" t="s">
        <v>37525</v>
      </c>
      <c r="L8420" s="2" t="s">
        <v>39093</v>
      </c>
      <c r="M8420" s="2" t="s">
        <v>39094</v>
      </c>
      <c r="N8420" s="2" t="s">
        <v>39095</v>
      </c>
      <c r="O8420" s="2" t="s">
        <v>39096</v>
      </c>
      <c r="P8420" s="2" t="s">
        <v>869</v>
      </c>
    </row>
    <row r="8421" ht="15.75" customHeight="1">
      <c r="H8421" s="2" t="s">
        <v>39097</v>
      </c>
      <c r="I8421" s="2" t="s">
        <v>39098</v>
      </c>
      <c r="J8421" s="2" t="s">
        <v>39099</v>
      </c>
      <c r="K8421" s="2" t="s">
        <v>15868</v>
      </c>
      <c r="L8421" s="2" t="s">
        <v>38861</v>
      </c>
      <c r="M8421" s="2" t="s">
        <v>39100</v>
      </c>
      <c r="N8421" s="2" t="s">
        <v>39101</v>
      </c>
      <c r="O8421" s="2" t="s">
        <v>39102</v>
      </c>
      <c r="P8421" s="2" t="s">
        <v>869</v>
      </c>
    </row>
    <row r="8422" ht="15.75" customHeight="1">
      <c r="H8422" s="2" t="s">
        <v>39103</v>
      </c>
      <c r="I8422" s="2" t="s">
        <v>39104</v>
      </c>
      <c r="J8422" s="2" t="s">
        <v>39105</v>
      </c>
      <c r="K8422" s="2" t="s">
        <v>22104</v>
      </c>
      <c r="L8422" s="2" t="s">
        <v>38861</v>
      </c>
      <c r="M8422" s="2" t="s">
        <v>39106</v>
      </c>
      <c r="N8422" s="2" t="s">
        <v>39107</v>
      </c>
      <c r="O8422" s="2" t="s">
        <v>39108</v>
      </c>
      <c r="P8422" s="2" t="s">
        <v>869</v>
      </c>
    </row>
    <row r="8423" ht="15.75" customHeight="1">
      <c r="H8423" s="2" t="s">
        <v>39109</v>
      </c>
      <c r="I8423" s="2" t="s">
        <v>310</v>
      </c>
      <c r="J8423" s="2" t="s">
        <v>311</v>
      </c>
      <c r="K8423" s="2" t="s">
        <v>15809</v>
      </c>
      <c r="L8423" s="2" t="s">
        <v>38861</v>
      </c>
      <c r="M8423" s="2" t="s">
        <v>39110</v>
      </c>
      <c r="N8423" s="2" t="s">
        <v>39111</v>
      </c>
      <c r="O8423" s="2" t="s">
        <v>39112</v>
      </c>
      <c r="P8423" s="2" t="s">
        <v>869</v>
      </c>
    </row>
    <row r="8424" ht="15.75" customHeight="1">
      <c r="H8424" s="2" t="s">
        <v>39113</v>
      </c>
      <c r="I8424" s="2" t="s">
        <v>5421</v>
      </c>
      <c r="J8424" s="2" t="s">
        <v>5422</v>
      </c>
      <c r="K8424" s="2" t="s">
        <v>25265</v>
      </c>
      <c r="L8424" s="2" t="s">
        <v>38861</v>
      </c>
      <c r="M8424" s="2" t="s">
        <v>39114</v>
      </c>
      <c r="N8424" s="2" t="s">
        <v>39115</v>
      </c>
      <c r="O8424" s="2" t="s">
        <v>39116</v>
      </c>
      <c r="P8424" s="2" t="s">
        <v>869</v>
      </c>
    </row>
    <row r="8425" ht="15.75" customHeight="1">
      <c r="H8425" s="2" t="s">
        <v>39117</v>
      </c>
      <c r="I8425" s="2" t="s">
        <v>12234</v>
      </c>
      <c r="J8425" s="2" t="s">
        <v>12235</v>
      </c>
      <c r="K8425" s="2" t="s">
        <v>25133</v>
      </c>
      <c r="L8425" s="2" t="s">
        <v>38861</v>
      </c>
      <c r="M8425" s="2" t="s">
        <v>39118</v>
      </c>
      <c r="N8425" s="2" t="s">
        <v>39119</v>
      </c>
      <c r="O8425" s="2" t="s">
        <v>39120</v>
      </c>
      <c r="P8425" s="2" t="s">
        <v>869</v>
      </c>
    </row>
    <row r="8426" ht="15.75" customHeight="1">
      <c r="H8426" s="2" t="s">
        <v>39121</v>
      </c>
      <c r="I8426" s="2" t="s">
        <v>2175</v>
      </c>
      <c r="J8426" s="2" t="s">
        <v>2176</v>
      </c>
      <c r="K8426" s="2" t="s">
        <v>6029</v>
      </c>
      <c r="L8426" s="2" t="s">
        <v>39122</v>
      </c>
      <c r="M8426" s="2" t="s">
        <v>39123</v>
      </c>
      <c r="N8426" s="2" t="s">
        <v>39124</v>
      </c>
      <c r="O8426" s="2" t="s">
        <v>39125</v>
      </c>
      <c r="P8426" s="2" t="s">
        <v>869</v>
      </c>
    </row>
    <row r="8427" ht="15.75" customHeight="1">
      <c r="H8427" s="2" t="s">
        <v>39126</v>
      </c>
      <c r="I8427" s="2" t="s">
        <v>2195</v>
      </c>
      <c r="J8427" s="2" t="s">
        <v>2196</v>
      </c>
      <c r="K8427" s="2" t="s">
        <v>24851</v>
      </c>
      <c r="L8427" s="2" t="s">
        <v>39127</v>
      </c>
      <c r="M8427" s="2" t="s">
        <v>39128</v>
      </c>
      <c r="N8427" s="2" t="s">
        <v>39129</v>
      </c>
      <c r="O8427" s="2" t="s">
        <v>39130</v>
      </c>
      <c r="P8427" s="2" t="s">
        <v>869</v>
      </c>
    </row>
    <row r="8428" ht="15.75" customHeight="1">
      <c r="H8428" s="2" t="s">
        <v>39131</v>
      </c>
      <c r="I8428" s="2" t="s">
        <v>326</v>
      </c>
      <c r="J8428" s="2" t="s">
        <v>327</v>
      </c>
      <c r="K8428" s="2" t="s">
        <v>6068</v>
      </c>
      <c r="L8428" s="2" t="s">
        <v>39132</v>
      </c>
      <c r="M8428" s="2" t="s">
        <v>39133</v>
      </c>
      <c r="N8428" s="2" t="s">
        <v>39134</v>
      </c>
      <c r="O8428" s="2" t="s">
        <v>39135</v>
      </c>
      <c r="P8428" s="2" t="s">
        <v>869</v>
      </c>
    </row>
    <row r="8429" ht="15.75" customHeight="1">
      <c r="H8429" s="2" t="s">
        <v>39136</v>
      </c>
      <c r="I8429" s="2" t="s">
        <v>6326</v>
      </c>
      <c r="J8429" s="2" t="s">
        <v>6327</v>
      </c>
      <c r="K8429" s="2" t="s">
        <v>6033</v>
      </c>
      <c r="L8429" s="2" t="s">
        <v>38861</v>
      </c>
      <c r="M8429" s="2" t="s">
        <v>39137</v>
      </c>
      <c r="N8429" s="2" t="s">
        <v>39138</v>
      </c>
      <c r="O8429" s="2" t="s">
        <v>39139</v>
      </c>
      <c r="P8429" s="2" t="s">
        <v>869</v>
      </c>
    </row>
    <row r="8430" ht="15.75" customHeight="1">
      <c r="H8430" s="2" t="s">
        <v>39140</v>
      </c>
      <c r="I8430" s="2" t="s">
        <v>5436</v>
      </c>
      <c r="J8430" s="2" t="s">
        <v>5437</v>
      </c>
      <c r="L8430" s="2" t="s">
        <v>38861</v>
      </c>
      <c r="M8430" s="2" t="s">
        <v>39141</v>
      </c>
      <c r="N8430" s="2" t="s">
        <v>39142</v>
      </c>
      <c r="O8430" s="2" t="s">
        <v>39143</v>
      </c>
      <c r="P8430" s="2" t="s">
        <v>869</v>
      </c>
    </row>
    <row r="8431" ht="15.75" customHeight="1">
      <c r="H8431" s="2" t="s">
        <v>39144</v>
      </c>
      <c r="I8431" s="2" t="s">
        <v>352</v>
      </c>
      <c r="J8431" s="2" t="s">
        <v>353</v>
      </c>
      <c r="K8431" s="2" t="s">
        <v>15827</v>
      </c>
      <c r="L8431" s="2" t="s">
        <v>38861</v>
      </c>
      <c r="M8431" s="2" t="s">
        <v>39145</v>
      </c>
      <c r="N8431" s="2" t="s">
        <v>39146</v>
      </c>
      <c r="O8431" s="2" t="s">
        <v>39147</v>
      </c>
      <c r="P8431" s="2" t="s">
        <v>869</v>
      </c>
    </row>
    <row r="8432" ht="15.75" customHeight="1">
      <c r="H8432" s="2" t="s">
        <v>39148</v>
      </c>
      <c r="I8432" s="2" t="s">
        <v>2715</v>
      </c>
      <c r="J8432" s="2" t="s">
        <v>2716</v>
      </c>
      <c r="L8432" s="2" t="s">
        <v>38861</v>
      </c>
      <c r="M8432" s="2" t="s">
        <v>39149</v>
      </c>
      <c r="N8432" s="2" t="s">
        <v>39150</v>
      </c>
      <c r="O8432" s="2" t="s">
        <v>39151</v>
      </c>
      <c r="P8432" s="2" t="s">
        <v>869</v>
      </c>
    </row>
    <row r="8433" ht="15.75" customHeight="1">
      <c r="H8433" s="2" t="s">
        <v>39152</v>
      </c>
      <c r="I8433" s="2" t="s">
        <v>409</v>
      </c>
      <c r="J8433" s="2" t="s">
        <v>410</v>
      </c>
      <c r="K8433" s="2" t="s">
        <v>24935</v>
      </c>
      <c r="L8433" s="2" t="s">
        <v>38861</v>
      </c>
      <c r="M8433" s="2" t="s">
        <v>39153</v>
      </c>
      <c r="N8433" s="2" t="s">
        <v>39154</v>
      </c>
      <c r="O8433" s="2" t="s">
        <v>39155</v>
      </c>
      <c r="P8433" s="2" t="s">
        <v>869</v>
      </c>
    </row>
    <row r="8434" ht="15.75" customHeight="1">
      <c r="H8434" s="2" t="s">
        <v>39156</v>
      </c>
      <c r="I8434" s="2" t="s">
        <v>415</v>
      </c>
      <c r="J8434" s="2" t="s">
        <v>416</v>
      </c>
      <c r="K8434" s="2" t="s">
        <v>15831</v>
      </c>
      <c r="L8434" s="2" t="s">
        <v>39157</v>
      </c>
      <c r="M8434" s="2" t="s">
        <v>39158</v>
      </c>
      <c r="N8434" s="2" t="s">
        <v>39159</v>
      </c>
      <c r="O8434" s="2" t="s">
        <v>39160</v>
      </c>
      <c r="P8434" s="2" t="s">
        <v>869</v>
      </c>
    </row>
    <row r="8435" ht="15.75" customHeight="1">
      <c r="H8435" s="2" t="s">
        <v>39161</v>
      </c>
      <c r="I8435" s="2" t="s">
        <v>5459</v>
      </c>
      <c r="J8435" s="2" t="s">
        <v>5460</v>
      </c>
      <c r="K8435" s="2" t="s">
        <v>15784</v>
      </c>
      <c r="L8435" s="2" t="s">
        <v>38861</v>
      </c>
      <c r="M8435" s="2" t="s">
        <v>39162</v>
      </c>
      <c r="N8435" s="2" t="s">
        <v>39163</v>
      </c>
      <c r="O8435" s="2" t="s">
        <v>39164</v>
      </c>
      <c r="P8435" s="2" t="s">
        <v>869</v>
      </c>
    </row>
    <row r="8436" ht="15.75" customHeight="1">
      <c r="H8436" s="2" t="s">
        <v>39165</v>
      </c>
      <c r="I8436" s="2" t="s">
        <v>5925</v>
      </c>
      <c r="J8436" s="2" t="s">
        <v>5926</v>
      </c>
      <c r="L8436" s="2" t="s">
        <v>38861</v>
      </c>
      <c r="M8436" s="2" t="s">
        <v>39166</v>
      </c>
      <c r="N8436" s="2" t="s">
        <v>39167</v>
      </c>
      <c r="O8436" s="2" t="s">
        <v>39168</v>
      </c>
      <c r="P8436" s="2" t="s">
        <v>869</v>
      </c>
    </row>
    <row r="8437" ht="15.75" customHeight="1">
      <c r="H8437" s="2" t="s">
        <v>39169</v>
      </c>
      <c r="I8437" s="2" t="s">
        <v>5464</v>
      </c>
      <c r="J8437" s="2" t="s">
        <v>5465</v>
      </c>
      <c r="K8437" s="2" t="s">
        <v>39170</v>
      </c>
      <c r="L8437" s="2" t="s">
        <v>38861</v>
      </c>
      <c r="M8437" s="2" t="s">
        <v>39171</v>
      </c>
      <c r="N8437" s="2" t="s">
        <v>39172</v>
      </c>
      <c r="O8437" s="2" t="s">
        <v>39173</v>
      </c>
      <c r="P8437" s="2" t="s">
        <v>869</v>
      </c>
    </row>
    <row r="8438" ht="15.75" customHeight="1">
      <c r="H8438" s="2" t="s">
        <v>39174</v>
      </c>
      <c r="I8438" s="2" t="s">
        <v>2286</v>
      </c>
      <c r="J8438" s="2" t="s">
        <v>2287</v>
      </c>
      <c r="L8438" s="2" t="s">
        <v>38861</v>
      </c>
      <c r="M8438" s="2" t="s">
        <v>39175</v>
      </c>
      <c r="N8438" s="2" t="s">
        <v>39176</v>
      </c>
      <c r="O8438" s="2" t="s">
        <v>39177</v>
      </c>
      <c r="P8438" s="2" t="s">
        <v>869</v>
      </c>
    </row>
    <row r="8439" ht="15.75" customHeight="1">
      <c r="H8439" s="2" t="s">
        <v>39178</v>
      </c>
      <c r="I8439" s="2" t="s">
        <v>432</v>
      </c>
      <c r="J8439" s="2" t="s">
        <v>433</v>
      </c>
      <c r="K8439" s="2" t="s">
        <v>15827</v>
      </c>
      <c r="L8439" s="2" t="s">
        <v>38861</v>
      </c>
      <c r="M8439" s="2" t="s">
        <v>39179</v>
      </c>
      <c r="N8439" s="2" t="s">
        <v>39180</v>
      </c>
      <c r="O8439" s="2" t="s">
        <v>39181</v>
      </c>
      <c r="P8439" s="2" t="s">
        <v>869</v>
      </c>
    </row>
    <row r="8440" ht="15.75" customHeight="1">
      <c r="H8440" s="2" t="s">
        <v>39182</v>
      </c>
      <c r="I8440" s="2" t="s">
        <v>15835</v>
      </c>
      <c r="J8440" s="2" t="s">
        <v>15836</v>
      </c>
      <c r="K8440" s="2" t="s">
        <v>15837</v>
      </c>
      <c r="L8440" s="2" t="s">
        <v>38861</v>
      </c>
      <c r="M8440" s="2" t="s">
        <v>39183</v>
      </c>
      <c r="N8440" s="2" t="s">
        <v>39184</v>
      </c>
      <c r="O8440" s="2" t="s">
        <v>39185</v>
      </c>
      <c r="P8440" s="2" t="s">
        <v>869</v>
      </c>
    </row>
    <row r="8441" ht="15.75" customHeight="1">
      <c r="H8441" s="2" t="s">
        <v>39186</v>
      </c>
      <c r="I8441" s="2" t="s">
        <v>440</v>
      </c>
      <c r="J8441" s="2" t="s">
        <v>441</v>
      </c>
      <c r="K8441" s="2" t="s">
        <v>24907</v>
      </c>
      <c r="L8441" s="2" t="s">
        <v>39187</v>
      </c>
      <c r="M8441" s="2" t="s">
        <v>39188</v>
      </c>
      <c r="N8441" s="2" t="s">
        <v>39189</v>
      </c>
      <c r="O8441" s="2" t="s">
        <v>39190</v>
      </c>
      <c r="P8441" s="2" t="s">
        <v>869</v>
      </c>
    </row>
    <row r="8442" ht="15.75" customHeight="1">
      <c r="H8442" s="2" t="s">
        <v>39191</v>
      </c>
      <c r="I8442" s="2" t="s">
        <v>2298</v>
      </c>
      <c r="J8442" s="2" t="s">
        <v>2299</v>
      </c>
      <c r="K8442" s="2" t="s">
        <v>24004</v>
      </c>
      <c r="L8442" s="2" t="s">
        <v>38861</v>
      </c>
      <c r="M8442" s="2" t="s">
        <v>39192</v>
      </c>
      <c r="N8442" s="2" t="s">
        <v>39193</v>
      </c>
      <c r="O8442" s="2" t="s">
        <v>39194</v>
      </c>
      <c r="P8442" s="2" t="s">
        <v>869</v>
      </c>
    </row>
    <row r="8443" ht="15.75" customHeight="1">
      <c r="H8443" s="2" t="s">
        <v>39195</v>
      </c>
      <c r="I8443" s="2" t="s">
        <v>662</v>
      </c>
      <c r="J8443" s="2" t="s">
        <v>663</v>
      </c>
      <c r="K8443" s="2" t="s">
        <v>24924</v>
      </c>
      <c r="L8443" s="2" t="s">
        <v>39196</v>
      </c>
      <c r="M8443" s="2" t="s">
        <v>39197</v>
      </c>
      <c r="N8443" s="2" t="s">
        <v>39198</v>
      </c>
      <c r="O8443" s="2" t="s">
        <v>39199</v>
      </c>
      <c r="P8443" s="2" t="s">
        <v>869</v>
      </c>
    </row>
    <row r="8444" ht="15.75" customHeight="1">
      <c r="H8444" s="2" t="s">
        <v>39200</v>
      </c>
      <c r="I8444" s="2" t="s">
        <v>1317</v>
      </c>
      <c r="J8444" s="2" t="s">
        <v>1318</v>
      </c>
      <c r="K8444" s="2" t="s">
        <v>24069</v>
      </c>
      <c r="L8444" s="2" t="s">
        <v>38861</v>
      </c>
      <c r="M8444" s="2" t="s">
        <v>39201</v>
      </c>
      <c r="N8444" s="2" t="s">
        <v>39202</v>
      </c>
      <c r="O8444" s="2" t="s">
        <v>39203</v>
      </c>
      <c r="P8444" s="2" t="s">
        <v>869</v>
      </c>
    </row>
    <row r="8445" ht="15.75" customHeight="1">
      <c r="H8445" s="2" t="s">
        <v>39204</v>
      </c>
      <c r="I8445" s="2" t="s">
        <v>2341</v>
      </c>
      <c r="J8445" s="2" t="s">
        <v>2342</v>
      </c>
      <c r="K8445" s="2" t="s">
        <v>37572</v>
      </c>
      <c r="L8445" s="2" t="s">
        <v>39205</v>
      </c>
      <c r="M8445" s="2" t="s">
        <v>39206</v>
      </c>
      <c r="N8445" s="2" t="s">
        <v>39207</v>
      </c>
      <c r="O8445" s="2" t="s">
        <v>39208</v>
      </c>
      <c r="P8445" s="2" t="s">
        <v>869</v>
      </c>
    </row>
    <row r="8446" ht="15.75" customHeight="1">
      <c r="H8446" s="2" t="s">
        <v>39209</v>
      </c>
      <c r="I8446" s="2" t="s">
        <v>13823</v>
      </c>
      <c r="J8446" s="2" t="s">
        <v>13824</v>
      </c>
      <c r="K8446" s="2" t="s">
        <v>24090</v>
      </c>
      <c r="L8446" s="2" t="s">
        <v>39210</v>
      </c>
      <c r="M8446" s="2" t="s">
        <v>39211</v>
      </c>
      <c r="N8446" s="2" t="s">
        <v>39212</v>
      </c>
      <c r="O8446" s="2" t="s">
        <v>39213</v>
      </c>
      <c r="P8446" s="2" t="s">
        <v>869</v>
      </c>
    </row>
    <row r="8447" ht="15.75" customHeight="1">
      <c r="H8447" s="2" t="s">
        <v>39214</v>
      </c>
      <c r="I8447" s="2" t="s">
        <v>14894</v>
      </c>
      <c r="J8447" s="2" t="s">
        <v>14895</v>
      </c>
      <c r="K8447" s="2" t="s">
        <v>25128</v>
      </c>
      <c r="L8447" s="2" t="s">
        <v>38861</v>
      </c>
      <c r="M8447" s="2" t="s">
        <v>39215</v>
      </c>
      <c r="N8447" s="2" t="s">
        <v>39216</v>
      </c>
      <c r="O8447" s="2" t="s">
        <v>39217</v>
      </c>
      <c r="P8447" s="2" t="s">
        <v>869</v>
      </c>
    </row>
    <row r="8448" ht="15.75" customHeight="1">
      <c r="H8448" s="2" t="s">
        <v>39218</v>
      </c>
      <c r="I8448" s="2" t="s">
        <v>29405</v>
      </c>
      <c r="J8448" s="2" t="s">
        <v>29406</v>
      </c>
      <c r="L8448" s="2" t="s">
        <v>38861</v>
      </c>
      <c r="M8448" s="2" t="s">
        <v>39219</v>
      </c>
      <c r="N8448" s="2" t="s">
        <v>39220</v>
      </c>
      <c r="O8448" s="2" t="s">
        <v>39221</v>
      </c>
      <c r="P8448" s="2" t="s">
        <v>869</v>
      </c>
    </row>
    <row r="8449" ht="15.75" customHeight="1">
      <c r="H8449" s="2" t="s">
        <v>39222</v>
      </c>
      <c r="I8449" s="2" t="s">
        <v>16181</v>
      </c>
      <c r="J8449" s="2" t="s">
        <v>16182</v>
      </c>
      <c r="K8449" s="2" t="s">
        <v>32661</v>
      </c>
      <c r="L8449" s="2" t="s">
        <v>39223</v>
      </c>
      <c r="M8449" s="2" t="s">
        <v>39224</v>
      </c>
      <c r="N8449" s="2" t="s">
        <v>39225</v>
      </c>
      <c r="O8449" s="2" t="s">
        <v>39226</v>
      </c>
      <c r="P8449" s="2" t="s">
        <v>869</v>
      </c>
    </row>
    <row r="8450" ht="15.75" customHeight="1">
      <c r="H8450" s="2" t="s">
        <v>39227</v>
      </c>
      <c r="I8450" s="2" t="s">
        <v>5541</v>
      </c>
      <c r="J8450" s="2" t="s">
        <v>5542</v>
      </c>
      <c r="K8450" s="2" t="s">
        <v>24465</v>
      </c>
      <c r="L8450" s="2" t="s">
        <v>38861</v>
      </c>
      <c r="M8450" s="2" t="s">
        <v>39228</v>
      </c>
      <c r="N8450" s="2" t="s">
        <v>39229</v>
      </c>
      <c r="O8450" s="2" t="s">
        <v>39230</v>
      </c>
      <c r="P8450" s="2" t="s">
        <v>869</v>
      </c>
    </row>
    <row r="8451" ht="15.75" customHeight="1">
      <c r="H8451" s="2" t="s">
        <v>39231</v>
      </c>
      <c r="I8451" s="2" t="s">
        <v>485</v>
      </c>
      <c r="J8451" s="2" t="s">
        <v>486</v>
      </c>
      <c r="K8451" s="2" t="s">
        <v>15792</v>
      </c>
      <c r="L8451" s="2" t="s">
        <v>39232</v>
      </c>
      <c r="M8451" s="2" t="s">
        <v>12642</v>
      </c>
      <c r="N8451" s="2" t="s">
        <v>39233</v>
      </c>
      <c r="O8451" s="2" t="s">
        <v>39234</v>
      </c>
      <c r="P8451" s="2" t="s">
        <v>869</v>
      </c>
    </row>
    <row r="8452" ht="15.75" customHeight="1">
      <c r="H8452" s="2" t="s">
        <v>39235</v>
      </c>
      <c r="I8452" s="2" t="s">
        <v>39236</v>
      </c>
      <c r="J8452" s="2" t="s">
        <v>39237</v>
      </c>
      <c r="K8452" s="2" t="s">
        <v>24120</v>
      </c>
      <c r="L8452" s="2" t="s">
        <v>38861</v>
      </c>
      <c r="M8452" s="2" t="s">
        <v>39238</v>
      </c>
      <c r="N8452" s="2" t="s">
        <v>39239</v>
      </c>
      <c r="O8452" s="2" t="s">
        <v>39240</v>
      </c>
      <c r="P8452" s="2" t="s">
        <v>869</v>
      </c>
    </row>
    <row r="8453" ht="15.75" customHeight="1">
      <c r="H8453" s="2" t="s">
        <v>39241</v>
      </c>
      <c r="I8453" s="2" t="s">
        <v>14922</v>
      </c>
      <c r="J8453" s="2" t="s">
        <v>14923</v>
      </c>
      <c r="K8453" s="2" t="s">
        <v>39242</v>
      </c>
      <c r="L8453" s="2" t="s">
        <v>38861</v>
      </c>
      <c r="M8453" s="2" t="s">
        <v>39243</v>
      </c>
      <c r="N8453" s="2" t="s">
        <v>39244</v>
      </c>
      <c r="O8453" s="2" t="s">
        <v>39245</v>
      </c>
      <c r="P8453" s="2" t="s">
        <v>869</v>
      </c>
    </row>
    <row r="8454" ht="15.75" customHeight="1">
      <c r="H8454" s="2" t="s">
        <v>39246</v>
      </c>
      <c r="I8454" s="2" t="s">
        <v>510</v>
      </c>
      <c r="J8454" s="2" t="s">
        <v>511</v>
      </c>
      <c r="K8454" s="2" t="s">
        <v>31277</v>
      </c>
      <c r="L8454" s="2" t="s">
        <v>38861</v>
      </c>
      <c r="M8454" s="2" t="s">
        <v>39247</v>
      </c>
      <c r="N8454" s="2" t="s">
        <v>39248</v>
      </c>
      <c r="O8454" s="2" t="s">
        <v>39249</v>
      </c>
      <c r="P8454" s="2" t="s">
        <v>869</v>
      </c>
    </row>
    <row r="8455" ht="15.75" customHeight="1">
      <c r="H8455" s="2" t="s">
        <v>39250</v>
      </c>
      <c r="I8455" s="2" t="s">
        <v>2435</v>
      </c>
      <c r="J8455" s="2" t="s">
        <v>2436</v>
      </c>
      <c r="K8455" s="2" t="s">
        <v>31150</v>
      </c>
      <c r="L8455" s="2" t="s">
        <v>38861</v>
      </c>
      <c r="M8455" s="2" t="s">
        <v>39251</v>
      </c>
      <c r="N8455" s="2" t="s">
        <v>39252</v>
      </c>
      <c r="O8455" s="2" t="s">
        <v>39253</v>
      </c>
      <c r="P8455" s="2" t="s">
        <v>869</v>
      </c>
    </row>
    <row r="8456" ht="15.75" customHeight="1">
      <c r="H8456" s="2" t="s">
        <v>39254</v>
      </c>
      <c r="I8456" s="2" t="s">
        <v>39255</v>
      </c>
      <c r="J8456" s="2" t="s">
        <v>39256</v>
      </c>
      <c r="K8456" s="2" t="s">
        <v>39257</v>
      </c>
      <c r="L8456" s="2" t="s">
        <v>38861</v>
      </c>
      <c r="M8456" s="2" t="s">
        <v>39258</v>
      </c>
      <c r="N8456" s="2" t="s">
        <v>39259</v>
      </c>
      <c r="O8456" s="2" t="s">
        <v>39260</v>
      </c>
      <c r="P8456" s="2" t="s">
        <v>869</v>
      </c>
    </row>
    <row r="8457" ht="15.75" customHeight="1">
      <c r="H8457" s="2" t="s">
        <v>39261</v>
      </c>
      <c r="I8457" s="2" t="s">
        <v>13881</v>
      </c>
      <c r="J8457" s="2" t="s">
        <v>13882</v>
      </c>
      <c r="K8457" s="2" t="s">
        <v>32716</v>
      </c>
      <c r="L8457" s="2" t="s">
        <v>38861</v>
      </c>
      <c r="M8457" s="2" t="s">
        <v>39262</v>
      </c>
      <c r="N8457" s="2" t="s">
        <v>39263</v>
      </c>
      <c r="O8457" s="2" t="s">
        <v>39264</v>
      </c>
      <c r="P8457" s="2" t="s">
        <v>869</v>
      </c>
    </row>
    <row r="8458" ht="15.75" customHeight="1">
      <c r="H8458" s="2" t="s">
        <v>39265</v>
      </c>
      <c r="I8458" s="2" t="s">
        <v>526</v>
      </c>
      <c r="J8458" s="2" t="s">
        <v>527</v>
      </c>
      <c r="K8458" s="2" t="s">
        <v>24084</v>
      </c>
      <c r="L8458" s="2" t="s">
        <v>39266</v>
      </c>
      <c r="M8458" s="2" t="s">
        <v>39267</v>
      </c>
      <c r="N8458" s="2" t="s">
        <v>39268</v>
      </c>
      <c r="O8458" s="2" t="s">
        <v>39269</v>
      </c>
      <c r="P8458" s="2" t="s">
        <v>869</v>
      </c>
    </row>
    <row r="8459" ht="15.75" customHeight="1">
      <c r="H8459" s="2" t="s">
        <v>39270</v>
      </c>
      <c r="I8459" s="2" t="s">
        <v>13902</v>
      </c>
      <c r="J8459" s="2" t="s">
        <v>13903</v>
      </c>
      <c r="K8459" s="2" t="s">
        <v>33430</v>
      </c>
      <c r="L8459" s="2" t="s">
        <v>38861</v>
      </c>
      <c r="M8459" s="2" t="s">
        <v>39271</v>
      </c>
      <c r="N8459" s="2" t="s">
        <v>39272</v>
      </c>
      <c r="O8459" s="2" t="s">
        <v>39273</v>
      </c>
      <c r="P8459" s="2" t="s">
        <v>869</v>
      </c>
    </row>
    <row r="8460" ht="15.75" customHeight="1">
      <c r="H8460" s="2" t="s">
        <v>39274</v>
      </c>
      <c r="I8460" s="2" t="s">
        <v>2504</v>
      </c>
      <c r="J8460" s="2" t="s">
        <v>2505</v>
      </c>
      <c r="K8460" s="2" t="s">
        <v>37609</v>
      </c>
      <c r="L8460" s="2" t="s">
        <v>38861</v>
      </c>
      <c r="M8460" s="2" t="s">
        <v>39275</v>
      </c>
      <c r="N8460" s="2" t="s">
        <v>39276</v>
      </c>
      <c r="O8460" s="2" t="s">
        <v>39277</v>
      </c>
      <c r="P8460" s="2" t="s">
        <v>869</v>
      </c>
    </row>
    <row r="8461" ht="15.75" customHeight="1">
      <c r="F8461" s="2" t="s">
        <v>2508</v>
      </c>
      <c r="H8461" s="2" t="s">
        <v>39278</v>
      </c>
      <c r="I8461" s="2" t="s">
        <v>39279</v>
      </c>
      <c r="J8461" s="2" t="s">
        <v>39279</v>
      </c>
      <c r="K8461" s="2" t="s">
        <v>18286</v>
      </c>
    </row>
    <row r="8462" ht="15.75" customHeight="1">
      <c r="F8462" s="2" t="s">
        <v>534</v>
      </c>
      <c r="H8462" s="2" t="s">
        <v>39280</v>
      </c>
      <c r="I8462" s="2" t="s">
        <v>2512</v>
      </c>
      <c r="J8462" s="2" t="s">
        <v>2513</v>
      </c>
      <c r="K8462" s="2" t="s">
        <v>2514</v>
      </c>
    </row>
    <row r="8463" ht="15.75" customHeight="1">
      <c r="H8463" s="2" t="s">
        <v>39281</v>
      </c>
      <c r="I8463" s="2" t="s">
        <v>536</v>
      </c>
      <c r="J8463" s="2" t="s">
        <v>537</v>
      </c>
      <c r="K8463" s="2" t="s">
        <v>538</v>
      </c>
    </row>
    <row r="8464" ht="15.75" customHeight="1">
      <c r="F8464" s="2" t="s">
        <v>539</v>
      </c>
      <c r="H8464" s="2" t="s">
        <v>39282</v>
      </c>
      <c r="I8464" s="2" t="s">
        <v>541</v>
      </c>
      <c r="J8464" s="2" t="s">
        <v>542</v>
      </c>
      <c r="K8464" s="2" t="s">
        <v>6046</v>
      </c>
      <c r="L8464" s="2" t="s">
        <v>38861</v>
      </c>
      <c r="M8464" s="2" t="s">
        <v>39283</v>
      </c>
      <c r="N8464" s="2" t="s">
        <v>39284</v>
      </c>
      <c r="O8464" s="2" t="s">
        <v>39285</v>
      </c>
      <c r="P8464" s="2" t="s">
        <v>869</v>
      </c>
    </row>
    <row r="8465" ht="15.75" customHeight="1">
      <c r="F8465" s="2" t="s">
        <v>2597</v>
      </c>
      <c r="H8465" s="2" t="s">
        <v>39286</v>
      </c>
      <c r="I8465" s="2" t="s">
        <v>2624</v>
      </c>
      <c r="J8465" s="2" t="s">
        <v>2625</v>
      </c>
      <c r="K8465" s="2" t="s">
        <v>6050</v>
      </c>
      <c r="L8465" s="2" t="s">
        <v>38861</v>
      </c>
      <c r="M8465" s="2" t="s">
        <v>39287</v>
      </c>
      <c r="N8465" s="2" t="s">
        <v>39288</v>
      </c>
      <c r="O8465" s="2" t="s">
        <v>39289</v>
      </c>
      <c r="P8465" s="2" t="s">
        <v>869</v>
      </c>
    </row>
    <row r="8466" ht="15.75" customHeight="1">
      <c r="H8466" s="2" t="s">
        <v>39290</v>
      </c>
      <c r="I8466" s="2" t="s">
        <v>22449</v>
      </c>
      <c r="J8466" s="2" t="s">
        <v>22450</v>
      </c>
      <c r="K8466" s="2" t="s">
        <v>22104</v>
      </c>
      <c r="L8466" s="2" t="s">
        <v>38861</v>
      </c>
      <c r="M8466" s="2" t="s">
        <v>39291</v>
      </c>
      <c r="N8466" s="2" t="s">
        <v>39292</v>
      </c>
      <c r="O8466" s="2" t="s">
        <v>39293</v>
      </c>
      <c r="P8466" s="2" t="s">
        <v>869</v>
      </c>
    </row>
    <row r="8467" ht="15.75" customHeight="1">
      <c r="H8467" s="2" t="s">
        <v>39294</v>
      </c>
      <c r="I8467" s="2" t="s">
        <v>39295</v>
      </c>
      <c r="J8467" s="2" t="s">
        <v>39296</v>
      </c>
      <c r="K8467" s="2" t="s">
        <v>15796</v>
      </c>
      <c r="L8467" s="2" t="s">
        <v>38861</v>
      </c>
      <c r="M8467" s="2" t="s">
        <v>39297</v>
      </c>
      <c r="N8467" s="2" t="s">
        <v>39298</v>
      </c>
      <c r="O8467" s="2" t="s">
        <v>39299</v>
      </c>
      <c r="P8467" s="2" t="s">
        <v>869</v>
      </c>
    </row>
    <row r="8468" ht="15.75" customHeight="1">
      <c r="F8468" s="2" t="s">
        <v>548</v>
      </c>
      <c r="H8468" s="2" t="s">
        <v>39300</v>
      </c>
      <c r="I8468" s="2" t="s">
        <v>550</v>
      </c>
      <c r="J8468" s="2" t="s">
        <v>551</v>
      </c>
      <c r="K8468" s="2" t="s">
        <v>6050</v>
      </c>
      <c r="L8468" s="2" t="s">
        <v>38861</v>
      </c>
      <c r="M8468" s="2" t="s">
        <v>39301</v>
      </c>
      <c r="N8468" s="2" t="s">
        <v>39302</v>
      </c>
      <c r="O8468" s="2" t="s">
        <v>39303</v>
      </c>
      <c r="P8468" s="2" t="s">
        <v>869</v>
      </c>
    </row>
    <row r="8469" ht="15.75" customHeight="1">
      <c r="F8469" s="2" t="s">
        <v>556</v>
      </c>
      <c r="H8469" s="2" t="s">
        <v>39304</v>
      </c>
      <c r="I8469" s="2" t="s">
        <v>39305</v>
      </c>
      <c r="J8469" s="2" t="s">
        <v>39306</v>
      </c>
      <c r="L8469" s="2" t="s">
        <v>38861</v>
      </c>
      <c r="M8469" s="2" t="s">
        <v>39307</v>
      </c>
      <c r="N8469" s="2" t="s">
        <v>39308</v>
      </c>
      <c r="O8469" s="2" t="s">
        <v>39309</v>
      </c>
      <c r="P8469" s="2" t="s">
        <v>869</v>
      </c>
    </row>
    <row r="8470" ht="15.75" customHeight="1">
      <c r="H8470" s="2" t="s">
        <v>39310</v>
      </c>
      <c r="I8470" s="2" t="s">
        <v>12028</v>
      </c>
      <c r="J8470" s="2" t="s">
        <v>12029</v>
      </c>
      <c r="K8470" s="2" t="s">
        <v>15796</v>
      </c>
      <c r="L8470" s="2" t="s">
        <v>38861</v>
      </c>
      <c r="M8470" s="2" t="s">
        <v>39311</v>
      </c>
      <c r="N8470" s="2" t="s">
        <v>39312</v>
      </c>
      <c r="O8470" s="2" t="s">
        <v>39313</v>
      </c>
      <c r="P8470" s="2" t="s">
        <v>869</v>
      </c>
    </row>
    <row r="8471" ht="15.75" customHeight="1">
      <c r="H8471" s="2" t="s">
        <v>39314</v>
      </c>
      <c r="I8471" s="2" t="s">
        <v>5599</v>
      </c>
      <c r="J8471" s="2" t="s">
        <v>5600</v>
      </c>
      <c r="L8471" s="2" t="s">
        <v>38861</v>
      </c>
      <c r="M8471" s="2" t="s">
        <v>39315</v>
      </c>
      <c r="N8471" s="2" t="s">
        <v>39316</v>
      </c>
      <c r="O8471" s="2" t="s">
        <v>39317</v>
      </c>
      <c r="P8471" s="2" t="s">
        <v>869</v>
      </c>
    </row>
    <row r="8472" ht="15.75" customHeight="1">
      <c r="H8472" s="2" t="s">
        <v>39318</v>
      </c>
      <c r="I8472" s="2" t="s">
        <v>3110</v>
      </c>
      <c r="J8472" s="2" t="s">
        <v>3111</v>
      </c>
      <c r="K8472" s="2" t="s">
        <v>24528</v>
      </c>
      <c r="L8472" s="2" t="s">
        <v>38861</v>
      </c>
      <c r="M8472" s="2" t="s">
        <v>39319</v>
      </c>
      <c r="N8472" s="2" t="s">
        <v>39320</v>
      </c>
      <c r="O8472" s="2" t="s">
        <v>39321</v>
      </c>
      <c r="P8472" s="2" t="s">
        <v>869</v>
      </c>
    </row>
    <row r="8473" ht="15.75" customHeight="1">
      <c r="H8473" s="2" t="s">
        <v>39322</v>
      </c>
      <c r="I8473" s="2" t="s">
        <v>2793</v>
      </c>
      <c r="J8473" s="2" t="s">
        <v>2794</v>
      </c>
      <c r="K8473" s="2" t="s">
        <v>15805</v>
      </c>
      <c r="L8473" s="2" t="s">
        <v>38861</v>
      </c>
      <c r="M8473" s="2" t="s">
        <v>39323</v>
      </c>
      <c r="N8473" s="2" t="s">
        <v>39324</v>
      </c>
      <c r="O8473" s="2" t="s">
        <v>39325</v>
      </c>
      <c r="P8473" s="2" t="s">
        <v>869</v>
      </c>
    </row>
    <row r="8474" ht="15.75" customHeight="1">
      <c r="H8474" s="2" t="s">
        <v>39326</v>
      </c>
      <c r="I8474" s="2" t="s">
        <v>8166</v>
      </c>
      <c r="J8474" s="2" t="s">
        <v>8167</v>
      </c>
      <c r="K8474" s="2" t="s">
        <v>15868</v>
      </c>
      <c r="L8474" s="2" t="s">
        <v>38861</v>
      </c>
      <c r="M8474" s="2" t="s">
        <v>39327</v>
      </c>
      <c r="N8474" s="2" t="s">
        <v>39328</v>
      </c>
      <c r="O8474" s="2" t="s">
        <v>39329</v>
      </c>
      <c r="P8474" s="2" t="s">
        <v>869</v>
      </c>
    </row>
    <row r="8475" ht="15.75" customHeight="1">
      <c r="H8475" s="2" t="s">
        <v>39330</v>
      </c>
      <c r="I8475" s="2" t="s">
        <v>12033</v>
      </c>
      <c r="J8475" s="2" t="s">
        <v>12034</v>
      </c>
      <c r="K8475" s="2" t="s">
        <v>36152</v>
      </c>
      <c r="L8475" s="2" t="s">
        <v>38861</v>
      </c>
      <c r="M8475" s="2" t="s">
        <v>39331</v>
      </c>
      <c r="N8475" s="2" t="s">
        <v>39332</v>
      </c>
      <c r="O8475" s="2" t="s">
        <v>39333</v>
      </c>
      <c r="P8475" s="2" t="s">
        <v>869</v>
      </c>
    </row>
    <row r="8476" ht="15.75" customHeight="1">
      <c r="H8476" s="2" t="s">
        <v>39334</v>
      </c>
      <c r="I8476" s="2" t="s">
        <v>574</v>
      </c>
      <c r="J8476" s="2" t="s">
        <v>575</v>
      </c>
      <c r="K8476" s="2" t="s">
        <v>15872</v>
      </c>
      <c r="L8476" s="2" t="s">
        <v>38861</v>
      </c>
      <c r="M8476" s="2" t="s">
        <v>39335</v>
      </c>
      <c r="N8476" s="2" t="s">
        <v>39336</v>
      </c>
      <c r="O8476" s="2" t="s">
        <v>39337</v>
      </c>
      <c r="P8476" s="2" t="s">
        <v>869</v>
      </c>
    </row>
    <row r="8477" ht="15.75" customHeight="1">
      <c r="H8477" s="2" t="s">
        <v>39338</v>
      </c>
      <c r="I8477" s="2" t="s">
        <v>39339</v>
      </c>
      <c r="J8477" s="2" t="s">
        <v>39340</v>
      </c>
      <c r="K8477" s="2" t="s">
        <v>39341</v>
      </c>
      <c r="L8477" s="2" t="s">
        <v>38861</v>
      </c>
      <c r="M8477" s="2" t="s">
        <v>39342</v>
      </c>
      <c r="N8477" s="2" t="s">
        <v>39343</v>
      </c>
      <c r="O8477" s="2" t="s">
        <v>39344</v>
      </c>
      <c r="P8477" s="2" t="s">
        <v>869</v>
      </c>
    </row>
    <row r="8478" ht="15.75" customHeight="1">
      <c r="F8478" s="2" t="s">
        <v>2827</v>
      </c>
      <c r="H8478" s="2" t="s">
        <v>39345</v>
      </c>
      <c r="I8478" s="2" t="s">
        <v>2842</v>
      </c>
      <c r="J8478" s="2" t="s">
        <v>2843</v>
      </c>
      <c r="K8478" s="2" t="s">
        <v>6000</v>
      </c>
      <c r="L8478" s="2" t="s">
        <v>38861</v>
      </c>
      <c r="M8478" s="2" t="s">
        <v>39346</v>
      </c>
      <c r="N8478" s="2" t="s">
        <v>39347</v>
      </c>
      <c r="O8478" s="2" t="s">
        <v>39348</v>
      </c>
      <c r="P8478" s="2" t="s">
        <v>869</v>
      </c>
    </row>
    <row r="8479" ht="15.75" customHeight="1">
      <c r="F8479" s="2" t="s">
        <v>581</v>
      </c>
      <c r="H8479" s="2" t="s">
        <v>39349</v>
      </c>
      <c r="I8479" s="2" t="s">
        <v>2895</v>
      </c>
      <c r="J8479" s="2" t="s">
        <v>2896</v>
      </c>
      <c r="K8479" s="2" t="s">
        <v>22055</v>
      </c>
      <c r="L8479" s="2" t="s">
        <v>38861</v>
      </c>
      <c r="M8479" s="2" t="s">
        <v>8440</v>
      </c>
      <c r="N8479" s="2" t="s">
        <v>39350</v>
      </c>
      <c r="O8479" s="2" t="s">
        <v>39351</v>
      </c>
      <c r="P8479" s="2" t="s">
        <v>869</v>
      </c>
    </row>
    <row r="8480" ht="15.75" customHeight="1">
      <c r="F8480" s="2" t="s">
        <v>598</v>
      </c>
      <c r="H8480" s="2" t="s">
        <v>39352</v>
      </c>
      <c r="I8480" s="2" t="s">
        <v>608</v>
      </c>
      <c r="J8480" s="2" t="s">
        <v>609</v>
      </c>
      <c r="K8480" s="2" t="s">
        <v>15868</v>
      </c>
      <c r="L8480" s="2" t="s">
        <v>38861</v>
      </c>
      <c r="M8480" s="2" t="s">
        <v>39353</v>
      </c>
      <c r="N8480" s="2" t="s">
        <v>39354</v>
      </c>
      <c r="O8480" s="2" t="s">
        <v>39355</v>
      </c>
      <c r="P8480" s="2" t="s">
        <v>869</v>
      </c>
    </row>
    <row r="8481" ht="15.75" customHeight="1">
      <c r="H8481" s="2" t="s">
        <v>39356</v>
      </c>
      <c r="I8481" s="2" t="s">
        <v>8761</v>
      </c>
      <c r="J8481" s="2" t="s">
        <v>8762</v>
      </c>
      <c r="K8481" s="2" t="s">
        <v>32461</v>
      </c>
      <c r="L8481" s="2" t="s">
        <v>38861</v>
      </c>
      <c r="M8481" s="2" t="s">
        <v>39357</v>
      </c>
      <c r="N8481" s="2" t="s">
        <v>39358</v>
      </c>
      <c r="O8481" s="2" t="s">
        <v>39359</v>
      </c>
      <c r="P8481" s="2" t="s">
        <v>869</v>
      </c>
    </row>
    <row r="8482" ht="15.75" customHeight="1">
      <c r="F8482" s="2" t="s">
        <v>3079</v>
      </c>
      <c r="H8482" s="2" t="s">
        <v>39360</v>
      </c>
      <c r="I8482" s="2" t="s">
        <v>3101</v>
      </c>
      <c r="J8482" s="2" t="s">
        <v>3102</v>
      </c>
      <c r="K8482" s="2" t="s">
        <v>6054</v>
      </c>
      <c r="L8482" s="2" t="s">
        <v>38861</v>
      </c>
      <c r="M8482" s="2" t="s">
        <v>39361</v>
      </c>
      <c r="N8482" s="2" t="s">
        <v>39362</v>
      </c>
      <c r="O8482" s="2" t="s">
        <v>39363</v>
      </c>
      <c r="P8482" s="2" t="s">
        <v>869</v>
      </c>
    </row>
    <row r="8483" ht="15.75" customHeight="1">
      <c r="F8483" s="2" t="s">
        <v>624</v>
      </c>
      <c r="H8483" s="2" t="s">
        <v>39364</v>
      </c>
      <c r="I8483" s="2" t="s">
        <v>37225</v>
      </c>
      <c r="J8483" s="2" t="s">
        <v>37226</v>
      </c>
      <c r="K8483" s="2" t="s">
        <v>24269</v>
      </c>
      <c r="L8483" s="2" t="s">
        <v>38861</v>
      </c>
      <c r="M8483" s="2" t="s">
        <v>39365</v>
      </c>
      <c r="N8483" s="2" t="s">
        <v>39366</v>
      </c>
      <c r="O8483" s="2" t="s">
        <v>39367</v>
      </c>
      <c r="P8483" s="2" t="s">
        <v>869</v>
      </c>
    </row>
    <row r="8484" ht="15.75" customHeight="1">
      <c r="H8484" s="2" t="s">
        <v>39368</v>
      </c>
      <c r="I8484" s="2" t="s">
        <v>626</v>
      </c>
      <c r="J8484" s="2" t="s">
        <v>627</v>
      </c>
      <c r="K8484" s="2" t="s">
        <v>6058</v>
      </c>
      <c r="L8484" s="2" t="s">
        <v>39369</v>
      </c>
      <c r="M8484" s="2" t="s">
        <v>39370</v>
      </c>
      <c r="N8484" s="2" t="s">
        <v>39371</v>
      </c>
      <c r="O8484" s="2" t="s">
        <v>39372</v>
      </c>
      <c r="P8484" s="2" t="s">
        <v>869</v>
      </c>
    </row>
    <row r="8485" ht="15.75" customHeight="1">
      <c r="F8485" s="2" t="s">
        <v>651</v>
      </c>
      <c r="H8485" s="2" t="s">
        <v>39373</v>
      </c>
      <c r="I8485" s="2" t="s">
        <v>653</v>
      </c>
      <c r="J8485" s="2" t="s">
        <v>654</v>
      </c>
      <c r="K8485" s="2" t="s">
        <v>15868</v>
      </c>
      <c r="L8485" s="2" t="s">
        <v>38861</v>
      </c>
      <c r="M8485" s="2" t="s">
        <v>39374</v>
      </c>
      <c r="N8485" s="2" t="s">
        <v>39375</v>
      </c>
      <c r="O8485" s="2" t="s">
        <v>39376</v>
      </c>
      <c r="P8485" s="2" t="s">
        <v>869</v>
      </c>
    </row>
    <row r="8486" ht="15.75" customHeight="1">
      <c r="F8486" s="2" t="s">
        <v>3521</v>
      </c>
      <c r="H8486" s="2" t="s">
        <v>39377</v>
      </c>
      <c r="I8486" s="2" t="s">
        <v>3538</v>
      </c>
      <c r="J8486" s="2" t="s">
        <v>3539</v>
      </c>
      <c r="K8486" s="2" t="s">
        <v>25032</v>
      </c>
      <c r="L8486" s="2" t="s">
        <v>38861</v>
      </c>
      <c r="M8486" s="2" t="s">
        <v>39378</v>
      </c>
      <c r="N8486" s="2" t="s">
        <v>39379</v>
      </c>
      <c r="O8486" s="2" t="s">
        <v>39380</v>
      </c>
      <c r="P8486" s="2" t="s">
        <v>869</v>
      </c>
    </row>
    <row r="8487" ht="15.75" customHeight="1">
      <c r="F8487" s="2" t="s">
        <v>660</v>
      </c>
      <c r="H8487" s="2" t="s">
        <v>39381</v>
      </c>
      <c r="I8487" s="2" t="s">
        <v>20617</v>
      </c>
      <c r="J8487" s="2" t="s">
        <v>20618</v>
      </c>
      <c r="K8487" s="2" t="s">
        <v>24561</v>
      </c>
      <c r="L8487" s="2" t="s">
        <v>38861</v>
      </c>
      <c r="M8487" s="2" t="s">
        <v>39382</v>
      </c>
      <c r="N8487" s="2" t="s">
        <v>39383</v>
      </c>
      <c r="O8487" s="2" t="s">
        <v>39384</v>
      </c>
      <c r="P8487" s="2" t="s">
        <v>869</v>
      </c>
    </row>
    <row r="8488" ht="15.75" customHeight="1">
      <c r="H8488" s="2" t="s">
        <v>39385</v>
      </c>
      <c r="I8488" s="2" t="s">
        <v>3727</v>
      </c>
      <c r="J8488" s="2" t="s">
        <v>3728</v>
      </c>
      <c r="L8488" s="2" t="s">
        <v>38861</v>
      </c>
      <c r="M8488" s="2" t="s">
        <v>39386</v>
      </c>
      <c r="N8488" s="2" t="s">
        <v>39387</v>
      </c>
      <c r="O8488" s="2" t="s">
        <v>39388</v>
      </c>
      <c r="P8488" s="2" t="s">
        <v>869</v>
      </c>
    </row>
    <row r="8489" ht="15.75" customHeight="1">
      <c r="H8489" s="2" t="s">
        <v>39389</v>
      </c>
      <c r="I8489" s="2" t="s">
        <v>662</v>
      </c>
      <c r="J8489" s="2" t="s">
        <v>663</v>
      </c>
      <c r="K8489" s="2" t="s">
        <v>15809</v>
      </c>
      <c r="L8489" s="2" t="s">
        <v>38861</v>
      </c>
      <c r="M8489" s="2" t="s">
        <v>39390</v>
      </c>
      <c r="N8489" s="2" t="s">
        <v>39391</v>
      </c>
      <c r="O8489" s="2" t="s">
        <v>39392</v>
      </c>
      <c r="P8489" s="2" t="s">
        <v>869</v>
      </c>
    </row>
    <row r="8490" ht="15.75" customHeight="1">
      <c r="F8490" s="2" t="s">
        <v>677</v>
      </c>
      <c r="H8490" s="2" t="s">
        <v>39393</v>
      </c>
      <c r="I8490" s="2" t="s">
        <v>679</v>
      </c>
      <c r="J8490" s="2" t="s">
        <v>680</v>
      </c>
      <c r="K8490" s="2" t="s">
        <v>6062</v>
      </c>
      <c r="L8490" s="2" t="s">
        <v>38861</v>
      </c>
      <c r="M8490" s="2" t="s">
        <v>39394</v>
      </c>
      <c r="N8490" s="2" t="s">
        <v>39395</v>
      </c>
      <c r="O8490" s="2" t="s">
        <v>39396</v>
      </c>
      <c r="P8490" s="2" t="s">
        <v>869</v>
      </c>
    </row>
    <row r="8491" ht="15.75" customHeight="1">
      <c r="F8491" s="2" t="s">
        <v>694</v>
      </c>
      <c r="H8491" s="2" t="s">
        <v>39397</v>
      </c>
      <c r="I8491" s="2" t="s">
        <v>696</v>
      </c>
      <c r="J8491" s="2" t="s">
        <v>697</v>
      </c>
      <c r="K8491" s="2" t="s">
        <v>15809</v>
      </c>
      <c r="L8491" s="2" t="s">
        <v>38861</v>
      </c>
      <c r="M8491" s="2" t="s">
        <v>39398</v>
      </c>
      <c r="N8491" s="2" t="s">
        <v>39399</v>
      </c>
      <c r="O8491" s="2" t="s">
        <v>39285</v>
      </c>
      <c r="P8491" s="2" t="s">
        <v>869</v>
      </c>
    </row>
    <row r="8492" ht="15.75" customHeight="1">
      <c r="F8492" s="2" t="s">
        <v>703</v>
      </c>
      <c r="H8492" s="2" t="s">
        <v>39400</v>
      </c>
      <c r="I8492" s="2" t="s">
        <v>705</v>
      </c>
      <c r="J8492" s="2" t="s">
        <v>706</v>
      </c>
      <c r="K8492" s="2" t="s">
        <v>6025</v>
      </c>
      <c r="L8492" s="2" t="s">
        <v>38861</v>
      </c>
      <c r="M8492" s="2" t="s">
        <v>39401</v>
      </c>
      <c r="N8492" s="2" t="s">
        <v>39402</v>
      </c>
      <c r="O8492" s="2" t="s">
        <v>39403</v>
      </c>
      <c r="P8492" s="2" t="s">
        <v>869</v>
      </c>
    </row>
    <row r="8493" ht="15.75" customHeight="1">
      <c r="H8493" s="2" t="s">
        <v>39404</v>
      </c>
      <c r="I8493" s="2" t="s">
        <v>39405</v>
      </c>
      <c r="J8493" s="2" t="s">
        <v>39406</v>
      </c>
      <c r="K8493" s="2" t="s">
        <v>31828</v>
      </c>
      <c r="L8493" s="2" t="s">
        <v>38861</v>
      </c>
      <c r="M8493" s="2" t="s">
        <v>39407</v>
      </c>
      <c r="N8493" s="2" t="s">
        <v>39408</v>
      </c>
      <c r="O8493" s="2" t="s">
        <v>39409</v>
      </c>
      <c r="P8493" s="2" t="s">
        <v>869</v>
      </c>
    </row>
    <row r="8494" ht="15.75" customHeight="1">
      <c r="H8494" s="2" t="s">
        <v>39410</v>
      </c>
      <c r="I8494" s="2" t="s">
        <v>31838</v>
      </c>
      <c r="J8494" s="2" t="s">
        <v>31839</v>
      </c>
      <c r="K8494" s="2" t="s">
        <v>31840</v>
      </c>
      <c r="L8494" s="2" t="s">
        <v>38861</v>
      </c>
      <c r="M8494" s="2" t="s">
        <v>39411</v>
      </c>
      <c r="N8494" s="2" t="s">
        <v>39412</v>
      </c>
      <c r="O8494" s="2" t="s">
        <v>39413</v>
      </c>
      <c r="P8494" s="2" t="s">
        <v>869</v>
      </c>
    </row>
    <row r="8495" ht="15.75" customHeight="1">
      <c r="H8495" s="2" t="s">
        <v>39414</v>
      </c>
      <c r="I8495" s="2" t="s">
        <v>4040</v>
      </c>
      <c r="J8495" s="2" t="s">
        <v>4041</v>
      </c>
      <c r="K8495" s="2" t="s">
        <v>31344</v>
      </c>
      <c r="L8495" s="2" t="s">
        <v>38861</v>
      </c>
      <c r="M8495" s="2" t="s">
        <v>39415</v>
      </c>
      <c r="N8495" s="2" t="s">
        <v>39416</v>
      </c>
      <c r="O8495" s="2" t="s">
        <v>39417</v>
      </c>
      <c r="P8495" s="2" t="s">
        <v>869</v>
      </c>
    </row>
    <row r="8496" ht="15.75" customHeight="1">
      <c r="H8496" s="2" t="s">
        <v>39418</v>
      </c>
      <c r="I8496" s="2" t="s">
        <v>17599</v>
      </c>
      <c r="J8496" s="2" t="s">
        <v>17600</v>
      </c>
      <c r="L8496" s="2" t="s">
        <v>38861</v>
      </c>
      <c r="M8496" s="2" t="s">
        <v>39419</v>
      </c>
      <c r="N8496" s="2" t="s">
        <v>39420</v>
      </c>
      <c r="O8496" s="2" t="s">
        <v>39421</v>
      </c>
      <c r="P8496" s="2" t="s">
        <v>869</v>
      </c>
    </row>
    <row r="8497" ht="15.75" customHeight="1">
      <c r="H8497" s="2" t="s">
        <v>39422</v>
      </c>
      <c r="I8497" s="2" t="s">
        <v>39423</v>
      </c>
      <c r="J8497" s="2" t="s">
        <v>39424</v>
      </c>
      <c r="L8497" s="2" t="s">
        <v>38861</v>
      </c>
      <c r="M8497" s="2" t="s">
        <v>39425</v>
      </c>
      <c r="N8497" s="2" t="s">
        <v>39426</v>
      </c>
      <c r="O8497" s="2" t="s">
        <v>39427</v>
      </c>
      <c r="P8497" s="2" t="s">
        <v>869</v>
      </c>
    </row>
    <row r="8498" ht="15.75" customHeight="1">
      <c r="H8498" s="2" t="s">
        <v>39428</v>
      </c>
      <c r="I8498" s="2" t="s">
        <v>713</v>
      </c>
      <c r="J8498" s="2" t="s">
        <v>714</v>
      </c>
      <c r="K8498" s="2" t="s">
        <v>15809</v>
      </c>
      <c r="L8498" s="2" t="s">
        <v>39429</v>
      </c>
      <c r="M8498" s="2" t="s">
        <v>39430</v>
      </c>
      <c r="N8498" s="2" t="s">
        <v>39431</v>
      </c>
      <c r="O8498" s="2" t="s">
        <v>39432</v>
      </c>
      <c r="P8498" s="2" t="s">
        <v>39433</v>
      </c>
    </row>
    <row r="8499" ht="15.75" customHeight="1">
      <c r="H8499" s="2" t="s">
        <v>39434</v>
      </c>
      <c r="I8499" s="2" t="s">
        <v>3902</v>
      </c>
      <c r="J8499" s="2" t="s">
        <v>3903</v>
      </c>
      <c r="K8499" s="2" t="s">
        <v>6029</v>
      </c>
      <c r="L8499" s="2" t="s">
        <v>38861</v>
      </c>
      <c r="M8499" s="2" t="s">
        <v>39435</v>
      </c>
      <c r="N8499" s="2" t="s">
        <v>39436</v>
      </c>
      <c r="O8499" s="2" t="s">
        <v>39437</v>
      </c>
      <c r="P8499" s="2" t="s">
        <v>869</v>
      </c>
    </row>
    <row r="8500" ht="15.75" customHeight="1">
      <c r="F8500" s="2" t="s">
        <v>728</v>
      </c>
      <c r="H8500" s="2" t="s">
        <v>39438</v>
      </c>
      <c r="I8500" s="2" t="s">
        <v>39439</v>
      </c>
      <c r="J8500" s="2" t="s">
        <v>39440</v>
      </c>
      <c r="K8500" s="2" t="s">
        <v>24120</v>
      </c>
      <c r="L8500" s="2" t="s">
        <v>38861</v>
      </c>
      <c r="M8500" s="2" t="s">
        <v>39441</v>
      </c>
      <c r="N8500" s="2" t="s">
        <v>39442</v>
      </c>
      <c r="O8500" s="2" t="s">
        <v>39443</v>
      </c>
      <c r="P8500" s="2" t="s">
        <v>869</v>
      </c>
    </row>
    <row r="8501" ht="15.75" customHeight="1">
      <c r="H8501" s="2" t="s">
        <v>39444</v>
      </c>
      <c r="I8501" s="2" t="s">
        <v>730</v>
      </c>
      <c r="J8501" s="2" t="s">
        <v>731</v>
      </c>
      <c r="K8501" s="2" t="s">
        <v>6046</v>
      </c>
      <c r="L8501" s="2" t="s">
        <v>38861</v>
      </c>
      <c r="M8501" s="2" t="s">
        <v>35101</v>
      </c>
      <c r="N8501" s="2" t="s">
        <v>39445</v>
      </c>
      <c r="O8501" s="2" t="s">
        <v>39446</v>
      </c>
      <c r="P8501" s="2" t="s">
        <v>869</v>
      </c>
    </row>
    <row r="8502" ht="15.75" customHeight="1">
      <c r="H8502" s="2" t="s">
        <v>39447</v>
      </c>
      <c r="I8502" s="2" t="s">
        <v>4096</v>
      </c>
      <c r="J8502" s="2" t="s">
        <v>4097</v>
      </c>
      <c r="K8502" s="2" t="s">
        <v>15890</v>
      </c>
      <c r="L8502" s="2" t="s">
        <v>38861</v>
      </c>
      <c r="M8502" s="2" t="s">
        <v>39448</v>
      </c>
      <c r="N8502" s="2" t="s">
        <v>39449</v>
      </c>
      <c r="O8502" s="2" t="s">
        <v>39450</v>
      </c>
      <c r="P8502" s="2" t="s">
        <v>869</v>
      </c>
    </row>
    <row r="8503" ht="15.75" customHeight="1">
      <c r="F8503" s="2" t="s">
        <v>4115</v>
      </c>
      <c r="H8503" s="2" t="s">
        <v>39451</v>
      </c>
      <c r="I8503" s="2" t="s">
        <v>4147</v>
      </c>
      <c r="J8503" s="2" t="s">
        <v>4148</v>
      </c>
      <c r="K8503" s="2" t="s">
        <v>22055</v>
      </c>
      <c r="L8503" s="2" t="s">
        <v>38861</v>
      </c>
      <c r="M8503" s="2" t="s">
        <v>39452</v>
      </c>
      <c r="N8503" s="2" t="s">
        <v>39453</v>
      </c>
      <c r="O8503" s="2" t="s">
        <v>39454</v>
      </c>
      <c r="P8503" s="2" t="s">
        <v>869</v>
      </c>
    </row>
    <row r="8504" ht="15.75" customHeight="1">
      <c r="F8504" s="2" t="s">
        <v>746</v>
      </c>
      <c r="H8504" s="2" t="s">
        <v>39455</v>
      </c>
      <c r="I8504" s="2" t="s">
        <v>4282</v>
      </c>
      <c r="J8504" s="2" t="s">
        <v>4283</v>
      </c>
      <c r="K8504" s="2" t="s">
        <v>6046</v>
      </c>
      <c r="L8504" s="2" t="s">
        <v>38861</v>
      </c>
      <c r="M8504" s="2" t="s">
        <v>39456</v>
      </c>
      <c r="N8504" s="2" t="s">
        <v>39457</v>
      </c>
      <c r="O8504" s="2" t="s">
        <v>39458</v>
      </c>
      <c r="P8504" s="2" t="s">
        <v>869</v>
      </c>
    </row>
    <row r="8505" ht="15.75" customHeight="1">
      <c r="H8505" s="2" t="s">
        <v>39459</v>
      </c>
      <c r="I8505" s="2" t="s">
        <v>6436</v>
      </c>
      <c r="J8505" s="2" t="s">
        <v>6437</v>
      </c>
      <c r="K8505" s="2" t="s">
        <v>36683</v>
      </c>
      <c r="L8505" s="2" t="s">
        <v>38861</v>
      </c>
      <c r="M8505" s="2" t="s">
        <v>39460</v>
      </c>
      <c r="N8505" s="2" t="s">
        <v>39461</v>
      </c>
      <c r="O8505" s="2" t="s">
        <v>39462</v>
      </c>
      <c r="P8505" s="2" t="s">
        <v>869</v>
      </c>
    </row>
    <row r="8506" ht="15.75" customHeight="1">
      <c r="H8506" s="2" t="s">
        <v>39463</v>
      </c>
      <c r="I8506" s="2" t="s">
        <v>4323</v>
      </c>
      <c r="J8506" s="2" t="s">
        <v>4324</v>
      </c>
      <c r="K8506" s="2" t="s">
        <v>6041</v>
      </c>
      <c r="L8506" s="2" t="s">
        <v>38861</v>
      </c>
      <c r="M8506" s="2" t="s">
        <v>39464</v>
      </c>
      <c r="N8506" s="2" t="s">
        <v>39465</v>
      </c>
      <c r="O8506" s="2" t="s">
        <v>39466</v>
      </c>
      <c r="P8506" s="2" t="s">
        <v>869</v>
      </c>
    </row>
    <row r="8507" ht="15.75" customHeight="1">
      <c r="H8507" s="2" t="s">
        <v>39467</v>
      </c>
      <c r="I8507" s="2" t="s">
        <v>4344</v>
      </c>
      <c r="J8507" s="2" t="s">
        <v>4345</v>
      </c>
      <c r="K8507" s="2" t="s">
        <v>31624</v>
      </c>
      <c r="L8507" s="2" t="s">
        <v>38861</v>
      </c>
      <c r="M8507" s="2" t="s">
        <v>39468</v>
      </c>
      <c r="N8507" s="2" t="s">
        <v>39469</v>
      </c>
      <c r="O8507" s="2" t="s">
        <v>39470</v>
      </c>
      <c r="P8507" s="2" t="s">
        <v>869</v>
      </c>
    </row>
    <row r="8508" ht="15.75" customHeight="1">
      <c r="F8508" s="2" t="s">
        <v>4353</v>
      </c>
      <c r="H8508" s="2" t="s">
        <v>39471</v>
      </c>
      <c r="I8508" s="2" t="s">
        <v>6072</v>
      </c>
      <c r="J8508" s="2" t="s">
        <v>6073</v>
      </c>
      <c r="K8508" s="2" t="s">
        <v>6074</v>
      </c>
      <c r="L8508" s="2" t="s">
        <v>38861</v>
      </c>
      <c r="M8508" s="2" t="s">
        <v>39472</v>
      </c>
      <c r="N8508" s="2" t="s">
        <v>39473</v>
      </c>
      <c r="O8508" s="2" t="s">
        <v>39474</v>
      </c>
      <c r="P8508" s="2" t="s">
        <v>869</v>
      </c>
    </row>
    <row r="8509" ht="15.75" customHeight="1">
      <c r="F8509" s="2" t="s">
        <v>755</v>
      </c>
      <c r="H8509" s="2" t="s">
        <v>39475</v>
      </c>
      <c r="I8509" s="2" t="s">
        <v>16422</v>
      </c>
      <c r="J8509" s="2" t="s">
        <v>16423</v>
      </c>
      <c r="L8509" s="2" t="s">
        <v>38861</v>
      </c>
      <c r="M8509" s="2" t="s">
        <v>39476</v>
      </c>
      <c r="N8509" s="2" t="s">
        <v>39477</v>
      </c>
      <c r="O8509" s="2" t="s">
        <v>39478</v>
      </c>
      <c r="P8509" s="2" t="s">
        <v>869</v>
      </c>
    </row>
    <row r="8510" ht="15.75" customHeight="1">
      <c r="H8510" s="2" t="s">
        <v>39479</v>
      </c>
      <c r="I8510" s="2" t="s">
        <v>757</v>
      </c>
      <c r="J8510" s="2" t="s">
        <v>758</v>
      </c>
      <c r="K8510" s="2" t="s">
        <v>6006</v>
      </c>
      <c r="L8510" s="2" t="s">
        <v>39480</v>
      </c>
      <c r="M8510" s="2" t="s">
        <v>39481</v>
      </c>
      <c r="N8510" s="2" t="s">
        <v>39482</v>
      </c>
      <c r="O8510" s="2" t="s">
        <v>39483</v>
      </c>
      <c r="P8510" s="2" t="s">
        <v>869</v>
      </c>
    </row>
    <row r="8511" ht="15.75" customHeight="1">
      <c r="F8511" s="2" t="s">
        <v>764</v>
      </c>
      <c r="H8511" s="2" t="s">
        <v>39484</v>
      </c>
      <c r="I8511" s="2" t="s">
        <v>766</v>
      </c>
      <c r="J8511" s="2" t="s">
        <v>767</v>
      </c>
      <c r="K8511" s="2" t="s">
        <v>6081</v>
      </c>
      <c r="L8511" s="2" t="s">
        <v>39485</v>
      </c>
      <c r="M8511" s="2" t="s">
        <v>39486</v>
      </c>
      <c r="N8511" s="2" t="s">
        <v>39487</v>
      </c>
      <c r="O8511" s="2" t="s">
        <v>39488</v>
      </c>
      <c r="P8511" s="2" t="s">
        <v>869</v>
      </c>
    </row>
    <row r="8512" ht="15.75" customHeight="1">
      <c r="F8512" s="2" t="s">
        <v>4825</v>
      </c>
      <c r="H8512" s="2" t="s">
        <v>39489</v>
      </c>
      <c r="I8512" s="2" t="s">
        <v>1215</v>
      </c>
      <c r="J8512" s="2" t="s">
        <v>1216</v>
      </c>
      <c r="K8512" s="2" t="s">
        <v>2031</v>
      </c>
      <c r="L8512" s="2" t="s">
        <v>38861</v>
      </c>
      <c r="M8512" s="2" t="s">
        <v>39490</v>
      </c>
      <c r="N8512" s="2" t="s">
        <v>39491</v>
      </c>
      <c r="O8512" s="2" t="s">
        <v>39492</v>
      </c>
      <c r="P8512" s="2" t="s">
        <v>869</v>
      </c>
    </row>
    <row r="8513" ht="15.75" customHeight="1">
      <c r="F8513" s="2" t="s">
        <v>782</v>
      </c>
      <c r="H8513" s="2" t="s">
        <v>39493</v>
      </c>
      <c r="I8513" s="2" t="s">
        <v>4885</v>
      </c>
      <c r="J8513" s="2" t="s">
        <v>4886</v>
      </c>
      <c r="L8513" s="2" t="s">
        <v>38861</v>
      </c>
      <c r="M8513" s="2" t="s">
        <v>39494</v>
      </c>
      <c r="N8513" s="2" t="s">
        <v>39495</v>
      </c>
      <c r="O8513" s="2" t="s">
        <v>39496</v>
      </c>
      <c r="P8513" s="2" t="s">
        <v>869</v>
      </c>
    </row>
    <row r="8514" ht="15.75" customHeight="1">
      <c r="H8514" s="2" t="s">
        <v>39497</v>
      </c>
      <c r="I8514" s="2" t="s">
        <v>784</v>
      </c>
      <c r="J8514" s="2" t="s">
        <v>785</v>
      </c>
      <c r="K8514" s="2" t="s">
        <v>31897</v>
      </c>
      <c r="L8514" s="2" t="s">
        <v>38861</v>
      </c>
      <c r="M8514" s="2" t="s">
        <v>39498</v>
      </c>
      <c r="N8514" s="2" t="s">
        <v>39499</v>
      </c>
      <c r="O8514" s="2" t="s">
        <v>39500</v>
      </c>
      <c r="P8514" s="2" t="s">
        <v>869</v>
      </c>
    </row>
    <row r="8515" ht="15.75" customHeight="1">
      <c r="H8515" s="2" t="s">
        <v>39501</v>
      </c>
      <c r="I8515" s="2" t="s">
        <v>4946</v>
      </c>
      <c r="J8515" s="2" t="s">
        <v>4947</v>
      </c>
      <c r="K8515" s="2" t="s">
        <v>31624</v>
      </c>
      <c r="L8515" s="2" t="s">
        <v>38861</v>
      </c>
      <c r="M8515" s="2" t="s">
        <v>39502</v>
      </c>
      <c r="N8515" s="2" t="s">
        <v>39503</v>
      </c>
      <c r="O8515" s="2" t="s">
        <v>39504</v>
      </c>
      <c r="P8515" s="2" t="s">
        <v>869</v>
      </c>
    </row>
    <row r="8516" ht="15.75" customHeight="1">
      <c r="F8516" s="2" t="s">
        <v>800</v>
      </c>
      <c r="H8516" s="2" t="s">
        <v>39505</v>
      </c>
      <c r="I8516" s="2" t="s">
        <v>5722</v>
      </c>
      <c r="J8516" s="2" t="s">
        <v>5723</v>
      </c>
      <c r="K8516" s="2" t="s">
        <v>22462</v>
      </c>
      <c r="L8516" s="2" t="s">
        <v>38861</v>
      </c>
      <c r="M8516" s="2" t="s">
        <v>39506</v>
      </c>
      <c r="N8516" s="2" t="s">
        <v>39507</v>
      </c>
      <c r="O8516" s="2" t="s">
        <v>39508</v>
      </c>
      <c r="P8516" s="2" t="s">
        <v>869</v>
      </c>
    </row>
    <row r="8517" ht="15.75" customHeight="1">
      <c r="H8517" s="2" t="s">
        <v>39509</v>
      </c>
      <c r="I8517" s="2" t="s">
        <v>4994</v>
      </c>
      <c r="J8517" s="2" t="s">
        <v>4995</v>
      </c>
      <c r="K8517" s="2" t="s">
        <v>15897</v>
      </c>
      <c r="L8517" s="2" t="s">
        <v>38861</v>
      </c>
      <c r="M8517" s="2" t="s">
        <v>39510</v>
      </c>
      <c r="N8517" s="2" t="s">
        <v>39511</v>
      </c>
      <c r="O8517" s="2" t="s">
        <v>39512</v>
      </c>
      <c r="P8517" s="2" t="s">
        <v>869</v>
      </c>
    </row>
    <row r="8518" ht="15.75" customHeight="1">
      <c r="H8518" s="2" t="s">
        <v>39513</v>
      </c>
      <c r="I8518" s="2" t="s">
        <v>11561</v>
      </c>
      <c r="J8518" s="2" t="s">
        <v>11562</v>
      </c>
      <c r="K8518" s="2" t="s">
        <v>15801</v>
      </c>
      <c r="L8518" s="2" t="s">
        <v>38861</v>
      </c>
      <c r="M8518" s="2" t="s">
        <v>25253</v>
      </c>
      <c r="N8518" s="2" t="s">
        <v>39514</v>
      </c>
      <c r="O8518" s="2" t="s">
        <v>39515</v>
      </c>
      <c r="P8518" s="2" t="s">
        <v>869</v>
      </c>
    </row>
    <row r="8519" ht="15.75" customHeight="1">
      <c r="H8519" s="2" t="s">
        <v>39516</v>
      </c>
      <c r="I8519" s="2" t="s">
        <v>5037</v>
      </c>
      <c r="J8519" s="2" t="s">
        <v>5038</v>
      </c>
      <c r="K8519" s="2" t="s">
        <v>6058</v>
      </c>
      <c r="L8519" s="2" t="s">
        <v>38861</v>
      </c>
      <c r="M8519" s="2" t="s">
        <v>17895</v>
      </c>
      <c r="N8519" s="2" t="s">
        <v>39517</v>
      </c>
      <c r="O8519" s="2" t="s">
        <v>39518</v>
      </c>
      <c r="P8519" s="2" t="s">
        <v>869</v>
      </c>
    </row>
    <row r="8520" ht="15.75" customHeight="1">
      <c r="H8520" s="2" t="s">
        <v>39519</v>
      </c>
      <c r="I8520" s="2" t="s">
        <v>29023</v>
      </c>
      <c r="J8520" s="2" t="s">
        <v>29024</v>
      </c>
      <c r="K8520" s="2" t="s">
        <v>39520</v>
      </c>
      <c r="L8520" s="2" t="s">
        <v>38861</v>
      </c>
      <c r="M8520" s="2" t="s">
        <v>39521</v>
      </c>
      <c r="N8520" s="2" t="s">
        <v>39522</v>
      </c>
      <c r="O8520" s="2" t="s">
        <v>39523</v>
      </c>
      <c r="P8520" s="2" t="s">
        <v>869</v>
      </c>
    </row>
    <row r="8521" ht="15.75" customHeight="1">
      <c r="H8521" s="2" t="s">
        <v>39524</v>
      </c>
      <c r="I8521" s="2" t="s">
        <v>14286</v>
      </c>
      <c r="J8521" s="2" t="s">
        <v>14287</v>
      </c>
      <c r="K8521" s="2" t="s">
        <v>32896</v>
      </c>
      <c r="L8521" s="2" t="s">
        <v>38861</v>
      </c>
      <c r="M8521" s="2" t="s">
        <v>39525</v>
      </c>
      <c r="N8521" s="2" t="s">
        <v>39526</v>
      </c>
      <c r="O8521" s="2" t="s">
        <v>39527</v>
      </c>
      <c r="P8521" s="2" t="s">
        <v>869</v>
      </c>
    </row>
    <row r="8522" ht="15.75" customHeight="1">
      <c r="H8522" s="2" t="s">
        <v>39528</v>
      </c>
      <c r="I8522" s="2" t="s">
        <v>1506</v>
      </c>
      <c r="J8522" s="2" t="s">
        <v>1507</v>
      </c>
      <c r="K8522" s="2" t="s">
        <v>33196</v>
      </c>
      <c r="L8522" s="2" t="s">
        <v>38861</v>
      </c>
      <c r="M8522" s="2" t="s">
        <v>39529</v>
      </c>
      <c r="N8522" s="2" t="s">
        <v>39530</v>
      </c>
      <c r="O8522" s="2" t="s">
        <v>39531</v>
      </c>
      <c r="P8522" s="2" t="s">
        <v>869</v>
      </c>
    </row>
    <row r="8523" ht="15.75" customHeight="1">
      <c r="H8523" s="2" t="s">
        <v>39532</v>
      </c>
      <c r="I8523" s="2" t="s">
        <v>16470</v>
      </c>
      <c r="J8523" s="2" t="s">
        <v>16471</v>
      </c>
      <c r="K8523" s="2" t="s">
        <v>25270</v>
      </c>
      <c r="L8523" s="2" t="s">
        <v>38861</v>
      </c>
      <c r="M8523" s="2" t="s">
        <v>39533</v>
      </c>
      <c r="N8523" s="2" t="s">
        <v>39534</v>
      </c>
      <c r="O8523" s="2" t="s">
        <v>39535</v>
      </c>
      <c r="P8523" s="2" t="s">
        <v>869</v>
      </c>
    </row>
    <row r="8524" ht="15.75" customHeight="1">
      <c r="H8524" s="2" t="s">
        <v>39536</v>
      </c>
      <c r="I8524" s="2" t="s">
        <v>5986</v>
      </c>
      <c r="J8524" s="2" t="s">
        <v>5987</v>
      </c>
      <c r="K8524" s="2" t="s">
        <v>6091</v>
      </c>
      <c r="L8524" s="2" t="s">
        <v>39537</v>
      </c>
      <c r="M8524" s="2" t="s">
        <v>21914</v>
      </c>
      <c r="N8524" s="2" t="s">
        <v>39538</v>
      </c>
      <c r="O8524" s="2" t="s">
        <v>39539</v>
      </c>
      <c r="P8524" s="2" t="s">
        <v>869</v>
      </c>
    </row>
    <row r="8525" ht="15.75" customHeight="1">
      <c r="H8525" s="2" t="s">
        <v>39540</v>
      </c>
      <c r="I8525" s="2" t="s">
        <v>5140</v>
      </c>
      <c r="J8525" s="2" t="s">
        <v>5141</v>
      </c>
      <c r="K8525" s="2" t="s">
        <v>37759</v>
      </c>
      <c r="L8525" s="2" t="s">
        <v>38861</v>
      </c>
      <c r="M8525" s="2" t="s">
        <v>39541</v>
      </c>
      <c r="N8525" s="2" t="s">
        <v>39542</v>
      </c>
      <c r="O8525" s="2" t="s">
        <v>39543</v>
      </c>
      <c r="P8525" s="2" t="s">
        <v>869</v>
      </c>
    </row>
    <row r="8526" ht="15.75" customHeight="1">
      <c r="F8526" s="2" t="s">
        <v>843</v>
      </c>
      <c r="H8526" s="2" t="s">
        <v>39544</v>
      </c>
      <c r="I8526" s="2" t="s">
        <v>5170</v>
      </c>
      <c r="J8526" s="2" t="s">
        <v>5171</v>
      </c>
      <c r="L8526" s="2" t="s">
        <v>38861</v>
      </c>
      <c r="M8526" s="2" t="s">
        <v>39545</v>
      </c>
      <c r="N8526" s="2" t="s">
        <v>39546</v>
      </c>
      <c r="O8526" s="2" t="s">
        <v>39547</v>
      </c>
      <c r="P8526" s="2" t="s">
        <v>869</v>
      </c>
    </row>
    <row r="8527" ht="15.75" customHeight="1">
      <c r="H8527" s="2" t="s">
        <v>39548</v>
      </c>
      <c r="I8527" s="2" t="s">
        <v>845</v>
      </c>
      <c r="J8527" s="2" t="s">
        <v>846</v>
      </c>
      <c r="K8527" s="2" t="s">
        <v>6419</v>
      </c>
      <c r="L8527" s="2" t="s">
        <v>38861</v>
      </c>
      <c r="M8527" s="2" t="s">
        <v>39549</v>
      </c>
      <c r="N8527" s="2" t="s">
        <v>39550</v>
      </c>
      <c r="O8527" s="2" t="s">
        <v>39551</v>
      </c>
      <c r="P8527" s="2" t="s">
        <v>869</v>
      </c>
    </row>
    <row r="8528" ht="15.75" customHeight="1">
      <c r="B8528" s="2" t="s">
        <v>39552</v>
      </c>
      <c r="C8528" s="2" t="s">
        <v>3309</v>
      </c>
      <c r="D8528" s="2" t="s">
        <v>39553</v>
      </c>
      <c r="F8528" s="2" t="s">
        <v>855</v>
      </c>
      <c r="H8528" s="2" t="s">
        <v>39554</v>
      </c>
      <c r="I8528" s="2" t="s">
        <v>6105</v>
      </c>
      <c r="J8528" s="2" t="s">
        <v>6106</v>
      </c>
      <c r="K8528" s="2" t="s">
        <v>31927</v>
      </c>
      <c r="L8528" s="2" t="s">
        <v>39555</v>
      </c>
      <c r="M8528" s="2" t="s">
        <v>39556</v>
      </c>
      <c r="N8528" s="2" t="s">
        <v>39557</v>
      </c>
      <c r="O8528" s="2" t="s">
        <v>39558</v>
      </c>
      <c r="P8528" s="2" t="s">
        <v>869</v>
      </c>
    </row>
    <row r="8529" ht="15.75" customHeight="1">
      <c r="H8529" s="2" t="s">
        <v>39559</v>
      </c>
      <c r="I8529" s="2" t="s">
        <v>5280</v>
      </c>
      <c r="J8529" s="2" t="s">
        <v>5281</v>
      </c>
      <c r="K8529" s="2" t="s">
        <v>15868</v>
      </c>
      <c r="L8529" s="2" t="s">
        <v>39555</v>
      </c>
      <c r="M8529" s="2" t="s">
        <v>39560</v>
      </c>
      <c r="N8529" s="2" t="s">
        <v>39561</v>
      </c>
      <c r="O8529" s="2" t="s">
        <v>39562</v>
      </c>
      <c r="P8529" s="2" t="s">
        <v>869</v>
      </c>
    </row>
    <row r="8530" ht="15.75" customHeight="1">
      <c r="F8530" s="2" t="s">
        <v>938</v>
      </c>
      <c r="H8530" s="2" t="s">
        <v>39563</v>
      </c>
      <c r="I8530" s="2" t="s">
        <v>945</v>
      </c>
      <c r="J8530" s="2" t="s">
        <v>946</v>
      </c>
      <c r="K8530" s="2" t="s">
        <v>15779</v>
      </c>
      <c r="L8530" s="2" t="s">
        <v>39555</v>
      </c>
      <c r="M8530" s="2" t="s">
        <v>39564</v>
      </c>
      <c r="N8530" s="2" t="s">
        <v>39565</v>
      </c>
      <c r="O8530" s="2" t="s">
        <v>39566</v>
      </c>
      <c r="P8530" s="2" t="s">
        <v>869</v>
      </c>
    </row>
    <row r="8531" ht="15.75" customHeight="1">
      <c r="F8531" s="2" t="s">
        <v>19</v>
      </c>
      <c r="H8531" s="2" t="s">
        <v>39567</v>
      </c>
      <c r="I8531" s="2" t="s">
        <v>21</v>
      </c>
      <c r="J8531" s="2" t="s">
        <v>22</v>
      </c>
      <c r="K8531" s="2" t="s">
        <v>5995</v>
      </c>
      <c r="L8531" s="2" t="s">
        <v>39568</v>
      </c>
      <c r="M8531" s="2" t="s">
        <v>39569</v>
      </c>
      <c r="N8531" s="2" t="s">
        <v>39570</v>
      </c>
      <c r="O8531" s="2" t="s">
        <v>39571</v>
      </c>
      <c r="P8531" s="2" t="s">
        <v>869</v>
      </c>
    </row>
    <row r="8532" ht="15.75" customHeight="1">
      <c r="H8532" s="2" t="s">
        <v>39572</v>
      </c>
      <c r="I8532" s="2" t="s">
        <v>1000</v>
      </c>
      <c r="J8532" s="2" t="s">
        <v>1001</v>
      </c>
      <c r="K8532" s="2" t="s">
        <v>25073</v>
      </c>
      <c r="L8532" s="2" t="s">
        <v>39555</v>
      </c>
      <c r="M8532" s="2" t="s">
        <v>39573</v>
      </c>
      <c r="N8532" s="2" t="s">
        <v>39574</v>
      </c>
      <c r="O8532" s="2" t="s">
        <v>39575</v>
      </c>
      <c r="P8532" s="2" t="s">
        <v>869</v>
      </c>
    </row>
    <row r="8533" ht="15.75" customHeight="1">
      <c r="F8533" s="2" t="s">
        <v>1052</v>
      </c>
      <c r="H8533" s="2" t="s">
        <v>39576</v>
      </c>
      <c r="I8533" s="2" t="s">
        <v>1054</v>
      </c>
      <c r="J8533" s="2" t="s">
        <v>1055</v>
      </c>
      <c r="K8533" s="2" t="s">
        <v>24561</v>
      </c>
      <c r="L8533" s="2" t="s">
        <v>39555</v>
      </c>
      <c r="M8533" s="2" t="s">
        <v>39577</v>
      </c>
      <c r="N8533" s="2" t="s">
        <v>39578</v>
      </c>
      <c r="O8533" s="2" t="s">
        <v>39579</v>
      </c>
      <c r="P8533" s="2" t="s">
        <v>869</v>
      </c>
    </row>
    <row r="8534" ht="15.75" customHeight="1">
      <c r="H8534" s="2" t="s">
        <v>39580</v>
      </c>
      <c r="I8534" s="2" t="s">
        <v>1075</v>
      </c>
      <c r="J8534" s="2" t="s">
        <v>1076</v>
      </c>
      <c r="K8534" s="2" t="s">
        <v>6000</v>
      </c>
      <c r="L8534" s="2" t="s">
        <v>39555</v>
      </c>
      <c r="M8534" s="2" t="s">
        <v>39581</v>
      </c>
      <c r="N8534" s="2" t="s">
        <v>39582</v>
      </c>
      <c r="O8534" s="2" t="s">
        <v>39583</v>
      </c>
      <c r="P8534" s="2" t="s">
        <v>869</v>
      </c>
    </row>
    <row r="8535" ht="15.75" customHeight="1">
      <c r="H8535" s="2" t="s">
        <v>39584</v>
      </c>
      <c r="I8535" s="2" t="s">
        <v>1090</v>
      </c>
      <c r="J8535" s="2" t="s">
        <v>1091</v>
      </c>
      <c r="K8535" s="2" t="s">
        <v>25073</v>
      </c>
      <c r="L8535" s="2" t="s">
        <v>39555</v>
      </c>
      <c r="M8535" s="2" t="s">
        <v>39585</v>
      </c>
      <c r="N8535" s="2" t="s">
        <v>39586</v>
      </c>
      <c r="O8535" s="2" t="s">
        <v>39587</v>
      </c>
      <c r="P8535" s="2" t="s">
        <v>869</v>
      </c>
    </row>
    <row r="8536" ht="15.75" customHeight="1">
      <c r="H8536" s="2" t="s">
        <v>39588</v>
      </c>
      <c r="I8536" s="2" t="s">
        <v>6618</v>
      </c>
      <c r="J8536" s="2" t="s">
        <v>6619</v>
      </c>
      <c r="K8536" s="2" t="s">
        <v>24102</v>
      </c>
      <c r="L8536" s="2" t="s">
        <v>39555</v>
      </c>
      <c r="M8536" s="2" t="s">
        <v>39589</v>
      </c>
      <c r="N8536" s="2" t="s">
        <v>39590</v>
      </c>
      <c r="O8536" s="2" t="s">
        <v>39591</v>
      </c>
      <c r="P8536" s="2" t="s">
        <v>869</v>
      </c>
    </row>
    <row r="8537" ht="15.75" customHeight="1">
      <c r="F8537" s="2" t="s">
        <v>29</v>
      </c>
      <c r="H8537" s="2" t="s">
        <v>39592</v>
      </c>
      <c r="I8537" s="2" t="s">
        <v>31</v>
      </c>
      <c r="J8537" s="2" t="s">
        <v>32</v>
      </c>
      <c r="K8537" s="2" t="s">
        <v>6000</v>
      </c>
      <c r="L8537" s="2" t="s">
        <v>39593</v>
      </c>
      <c r="M8537" s="2" t="s">
        <v>39594</v>
      </c>
      <c r="N8537" s="2" t="s">
        <v>39595</v>
      </c>
      <c r="O8537" s="2" t="s">
        <v>39596</v>
      </c>
      <c r="P8537" s="2" t="s">
        <v>869</v>
      </c>
    </row>
    <row r="8538" ht="15.75" customHeight="1">
      <c r="F8538" s="2" t="s">
        <v>39</v>
      </c>
      <c r="H8538" s="2" t="s">
        <v>39597</v>
      </c>
      <c r="I8538" s="2" t="s">
        <v>49</v>
      </c>
      <c r="J8538" s="2" t="s">
        <v>50</v>
      </c>
      <c r="K8538" s="2" t="s">
        <v>15801</v>
      </c>
      <c r="L8538" s="2" t="s">
        <v>39555</v>
      </c>
      <c r="M8538" s="2" t="s">
        <v>39598</v>
      </c>
      <c r="N8538" s="2" t="s">
        <v>39599</v>
      </c>
      <c r="O8538" s="2" t="s">
        <v>39600</v>
      </c>
      <c r="P8538" s="2" t="s">
        <v>869</v>
      </c>
    </row>
    <row r="8539" ht="15.75" customHeight="1">
      <c r="H8539" s="2" t="s">
        <v>39601</v>
      </c>
      <c r="I8539" s="2" t="s">
        <v>39602</v>
      </c>
      <c r="J8539" s="2" t="s">
        <v>39603</v>
      </c>
      <c r="K8539" s="2" t="s">
        <v>25032</v>
      </c>
      <c r="L8539" s="2" t="s">
        <v>39555</v>
      </c>
      <c r="M8539" s="2" t="s">
        <v>39604</v>
      </c>
      <c r="N8539" s="2" t="s">
        <v>39605</v>
      </c>
      <c r="O8539" s="2" t="s">
        <v>39606</v>
      </c>
      <c r="P8539" s="2" t="s">
        <v>869</v>
      </c>
    </row>
    <row r="8540" ht="15.75" customHeight="1">
      <c r="H8540" s="2" t="s">
        <v>39607</v>
      </c>
      <c r="I8540" s="2" t="s">
        <v>8263</v>
      </c>
      <c r="J8540" s="2" t="s">
        <v>8264</v>
      </c>
      <c r="K8540" s="2" t="s">
        <v>24528</v>
      </c>
      <c r="L8540" s="2" t="s">
        <v>39555</v>
      </c>
      <c r="M8540" s="2" t="s">
        <v>39608</v>
      </c>
      <c r="N8540" s="2" t="s">
        <v>39609</v>
      </c>
      <c r="O8540" s="2" t="s">
        <v>39610</v>
      </c>
      <c r="P8540" s="2" t="s">
        <v>869</v>
      </c>
    </row>
    <row r="8541" ht="15.75" customHeight="1">
      <c r="F8541" s="2" t="s">
        <v>56</v>
      </c>
      <c r="H8541" s="2" t="s">
        <v>39611</v>
      </c>
      <c r="I8541" s="2" t="s">
        <v>58</v>
      </c>
      <c r="J8541" s="2" t="s">
        <v>59</v>
      </c>
      <c r="K8541" s="2" t="s">
        <v>15897</v>
      </c>
      <c r="L8541" s="2" t="s">
        <v>39555</v>
      </c>
      <c r="M8541" s="2" t="s">
        <v>39612</v>
      </c>
      <c r="N8541" s="2" t="s">
        <v>39613</v>
      </c>
      <c r="O8541" s="2" t="s">
        <v>39614</v>
      </c>
      <c r="P8541" s="2" t="s">
        <v>869</v>
      </c>
    </row>
    <row r="8542" ht="15.75" customHeight="1">
      <c r="F8542" s="2" t="s">
        <v>65</v>
      </c>
      <c r="H8542" s="2" t="s">
        <v>39615</v>
      </c>
      <c r="I8542" s="2" t="s">
        <v>67</v>
      </c>
      <c r="J8542" s="2" t="s">
        <v>68</v>
      </c>
      <c r="K8542" s="2" t="s">
        <v>24665</v>
      </c>
      <c r="L8542" s="2" t="s">
        <v>39555</v>
      </c>
      <c r="M8542" s="2" t="s">
        <v>39616</v>
      </c>
      <c r="N8542" s="2" t="s">
        <v>39617</v>
      </c>
      <c r="O8542" s="2" t="s">
        <v>39618</v>
      </c>
      <c r="P8542" s="2" t="s">
        <v>869</v>
      </c>
    </row>
    <row r="8543" ht="15.75" customHeight="1">
      <c r="H8543" s="2" t="s">
        <v>39619</v>
      </c>
      <c r="I8543" s="2" t="s">
        <v>18767</v>
      </c>
      <c r="J8543" s="2" t="s">
        <v>18768</v>
      </c>
      <c r="K8543" s="2" t="s">
        <v>6050</v>
      </c>
      <c r="L8543" s="2" t="s">
        <v>39555</v>
      </c>
      <c r="M8543" s="2" t="s">
        <v>18769</v>
      </c>
      <c r="N8543" s="2" t="s">
        <v>39620</v>
      </c>
      <c r="O8543" s="2" t="s">
        <v>39621</v>
      </c>
      <c r="P8543" s="2" t="s">
        <v>869</v>
      </c>
    </row>
    <row r="8544" ht="15.75" customHeight="1">
      <c r="F8544" s="2" t="s">
        <v>74</v>
      </c>
      <c r="H8544" s="2" t="s">
        <v>39622</v>
      </c>
      <c r="I8544" s="2" t="s">
        <v>76</v>
      </c>
      <c r="J8544" s="2" t="s">
        <v>77</v>
      </c>
      <c r="K8544" s="2" t="s">
        <v>15779</v>
      </c>
      <c r="L8544" s="2" t="s">
        <v>39623</v>
      </c>
      <c r="M8544" s="2" t="s">
        <v>39624</v>
      </c>
      <c r="N8544" s="2" t="s">
        <v>39625</v>
      </c>
      <c r="O8544" s="2" t="s">
        <v>39626</v>
      </c>
      <c r="P8544" s="2" t="s">
        <v>869</v>
      </c>
    </row>
    <row r="8545" ht="15.75" customHeight="1">
      <c r="H8545" s="2" t="s">
        <v>39627</v>
      </c>
      <c r="I8545" s="2" t="s">
        <v>15137</v>
      </c>
      <c r="J8545" s="2" t="s">
        <v>15138</v>
      </c>
      <c r="K8545" s="2" t="s">
        <v>15868</v>
      </c>
      <c r="L8545" s="2" t="s">
        <v>39555</v>
      </c>
      <c r="M8545" s="2" t="s">
        <v>39628</v>
      </c>
      <c r="N8545" s="2" t="s">
        <v>39629</v>
      </c>
      <c r="O8545" s="2" t="s">
        <v>39630</v>
      </c>
      <c r="P8545" s="2" t="s">
        <v>869</v>
      </c>
    </row>
    <row r="8546" ht="15.75" customHeight="1">
      <c r="H8546" s="2" t="s">
        <v>39631</v>
      </c>
      <c r="I8546" s="2" t="s">
        <v>16707</v>
      </c>
      <c r="J8546" s="2" t="s">
        <v>16708</v>
      </c>
      <c r="K8546" s="2" t="s">
        <v>31938</v>
      </c>
      <c r="L8546" s="2" t="s">
        <v>39555</v>
      </c>
      <c r="M8546" s="2" t="s">
        <v>39632</v>
      </c>
      <c r="N8546" s="2" t="s">
        <v>39633</v>
      </c>
      <c r="O8546" s="2" t="s">
        <v>39634</v>
      </c>
      <c r="P8546" s="2" t="s">
        <v>869</v>
      </c>
    </row>
    <row r="8547" ht="15.75" customHeight="1">
      <c r="H8547" s="2" t="s">
        <v>39635</v>
      </c>
      <c r="I8547" s="2" t="s">
        <v>1573</v>
      </c>
      <c r="J8547" s="2" t="s">
        <v>1574</v>
      </c>
      <c r="K8547" s="2" t="s">
        <v>6062</v>
      </c>
      <c r="L8547" s="2" t="s">
        <v>39555</v>
      </c>
      <c r="M8547" s="2" t="s">
        <v>39636</v>
      </c>
      <c r="N8547" s="2" t="s">
        <v>39637</v>
      </c>
      <c r="O8547" s="2" t="s">
        <v>39638</v>
      </c>
      <c r="P8547" s="2" t="s">
        <v>869</v>
      </c>
    </row>
    <row r="8548" ht="15.75" customHeight="1">
      <c r="H8548" s="2" t="s">
        <v>39639</v>
      </c>
      <c r="I8548" s="2" t="s">
        <v>1000</v>
      </c>
      <c r="J8548" s="2" t="s">
        <v>1001</v>
      </c>
      <c r="K8548" s="2" t="s">
        <v>6006</v>
      </c>
      <c r="L8548" s="2" t="s">
        <v>39555</v>
      </c>
      <c r="M8548" s="2" t="s">
        <v>39640</v>
      </c>
      <c r="N8548" s="2" t="s">
        <v>39641</v>
      </c>
      <c r="O8548" s="2" t="s">
        <v>39642</v>
      </c>
      <c r="P8548" s="2" t="s">
        <v>869</v>
      </c>
    </row>
    <row r="8549" ht="15.75" customHeight="1">
      <c r="H8549" s="2" t="s">
        <v>39643</v>
      </c>
      <c r="I8549" s="2" t="s">
        <v>1663</v>
      </c>
      <c r="J8549" s="2" t="s">
        <v>1664</v>
      </c>
      <c r="K8549" s="2" t="s">
        <v>24288</v>
      </c>
      <c r="L8549" s="2" t="s">
        <v>39555</v>
      </c>
      <c r="M8549" s="2" t="s">
        <v>39644</v>
      </c>
      <c r="N8549" s="2" t="s">
        <v>39645</v>
      </c>
      <c r="O8549" s="2" t="s">
        <v>39646</v>
      </c>
      <c r="P8549" s="2" t="s">
        <v>869</v>
      </c>
    </row>
    <row r="8550" ht="15.75" customHeight="1">
      <c r="H8550" s="2" t="s">
        <v>39647</v>
      </c>
      <c r="I8550" s="2" t="s">
        <v>167</v>
      </c>
      <c r="J8550" s="2" t="s">
        <v>168</v>
      </c>
      <c r="K8550" s="2" t="s">
        <v>15784</v>
      </c>
      <c r="L8550" s="2" t="s">
        <v>39555</v>
      </c>
      <c r="M8550" s="2" t="s">
        <v>39648</v>
      </c>
      <c r="N8550" s="2" t="s">
        <v>39649</v>
      </c>
      <c r="O8550" s="2" t="s">
        <v>39650</v>
      </c>
      <c r="P8550" s="2" t="s">
        <v>869</v>
      </c>
    </row>
    <row r="8551" ht="15.75" customHeight="1">
      <c r="H8551" s="2" t="s">
        <v>39651</v>
      </c>
      <c r="I8551" s="2" t="s">
        <v>18967</v>
      </c>
      <c r="J8551" s="2" t="s">
        <v>18968</v>
      </c>
      <c r="K8551" s="2" t="s">
        <v>31277</v>
      </c>
      <c r="L8551" s="2" t="s">
        <v>39555</v>
      </c>
      <c r="M8551" s="2" t="s">
        <v>39652</v>
      </c>
      <c r="N8551" s="2" t="s">
        <v>39653</v>
      </c>
      <c r="O8551" s="2" t="s">
        <v>39654</v>
      </c>
      <c r="P8551" s="2" t="s">
        <v>869</v>
      </c>
    </row>
    <row r="8552" ht="15.75" customHeight="1">
      <c r="H8552" s="2" t="s">
        <v>39655</v>
      </c>
      <c r="I8552" s="2" t="s">
        <v>176</v>
      </c>
      <c r="J8552" s="2" t="s">
        <v>177</v>
      </c>
      <c r="K8552" s="2" t="s">
        <v>6015</v>
      </c>
      <c r="L8552" s="2" t="s">
        <v>39656</v>
      </c>
      <c r="M8552" s="2" t="s">
        <v>39657</v>
      </c>
      <c r="N8552" s="2" t="s">
        <v>39658</v>
      </c>
      <c r="O8552" s="2" t="s">
        <v>39659</v>
      </c>
      <c r="P8552" s="2" t="s">
        <v>869</v>
      </c>
    </row>
    <row r="8553" ht="15.75" customHeight="1">
      <c r="H8553" s="2" t="s">
        <v>39660</v>
      </c>
      <c r="I8553" s="2" t="s">
        <v>39661</v>
      </c>
      <c r="J8553" s="2" t="s">
        <v>39662</v>
      </c>
      <c r="K8553" s="2" t="s">
        <v>33417</v>
      </c>
      <c r="L8553" s="2" t="s">
        <v>39663</v>
      </c>
      <c r="M8553" s="2" t="s">
        <v>39664</v>
      </c>
      <c r="N8553" s="2" t="s">
        <v>39665</v>
      </c>
      <c r="O8553" s="2" t="s">
        <v>39666</v>
      </c>
      <c r="P8553" s="2" t="s">
        <v>869</v>
      </c>
    </row>
    <row r="8554" ht="15.75" customHeight="1">
      <c r="H8554" s="2" t="s">
        <v>39667</v>
      </c>
      <c r="I8554" s="2" t="s">
        <v>1723</v>
      </c>
      <c r="J8554" s="2" t="s">
        <v>1724</v>
      </c>
      <c r="K8554" s="2" t="s">
        <v>33301</v>
      </c>
      <c r="L8554" s="2" t="s">
        <v>39555</v>
      </c>
      <c r="M8554" s="2" t="s">
        <v>39668</v>
      </c>
      <c r="N8554" s="2" t="s">
        <v>39669</v>
      </c>
      <c r="O8554" s="2" t="s">
        <v>39670</v>
      </c>
      <c r="P8554" s="2" t="s">
        <v>869</v>
      </c>
    </row>
    <row r="8555" ht="15.75" customHeight="1">
      <c r="H8555" s="2" t="s">
        <v>39671</v>
      </c>
      <c r="I8555" s="2" t="s">
        <v>193</v>
      </c>
      <c r="J8555" s="2" t="s">
        <v>194</v>
      </c>
      <c r="K8555" s="2" t="s">
        <v>31583</v>
      </c>
      <c r="L8555" s="2" t="s">
        <v>39555</v>
      </c>
      <c r="M8555" s="2" t="s">
        <v>39672</v>
      </c>
      <c r="N8555" s="2" t="s">
        <v>39673</v>
      </c>
      <c r="O8555" s="2" t="s">
        <v>39674</v>
      </c>
      <c r="P8555" s="2" t="s">
        <v>869</v>
      </c>
    </row>
    <row r="8556" ht="15.75" customHeight="1">
      <c r="H8556" s="2" t="s">
        <v>39675</v>
      </c>
      <c r="I8556" s="2" t="s">
        <v>18010</v>
      </c>
      <c r="J8556" s="2" t="s">
        <v>18011</v>
      </c>
      <c r="K8556" s="2" t="s">
        <v>24156</v>
      </c>
      <c r="L8556" s="2" t="s">
        <v>39555</v>
      </c>
      <c r="M8556" s="2" t="s">
        <v>39676</v>
      </c>
      <c r="N8556" s="2" t="s">
        <v>39677</v>
      </c>
      <c r="O8556" s="2" t="s">
        <v>39678</v>
      </c>
      <c r="P8556" s="2" t="s">
        <v>869</v>
      </c>
    </row>
    <row r="8557" ht="15.75" customHeight="1">
      <c r="H8557" s="2" t="s">
        <v>39679</v>
      </c>
      <c r="I8557" s="2" t="s">
        <v>1772</v>
      </c>
      <c r="J8557" s="2" t="s">
        <v>1773</v>
      </c>
      <c r="K8557" s="2" t="s">
        <v>32694</v>
      </c>
      <c r="L8557" s="2" t="s">
        <v>39555</v>
      </c>
      <c r="M8557" s="2" t="s">
        <v>39680</v>
      </c>
      <c r="N8557" s="2" t="s">
        <v>39681</v>
      </c>
      <c r="O8557" s="2" t="s">
        <v>39682</v>
      </c>
      <c r="P8557" s="2" t="s">
        <v>869</v>
      </c>
    </row>
    <row r="8558" ht="15.75" customHeight="1">
      <c r="H8558" s="2" t="s">
        <v>39683</v>
      </c>
      <c r="I8558" s="2" t="s">
        <v>19030</v>
      </c>
      <c r="J8558" s="2" t="s">
        <v>19031</v>
      </c>
      <c r="K8558" s="2" t="s">
        <v>32719</v>
      </c>
      <c r="L8558" s="2" t="s">
        <v>39555</v>
      </c>
      <c r="M8558" s="2" t="s">
        <v>39684</v>
      </c>
      <c r="N8558" s="2" t="s">
        <v>39685</v>
      </c>
      <c r="O8558" s="2" t="s">
        <v>39686</v>
      </c>
      <c r="P8558" s="2" t="s">
        <v>869</v>
      </c>
    </row>
    <row r="8559" ht="15.75" customHeight="1">
      <c r="H8559" s="2" t="s">
        <v>39687</v>
      </c>
      <c r="I8559" s="2" t="s">
        <v>1501</v>
      </c>
      <c r="J8559" s="2" t="s">
        <v>1502</v>
      </c>
      <c r="K8559" s="2" t="s">
        <v>32729</v>
      </c>
      <c r="L8559" s="2" t="s">
        <v>39555</v>
      </c>
      <c r="M8559" s="2" t="s">
        <v>39688</v>
      </c>
      <c r="N8559" s="2" t="s">
        <v>39689</v>
      </c>
      <c r="O8559" s="2" t="s">
        <v>39690</v>
      </c>
      <c r="P8559" s="2" t="s">
        <v>869</v>
      </c>
    </row>
    <row r="8560" ht="15.75" customHeight="1">
      <c r="H8560" s="2" t="s">
        <v>39691</v>
      </c>
      <c r="I8560" s="2" t="s">
        <v>241</v>
      </c>
      <c r="J8560" s="2" t="s">
        <v>242</v>
      </c>
      <c r="K8560" s="2" t="s">
        <v>32733</v>
      </c>
      <c r="L8560" s="2" t="s">
        <v>39555</v>
      </c>
      <c r="M8560" s="2" t="s">
        <v>39692</v>
      </c>
      <c r="N8560" s="2" t="s">
        <v>39693</v>
      </c>
      <c r="O8560" s="2" t="s">
        <v>39694</v>
      </c>
      <c r="P8560" s="2" t="s">
        <v>869</v>
      </c>
    </row>
    <row r="8561" ht="15.75" customHeight="1">
      <c r="H8561" s="2" t="s">
        <v>39695</v>
      </c>
      <c r="I8561" s="2" t="s">
        <v>14762</v>
      </c>
      <c r="J8561" s="2" t="s">
        <v>14763</v>
      </c>
      <c r="K8561" s="2" t="s">
        <v>39696</v>
      </c>
      <c r="L8561" s="2" t="s">
        <v>39555</v>
      </c>
      <c r="M8561" s="2" t="s">
        <v>39697</v>
      </c>
      <c r="N8561" s="2" t="s">
        <v>39698</v>
      </c>
      <c r="O8561" s="2" t="s">
        <v>39699</v>
      </c>
      <c r="P8561" s="2" t="s">
        <v>869</v>
      </c>
    </row>
    <row r="8562" ht="15.75" customHeight="1">
      <c r="H8562" s="2" t="s">
        <v>39700</v>
      </c>
      <c r="I8562" s="2" t="s">
        <v>249</v>
      </c>
      <c r="J8562" s="2" t="s">
        <v>250</v>
      </c>
      <c r="K8562" s="2" t="s">
        <v>24338</v>
      </c>
      <c r="L8562" s="2" t="s">
        <v>39555</v>
      </c>
      <c r="M8562" s="2" t="s">
        <v>39701</v>
      </c>
      <c r="N8562" s="2" t="s">
        <v>39702</v>
      </c>
      <c r="O8562" s="2" t="s">
        <v>39703</v>
      </c>
      <c r="P8562" s="2" t="s">
        <v>869</v>
      </c>
    </row>
    <row r="8563" ht="15.75" customHeight="1">
      <c r="F8563" s="2" t="s">
        <v>1854</v>
      </c>
      <c r="H8563" s="2" t="s">
        <v>39704</v>
      </c>
      <c r="I8563" s="2" t="s">
        <v>1871</v>
      </c>
      <c r="J8563" s="2" t="s">
        <v>1872</v>
      </c>
      <c r="K8563" s="2" t="s">
        <v>24518</v>
      </c>
      <c r="L8563" s="2" t="s">
        <v>39555</v>
      </c>
      <c r="M8563" s="2" t="s">
        <v>39705</v>
      </c>
      <c r="N8563" s="2" t="s">
        <v>39706</v>
      </c>
      <c r="O8563" s="2" t="s">
        <v>39707</v>
      </c>
      <c r="P8563" s="2" t="s">
        <v>869</v>
      </c>
    </row>
    <row r="8564" ht="15.75" customHeight="1">
      <c r="F8564" s="2" t="s">
        <v>265</v>
      </c>
      <c r="H8564" s="2" t="s">
        <v>39708</v>
      </c>
      <c r="I8564" s="2" t="s">
        <v>39709</v>
      </c>
      <c r="J8564" s="2" t="s">
        <v>39710</v>
      </c>
      <c r="K8564" s="2" t="s">
        <v>6025</v>
      </c>
      <c r="L8564" s="2" t="s">
        <v>39555</v>
      </c>
      <c r="M8564" s="2" t="s">
        <v>39711</v>
      </c>
      <c r="N8564" s="2" t="s">
        <v>39712</v>
      </c>
      <c r="O8564" s="2" t="s">
        <v>39713</v>
      </c>
      <c r="P8564" s="2" t="s">
        <v>869</v>
      </c>
    </row>
    <row r="8565" ht="15.75" customHeight="1">
      <c r="H8565" s="2" t="s">
        <v>39714</v>
      </c>
      <c r="I8565" s="2" t="s">
        <v>1940</v>
      </c>
      <c r="J8565" s="2" t="s">
        <v>1941</v>
      </c>
      <c r="K8565" s="2" t="s">
        <v>15805</v>
      </c>
      <c r="L8565" s="2" t="s">
        <v>39555</v>
      </c>
      <c r="M8565" s="2" t="s">
        <v>39715</v>
      </c>
      <c r="N8565" s="2" t="s">
        <v>39716</v>
      </c>
      <c r="O8565" s="2" t="s">
        <v>39717</v>
      </c>
      <c r="P8565" s="2" t="s">
        <v>869</v>
      </c>
    </row>
    <row r="8566" ht="15.75" customHeight="1">
      <c r="H8566" s="2" t="s">
        <v>39718</v>
      </c>
      <c r="I8566" s="2" t="s">
        <v>267</v>
      </c>
      <c r="J8566" s="2" t="s">
        <v>268</v>
      </c>
      <c r="K8566" s="2" t="s">
        <v>6019</v>
      </c>
      <c r="L8566" s="2" t="s">
        <v>39719</v>
      </c>
      <c r="M8566" s="2" t="s">
        <v>39720</v>
      </c>
      <c r="N8566" s="2" t="s">
        <v>39721</v>
      </c>
      <c r="O8566" s="2" t="s">
        <v>39722</v>
      </c>
      <c r="P8566" s="2" t="s">
        <v>869</v>
      </c>
    </row>
    <row r="8567" ht="15.75" customHeight="1">
      <c r="H8567" s="2" t="s">
        <v>39723</v>
      </c>
      <c r="I8567" s="2" t="s">
        <v>5378</v>
      </c>
      <c r="J8567" s="2" t="s">
        <v>5379</v>
      </c>
      <c r="K8567" s="2" t="s">
        <v>25133</v>
      </c>
      <c r="L8567" s="2" t="s">
        <v>39555</v>
      </c>
      <c r="M8567" s="2" t="s">
        <v>39724</v>
      </c>
      <c r="N8567" s="2" t="s">
        <v>39725</v>
      </c>
      <c r="O8567" s="2" t="s">
        <v>39726</v>
      </c>
      <c r="P8567" s="2" t="s">
        <v>869</v>
      </c>
    </row>
    <row r="8568" ht="15.75" customHeight="1">
      <c r="H8568" s="2" t="s">
        <v>39727</v>
      </c>
      <c r="I8568" s="2" t="s">
        <v>39728</v>
      </c>
      <c r="J8568" s="2" t="s">
        <v>39729</v>
      </c>
      <c r="K8568" s="2" t="s">
        <v>24940</v>
      </c>
      <c r="L8568" s="2" t="s">
        <v>39555</v>
      </c>
      <c r="M8568" s="2" t="s">
        <v>39730</v>
      </c>
      <c r="N8568" s="2" t="s">
        <v>39731</v>
      </c>
      <c r="O8568" s="2" t="s">
        <v>39732</v>
      </c>
      <c r="P8568" s="2" t="s">
        <v>869</v>
      </c>
    </row>
    <row r="8569" ht="15.75" customHeight="1">
      <c r="F8569" s="2" t="s">
        <v>274</v>
      </c>
      <c r="H8569" s="2" t="s">
        <v>39733</v>
      </c>
      <c r="I8569" s="2" t="s">
        <v>279</v>
      </c>
      <c r="J8569" s="2" t="s">
        <v>274</v>
      </c>
      <c r="K8569" s="2" t="s">
        <v>280</v>
      </c>
    </row>
    <row r="8570" ht="15.75" customHeight="1">
      <c r="F8570" s="2" t="s">
        <v>284</v>
      </c>
      <c r="H8570" s="2" t="s">
        <v>39734</v>
      </c>
      <c r="I8570" s="2" t="s">
        <v>39735</v>
      </c>
      <c r="J8570" s="2" t="s">
        <v>39736</v>
      </c>
      <c r="K8570" s="2" t="s">
        <v>22055</v>
      </c>
      <c r="L8570" s="2" t="s">
        <v>39737</v>
      </c>
      <c r="M8570" s="2" t="s">
        <v>39738</v>
      </c>
      <c r="N8570" s="2" t="s">
        <v>39739</v>
      </c>
      <c r="O8570" s="2" t="s">
        <v>39740</v>
      </c>
      <c r="P8570" s="2" t="s">
        <v>869</v>
      </c>
    </row>
    <row r="8571" ht="15.75" customHeight="1">
      <c r="H8571" s="2" t="s">
        <v>39741</v>
      </c>
      <c r="I8571" s="2" t="s">
        <v>16894</v>
      </c>
      <c r="J8571" s="2" t="s">
        <v>16895</v>
      </c>
      <c r="K8571" s="2" t="s">
        <v>15779</v>
      </c>
      <c r="L8571" s="2" t="s">
        <v>39555</v>
      </c>
      <c r="M8571" s="2" t="s">
        <v>39742</v>
      </c>
      <c r="N8571" s="2" t="s">
        <v>39743</v>
      </c>
      <c r="O8571" s="2" t="s">
        <v>39744</v>
      </c>
      <c r="P8571" s="2" t="s">
        <v>869</v>
      </c>
    </row>
    <row r="8572" ht="15.75" customHeight="1">
      <c r="H8572" s="2" t="s">
        <v>39745</v>
      </c>
      <c r="I8572" s="2" t="s">
        <v>32991</v>
      </c>
      <c r="J8572" s="2" t="s">
        <v>32992</v>
      </c>
      <c r="K8572" s="2" t="s">
        <v>5995</v>
      </c>
      <c r="L8572" s="2" t="s">
        <v>39555</v>
      </c>
      <c r="M8572" s="2" t="s">
        <v>39746</v>
      </c>
      <c r="N8572" s="2" t="s">
        <v>39747</v>
      </c>
      <c r="O8572" s="2" t="s">
        <v>39748</v>
      </c>
      <c r="P8572" s="2" t="s">
        <v>869</v>
      </c>
    </row>
    <row r="8573" ht="15.75" customHeight="1">
      <c r="H8573" s="2" t="s">
        <v>39749</v>
      </c>
      <c r="I8573" s="2" t="s">
        <v>14415</v>
      </c>
      <c r="J8573" s="2" t="s">
        <v>14416</v>
      </c>
      <c r="K8573" s="2" t="s">
        <v>6000</v>
      </c>
      <c r="L8573" s="2" t="s">
        <v>39555</v>
      </c>
      <c r="M8573" s="2" t="s">
        <v>39750</v>
      </c>
      <c r="N8573" s="2" t="s">
        <v>39751</v>
      </c>
      <c r="O8573" s="2" t="s">
        <v>39752</v>
      </c>
      <c r="P8573" s="2" t="s">
        <v>869</v>
      </c>
    </row>
    <row r="8574" ht="15.75" customHeight="1">
      <c r="H8574" s="2" t="s">
        <v>39753</v>
      </c>
      <c r="I8574" s="2" t="s">
        <v>11959</v>
      </c>
      <c r="J8574" s="2" t="s">
        <v>11960</v>
      </c>
      <c r="K8574" s="2" t="s">
        <v>15796</v>
      </c>
      <c r="L8574" s="2" t="s">
        <v>39555</v>
      </c>
      <c r="M8574" s="2" t="s">
        <v>39754</v>
      </c>
      <c r="N8574" s="2" t="s">
        <v>39755</v>
      </c>
      <c r="O8574" s="2" t="s">
        <v>39756</v>
      </c>
      <c r="P8574" s="2" t="s">
        <v>869</v>
      </c>
    </row>
    <row r="8575" ht="15.75" customHeight="1">
      <c r="H8575" s="2" t="s">
        <v>39757</v>
      </c>
      <c r="I8575" s="2" t="s">
        <v>7694</v>
      </c>
      <c r="J8575" s="2" t="s">
        <v>7695</v>
      </c>
      <c r="K8575" s="2" t="s">
        <v>25009</v>
      </c>
      <c r="L8575" s="2" t="s">
        <v>39555</v>
      </c>
      <c r="M8575" s="2" t="s">
        <v>39758</v>
      </c>
      <c r="N8575" s="2" t="s">
        <v>39759</v>
      </c>
      <c r="O8575" s="2" t="s">
        <v>39760</v>
      </c>
      <c r="P8575" s="2" t="s">
        <v>869</v>
      </c>
    </row>
    <row r="8576" ht="15.75" customHeight="1">
      <c r="H8576" s="2" t="s">
        <v>39761</v>
      </c>
      <c r="I8576" s="2" t="s">
        <v>12601</v>
      </c>
      <c r="J8576" s="2" t="s">
        <v>12602</v>
      </c>
      <c r="K8576" s="2" t="s">
        <v>24368</v>
      </c>
      <c r="L8576" s="2" t="s">
        <v>39555</v>
      </c>
      <c r="M8576" s="2" t="s">
        <v>39762</v>
      </c>
      <c r="N8576" s="2" t="s">
        <v>39763</v>
      </c>
      <c r="O8576" s="2" t="s">
        <v>39764</v>
      </c>
      <c r="P8576" s="2" t="s">
        <v>869</v>
      </c>
    </row>
    <row r="8577" ht="15.75" customHeight="1">
      <c r="H8577" s="2" t="s">
        <v>39765</v>
      </c>
      <c r="I8577" s="2" t="s">
        <v>2103</v>
      </c>
      <c r="J8577" s="2" t="s">
        <v>2104</v>
      </c>
      <c r="K8577" s="2" t="s">
        <v>15801</v>
      </c>
      <c r="L8577" s="2" t="s">
        <v>39766</v>
      </c>
      <c r="M8577" s="2" t="s">
        <v>39767</v>
      </c>
      <c r="N8577" s="2" t="s">
        <v>39768</v>
      </c>
      <c r="O8577" s="2" t="s">
        <v>39769</v>
      </c>
      <c r="P8577" s="2" t="s">
        <v>869</v>
      </c>
    </row>
    <row r="8578" ht="15.75" customHeight="1">
      <c r="H8578" s="2" t="s">
        <v>39770</v>
      </c>
      <c r="I8578" s="2" t="s">
        <v>11381</v>
      </c>
      <c r="J8578" s="2" t="s">
        <v>11382</v>
      </c>
      <c r="K8578" s="2" t="s">
        <v>24528</v>
      </c>
      <c r="L8578" s="2" t="s">
        <v>39555</v>
      </c>
      <c r="M8578" s="2" t="s">
        <v>39771</v>
      </c>
      <c r="N8578" s="2" t="s">
        <v>39772</v>
      </c>
      <c r="O8578" s="2" t="s">
        <v>39773</v>
      </c>
      <c r="P8578" s="2" t="s">
        <v>869</v>
      </c>
    </row>
    <row r="8579" ht="15.75" customHeight="1">
      <c r="H8579" s="2" t="s">
        <v>39774</v>
      </c>
      <c r="I8579" s="2" t="s">
        <v>39775</v>
      </c>
      <c r="J8579" s="2" t="s">
        <v>39776</v>
      </c>
      <c r="K8579" s="2" t="s">
        <v>22104</v>
      </c>
      <c r="L8579" s="2" t="s">
        <v>39777</v>
      </c>
      <c r="M8579" s="2" t="s">
        <v>39778</v>
      </c>
      <c r="N8579" s="2" t="s">
        <v>39779</v>
      </c>
      <c r="O8579" s="2" t="s">
        <v>39780</v>
      </c>
      <c r="P8579" s="2" t="s">
        <v>869</v>
      </c>
    </row>
    <row r="8580" ht="15.75" customHeight="1">
      <c r="H8580" s="2" t="s">
        <v>39781</v>
      </c>
      <c r="I8580" s="2" t="s">
        <v>39782</v>
      </c>
      <c r="J8580" s="2" t="s">
        <v>39783</v>
      </c>
      <c r="K8580" s="2" t="s">
        <v>24414</v>
      </c>
      <c r="L8580" s="2" t="s">
        <v>39555</v>
      </c>
      <c r="M8580" s="2" t="s">
        <v>39784</v>
      </c>
      <c r="N8580" s="2" t="s">
        <v>39785</v>
      </c>
      <c r="O8580" s="2" t="s">
        <v>39786</v>
      </c>
      <c r="P8580" s="2" t="s">
        <v>869</v>
      </c>
    </row>
    <row r="8581" ht="15.75" customHeight="1">
      <c r="H8581" s="2" t="s">
        <v>39787</v>
      </c>
      <c r="I8581" s="2" t="s">
        <v>1000</v>
      </c>
      <c r="J8581" s="2" t="s">
        <v>1001</v>
      </c>
      <c r="K8581" s="2" t="s">
        <v>22050</v>
      </c>
      <c r="L8581" s="2" t="s">
        <v>39788</v>
      </c>
      <c r="M8581" s="2" t="s">
        <v>39789</v>
      </c>
      <c r="N8581" s="2" t="s">
        <v>39790</v>
      </c>
      <c r="O8581" s="2" t="s">
        <v>39791</v>
      </c>
      <c r="P8581" s="2" t="s">
        <v>869</v>
      </c>
    </row>
    <row r="8582" ht="15.75" customHeight="1">
      <c r="H8582" s="2" t="s">
        <v>39792</v>
      </c>
      <c r="I8582" s="2" t="s">
        <v>29231</v>
      </c>
      <c r="J8582" s="2" t="s">
        <v>29232</v>
      </c>
      <c r="K8582" s="2" t="s">
        <v>24477</v>
      </c>
      <c r="L8582" s="2" t="s">
        <v>39555</v>
      </c>
      <c r="M8582" s="2" t="s">
        <v>39793</v>
      </c>
      <c r="N8582" s="2" t="s">
        <v>39794</v>
      </c>
      <c r="O8582" s="2" t="s">
        <v>39795</v>
      </c>
      <c r="P8582" s="2" t="s">
        <v>869</v>
      </c>
    </row>
    <row r="8583" ht="15.75" customHeight="1">
      <c r="H8583" s="2" t="s">
        <v>39796</v>
      </c>
      <c r="I8583" s="2" t="s">
        <v>12221</v>
      </c>
      <c r="J8583" s="2" t="s">
        <v>12222</v>
      </c>
      <c r="K8583" s="2" t="s">
        <v>25128</v>
      </c>
      <c r="L8583" s="2" t="s">
        <v>39797</v>
      </c>
      <c r="M8583" s="2" t="s">
        <v>39798</v>
      </c>
      <c r="N8583" s="2" t="s">
        <v>39799</v>
      </c>
      <c r="O8583" s="2" t="s">
        <v>39800</v>
      </c>
      <c r="P8583" s="2" t="s">
        <v>869</v>
      </c>
    </row>
    <row r="8584" ht="15.75" customHeight="1">
      <c r="H8584" s="2" t="s">
        <v>39801</v>
      </c>
      <c r="I8584" s="2" t="s">
        <v>39802</v>
      </c>
      <c r="J8584" s="2" t="s">
        <v>39803</v>
      </c>
      <c r="K8584" s="2" t="s">
        <v>15868</v>
      </c>
      <c r="L8584" s="2" t="s">
        <v>39804</v>
      </c>
      <c r="M8584" s="2" t="s">
        <v>39805</v>
      </c>
      <c r="N8584" s="2" t="s">
        <v>39806</v>
      </c>
      <c r="O8584" s="2" t="s">
        <v>39807</v>
      </c>
      <c r="P8584" s="2" t="s">
        <v>869</v>
      </c>
    </row>
    <row r="8585" ht="15.75" customHeight="1">
      <c r="H8585" s="2" t="s">
        <v>39808</v>
      </c>
      <c r="I8585" s="2" t="s">
        <v>5903</v>
      </c>
      <c r="J8585" s="2" t="s">
        <v>5904</v>
      </c>
      <c r="K8585" s="2" t="s">
        <v>24275</v>
      </c>
      <c r="L8585" s="2" t="s">
        <v>39555</v>
      </c>
      <c r="M8585" s="2" t="s">
        <v>39809</v>
      </c>
      <c r="N8585" s="2" t="s">
        <v>39810</v>
      </c>
      <c r="O8585" s="2" t="s">
        <v>39811</v>
      </c>
      <c r="P8585" s="2" t="s">
        <v>869</v>
      </c>
    </row>
    <row r="8586" ht="15.75" customHeight="1">
      <c r="H8586" s="2" t="s">
        <v>39812</v>
      </c>
      <c r="I8586" s="2" t="s">
        <v>5421</v>
      </c>
      <c r="J8586" s="2" t="s">
        <v>5422</v>
      </c>
      <c r="K8586" s="2" t="s">
        <v>25265</v>
      </c>
      <c r="L8586" s="2" t="s">
        <v>39813</v>
      </c>
      <c r="M8586" s="2" t="s">
        <v>39814</v>
      </c>
      <c r="N8586" s="2" t="s">
        <v>39815</v>
      </c>
      <c r="O8586" s="2" t="s">
        <v>39816</v>
      </c>
      <c r="P8586" s="2" t="s">
        <v>869</v>
      </c>
    </row>
    <row r="8587" ht="15.75" customHeight="1">
      <c r="H8587" s="2" t="s">
        <v>39817</v>
      </c>
      <c r="I8587" s="2" t="s">
        <v>39818</v>
      </c>
      <c r="J8587" s="2" t="s">
        <v>39819</v>
      </c>
      <c r="K8587" s="2" t="s">
        <v>24263</v>
      </c>
      <c r="L8587" s="2" t="s">
        <v>39555</v>
      </c>
      <c r="M8587" s="2" t="s">
        <v>39820</v>
      </c>
      <c r="N8587" s="2" t="s">
        <v>39821</v>
      </c>
      <c r="O8587" s="2" t="s">
        <v>39822</v>
      </c>
      <c r="P8587" s="2" t="s">
        <v>869</v>
      </c>
    </row>
    <row r="8588" ht="15.75" customHeight="1">
      <c r="H8588" s="2" t="s">
        <v>39823</v>
      </c>
      <c r="I8588" s="2" t="s">
        <v>2175</v>
      </c>
      <c r="J8588" s="2" t="s">
        <v>2176</v>
      </c>
      <c r="K8588" s="2" t="s">
        <v>6029</v>
      </c>
      <c r="L8588" s="2" t="s">
        <v>39555</v>
      </c>
      <c r="M8588" s="2" t="s">
        <v>39824</v>
      </c>
      <c r="N8588" s="2" t="s">
        <v>39825</v>
      </c>
      <c r="O8588" s="2" t="s">
        <v>39826</v>
      </c>
      <c r="P8588" s="2" t="s">
        <v>869</v>
      </c>
    </row>
    <row r="8589" ht="15.75" customHeight="1">
      <c r="H8589" s="2" t="s">
        <v>39827</v>
      </c>
      <c r="I8589" s="2" t="s">
        <v>14472</v>
      </c>
      <c r="J8589" s="2" t="s">
        <v>14473</v>
      </c>
      <c r="K8589" s="2" t="s">
        <v>15819</v>
      </c>
      <c r="L8589" s="2" t="s">
        <v>39828</v>
      </c>
      <c r="M8589" s="2" t="s">
        <v>39829</v>
      </c>
      <c r="N8589" s="2" t="s">
        <v>39830</v>
      </c>
      <c r="O8589" s="2" t="s">
        <v>39831</v>
      </c>
      <c r="P8589" s="2" t="s">
        <v>869</v>
      </c>
    </row>
    <row r="8590" ht="15.75" customHeight="1">
      <c r="H8590" s="2" t="s">
        <v>39832</v>
      </c>
      <c r="I8590" s="2" t="s">
        <v>19431</v>
      </c>
      <c r="J8590" s="2" t="s">
        <v>19432</v>
      </c>
      <c r="K8590" s="2" t="s">
        <v>24164</v>
      </c>
      <c r="L8590" s="2" t="s">
        <v>39555</v>
      </c>
      <c r="M8590" s="2" t="s">
        <v>39833</v>
      </c>
      <c r="N8590" s="2" t="s">
        <v>39834</v>
      </c>
      <c r="O8590" s="2" t="s">
        <v>39835</v>
      </c>
      <c r="P8590" s="2" t="s">
        <v>869</v>
      </c>
    </row>
    <row r="8591" ht="15.75" customHeight="1">
      <c r="H8591" s="2" t="s">
        <v>39836</v>
      </c>
      <c r="I8591" s="2" t="s">
        <v>2195</v>
      </c>
      <c r="J8591" s="2" t="s">
        <v>2196</v>
      </c>
      <c r="K8591" s="2" t="s">
        <v>24851</v>
      </c>
      <c r="L8591" s="2" t="s">
        <v>39837</v>
      </c>
      <c r="M8591" s="2" t="s">
        <v>39838</v>
      </c>
      <c r="N8591" s="2" t="s">
        <v>39839</v>
      </c>
      <c r="O8591" s="2" t="s">
        <v>39840</v>
      </c>
      <c r="P8591" s="2" t="s">
        <v>869</v>
      </c>
    </row>
    <row r="8592" ht="15.75" customHeight="1">
      <c r="H8592" s="2" t="s">
        <v>39841</v>
      </c>
      <c r="I8592" s="2" t="s">
        <v>8130</v>
      </c>
      <c r="J8592" s="2" t="s">
        <v>8131</v>
      </c>
      <c r="K8592" s="2" t="s">
        <v>32581</v>
      </c>
      <c r="L8592" s="2" t="s">
        <v>39555</v>
      </c>
      <c r="M8592" s="2" t="s">
        <v>39842</v>
      </c>
      <c r="N8592" s="2" t="s">
        <v>39843</v>
      </c>
      <c r="O8592" s="2" t="s">
        <v>39844</v>
      </c>
      <c r="P8592" s="2" t="s">
        <v>869</v>
      </c>
    </row>
    <row r="8593" ht="15.75" customHeight="1">
      <c r="H8593" s="2" t="s">
        <v>39845</v>
      </c>
      <c r="I8593" s="2" t="s">
        <v>2207</v>
      </c>
      <c r="J8593" s="2" t="s">
        <v>2208</v>
      </c>
      <c r="K8593" s="2" t="s">
        <v>31469</v>
      </c>
      <c r="L8593" s="2" t="s">
        <v>39555</v>
      </c>
      <c r="M8593" s="2" t="s">
        <v>39846</v>
      </c>
      <c r="N8593" s="2" t="s">
        <v>39847</v>
      </c>
      <c r="O8593" s="2" t="s">
        <v>39848</v>
      </c>
      <c r="P8593" s="2" t="s">
        <v>869</v>
      </c>
    </row>
    <row r="8594" ht="15.75" customHeight="1">
      <c r="H8594" s="2" t="s">
        <v>39849</v>
      </c>
      <c r="I8594" s="2" t="s">
        <v>326</v>
      </c>
      <c r="J8594" s="2" t="s">
        <v>327</v>
      </c>
      <c r="K8594" s="2" t="s">
        <v>6068</v>
      </c>
      <c r="L8594" s="2" t="s">
        <v>39850</v>
      </c>
      <c r="M8594" s="2" t="s">
        <v>39851</v>
      </c>
      <c r="N8594" s="2" t="s">
        <v>39852</v>
      </c>
      <c r="O8594" s="2" t="s">
        <v>39853</v>
      </c>
      <c r="P8594" s="2" t="s">
        <v>869</v>
      </c>
    </row>
    <row r="8595" ht="15.75" customHeight="1">
      <c r="H8595" s="2" t="s">
        <v>39854</v>
      </c>
      <c r="I8595" s="2" t="s">
        <v>2216</v>
      </c>
      <c r="J8595" s="2" t="s">
        <v>2217</v>
      </c>
      <c r="K8595" s="2" t="s">
        <v>34322</v>
      </c>
      <c r="L8595" s="2" t="s">
        <v>39555</v>
      </c>
      <c r="M8595" s="2" t="s">
        <v>39855</v>
      </c>
      <c r="N8595" s="2" t="s">
        <v>39856</v>
      </c>
      <c r="O8595" s="2" t="s">
        <v>39857</v>
      </c>
      <c r="P8595" s="2" t="s">
        <v>869</v>
      </c>
    </row>
    <row r="8596" ht="15.75" customHeight="1">
      <c r="H8596" s="2" t="s">
        <v>39858</v>
      </c>
      <c r="I8596" s="2" t="s">
        <v>39859</v>
      </c>
      <c r="J8596" s="2" t="s">
        <v>39860</v>
      </c>
      <c r="K8596" s="2" t="s">
        <v>24355</v>
      </c>
      <c r="L8596" s="2" t="s">
        <v>39861</v>
      </c>
      <c r="M8596" s="2" t="s">
        <v>39862</v>
      </c>
      <c r="N8596" s="2" t="s">
        <v>39863</v>
      </c>
      <c r="O8596" s="2" t="s">
        <v>39864</v>
      </c>
      <c r="P8596" s="2" t="s">
        <v>869</v>
      </c>
    </row>
    <row r="8597" ht="15.75" customHeight="1">
      <c r="H8597" s="2" t="s">
        <v>39865</v>
      </c>
      <c r="I8597" s="2" t="s">
        <v>335</v>
      </c>
      <c r="J8597" s="2" t="s">
        <v>336</v>
      </c>
      <c r="K8597" s="2" t="s">
        <v>15823</v>
      </c>
      <c r="L8597" s="2" t="s">
        <v>39555</v>
      </c>
      <c r="M8597" s="2" t="s">
        <v>39866</v>
      </c>
      <c r="N8597" s="2" t="s">
        <v>39867</v>
      </c>
      <c r="O8597" s="2" t="s">
        <v>39868</v>
      </c>
      <c r="P8597" s="2" t="s">
        <v>869</v>
      </c>
    </row>
    <row r="8598" ht="15.75" customHeight="1">
      <c r="H8598" s="2" t="s">
        <v>39869</v>
      </c>
      <c r="I8598" s="2" t="s">
        <v>352</v>
      </c>
      <c r="J8598" s="2" t="s">
        <v>353</v>
      </c>
      <c r="K8598" s="2" t="s">
        <v>15827</v>
      </c>
      <c r="L8598" s="2" t="s">
        <v>39870</v>
      </c>
      <c r="M8598" s="2" t="s">
        <v>39871</v>
      </c>
      <c r="N8598" s="2" t="s">
        <v>39872</v>
      </c>
      <c r="O8598" s="2" t="s">
        <v>39873</v>
      </c>
      <c r="P8598" s="2" t="s">
        <v>869</v>
      </c>
    </row>
    <row r="8599" ht="15.75" customHeight="1">
      <c r="H8599" s="2" t="s">
        <v>39874</v>
      </c>
      <c r="I8599" s="2" t="s">
        <v>360</v>
      </c>
      <c r="J8599" s="2" t="s">
        <v>361</v>
      </c>
      <c r="K8599" s="2" t="s">
        <v>24294</v>
      </c>
      <c r="L8599" s="2" t="s">
        <v>39555</v>
      </c>
      <c r="M8599" s="2" t="s">
        <v>39875</v>
      </c>
      <c r="N8599" s="2" t="s">
        <v>39876</v>
      </c>
      <c r="O8599" s="2" t="s">
        <v>39877</v>
      </c>
      <c r="P8599" s="2" t="s">
        <v>869</v>
      </c>
    </row>
    <row r="8600" ht="15.75" customHeight="1">
      <c r="H8600" s="2" t="s">
        <v>39878</v>
      </c>
      <c r="I8600" s="2" t="s">
        <v>39879</v>
      </c>
      <c r="J8600" s="2" t="s">
        <v>39880</v>
      </c>
      <c r="K8600" s="2" t="s">
        <v>24596</v>
      </c>
      <c r="L8600" s="2" t="s">
        <v>39555</v>
      </c>
      <c r="M8600" s="2" t="s">
        <v>39881</v>
      </c>
      <c r="N8600" s="2" t="s">
        <v>39882</v>
      </c>
      <c r="O8600" s="2" t="s">
        <v>39883</v>
      </c>
      <c r="P8600" s="2" t="s">
        <v>869</v>
      </c>
    </row>
    <row r="8601" ht="15.75" customHeight="1">
      <c r="H8601" s="2" t="s">
        <v>39884</v>
      </c>
      <c r="I8601" s="2" t="s">
        <v>25967</v>
      </c>
      <c r="J8601" s="2" t="s">
        <v>25968</v>
      </c>
      <c r="K8601" s="2" t="s">
        <v>32896</v>
      </c>
      <c r="L8601" s="2" t="s">
        <v>39555</v>
      </c>
      <c r="M8601" s="2" t="s">
        <v>39885</v>
      </c>
      <c r="N8601" s="2" t="s">
        <v>39886</v>
      </c>
      <c r="O8601" s="2" t="s">
        <v>39887</v>
      </c>
      <c r="P8601" s="2" t="s">
        <v>869</v>
      </c>
    </row>
    <row r="8602" ht="15.75" customHeight="1">
      <c r="H8602" s="2" t="s">
        <v>39888</v>
      </c>
      <c r="I8602" s="2" t="s">
        <v>39889</v>
      </c>
      <c r="J8602" s="2" t="s">
        <v>39890</v>
      </c>
      <c r="K8602" s="2" t="s">
        <v>32286</v>
      </c>
      <c r="L8602" s="2" t="s">
        <v>39891</v>
      </c>
      <c r="M8602" s="2" t="s">
        <v>39892</v>
      </c>
      <c r="N8602" s="2" t="s">
        <v>39893</v>
      </c>
      <c r="O8602" s="2" t="s">
        <v>39894</v>
      </c>
      <c r="P8602" s="2" t="s">
        <v>869</v>
      </c>
    </row>
    <row r="8603" ht="15.75" customHeight="1">
      <c r="H8603" s="2" t="s">
        <v>39895</v>
      </c>
      <c r="I8603" s="2" t="s">
        <v>415</v>
      </c>
      <c r="J8603" s="2" t="s">
        <v>416</v>
      </c>
      <c r="K8603" s="2" t="s">
        <v>15831</v>
      </c>
      <c r="L8603" s="2" t="s">
        <v>39896</v>
      </c>
      <c r="M8603" s="2" t="s">
        <v>39897</v>
      </c>
      <c r="N8603" s="2" t="s">
        <v>39898</v>
      </c>
      <c r="O8603" s="2" t="s">
        <v>39899</v>
      </c>
      <c r="P8603" s="2" t="s">
        <v>869</v>
      </c>
    </row>
    <row r="8604" ht="15.75" customHeight="1">
      <c r="H8604" s="2" t="s">
        <v>39900</v>
      </c>
      <c r="I8604" s="2" t="s">
        <v>20137</v>
      </c>
      <c r="J8604" s="2" t="s">
        <v>20138</v>
      </c>
      <c r="K8604" s="2" t="s">
        <v>24023</v>
      </c>
      <c r="L8604" s="2" t="s">
        <v>39555</v>
      </c>
      <c r="M8604" s="2" t="s">
        <v>39901</v>
      </c>
      <c r="N8604" s="2" t="s">
        <v>39902</v>
      </c>
      <c r="O8604" s="2" t="s">
        <v>39903</v>
      </c>
      <c r="P8604" s="2" t="s">
        <v>869</v>
      </c>
    </row>
    <row r="8605" ht="15.75" customHeight="1">
      <c r="H8605" s="2" t="s">
        <v>39904</v>
      </c>
      <c r="I8605" s="2" t="s">
        <v>13300</v>
      </c>
      <c r="J8605" s="2" t="s">
        <v>13301</v>
      </c>
      <c r="K8605" s="2" t="s">
        <v>32618</v>
      </c>
      <c r="L8605" s="2" t="s">
        <v>39905</v>
      </c>
      <c r="M8605" s="2" t="s">
        <v>39906</v>
      </c>
      <c r="N8605" s="2" t="s">
        <v>39799</v>
      </c>
      <c r="O8605" s="2" t="s">
        <v>39907</v>
      </c>
      <c r="P8605" s="2" t="s">
        <v>869</v>
      </c>
    </row>
    <row r="8606" ht="15.75" customHeight="1">
      <c r="H8606" s="2" t="s">
        <v>39908</v>
      </c>
      <c r="I8606" s="2" t="s">
        <v>432</v>
      </c>
      <c r="J8606" s="2" t="s">
        <v>433</v>
      </c>
      <c r="K8606" s="2" t="s">
        <v>15827</v>
      </c>
      <c r="L8606" s="2" t="s">
        <v>39555</v>
      </c>
      <c r="M8606" s="2" t="s">
        <v>39909</v>
      </c>
      <c r="N8606" s="2" t="s">
        <v>39910</v>
      </c>
      <c r="O8606" s="2" t="s">
        <v>39911</v>
      </c>
      <c r="P8606" s="2" t="s">
        <v>869</v>
      </c>
    </row>
    <row r="8607" ht="15.75" customHeight="1">
      <c r="H8607" s="2" t="s">
        <v>39912</v>
      </c>
      <c r="I8607" s="2" t="s">
        <v>19554</v>
      </c>
      <c r="J8607" s="2" t="s">
        <v>19555</v>
      </c>
      <c r="K8607" s="2" t="s">
        <v>24973</v>
      </c>
      <c r="L8607" s="2" t="s">
        <v>39555</v>
      </c>
      <c r="M8607" s="2" t="s">
        <v>39913</v>
      </c>
      <c r="N8607" s="2" t="s">
        <v>39914</v>
      </c>
      <c r="O8607" s="2" t="s">
        <v>39915</v>
      </c>
      <c r="P8607" s="2" t="s">
        <v>869</v>
      </c>
    </row>
    <row r="8608" ht="15.75" customHeight="1">
      <c r="H8608" s="2" t="s">
        <v>39916</v>
      </c>
      <c r="I8608" s="2" t="s">
        <v>12278</v>
      </c>
      <c r="J8608" s="2" t="s">
        <v>12279</v>
      </c>
      <c r="K8608" s="2" t="s">
        <v>24450</v>
      </c>
      <c r="L8608" s="2" t="s">
        <v>39555</v>
      </c>
      <c r="M8608" s="2" t="s">
        <v>39917</v>
      </c>
      <c r="N8608" s="2" t="s">
        <v>39918</v>
      </c>
      <c r="O8608" s="2" t="s">
        <v>39919</v>
      </c>
      <c r="P8608" s="2" t="s">
        <v>869</v>
      </c>
    </row>
    <row r="8609" ht="15.75" customHeight="1">
      <c r="H8609" s="2" t="s">
        <v>39920</v>
      </c>
      <c r="I8609" s="2" t="s">
        <v>440</v>
      </c>
      <c r="J8609" s="2" t="s">
        <v>441</v>
      </c>
      <c r="K8609" s="2" t="s">
        <v>24907</v>
      </c>
      <c r="L8609" s="2" t="s">
        <v>39555</v>
      </c>
      <c r="M8609" s="2" t="s">
        <v>39921</v>
      </c>
      <c r="N8609" s="2" t="s">
        <v>39922</v>
      </c>
      <c r="O8609" s="2" t="s">
        <v>39923</v>
      </c>
      <c r="P8609" s="2" t="s">
        <v>869</v>
      </c>
    </row>
    <row r="8610" ht="15.75" customHeight="1">
      <c r="H8610" s="2" t="s">
        <v>39924</v>
      </c>
      <c r="I8610" s="2" t="s">
        <v>662</v>
      </c>
      <c r="J8610" s="2" t="s">
        <v>663</v>
      </c>
      <c r="K8610" s="2" t="s">
        <v>24924</v>
      </c>
      <c r="L8610" s="2" t="s">
        <v>39925</v>
      </c>
      <c r="M8610" s="2" t="s">
        <v>39926</v>
      </c>
      <c r="N8610" s="2" t="s">
        <v>39927</v>
      </c>
      <c r="O8610" s="2" t="s">
        <v>39928</v>
      </c>
      <c r="P8610" s="2" t="s">
        <v>869</v>
      </c>
    </row>
    <row r="8611" ht="15.75" customHeight="1">
      <c r="H8611" s="2" t="s">
        <v>39929</v>
      </c>
      <c r="I8611" s="2" t="s">
        <v>19584</v>
      </c>
      <c r="J8611" s="2" t="s">
        <v>19585</v>
      </c>
      <c r="K8611" s="2" t="s">
        <v>39930</v>
      </c>
      <c r="L8611" s="2" t="s">
        <v>39555</v>
      </c>
      <c r="M8611" s="2" t="s">
        <v>39931</v>
      </c>
      <c r="N8611" s="2" t="s">
        <v>39932</v>
      </c>
      <c r="O8611" s="2" t="s">
        <v>39933</v>
      </c>
      <c r="P8611" s="2" t="s">
        <v>869</v>
      </c>
    </row>
    <row r="8612" ht="15.75" customHeight="1">
      <c r="H8612" s="2" t="s">
        <v>39934</v>
      </c>
      <c r="I8612" s="2" t="s">
        <v>2331</v>
      </c>
      <c r="J8612" s="2" t="s">
        <v>2332</v>
      </c>
      <c r="K8612" s="2" t="s">
        <v>22041</v>
      </c>
      <c r="L8612" s="2" t="s">
        <v>39555</v>
      </c>
      <c r="M8612" s="2" t="s">
        <v>39935</v>
      </c>
      <c r="N8612" s="2" t="s">
        <v>39936</v>
      </c>
      <c r="O8612" s="2" t="s">
        <v>39937</v>
      </c>
      <c r="P8612" s="2" t="s">
        <v>869</v>
      </c>
    </row>
    <row r="8613" ht="15.75" customHeight="1">
      <c r="H8613" s="2" t="s">
        <v>39938</v>
      </c>
      <c r="I8613" s="2" t="s">
        <v>2341</v>
      </c>
      <c r="J8613" s="2" t="s">
        <v>2342</v>
      </c>
      <c r="K8613" s="2" t="s">
        <v>37572</v>
      </c>
      <c r="L8613" s="2" t="s">
        <v>39939</v>
      </c>
      <c r="M8613" s="2" t="s">
        <v>39940</v>
      </c>
      <c r="N8613" s="2" t="s">
        <v>39941</v>
      </c>
      <c r="O8613" s="2" t="s">
        <v>39942</v>
      </c>
      <c r="P8613" s="2" t="s">
        <v>869</v>
      </c>
    </row>
    <row r="8614" ht="15.75" customHeight="1">
      <c r="H8614" s="2" t="s">
        <v>39943</v>
      </c>
      <c r="I8614" s="2" t="s">
        <v>13823</v>
      </c>
      <c r="J8614" s="2" t="s">
        <v>13824</v>
      </c>
      <c r="K8614" s="2" t="s">
        <v>24090</v>
      </c>
      <c r="L8614" s="2" t="s">
        <v>39555</v>
      </c>
      <c r="M8614" s="2" t="s">
        <v>39944</v>
      </c>
      <c r="N8614" s="2" t="s">
        <v>39945</v>
      </c>
      <c r="O8614" s="2" t="s">
        <v>39946</v>
      </c>
      <c r="P8614" s="2" t="s">
        <v>869</v>
      </c>
    </row>
    <row r="8615" ht="15.75" customHeight="1">
      <c r="H8615" s="2" t="s">
        <v>39947</v>
      </c>
      <c r="I8615" s="2" t="s">
        <v>1759</v>
      </c>
      <c r="J8615" s="2" t="s">
        <v>1760</v>
      </c>
      <c r="K8615" s="2" t="s">
        <v>33097</v>
      </c>
      <c r="L8615" s="2" t="s">
        <v>39555</v>
      </c>
      <c r="M8615" s="2" t="s">
        <v>39948</v>
      </c>
      <c r="N8615" s="2" t="s">
        <v>39949</v>
      </c>
      <c r="O8615" s="2" t="s">
        <v>39950</v>
      </c>
      <c r="P8615" s="2" t="s">
        <v>869</v>
      </c>
    </row>
    <row r="8616" ht="15.75" customHeight="1">
      <c r="H8616" s="2" t="s">
        <v>39951</v>
      </c>
      <c r="I8616" s="2" t="s">
        <v>39952</v>
      </c>
      <c r="J8616" s="2" t="s">
        <v>39953</v>
      </c>
      <c r="K8616" s="2" t="s">
        <v>39954</v>
      </c>
      <c r="L8616" s="2" t="s">
        <v>39555</v>
      </c>
      <c r="M8616" s="2" t="s">
        <v>39955</v>
      </c>
      <c r="N8616" s="2" t="s">
        <v>39956</v>
      </c>
      <c r="O8616" s="2" t="s">
        <v>39957</v>
      </c>
      <c r="P8616" s="2" t="s">
        <v>869</v>
      </c>
    </row>
    <row r="8617" ht="15.75" customHeight="1">
      <c r="H8617" s="2" t="s">
        <v>39958</v>
      </c>
      <c r="I8617" s="2" t="s">
        <v>2352</v>
      </c>
      <c r="J8617" s="2" t="s">
        <v>2353</v>
      </c>
      <c r="K8617" s="2" t="s">
        <v>24935</v>
      </c>
      <c r="L8617" s="2" t="s">
        <v>39959</v>
      </c>
      <c r="M8617" s="2" t="s">
        <v>39960</v>
      </c>
      <c r="N8617" s="2" t="s">
        <v>39961</v>
      </c>
      <c r="O8617" s="2" t="s">
        <v>39962</v>
      </c>
      <c r="P8617" s="2" t="s">
        <v>869</v>
      </c>
    </row>
    <row r="8618" ht="15.75" customHeight="1">
      <c r="H8618" s="2" t="s">
        <v>39963</v>
      </c>
      <c r="I8618" s="2" t="s">
        <v>2357</v>
      </c>
      <c r="J8618" s="2" t="s">
        <v>2358</v>
      </c>
      <c r="K8618" s="2" t="s">
        <v>24940</v>
      </c>
      <c r="L8618" s="2" t="s">
        <v>39555</v>
      </c>
      <c r="M8618" s="2" t="s">
        <v>39964</v>
      </c>
      <c r="N8618" s="2" t="s">
        <v>39965</v>
      </c>
      <c r="O8618" s="2" t="s">
        <v>39966</v>
      </c>
      <c r="P8618" s="2" t="s">
        <v>869</v>
      </c>
    </row>
    <row r="8619" ht="15.75" customHeight="1">
      <c r="H8619" s="2" t="s">
        <v>39967</v>
      </c>
      <c r="I8619" s="2" t="s">
        <v>26060</v>
      </c>
      <c r="J8619" s="2" t="s">
        <v>26061</v>
      </c>
      <c r="K8619" s="2" t="s">
        <v>36324</v>
      </c>
      <c r="L8619" s="2" t="s">
        <v>39555</v>
      </c>
      <c r="M8619" s="2" t="s">
        <v>39968</v>
      </c>
      <c r="N8619" s="2" t="s">
        <v>39969</v>
      </c>
      <c r="O8619" s="2" t="s">
        <v>39970</v>
      </c>
      <c r="P8619" s="2" t="s">
        <v>869</v>
      </c>
    </row>
    <row r="8620" ht="15.75" customHeight="1">
      <c r="H8620" s="2" t="s">
        <v>39971</v>
      </c>
      <c r="I8620" s="2" t="s">
        <v>19620</v>
      </c>
      <c r="J8620" s="2" t="s">
        <v>19621</v>
      </c>
      <c r="K8620" s="2" t="s">
        <v>24739</v>
      </c>
      <c r="L8620" s="2" t="s">
        <v>39555</v>
      </c>
      <c r="M8620" s="2" t="s">
        <v>39972</v>
      </c>
      <c r="N8620" s="2" t="s">
        <v>39973</v>
      </c>
      <c r="O8620" s="2" t="s">
        <v>39974</v>
      </c>
      <c r="P8620" s="2" t="s">
        <v>869</v>
      </c>
    </row>
    <row r="8621" ht="15.75" customHeight="1">
      <c r="H8621" s="2" t="s">
        <v>39975</v>
      </c>
      <c r="I8621" s="2" t="s">
        <v>2369</v>
      </c>
      <c r="J8621" s="2" t="s">
        <v>2370</v>
      </c>
      <c r="K8621" s="2" t="s">
        <v>32670</v>
      </c>
      <c r="L8621" s="2" t="s">
        <v>39555</v>
      </c>
      <c r="M8621" s="2" t="s">
        <v>39976</v>
      </c>
      <c r="N8621" s="2" t="s">
        <v>39977</v>
      </c>
      <c r="O8621" s="2" t="s">
        <v>39978</v>
      </c>
      <c r="P8621" s="2" t="s">
        <v>869</v>
      </c>
    </row>
    <row r="8622" ht="15.75" customHeight="1">
      <c r="H8622" s="2" t="s">
        <v>39979</v>
      </c>
      <c r="I8622" s="2" t="s">
        <v>2399</v>
      </c>
      <c r="J8622" s="2" t="s">
        <v>2400</v>
      </c>
      <c r="K8622" s="2" t="s">
        <v>32683</v>
      </c>
      <c r="L8622" s="2" t="s">
        <v>39980</v>
      </c>
      <c r="M8622" s="2" t="s">
        <v>39981</v>
      </c>
      <c r="N8622" s="2" t="s">
        <v>39982</v>
      </c>
      <c r="O8622" s="2" t="s">
        <v>39983</v>
      </c>
      <c r="P8622" s="2" t="s">
        <v>869</v>
      </c>
    </row>
    <row r="8623" ht="15.75" customHeight="1">
      <c r="H8623" s="2" t="s">
        <v>39984</v>
      </c>
      <c r="I8623" s="2" t="s">
        <v>12694</v>
      </c>
      <c r="J8623" s="2" t="s">
        <v>12695</v>
      </c>
      <c r="K8623" s="2" t="s">
        <v>32936</v>
      </c>
      <c r="L8623" s="2" t="s">
        <v>39555</v>
      </c>
      <c r="M8623" s="2" t="s">
        <v>39985</v>
      </c>
      <c r="N8623" s="2" t="s">
        <v>39986</v>
      </c>
      <c r="O8623" s="2" t="s">
        <v>39987</v>
      </c>
      <c r="P8623" s="2" t="s">
        <v>869</v>
      </c>
    </row>
    <row r="8624" ht="15.75" customHeight="1">
      <c r="H8624" s="2" t="s">
        <v>39988</v>
      </c>
      <c r="I8624" s="2" t="s">
        <v>1501</v>
      </c>
      <c r="J8624" s="2" t="s">
        <v>1502</v>
      </c>
      <c r="K8624" s="2" t="s">
        <v>31089</v>
      </c>
      <c r="L8624" s="2" t="s">
        <v>39555</v>
      </c>
      <c r="M8624" s="2" t="s">
        <v>39989</v>
      </c>
      <c r="N8624" s="2" t="s">
        <v>39990</v>
      </c>
      <c r="O8624" s="2" t="s">
        <v>39991</v>
      </c>
      <c r="P8624" s="2" t="s">
        <v>869</v>
      </c>
    </row>
    <row r="8625" ht="15.75" customHeight="1">
      <c r="H8625" s="2" t="s">
        <v>39992</v>
      </c>
      <c r="I8625" s="2" t="s">
        <v>2421</v>
      </c>
      <c r="J8625" s="2" t="s">
        <v>2422</v>
      </c>
      <c r="K8625" s="2" t="s">
        <v>24967</v>
      </c>
      <c r="L8625" s="2" t="s">
        <v>39993</v>
      </c>
      <c r="M8625" s="2" t="s">
        <v>39994</v>
      </c>
      <c r="N8625" s="2" t="s">
        <v>39995</v>
      </c>
      <c r="O8625" s="2" t="s">
        <v>39996</v>
      </c>
      <c r="P8625" s="2" t="s">
        <v>869</v>
      </c>
    </row>
    <row r="8626" ht="15.75" customHeight="1">
      <c r="H8626" s="2" t="s">
        <v>39997</v>
      </c>
      <c r="I8626" s="2" t="s">
        <v>510</v>
      </c>
      <c r="J8626" s="2" t="s">
        <v>511</v>
      </c>
      <c r="K8626" s="2" t="s">
        <v>31277</v>
      </c>
      <c r="L8626" s="2" t="s">
        <v>39555</v>
      </c>
      <c r="M8626" s="2" t="s">
        <v>39998</v>
      </c>
      <c r="N8626" s="2" t="s">
        <v>39999</v>
      </c>
      <c r="O8626" s="2" t="s">
        <v>40000</v>
      </c>
      <c r="P8626" s="2" t="s">
        <v>869</v>
      </c>
    </row>
    <row r="8627" ht="15.75" customHeight="1">
      <c r="H8627" s="2" t="s">
        <v>40001</v>
      </c>
      <c r="I8627" s="2" t="s">
        <v>2435</v>
      </c>
      <c r="J8627" s="2" t="s">
        <v>2436</v>
      </c>
      <c r="K8627" s="2" t="s">
        <v>40002</v>
      </c>
      <c r="L8627" s="2" t="s">
        <v>40003</v>
      </c>
      <c r="M8627" s="2" t="s">
        <v>40004</v>
      </c>
      <c r="N8627" s="2" t="s">
        <v>40005</v>
      </c>
      <c r="O8627" s="2" t="s">
        <v>40006</v>
      </c>
      <c r="P8627" s="2" t="s">
        <v>869</v>
      </c>
    </row>
    <row r="8628" ht="15.75" customHeight="1">
      <c r="H8628" s="2" t="s">
        <v>40007</v>
      </c>
      <c r="I8628" s="2" t="s">
        <v>40008</v>
      </c>
      <c r="J8628" s="2" t="s">
        <v>40009</v>
      </c>
      <c r="K8628" s="2" t="s">
        <v>15872</v>
      </c>
      <c r="L8628" s="2" t="s">
        <v>39555</v>
      </c>
      <c r="M8628" s="2" t="s">
        <v>40010</v>
      </c>
      <c r="N8628" s="2" t="s">
        <v>40011</v>
      </c>
      <c r="O8628" s="2" t="s">
        <v>40012</v>
      </c>
      <c r="P8628" s="2" t="s">
        <v>869</v>
      </c>
    </row>
    <row r="8629" ht="15.75" customHeight="1">
      <c r="H8629" s="2" t="s">
        <v>40013</v>
      </c>
      <c r="I8629" s="2" t="s">
        <v>518</v>
      </c>
      <c r="J8629" s="2" t="s">
        <v>519</v>
      </c>
      <c r="K8629" s="2" t="s">
        <v>36582</v>
      </c>
      <c r="L8629" s="2" t="s">
        <v>39555</v>
      </c>
      <c r="M8629" s="2" t="s">
        <v>40014</v>
      </c>
      <c r="N8629" s="2" t="s">
        <v>40015</v>
      </c>
      <c r="O8629" s="2" t="s">
        <v>40016</v>
      </c>
      <c r="P8629" s="2" t="s">
        <v>869</v>
      </c>
    </row>
    <row r="8630" ht="15.75" customHeight="1">
      <c r="H8630" s="2" t="s">
        <v>40017</v>
      </c>
      <c r="I8630" s="2" t="s">
        <v>19719</v>
      </c>
      <c r="J8630" s="2" t="s">
        <v>19720</v>
      </c>
      <c r="K8630" s="2" t="s">
        <v>24483</v>
      </c>
      <c r="L8630" s="2" t="s">
        <v>39555</v>
      </c>
      <c r="M8630" s="2" t="s">
        <v>40018</v>
      </c>
      <c r="N8630" s="2" t="s">
        <v>40019</v>
      </c>
      <c r="O8630" s="2" t="s">
        <v>40020</v>
      </c>
      <c r="P8630" s="2" t="s">
        <v>869</v>
      </c>
    </row>
    <row r="8631" ht="15.75" customHeight="1">
      <c r="H8631" s="2" t="s">
        <v>40021</v>
      </c>
      <c r="I8631" s="2" t="s">
        <v>526</v>
      </c>
      <c r="J8631" s="2" t="s">
        <v>527</v>
      </c>
      <c r="K8631" s="2" t="s">
        <v>24084</v>
      </c>
      <c r="L8631" s="2" t="s">
        <v>40022</v>
      </c>
      <c r="M8631" s="2" t="s">
        <v>40023</v>
      </c>
      <c r="N8631" s="2" t="s">
        <v>40024</v>
      </c>
      <c r="O8631" s="2" t="s">
        <v>40025</v>
      </c>
      <c r="P8631" s="2" t="s">
        <v>869</v>
      </c>
    </row>
    <row r="8632" ht="15.75" customHeight="1">
      <c r="F8632" s="2" t="s">
        <v>534</v>
      </c>
      <c r="H8632" s="2" t="s">
        <v>40026</v>
      </c>
      <c r="I8632" s="2" t="s">
        <v>2512</v>
      </c>
      <c r="J8632" s="2" t="s">
        <v>2513</v>
      </c>
      <c r="K8632" s="2" t="s">
        <v>2514</v>
      </c>
    </row>
    <row r="8633" ht="15.75" customHeight="1">
      <c r="H8633" s="2" t="s">
        <v>40027</v>
      </c>
      <c r="I8633" s="2" t="s">
        <v>40028</v>
      </c>
      <c r="J8633" s="2" t="s">
        <v>40028</v>
      </c>
      <c r="K8633" s="2" t="s">
        <v>40029</v>
      </c>
    </row>
    <row r="8634" ht="15.75" customHeight="1">
      <c r="H8634" s="2" t="s">
        <v>40030</v>
      </c>
      <c r="I8634" s="2" t="s">
        <v>536</v>
      </c>
      <c r="J8634" s="2" t="s">
        <v>537</v>
      </c>
      <c r="K8634" s="2" t="s">
        <v>538</v>
      </c>
    </row>
    <row r="8635" ht="15.75" customHeight="1">
      <c r="F8635" s="2" t="s">
        <v>539</v>
      </c>
      <c r="H8635" s="2" t="s">
        <v>40031</v>
      </c>
      <c r="I8635" s="2" t="s">
        <v>541</v>
      </c>
      <c r="J8635" s="2" t="s">
        <v>542</v>
      </c>
      <c r="K8635" s="2" t="s">
        <v>6046</v>
      </c>
      <c r="L8635" s="2" t="s">
        <v>39555</v>
      </c>
      <c r="M8635" s="2" t="s">
        <v>40032</v>
      </c>
      <c r="N8635" s="2" t="s">
        <v>40033</v>
      </c>
      <c r="O8635" s="2" t="s">
        <v>40034</v>
      </c>
      <c r="P8635" s="2" t="s">
        <v>869</v>
      </c>
    </row>
    <row r="8636" ht="15.75" customHeight="1">
      <c r="H8636" s="2" t="s">
        <v>40035</v>
      </c>
      <c r="I8636" s="2" t="s">
        <v>2568</v>
      </c>
      <c r="J8636" s="2" t="s">
        <v>2569</v>
      </c>
      <c r="K8636" s="2" t="s">
        <v>31897</v>
      </c>
      <c r="L8636" s="2" t="s">
        <v>39555</v>
      </c>
      <c r="M8636" s="2" t="s">
        <v>40036</v>
      </c>
      <c r="N8636" s="2" t="s">
        <v>40037</v>
      </c>
      <c r="O8636" s="2" t="s">
        <v>40038</v>
      </c>
      <c r="P8636" s="2" t="s">
        <v>869</v>
      </c>
    </row>
    <row r="8637" ht="15.75" customHeight="1">
      <c r="H8637" s="2" t="s">
        <v>40039</v>
      </c>
      <c r="I8637" s="2" t="s">
        <v>2573</v>
      </c>
      <c r="J8637" s="2" t="s">
        <v>2574</v>
      </c>
      <c r="K8637" s="2" t="s">
        <v>6006</v>
      </c>
      <c r="L8637" s="2" t="s">
        <v>39555</v>
      </c>
      <c r="M8637" s="2" t="s">
        <v>40040</v>
      </c>
      <c r="N8637" s="2" t="s">
        <v>40041</v>
      </c>
      <c r="O8637" s="2" t="s">
        <v>40042</v>
      </c>
      <c r="P8637" s="2" t="s">
        <v>869</v>
      </c>
    </row>
    <row r="8638" ht="15.75" customHeight="1">
      <c r="H8638" s="2" t="s">
        <v>40043</v>
      </c>
      <c r="I8638" s="2" t="s">
        <v>257</v>
      </c>
      <c r="J8638" s="2" t="s">
        <v>258</v>
      </c>
      <c r="K8638" s="2" t="s">
        <v>24851</v>
      </c>
      <c r="L8638" s="2" t="s">
        <v>39555</v>
      </c>
      <c r="M8638" s="2" t="s">
        <v>40044</v>
      </c>
      <c r="N8638" s="2" t="s">
        <v>40045</v>
      </c>
      <c r="O8638" s="2" t="s">
        <v>40046</v>
      </c>
      <c r="P8638" s="2" t="s">
        <v>869</v>
      </c>
    </row>
    <row r="8639" ht="15.75" customHeight="1">
      <c r="F8639" s="2" t="s">
        <v>2597</v>
      </c>
      <c r="H8639" s="2" t="s">
        <v>40047</v>
      </c>
      <c r="I8639" s="2" t="s">
        <v>2624</v>
      </c>
      <c r="J8639" s="2" t="s">
        <v>2625</v>
      </c>
      <c r="K8639" s="2" t="s">
        <v>6050</v>
      </c>
      <c r="L8639" s="2" t="s">
        <v>39555</v>
      </c>
      <c r="M8639" s="2" t="s">
        <v>40048</v>
      </c>
      <c r="N8639" s="2" t="s">
        <v>40049</v>
      </c>
      <c r="O8639" s="2" t="s">
        <v>40050</v>
      </c>
      <c r="P8639" s="2" t="s">
        <v>869</v>
      </c>
    </row>
    <row r="8640" ht="15.75" customHeight="1">
      <c r="F8640" s="2" t="s">
        <v>548</v>
      </c>
      <c r="H8640" s="2" t="s">
        <v>40051</v>
      </c>
      <c r="I8640" s="2" t="s">
        <v>40052</v>
      </c>
      <c r="J8640" s="2" t="s">
        <v>40053</v>
      </c>
      <c r="K8640" s="2" t="s">
        <v>24665</v>
      </c>
      <c r="L8640" s="2" t="s">
        <v>39555</v>
      </c>
      <c r="M8640" s="2" t="s">
        <v>40054</v>
      </c>
      <c r="N8640" s="2" t="s">
        <v>40055</v>
      </c>
      <c r="O8640" s="2" t="s">
        <v>40056</v>
      </c>
      <c r="P8640" s="2" t="s">
        <v>869</v>
      </c>
    </row>
    <row r="8641" ht="15.75" customHeight="1">
      <c r="H8641" s="2" t="s">
        <v>40057</v>
      </c>
      <c r="I8641" s="2" t="s">
        <v>550</v>
      </c>
      <c r="J8641" s="2" t="s">
        <v>551</v>
      </c>
      <c r="K8641" s="2" t="s">
        <v>6050</v>
      </c>
      <c r="L8641" s="2" t="s">
        <v>39555</v>
      </c>
      <c r="M8641" s="2" t="s">
        <v>40058</v>
      </c>
      <c r="N8641" s="2" t="s">
        <v>40059</v>
      </c>
      <c r="O8641" s="2" t="s">
        <v>40060</v>
      </c>
      <c r="P8641" s="2" t="s">
        <v>869</v>
      </c>
    </row>
    <row r="8642" ht="15.75" customHeight="1">
      <c r="F8642" s="2" t="s">
        <v>2693</v>
      </c>
      <c r="H8642" s="2" t="s">
        <v>40061</v>
      </c>
      <c r="I8642" s="2" t="s">
        <v>2710</v>
      </c>
      <c r="J8642" s="2" t="s">
        <v>2711</v>
      </c>
      <c r="K8642" s="2" t="s">
        <v>6050</v>
      </c>
      <c r="L8642" s="2" t="s">
        <v>39555</v>
      </c>
      <c r="M8642" s="2" t="s">
        <v>40062</v>
      </c>
      <c r="N8642" s="2" t="s">
        <v>40063</v>
      </c>
      <c r="O8642" s="2" t="s">
        <v>40064</v>
      </c>
      <c r="P8642" s="2" t="s">
        <v>869</v>
      </c>
    </row>
    <row r="8643" ht="15.75" customHeight="1">
      <c r="F8643" s="2" t="s">
        <v>556</v>
      </c>
      <c r="H8643" s="2" t="s">
        <v>40065</v>
      </c>
      <c r="I8643" s="2" t="s">
        <v>8143</v>
      </c>
      <c r="J8643" s="2" t="s">
        <v>8143</v>
      </c>
      <c r="K8643" s="2" t="s">
        <v>970</v>
      </c>
    </row>
    <row r="8644" ht="15.75" customHeight="1">
      <c r="H8644" s="2" t="s">
        <v>40066</v>
      </c>
      <c r="I8644" s="2" t="s">
        <v>8166</v>
      </c>
      <c r="J8644" s="2" t="s">
        <v>8167</v>
      </c>
      <c r="K8644" s="2" t="s">
        <v>15868</v>
      </c>
      <c r="L8644" s="2" t="s">
        <v>39555</v>
      </c>
      <c r="M8644" s="2" t="s">
        <v>12803</v>
      </c>
      <c r="N8644" s="2" t="s">
        <v>40067</v>
      </c>
      <c r="O8644" s="2" t="s">
        <v>40068</v>
      </c>
      <c r="P8644" s="2" t="s">
        <v>869</v>
      </c>
    </row>
    <row r="8645" ht="15.75" customHeight="1">
      <c r="H8645" s="2" t="s">
        <v>40069</v>
      </c>
      <c r="I8645" s="2" t="s">
        <v>574</v>
      </c>
      <c r="J8645" s="2" t="s">
        <v>575</v>
      </c>
      <c r="K8645" s="2" t="s">
        <v>15872</v>
      </c>
      <c r="L8645" s="2" t="s">
        <v>39555</v>
      </c>
      <c r="M8645" s="2" t="s">
        <v>40070</v>
      </c>
      <c r="N8645" s="2" t="s">
        <v>40071</v>
      </c>
      <c r="O8645" s="2" t="s">
        <v>40072</v>
      </c>
      <c r="P8645" s="2" t="s">
        <v>869</v>
      </c>
    </row>
    <row r="8646" ht="15.75" customHeight="1">
      <c r="F8646" s="2" t="s">
        <v>2827</v>
      </c>
      <c r="H8646" s="2" t="s">
        <v>40073</v>
      </c>
      <c r="I8646" s="2" t="s">
        <v>2842</v>
      </c>
      <c r="J8646" s="2" t="s">
        <v>2843</v>
      </c>
      <c r="K8646" s="2" t="s">
        <v>6000</v>
      </c>
      <c r="L8646" s="2" t="s">
        <v>39555</v>
      </c>
      <c r="M8646" s="2" t="s">
        <v>40074</v>
      </c>
      <c r="N8646" s="2" t="s">
        <v>40075</v>
      </c>
      <c r="O8646" s="2" t="s">
        <v>40076</v>
      </c>
      <c r="P8646" s="2" t="s">
        <v>869</v>
      </c>
    </row>
    <row r="8647" ht="15.75" customHeight="1">
      <c r="F8647" s="2" t="s">
        <v>581</v>
      </c>
      <c r="H8647" s="2" t="s">
        <v>40077</v>
      </c>
      <c r="I8647" s="2" t="s">
        <v>583</v>
      </c>
      <c r="J8647" s="2" t="s">
        <v>584</v>
      </c>
      <c r="K8647" s="2" t="s">
        <v>15861</v>
      </c>
      <c r="L8647" s="2" t="s">
        <v>39555</v>
      </c>
      <c r="M8647" s="2" t="s">
        <v>40078</v>
      </c>
      <c r="N8647" s="2" t="s">
        <v>40079</v>
      </c>
      <c r="O8647" s="2" t="s">
        <v>40080</v>
      </c>
      <c r="P8647" s="2" t="s">
        <v>869</v>
      </c>
    </row>
    <row r="8648" ht="15.75" customHeight="1">
      <c r="H8648" s="2" t="s">
        <v>40081</v>
      </c>
      <c r="I8648" s="2" t="s">
        <v>23853</v>
      </c>
      <c r="J8648" s="2" t="s">
        <v>23854</v>
      </c>
      <c r="K8648" s="2" t="s">
        <v>24102</v>
      </c>
      <c r="L8648" s="2" t="s">
        <v>39555</v>
      </c>
      <c r="M8648" s="2" t="s">
        <v>40082</v>
      </c>
      <c r="N8648" s="2" t="s">
        <v>40083</v>
      </c>
      <c r="O8648" s="2" t="s">
        <v>40084</v>
      </c>
      <c r="P8648" s="2" t="s">
        <v>869</v>
      </c>
    </row>
    <row r="8649" ht="15.75" customHeight="1">
      <c r="H8649" s="2" t="s">
        <v>40085</v>
      </c>
      <c r="I8649" s="2" t="s">
        <v>2895</v>
      </c>
      <c r="J8649" s="2" t="s">
        <v>2896</v>
      </c>
      <c r="K8649" s="2" t="s">
        <v>22055</v>
      </c>
      <c r="L8649" s="2" t="s">
        <v>39555</v>
      </c>
      <c r="M8649" s="2" t="s">
        <v>40086</v>
      </c>
      <c r="N8649" s="2" t="s">
        <v>40087</v>
      </c>
      <c r="O8649" s="2" t="s">
        <v>40088</v>
      </c>
      <c r="P8649" s="2" t="s">
        <v>869</v>
      </c>
    </row>
    <row r="8650" ht="15.75" customHeight="1">
      <c r="F8650" s="2" t="s">
        <v>2902</v>
      </c>
      <c r="H8650" s="2" t="s">
        <v>40089</v>
      </c>
      <c r="I8650" s="2" t="s">
        <v>2925</v>
      </c>
      <c r="J8650" s="2" t="s">
        <v>2926</v>
      </c>
      <c r="K8650" s="2" t="s">
        <v>15890</v>
      </c>
      <c r="L8650" s="2" t="s">
        <v>39555</v>
      </c>
      <c r="M8650" s="2" t="s">
        <v>40090</v>
      </c>
      <c r="N8650" s="2" t="s">
        <v>40091</v>
      </c>
      <c r="O8650" s="2" t="s">
        <v>40092</v>
      </c>
      <c r="P8650" s="2" t="s">
        <v>869</v>
      </c>
    </row>
    <row r="8651" ht="15.75" customHeight="1">
      <c r="F8651" s="2" t="s">
        <v>598</v>
      </c>
      <c r="H8651" s="2" t="s">
        <v>40093</v>
      </c>
      <c r="I8651" s="2" t="s">
        <v>608</v>
      </c>
      <c r="J8651" s="2" t="s">
        <v>609</v>
      </c>
      <c r="K8651" s="2" t="s">
        <v>15868</v>
      </c>
      <c r="L8651" s="2" t="s">
        <v>40094</v>
      </c>
      <c r="M8651" s="2" t="s">
        <v>40095</v>
      </c>
      <c r="N8651" s="2" t="s">
        <v>40096</v>
      </c>
      <c r="O8651" s="2" t="s">
        <v>40097</v>
      </c>
      <c r="P8651" s="2" t="s">
        <v>869</v>
      </c>
    </row>
    <row r="8652" ht="15.75" customHeight="1">
      <c r="H8652" s="2" t="s">
        <v>40098</v>
      </c>
      <c r="I8652" s="2" t="s">
        <v>8761</v>
      </c>
      <c r="J8652" s="2" t="s">
        <v>8762</v>
      </c>
      <c r="K8652" s="2" t="s">
        <v>15872</v>
      </c>
      <c r="L8652" s="2" t="s">
        <v>39555</v>
      </c>
      <c r="M8652" s="2" t="s">
        <v>40099</v>
      </c>
      <c r="N8652" s="2" t="s">
        <v>40100</v>
      </c>
      <c r="O8652" s="2" t="s">
        <v>40101</v>
      </c>
      <c r="P8652" s="2" t="s">
        <v>869</v>
      </c>
    </row>
    <row r="8653" ht="15.75" customHeight="1">
      <c r="F8653" s="2" t="s">
        <v>3062</v>
      </c>
      <c r="H8653" s="2" t="s">
        <v>40102</v>
      </c>
      <c r="I8653" s="2" t="s">
        <v>3064</v>
      </c>
      <c r="J8653" s="2" t="s">
        <v>3065</v>
      </c>
      <c r="K8653" s="2" t="s">
        <v>15897</v>
      </c>
      <c r="L8653" s="2" t="s">
        <v>39555</v>
      </c>
      <c r="M8653" s="2" t="s">
        <v>40103</v>
      </c>
      <c r="N8653" s="2" t="s">
        <v>40104</v>
      </c>
      <c r="O8653" s="2" t="s">
        <v>40105</v>
      </c>
      <c r="P8653" s="2" t="s">
        <v>869</v>
      </c>
    </row>
    <row r="8654" ht="15.75" customHeight="1">
      <c r="F8654" s="2" t="s">
        <v>3079</v>
      </c>
      <c r="H8654" s="2" t="s">
        <v>40106</v>
      </c>
      <c r="I8654" s="2" t="s">
        <v>3101</v>
      </c>
      <c r="J8654" s="2" t="s">
        <v>3102</v>
      </c>
      <c r="K8654" s="2" t="s">
        <v>6054</v>
      </c>
      <c r="L8654" s="2" t="s">
        <v>39555</v>
      </c>
      <c r="M8654" s="2" t="s">
        <v>40107</v>
      </c>
      <c r="N8654" s="2" t="s">
        <v>40108</v>
      </c>
      <c r="O8654" s="2" t="s">
        <v>40109</v>
      </c>
      <c r="P8654" s="2" t="s">
        <v>869</v>
      </c>
    </row>
    <row r="8655" ht="15.75" customHeight="1">
      <c r="F8655" s="2" t="s">
        <v>3129</v>
      </c>
      <c r="H8655" s="2" t="s">
        <v>40110</v>
      </c>
      <c r="I8655" s="2" t="s">
        <v>3146</v>
      </c>
      <c r="J8655" s="2" t="s">
        <v>3147</v>
      </c>
      <c r="K8655" s="2" t="s">
        <v>25068</v>
      </c>
      <c r="L8655" s="2" t="s">
        <v>39555</v>
      </c>
      <c r="M8655" s="2" t="s">
        <v>40111</v>
      </c>
      <c r="N8655" s="2" t="s">
        <v>40112</v>
      </c>
      <c r="O8655" s="2" t="s">
        <v>40113</v>
      </c>
      <c r="P8655" s="2" t="s">
        <v>869</v>
      </c>
    </row>
    <row r="8656" ht="15.75" customHeight="1">
      <c r="F8656" s="2" t="s">
        <v>624</v>
      </c>
      <c r="H8656" s="2" t="s">
        <v>40114</v>
      </c>
      <c r="I8656" s="2" t="s">
        <v>3221</v>
      </c>
      <c r="J8656" s="2" t="s">
        <v>3222</v>
      </c>
      <c r="K8656" s="2" t="s">
        <v>25073</v>
      </c>
      <c r="L8656" s="2" t="s">
        <v>39555</v>
      </c>
      <c r="M8656" s="2" t="s">
        <v>40115</v>
      </c>
      <c r="N8656" s="2" t="s">
        <v>40116</v>
      </c>
      <c r="O8656" s="2" t="s">
        <v>40117</v>
      </c>
      <c r="P8656" s="2" t="s">
        <v>869</v>
      </c>
    </row>
    <row r="8657" ht="15.75" customHeight="1">
      <c r="H8657" s="2" t="s">
        <v>40118</v>
      </c>
      <c r="I8657" s="2" t="s">
        <v>12050</v>
      </c>
      <c r="J8657" s="2" t="s">
        <v>12051</v>
      </c>
      <c r="K8657" s="2" t="s">
        <v>25128</v>
      </c>
      <c r="L8657" s="2" t="s">
        <v>39555</v>
      </c>
      <c r="M8657" s="2" t="s">
        <v>40119</v>
      </c>
      <c r="N8657" s="2" t="s">
        <v>40120</v>
      </c>
      <c r="O8657" s="2" t="s">
        <v>40121</v>
      </c>
      <c r="P8657" s="2" t="s">
        <v>869</v>
      </c>
    </row>
    <row r="8658" ht="15.75" customHeight="1">
      <c r="H8658" s="2" t="s">
        <v>40122</v>
      </c>
      <c r="I8658" s="2" t="s">
        <v>3256</v>
      </c>
      <c r="J8658" s="2" t="s">
        <v>3257</v>
      </c>
      <c r="K8658" s="2" t="s">
        <v>6081</v>
      </c>
      <c r="L8658" s="2" t="s">
        <v>39555</v>
      </c>
      <c r="M8658" s="2" t="s">
        <v>40123</v>
      </c>
      <c r="N8658" s="2" t="s">
        <v>40124</v>
      </c>
      <c r="O8658" s="2" t="s">
        <v>40125</v>
      </c>
      <c r="P8658" s="2" t="s">
        <v>869</v>
      </c>
    </row>
    <row r="8659" ht="15.75" customHeight="1">
      <c r="H8659" s="2" t="s">
        <v>40126</v>
      </c>
      <c r="I8659" s="2" t="s">
        <v>40127</v>
      </c>
      <c r="J8659" s="2" t="s">
        <v>40128</v>
      </c>
      <c r="K8659" s="2" t="s">
        <v>24275</v>
      </c>
      <c r="L8659" s="2" t="s">
        <v>39555</v>
      </c>
      <c r="M8659" s="2" t="s">
        <v>40129</v>
      </c>
      <c r="N8659" s="2" t="s">
        <v>40130</v>
      </c>
      <c r="O8659" s="2" t="s">
        <v>40131</v>
      </c>
      <c r="P8659" s="2" t="s">
        <v>869</v>
      </c>
    </row>
    <row r="8660" ht="15.75" customHeight="1">
      <c r="H8660" s="2" t="s">
        <v>40132</v>
      </c>
      <c r="I8660" s="2" t="s">
        <v>34320</v>
      </c>
      <c r="J8660" s="2" t="s">
        <v>34321</v>
      </c>
      <c r="K8660" s="2" t="s">
        <v>34322</v>
      </c>
      <c r="L8660" s="2" t="s">
        <v>40133</v>
      </c>
      <c r="M8660" s="2" t="s">
        <v>40134</v>
      </c>
      <c r="N8660" s="2" t="s">
        <v>40135</v>
      </c>
      <c r="O8660" s="2" t="s">
        <v>40136</v>
      </c>
      <c r="P8660" s="2" t="s">
        <v>869</v>
      </c>
    </row>
    <row r="8661" ht="15.75" customHeight="1">
      <c r="F8661" s="2" t="s">
        <v>634</v>
      </c>
      <c r="H8661" s="2" t="s">
        <v>40137</v>
      </c>
      <c r="I8661" s="2" t="s">
        <v>40138</v>
      </c>
      <c r="J8661" s="2" t="s">
        <v>40139</v>
      </c>
      <c r="K8661" s="2" t="s">
        <v>24014</v>
      </c>
      <c r="L8661" s="2" t="s">
        <v>39555</v>
      </c>
      <c r="M8661" s="2" t="s">
        <v>40140</v>
      </c>
      <c r="N8661" s="2" t="s">
        <v>40141</v>
      </c>
      <c r="O8661" s="2" t="s">
        <v>40142</v>
      </c>
      <c r="P8661" s="2" t="s">
        <v>869</v>
      </c>
    </row>
    <row r="8662" ht="15.75" customHeight="1">
      <c r="H8662" s="2" t="s">
        <v>40143</v>
      </c>
      <c r="I8662" s="2" t="s">
        <v>644</v>
      </c>
      <c r="J8662" s="2" t="s">
        <v>645</v>
      </c>
      <c r="K8662" s="2" t="s">
        <v>6025</v>
      </c>
      <c r="L8662" s="2" t="s">
        <v>39555</v>
      </c>
      <c r="M8662" s="2" t="s">
        <v>40144</v>
      </c>
      <c r="N8662" s="2" t="s">
        <v>40145</v>
      </c>
      <c r="O8662" s="2" t="s">
        <v>40146</v>
      </c>
      <c r="P8662" s="2" t="s">
        <v>869</v>
      </c>
    </row>
    <row r="8663" ht="15.75" customHeight="1">
      <c r="H8663" s="2" t="s">
        <v>40147</v>
      </c>
      <c r="I8663" s="2" t="s">
        <v>3357</v>
      </c>
      <c r="J8663" s="2" t="s">
        <v>3358</v>
      </c>
      <c r="K8663" s="2" t="s">
        <v>6046</v>
      </c>
      <c r="L8663" s="2" t="s">
        <v>39555</v>
      </c>
      <c r="M8663" s="2" t="s">
        <v>40148</v>
      </c>
      <c r="N8663" s="2" t="s">
        <v>40149</v>
      </c>
      <c r="O8663" s="2" t="s">
        <v>40150</v>
      </c>
      <c r="P8663" s="2" t="s">
        <v>869</v>
      </c>
    </row>
    <row r="8664" ht="15.75" customHeight="1">
      <c r="F8664" s="2" t="s">
        <v>3384</v>
      </c>
      <c r="H8664" s="2" t="s">
        <v>40151</v>
      </c>
      <c r="I8664" s="2" t="s">
        <v>3401</v>
      </c>
      <c r="J8664" s="2" t="s">
        <v>3402</v>
      </c>
      <c r="K8664" s="2" t="s">
        <v>25068</v>
      </c>
      <c r="L8664" s="2" t="s">
        <v>39555</v>
      </c>
      <c r="M8664" s="2" t="s">
        <v>40152</v>
      </c>
      <c r="N8664" s="2" t="s">
        <v>40153</v>
      </c>
      <c r="O8664" s="2" t="s">
        <v>40154</v>
      </c>
      <c r="P8664" s="2" t="s">
        <v>869</v>
      </c>
    </row>
    <row r="8665" ht="15.75" customHeight="1">
      <c r="F8665" s="2" t="s">
        <v>651</v>
      </c>
      <c r="H8665" s="2" t="s">
        <v>40155</v>
      </c>
      <c r="I8665" s="2" t="s">
        <v>653</v>
      </c>
      <c r="J8665" s="2" t="s">
        <v>654</v>
      </c>
      <c r="K8665" s="2" t="s">
        <v>15868</v>
      </c>
      <c r="L8665" s="2" t="s">
        <v>39555</v>
      </c>
      <c r="M8665" s="2" t="s">
        <v>40156</v>
      </c>
      <c r="N8665" s="2" t="s">
        <v>40157</v>
      </c>
      <c r="O8665" s="2" t="s">
        <v>40158</v>
      </c>
      <c r="P8665" s="2" t="s">
        <v>869</v>
      </c>
    </row>
    <row r="8666" ht="15.75" customHeight="1">
      <c r="F8666" s="2" t="s">
        <v>3521</v>
      </c>
      <c r="H8666" s="2" t="s">
        <v>40159</v>
      </c>
      <c r="I8666" s="2" t="s">
        <v>12397</v>
      </c>
      <c r="J8666" s="2" t="s">
        <v>12398</v>
      </c>
      <c r="K8666" s="2" t="s">
        <v>24518</v>
      </c>
      <c r="L8666" s="2" t="s">
        <v>39555</v>
      </c>
      <c r="M8666" s="2" t="s">
        <v>40160</v>
      </c>
      <c r="N8666" s="2" t="s">
        <v>40161</v>
      </c>
      <c r="O8666" s="2" t="s">
        <v>40162</v>
      </c>
      <c r="P8666" s="2" t="s">
        <v>869</v>
      </c>
    </row>
    <row r="8667" ht="15.75" customHeight="1">
      <c r="H8667" s="2" t="s">
        <v>40163</v>
      </c>
      <c r="I8667" s="2" t="s">
        <v>3538</v>
      </c>
      <c r="J8667" s="2" t="s">
        <v>3539</v>
      </c>
      <c r="K8667" s="2" t="s">
        <v>25032</v>
      </c>
      <c r="L8667" s="2" t="s">
        <v>39555</v>
      </c>
      <c r="M8667" s="2" t="s">
        <v>40164</v>
      </c>
      <c r="N8667" s="2" t="s">
        <v>40165</v>
      </c>
      <c r="O8667" s="2" t="s">
        <v>40166</v>
      </c>
      <c r="P8667" s="2" t="s">
        <v>869</v>
      </c>
    </row>
    <row r="8668" ht="15.75" customHeight="1">
      <c r="H8668" s="2" t="s">
        <v>40167</v>
      </c>
      <c r="I8668" s="2" t="s">
        <v>3553</v>
      </c>
      <c r="J8668" s="2" t="s">
        <v>3554</v>
      </c>
      <c r="K8668" s="2" t="s">
        <v>24379</v>
      </c>
      <c r="L8668" s="2" t="s">
        <v>39555</v>
      </c>
      <c r="M8668" s="2" t="s">
        <v>40168</v>
      </c>
      <c r="N8668" s="2" t="s">
        <v>40169</v>
      </c>
      <c r="O8668" s="2" t="s">
        <v>40170</v>
      </c>
      <c r="P8668" s="2" t="s">
        <v>869</v>
      </c>
    </row>
    <row r="8669" ht="15.75" customHeight="1">
      <c r="F8669" s="2" t="s">
        <v>3567</v>
      </c>
      <c r="H8669" s="2" t="s">
        <v>40171</v>
      </c>
      <c r="I8669" s="2" t="s">
        <v>3569</v>
      </c>
      <c r="J8669" s="2" t="s">
        <v>3570</v>
      </c>
      <c r="K8669" s="2" t="s">
        <v>15901</v>
      </c>
      <c r="L8669" s="2" t="s">
        <v>39555</v>
      </c>
      <c r="M8669" s="2" t="s">
        <v>40172</v>
      </c>
      <c r="N8669" s="2" t="s">
        <v>40173</v>
      </c>
      <c r="O8669" s="2" t="s">
        <v>40174</v>
      </c>
      <c r="P8669" s="2" t="s">
        <v>869</v>
      </c>
    </row>
    <row r="8670" ht="15.75" customHeight="1">
      <c r="F8670" s="2" t="s">
        <v>3577</v>
      </c>
      <c r="H8670" s="2" t="s">
        <v>40175</v>
      </c>
      <c r="I8670" s="2" t="s">
        <v>3593</v>
      </c>
      <c r="J8670" s="2" t="s">
        <v>3594</v>
      </c>
      <c r="K8670" s="2" t="s">
        <v>25068</v>
      </c>
      <c r="L8670" s="2" t="s">
        <v>39555</v>
      </c>
      <c r="M8670" s="2" t="s">
        <v>3595</v>
      </c>
      <c r="N8670" s="2" t="s">
        <v>40176</v>
      </c>
      <c r="O8670" s="2" t="s">
        <v>40177</v>
      </c>
      <c r="P8670" s="2" t="s">
        <v>869</v>
      </c>
    </row>
    <row r="8671" ht="15.75" customHeight="1">
      <c r="H8671" s="2" t="s">
        <v>40178</v>
      </c>
      <c r="I8671" s="2" t="s">
        <v>40179</v>
      </c>
      <c r="J8671" s="2" t="s">
        <v>40180</v>
      </c>
      <c r="K8671" s="2" t="s">
        <v>31317</v>
      </c>
      <c r="L8671" s="2" t="s">
        <v>39555</v>
      </c>
      <c r="M8671" s="2" t="s">
        <v>40181</v>
      </c>
      <c r="N8671" s="2" t="s">
        <v>40182</v>
      </c>
      <c r="O8671" s="2" t="s">
        <v>40183</v>
      </c>
      <c r="P8671" s="2" t="s">
        <v>869</v>
      </c>
    </row>
    <row r="8672" ht="15.75" customHeight="1">
      <c r="F8672" s="2" t="s">
        <v>3605</v>
      </c>
      <c r="H8672" s="2" t="s">
        <v>40184</v>
      </c>
      <c r="I8672" s="2" t="s">
        <v>3622</v>
      </c>
      <c r="J8672" s="2" t="s">
        <v>3623</v>
      </c>
      <c r="K8672" s="2" t="s">
        <v>15796</v>
      </c>
      <c r="L8672" s="2" t="s">
        <v>39555</v>
      </c>
      <c r="M8672" s="2" t="s">
        <v>40185</v>
      </c>
      <c r="N8672" s="2" t="s">
        <v>40186</v>
      </c>
      <c r="O8672" s="2" t="s">
        <v>40187</v>
      </c>
      <c r="P8672" s="2" t="s">
        <v>869</v>
      </c>
    </row>
    <row r="8673" ht="15.75" customHeight="1">
      <c r="F8673" s="2" t="s">
        <v>3629</v>
      </c>
      <c r="H8673" s="2" t="s">
        <v>40188</v>
      </c>
      <c r="I8673" s="2" t="s">
        <v>40189</v>
      </c>
      <c r="J8673" s="2" t="s">
        <v>40189</v>
      </c>
      <c r="K8673" s="2" t="s">
        <v>874</v>
      </c>
    </row>
    <row r="8674" ht="15.75" customHeight="1">
      <c r="H8674" s="2" t="s">
        <v>40190</v>
      </c>
      <c r="I8674" s="2" t="s">
        <v>3661</v>
      </c>
      <c r="J8674" s="2" t="s">
        <v>3662</v>
      </c>
      <c r="K8674" s="2" t="s">
        <v>15861</v>
      </c>
      <c r="L8674" s="2" t="s">
        <v>39555</v>
      </c>
      <c r="M8674" s="2" t="s">
        <v>40191</v>
      </c>
      <c r="N8674" s="2" t="s">
        <v>40192</v>
      </c>
      <c r="O8674" s="2" t="s">
        <v>40193</v>
      </c>
      <c r="P8674" s="2" t="s">
        <v>869</v>
      </c>
    </row>
    <row r="8675" ht="15.75" customHeight="1">
      <c r="H8675" s="2" t="s">
        <v>40194</v>
      </c>
      <c r="I8675" s="2" t="s">
        <v>8841</v>
      </c>
      <c r="J8675" s="2" t="s">
        <v>8842</v>
      </c>
      <c r="K8675" s="2" t="s">
        <v>25032</v>
      </c>
      <c r="L8675" s="2" t="s">
        <v>39555</v>
      </c>
      <c r="M8675" s="2" t="s">
        <v>40195</v>
      </c>
      <c r="N8675" s="2" t="s">
        <v>40196</v>
      </c>
      <c r="O8675" s="2" t="s">
        <v>40197</v>
      </c>
      <c r="P8675" s="2" t="s">
        <v>869</v>
      </c>
    </row>
    <row r="8676" ht="15.75" customHeight="1">
      <c r="H8676" s="2" t="s">
        <v>40198</v>
      </c>
      <c r="I8676" s="2" t="s">
        <v>40199</v>
      </c>
      <c r="J8676" s="2" t="s">
        <v>40200</v>
      </c>
      <c r="K8676" s="2" t="s">
        <v>31344</v>
      </c>
      <c r="L8676" s="2" t="s">
        <v>39555</v>
      </c>
      <c r="M8676" s="2" t="s">
        <v>40201</v>
      </c>
      <c r="N8676" s="2" t="s">
        <v>40202</v>
      </c>
      <c r="O8676" s="2" t="s">
        <v>40203</v>
      </c>
      <c r="P8676" s="2" t="s">
        <v>869</v>
      </c>
    </row>
    <row r="8677" ht="15.75" customHeight="1">
      <c r="F8677" s="2" t="s">
        <v>3685</v>
      </c>
      <c r="H8677" s="2" t="s">
        <v>40204</v>
      </c>
      <c r="I8677" s="2" t="s">
        <v>3697</v>
      </c>
      <c r="J8677" s="2" t="s">
        <v>3698</v>
      </c>
      <c r="K8677" s="2" t="s">
        <v>6000</v>
      </c>
      <c r="L8677" s="2" t="s">
        <v>39555</v>
      </c>
      <c r="M8677" s="2" t="s">
        <v>40205</v>
      </c>
      <c r="N8677" s="2" t="s">
        <v>40206</v>
      </c>
      <c r="O8677" s="2" t="s">
        <v>40207</v>
      </c>
      <c r="P8677" s="2" t="s">
        <v>869</v>
      </c>
    </row>
    <row r="8678" ht="15.75" customHeight="1">
      <c r="F8678" s="2" t="s">
        <v>660</v>
      </c>
      <c r="H8678" s="2" t="s">
        <v>40208</v>
      </c>
      <c r="I8678" s="2" t="s">
        <v>9751</v>
      </c>
      <c r="J8678" s="2" t="s">
        <v>9752</v>
      </c>
      <c r="K8678" s="2" t="s">
        <v>24561</v>
      </c>
      <c r="L8678" s="2" t="s">
        <v>39555</v>
      </c>
      <c r="M8678" s="2" t="s">
        <v>40209</v>
      </c>
      <c r="N8678" s="2" t="s">
        <v>40210</v>
      </c>
      <c r="O8678" s="2" t="s">
        <v>40211</v>
      </c>
      <c r="P8678" s="2" t="s">
        <v>869</v>
      </c>
    </row>
    <row r="8679" ht="15.75" customHeight="1">
      <c r="H8679" s="2" t="s">
        <v>40212</v>
      </c>
      <c r="I8679" s="2" t="s">
        <v>3727</v>
      </c>
      <c r="J8679" s="2" t="s">
        <v>3728</v>
      </c>
      <c r="K8679" s="2" t="s">
        <v>15868</v>
      </c>
      <c r="L8679" s="2" t="s">
        <v>39555</v>
      </c>
      <c r="M8679" s="2" t="s">
        <v>40213</v>
      </c>
      <c r="N8679" s="2" t="s">
        <v>40214</v>
      </c>
      <c r="O8679" s="2" t="s">
        <v>40215</v>
      </c>
      <c r="P8679" s="2" t="s">
        <v>869</v>
      </c>
    </row>
    <row r="8680" ht="15.75" customHeight="1">
      <c r="H8680" s="2" t="s">
        <v>40216</v>
      </c>
      <c r="I8680" s="2" t="s">
        <v>3732</v>
      </c>
      <c r="J8680" s="2" t="s">
        <v>3733</v>
      </c>
      <c r="K8680" s="2" t="s">
        <v>15805</v>
      </c>
      <c r="L8680" s="2" t="s">
        <v>39555</v>
      </c>
      <c r="M8680" s="2" t="s">
        <v>40217</v>
      </c>
      <c r="N8680" s="2" t="s">
        <v>40218</v>
      </c>
      <c r="O8680" s="2" t="s">
        <v>40219</v>
      </c>
      <c r="P8680" s="2" t="s">
        <v>869</v>
      </c>
    </row>
    <row r="8681" ht="15.75" customHeight="1">
      <c r="H8681" s="2" t="s">
        <v>40220</v>
      </c>
      <c r="I8681" s="2" t="s">
        <v>662</v>
      </c>
      <c r="J8681" s="2" t="s">
        <v>663</v>
      </c>
      <c r="K8681" s="2" t="s">
        <v>15809</v>
      </c>
      <c r="L8681" s="2" t="s">
        <v>39555</v>
      </c>
      <c r="M8681" s="2" t="s">
        <v>40221</v>
      </c>
      <c r="N8681" s="2" t="s">
        <v>40222</v>
      </c>
      <c r="O8681" s="2" t="s">
        <v>40223</v>
      </c>
      <c r="P8681" s="2" t="s">
        <v>869</v>
      </c>
    </row>
    <row r="8682" ht="15.75" customHeight="1">
      <c r="H8682" s="2" t="s">
        <v>40224</v>
      </c>
      <c r="I8682" s="2" t="s">
        <v>670</v>
      </c>
      <c r="J8682" s="2" t="s">
        <v>671</v>
      </c>
      <c r="K8682" s="2" t="s">
        <v>6068</v>
      </c>
      <c r="L8682" s="2" t="s">
        <v>39555</v>
      </c>
      <c r="M8682" s="2" t="s">
        <v>40225</v>
      </c>
      <c r="N8682" s="2" t="s">
        <v>40226</v>
      </c>
      <c r="O8682" s="2" t="s">
        <v>40227</v>
      </c>
      <c r="P8682" s="2" t="s">
        <v>869</v>
      </c>
    </row>
    <row r="8683" ht="15.75" customHeight="1">
      <c r="F8683" s="2" t="s">
        <v>3762</v>
      </c>
      <c r="H8683" s="2" t="s">
        <v>40228</v>
      </c>
      <c r="I8683" s="2" t="s">
        <v>3809</v>
      </c>
      <c r="J8683" s="2" t="s">
        <v>3810</v>
      </c>
      <c r="K8683" s="2" t="s">
        <v>24137</v>
      </c>
      <c r="L8683" s="2" t="s">
        <v>39555</v>
      </c>
      <c r="M8683" s="2" t="s">
        <v>40229</v>
      </c>
      <c r="N8683" s="2" t="s">
        <v>40230</v>
      </c>
      <c r="O8683" s="2" t="s">
        <v>40231</v>
      </c>
      <c r="P8683" s="2" t="s">
        <v>869</v>
      </c>
    </row>
    <row r="8684" ht="15.75" customHeight="1">
      <c r="H8684" s="2" t="s">
        <v>40232</v>
      </c>
      <c r="I8684" s="2" t="s">
        <v>30932</v>
      </c>
      <c r="J8684" s="2" t="s">
        <v>30933</v>
      </c>
      <c r="K8684" s="2" t="s">
        <v>24679</v>
      </c>
      <c r="L8684" s="2" t="s">
        <v>39555</v>
      </c>
      <c r="M8684" s="2" t="s">
        <v>40233</v>
      </c>
      <c r="N8684" s="2" t="s">
        <v>40234</v>
      </c>
      <c r="O8684" s="2" t="s">
        <v>40235</v>
      </c>
      <c r="P8684" s="2" t="s">
        <v>869</v>
      </c>
    </row>
    <row r="8685" ht="15.75" customHeight="1">
      <c r="F8685" s="2" t="s">
        <v>677</v>
      </c>
      <c r="H8685" s="2" t="s">
        <v>40236</v>
      </c>
      <c r="I8685" s="2" t="s">
        <v>10041</v>
      </c>
      <c r="J8685" s="2" t="s">
        <v>10042</v>
      </c>
      <c r="K8685" s="2" t="s">
        <v>6019</v>
      </c>
      <c r="L8685" s="2" t="s">
        <v>40237</v>
      </c>
      <c r="M8685" s="2" t="s">
        <v>40238</v>
      </c>
      <c r="N8685" s="2" t="s">
        <v>40239</v>
      </c>
      <c r="O8685" s="2" t="s">
        <v>40240</v>
      </c>
      <c r="P8685" s="2" t="s">
        <v>869</v>
      </c>
    </row>
    <row r="8686" ht="15.75" customHeight="1">
      <c r="H8686" s="2" t="s">
        <v>40241</v>
      </c>
      <c r="I8686" s="2" t="s">
        <v>679</v>
      </c>
      <c r="J8686" s="2" t="s">
        <v>680</v>
      </c>
      <c r="K8686" s="2" t="s">
        <v>6062</v>
      </c>
      <c r="L8686" s="2" t="s">
        <v>40242</v>
      </c>
      <c r="M8686" s="2" t="s">
        <v>40243</v>
      </c>
      <c r="N8686" s="2" t="s">
        <v>40244</v>
      </c>
      <c r="O8686" s="2" t="s">
        <v>40245</v>
      </c>
      <c r="P8686" s="2" t="s">
        <v>869</v>
      </c>
    </row>
    <row r="8687" ht="15.75" customHeight="1">
      <c r="F8687" s="2" t="s">
        <v>694</v>
      </c>
      <c r="H8687" s="2" t="s">
        <v>40246</v>
      </c>
      <c r="I8687" s="2" t="s">
        <v>696</v>
      </c>
      <c r="J8687" s="2" t="s">
        <v>697</v>
      </c>
      <c r="K8687" s="2" t="s">
        <v>15809</v>
      </c>
      <c r="L8687" s="2" t="s">
        <v>40247</v>
      </c>
      <c r="M8687" s="2" t="s">
        <v>40248</v>
      </c>
      <c r="N8687" s="2" t="s">
        <v>40249</v>
      </c>
      <c r="O8687" s="2" t="s">
        <v>40250</v>
      </c>
      <c r="P8687" s="2" t="s">
        <v>869</v>
      </c>
    </row>
    <row r="8688" ht="15.75" customHeight="1">
      <c r="F8688" s="2" t="s">
        <v>3972</v>
      </c>
      <c r="H8688" s="2" t="s">
        <v>40251</v>
      </c>
      <c r="I8688" s="2" t="s">
        <v>4001</v>
      </c>
      <c r="J8688" s="2" t="s">
        <v>4002</v>
      </c>
      <c r="K8688" s="2" t="s">
        <v>6054</v>
      </c>
      <c r="L8688" s="2" t="s">
        <v>39555</v>
      </c>
      <c r="M8688" s="2" t="s">
        <v>20873</v>
      </c>
      <c r="N8688" s="2" t="s">
        <v>40252</v>
      </c>
      <c r="O8688" s="2" t="s">
        <v>40253</v>
      </c>
      <c r="P8688" s="2" t="s">
        <v>869</v>
      </c>
    </row>
    <row r="8689" ht="15.75" customHeight="1">
      <c r="F8689" s="2" t="s">
        <v>703</v>
      </c>
      <c r="H8689" s="2" t="s">
        <v>40254</v>
      </c>
      <c r="I8689" s="2" t="s">
        <v>705</v>
      </c>
      <c r="J8689" s="2" t="s">
        <v>706</v>
      </c>
      <c r="K8689" s="2" t="s">
        <v>6025</v>
      </c>
      <c r="L8689" s="2" t="s">
        <v>39555</v>
      </c>
      <c r="M8689" s="2" t="s">
        <v>40255</v>
      </c>
      <c r="N8689" s="2" t="s">
        <v>40256</v>
      </c>
      <c r="O8689" s="2" t="s">
        <v>40257</v>
      </c>
      <c r="P8689" s="2" t="s">
        <v>869</v>
      </c>
    </row>
    <row r="8690" ht="15.75" customHeight="1">
      <c r="H8690" s="2" t="s">
        <v>40258</v>
      </c>
      <c r="I8690" s="2" t="s">
        <v>40259</v>
      </c>
      <c r="J8690" s="2" t="s">
        <v>40260</v>
      </c>
      <c r="K8690" s="2" t="s">
        <v>5995</v>
      </c>
      <c r="L8690" s="2" t="s">
        <v>39555</v>
      </c>
      <c r="M8690" s="2" t="s">
        <v>40261</v>
      </c>
      <c r="N8690" s="2" t="s">
        <v>40262</v>
      </c>
      <c r="O8690" s="2" t="s">
        <v>40263</v>
      </c>
      <c r="P8690" s="2" t="s">
        <v>869</v>
      </c>
    </row>
    <row r="8691" ht="15.75" customHeight="1">
      <c r="H8691" s="2" t="s">
        <v>40264</v>
      </c>
      <c r="I8691" s="2" t="s">
        <v>713</v>
      </c>
      <c r="J8691" s="2" t="s">
        <v>714</v>
      </c>
      <c r="K8691" s="2" t="s">
        <v>15809</v>
      </c>
      <c r="L8691" s="2" t="s">
        <v>40265</v>
      </c>
      <c r="M8691" s="2" t="s">
        <v>40266</v>
      </c>
      <c r="N8691" s="2" t="s">
        <v>40267</v>
      </c>
      <c r="O8691" s="2" t="s">
        <v>40268</v>
      </c>
      <c r="P8691" s="2" t="s">
        <v>869</v>
      </c>
    </row>
    <row r="8692" ht="15.75" customHeight="1">
      <c r="H8692" s="2" t="s">
        <v>40269</v>
      </c>
      <c r="I8692" s="2" t="s">
        <v>14122</v>
      </c>
      <c r="J8692" s="2" t="s">
        <v>14123</v>
      </c>
      <c r="K8692" s="2" t="s">
        <v>22050</v>
      </c>
      <c r="L8692" s="2" t="s">
        <v>39555</v>
      </c>
      <c r="M8692" s="2" t="s">
        <v>40270</v>
      </c>
      <c r="N8692" s="2" t="s">
        <v>40271</v>
      </c>
      <c r="O8692" s="2" t="s">
        <v>40272</v>
      </c>
      <c r="P8692" s="2" t="s">
        <v>869</v>
      </c>
    </row>
    <row r="8693" ht="15.75" customHeight="1">
      <c r="H8693" s="2" t="s">
        <v>40273</v>
      </c>
      <c r="I8693" s="2" t="s">
        <v>4060</v>
      </c>
      <c r="J8693" s="2" t="s">
        <v>4061</v>
      </c>
      <c r="K8693" s="2" t="s">
        <v>31469</v>
      </c>
      <c r="L8693" s="2" t="s">
        <v>39555</v>
      </c>
      <c r="M8693" s="2" t="s">
        <v>40274</v>
      </c>
      <c r="N8693" s="2" t="s">
        <v>40275</v>
      </c>
      <c r="O8693" s="2" t="s">
        <v>40276</v>
      </c>
      <c r="P8693" s="2" t="s">
        <v>869</v>
      </c>
    </row>
    <row r="8694" ht="15.75" customHeight="1">
      <c r="H8694" s="2" t="s">
        <v>40277</v>
      </c>
      <c r="I8694" s="2" t="s">
        <v>4065</v>
      </c>
      <c r="J8694" s="2" t="s">
        <v>4066</v>
      </c>
      <c r="K8694" s="2" t="s">
        <v>6062</v>
      </c>
      <c r="L8694" s="2" t="s">
        <v>39555</v>
      </c>
      <c r="M8694" s="2" t="s">
        <v>40278</v>
      </c>
      <c r="N8694" s="2" t="s">
        <v>40279</v>
      </c>
      <c r="O8694" s="2" t="s">
        <v>40280</v>
      </c>
      <c r="P8694" s="2" t="s">
        <v>869</v>
      </c>
    </row>
    <row r="8695" ht="15.75" customHeight="1">
      <c r="F8695" s="2" t="s">
        <v>728</v>
      </c>
      <c r="H8695" s="2" t="s">
        <v>40281</v>
      </c>
      <c r="I8695" s="2" t="s">
        <v>10316</v>
      </c>
      <c r="J8695" s="2" t="s">
        <v>10317</v>
      </c>
      <c r="K8695" s="2" t="s">
        <v>24414</v>
      </c>
      <c r="L8695" s="2" t="s">
        <v>39555</v>
      </c>
      <c r="M8695" s="2" t="s">
        <v>40282</v>
      </c>
      <c r="N8695" s="2" t="s">
        <v>40283</v>
      </c>
      <c r="O8695" s="2" t="s">
        <v>40284</v>
      </c>
      <c r="P8695" s="2" t="s">
        <v>869</v>
      </c>
    </row>
    <row r="8696" ht="15.75" customHeight="1">
      <c r="H8696" s="2" t="s">
        <v>40285</v>
      </c>
      <c r="I8696" s="2" t="s">
        <v>730</v>
      </c>
      <c r="J8696" s="2" t="s">
        <v>731</v>
      </c>
      <c r="K8696" s="2" t="s">
        <v>25073</v>
      </c>
      <c r="L8696" s="2" t="s">
        <v>39555</v>
      </c>
      <c r="M8696" s="2" t="s">
        <v>40286</v>
      </c>
      <c r="N8696" s="2" t="s">
        <v>40287</v>
      </c>
      <c r="O8696" s="2" t="s">
        <v>40288</v>
      </c>
      <c r="P8696" s="2" t="s">
        <v>869</v>
      </c>
    </row>
    <row r="8697" ht="15.75" customHeight="1">
      <c r="H8697" s="2" t="s">
        <v>40289</v>
      </c>
      <c r="I8697" s="2" t="s">
        <v>4096</v>
      </c>
      <c r="J8697" s="2" t="s">
        <v>4097</v>
      </c>
      <c r="K8697" s="2" t="s">
        <v>15890</v>
      </c>
      <c r="L8697" s="2" t="s">
        <v>39555</v>
      </c>
      <c r="M8697" s="2" t="s">
        <v>40290</v>
      </c>
      <c r="N8697" s="2" t="s">
        <v>40291</v>
      </c>
      <c r="O8697" s="2" t="s">
        <v>40292</v>
      </c>
      <c r="P8697" s="2" t="s">
        <v>869</v>
      </c>
    </row>
    <row r="8698" ht="15.75" customHeight="1">
      <c r="H8698" s="2" t="s">
        <v>40293</v>
      </c>
      <c r="I8698" s="2" t="s">
        <v>40294</v>
      </c>
      <c r="J8698" s="2" t="s">
        <v>40295</v>
      </c>
      <c r="K8698" s="2" t="s">
        <v>15809</v>
      </c>
      <c r="L8698" s="2" t="s">
        <v>39555</v>
      </c>
      <c r="M8698" s="2" t="s">
        <v>40296</v>
      </c>
      <c r="N8698" s="2" t="s">
        <v>40297</v>
      </c>
      <c r="O8698" s="2" t="s">
        <v>40298</v>
      </c>
      <c r="P8698" s="2" t="s">
        <v>869</v>
      </c>
    </row>
    <row r="8699" ht="15.75" customHeight="1">
      <c r="F8699" s="2" t="s">
        <v>4115</v>
      </c>
      <c r="H8699" s="2" t="s">
        <v>40299</v>
      </c>
      <c r="I8699" s="2" t="s">
        <v>40300</v>
      </c>
      <c r="J8699" s="2" t="s">
        <v>40301</v>
      </c>
      <c r="K8699" s="2" t="s">
        <v>5995</v>
      </c>
      <c r="L8699" s="2" t="s">
        <v>39555</v>
      </c>
      <c r="M8699" s="2" t="s">
        <v>40302</v>
      </c>
      <c r="N8699" s="2" t="s">
        <v>40303</v>
      </c>
      <c r="O8699" s="2" t="s">
        <v>40304</v>
      </c>
      <c r="P8699" s="2" t="s">
        <v>869</v>
      </c>
    </row>
    <row r="8700" ht="15.75" customHeight="1">
      <c r="H8700" s="2" t="s">
        <v>40305</v>
      </c>
      <c r="I8700" s="2" t="s">
        <v>27966</v>
      </c>
      <c r="J8700" s="2" t="s">
        <v>27967</v>
      </c>
      <c r="K8700" s="2" t="s">
        <v>22104</v>
      </c>
      <c r="L8700" s="2" t="s">
        <v>39555</v>
      </c>
      <c r="M8700" s="2" t="s">
        <v>40306</v>
      </c>
      <c r="N8700" s="2" t="s">
        <v>40307</v>
      </c>
      <c r="O8700" s="2" t="s">
        <v>40308</v>
      </c>
      <c r="P8700" s="2" t="s">
        <v>869</v>
      </c>
    </row>
    <row r="8701" ht="15.75" customHeight="1">
      <c r="H8701" s="2" t="s">
        <v>40309</v>
      </c>
      <c r="I8701" s="2" t="s">
        <v>4147</v>
      </c>
      <c r="J8701" s="2" t="s">
        <v>4148</v>
      </c>
      <c r="K8701" s="2" t="s">
        <v>22055</v>
      </c>
      <c r="L8701" s="2" t="s">
        <v>40310</v>
      </c>
      <c r="M8701" s="2" t="s">
        <v>4149</v>
      </c>
      <c r="N8701" s="2" t="s">
        <v>40311</v>
      </c>
      <c r="O8701" s="2" t="s">
        <v>40312</v>
      </c>
      <c r="P8701" s="2" t="s">
        <v>869</v>
      </c>
    </row>
    <row r="8702" ht="15.75" customHeight="1">
      <c r="F8702" s="2" t="s">
        <v>4180</v>
      </c>
      <c r="H8702" s="2" t="s">
        <v>40313</v>
      </c>
      <c r="I8702" s="2" t="s">
        <v>4215</v>
      </c>
      <c r="J8702" s="2" t="s">
        <v>4216</v>
      </c>
      <c r="K8702" s="2" t="s">
        <v>25032</v>
      </c>
      <c r="L8702" s="2" t="s">
        <v>39555</v>
      </c>
      <c r="M8702" s="2" t="s">
        <v>40314</v>
      </c>
      <c r="N8702" s="2" t="s">
        <v>40315</v>
      </c>
      <c r="O8702" s="2" t="s">
        <v>40316</v>
      </c>
      <c r="P8702" s="2" t="s">
        <v>869</v>
      </c>
    </row>
    <row r="8703" ht="15.75" customHeight="1">
      <c r="F8703" s="2" t="s">
        <v>737</v>
      </c>
      <c r="H8703" s="2" t="s">
        <v>40317</v>
      </c>
      <c r="I8703" s="2" t="s">
        <v>4237</v>
      </c>
      <c r="J8703" s="2" t="s">
        <v>4238</v>
      </c>
      <c r="K8703" s="2" t="s">
        <v>25032</v>
      </c>
      <c r="L8703" s="2" t="s">
        <v>39555</v>
      </c>
      <c r="M8703" s="2" t="s">
        <v>40318</v>
      </c>
      <c r="N8703" s="2" t="s">
        <v>40319</v>
      </c>
      <c r="O8703" s="2" t="s">
        <v>40320</v>
      </c>
      <c r="P8703" s="2" t="s">
        <v>869</v>
      </c>
    </row>
    <row r="8704" ht="15.75" customHeight="1">
      <c r="H8704" s="2" t="s">
        <v>40321</v>
      </c>
      <c r="I8704" s="2" t="s">
        <v>739</v>
      </c>
      <c r="J8704" s="2" t="s">
        <v>740</v>
      </c>
      <c r="K8704" s="2" t="s">
        <v>31344</v>
      </c>
      <c r="L8704" s="2" t="s">
        <v>39555</v>
      </c>
      <c r="M8704" s="2" t="s">
        <v>40322</v>
      </c>
      <c r="N8704" s="2" t="s">
        <v>40323</v>
      </c>
      <c r="O8704" s="2" t="s">
        <v>40324</v>
      </c>
      <c r="P8704" s="2" t="s">
        <v>869</v>
      </c>
    </row>
    <row r="8705" ht="15.75" customHeight="1">
      <c r="F8705" s="2" t="s">
        <v>746</v>
      </c>
      <c r="H8705" s="2" t="s">
        <v>40325</v>
      </c>
      <c r="I8705" s="2" t="s">
        <v>4260</v>
      </c>
      <c r="J8705" s="2" t="s">
        <v>4261</v>
      </c>
      <c r="K8705" s="2" t="s">
        <v>24665</v>
      </c>
      <c r="L8705" s="2" t="s">
        <v>39555</v>
      </c>
      <c r="M8705" s="2" t="s">
        <v>40326</v>
      </c>
      <c r="N8705" s="2" t="s">
        <v>40327</v>
      </c>
      <c r="O8705" s="2" t="s">
        <v>40328</v>
      </c>
      <c r="P8705" s="2" t="s">
        <v>869</v>
      </c>
    </row>
    <row r="8706" ht="15.75" customHeight="1">
      <c r="H8706" s="2" t="s">
        <v>40329</v>
      </c>
      <c r="I8706" s="2" t="s">
        <v>40330</v>
      </c>
      <c r="J8706" s="2" t="s">
        <v>40331</v>
      </c>
      <c r="K8706" s="2" t="s">
        <v>25009</v>
      </c>
      <c r="L8706" s="2" t="s">
        <v>39555</v>
      </c>
      <c r="M8706" s="2" t="s">
        <v>40332</v>
      </c>
      <c r="N8706" s="2" t="s">
        <v>40333</v>
      </c>
      <c r="O8706" s="2" t="s">
        <v>40334</v>
      </c>
      <c r="P8706" s="2" t="s">
        <v>869</v>
      </c>
    </row>
    <row r="8707" ht="15.75" customHeight="1">
      <c r="H8707" s="2" t="s">
        <v>40335</v>
      </c>
      <c r="I8707" s="2" t="s">
        <v>4282</v>
      </c>
      <c r="J8707" s="2" t="s">
        <v>4283</v>
      </c>
      <c r="K8707" s="2" t="s">
        <v>6046</v>
      </c>
      <c r="L8707" s="2" t="s">
        <v>39555</v>
      </c>
      <c r="M8707" s="2" t="s">
        <v>40336</v>
      </c>
      <c r="N8707" s="2" t="s">
        <v>40337</v>
      </c>
      <c r="O8707" s="2" t="s">
        <v>40338</v>
      </c>
      <c r="P8707" s="2" t="s">
        <v>869</v>
      </c>
    </row>
    <row r="8708" ht="15.75" customHeight="1">
      <c r="H8708" s="2" t="s">
        <v>40339</v>
      </c>
      <c r="I8708" s="2" t="s">
        <v>4323</v>
      </c>
      <c r="J8708" s="2" t="s">
        <v>4324</v>
      </c>
      <c r="K8708" s="2" t="s">
        <v>6041</v>
      </c>
      <c r="L8708" s="2" t="s">
        <v>39555</v>
      </c>
      <c r="M8708" s="2" t="s">
        <v>40340</v>
      </c>
      <c r="N8708" s="2" t="s">
        <v>40341</v>
      </c>
      <c r="O8708" s="2" t="s">
        <v>40342</v>
      </c>
      <c r="P8708" s="2" t="s">
        <v>869</v>
      </c>
    </row>
    <row r="8709" ht="15.75" customHeight="1">
      <c r="H8709" s="2" t="s">
        <v>40343</v>
      </c>
      <c r="I8709" s="2" t="s">
        <v>10643</v>
      </c>
      <c r="J8709" s="2" t="s">
        <v>10644</v>
      </c>
      <c r="K8709" s="2" t="s">
        <v>24851</v>
      </c>
      <c r="L8709" s="2" t="s">
        <v>39555</v>
      </c>
      <c r="M8709" s="2" t="s">
        <v>40344</v>
      </c>
      <c r="N8709" s="2" t="s">
        <v>40345</v>
      </c>
      <c r="O8709" s="2" t="s">
        <v>40346</v>
      </c>
      <c r="P8709" s="2" t="s">
        <v>869</v>
      </c>
    </row>
    <row r="8710" ht="15.75" customHeight="1">
      <c r="F8710" s="2" t="s">
        <v>4353</v>
      </c>
      <c r="H8710" s="2" t="s">
        <v>40347</v>
      </c>
      <c r="I8710" s="2" t="s">
        <v>4395</v>
      </c>
      <c r="J8710" s="2" t="s">
        <v>4396</v>
      </c>
      <c r="K8710" s="2" t="s">
        <v>24679</v>
      </c>
      <c r="L8710" s="2" t="s">
        <v>39555</v>
      </c>
      <c r="M8710" s="2" t="s">
        <v>40348</v>
      </c>
      <c r="N8710" s="2" t="s">
        <v>40349</v>
      </c>
      <c r="O8710" s="2" t="s">
        <v>40350</v>
      </c>
      <c r="P8710" s="2" t="s">
        <v>869</v>
      </c>
    </row>
    <row r="8711" ht="15.75" customHeight="1">
      <c r="H8711" s="2" t="s">
        <v>40351</v>
      </c>
      <c r="I8711" s="2" t="s">
        <v>6072</v>
      </c>
      <c r="J8711" s="2" t="s">
        <v>6073</v>
      </c>
      <c r="K8711" s="2" t="s">
        <v>6074</v>
      </c>
      <c r="L8711" s="2" t="s">
        <v>40352</v>
      </c>
      <c r="M8711" s="2" t="s">
        <v>40353</v>
      </c>
      <c r="N8711" s="2" t="s">
        <v>40354</v>
      </c>
      <c r="O8711" s="2" t="s">
        <v>40355</v>
      </c>
      <c r="P8711" s="2" t="s">
        <v>869</v>
      </c>
    </row>
    <row r="8712" ht="15.75" customHeight="1">
      <c r="F8712" s="2" t="s">
        <v>4491</v>
      </c>
      <c r="H8712" s="2" t="s">
        <v>40356</v>
      </c>
      <c r="I8712" s="2" t="s">
        <v>4503</v>
      </c>
      <c r="J8712" s="2" t="s">
        <v>4504</v>
      </c>
      <c r="K8712" s="2" t="s">
        <v>24414</v>
      </c>
      <c r="L8712" s="2" t="s">
        <v>39555</v>
      </c>
      <c r="M8712" s="2" t="s">
        <v>21360</v>
      </c>
      <c r="N8712" s="2" t="s">
        <v>40357</v>
      </c>
      <c r="O8712" s="2" t="s">
        <v>40358</v>
      </c>
      <c r="P8712" s="2" t="s">
        <v>869</v>
      </c>
    </row>
    <row r="8713" ht="15.75" customHeight="1">
      <c r="H8713" s="2" t="s">
        <v>40359</v>
      </c>
      <c r="I8713" s="2" t="s">
        <v>4513</v>
      </c>
      <c r="J8713" s="2" t="s">
        <v>4514</v>
      </c>
      <c r="K8713" s="2" t="s">
        <v>31317</v>
      </c>
      <c r="L8713" s="2" t="s">
        <v>39555</v>
      </c>
      <c r="M8713" s="2" t="s">
        <v>40360</v>
      </c>
      <c r="N8713" s="2" t="s">
        <v>40361</v>
      </c>
      <c r="O8713" s="2" t="s">
        <v>40362</v>
      </c>
      <c r="P8713" s="2" t="s">
        <v>869</v>
      </c>
    </row>
    <row r="8714" ht="15.75" customHeight="1">
      <c r="H8714" s="2" t="s">
        <v>40363</v>
      </c>
      <c r="I8714" s="2" t="s">
        <v>10786</v>
      </c>
      <c r="J8714" s="2" t="s">
        <v>10787</v>
      </c>
      <c r="K8714" s="2" t="s">
        <v>22055</v>
      </c>
      <c r="L8714" s="2" t="s">
        <v>39555</v>
      </c>
      <c r="M8714" s="2" t="s">
        <v>40364</v>
      </c>
      <c r="N8714" s="2" t="s">
        <v>40365</v>
      </c>
      <c r="O8714" s="2" t="s">
        <v>40366</v>
      </c>
      <c r="P8714" s="2" t="s">
        <v>869</v>
      </c>
    </row>
    <row r="8715" ht="15.75" customHeight="1">
      <c r="F8715" s="2" t="s">
        <v>4544</v>
      </c>
      <c r="H8715" s="2" t="s">
        <v>40367</v>
      </c>
      <c r="I8715" s="2" t="s">
        <v>4556</v>
      </c>
      <c r="J8715" s="2" t="s">
        <v>4557</v>
      </c>
      <c r="K8715" s="2" t="s">
        <v>6050</v>
      </c>
      <c r="L8715" s="2" t="s">
        <v>39555</v>
      </c>
      <c r="M8715" s="2" t="s">
        <v>40368</v>
      </c>
      <c r="N8715" s="2" t="s">
        <v>40369</v>
      </c>
      <c r="O8715" s="2" t="s">
        <v>40370</v>
      </c>
      <c r="P8715" s="2" t="s">
        <v>869</v>
      </c>
    </row>
    <row r="8716" ht="15.75" customHeight="1">
      <c r="H8716" s="2" t="s">
        <v>40371</v>
      </c>
      <c r="I8716" s="2" t="s">
        <v>10908</v>
      </c>
      <c r="J8716" s="2" t="s">
        <v>10909</v>
      </c>
      <c r="K8716" s="2" t="s">
        <v>31317</v>
      </c>
      <c r="L8716" s="2" t="s">
        <v>39555</v>
      </c>
      <c r="M8716" s="2" t="s">
        <v>40372</v>
      </c>
      <c r="N8716" s="2" t="s">
        <v>40373</v>
      </c>
      <c r="O8716" s="2" t="s">
        <v>40374</v>
      </c>
      <c r="P8716" s="2" t="s">
        <v>869</v>
      </c>
    </row>
    <row r="8717" ht="15.75" customHeight="1">
      <c r="F8717" s="2" t="s">
        <v>4576</v>
      </c>
      <c r="H8717" s="2" t="s">
        <v>40375</v>
      </c>
      <c r="I8717" s="2" t="s">
        <v>4589</v>
      </c>
      <c r="J8717" s="2" t="s">
        <v>4590</v>
      </c>
      <c r="K8717" s="2" t="s">
        <v>25032</v>
      </c>
      <c r="L8717" s="2" t="s">
        <v>39555</v>
      </c>
      <c r="M8717" s="2" t="s">
        <v>40376</v>
      </c>
      <c r="N8717" s="2" t="s">
        <v>40377</v>
      </c>
      <c r="O8717" s="2" t="s">
        <v>40378</v>
      </c>
      <c r="P8717" s="2" t="s">
        <v>869</v>
      </c>
    </row>
    <row r="8718" ht="15.75" customHeight="1">
      <c r="F8718" s="2" t="s">
        <v>755</v>
      </c>
      <c r="H8718" s="2" t="s">
        <v>40379</v>
      </c>
      <c r="I8718" s="2" t="s">
        <v>40380</v>
      </c>
      <c r="J8718" s="2" t="s">
        <v>40381</v>
      </c>
      <c r="K8718" s="2" t="s">
        <v>25133</v>
      </c>
      <c r="L8718" s="2" t="s">
        <v>39555</v>
      </c>
      <c r="M8718" s="2" t="s">
        <v>40382</v>
      </c>
      <c r="N8718" s="2" t="s">
        <v>40383</v>
      </c>
      <c r="O8718" s="2" t="s">
        <v>40384</v>
      </c>
      <c r="P8718" s="2" t="s">
        <v>869</v>
      </c>
    </row>
    <row r="8719" ht="15.75" customHeight="1">
      <c r="H8719" s="2" t="s">
        <v>40385</v>
      </c>
      <c r="I8719" s="2" t="s">
        <v>1759</v>
      </c>
      <c r="J8719" s="2" t="s">
        <v>1760</v>
      </c>
      <c r="K8719" s="2" t="s">
        <v>15872</v>
      </c>
      <c r="L8719" s="2" t="s">
        <v>39555</v>
      </c>
      <c r="M8719" s="2" t="s">
        <v>40386</v>
      </c>
      <c r="N8719" s="2" t="s">
        <v>40387</v>
      </c>
      <c r="O8719" s="2" t="s">
        <v>40388</v>
      </c>
      <c r="P8719" s="2" t="s">
        <v>869</v>
      </c>
    </row>
    <row r="8720" ht="15.75" customHeight="1">
      <c r="H8720" s="2" t="s">
        <v>40389</v>
      </c>
      <c r="I8720" s="2" t="s">
        <v>4640</v>
      </c>
      <c r="J8720" s="2" t="s">
        <v>4641</v>
      </c>
      <c r="K8720" s="2" t="s">
        <v>24275</v>
      </c>
      <c r="L8720" s="2" t="s">
        <v>39555</v>
      </c>
      <c r="M8720" s="2" t="s">
        <v>40390</v>
      </c>
      <c r="N8720" s="2" t="s">
        <v>40391</v>
      </c>
      <c r="O8720" s="2" t="s">
        <v>40392</v>
      </c>
      <c r="P8720" s="2" t="s">
        <v>869</v>
      </c>
    </row>
    <row r="8721" ht="15.75" customHeight="1">
      <c r="H8721" s="2" t="s">
        <v>40393</v>
      </c>
      <c r="I8721" s="2" t="s">
        <v>40394</v>
      </c>
      <c r="J8721" s="2" t="s">
        <v>40395</v>
      </c>
      <c r="K8721" s="2" t="s">
        <v>15819</v>
      </c>
      <c r="L8721" s="2" t="s">
        <v>39555</v>
      </c>
      <c r="M8721" s="2" t="s">
        <v>21506</v>
      </c>
      <c r="N8721" s="2" t="s">
        <v>40396</v>
      </c>
      <c r="O8721" s="2" t="s">
        <v>40397</v>
      </c>
      <c r="P8721" s="2" t="s">
        <v>869</v>
      </c>
    </row>
    <row r="8722" ht="15.75" customHeight="1">
      <c r="H8722" s="2" t="s">
        <v>40398</v>
      </c>
      <c r="I8722" s="2" t="s">
        <v>4665</v>
      </c>
      <c r="J8722" s="2" t="s">
        <v>4666</v>
      </c>
      <c r="K8722" s="2" t="s">
        <v>34127</v>
      </c>
      <c r="L8722" s="2" t="s">
        <v>40399</v>
      </c>
      <c r="M8722" s="2" t="s">
        <v>40400</v>
      </c>
      <c r="N8722" s="2" t="s">
        <v>40401</v>
      </c>
      <c r="O8722" s="2" t="s">
        <v>40402</v>
      </c>
      <c r="P8722" s="2" t="s">
        <v>869</v>
      </c>
    </row>
    <row r="8723" ht="15.75" customHeight="1">
      <c r="F8723" s="2" t="s">
        <v>4677</v>
      </c>
      <c r="H8723" s="2" t="s">
        <v>40403</v>
      </c>
      <c r="I8723" s="2" t="s">
        <v>4694</v>
      </c>
      <c r="J8723" s="2" t="s">
        <v>4695</v>
      </c>
      <c r="K8723" s="2" t="s">
        <v>6050</v>
      </c>
      <c r="L8723" s="2" t="s">
        <v>39555</v>
      </c>
      <c r="M8723" s="2" t="s">
        <v>40404</v>
      </c>
      <c r="N8723" s="2" t="s">
        <v>40405</v>
      </c>
      <c r="O8723" s="2" t="s">
        <v>40406</v>
      </c>
      <c r="P8723" s="2" t="s">
        <v>869</v>
      </c>
    </row>
    <row r="8724" ht="15.75" customHeight="1">
      <c r="F8724" s="2" t="s">
        <v>764</v>
      </c>
      <c r="H8724" s="2" t="s">
        <v>40407</v>
      </c>
      <c r="I8724" s="2" t="s">
        <v>40408</v>
      </c>
      <c r="J8724" s="2" t="s">
        <v>40409</v>
      </c>
      <c r="K8724" s="2" t="s">
        <v>22050</v>
      </c>
      <c r="L8724" s="2" t="s">
        <v>39555</v>
      </c>
      <c r="M8724" s="2" t="s">
        <v>40410</v>
      </c>
      <c r="N8724" s="2" t="s">
        <v>40411</v>
      </c>
      <c r="O8724" s="2" t="s">
        <v>40412</v>
      </c>
      <c r="P8724" s="2" t="s">
        <v>869</v>
      </c>
    </row>
    <row r="8725" ht="15.75" customHeight="1">
      <c r="H8725" s="2" t="s">
        <v>40413</v>
      </c>
      <c r="I8725" s="2" t="s">
        <v>766</v>
      </c>
      <c r="J8725" s="2" t="s">
        <v>767</v>
      </c>
      <c r="K8725" s="2" t="s">
        <v>6081</v>
      </c>
      <c r="L8725" s="2" t="s">
        <v>40414</v>
      </c>
      <c r="M8725" s="2" t="s">
        <v>40415</v>
      </c>
      <c r="N8725" s="2" t="s">
        <v>40416</v>
      </c>
      <c r="O8725" s="2" t="s">
        <v>40417</v>
      </c>
      <c r="P8725" s="2" t="s">
        <v>869</v>
      </c>
    </row>
    <row r="8726" ht="15.75" customHeight="1">
      <c r="F8726" s="2" t="s">
        <v>773</v>
      </c>
      <c r="H8726" s="2" t="s">
        <v>40418</v>
      </c>
      <c r="I8726" s="2" t="s">
        <v>775</v>
      </c>
      <c r="J8726" s="2" t="s">
        <v>776</v>
      </c>
      <c r="K8726" s="2" t="s">
        <v>22055</v>
      </c>
      <c r="L8726" s="2" t="s">
        <v>39555</v>
      </c>
      <c r="M8726" s="2" t="s">
        <v>40419</v>
      </c>
      <c r="N8726" s="2" t="s">
        <v>40420</v>
      </c>
      <c r="O8726" s="2" t="s">
        <v>40421</v>
      </c>
      <c r="P8726" s="2" t="s">
        <v>869</v>
      </c>
    </row>
    <row r="8727" ht="15.75" customHeight="1">
      <c r="F8727" s="2" t="s">
        <v>4802</v>
      </c>
      <c r="H8727" s="2" t="s">
        <v>40422</v>
      </c>
      <c r="I8727" s="2" t="s">
        <v>4819</v>
      </c>
      <c r="J8727" s="2" t="s">
        <v>4820</v>
      </c>
      <c r="K8727" s="2" t="s">
        <v>6046</v>
      </c>
      <c r="L8727" s="2" t="s">
        <v>39555</v>
      </c>
      <c r="M8727" s="2" t="s">
        <v>40423</v>
      </c>
      <c r="N8727" s="2" t="s">
        <v>40424</v>
      </c>
      <c r="O8727" s="2" t="s">
        <v>40425</v>
      </c>
      <c r="P8727" s="2" t="s">
        <v>869</v>
      </c>
    </row>
    <row r="8728" ht="15.75" customHeight="1">
      <c r="F8728" s="2" t="s">
        <v>4825</v>
      </c>
      <c r="H8728" s="2" t="s">
        <v>40426</v>
      </c>
      <c r="I8728" s="2" t="s">
        <v>1215</v>
      </c>
      <c r="J8728" s="2" t="s">
        <v>1216</v>
      </c>
      <c r="K8728" s="2" t="s">
        <v>15796</v>
      </c>
      <c r="L8728" s="2" t="s">
        <v>39555</v>
      </c>
      <c r="M8728" s="2" t="s">
        <v>40427</v>
      </c>
      <c r="N8728" s="2" t="s">
        <v>40428</v>
      </c>
      <c r="O8728" s="2" t="s">
        <v>40429</v>
      </c>
      <c r="P8728" s="2" t="s">
        <v>869</v>
      </c>
    </row>
    <row r="8729" ht="15.75" customHeight="1">
      <c r="F8729" s="2" t="s">
        <v>782</v>
      </c>
      <c r="H8729" s="2" t="s">
        <v>40430</v>
      </c>
      <c r="I8729" s="2" t="s">
        <v>13459</v>
      </c>
      <c r="J8729" s="2" t="s">
        <v>13460</v>
      </c>
      <c r="K8729" s="2" t="s">
        <v>25265</v>
      </c>
      <c r="L8729" s="2" t="s">
        <v>39555</v>
      </c>
      <c r="M8729" s="2" t="s">
        <v>40431</v>
      </c>
      <c r="N8729" s="2" t="s">
        <v>40432</v>
      </c>
      <c r="O8729" s="2" t="s">
        <v>40433</v>
      </c>
      <c r="P8729" s="2" t="s">
        <v>869</v>
      </c>
    </row>
    <row r="8730" ht="15.75" customHeight="1">
      <c r="H8730" s="2" t="s">
        <v>40434</v>
      </c>
      <c r="I8730" s="2" t="s">
        <v>784</v>
      </c>
      <c r="J8730" s="2" t="s">
        <v>785</v>
      </c>
      <c r="K8730" s="2" t="s">
        <v>31897</v>
      </c>
      <c r="L8730" s="2" t="s">
        <v>39555</v>
      </c>
      <c r="M8730" s="2" t="s">
        <v>40435</v>
      </c>
      <c r="N8730" s="2" t="s">
        <v>40436</v>
      </c>
      <c r="O8730" s="2" t="s">
        <v>40437</v>
      </c>
      <c r="P8730" s="2" t="s">
        <v>869</v>
      </c>
    </row>
    <row r="8731" ht="15.75" customHeight="1">
      <c r="H8731" s="2" t="s">
        <v>40438</v>
      </c>
      <c r="I8731" s="2" t="s">
        <v>40439</v>
      </c>
      <c r="J8731" s="2" t="s">
        <v>40440</v>
      </c>
      <c r="K8731" s="2" t="s">
        <v>24878</v>
      </c>
      <c r="L8731" s="2" t="s">
        <v>39555</v>
      </c>
      <c r="M8731" s="2" t="s">
        <v>40441</v>
      </c>
      <c r="N8731" s="2" t="s">
        <v>40442</v>
      </c>
      <c r="O8731" s="2" t="s">
        <v>40443</v>
      </c>
      <c r="P8731" s="2" t="s">
        <v>869</v>
      </c>
    </row>
    <row r="8732" ht="15.75" customHeight="1">
      <c r="H8732" s="2" t="s">
        <v>40444</v>
      </c>
      <c r="I8732" s="2" t="s">
        <v>4946</v>
      </c>
      <c r="J8732" s="2" t="s">
        <v>4947</v>
      </c>
      <c r="K8732" s="2" t="s">
        <v>31624</v>
      </c>
      <c r="L8732" s="2" t="s">
        <v>39555</v>
      </c>
      <c r="M8732" s="2" t="s">
        <v>40445</v>
      </c>
      <c r="N8732" s="2" t="s">
        <v>40446</v>
      </c>
      <c r="O8732" s="2" t="s">
        <v>40447</v>
      </c>
      <c r="P8732" s="2" t="s">
        <v>869</v>
      </c>
    </row>
    <row r="8733" ht="15.75" customHeight="1">
      <c r="F8733" s="2" t="s">
        <v>791</v>
      </c>
      <c r="H8733" s="2" t="s">
        <v>40448</v>
      </c>
      <c r="I8733" s="2" t="s">
        <v>40449</v>
      </c>
      <c r="J8733" s="2" t="s">
        <v>40449</v>
      </c>
      <c r="K8733" s="2" t="s">
        <v>1362</v>
      </c>
    </row>
    <row r="8734" ht="15.75" customHeight="1">
      <c r="H8734" s="2" t="s">
        <v>40450</v>
      </c>
      <c r="I8734" s="2" t="s">
        <v>7306</v>
      </c>
      <c r="J8734" s="2" t="s">
        <v>7307</v>
      </c>
      <c r="K8734" s="2" t="s">
        <v>24414</v>
      </c>
      <c r="L8734" s="2" t="s">
        <v>39555</v>
      </c>
      <c r="M8734" s="2" t="s">
        <v>40451</v>
      </c>
      <c r="N8734" s="2" t="s">
        <v>40452</v>
      </c>
      <c r="O8734" s="2" t="s">
        <v>40453</v>
      </c>
      <c r="P8734" s="2" t="s">
        <v>869</v>
      </c>
    </row>
    <row r="8735" ht="15.75" customHeight="1">
      <c r="H8735" s="2" t="s">
        <v>40454</v>
      </c>
      <c r="I8735" s="2" t="s">
        <v>4969</v>
      </c>
      <c r="J8735" s="2" t="s">
        <v>4970</v>
      </c>
      <c r="K8735" s="2" t="s">
        <v>32406</v>
      </c>
      <c r="L8735" s="2" t="s">
        <v>40455</v>
      </c>
      <c r="M8735" s="2" t="s">
        <v>40456</v>
      </c>
      <c r="N8735" s="2" t="s">
        <v>40457</v>
      </c>
      <c r="O8735" s="2" t="s">
        <v>40458</v>
      </c>
      <c r="P8735" s="2" t="s">
        <v>869</v>
      </c>
    </row>
    <row r="8736" ht="15.75" customHeight="1">
      <c r="F8736" s="2" t="s">
        <v>800</v>
      </c>
      <c r="H8736" s="2" t="s">
        <v>40459</v>
      </c>
      <c r="I8736" s="2" t="s">
        <v>5722</v>
      </c>
      <c r="J8736" s="2" t="s">
        <v>5723</v>
      </c>
      <c r="K8736" s="2" t="s">
        <v>22462</v>
      </c>
      <c r="L8736" s="2" t="s">
        <v>39555</v>
      </c>
      <c r="M8736" s="2" t="s">
        <v>40460</v>
      </c>
      <c r="N8736" s="2" t="s">
        <v>40461</v>
      </c>
      <c r="O8736" s="2" t="s">
        <v>40462</v>
      </c>
      <c r="P8736" s="2" t="s">
        <v>869</v>
      </c>
    </row>
    <row r="8737" ht="15.75" customHeight="1">
      <c r="H8737" s="2" t="s">
        <v>40463</v>
      </c>
      <c r="I8737" s="2" t="s">
        <v>4994</v>
      </c>
      <c r="J8737" s="2" t="s">
        <v>4995</v>
      </c>
      <c r="K8737" s="2" t="s">
        <v>15897</v>
      </c>
      <c r="L8737" s="2" t="s">
        <v>39555</v>
      </c>
      <c r="M8737" s="2" t="s">
        <v>40464</v>
      </c>
      <c r="N8737" s="2" t="s">
        <v>40465</v>
      </c>
      <c r="O8737" s="2" t="s">
        <v>40466</v>
      </c>
      <c r="P8737" s="2" t="s">
        <v>869</v>
      </c>
    </row>
    <row r="8738" ht="15.75" customHeight="1">
      <c r="H8738" s="2" t="s">
        <v>40467</v>
      </c>
      <c r="I8738" s="2" t="s">
        <v>11561</v>
      </c>
      <c r="J8738" s="2" t="s">
        <v>11562</v>
      </c>
      <c r="K8738" s="2" t="s">
        <v>15801</v>
      </c>
      <c r="L8738" s="2" t="s">
        <v>39555</v>
      </c>
      <c r="M8738" s="2" t="s">
        <v>40468</v>
      </c>
      <c r="N8738" s="2" t="s">
        <v>40469</v>
      </c>
      <c r="O8738" s="2" t="s">
        <v>40470</v>
      </c>
      <c r="P8738" s="2" t="s">
        <v>869</v>
      </c>
    </row>
    <row r="8739" ht="15.75" customHeight="1">
      <c r="H8739" s="2" t="s">
        <v>40471</v>
      </c>
      <c r="I8739" s="2" t="s">
        <v>5378</v>
      </c>
      <c r="J8739" s="2" t="s">
        <v>5379</v>
      </c>
      <c r="K8739" s="2" t="s">
        <v>22104</v>
      </c>
      <c r="L8739" s="2" t="s">
        <v>39555</v>
      </c>
      <c r="M8739" s="2" t="s">
        <v>40472</v>
      </c>
      <c r="N8739" s="2" t="s">
        <v>40473</v>
      </c>
      <c r="O8739" s="2" t="s">
        <v>40474</v>
      </c>
      <c r="P8739" s="2" t="s">
        <v>869</v>
      </c>
    </row>
    <row r="8740" ht="15.75" customHeight="1">
      <c r="H8740" s="2" t="s">
        <v>40475</v>
      </c>
      <c r="I8740" s="2" t="s">
        <v>5022</v>
      </c>
      <c r="J8740" s="2" t="s">
        <v>5023</v>
      </c>
      <c r="K8740" s="2" t="s">
        <v>24263</v>
      </c>
      <c r="L8740" s="2" t="s">
        <v>39555</v>
      </c>
      <c r="M8740" s="2" t="s">
        <v>40476</v>
      </c>
      <c r="N8740" s="2" t="s">
        <v>40477</v>
      </c>
      <c r="O8740" s="2" t="s">
        <v>40478</v>
      </c>
      <c r="P8740" s="2" t="s">
        <v>869</v>
      </c>
    </row>
    <row r="8741" ht="15.75" customHeight="1">
      <c r="H8741" s="2" t="s">
        <v>40479</v>
      </c>
      <c r="I8741" s="2" t="s">
        <v>5027</v>
      </c>
      <c r="J8741" s="2" t="s">
        <v>5028</v>
      </c>
      <c r="K8741" s="2" t="s">
        <v>31463</v>
      </c>
      <c r="L8741" s="2" t="s">
        <v>39555</v>
      </c>
      <c r="M8741" s="2" t="s">
        <v>40480</v>
      </c>
      <c r="N8741" s="2" t="s">
        <v>40481</v>
      </c>
      <c r="O8741" s="2" t="s">
        <v>40482</v>
      </c>
      <c r="P8741" s="2" t="s">
        <v>869</v>
      </c>
    </row>
    <row r="8742" ht="15.75" customHeight="1">
      <c r="H8742" s="2" t="s">
        <v>40483</v>
      </c>
      <c r="I8742" s="2" t="s">
        <v>5037</v>
      </c>
      <c r="J8742" s="2" t="s">
        <v>5038</v>
      </c>
      <c r="K8742" s="2" t="s">
        <v>6058</v>
      </c>
      <c r="L8742" s="2" t="s">
        <v>39555</v>
      </c>
      <c r="M8742" s="2" t="s">
        <v>40484</v>
      </c>
      <c r="N8742" s="2" t="s">
        <v>40485</v>
      </c>
      <c r="O8742" s="2" t="s">
        <v>40486</v>
      </c>
      <c r="P8742" s="2" t="s">
        <v>869</v>
      </c>
    </row>
    <row r="8743" ht="15.75" customHeight="1">
      <c r="H8743" s="2" t="s">
        <v>40487</v>
      </c>
      <c r="I8743" s="2" t="s">
        <v>5093</v>
      </c>
      <c r="J8743" s="2" t="s">
        <v>5094</v>
      </c>
      <c r="K8743" s="2" t="s">
        <v>24632</v>
      </c>
      <c r="L8743" s="2" t="s">
        <v>39555</v>
      </c>
      <c r="M8743" s="2" t="s">
        <v>40488</v>
      </c>
      <c r="N8743" s="2" t="s">
        <v>40489</v>
      </c>
      <c r="O8743" s="2" t="s">
        <v>40490</v>
      </c>
      <c r="P8743" s="2" t="s">
        <v>869</v>
      </c>
    </row>
    <row r="8744" ht="15.75" customHeight="1">
      <c r="H8744" s="2" t="s">
        <v>40491</v>
      </c>
      <c r="I8744" s="2" t="s">
        <v>40492</v>
      </c>
      <c r="J8744" s="2" t="s">
        <v>40493</v>
      </c>
      <c r="K8744" s="2" t="s">
        <v>15823</v>
      </c>
      <c r="L8744" s="2" t="s">
        <v>39555</v>
      </c>
      <c r="M8744" s="2" t="s">
        <v>40494</v>
      </c>
      <c r="N8744" s="2" t="s">
        <v>40495</v>
      </c>
      <c r="O8744" s="2" t="s">
        <v>40496</v>
      </c>
      <c r="P8744" s="2" t="s">
        <v>869</v>
      </c>
    </row>
    <row r="8745" ht="15.75" customHeight="1">
      <c r="H8745" s="2" t="s">
        <v>40497</v>
      </c>
      <c r="I8745" s="2" t="s">
        <v>14286</v>
      </c>
      <c r="J8745" s="2" t="s">
        <v>14287</v>
      </c>
      <c r="K8745" s="2" t="s">
        <v>32896</v>
      </c>
      <c r="L8745" s="2" t="s">
        <v>39555</v>
      </c>
      <c r="M8745" s="2" t="s">
        <v>40498</v>
      </c>
      <c r="N8745" s="2" t="s">
        <v>40499</v>
      </c>
      <c r="O8745" s="2" t="s">
        <v>40500</v>
      </c>
      <c r="P8745" s="2" t="s">
        <v>869</v>
      </c>
    </row>
    <row r="8746" ht="15.75" customHeight="1">
      <c r="H8746" s="2" t="s">
        <v>40501</v>
      </c>
      <c r="I8746" s="2" t="s">
        <v>5986</v>
      </c>
      <c r="J8746" s="2" t="s">
        <v>5987</v>
      </c>
      <c r="K8746" s="2" t="s">
        <v>6091</v>
      </c>
      <c r="L8746" s="2" t="s">
        <v>40502</v>
      </c>
      <c r="M8746" s="2" t="s">
        <v>40503</v>
      </c>
      <c r="N8746" s="2" t="s">
        <v>40504</v>
      </c>
      <c r="O8746" s="2" t="s">
        <v>40505</v>
      </c>
      <c r="P8746" s="2" t="s">
        <v>869</v>
      </c>
    </row>
    <row r="8747" ht="15.75" customHeight="1">
      <c r="F8747" s="2" t="s">
        <v>843</v>
      </c>
      <c r="H8747" s="2" t="s">
        <v>40506</v>
      </c>
      <c r="I8747" s="2" t="s">
        <v>40507</v>
      </c>
      <c r="J8747" s="2" t="s">
        <v>40508</v>
      </c>
      <c r="K8747" s="2" t="s">
        <v>6025</v>
      </c>
      <c r="L8747" s="2" t="s">
        <v>39555</v>
      </c>
      <c r="M8747" s="2" t="s">
        <v>40509</v>
      </c>
      <c r="N8747" s="2" t="s">
        <v>40510</v>
      </c>
      <c r="O8747" s="2" t="s">
        <v>40511</v>
      </c>
      <c r="P8747" s="2" t="s">
        <v>869</v>
      </c>
    </row>
    <row r="8748" ht="15.75" customHeight="1">
      <c r="H8748" s="2" t="s">
        <v>40512</v>
      </c>
      <c r="I8748" s="2" t="s">
        <v>845</v>
      </c>
      <c r="J8748" s="2" t="s">
        <v>846</v>
      </c>
      <c r="K8748" s="2" t="s">
        <v>6419</v>
      </c>
      <c r="L8748" s="2" t="s">
        <v>39555</v>
      </c>
      <c r="M8748" s="2" t="s">
        <v>40513</v>
      </c>
      <c r="N8748" s="2" t="s">
        <v>40514</v>
      </c>
      <c r="O8748" s="2" t="s">
        <v>40515</v>
      </c>
      <c r="P8748" s="2" t="s">
        <v>869</v>
      </c>
    </row>
    <row r="8749" ht="15.75" customHeight="1">
      <c r="F8749" s="2" t="s">
        <v>5257</v>
      </c>
      <c r="H8749" s="2" t="s">
        <v>40516</v>
      </c>
      <c r="I8749" s="2" t="s">
        <v>5272</v>
      </c>
      <c r="J8749" s="2" t="s">
        <v>5273</v>
      </c>
      <c r="K8749" s="2" t="s">
        <v>24379</v>
      </c>
      <c r="L8749" s="2" t="s">
        <v>39555</v>
      </c>
      <c r="M8749" s="2" t="s">
        <v>40517</v>
      </c>
      <c r="N8749" s="2" t="s">
        <v>40518</v>
      </c>
      <c r="O8749" s="2" t="s">
        <v>40519</v>
      </c>
      <c r="P8749" s="2" t="s">
        <v>869</v>
      </c>
    </row>
    <row r="8750" ht="15.75" customHeight="1">
      <c r="B8750" s="2" t="s">
        <v>40520</v>
      </c>
      <c r="C8750" s="2" t="s">
        <v>40521</v>
      </c>
      <c r="D8750" s="2" t="s">
        <v>40522</v>
      </c>
      <c r="F8750" s="2" t="s">
        <v>284</v>
      </c>
      <c r="H8750" s="2" t="s">
        <v>40523</v>
      </c>
      <c r="I8750" s="2" t="s">
        <v>326</v>
      </c>
      <c r="J8750" s="2" t="s">
        <v>327</v>
      </c>
      <c r="K8750" s="2" t="s">
        <v>25287</v>
      </c>
      <c r="L8750" s="2" t="s">
        <v>40524</v>
      </c>
      <c r="M8750" s="2" t="s">
        <v>40525</v>
      </c>
      <c r="N8750" s="2" t="s">
        <v>40526</v>
      </c>
      <c r="O8750" s="2" t="s">
        <v>869</v>
      </c>
      <c r="P8750" s="2" t="s">
        <v>870</v>
      </c>
    </row>
    <row r="8751" ht="15.75" customHeight="1">
      <c r="H8751" s="2" t="s">
        <v>40527</v>
      </c>
      <c r="I8751" s="2" t="s">
        <v>432</v>
      </c>
      <c r="J8751" s="2" t="s">
        <v>433</v>
      </c>
      <c r="K8751" s="2" t="s">
        <v>15827</v>
      </c>
      <c r="L8751" s="2" t="s">
        <v>40524</v>
      </c>
      <c r="M8751" s="2" t="s">
        <v>40528</v>
      </c>
      <c r="N8751" s="2" t="s">
        <v>40529</v>
      </c>
      <c r="O8751" s="2" t="s">
        <v>869</v>
      </c>
      <c r="P8751" s="2" t="s">
        <v>870</v>
      </c>
    </row>
    <row r="8752" ht="15.75" customHeight="1">
      <c r="H8752" s="2" t="s">
        <v>40530</v>
      </c>
      <c r="I8752" s="2" t="s">
        <v>526</v>
      </c>
      <c r="J8752" s="2" t="s">
        <v>527</v>
      </c>
      <c r="K8752" s="2" t="s">
        <v>24084</v>
      </c>
      <c r="L8752" s="2" t="s">
        <v>40524</v>
      </c>
      <c r="M8752" s="2" t="s">
        <v>40531</v>
      </c>
      <c r="N8752" s="2" t="s">
        <v>40532</v>
      </c>
      <c r="O8752" s="2" t="s">
        <v>869</v>
      </c>
      <c r="P8752" s="2" t="s">
        <v>870</v>
      </c>
    </row>
    <row r="8753" ht="15.75" customHeight="1">
      <c r="F8753" s="2" t="s">
        <v>534</v>
      </c>
      <c r="H8753" s="2" t="s">
        <v>40533</v>
      </c>
      <c r="I8753" s="2" t="s">
        <v>536</v>
      </c>
      <c r="J8753" s="2" t="s">
        <v>537</v>
      </c>
      <c r="K8753" s="2" t="s">
        <v>538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14"/>
  </cols>
  <sheetData>
    <row r="1">
      <c r="A1" s="2" t="str">
        <f>IFERROR(__xludf.DUMMYFUNCTION("{QUERY({'Table 1'!A1:G3628}, ""select *  where Col1 is not null""); QUERY({'Table 2'!A1:G3628}, ""select *  where Col1 is not null""); QUERY({'Table 3'!A1:G3628}, ""select *  where Col1 is not null""); QUERY({'Table 4'!A1:G3628}, ""select *  where Col1 is"&amp;" not null""); QUERY({'Table 5'!A1:G3628}, ""select *  where Col1 is not null""); QUERY({'Table 6'!A1:G3628}, ""select *  where Col1 is not null""); QUERY({'Table 7'!A1:G3628}, ""select *  where Col1 is not null""); QUERY({'Table 8'!A1:G3628}, ""select *  "&amp;"where Col1 is not null""); QUERY({'Table 9'!A1:G3628}, ""select *  where Col1 is not null""); QUERY({'Table 10'!A1:G3628}, ""select *  where Col1 is not null""); QUERY({'Table 11'!A1:G3628}, ""select *  where Col1 is not null""); QUERY({'Table 12'!A1:G362"&amp;"8}, ""select *  where Col1 is not null""); QUERY({'Table 13'!A1:G3628}, ""select *  where Col1 is not null""); QUERY({'Table 14'!A1:G3628}, ""select *  where Col1 is not null""); QUERY({'Table 15'!A1:G3628}, ""select *  where Col1 is not null""); QUERY({'"&amp;"Table 16'!A1:G3628}, ""select *  where Col1 is not null""); QUERY({'Table 17'!A1:G3628}, ""select *  where Col1 is not null""); QUERY({'Table 18'!A1:G3628}, ""select *  where Col1 is not null""); QUERY({'Table 19'!A1:G3628}, ""select *  where Col1 is not "&amp;"null""); QUERY({'Table 20'!A1:G3628}, ""select *  where Col1 is not null""); QUERY({'Table 21'!A1:G3628}, ""select *  where Col1 is not null""); QUERY({'Table 22'!A1:G3628}, ""select *  where Col1 is not null""); QUERY({'Table 23'!A1:G3628}, ""select *  w"&amp;"here Col1 is not null""); QUERY({'Table 24'!A1:G3628}, ""select *  where Col1 is not null""); QUERY({'Table 25'!A1:G3628}, ""select *  where Col1 is not null""); QUERY({'Table 26'!A1:G3628}, ""select *  where Col1 is not null""); QUERY({'Table 27'!A1:G362"&amp;"8}, ""select *  where Col1 is not null""); QUERY({'Table 28'!A1:G3628}, ""select *  where Col1 is not null""); QUERY({'Table 29'!A1:G3628}, ""select *  where Col1 is not null""); QUERY({'Table 30'!A1:G3628}, ""select *  where Col1 is not null""); QUERY({'"&amp;"Table 31'!A1:G3628}, ""select *  where Col1 is not null""); QUERY({'Table 32'!A1:G3628}, ""select *  where Col1 is not null""); QUERY({'Table 33'!A1:G3628}, ""select *  where Col1 is not null""); QUERY({'Table 34'!A1:G3628}, ""select *  where Col1 is not "&amp;"null""); QUERY({'Table 35'!A1:G3628}, ""select *  where Col1 is not null""); QUERY({'Table 36'!A1:G3628}, ""select *  where Col1 is not null""); QUERY({'Table 37'!A1:G3628}, ""select *  where Col1 is not null""); QUERY({'Table 38'!A1:G3628}, ""select *  w"&amp;"here Col1 is not null""); QUERY({'Table 39'!A1:G3628}, ""select *  where Col1 is not null""); QUERY({'Table 40'!A1:G3628}, ""select *  where Col1 is not null""); QUERY({'Table 41'!A1:G3628}, ""select *  where Col1 is not null""); QUERY({'Table 42'!A1:G362"&amp;"8}, ""select *  where Col1 is not null""); QUERY({'Table 43'!A1:G3628}, ""select *  where Col1 is not null""); QUERY({'Table 44'!A1:G3628}, ""select *  where Col1 is not null""); QUERY({'Table 45'!A1:G3628}, ""select *  where Col1 is not null""); QUERY({'"&amp;"Table 46'!A1:G3628}, ""select *  where Col1 is not null""); QUERY({'Table 47'!A1:G3628}, ""select *  where Col1 is not null""); QUERY({'Table 48'!A1:G3628}, ""select *  where Col1 is not null""); QUERY({'Table 49'!A1:G3628}, ""select *  where Col1 is not "&amp;"null""); QUERY({'Table 50'!A1:G3628}, ""select *  where Col1 is not null""); QUERY({'Table 51'!A1:G3628}, ""select *  where Col1 is not null""); QUERY({'Table 52'!A1:G3628}, ""select *  where Col1 is not null""); QUERY({'Table 53'!A1:G3628}, ""select *  w"&amp;"here Col1 is not null""); QUERY({'Table 54'!A1:G3628}, ""select *  where Col1 is not null""); QUERY({'Table 55'!A1:G3628}, ""select *  where Col1 is not null""); QUERY({'Table 56'!A1:G3628}, ""select *  where Col1 is not null"")}"),"Dist_code")</f>
        <v>Dist_code</v>
      </c>
      <c r="B1" s="2" t="str">
        <f>IFERROR(__xludf.DUMMYFUNCTION("""COMPUTED_VALUE"""),"Dist_Name")</f>
        <v>Dist_Name</v>
      </c>
      <c r="C1" s="2" t="str">
        <f>IFERROR(__xludf.DUMMYFUNCTION("""COMPUTED_VALUE"""),"Bank_code")</f>
        <v>Bank_code</v>
      </c>
      <c r="D1" s="2" t="str">
        <f>IFERROR(__xludf.DUMMYFUNCTION("""COMPUTED_VALUE"""),"Bank_Name")</f>
        <v>Bank_Name</v>
      </c>
      <c r="E1" s="2" t="str">
        <f>IFERROR(__xludf.DUMMYFUNCTION("""COMPUTED_VALUE"""),"Branch_Name")</f>
        <v>Branch_Name</v>
      </c>
      <c r="F1" s="2" t="str">
        <f>IFERROR(__xludf.DUMMYFUNCTION("""COMPUTED_VALUE"""),"Branch_code")</f>
        <v>Branch_code</v>
      </c>
      <c r="G1" s="2" t="str">
        <f>IFERROR(__xludf.DUMMYFUNCTION("""COMPUTED_VALUE"""),"Routing_No")</f>
        <v>Routing_No</v>
      </c>
    </row>
    <row r="2">
      <c r="A2" s="3">
        <f>IFERROR(__xludf.DUMMYFUNCTION("""COMPUTED_VALUE"""),401.0)</f>
        <v>401</v>
      </c>
      <c r="B2" s="2" t="str">
        <f>IFERROR(__xludf.DUMMYFUNCTION("""COMPUTED_VALUE"""),"BAGERHAT")</f>
        <v>BAGERHAT</v>
      </c>
      <c r="C2" s="4">
        <f>IFERROR(__xludf.DUMMYFUNCTION("""COMPUTED_VALUE"""),10.0)</f>
        <v>10</v>
      </c>
      <c r="D2" s="2" t="str">
        <f>IFERROR(__xludf.DUMMYFUNCTION("""COMPUTED_VALUE"""),"AGRANI BANK LTD.")</f>
        <v>AGRANI BANK LTD.</v>
      </c>
      <c r="E2" s="2" t="str">
        <f>IFERROR(__xludf.DUMMYFUNCTION("""COMPUTED_VALUE"""),"BADHAL BAZAR")</f>
        <v>BADHAL BAZAR</v>
      </c>
      <c r="F2" s="4">
        <f>IFERROR(__xludf.DUMMYFUNCTION("""COMPUTED_VALUE"""),4.0)</f>
        <v>4</v>
      </c>
      <c r="G2" s="5">
        <f>IFERROR(__xludf.DUMMYFUNCTION("""COMPUTED_VALUE"""),1.0010048E7)</f>
        <v>10010048</v>
      </c>
    </row>
    <row r="3">
      <c r="A3" s="3">
        <f>IFERROR(__xludf.DUMMYFUNCTION("""COMPUTED_VALUE"""),401.0)</f>
        <v>401</v>
      </c>
      <c r="B3" s="2" t="str">
        <f>IFERROR(__xludf.DUMMYFUNCTION("""COMPUTED_VALUE"""),"BAGERHAT")</f>
        <v>BAGERHAT</v>
      </c>
      <c r="C3" s="4">
        <f>IFERROR(__xludf.DUMMYFUNCTION("""COMPUTED_VALUE"""),10.0)</f>
        <v>10</v>
      </c>
      <c r="D3" s="2" t="str">
        <f>IFERROR(__xludf.DUMMYFUNCTION("""COMPUTED_VALUE"""),"AGRANI BANK LTD.")</f>
        <v>AGRANI BANK LTD.</v>
      </c>
      <c r="E3" s="2" t="str">
        <f>IFERROR(__xludf.DUMMYFUNCTION("""COMPUTED_VALUE"""),"BHANGA BAZAR")</f>
        <v>BHANGA BAZAR</v>
      </c>
      <c r="F3" s="4">
        <f>IFERROR(__xludf.DUMMYFUNCTION("""COMPUTED_VALUE"""),6.0)</f>
        <v>6</v>
      </c>
      <c r="G3" s="5">
        <f>IFERROR(__xludf.DUMMYFUNCTION("""COMPUTED_VALUE"""),1.0010064E7)</f>
        <v>10010064</v>
      </c>
    </row>
    <row r="4">
      <c r="A4" s="3">
        <f>IFERROR(__xludf.DUMMYFUNCTION("""COMPUTED_VALUE"""),401.0)</f>
        <v>401</v>
      </c>
      <c r="B4" s="2" t="str">
        <f>IFERROR(__xludf.DUMMYFUNCTION("""COMPUTED_VALUE"""),"BAGERHAT")</f>
        <v>BAGERHAT</v>
      </c>
      <c r="C4" s="4">
        <f>IFERROR(__xludf.DUMMYFUNCTION("""COMPUTED_VALUE"""),10.0)</f>
        <v>10</v>
      </c>
      <c r="D4" s="2" t="str">
        <f>IFERROR(__xludf.DUMMYFUNCTION("""COMPUTED_VALUE"""),"AGRANI BANK LTD.")</f>
        <v>AGRANI BANK LTD.</v>
      </c>
      <c r="E4" s="2" t="str">
        <f>IFERROR(__xludf.DUMMYFUNCTION("""COMPUTED_VALUE"""),"BAGERHAT")</f>
        <v>BAGERHAT</v>
      </c>
      <c r="F4" s="4">
        <f>IFERROR(__xludf.DUMMYFUNCTION("""COMPUTED_VALUE"""),7.0)</f>
        <v>7</v>
      </c>
      <c r="G4" s="5">
        <f>IFERROR(__xludf.DUMMYFUNCTION("""COMPUTED_VALUE"""),1.0010077E7)</f>
        <v>10010077</v>
      </c>
    </row>
    <row r="5">
      <c r="A5" s="3">
        <f>IFERROR(__xludf.DUMMYFUNCTION("""COMPUTED_VALUE"""),401.0)</f>
        <v>401</v>
      </c>
      <c r="B5" s="2" t="str">
        <f>IFERROR(__xludf.DUMMYFUNCTION("""COMPUTED_VALUE"""),"BAGERHAT")</f>
        <v>BAGERHAT</v>
      </c>
      <c r="C5" s="4">
        <f>IFERROR(__xludf.DUMMYFUNCTION("""COMPUTED_VALUE"""),10.0)</f>
        <v>10</v>
      </c>
      <c r="D5" s="2" t="str">
        <f>IFERROR(__xludf.DUMMYFUNCTION("""COMPUTED_VALUE"""),"AGRANI BANK LTD.")</f>
        <v>AGRANI BANK LTD.</v>
      </c>
      <c r="E5" s="2" t="str">
        <f>IFERROR(__xludf.DUMMYFUNCTION("""COMPUTED_VALUE"""),"CHULKATI BAZAR")</f>
        <v>CHULKATI BAZAR</v>
      </c>
      <c r="F5" s="4">
        <f>IFERROR(__xludf.DUMMYFUNCTION("""COMPUTED_VALUE"""),28.0)</f>
        <v>28</v>
      </c>
      <c r="G5" s="5">
        <f>IFERROR(__xludf.DUMMYFUNCTION("""COMPUTED_VALUE"""),1.001028E7)</f>
        <v>10010280</v>
      </c>
    </row>
    <row r="6">
      <c r="A6" s="3">
        <f>IFERROR(__xludf.DUMMYFUNCTION("""COMPUTED_VALUE"""),401.0)</f>
        <v>401</v>
      </c>
      <c r="B6" s="2" t="str">
        <f>IFERROR(__xludf.DUMMYFUNCTION("""COMPUTED_VALUE"""),"BAGERHAT")</f>
        <v>BAGERHAT</v>
      </c>
      <c r="C6" s="4">
        <f>IFERROR(__xludf.DUMMYFUNCTION("""COMPUTED_VALUE"""),10.0)</f>
        <v>10</v>
      </c>
      <c r="D6" s="2" t="str">
        <f>IFERROR(__xludf.DUMMYFUNCTION("""COMPUTED_VALUE"""),"AGRANI BANK LTD.")</f>
        <v>AGRANI BANK LTD.</v>
      </c>
      <c r="E6" s="2" t="str">
        <f>IFERROR(__xludf.DUMMYFUNCTION("""COMPUTED_VALUE"""),"DEYPARA BAZAR")</f>
        <v>DEYPARA BAZAR</v>
      </c>
      <c r="F6" s="4">
        <f>IFERROR(__xludf.DUMMYFUNCTION("""COMPUTED_VALUE"""),37.0)</f>
        <v>37</v>
      </c>
      <c r="G6" s="5">
        <f>IFERROR(__xludf.DUMMYFUNCTION("""COMPUTED_VALUE"""),1.0010372E7)</f>
        <v>10010372</v>
      </c>
    </row>
    <row r="7">
      <c r="A7" s="3">
        <f>IFERROR(__xludf.DUMMYFUNCTION("""COMPUTED_VALUE"""),401.0)</f>
        <v>401</v>
      </c>
      <c r="B7" s="2" t="str">
        <f>IFERROR(__xludf.DUMMYFUNCTION("""COMPUTED_VALUE"""),"BAGERHAT")</f>
        <v>BAGERHAT</v>
      </c>
      <c r="C7" s="4">
        <f>IFERROR(__xludf.DUMMYFUNCTION("""COMPUTED_VALUE"""),10.0)</f>
        <v>10</v>
      </c>
      <c r="D7" s="2" t="str">
        <f>IFERROR(__xludf.DUMMYFUNCTION("""COMPUTED_VALUE"""),"AGRANI BANK LTD.")</f>
        <v>AGRANI BANK LTD.</v>
      </c>
      <c r="E7" s="2" t="str">
        <f>IFERROR(__xludf.DUMMYFUNCTION("""COMPUTED_VALUE"""),"GOALMATH")</f>
        <v>GOALMATH</v>
      </c>
      <c r="F7" s="4">
        <f>IFERROR(__xludf.DUMMYFUNCTION("""COMPUTED_VALUE"""),61.0)</f>
        <v>61</v>
      </c>
      <c r="G7" s="5">
        <f>IFERROR(__xludf.DUMMYFUNCTION("""COMPUTED_VALUE"""),1.0010619E7)</f>
        <v>10010619</v>
      </c>
    </row>
    <row r="8">
      <c r="A8" s="3">
        <f>IFERROR(__xludf.DUMMYFUNCTION("""COMPUTED_VALUE"""),401.0)</f>
        <v>401</v>
      </c>
      <c r="B8" s="2" t="str">
        <f>IFERROR(__xludf.DUMMYFUNCTION("""COMPUTED_VALUE"""),"BAGERHAT")</f>
        <v>BAGERHAT</v>
      </c>
      <c r="C8" s="4">
        <f>IFERROR(__xludf.DUMMYFUNCTION("""COMPUTED_VALUE"""),10.0)</f>
        <v>10</v>
      </c>
      <c r="D8" s="2" t="str">
        <f>IFERROR(__xludf.DUMMYFUNCTION("""COMPUTED_VALUE"""),"AGRANI BANK LTD.")</f>
        <v>AGRANI BANK LTD.</v>
      </c>
      <c r="E8" s="2" t="str">
        <f>IFERROR(__xludf.DUMMYFUNCTION("""COMPUTED_VALUE"""),"HERMA BAZAR")</f>
        <v>HERMA BAZAR</v>
      </c>
      <c r="F8" s="4">
        <f>IFERROR(__xludf.DUMMYFUNCTION("""COMPUTED_VALUE"""),67.0)</f>
        <v>67</v>
      </c>
      <c r="G8" s="5">
        <f>IFERROR(__xludf.DUMMYFUNCTION("""COMPUTED_VALUE"""),1.0010677E7)</f>
        <v>10010677</v>
      </c>
    </row>
    <row r="9">
      <c r="A9" s="3">
        <f>IFERROR(__xludf.DUMMYFUNCTION("""COMPUTED_VALUE"""),401.0)</f>
        <v>401</v>
      </c>
      <c r="B9" s="2" t="str">
        <f>IFERROR(__xludf.DUMMYFUNCTION("""COMPUTED_VALUE"""),"BAGERHAT")</f>
        <v>BAGERHAT</v>
      </c>
      <c r="C9" s="4">
        <f>IFERROR(__xludf.DUMMYFUNCTION("""COMPUTED_VALUE"""),10.0)</f>
        <v>10</v>
      </c>
      <c r="D9" s="2" t="str">
        <f>IFERROR(__xludf.DUMMYFUNCTION("""COMPUTED_VALUE"""),"AGRANI BANK LTD.")</f>
        <v>AGRANI BANK LTD.</v>
      </c>
      <c r="E9" s="2" t="str">
        <f>IFERROR(__xludf.DUMMYFUNCTION("""COMPUTED_VALUE"""),"JATRAPUR BAZAR")</f>
        <v>JATRAPUR BAZAR</v>
      </c>
      <c r="F9" s="4">
        <f>IFERROR(__xludf.DUMMYFUNCTION("""COMPUTED_VALUE"""),70.0)</f>
        <v>70</v>
      </c>
      <c r="G9" s="5">
        <f>IFERROR(__xludf.DUMMYFUNCTION("""COMPUTED_VALUE"""),1.0010701E7)</f>
        <v>10010701</v>
      </c>
    </row>
    <row r="10">
      <c r="A10" s="3">
        <f>IFERROR(__xludf.DUMMYFUNCTION("""COMPUTED_VALUE"""),401.0)</f>
        <v>401</v>
      </c>
      <c r="B10" s="2" t="str">
        <f>IFERROR(__xludf.DUMMYFUNCTION("""COMPUTED_VALUE"""),"BAGERHAT")</f>
        <v>BAGERHAT</v>
      </c>
      <c r="C10" s="4">
        <f>IFERROR(__xludf.DUMMYFUNCTION("""COMPUTED_VALUE"""),10.0)</f>
        <v>10</v>
      </c>
      <c r="D10" s="2" t="str">
        <f>IFERROR(__xludf.DUMMYFUNCTION("""COMPUTED_VALUE"""),"AGRANI BANK LTD.")</f>
        <v>AGRANI BANK LTD.</v>
      </c>
      <c r="E10" s="2" t="str">
        <f>IFERROR(__xludf.DUMMYFUNCTION("""COMPUTED_VALUE"""),"MAIN ROAD")</f>
        <v>MAIN ROAD</v>
      </c>
      <c r="F10" s="4">
        <f>IFERROR(__xludf.DUMMYFUNCTION("""COMPUTED_VALUE"""),85.0)</f>
        <v>85</v>
      </c>
      <c r="G10" s="5">
        <f>IFERROR(__xludf.DUMMYFUNCTION("""COMPUTED_VALUE"""),1.0010851E7)</f>
        <v>10010851</v>
      </c>
    </row>
    <row r="11">
      <c r="A11" s="3">
        <f>IFERROR(__xludf.DUMMYFUNCTION("""COMPUTED_VALUE"""),401.0)</f>
        <v>401</v>
      </c>
      <c r="B11" s="2" t="str">
        <f>IFERROR(__xludf.DUMMYFUNCTION("""COMPUTED_VALUE"""),"BAGERHAT")</f>
        <v>BAGERHAT</v>
      </c>
      <c r="C11" s="4">
        <f>IFERROR(__xludf.DUMMYFUNCTION("""COMPUTED_VALUE"""),10.0)</f>
        <v>10</v>
      </c>
      <c r="D11" s="2" t="str">
        <f>IFERROR(__xludf.DUMMYFUNCTION("""COMPUTED_VALUE"""),"AGRANI BANK LTD.")</f>
        <v>AGRANI BANK LTD.</v>
      </c>
      <c r="E11" s="2" t="str">
        <f>IFERROR(__xludf.DUMMYFUNCTION("""COMPUTED_VALUE"""),"MONGLA PORT")</f>
        <v>MONGLA PORT</v>
      </c>
      <c r="F11" s="4">
        <f>IFERROR(__xludf.DUMMYFUNCTION("""COMPUTED_VALUE"""),97.0)</f>
        <v>97</v>
      </c>
      <c r="G11" s="5">
        <f>IFERROR(__xludf.DUMMYFUNCTION("""COMPUTED_VALUE"""),1.0010972E7)</f>
        <v>10010972</v>
      </c>
    </row>
    <row r="12">
      <c r="A12" s="3">
        <f>IFERROR(__xludf.DUMMYFUNCTION("""COMPUTED_VALUE"""),401.0)</f>
        <v>401</v>
      </c>
      <c r="B12" s="2" t="str">
        <f>IFERROR(__xludf.DUMMYFUNCTION("""COMPUTED_VALUE"""),"BAGERHAT")</f>
        <v>BAGERHAT</v>
      </c>
      <c r="C12" s="4">
        <f>IFERROR(__xludf.DUMMYFUNCTION("""COMPUTED_VALUE"""),10.0)</f>
        <v>10</v>
      </c>
      <c r="D12" s="2" t="str">
        <f>IFERROR(__xludf.DUMMYFUNCTION("""COMPUTED_VALUE"""),"AGRANI BANK LTD.")</f>
        <v>AGRANI BANK LTD.</v>
      </c>
      <c r="E12" s="2" t="str">
        <f>IFERROR(__xludf.DUMMYFUNCTION("""COMPUTED_VALUE"""),"MORELGANJ")</f>
        <v>MORELGANJ</v>
      </c>
      <c r="F12" s="4">
        <f>IFERROR(__xludf.DUMMYFUNCTION("""COMPUTED_VALUE"""),103.0)</f>
        <v>103</v>
      </c>
      <c r="G12" s="5">
        <f>IFERROR(__xludf.DUMMYFUNCTION("""COMPUTED_VALUE"""),1.0011034E7)</f>
        <v>10011034</v>
      </c>
    </row>
    <row r="13">
      <c r="A13" s="3">
        <f>IFERROR(__xludf.DUMMYFUNCTION("""COMPUTED_VALUE"""),401.0)</f>
        <v>401</v>
      </c>
      <c r="B13" s="2" t="str">
        <f>IFERROR(__xludf.DUMMYFUNCTION("""COMPUTED_VALUE"""),"BAGERHAT")</f>
        <v>BAGERHAT</v>
      </c>
      <c r="C13" s="4">
        <f>IFERROR(__xludf.DUMMYFUNCTION("""COMPUTED_VALUE"""),10.0)</f>
        <v>10</v>
      </c>
      <c r="D13" s="2" t="str">
        <f>IFERROR(__xludf.DUMMYFUNCTION("""COMPUTED_VALUE"""),"AGRANI BANK LTD.")</f>
        <v>AGRANI BANK LTD.</v>
      </c>
      <c r="E13" s="2" t="str">
        <f>IFERROR(__xludf.DUMMYFUNCTION("""COMPUTED_VALUE"""),"MUNIGANJ")</f>
        <v>MUNIGANJ</v>
      </c>
      <c r="F13" s="4">
        <f>IFERROR(__xludf.DUMMYFUNCTION("""COMPUTED_VALUE"""),106.0)</f>
        <v>106</v>
      </c>
      <c r="G13" s="5">
        <f>IFERROR(__xludf.DUMMYFUNCTION("""COMPUTED_VALUE"""),1.0011063E7)</f>
        <v>10011063</v>
      </c>
    </row>
    <row r="14">
      <c r="A14" s="3">
        <f>IFERROR(__xludf.DUMMYFUNCTION("""COMPUTED_VALUE"""),401.0)</f>
        <v>401</v>
      </c>
      <c r="B14" s="2" t="str">
        <f>IFERROR(__xludf.DUMMYFUNCTION("""COMPUTED_VALUE"""),"BAGERHAT")</f>
        <v>BAGERHAT</v>
      </c>
      <c r="C14" s="4">
        <f>IFERROR(__xludf.DUMMYFUNCTION("""COMPUTED_VALUE"""),10.0)</f>
        <v>10</v>
      </c>
      <c r="D14" s="2" t="str">
        <f>IFERROR(__xludf.DUMMYFUNCTION("""COMPUTED_VALUE"""),"AGRANI BANK LTD.")</f>
        <v>AGRANI BANK LTD.</v>
      </c>
      <c r="E14" s="2" t="str">
        <f>IFERROR(__xludf.DUMMYFUNCTION("""COMPUTED_VALUE"""),"POLERHAT BAZAR")</f>
        <v>POLERHAT BAZAR</v>
      </c>
      <c r="F14" s="4">
        <f>IFERROR(__xludf.DUMMYFUNCTION("""COMPUTED_VALUE"""),112.0)</f>
        <v>112</v>
      </c>
      <c r="G14" s="5">
        <f>IFERROR(__xludf.DUMMYFUNCTION("""COMPUTED_VALUE"""),1.0011126E7)</f>
        <v>10011126</v>
      </c>
    </row>
    <row r="15">
      <c r="A15" s="3">
        <f>IFERROR(__xludf.DUMMYFUNCTION("""COMPUTED_VALUE"""),401.0)</f>
        <v>401</v>
      </c>
      <c r="B15" s="2" t="str">
        <f>IFERROR(__xludf.DUMMYFUNCTION("""COMPUTED_VALUE"""),"BAGERHAT")</f>
        <v>BAGERHAT</v>
      </c>
      <c r="C15" s="4">
        <f>IFERROR(__xludf.DUMMYFUNCTION("""COMPUTED_VALUE"""),10.0)</f>
        <v>10</v>
      </c>
      <c r="D15" s="2" t="str">
        <f>IFERROR(__xludf.DUMMYFUNCTION("""COMPUTED_VALUE"""),"AGRANI BANK LTD.")</f>
        <v>AGRANI BANK LTD.</v>
      </c>
      <c r="E15" s="2" t="str">
        <f>IFERROR(__xludf.DUMMYFUNCTION("""COMPUTED_VALUE"""),"SANNASHY BAZAR")</f>
        <v>SANNASHY BAZAR</v>
      </c>
      <c r="F15" s="4">
        <f>IFERROR(__xludf.DUMMYFUNCTION("""COMPUTED_VALUE"""),127.0)</f>
        <v>127</v>
      </c>
      <c r="G15" s="5">
        <f>IFERROR(__xludf.DUMMYFUNCTION("""COMPUTED_VALUE"""),1.0011276E7)</f>
        <v>10011276</v>
      </c>
    </row>
    <row r="16">
      <c r="A16" s="3">
        <f>IFERROR(__xludf.DUMMYFUNCTION("""COMPUTED_VALUE"""),203.0)</f>
        <v>203</v>
      </c>
      <c r="B16" s="2" t="str">
        <f>IFERROR(__xludf.DUMMYFUNCTION("""COMPUTED_VALUE"""),"BANDARBAN")</f>
        <v>BANDARBAN</v>
      </c>
      <c r="C16" s="4">
        <f>IFERROR(__xludf.DUMMYFUNCTION("""COMPUTED_VALUE"""),10.0)</f>
        <v>10</v>
      </c>
      <c r="D16" s="2" t="str">
        <f>IFERROR(__xludf.DUMMYFUNCTION("""COMPUTED_VALUE"""),"AGRANI BANK LTD.")</f>
        <v>AGRANI BANK LTD.</v>
      </c>
      <c r="E16" s="2" t="str">
        <f>IFERROR(__xludf.DUMMYFUNCTION("""COMPUTED_VALUE"""),"AZIZ NAGAR")</f>
        <v>AZIZ NAGAR</v>
      </c>
      <c r="F16" s="4">
        <f>IFERROR(__xludf.DUMMYFUNCTION("""COMPUTED_VALUE"""),7.0)</f>
        <v>7</v>
      </c>
      <c r="G16" s="5">
        <f>IFERROR(__xludf.DUMMYFUNCTION("""COMPUTED_VALUE"""),1.0030073E7)</f>
        <v>10030073</v>
      </c>
    </row>
    <row r="17">
      <c r="A17" s="3">
        <f>IFERROR(__xludf.DUMMYFUNCTION("""COMPUTED_VALUE"""),203.0)</f>
        <v>203</v>
      </c>
      <c r="B17" s="2" t="str">
        <f>IFERROR(__xludf.DUMMYFUNCTION("""COMPUTED_VALUE"""),"BANDARBAN")</f>
        <v>BANDARBAN</v>
      </c>
      <c r="C17" s="4">
        <f>IFERROR(__xludf.DUMMYFUNCTION("""COMPUTED_VALUE"""),10.0)</f>
        <v>10</v>
      </c>
      <c r="D17" s="2" t="str">
        <f>IFERROR(__xludf.DUMMYFUNCTION("""COMPUTED_VALUE"""),"AGRANI BANK LTD.")</f>
        <v>AGRANI BANK LTD.</v>
      </c>
      <c r="E17" s="2" t="str">
        <f>IFERROR(__xludf.DUMMYFUNCTION("""COMPUTED_VALUE"""),"BANDARBAN BAZAR")</f>
        <v>BANDARBAN BAZAR</v>
      </c>
      <c r="F17" s="4">
        <f>IFERROR(__xludf.DUMMYFUNCTION("""COMPUTED_VALUE"""),16.0)</f>
        <v>16</v>
      </c>
      <c r="G17" s="5">
        <f>IFERROR(__xludf.DUMMYFUNCTION("""COMPUTED_VALUE"""),1.0030165E7)</f>
        <v>10030165</v>
      </c>
    </row>
    <row r="18">
      <c r="A18" s="3">
        <f>IFERROR(__xludf.DUMMYFUNCTION("""COMPUTED_VALUE"""),304.0)</f>
        <v>304</v>
      </c>
      <c r="B18" s="2" t="str">
        <f>IFERROR(__xludf.DUMMYFUNCTION("""COMPUTED_VALUE"""),"BARGUNA")</f>
        <v>BARGUNA</v>
      </c>
      <c r="C18" s="4">
        <f>IFERROR(__xludf.DUMMYFUNCTION("""COMPUTED_VALUE"""),10.0)</f>
        <v>10</v>
      </c>
      <c r="D18" s="2" t="str">
        <f>IFERROR(__xludf.DUMMYFUNCTION("""COMPUTED_VALUE"""),"AGRANI BANK LTD.")</f>
        <v>AGRANI BANK LTD.</v>
      </c>
      <c r="E18" s="2" t="str">
        <f>IFERROR(__xludf.DUMMYFUNCTION("""COMPUTED_VALUE"""),"AMTALI")</f>
        <v>AMTALI</v>
      </c>
      <c r="F18" s="4">
        <f>IFERROR(__xludf.DUMMYFUNCTION("""COMPUTED_VALUE"""),4.0)</f>
        <v>4</v>
      </c>
      <c r="G18" s="5">
        <f>IFERROR(__xludf.DUMMYFUNCTION("""COMPUTED_VALUE"""),1.0040047E7)</f>
        <v>10040047</v>
      </c>
    </row>
    <row r="19">
      <c r="A19" s="3">
        <f>IFERROR(__xludf.DUMMYFUNCTION("""COMPUTED_VALUE"""),304.0)</f>
        <v>304</v>
      </c>
      <c r="B19" s="2" t="str">
        <f>IFERROR(__xludf.DUMMYFUNCTION("""COMPUTED_VALUE"""),"BARGUNA")</f>
        <v>BARGUNA</v>
      </c>
      <c r="C19" s="4">
        <f>IFERROR(__xludf.DUMMYFUNCTION("""COMPUTED_VALUE"""),10.0)</f>
        <v>10</v>
      </c>
      <c r="D19" s="2" t="str">
        <f>IFERROR(__xludf.DUMMYFUNCTION("""COMPUTED_VALUE"""),"AGRANI BANK LTD.")</f>
        <v>AGRANI BANK LTD.</v>
      </c>
      <c r="E19" s="2" t="str">
        <f>IFERROR(__xludf.DUMMYFUNCTION("""COMPUTED_VALUE"""),"BARGUNA")</f>
        <v>BARGUNA</v>
      </c>
      <c r="F19" s="4">
        <f>IFERROR(__xludf.DUMMYFUNCTION("""COMPUTED_VALUE"""),13.0)</f>
        <v>13</v>
      </c>
      <c r="G19" s="5">
        <f>IFERROR(__xludf.DUMMYFUNCTION("""COMPUTED_VALUE"""),1.0040139E7)</f>
        <v>10040139</v>
      </c>
    </row>
    <row r="20">
      <c r="A20" s="3">
        <f>IFERROR(__xludf.DUMMYFUNCTION("""COMPUTED_VALUE"""),304.0)</f>
        <v>304</v>
      </c>
      <c r="B20" s="2" t="str">
        <f>IFERROR(__xludf.DUMMYFUNCTION("""COMPUTED_VALUE"""),"BARGUNA")</f>
        <v>BARGUNA</v>
      </c>
      <c r="C20" s="4">
        <f>IFERROR(__xludf.DUMMYFUNCTION("""COMPUTED_VALUE"""),10.0)</f>
        <v>10</v>
      </c>
      <c r="D20" s="2" t="str">
        <f>IFERROR(__xludf.DUMMYFUNCTION("""COMPUTED_VALUE"""),"AGRANI BANK LTD.")</f>
        <v>AGRANI BANK LTD.</v>
      </c>
      <c r="E20" s="2" t="str">
        <f>IFERROR(__xludf.DUMMYFUNCTION("""COMPUTED_VALUE"""),"GAZIPURHAT")</f>
        <v>GAZIPURHAT</v>
      </c>
      <c r="F20" s="4">
        <f>IFERROR(__xludf.DUMMYFUNCTION("""COMPUTED_VALUE"""),37.0)</f>
        <v>37</v>
      </c>
      <c r="G20" s="5">
        <f>IFERROR(__xludf.DUMMYFUNCTION("""COMPUTED_VALUE"""),1.0040371E7)</f>
        <v>10040371</v>
      </c>
    </row>
    <row r="21">
      <c r="A21" s="3">
        <f>IFERROR(__xludf.DUMMYFUNCTION("""COMPUTED_VALUE"""),304.0)</f>
        <v>304</v>
      </c>
      <c r="B21" s="2" t="str">
        <f>IFERROR(__xludf.DUMMYFUNCTION("""COMPUTED_VALUE"""),"BARGUNA")</f>
        <v>BARGUNA</v>
      </c>
      <c r="C21" s="4">
        <f>IFERROR(__xludf.DUMMYFUNCTION("""COMPUTED_VALUE"""),10.0)</f>
        <v>10</v>
      </c>
      <c r="D21" s="2" t="str">
        <f>IFERROR(__xludf.DUMMYFUNCTION("""COMPUTED_VALUE"""),"AGRANI BANK LTD.")</f>
        <v>AGRANI BANK LTD.</v>
      </c>
      <c r="E21" s="2" t="str">
        <f>IFERROR(__xludf.DUMMYFUNCTION("""COMPUTED_VALUE"""),"KAKCHIRA")</f>
        <v>KAKCHIRA</v>
      </c>
      <c r="F21" s="4">
        <f>IFERROR(__xludf.DUMMYFUNCTION("""COMPUTED_VALUE"""),49.0)</f>
        <v>49</v>
      </c>
      <c r="G21" s="5">
        <f>IFERROR(__xludf.DUMMYFUNCTION("""COMPUTED_VALUE"""),1.0040492E7)</f>
        <v>10040492</v>
      </c>
    </row>
    <row r="22">
      <c r="A22" s="3">
        <f>IFERROR(__xludf.DUMMYFUNCTION("""COMPUTED_VALUE"""),304.0)</f>
        <v>304</v>
      </c>
      <c r="B22" s="2" t="str">
        <f>IFERROR(__xludf.DUMMYFUNCTION("""COMPUTED_VALUE"""),"BARGUNA")</f>
        <v>BARGUNA</v>
      </c>
      <c r="C22" s="4">
        <f>IFERROR(__xludf.DUMMYFUNCTION("""COMPUTED_VALUE"""),10.0)</f>
        <v>10</v>
      </c>
      <c r="D22" s="2" t="str">
        <f>IFERROR(__xludf.DUMMYFUNCTION("""COMPUTED_VALUE"""),"AGRANI BANK LTD.")</f>
        <v>AGRANI BANK LTD.</v>
      </c>
      <c r="E22" s="2" t="str">
        <f>IFERROR(__xludf.DUMMYFUNCTION("""COMPUTED_VALUE"""),"KAUNIA")</f>
        <v>KAUNIA</v>
      </c>
      <c r="F22" s="4">
        <f>IFERROR(__xludf.DUMMYFUNCTION("""COMPUTED_VALUE"""),52.0)</f>
        <v>52</v>
      </c>
      <c r="G22" s="5">
        <f>IFERROR(__xludf.DUMMYFUNCTION("""COMPUTED_VALUE"""),1.0040526E7)</f>
        <v>10040526</v>
      </c>
    </row>
    <row r="23">
      <c r="A23" s="3">
        <f>IFERROR(__xludf.DUMMYFUNCTION("""COMPUTED_VALUE"""),304.0)</f>
        <v>304</v>
      </c>
      <c r="B23" s="2" t="str">
        <f>IFERROR(__xludf.DUMMYFUNCTION("""COMPUTED_VALUE"""),"BARGUNA")</f>
        <v>BARGUNA</v>
      </c>
      <c r="C23" s="4">
        <f>IFERROR(__xludf.DUMMYFUNCTION("""COMPUTED_VALUE"""),10.0)</f>
        <v>10</v>
      </c>
      <c r="D23" s="2" t="str">
        <f>IFERROR(__xludf.DUMMYFUNCTION("""COMPUTED_VALUE"""),"AGRANI BANK LTD.")</f>
        <v>AGRANI BANK LTD.</v>
      </c>
      <c r="E23" s="2" t="str">
        <f>IFERROR(__xludf.DUMMYFUNCTION("""COMPUTED_VALUE"""),"NALIBANDAR")</f>
        <v>NALIBANDAR</v>
      </c>
      <c r="F23" s="4">
        <f>IFERROR(__xludf.DUMMYFUNCTION("""COMPUTED_VALUE"""),64.0)</f>
        <v>64</v>
      </c>
      <c r="G23" s="5">
        <f>IFERROR(__xludf.DUMMYFUNCTION("""COMPUTED_VALUE"""),1.0040647E7)</f>
        <v>10040647</v>
      </c>
    </row>
    <row r="24">
      <c r="A24" s="3">
        <f>IFERROR(__xludf.DUMMYFUNCTION("""COMPUTED_VALUE"""),304.0)</f>
        <v>304</v>
      </c>
      <c r="B24" s="2" t="str">
        <f>IFERROR(__xludf.DUMMYFUNCTION("""COMPUTED_VALUE"""),"BARGUNA")</f>
        <v>BARGUNA</v>
      </c>
      <c r="C24" s="4">
        <f>IFERROR(__xludf.DUMMYFUNCTION("""COMPUTED_VALUE"""),10.0)</f>
        <v>10</v>
      </c>
      <c r="D24" s="2" t="str">
        <f>IFERROR(__xludf.DUMMYFUNCTION("""COMPUTED_VALUE"""),"AGRANI BANK LTD.")</f>
        <v>AGRANI BANK LTD.</v>
      </c>
      <c r="E24" s="2" t="str">
        <f>IFERROR(__xludf.DUMMYFUNCTION("""COMPUTED_VALUE"""),"TALTALI BAZAR")</f>
        <v>TALTALI BAZAR</v>
      </c>
      <c r="F24" s="4">
        <f>IFERROR(__xludf.DUMMYFUNCTION("""COMPUTED_VALUE"""),73.0)</f>
        <v>73</v>
      </c>
      <c r="G24" s="5">
        <f>IFERROR(__xludf.DUMMYFUNCTION("""COMPUTED_VALUE"""),1.0040739E7)</f>
        <v>10040739</v>
      </c>
    </row>
    <row r="25">
      <c r="A25" s="3">
        <f>IFERROR(__xludf.DUMMYFUNCTION("""COMPUTED_VALUE"""),306.0)</f>
        <v>306</v>
      </c>
      <c r="B25" s="2" t="str">
        <f>IFERROR(__xludf.DUMMYFUNCTION("""COMPUTED_VALUE"""),"BARISHAL")</f>
        <v>BARISHAL</v>
      </c>
      <c r="C25" s="4">
        <f>IFERROR(__xludf.DUMMYFUNCTION("""COMPUTED_VALUE"""),10.0)</f>
        <v>10</v>
      </c>
      <c r="D25" s="2" t="str">
        <f>IFERROR(__xludf.DUMMYFUNCTION("""COMPUTED_VALUE"""),"AGRANI BANK LTD.")</f>
        <v>AGRANI BANK LTD.</v>
      </c>
      <c r="E25" s="2" t="str">
        <f>IFERROR(__xludf.DUMMYFUNCTION("""COMPUTED_VALUE"""),"DHAMURA BANDAR")</f>
        <v>DHAMURA BANDAR</v>
      </c>
      <c r="F25" s="4">
        <f>IFERROR(__xludf.DUMMYFUNCTION("""COMPUTED_VALUE"""),5.0)</f>
        <v>5</v>
      </c>
      <c r="G25" s="5">
        <f>IFERROR(__xludf.DUMMYFUNCTION("""COMPUTED_VALUE"""),1.0060056E7)</f>
        <v>10060056</v>
      </c>
    </row>
    <row r="26">
      <c r="A26" s="3">
        <f>IFERROR(__xludf.DUMMYFUNCTION("""COMPUTED_VALUE"""),306.0)</f>
        <v>306</v>
      </c>
      <c r="B26" s="2" t="str">
        <f>IFERROR(__xludf.DUMMYFUNCTION("""COMPUTED_VALUE"""),"BARISHAL")</f>
        <v>BARISHAL</v>
      </c>
      <c r="C26" s="4">
        <f>IFERROR(__xludf.DUMMYFUNCTION("""COMPUTED_VALUE"""),10.0)</f>
        <v>10</v>
      </c>
      <c r="D26" s="2" t="str">
        <f>IFERROR(__xludf.DUMMYFUNCTION("""COMPUTED_VALUE"""),"AGRANI BANK LTD.")</f>
        <v>AGRANI BANK LTD.</v>
      </c>
      <c r="E26" s="2" t="str">
        <f>IFERROR(__xludf.DUMMYFUNCTION("""COMPUTED_VALUE"""),"RAHUTHKATI BANDAR")</f>
        <v>RAHUTHKATI BANDAR</v>
      </c>
      <c r="F26" s="4">
        <f>IFERROR(__xludf.DUMMYFUNCTION("""COMPUTED_VALUE"""),8.0)</f>
        <v>8</v>
      </c>
      <c r="G26" s="5">
        <f>IFERROR(__xludf.DUMMYFUNCTION("""COMPUTED_VALUE"""),1.0060085E7)</f>
        <v>10060085</v>
      </c>
    </row>
    <row r="27">
      <c r="A27" s="3">
        <f>IFERROR(__xludf.DUMMYFUNCTION("""COMPUTED_VALUE"""),306.0)</f>
        <v>306</v>
      </c>
      <c r="B27" s="2" t="str">
        <f>IFERROR(__xludf.DUMMYFUNCTION("""COMPUTED_VALUE"""),"BARISHAL")</f>
        <v>BARISHAL</v>
      </c>
      <c r="C27" s="4">
        <f>IFERROR(__xludf.DUMMYFUNCTION("""COMPUTED_VALUE"""),10.0)</f>
        <v>10</v>
      </c>
      <c r="D27" s="2" t="str">
        <f>IFERROR(__xludf.DUMMYFUNCTION("""COMPUTED_VALUE"""),"AGRANI BANK LTD.")</f>
        <v>AGRANI BANK LTD.</v>
      </c>
      <c r="E27" s="2" t="str">
        <f>IFERROR(__xludf.DUMMYFUNCTION("""COMPUTED_VALUE"""),"RANIR HAT")</f>
        <v>RANIR HAT</v>
      </c>
      <c r="F27" s="4">
        <f>IFERROR(__xludf.DUMMYFUNCTION("""COMPUTED_VALUE"""),14.0)</f>
        <v>14</v>
      </c>
      <c r="G27" s="5">
        <f>IFERROR(__xludf.DUMMYFUNCTION("""COMPUTED_VALUE"""),1.0060148E7)</f>
        <v>10060148</v>
      </c>
    </row>
    <row r="28">
      <c r="A28" s="3">
        <f>IFERROR(__xludf.DUMMYFUNCTION("""COMPUTED_VALUE"""),306.0)</f>
        <v>306</v>
      </c>
      <c r="B28" s="2" t="str">
        <f>IFERROR(__xludf.DUMMYFUNCTION("""COMPUTED_VALUE"""),"BARISHAL")</f>
        <v>BARISHAL</v>
      </c>
      <c r="C28" s="4">
        <f>IFERROR(__xludf.DUMMYFUNCTION("""COMPUTED_VALUE"""),10.0)</f>
        <v>10</v>
      </c>
      <c r="D28" s="2" t="str">
        <f>IFERROR(__xludf.DUMMYFUNCTION("""COMPUTED_VALUE"""),"AGRANI BANK LTD.")</f>
        <v>AGRANI BANK LTD.</v>
      </c>
      <c r="E28" s="2" t="str">
        <f>IFERROR(__xludf.DUMMYFUNCTION("""COMPUTED_VALUE"""),"SATLA BAZAR")</f>
        <v>SATLA BAZAR</v>
      </c>
      <c r="F28" s="4">
        <f>IFERROR(__xludf.DUMMYFUNCTION("""COMPUTED_VALUE"""),17.0)</f>
        <v>17</v>
      </c>
      <c r="G28" s="5">
        <f>IFERROR(__xludf.DUMMYFUNCTION("""COMPUTED_VALUE"""),1.0060177E7)</f>
        <v>10060177</v>
      </c>
    </row>
    <row r="29">
      <c r="A29" s="3">
        <f>IFERROR(__xludf.DUMMYFUNCTION("""COMPUTED_VALUE"""),306.0)</f>
        <v>306</v>
      </c>
      <c r="B29" s="2" t="str">
        <f>IFERROR(__xludf.DUMMYFUNCTION("""COMPUTED_VALUE"""),"BARISHAL")</f>
        <v>BARISHAL</v>
      </c>
      <c r="C29" s="4">
        <f>IFERROR(__xludf.DUMMYFUNCTION("""COMPUTED_VALUE"""),10.0)</f>
        <v>10</v>
      </c>
      <c r="D29" s="2" t="str">
        <f>IFERROR(__xludf.DUMMYFUNCTION("""COMPUTED_VALUE"""),"AGRANI BANK LTD.")</f>
        <v>AGRANI BANK LTD.</v>
      </c>
      <c r="E29" s="2" t="str">
        <f>IFERROR(__xludf.DUMMYFUNCTION("""COMPUTED_VALUE"""),"BANARI PARA")</f>
        <v>BANARI PARA</v>
      </c>
      <c r="F29" s="4">
        <f>IFERROR(__xludf.DUMMYFUNCTION("""COMPUTED_VALUE"""),25.0)</f>
        <v>25</v>
      </c>
      <c r="G29" s="5">
        <f>IFERROR(__xludf.DUMMYFUNCTION("""COMPUTED_VALUE"""),1.0060256E7)</f>
        <v>10060256</v>
      </c>
    </row>
    <row r="30">
      <c r="A30" s="3">
        <f>IFERROR(__xludf.DUMMYFUNCTION("""COMPUTED_VALUE"""),306.0)</f>
        <v>306</v>
      </c>
      <c r="B30" s="2" t="str">
        <f>IFERROR(__xludf.DUMMYFUNCTION("""COMPUTED_VALUE"""),"BARISHAL")</f>
        <v>BARISHAL</v>
      </c>
      <c r="C30" s="4">
        <f>IFERROR(__xludf.DUMMYFUNCTION("""COMPUTED_VALUE"""),10.0)</f>
        <v>10</v>
      </c>
      <c r="D30" s="2" t="str">
        <f>IFERROR(__xludf.DUMMYFUNCTION("""COMPUTED_VALUE"""),"AGRANI BANK LTD.")</f>
        <v>AGRANI BANK LTD.</v>
      </c>
      <c r="E30" s="2" t="str">
        <f>IFERROR(__xludf.DUMMYFUNCTION("""COMPUTED_VALUE"""),"BATAJORE")</f>
        <v>BATAJORE</v>
      </c>
      <c r="F30" s="4">
        <f>IFERROR(__xludf.DUMMYFUNCTION("""COMPUTED_VALUE"""),37.0)</f>
        <v>37</v>
      </c>
      <c r="G30" s="5">
        <f>IFERROR(__xludf.DUMMYFUNCTION("""COMPUTED_VALUE"""),1.0060377E7)</f>
        <v>10060377</v>
      </c>
    </row>
    <row r="31">
      <c r="A31" s="3">
        <f>IFERROR(__xludf.DUMMYFUNCTION("""COMPUTED_VALUE"""),306.0)</f>
        <v>306</v>
      </c>
      <c r="B31" s="2" t="str">
        <f>IFERROR(__xludf.DUMMYFUNCTION("""COMPUTED_VALUE"""),"BARISHAL")</f>
        <v>BARISHAL</v>
      </c>
      <c r="C31" s="4">
        <f>IFERROR(__xludf.DUMMYFUNCTION("""COMPUTED_VALUE"""),10.0)</f>
        <v>10</v>
      </c>
      <c r="D31" s="2" t="str">
        <f>IFERROR(__xludf.DUMMYFUNCTION("""COMPUTED_VALUE"""),"AGRANI BANK LTD.")</f>
        <v>AGRANI BANK LTD.</v>
      </c>
      <c r="E31" s="2" t="str">
        <f>IFERROR(__xludf.DUMMYFUNCTION("""COMPUTED_VALUE"""),"BOTTALA")</f>
        <v>BOTTALA</v>
      </c>
      <c r="F31" s="4">
        <f>IFERROR(__xludf.DUMMYFUNCTION("""COMPUTED_VALUE"""),52.0)</f>
        <v>52</v>
      </c>
      <c r="G31" s="5">
        <f>IFERROR(__xludf.DUMMYFUNCTION("""COMPUTED_VALUE"""),1.0060522E7)</f>
        <v>10060522</v>
      </c>
    </row>
    <row r="32">
      <c r="A32" s="3">
        <f>IFERROR(__xludf.DUMMYFUNCTION("""COMPUTED_VALUE"""),306.0)</f>
        <v>306</v>
      </c>
      <c r="B32" s="2" t="str">
        <f>IFERROR(__xludf.DUMMYFUNCTION("""COMPUTED_VALUE"""),"BARISHAL")</f>
        <v>BARISHAL</v>
      </c>
      <c r="C32" s="4">
        <f>IFERROR(__xludf.DUMMYFUNCTION("""COMPUTED_VALUE"""),10.0)</f>
        <v>10</v>
      </c>
      <c r="D32" s="2" t="str">
        <f>IFERROR(__xludf.DUMMYFUNCTION("""COMPUTED_VALUE"""),"AGRANI BANK LTD.")</f>
        <v>AGRANI BANK LTD.</v>
      </c>
      <c r="E32" s="2" t="str">
        <f>IFERROR(__xludf.DUMMYFUNCTION("""COMPUTED_VALUE"""),"BUKHAI NAGAR")</f>
        <v>BUKHAI NAGAR</v>
      </c>
      <c r="F32" s="4">
        <f>IFERROR(__xludf.DUMMYFUNCTION("""COMPUTED_VALUE"""),55.0)</f>
        <v>55</v>
      </c>
      <c r="G32" s="5">
        <f>IFERROR(__xludf.DUMMYFUNCTION("""COMPUTED_VALUE"""),1.0060551E7)</f>
        <v>10060551</v>
      </c>
    </row>
    <row r="33">
      <c r="A33" s="3">
        <f>IFERROR(__xludf.DUMMYFUNCTION("""COMPUTED_VALUE"""),306.0)</f>
        <v>306</v>
      </c>
      <c r="B33" s="2" t="str">
        <f>IFERROR(__xludf.DUMMYFUNCTION("""COMPUTED_VALUE"""),"BARISHAL")</f>
        <v>BARISHAL</v>
      </c>
      <c r="C33" s="4">
        <f>IFERROR(__xludf.DUMMYFUNCTION("""COMPUTED_VALUE"""),10.0)</f>
        <v>10</v>
      </c>
      <c r="D33" s="2" t="str">
        <f>IFERROR(__xludf.DUMMYFUNCTION("""COMPUTED_VALUE"""),"AGRANI BANK LTD.")</f>
        <v>AGRANI BANK LTD.</v>
      </c>
      <c r="E33" s="2" t="str">
        <f>IFERROR(__xludf.DUMMYFUNCTION("""COMPUTED_VALUE"""),"CHAWK BAZAR")</f>
        <v>CHAWK BAZAR</v>
      </c>
      <c r="F33" s="4">
        <f>IFERROR(__xludf.DUMMYFUNCTION("""COMPUTED_VALUE"""),70.0)</f>
        <v>70</v>
      </c>
      <c r="G33" s="5">
        <f>IFERROR(__xludf.DUMMYFUNCTION("""COMPUTED_VALUE"""),1.0060706E7)</f>
        <v>10060706</v>
      </c>
    </row>
    <row r="34">
      <c r="A34" s="3">
        <f>IFERROR(__xludf.DUMMYFUNCTION("""COMPUTED_VALUE"""),306.0)</f>
        <v>306</v>
      </c>
      <c r="B34" s="2" t="str">
        <f>IFERROR(__xludf.DUMMYFUNCTION("""COMPUTED_VALUE"""),"BARISHAL")</f>
        <v>BARISHAL</v>
      </c>
      <c r="C34" s="4">
        <f>IFERROR(__xludf.DUMMYFUNCTION("""COMPUTED_VALUE"""),10.0)</f>
        <v>10</v>
      </c>
      <c r="D34" s="2" t="str">
        <f>IFERROR(__xludf.DUMMYFUNCTION("""COMPUTED_VALUE"""),"AGRANI BANK LTD.")</f>
        <v>AGRANI BANK LTD.</v>
      </c>
      <c r="E34" s="2" t="str">
        <f>IFERROR(__xludf.DUMMYFUNCTION("""COMPUTED_VALUE"""),"GOURNADI")</f>
        <v>GOURNADI</v>
      </c>
      <c r="F34" s="4">
        <f>IFERROR(__xludf.DUMMYFUNCTION("""COMPUTED_VALUE"""),82.0)</f>
        <v>82</v>
      </c>
      <c r="G34" s="5">
        <f>IFERROR(__xludf.DUMMYFUNCTION("""COMPUTED_VALUE"""),1.0060827E7)</f>
        <v>10060827</v>
      </c>
    </row>
    <row r="35">
      <c r="A35" s="3">
        <f>IFERROR(__xludf.DUMMYFUNCTION("""COMPUTED_VALUE"""),306.0)</f>
        <v>306</v>
      </c>
      <c r="B35" s="2" t="str">
        <f>IFERROR(__xludf.DUMMYFUNCTION("""COMPUTED_VALUE"""),"BARISHAL")</f>
        <v>BARISHAL</v>
      </c>
      <c r="C35" s="4">
        <f>IFERROR(__xludf.DUMMYFUNCTION("""COMPUTED_VALUE"""),10.0)</f>
        <v>10</v>
      </c>
      <c r="D35" s="2" t="str">
        <f>IFERROR(__xludf.DUMMYFUNCTION("""COMPUTED_VALUE"""),"AGRANI BANK LTD.")</f>
        <v>AGRANI BANK LTD.</v>
      </c>
      <c r="E35" s="2" t="str">
        <f>IFERROR(__xludf.DUMMYFUNCTION("""COMPUTED_VALUE"""),"MOTHERKATHI")</f>
        <v>MOTHERKATHI</v>
      </c>
      <c r="F35" s="4">
        <f>IFERROR(__xludf.DUMMYFUNCTION("""COMPUTED_VALUE"""),140.0)</f>
        <v>140</v>
      </c>
      <c r="G35" s="5">
        <f>IFERROR(__xludf.DUMMYFUNCTION("""COMPUTED_VALUE"""),1.00614E7)</f>
        <v>10061400</v>
      </c>
    </row>
    <row r="36">
      <c r="A36" s="3">
        <f>IFERROR(__xludf.DUMMYFUNCTION("""COMPUTED_VALUE"""),306.0)</f>
        <v>306</v>
      </c>
      <c r="B36" s="2" t="str">
        <f>IFERROR(__xludf.DUMMYFUNCTION("""COMPUTED_VALUE"""),"BARISHAL")</f>
        <v>BARISHAL</v>
      </c>
      <c r="C36" s="4">
        <f>IFERROR(__xludf.DUMMYFUNCTION("""COMPUTED_VALUE"""),10.0)</f>
        <v>10</v>
      </c>
      <c r="D36" s="2" t="str">
        <f>IFERROR(__xludf.DUMMYFUNCTION("""COMPUTED_VALUE"""),"AGRANI BANK LTD.")</f>
        <v>AGRANI BANK LTD.</v>
      </c>
      <c r="E36" s="2" t="str">
        <f>IFERROR(__xludf.DUMMYFUNCTION("""COMPUTED_VALUE"""),"MULADI")</f>
        <v>MULADI</v>
      </c>
      <c r="F36" s="4">
        <f>IFERROR(__xludf.DUMMYFUNCTION("""COMPUTED_VALUE"""),145.0)</f>
        <v>145</v>
      </c>
      <c r="G36" s="5">
        <f>IFERROR(__xludf.DUMMYFUNCTION("""COMPUTED_VALUE"""),1.0061455E7)</f>
        <v>10061455</v>
      </c>
    </row>
    <row r="37">
      <c r="A37" s="3">
        <f>IFERROR(__xludf.DUMMYFUNCTION("""COMPUTED_VALUE"""),306.0)</f>
        <v>306</v>
      </c>
      <c r="B37" s="2" t="str">
        <f>IFERROR(__xludf.DUMMYFUNCTION("""COMPUTED_VALUE"""),"BARISHAL")</f>
        <v>BARISHAL</v>
      </c>
      <c r="C37" s="4">
        <f>IFERROR(__xludf.DUMMYFUNCTION("""COMPUTED_VALUE"""),10.0)</f>
        <v>10</v>
      </c>
      <c r="D37" s="2" t="str">
        <f>IFERROR(__xludf.DUMMYFUNCTION("""COMPUTED_VALUE"""),"AGRANI BANK LTD.")</f>
        <v>AGRANI BANK LTD.</v>
      </c>
      <c r="E37" s="2" t="str">
        <f>IFERROR(__xludf.DUMMYFUNCTION("""COMPUTED_VALUE"""),"PAISHARHAT")</f>
        <v>PAISHARHAT</v>
      </c>
      <c r="F37" s="4">
        <f>IFERROR(__xludf.DUMMYFUNCTION("""COMPUTED_VALUE"""),160.0)</f>
        <v>160</v>
      </c>
      <c r="G37" s="5">
        <f>IFERROR(__xludf.DUMMYFUNCTION("""COMPUTED_VALUE"""),1.00616E7)</f>
        <v>10061600</v>
      </c>
    </row>
    <row r="38">
      <c r="A38" s="3">
        <f>IFERROR(__xludf.DUMMYFUNCTION("""COMPUTED_VALUE"""),306.0)</f>
        <v>306</v>
      </c>
      <c r="B38" s="2" t="str">
        <f>IFERROR(__xludf.DUMMYFUNCTION("""COMPUTED_VALUE"""),"BARISHAL")</f>
        <v>BARISHAL</v>
      </c>
      <c r="C38" s="4">
        <f>IFERROR(__xludf.DUMMYFUNCTION("""COMPUTED_VALUE"""),10.0)</f>
        <v>10</v>
      </c>
      <c r="D38" s="2" t="str">
        <f>IFERROR(__xludf.DUMMYFUNCTION("""COMPUTED_VALUE"""),"AGRANI BANK LTD.")</f>
        <v>AGRANI BANK LTD.</v>
      </c>
      <c r="E38" s="2" t="str">
        <f>IFERROR(__xludf.DUMMYFUNCTION("""COMPUTED_VALUE"""),"PURAN BAZAR")</f>
        <v>PURAN BAZAR</v>
      </c>
      <c r="F38" s="4">
        <f>IFERROR(__xludf.DUMMYFUNCTION("""COMPUTED_VALUE"""),169.0)</f>
        <v>169</v>
      </c>
      <c r="G38" s="5">
        <f>IFERROR(__xludf.DUMMYFUNCTION("""COMPUTED_VALUE"""),1.0061697E7)</f>
        <v>10061697</v>
      </c>
    </row>
    <row r="39">
      <c r="A39" s="3">
        <f>IFERROR(__xludf.DUMMYFUNCTION("""COMPUTED_VALUE"""),306.0)</f>
        <v>306</v>
      </c>
      <c r="B39" s="2" t="str">
        <f>IFERROR(__xludf.DUMMYFUNCTION("""COMPUTED_VALUE"""),"BARISHAL")</f>
        <v>BARISHAL</v>
      </c>
      <c r="C39" s="4">
        <f>IFERROR(__xludf.DUMMYFUNCTION("""COMPUTED_VALUE"""),10.0)</f>
        <v>10</v>
      </c>
      <c r="D39" s="2" t="str">
        <f>IFERROR(__xludf.DUMMYFUNCTION("""COMPUTED_VALUE"""),"AGRANI BANK LTD.")</f>
        <v>AGRANI BANK LTD.</v>
      </c>
      <c r="E39" s="2" t="str">
        <f>IFERROR(__xludf.DUMMYFUNCTION("""COMPUTED_VALUE"""),"SADAR ROAD")</f>
        <v>SADAR ROAD</v>
      </c>
      <c r="F39" s="4">
        <f>IFERROR(__xludf.DUMMYFUNCTION("""COMPUTED_VALUE"""),181.0)</f>
        <v>181</v>
      </c>
      <c r="G39" s="5">
        <f>IFERROR(__xludf.DUMMYFUNCTION("""COMPUTED_VALUE"""),1.0061813E7)</f>
        <v>10061813</v>
      </c>
    </row>
    <row r="40">
      <c r="A40" s="3">
        <f>IFERROR(__xludf.DUMMYFUNCTION("""COMPUTED_VALUE"""),306.0)</f>
        <v>306</v>
      </c>
      <c r="B40" s="2" t="str">
        <f>IFERROR(__xludf.DUMMYFUNCTION("""COMPUTED_VALUE"""),"BARISHAL")</f>
        <v>BARISHAL</v>
      </c>
      <c r="C40" s="4">
        <f>IFERROR(__xludf.DUMMYFUNCTION("""COMPUTED_VALUE"""),10.0)</f>
        <v>10</v>
      </c>
      <c r="D40" s="2" t="str">
        <f>IFERROR(__xludf.DUMMYFUNCTION("""COMPUTED_VALUE"""),"AGRANI BANK LTD.")</f>
        <v>AGRANI BANK LTD.</v>
      </c>
      <c r="E40" s="2" t="str">
        <f>IFERROR(__xludf.DUMMYFUNCTION("""COMPUTED_VALUE"""),"TORKI BANDAR")</f>
        <v>TORKI BANDAR</v>
      </c>
      <c r="F40" s="4">
        <f>IFERROR(__xludf.DUMMYFUNCTION("""COMPUTED_VALUE"""),221.0)</f>
        <v>221</v>
      </c>
      <c r="G40" s="5">
        <f>IFERROR(__xludf.DUMMYFUNCTION("""COMPUTED_VALUE"""),1.0062212E7)</f>
        <v>10062212</v>
      </c>
    </row>
    <row r="41">
      <c r="A41" s="3">
        <f>IFERROR(__xludf.DUMMYFUNCTION("""COMPUTED_VALUE"""),306.0)</f>
        <v>306</v>
      </c>
      <c r="B41" s="2" t="str">
        <f>IFERROR(__xludf.DUMMYFUNCTION("""COMPUTED_VALUE"""),"BARISHAL")</f>
        <v>BARISHAL</v>
      </c>
      <c r="C41" s="4">
        <f>IFERROR(__xludf.DUMMYFUNCTION("""COMPUTED_VALUE"""),10.0)</f>
        <v>10</v>
      </c>
      <c r="D41" s="2" t="str">
        <f>IFERROR(__xludf.DUMMYFUNCTION("""COMPUTED_VALUE"""),"AGRANI BANK LTD.")</f>
        <v>AGRANI BANK LTD.</v>
      </c>
      <c r="E41" s="2" t="str">
        <f>IFERROR(__xludf.DUMMYFUNCTION("""COMPUTED_VALUE"""),"ULANIA")</f>
        <v>ULANIA</v>
      </c>
      <c r="F41" s="4">
        <f>IFERROR(__xludf.DUMMYFUNCTION("""COMPUTED_VALUE"""),223.0)</f>
        <v>223</v>
      </c>
      <c r="G41" s="5">
        <f>IFERROR(__xludf.DUMMYFUNCTION("""COMPUTED_VALUE"""),1.0062238E7)</f>
        <v>10062238</v>
      </c>
    </row>
    <row r="42">
      <c r="A42" s="3">
        <f>IFERROR(__xludf.DUMMYFUNCTION("""COMPUTED_VALUE"""),309.0)</f>
        <v>309</v>
      </c>
      <c r="B42" s="2" t="str">
        <f>IFERROR(__xludf.DUMMYFUNCTION("""COMPUTED_VALUE"""),"BHOLA")</f>
        <v>BHOLA</v>
      </c>
      <c r="C42" s="4">
        <f>IFERROR(__xludf.DUMMYFUNCTION("""COMPUTED_VALUE"""),10.0)</f>
        <v>10</v>
      </c>
      <c r="D42" s="2" t="str">
        <f>IFERROR(__xludf.DUMMYFUNCTION("""COMPUTED_VALUE"""),"AGRANI BANK LTD.")</f>
        <v>AGRANI BANK LTD.</v>
      </c>
      <c r="E42" s="2" t="str">
        <f>IFERROR(__xludf.DUMMYFUNCTION("""COMPUTED_VALUE"""),"BANGLABAZAR")</f>
        <v>BANGLABAZAR</v>
      </c>
      <c r="F42" s="4">
        <f>IFERROR(__xludf.DUMMYFUNCTION("""COMPUTED_VALUE"""),7.0)</f>
        <v>7</v>
      </c>
      <c r="G42" s="5">
        <f>IFERROR(__xludf.DUMMYFUNCTION("""COMPUTED_VALUE"""),1.0090071E7)</f>
        <v>10090071</v>
      </c>
    </row>
    <row r="43">
      <c r="A43" s="3">
        <f>IFERROR(__xludf.DUMMYFUNCTION("""COMPUTED_VALUE"""),309.0)</f>
        <v>309</v>
      </c>
      <c r="B43" s="2" t="str">
        <f>IFERROR(__xludf.DUMMYFUNCTION("""COMPUTED_VALUE"""),"BHOLA")</f>
        <v>BHOLA</v>
      </c>
      <c r="C43" s="4">
        <f>IFERROR(__xludf.DUMMYFUNCTION("""COMPUTED_VALUE"""),10.0)</f>
        <v>10</v>
      </c>
      <c r="D43" s="2" t="str">
        <f>IFERROR(__xludf.DUMMYFUNCTION("""COMPUTED_VALUE"""),"AGRANI BANK LTD.")</f>
        <v>AGRANI BANK LTD.</v>
      </c>
      <c r="E43" s="2" t="str">
        <f>IFERROR(__xludf.DUMMYFUNCTION("""COMPUTED_VALUE"""),"BHOLA")</f>
        <v>BHOLA</v>
      </c>
      <c r="F43" s="4">
        <f>IFERROR(__xludf.DUMMYFUNCTION("""COMPUTED_VALUE"""),10.0)</f>
        <v>10</v>
      </c>
      <c r="G43" s="5">
        <f>IFERROR(__xludf.DUMMYFUNCTION("""COMPUTED_VALUE"""),1.0090105E7)</f>
        <v>10090105</v>
      </c>
    </row>
    <row r="44">
      <c r="A44" s="3">
        <f>IFERROR(__xludf.DUMMYFUNCTION("""COMPUTED_VALUE"""),309.0)</f>
        <v>309</v>
      </c>
      <c r="B44" s="2" t="str">
        <f>IFERROR(__xludf.DUMMYFUNCTION("""COMPUTED_VALUE"""),"BHOLA")</f>
        <v>BHOLA</v>
      </c>
      <c r="C44" s="4">
        <f>IFERROR(__xludf.DUMMYFUNCTION("""COMPUTED_VALUE"""),10.0)</f>
        <v>10</v>
      </c>
      <c r="D44" s="2" t="str">
        <f>IFERROR(__xludf.DUMMYFUNCTION("""COMPUTED_VALUE"""),"AGRANI BANK LTD.")</f>
        <v>AGRANI BANK LTD.</v>
      </c>
      <c r="E44" s="2" t="str">
        <f>IFERROR(__xludf.DUMMYFUNCTION("""COMPUTED_VALUE"""),"BORHANUDDIN")</f>
        <v>BORHANUDDIN</v>
      </c>
      <c r="F44" s="4">
        <f>IFERROR(__xludf.DUMMYFUNCTION("""COMPUTED_VALUE"""),19.0)</f>
        <v>19</v>
      </c>
      <c r="G44" s="5">
        <f>IFERROR(__xludf.DUMMYFUNCTION("""COMPUTED_VALUE"""),1.0090192E7)</f>
        <v>10090192</v>
      </c>
    </row>
    <row r="45">
      <c r="A45" s="3">
        <f>IFERROR(__xludf.DUMMYFUNCTION("""COMPUTED_VALUE"""),309.0)</f>
        <v>309</v>
      </c>
      <c r="B45" s="2" t="str">
        <f>IFERROR(__xludf.DUMMYFUNCTION("""COMPUTED_VALUE"""),"BHOLA")</f>
        <v>BHOLA</v>
      </c>
      <c r="C45" s="4">
        <f>IFERROR(__xludf.DUMMYFUNCTION("""COMPUTED_VALUE"""),10.0)</f>
        <v>10</v>
      </c>
      <c r="D45" s="2" t="str">
        <f>IFERROR(__xludf.DUMMYFUNCTION("""COMPUTED_VALUE"""),"AGRANI BANK LTD.")</f>
        <v>AGRANI BANK LTD.</v>
      </c>
      <c r="E45" s="2" t="str">
        <f>IFERROR(__xludf.DUMMYFUNCTION("""COMPUTED_VALUE"""),"CHAR FASSION BAZAR")</f>
        <v>CHAR FASSION BAZAR</v>
      </c>
      <c r="F45" s="4">
        <f>IFERROR(__xludf.DUMMYFUNCTION("""COMPUTED_VALUE"""),25.0)</f>
        <v>25</v>
      </c>
      <c r="G45" s="5">
        <f>IFERROR(__xludf.DUMMYFUNCTION("""COMPUTED_VALUE"""),1.0090255E7)</f>
        <v>10090255</v>
      </c>
    </row>
    <row r="46">
      <c r="A46" s="3">
        <f>IFERROR(__xludf.DUMMYFUNCTION("""COMPUTED_VALUE"""),309.0)</f>
        <v>309</v>
      </c>
      <c r="B46" s="2" t="str">
        <f>IFERROR(__xludf.DUMMYFUNCTION("""COMPUTED_VALUE"""),"BHOLA")</f>
        <v>BHOLA</v>
      </c>
      <c r="C46" s="4">
        <f>IFERROR(__xludf.DUMMYFUNCTION("""COMPUTED_VALUE"""),10.0)</f>
        <v>10</v>
      </c>
      <c r="D46" s="2" t="str">
        <f>IFERROR(__xludf.DUMMYFUNCTION("""COMPUTED_VALUE"""),"AGRANI BANK LTD.")</f>
        <v>AGRANI BANK LTD.</v>
      </c>
      <c r="E46" s="2" t="str">
        <f>IFERROR(__xludf.DUMMYFUNCTION("""COMPUTED_VALUE"""),"CHAR SHASHI BHUSON")</f>
        <v>CHAR SHASHI BHUSON</v>
      </c>
      <c r="F46" s="4">
        <f>IFERROR(__xludf.DUMMYFUNCTION("""COMPUTED_VALUE"""),28.0)</f>
        <v>28</v>
      </c>
      <c r="G46" s="5">
        <f>IFERROR(__xludf.DUMMYFUNCTION("""COMPUTED_VALUE"""),1.0090284E7)</f>
        <v>10090284</v>
      </c>
    </row>
    <row r="47">
      <c r="A47" s="3">
        <f>IFERROR(__xludf.DUMMYFUNCTION("""COMPUTED_VALUE"""),309.0)</f>
        <v>309</v>
      </c>
      <c r="B47" s="2" t="str">
        <f>IFERROR(__xludf.DUMMYFUNCTION("""COMPUTED_VALUE"""),"BHOLA")</f>
        <v>BHOLA</v>
      </c>
      <c r="C47" s="4">
        <f>IFERROR(__xludf.DUMMYFUNCTION("""COMPUTED_VALUE"""),10.0)</f>
        <v>10</v>
      </c>
      <c r="D47" s="2" t="str">
        <f>IFERROR(__xludf.DUMMYFUNCTION("""COMPUTED_VALUE"""),"AGRANI BANK LTD.")</f>
        <v>AGRANI BANK LTD.</v>
      </c>
      <c r="E47" s="2" t="str">
        <f>IFERROR(__xludf.DUMMYFUNCTION("""COMPUTED_VALUE"""),"DAULATKHAN")</f>
        <v>DAULATKHAN</v>
      </c>
      <c r="F47" s="4">
        <f>IFERROR(__xludf.DUMMYFUNCTION("""COMPUTED_VALUE"""),37.0)</f>
        <v>37</v>
      </c>
      <c r="G47" s="5">
        <f>IFERROR(__xludf.DUMMYFUNCTION("""COMPUTED_VALUE"""),1.0090376E7)</f>
        <v>10090376</v>
      </c>
    </row>
    <row r="48">
      <c r="A48" s="3">
        <f>IFERROR(__xludf.DUMMYFUNCTION("""COMPUTED_VALUE"""),309.0)</f>
        <v>309</v>
      </c>
      <c r="B48" s="2" t="str">
        <f>IFERROR(__xludf.DUMMYFUNCTION("""COMPUTED_VALUE"""),"BHOLA")</f>
        <v>BHOLA</v>
      </c>
      <c r="C48" s="4">
        <f>IFERROR(__xludf.DUMMYFUNCTION("""COMPUTED_VALUE"""),10.0)</f>
        <v>10</v>
      </c>
      <c r="D48" s="2" t="str">
        <f>IFERROR(__xludf.DUMMYFUNCTION("""COMPUTED_VALUE"""),"AGRANI BANK LTD.")</f>
        <v>AGRANI BANK LTD.</v>
      </c>
      <c r="E48" s="2" t="str">
        <f>IFERROR(__xludf.DUMMYFUNCTION("""COMPUTED_VALUE"""),"KALINATH RAER BAZAR")</f>
        <v>KALINATH RAER BAZAR</v>
      </c>
      <c r="F48" s="4">
        <f>IFERROR(__xludf.DUMMYFUNCTION("""COMPUTED_VALUE"""),55.0)</f>
        <v>55</v>
      </c>
      <c r="G48" s="5">
        <f>IFERROR(__xludf.DUMMYFUNCTION("""COMPUTED_VALUE"""),1.009055E7)</f>
        <v>10090550</v>
      </c>
    </row>
    <row r="49">
      <c r="A49" s="3">
        <f>IFERROR(__xludf.DUMMYFUNCTION("""COMPUTED_VALUE"""),309.0)</f>
        <v>309</v>
      </c>
      <c r="B49" s="2" t="str">
        <f>IFERROR(__xludf.DUMMYFUNCTION("""COMPUTED_VALUE"""),"BHOLA")</f>
        <v>BHOLA</v>
      </c>
      <c r="C49" s="4">
        <f>IFERROR(__xludf.DUMMYFUNCTION("""COMPUTED_VALUE"""),10.0)</f>
        <v>10</v>
      </c>
      <c r="D49" s="2" t="str">
        <f>IFERROR(__xludf.DUMMYFUNCTION("""COMPUTED_VALUE"""),"AGRANI BANK LTD.")</f>
        <v>AGRANI BANK LTD.</v>
      </c>
      <c r="E49" s="2" t="str">
        <f>IFERROR(__xludf.DUMMYFUNCTION("""COMPUTED_VALUE"""),"KHAIRHAT")</f>
        <v>KHAIRHAT</v>
      </c>
      <c r="F49" s="4">
        <f>IFERROR(__xludf.DUMMYFUNCTION("""COMPUTED_VALUE"""),61.0)</f>
        <v>61</v>
      </c>
      <c r="G49" s="5">
        <f>IFERROR(__xludf.DUMMYFUNCTION("""COMPUTED_VALUE"""),1.0090613E7)</f>
        <v>10090613</v>
      </c>
    </row>
    <row r="50">
      <c r="A50" s="3">
        <f>IFERROR(__xludf.DUMMYFUNCTION("""COMPUTED_VALUE"""),309.0)</f>
        <v>309</v>
      </c>
      <c r="B50" s="2" t="str">
        <f>IFERROR(__xludf.DUMMYFUNCTION("""COMPUTED_VALUE"""),"BHOLA")</f>
        <v>BHOLA</v>
      </c>
      <c r="C50" s="4">
        <f>IFERROR(__xludf.DUMMYFUNCTION("""COMPUTED_VALUE"""),10.0)</f>
        <v>10</v>
      </c>
      <c r="D50" s="2" t="str">
        <f>IFERROR(__xludf.DUMMYFUNCTION("""COMPUTED_VALUE"""),"AGRANI BANK LTD.")</f>
        <v>AGRANI BANK LTD.</v>
      </c>
      <c r="E50" s="2" t="str">
        <f>IFERROR(__xludf.DUMMYFUNCTION("""COMPUTED_VALUE"""),"LALMOHAN")</f>
        <v>LALMOHAN</v>
      </c>
      <c r="F50" s="4">
        <f>IFERROR(__xludf.DUMMYFUNCTION("""COMPUTED_VALUE"""),70.0)</f>
        <v>70</v>
      </c>
      <c r="G50" s="5">
        <f>IFERROR(__xludf.DUMMYFUNCTION("""COMPUTED_VALUE"""),1.0090705E7)</f>
        <v>10090705</v>
      </c>
    </row>
    <row r="51">
      <c r="A51" s="3">
        <f>IFERROR(__xludf.DUMMYFUNCTION("""COMPUTED_VALUE"""),309.0)</f>
        <v>309</v>
      </c>
      <c r="B51" s="2" t="str">
        <f>IFERROR(__xludf.DUMMYFUNCTION("""COMPUTED_VALUE"""),"BHOLA")</f>
        <v>BHOLA</v>
      </c>
      <c r="C51" s="4">
        <f>IFERROR(__xludf.DUMMYFUNCTION("""COMPUTED_VALUE"""),10.0)</f>
        <v>10</v>
      </c>
      <c r="D51" s="2" t="str">
        <f>IFERROR(__xludf.DUMMYFUNCTION("""COMPUTED_VALUE"""),"AGRANI BANK LTD.")</f>
        <v>AGRANI BANK LTD.</v>
      </c>
      <c r="E51" s="2" t="str">
        <f>IFERROR(__xludf.DUMMYFUNCTION("""COMPUTED_VALUE"""),"WAPDA")</f>
        <v>WAPDA</v>
      </c>
      <c r="F51" s="4">
        <f>IFERROR(__xludf.DUMMYFUNCTION("""COMPUTED_VALUE"""),103.0)</f>
        <v>103</v>
      </c>
      <c r="G51" s="5">
        <f>IFERROR(__xludf.DUMMYFUNCTION("""COMPUTED_VALUE"""),1.0091038E7)</f>
        <v>10091038</v>
      </c>
    </row>
    <row r="52">
      <c r="A52" s="3">
        <f>IFERROR(__xludf.DUMMYFUNCTION("""COMPUTED_VALUE"""),610.0)</f>
        <v>610</v>
      </c>
      <c r="B52" s="2" t="str">
        <f>IFERROR(__xludf.DUMMYFUNCTION("""COMPUTED_VALUE"""),"BOGRA")</f>
        <v>BOGRA</v>
      </c>
      <c r="C52" s="4">
        <f>IFERROR(__xludf.DUMMYFUNCTION("""COMPUTED_VALUE"""),10.0)</f>
        <v>10</v>
      </c>
      <c r="D52" s="2" t="str">
        <f>IFERROR(__xludf.DUMMYFUNCTION("""COMPUTED_VALUE"""),"AGRANI BANK LTD.")</f>
        <v>AGRANI BANK LTD.</v>
      </c>
      <c r="E52" s="2" t="str">
        <f>IFERROR(__xludf.DUMMYFUNCTION("""COMPUTED_VALUE"""),"BADURTALA")</f>
        <v>BADURTALA</v>
      </c>
      <c r="F52" s="4">
        <f>IFERROR(__xludf.DUMMYFUNCTION("""COMPUTED_VALUE"""),16.0)</f>
        <v>16</v>
      </c>
      <c r="G52" s="5">
        <f>IFERROR(__xludf.DUMMYFUNCTION("""COMPUTED_VALUE"""),1.0100161E7)</f>
        <v>10100161</v>
      </c>
    </row>
    <row r="53">
      <c r="A53" s="3">
        <f>IFERROR(__xludf.DUMMYFUNCTION("""COMPUTED_VALUE"""),610.0)</f>
        <v>610</v>
      </c>
      <c r="B53" s="2" t="str">
        <f>IFERROR(__xludf.DUMMYFUNCTION("""COMPUTED_VALUE"""),"BOGRA")</f>
        <v>BOGRA</v>
      </c>
      <c r="C53" s="4">
        <f>IFERROR(__xludf.DUMMYFUNCTION("""COMPUTED_VALUE"""),10.0)</f>
        <v>10</v>
      </c>
      <c r="D53" s="2" t="str">
        <f>IFERROR(__xludf.DUMMYFUNCTION("""COMPUTED_VALUE"""),"AGRANI BANK LTD.")</f>
        <v>AGRANI BANK LTD.</v>
      </c>
      <c r="E53" s="2" t="str">
        <f>IFERROR(__xludf.DUMMYFUNCTION("""COMPUTED_VALUE"""),"BAGBARI")</f>
        <v>BAGBARI</v>
      </c>
      <c r="F53" s="4">
        <f>IFERROR(__xludf.DUMMYFUNCTION("""COMPUTED_VALUE"""),19.0)</f>
        <v>19</v>
      </c>
      <c r="G53" s="5">
        <f>IFERROR(__xludf.DUMMYFUNCTION("""COMPUTED_VALUE"""),1.010019E7)</f>
        <v>10100190</v>
      </c>
    </row>
    <row r="54">
      <c r="A54" s="3">
        <f>IFERROR(__xludf.DUMMYFUNCTION("""COMPUTED_VALUE"""),610.0)</f>
        <v>610</v>
      </c>
      <c r="B54" s="2" t="str">
        <f>IFERROR(__xludf.DUMMYFUNCTION("""COMPUTED_VALUE"""),"BOGRA")</f>
        <v>BOGRA</v>
      </c>
      <c r="C54" s="4">
        <f>IFERROR(__xludf.DUMMYFUNCTION("""COMPUTED_VALUE"""),10.0)</f>
        <v>10</v>
      </c>
      <c r="D54" s="2" t="str">
        <f>IFERROR(__xludf.DUMMYFUNCTION("""COMPUTED_VALUE"""),"AGRANI BANK LTD.")</f>
        <v>AGRANI BANK LTD.</v>
      </c>
      <c r="E54" s="2" t="str">
        <f>IFERROR(__xludf.DUMMYFUNCTION("""COMPUTED_VALUE"""),"BHATRA")</f>
        <v>BHATRA</v>
      </c>
      <c r="F54" s="4">
        <f>IFERROR(__xludf.DUMMYFUNCTION("""COMPUTED_VALUE"""),28.0)</f>
        <v>28</v>
      </c>
      <c r="G54" s="5">
        <f>IFERROR(__xludf.DUMMYFUNCTION("""COMPUTED_VALUE"""),1.0100282E7)</f>
        <v>10100282</v>
      </c>
    </row>
    <row r="55">
      <c r="A55" s="3">
        <f>IFERROR(__xludf.DUMMYFUNCTION("""COMPUTED_VALUE"""),610.0)</f>
        <v>610</v>
      </c>
      <c r="B55" s="2" t="str">
        <f>IFERROR(__xludf.DUMMYFUNCTION("""COMPUTED_VALUE"""),"BOGRA")</f>
        <v>BOGRA</v>
      </c>
      <c r="C55" s="4">
        <f>IFERROR(__xludf.DUMMYFUNCTION("""COMPUTED_VALUE"""),10.0)</f>
        <v>10</v>
      </c>
      <c r="D55" s="2" t="str">
        <f>IFERROR(__xludf.DUMMYFUNCTION("""COMPUTED_VALUE"""),"AGRANI BANK LTD.")</f>
        <v>AGRANI BANK LTD.</v>
      </c>
      <c r="E55" s="2" t="str">
        <f>IFERROR(__xludf.DUMMYFUNCTION("""COMPUTED_VALUE"""),"BOGRA CANTONMENT")</f>
        <v>BOGRA CANTONMENT</v>
      </c>
      <c r="F55" s="4">
        <f>IFERROR(__xludf.DUMMYFUNCTION("""COMPUTED_VALUE"""),43.0)</f>
        <v>43</v>
      </c>
      <c r="G55" s="5">
        <f>IFERROR(__xludf.DUMMYFUNCTION("""COMPUTED_VALUE"""),1.0100437E7)</f>
        <v>10100437</v>
      </c>
    </row>
    <row r="56">
      <c r="A56" s="3">
        <f>IFERROR(__xludf.DUMMYFUNCTION("""COMPUTED_VALUE"""),610.0)</f>
        <v>610</v>
      </c>
      <c r="B56" s="2" t="str">
        <f>IFERROR(__xludf.DUMMYFUNCTION("""COMPUTED_VALUE"""),"BOGRA")</f>
        <v>BOGRA</v>
      </c>
      <c r="C56" s="4">
        <f>IFERROR(__xludf.DUMMYFUNCTION("""COMPUTED_VALUE"""),10.0)</f>
        <v>10</v>
      </c>
      <c r="D56" s="2" t="str">
        <f>IFERROR(__xludf.DUMMYFUNCTION("""COMPUTED_VALUE"""),"AGRANI BANK LTD.")</f>
        <v>AGRANI BANK LTD.</v>
      </c>
      <c r="E56" s="2" t="str">
        <f>IFERROR(__xludf.DUMMYFUNCTION("""COMPUTED_VALUE"""),"CHAMRUL")</f>
        <v>CHAMRUL</v>
      </c>
      <c r="F56" s="4">
        <f>IFERROR(__xludf.DUMMYFUNCTION("""COMPUTED_VALUE"""),64.0)</f>
        <v>64</v>
      </c>
      <c r="G56" s="5">
        <f>IFERROR(__xludf.DUMMYFUNCTION("""COMPUTED_VALUE"""),1.010064E7)</f>
        <v>10100640</v>
      </c>
    </row>
    <row r="57">
      <c r="A57" s="3">
        <f>IFERROR(__xludf.DUMMYFUNCTION("""COMPUTED_VALUE"""),610.0)</f>
        <v>610</v>
      </c>
      <c r="B57" s="2" t="str">
        <f>IFERROR(__xludf.DUMMYFUNCTION("""COMPUTED_VALUE"""),"BOGRA")</f>
        <v>BOGRA</v>
      </c>
      <c r="C57" s="4">
        <f>IFERROR(__xludf.DUMMYFUNCTION("""COMPUTED_VALUE"""),10.0)</f>
        <v>10</v>
      </c>
      <c r="D57" s="2" t="str">
        <f>IFERROR(__xludf.DUMMYFUNCTION("""COMPUTED_VALUE"""),"AGRANI BANK LTD.")</f>
        <v>AGRANI BANK LTD.</v>
      </c>
      <c r="E57" s="2" t="str">
        <f>IFERROR(__xludf.DUMMYFUNCTION("""COMPUTED_VALUE"""),"CHELOPARA")</f>
        <v>CHELOPARA</v>
      </c>
      <c r="F57" s="4">
        <f>IFERROR(__xludf.DUMMYFUNCTION("""COMPUTED_VALUE"""),76.0)</f>
        <v>76</v>
      </c>
      <c r="G57" s="5">
        <f>IFERROR(__xludf.DUMMYFUNCTION("""COMPUTED_VALUE"""),1.0100761E7)</f>
        <v>10100761</v>
      </c>
    </row>
    <row r="58">
      <c r="A58" s="3">
        <f>IFERROR(__xludf.DUMMYFUNCTION("""COMPUTED_VALUE"""),610.0)</f>
        <v>610</v>
      </c>
      <c r="B58" s="2" t="str">
        <f>IFERROR(__xludf.DUMMYFUNCTION("""COMPUTED_VALUE"""),"BOGRA")</f>
        <v>BOGRA</v>
      </c>
      <c r="C58" s="4">
        <f>IFERROR(__xludf.DUMMYFUNCTION("""COMPUTED_VALUE"""),10.0)</f>
        <v>10</v>
      </c>
      <c r="D58" s="2" t="str">
        <f>IFERROR(__xludf.DUMMYFUNCTION("""COMPUTED_VALUE"""),"AGRANI BANK LTD.")</f>
        <v>AGRANI BANK LTD.</v>
      </c>
      <c r="E58" s="2" t="str">
        <f>IFERROR(__xludf.DUMMYFUNCTION("""COMPUTED_VALUE"""),"DEMAJANI")</f>
        <v>DEMAJANI</v>
      </c>
      <c r="F58" s="4">
        <f>IFERROR(__xludf.DUMMYFUNCTION("""COMPUTED_VALUE"""),82.0)</f>
        <v>82</v>
      </c>
      <c r="G58" s="5">
        <f>IFERROR(__xludf.DUMMYFUNCTION("""COMPUTED_VALUE"""),1.0100824E7)</f>
        <v>10100824</v>
      </c>
    </row>
    <row r="59">
      <c r="A59" s="3">
        <f>IFERROR(__xludf.DUMMYFUNCTION("""COMPUTED_VALUE"""),610.0)</f>
        <v>610</v>
      </c>
      <c r="B59" s="2" t="str">
        <f>IFERROR(__xludf.DUMMYFUNCTION("""COMPUTED_VALUE"""),"BOGRA")</f>
        <v>BOGRA</v>
      </c>
      <c r="C59" s="4">
        <f>IFERROR(__xludf.DUMMYFUNCTION("""COMPUTED_VALUE"""),10.0)</f>
        <v>10</v>
      </c>
      <c r="D59" s="2" t="str">
        <f>IFERROR(__xludf.DUMMYFUNCTION("""COMPUTED_VALUE"""),"AGRANI BANK LTD.")</f>
        <v>AGRANI BANK LTD.</v>
      </c>
      <c r="E59" s="2" t="str">
        <f>IFERROR(__xludf.DUMMYFUNCTION("""COMPUTED_VALUE"""),"DHUNAT")</f>
        <v>DHUNAT</v>
      </c>
      <c r="F59" s="4">
        <f>IFERROR(__xludf.DUMMYFUNCTION("""COMPUTED_VALUE"""),88.0)</f>
        <v>88</v>
      </c>
      <c r="G59" s="5">
        <f>IFERROR(__xludf.DUMMYFUNCTION("""COMPUTED_VALUE"""),1.0100882E7)</f>
        <v>10100882</v>
      </c>
    </row>
    <row r="60">
      <c r="A60" s="3">
        <f>IFERROR(__xludf.DUMMYFUNCTION("""COMPUTED_VALUE"""),610.0)</f>
        <v>610</v>
      </c>
      <c r="B60" s="2" t="str">
        <f>IFERROR(__xludf.DUMMYFUNCTION("""COMPUTED_VALUE"""),"BOGRA")</f>
        <v>BOGRA</v>
      </c>
      <c r="C60" s="4">
        <f>IFERROR(__xludf.DUMMYFUNCTION("""COMPUTED_VALUE"""),10.0)</f>
        <v>10</v>
      </c>
      <c r="D60" s="2" t="str">
        <f>IFERROR(__xludf.DUMMYFUNCTION("""COMPUTED_VALUE"""),"AGRANI BANK LTD.")</f>
        <v>AGRANI BANK LTD.</v>
      </c>
      <c r="E60" s="2" t="str">
        <f>IFERROR(__xludf.DUMMYFUNCTION("""COMPUTED_VALUE"""),"GHORADHAPAHAT")</f>
        <v>GHORADHAPAHAT</v>
      </c>
      <c r="F60" s="4">
        <f>IFERROR(__xludf.DUMMYFUNCTION("""COMPUTED_VALUE"""),109.0)</f>
        <v>109</v>
      </c>
      <c r="G60" s="5">
        <f>IFERROR(__xludf.DUMMYFUNCTION("""COMPUTED_VALUE"""),1.0101094E7)</f>
        <v>10101094</v>
      </c>
    </row>
    <row r="61">
      <c r="A61" s="3">
        <f>IFERROR(__xludf.DUMMYFUNCTION("""COMPUTED_VALUE"""),610.0)</f>
        <v>610</v>
      </c>
      <c r="B61" s="2" t="str">
        <f>IFERROR(__xludf.DUMMYFUNCTION("""COMPUTED_VALUE"""),"BOGRA")</f>
        <v>BOGRA</v>
      </c>
      <c r="C61" s="4">
        <f>IFERROR(__xludf.DUMMYFUNCTION("""COMPUTED_VALUE"""),10.0)</f>
        <v>10</v>
      </c>
      <c r="D61" s="2" t="str">
        <f>IFERROR(__xludf.DUMMYFUNCTION("""COMPUTED_VALUE"""),"AGRANI BANK LTD.")</f>
        <v>AGRANI BANK LTD.</v>
      </c>
      <c r="E61" s="2" t="str">
        <f>IFERROR(__xludf.DUMMYFUNCTION("""COMPUTED_VALUE"""),"GOKUL")</f>
        <v>GOKUL</v>
      </c>
      <c r="F61" s="4">
        <f>IFERROR(__xludf.DUMMYFUNCTION("""COMPUTED_VALUE"""),121.0)</f>
        <v>121</v>
      </c>
      <c r="G61" s="5">
        <f>IFERROR(__xludf.DUMMYFUNCTION("""COMPUTED_VALUE"""),1.010121E7)</f>
        <v>10101210</v>
      </c>
    </row>
    <row r="62">
      <c r="A62" s="3">
        <f>IFERROR(__xludf.DUMMYFUNCTION("""COMPUTED_VALUE"""),610.0)</f>
        <v>610</v>
      </c>
      <c r="B62" s="2" t="str">
        <f>IFERROR(__xludf.DUMMYFUNCTION("""COMPUTED_VALUE"""),"BOGRA")</f>
        <v>BOGRA</v>
      </c>
      <c r="C62" s="4">
        <f>IFERROR(__xludf.DUMMYFUNCTION("""COMPUTED_VALUE"""),10.0)</f>
        <v>10</v>
      </c>
      <c r="D62" s="2" t="str">
        <f>IFERROR(__xludf.DUMMYFUNCTION("""COMPUTED_VALUE"""),"AGRANI BANK LTD.")</f>
        <v>AGRANI BANK LTD.</v>
      </c>
      <c r="E62" s="2" t="str">
        <f>IFERROR(__xludf.DUMMYFUNCTION("""COMPUTED_VALUE"""),"KHANDER")</f>
        <v>KHANDER</v>
      </c>
      <c r="F62" s="4">
        <f>IFERROR(__xludf.DUMMYFUNCTION("""COMPUTED_VALUE"""),160.0)</f>
        <v>160</v>
      </c>
      <c r="G62" s="5">
        <f>IFERROR(__xludf.DUMMYFUNCTION("""COMPUTED_VALUE"""),1.0101607E7)</f>
        <v>10101607</v>
      </c>
    </row>
    <row r="63">
      <c r="A63" s="3">
        <f>IFERROR(__xludf.DUMMYFUNCTION("""COMPUTED_VALUE"""),610.0)</f>
        <v>610</v>
      </c>
      <c r="B63" s="2" t="str">
        <f>IFERROR(__xludf.DUMMYFUNCTION("""COMPUTED_VALUE"""),"BOGRA")</f>
        <v>BOGRA</v>
      </c>
      <c r="C63" s="4">
        <f>IFERROR(__xludf.DUMMYFUNCTION("""COMPUTED_VALUE"""),10.0)</f>
        <v>10</v>
      </c>
      <c r="D63" s="2" t="str">
        <f>IFERROR(__xludf.DUMMYFUNCTION("""COMPUTED_VALUE"""),"AGRANI BANK LTD.")</f>
        <v>AGRANI BANK LTD.</v>
      </c>
      <c r="E63" s="2" t="str">
        <f>IFERROR(__xludf.DUMMYFUNCTION("""COMPUTED_VALUE"""),"MADLA")</f>
        <v>MADLA</v>
      </c>
      <c r="F63" s="4">
        <f>IFERROR(__xludf.DUMMYFUNCTION("""COMPUTED_VALUE"""),175.0)</f>
        <v>175</v>
      </c>
      <c r="G63" s="5">
        <f>IFERROR(__xludf.DUMMYFUNCTION("""COMPUTED_VALUE"""),1.0101757E7)</f>
        <v>10101757</v>
      </c>
    </row>
    <row r="64">
      <c r="A64" s="3">
        <f>IFERROR(__xludf.DUMMYFUNCTION("""COMPUTED_VALUE"""),610.0)</f>
        <v>610</v>
      </c>
      <c r="B64" s="2" t="str">
        <f>IFERROR(__xludf.DUMMYFUNCTION("""COMPUTED_VALUE"""),"BOGRA")</f>
        <v>BOGRA</v>
      </c>
      <c r="C64" s="4">
        <f>IFERROR(__xludf.DUMMYFUNCTION("""COMPUTED_VALUE"""),10.0)</f>
        <v>10</v>
      </c>
      <c r="D64" s="2" t="str">
        <f>IFERROR(__xludf.DUMMYFUNCTION("""COMPUTED_VALUE"""),"AGRANI BANK LTD.")</f>
        <v>AGRANI BANK LTD.</v>
      </c>
      <c r="E64" s="2" t="str">
        <f>IFERROR(__xludf.DUMMYFUNCTION("""COMPUTED_VALUE"""),"MAJHIRA")</f>
        <v>MAJHIRA</v>
      </c>
      <c r="F64" s="4">
        <f>IFERROR(__xludf.DUMMYFUNCTION("""COMPUTED_VALUE"""),184.0)</f>
        <v>184</v>
      </c>
      <c r="G64" s="5">
        <f>IFERROR(__xludf.DUMMYFUNCTION("""COMPUTED_VALUE"""),1.0101849E7)</f>
        <v>10101849</v>
      </c>
    </row>
    <row r="65">
      <c r="A65" s="3">
        <f>IFERROR(__xludf.DUMMYFUNCTION("""COMPUTED_VALUE"""),610.0)</f>
        <v>610</v>
      </c>
      <c r="B65" s="2" t="str">
        <f>IFERROR(__xludf.DUMMYFUNCTION("""COMPUTED_VALUE"""),"BOGRA")</f>
        <v>BOGRA</v>
      </c>
      <c r="C65" s="4">
        <f>IFERROR(__xludf.DUMMYFUNCTION("""COMPUTED_VALUE"""),10.0)</f>
        <v>10</v>
      </c>
      <c r="D65" s="2" t="str">
        <f>IFERROR(__xludf.DUMMYFUNCTION("""COMPUTED_VALUE"""),"AGRANI BANK LTD.")</f>
        <v>AGRANI BANK LTD.</v>
      </c>
      <c r="E65" s="2" t="str">
        <f>IFERROR(__xludf.DUMMYFUNCTION("""COMPUTED_VALUE"""),"MIRJAPUR")</f>
        <v>MIRJAPUR</v>
      </c>
      <c r="F65" s="4">
        <f>IFERROR(__xludf.DUMMYFUNCTION("""COMPUTED_VALUE"""),190.0)</f>
        <v>190</v>
      </c>
      <c r="G65" s="5">
        <f>IFERROR(__xludf.DUMMYFUNCTION("""COMPUTED_VALUE"""),1.0101902E7)</f>
        <v>10101902</v>
      </c>
    </row>
    <row r="66">
      <c r="A66" s="3">
        <f>IFERROR(__xludf.DUMMYFUNCTION("""COMPUTED_VALUE"""),610.0)</f>
        <v>610</v>
      </c>
      <c r="B66" s="2" t="str">
        <f>IFERROR(__xludf.DUMMYFUNCTION("""COMPUTED_VALUE"""),"BOGRA")</f>
        <v>BOGRA</v>
      </c>
      <c r="C66" s="4">
        <f>IFERROR(__xludf.DUMMYFUNCTION("""COMPUTED_VALUE"""),10.0)</f>
        <v>10</v>
      </c>
      <c r="D66" s="2" t="str">
        <f>IFERROR(__xludf.DUMMYFUNCTION("""COMPUTED_VALUE"""),"AGRANI BANK LTD.")</f>
        <v>AGRANI BANK LTD.</v>
      </c>
      <c r="E66" s="2" t="str">
        <f>IFERROR(__xludf.DUMMYFUNCTION("""COMPUTED_VALUE"""),"NAMAJGHAR")</f>
        <v>NAMAJGHAR</v>
      </c>
      <c r="F66" s="4">
        <f>IFERROR(__xludf.DUMMYFUNCTION("""COMPUTED_VALUE"""),196.0)</f>
        <v>196</v>
      </c>
      <c r="G66" s="5">
        <f>IFERROR(__xludf.DUMMYFUNCTION("""COMPUTED_VALUE"""),1.010196E7)</f>
        <v>10101960</v>
      </c>
    </row>
    <row r="67">
      <c r="A67" s="3">
        <f>IFERROR(__xludf.DUMMYFUNCTION("""COMPUTED_VALUE"""),610.0)</f>
        <v>610</v>
      </c>
      <c r="B67" s="2" t="str">
        <f>IFERROR(__xludf.DUMMYFUNCTION("""COMPUTED_VALUE"""),"BOGRA")</f>
        <v>BOGRA</v>
      </c>
      <c r="C67" s="4">
        <f>IFERROR(__xludf.DUMMYFUNCTION("""COMPUTED_VALUE"""),10.0)</f>
        <v>10</v>
      </c>
      <c r="D67" s="2" t="str">
        <f>IFERROR(__xludf.DUMMYFUNCTION("""COMPUTED_VALUE"""),"AGRANI BANK LTD.")</f>
        <v>AGRANI BANK LTD.</v>
      </c>
      <c r="E67" s="2" t="str">
        <f>IFERROR(__xludf.DUMMYFUNCTION("""COMPUTED_VALUE"""),"NANDIGRAM")</f>
        <v>NANDIGRAM</v>
      </c>
      <c r="F67" s="4">
        <f>IFERROR(__xludf.DUMMYFUNCTION("""COMPUTED_VALUE"""),202.0)</f>
        <v>202</v>
      </c>
      <c r="G67" s="5">
        <f>IFERROR(__xludf.DUMMYFUNCTION("""COMPUTED_VALUE"""),1.0102022E7)</f>
        <v>10102022</v>
      </c>
    </row>
    <row r="68">
      <c r="A68" s="3">
        <f>IFERROR(__xludf.DUMMYFUNCTION("""COMPUTED_VALUE"""),610.0)</f>
        <v>610</v>
      </c>
      <c r="B68" s="2" t="str">
        <f>IFERROR(__xludf.DUMMYFUNCTION("""COMPUTED_VALUE"""),"BOGRA")</f>
        <v>BOGRA</v>
      </c>
      <c r="C68" s="4">
        <f>IFERROR(__xludf.DUMMYFUNCTION("""COMPUTED_VALUE"""),10.0)</f>
        <v>10</v>
      </c>
      <c r="D68" s="2" t="str">
        <f>IFERROR(__xludf.DUMMYFUNCTION("""COMPUTED_VALUE"""),"AGRANI BANK LTD.")</f>
        <v>AGRANI BANK LTD.</v>
      </c>
      <c r="E68" s="2" t="str">
        <f>IFERROR(__xludf.DUMMYFUNCTION("""COMPUTED_VALUE"""),"NISHINDARA")</f>
        <v>NISHINDARA</v>
      </c>
      <c r="F68" s="4">
        <f>IFERROR(__xludf.DUMMYFUNCTION("""COMPUTED_VALUE"""),211.0)</f>
        <v>211</v>
      </c>
      <c r="G68" s="5">
        <f>IFERROR(__xludf.DUMMYFUNCTION("""COMPUTED_VALUE"""),1.0102114E7)</f>
        <v>10102114</v>
      </c>
    </row>
    <row r="69">
      <c r="A69" s="3">
        <f>IFERROR(__xludf.DUMMYFUNCTION("""COMPUTED_VALUE"""),610.0)</f>
        <v>610</v>
      </c>
      <c r="B69" s="2" t="str">
        <f>IFERROR(__xludf.DUMMYFUNCTION("""COMPUTED_VALUE"""),"BOGRA")</f>
        <v>BOGRA</v>
      </c>
      <c r="C69" s="4">
        <f>IFERROR(__xludf.DUMMYFUNCTION("""COMPUTED_VALUE"""),10.0)</f>
        <v>10</v>
      </c>
      <c r="D69" s="2" t="str">
        <f>IFERROR(__xludf.DUMMYFUNCTION("""COMPUTED_VALUE"""),"AGRANI BANK LTD.")</f>
        <v>AGRANI BANK LTD.</v>
      </c>
      <c r="E69" s="2" t="str">
        <f>IFERROR(__xludf.DUMMYFUNCTION("""COMPUTED_VALUE"""),"PORADAHHAT")</f>
        <v>PORADAHHAT</v>
      </c>
      <c r="F69" s="4">
        <f>IFERROR(__xludf.DUMMYFUNCTION("""COMPUTED_VALUE"""),220.0)</f>
        <v>220</v>
      </c>
      <c r="G69" s="5">
        <f>IFERROR(__xludf.DUMMYFUNCTION("""COMPUTED_VALUE"""),1.0102206E7)</f>
        <v>10102206</v>
      </c>
    </row>
    <row r="70">
      <c r="A70" s="3">
        <f>IFERROR(__xludf.DUMMYFUNCTION("""COMPUTED_VALUE"""),610.0)</f>
        <v>610</v>
      </c>
      <c r="B70" s="2" t="str">
        <f>IFERROR(__xludf.DUMMYFUNCTION("""COMPUTED_VALUE"""),"BOGRA")</f>
        <v>BOGRA</v>
      </c>
      <c r="C70" s="4">
        <f>IFERROR(__xludf.DUMMYFUNCTION("""COMPUTED_VALUE"""),10.0)</f>
        <v>10</v>
      </c>
      <c r="D70" s="2" t="str">
        <f>IFERROR(__xludf.DUMMYFUNCTION("""COMPUTED_VALUE"""),"AGRANI BANK LTD.")</f>
        <v>AGRANI BANK LTD.</v>
      </c>
      <c r="E70" s="2" t="str">
        <f>IFERROR(__xludf.DUMMYFUNCTION("""COMPUTED_VALUE"""),"RAJABAZAR")</f>
        <v>RAJABAZAR</v>
      </c>
      <c r="F70" s="4">
        <f>IFERROR(__xludf.DUMMYFUNCTION("""COMPUTED_VALUE"""),226.0)</f>
        <v>226</v>
      </c>
      <c r="G70" s="5">
        <f>IFERROR(__xludf.DUMMYFUNCTION("""COMPUTED_VALUE"""),1.0102264E7)</f>
        <v>10102264</v>
      </c>
    </row>
    <row r="71">
      <c r="A71" s="3">
        <f>IFERROR(__xludf.DUMMYFUNCTION("""COMPUTED_VALUE"""),610.0)</f>
        <v>610</v>
      </c>
      <c r="B71" s="2" t="str">
        <f>IFERROR(__xludf.DUMMYFUNCTION("""COMPUTED_VALUE"""),"BOGRA")</f>
        <v>BOGRA</v>
      </c>
      <c r="C71" s="4">
        <f>IFERROR(__xludf.DUMMYFUNCTION("""COMPUTED_VALUE"""),10.0)</f>
        <v>10</v>
      </c>
      <c r="D71" s="2" t="str">
        <f>IFERROR(__xludf.DUMMYFUNCTION("""COMPUTED_VALUE"""),"AGRANI BANK LTD.")</f>
        <v>AGRANI BANK LTD.</v>
      </c>
      <c r="E71" s="2" t="str">
        <f>IFERROR(__xludf.DUMMYFUNCTION("""COMPUTED_VALUE"""),"SAPTAPADI MARKET")</f>
        <v>SAPTAPADI MARKET</v>
      </c>
      <c r="F71" s="4">
        <f>IFERROR(__xludf.DUMMYFUNCTION("""COMPUTED_VALUE"""),244.0)</f>
        <v>244</v>
      </c>
      <c r="G71" s="5">
        <f>IFERROR(__xludf.DUMMYFUNCTION("""COMPUTED_VALUE"""),1.0102448E7)</f>
        <v>10102448</v>
      </c>
    </row>
    <row r="72">
      <c r="A72" s="3">
        <f>IFERROR(__xludf.DUMMYFUNCTION("""COMPUTED_VALUE"""),610.0)</f>
        <v>610</v>
      </c>
      <c r="B72" s="2" t="str">
        <f>IFERROR(__xludf.DUMMYFUNCTION("""COMPUTED_VALUE"""),"BOGRA")</f>
        <v>BOGRA</v>
      </c>
      <c r="C72" s="4">
        <f>IFERROR(__xludf.DUMMYFUNCTION("""COMPUTED_VALUE"""),10.0)</f>
        <v>10</v>
      </c>
      <c r="D72" s="2" t="str">
        <f>IFERROR(__xludf.DUMMYFUNCTION("""COMPUTED_VALUE"""),"AGRANI BANK LTD.")</f>
        <v>AGRANI BANK LTD.</v>
      </c>
      <c r="E72" s="2" t="str">
        <f>IFERROR(__xludf.DUMMYFUNCTION("""COMPUTED_VALUE"""),"SHERPUR")</f>
        <v>SHERPUR</v>
      </c>
      <c r="F72" s="4">
        <f>IFERROR(__xludf.DUMMYFUNCTION("""COMPUTED_VALUE"""),274.0)</f>
        <v>274</v>
      </c>
      <c r="G72" s="5">
        <f>IFERROR(__xludf.DUMMYFUNCTION("""COMPUTED_VALUE"""),1.0102743E7)</f>
        <v>10102743</v>
      </c>
    </row>
    <row r="73">
      <c r="A73" s="3">
        <f>IFERROR(__xludf.DUMMYFUNCTION("""COMPUTED_VALUE"""),610.0)</f>
        <v>610</v>
      </c>
      <c r="B73" s="2" t="str">
        <f>IFERROR(__xludf.DUMMYFUNCTION("""COMPUTED_VALUE"""),"BOGRA")</f>
        <v>BOGRA</v>
      </c>
      <c r="C73" s="4">
        <f>IFERROR(__xludf.DUMMYFUNCTION("""COMPUTED_VALUE"""),10.0)</f>
        <v>10</v>
      </c>
      <c r="D73" s="2" t="str">
        <f>IFERROR(__xludf.DUMMYFUNCTION("""COMPUTED_VALUE"""),"AGRANI BANK LTD.")</f>
        <v>AGRANI BANK LTD.</v>
      </c>
      <c r="E73" s="2" t="str">
        <f>IFERROR(__xludf.DUMMYFUNCTION("""COMPUTED_VALUE"""),"SHONKA")</f>
        <v>SHONKA</v>
      </c>
      <c r="F73" s="4">
        <f>IFERROR(__xludf.DUMMYFUNCTION("""COMPUTED_VALUE"""),283.0)</f>
        <v>283</v>
      </c>
      <c r="G73" s="5">
        <f>IFERROR(__xludf.DUMMYFUNCTION("""COMPUTED_VALUE"""),1.0102835E7)</f>
        <v>10102835</v>
      </c>
    </row>
    <row r="74">
      <c r="A74" s="3">
        <f>IFERROR(__xludf.DUMMYFUNCTION("""COMPUTED_VALUE"""),610.0)</f>
        <v>610</v>
      </c>
      <c r="B74" s="2" t="str">
        <f>IFERROR(__xludf.DUMMYFUNCTION("""COMPUTED_VALUE"""),"BOGRA")</f>
        <v>BOGRA</v>
      </c>
      <c r="C74" s="4">
        <f>IFERROR(__xludf.DUMMYFUNCTION("""COMPUTED_VALUE"""),10.0)</f>
        <v>10</v>
      </c>
      <c r="D74" s="2" t="str">
        <f>IFERROR(__xludf.DUMMYFUNCTION("""COMPUTED_VALUE"""),"AGRANI BANK LTD.")</f>
        <v>AGRANI BANK LTD.</v>
      </c>
      <c r="E74" s="2" t="str">
        <f>IFERROR(__xludf.DUMMYFUNCTION("""COMPUTED_VALUE"""),"SIBBATI")</f>
        <v>SIBBATI</v>
      </c>
      <c r="F74" s="4">
        <f>IFERROR(__xludf.DUMMYFUNCTION("""COMPUTED_VALUE"""),286.0)</f>
        <v>286</v>
      </c>
      <c r="G74" s="5">
        <f>IFERROR(__xludf.DUMMYFUNCTION("""COMPUTED_VALUE"""),1.0102864E7)</f>
        <v>10102864</v>
      </c>
    </row>
    <row r="75">
      <c r="A75" s="3">
        <f>IFERROR(__xludf.DUMMYFUNCTION("""COMPUTED_VALUE"""),610.0)</f>
        <v>610</v>
      </c>
      <c r="B75" s="2" t="str">
        <f>IFERROR(__xludf.DUMMYFUNCTION("""COMPUTED_VALUE"""),"BOGRA")</f>
        <v>BOGRA</v>
      </c>
      <c r="C75" s="4">
        <f>IFERROR(__xludf.DUMMYFUNCTION("""COMPUTED_VALUE"""),10.0)</f>
        <v>10</v>
      </c>
      <c r="D75" s="2" t="str">
        <f>IFERROR(__xludf.DUMMYFUNCTION("""COMPUTED_VALUE"""),"AGRANI BANK LTD.")</f>
        <v>AGRANI BANK LTD.</v>
      </c>
      <c r="E75" s="2" t="str">
        <f>IFERROR(__xludf.DUMMYFUNCTION("""COMPUTED_VALUE"""),"SONATALA")</f>
        <v>SONATALA</v>
      </c>
      <c r="F75" s="4">
        <f>IFERROR(__xludf.DUMMYFUNCTION("""COMPUTED_VALUE"""),295.0)</f>
        <v>295</v>
      </c>
      <c r="G75" s="5">
        <f>IFERROR(__xludf.DUMMYFUNCTION("""COMPUTED_VALUE"""),1.0102956E7)</f>
        <v>10102956</v>
      </c>
    </row>
    <row r="76">
      <c r="A76" s="3">
        <f>IFERROR(__xludf.DUMMYFUNCTION("""COMPUTED_VALUE"""),610.0)</f>
        <v>610</v>
      </c>
      <c r="B76" s="2" t="str">
        <f>IFERROR(__xludf.DUMMYFUNCTION("""COMPUTED_VALUE"""),"BOGRA")</f>
        <v>BOGRA</v>
      </c>
      <c r="C76" s="4">
        <f>IFERROR(__xludf.DUMMYFUNCTION("""COMPUTED_VALUE"""),10.0)</f>
        <v>10</v>
      </c>
      <c r="D76" s="2" t="str">
        <f>IFERROR(__xludf.DUMMYFUNCTION("""COMPUTED_VALUE"""),"AGRANI BANK LTD.")</f>
        <v>AGRANI BANK LTD.</v>
      </c>
      <c r="E76" s="2" t="str">
        <f>IFERROR(__xludf.DUMMYFUNCTION("""COMPUTED_VALUE"""),"SULTANGANJ")</f>
        <v>SULTANGANJ</v>
      </c>
      <c r="F76" s="4">
        <f>IFERROR(__xludf.DUMMYFUNCTION("""COMPUTED_VALUE"""),304.0)</f>
        <v>304</v>
      </c>
      <c r="G76" s="5">
        <f>IFERROR(__xludf.DUMMYFUNCTION("""COMPUTED_VALUE"""),1.0103047E7)</f>
        <v>10103047</v>
      </c>
    </row>
    <row r="77">
      <c r="A77" s="3">
        <f>IFERROR(__xludf.DUMMYFUNCTION("""COMPUTED_VALUE"""),610.0)</f>
        <v>610</v>
      </c>
      <c r="B77" s="2" t="str">
        <f>IFERROR(__xludf.DUMMYFUNCTION("""COMPUTED_VALUE"""),"BOGRA")</f>
        <v>BOGRA</v>
      </c>
      <c r="C77" s="4">
        <f>IFERROR(__xludf.DUMMYFUNCTION("""COMPUTED_VALUE"""),10.0)</f>
        <v>10</v>
      </c>
      <c r="D77" s="2" t="str">
        <f>IFERROR(__xludf.DUMMYFUNCTION("""COMPUTED_VALUE"""),"AGRANI BANK LTD.")</f>
        <v>AGRANI BANK LTD.</v>
      </c>
      <c r="E77" s="2" t="str">
        <f>IFERROR(__xludf.DUMMYFUNCTION("""COMPUTED_VALUE"""),"TALORA")</f>
        <v>TALORA</v>
      </c>
      <c r="F77" s="4">
        <f>IFERROR(__xludf.DUMMYFUNCTION("""COMPUTED_VALUE"""),307.0)</f>
        <v>307</v>
      </c>
      <c r="G77" s="5">
        <f>IFERROR(__xludf.DUMMYFUNCTION("""COMPUTED_VALUE"""),1.0103076E7)</f>
        <v>10103076</v>
      </c>
    </row>
    <row r="78">
      <c r="A78" s="3">
        <f>IFERROR(__xludf.DUMMYFUNCTION("""COMPUTED_VALUE"""),610.0)</f>
        <v>610</v>
      </c>
      <c r="B78" s="2" t="str">
        <f>IFERROR(__xludf.DUMMYFUNCTION("""COMPUTED_VALUE"""),"BOGRA")</f>
        <v>BOGRA</v>
      </c>
      <c r="C78" s="4">
        <f>IFERROR(__xludf.DUMMYFUNCTION("""COMPUTED_VALUE"""),10.0)</f>
        <v>10</v>
      </c>
      <c r="D78" s="2" t="str">
        <f>IFERROR(__xludf.DUMMYFUNCTION("""COMPUTED_VALUE"""),"AGRANI BANK LTD.")</f>
        <v>AGRANI BANK LTD.</v>
      </c>
      <c r="E78" s="2" t="str">
        <f>IFERROR(__xludf.DUMMYFUNCTION("""COMPUTED_VALUE"""),"TALUCH HAT")</f>
        <v>TALUCH HAT</v>
      </c>
      <c r="F78" s="4">
        <f>IFERROR(__xludf.DUMMYFUNCTION("""COMPUTED_VALUE"""),310.0)</f>
        <v>310</v>
      </c>
      <c r="G78" s="5">
        <f>IFERROR(__xludf.DUMMYFUNCTION("""COMPUTED_VALUE"""),1.01031E7)</f>
        <v>10103100</v>
      </c>
    </row>
    <row r="79">
      <c r="A79" s="3">
        <f>IFERROR(__xludf.DUMMYFUNCTION("""COMPUTED_VALUE"""),610.0)</f>
        <v>610</v>
      </c>
      <c r="B79" s="2" t="str">
        <f>IFERROR(__xludf.DUMMYFUNCTION("""COMPUTED_VALUE"""),"BOGRA")</f>
        <v>BOGRA</v>
      </c>
      <c r="C79" s="4">
        <f>IFERROR(__xludf.DUMMYFUNCTION("""COMPUTED_VALUE"""),10.0)</f>
        <v>10</v>
      </c>
      <c r="D79" s="2" t="str">
        <f>IFERROR(__xludf.DUMMYFUNCTION("""COMPUTED_VALUE"""),"AGRANI BANK LTD.")</f>
        <v>AGRANI BANK LTD.</v>
      </c>
      <c r="E79" s="2" t="str">
        <f>IFERROR(__xludf.DUMMYFUNCTION("""COMPUTED_VALUE"""),"TARONIHAT")</f>
        <v>TARONIHAT</v>
      </c>
      <c r="F79" s="4">
        <f>IFERROR(__xludf.DUMMYFUNCTION("""COMPUTED_VALUE"""),313.0)</f>
        <v>313</v>
      </c>
      <c r="G79" s="5">
        <f>IFERROR(__xludf.DUMMYFUNCTION("""COMPUTED_VALUE"""),1.0103139E7)</f>
        <v>10103139</v>
      </c>
    </row>
    <row r="80">
      <c r="A80" s="3">
        <f>IFERROR(__xludf.DUMMYFUNCTION("""COMPUTED_VALUE"""),610.0)</f>
        <v>610</v>
      </c>
      <c r="B80" s="2" t="str">
        <f>IFERROR(__xludf.DUMMYFUNCTION("""COMPUTED_VALUE"""),"BOGRA")</f>
        <v>BOGRA</v>
      </c>
      <c r="C80" s="4">
        <f>IFERROR(__xludf.DUMMYFUNCTION("""COMPUTED_VALUE"""),10.0)</f>
        <v>10</v>
      </c>
      <c r="D80" s="2" t="str">
        <f>IFERROR(__xludf.DUMMYFUNCTION("""COMPUTED_VALUE"""),"AGRANI BANK LTD.")</f>
        <v>AGRANI BANK LTD.</v>
      </c>
      <c r="E80" s="2" t="str">
        <f>IFERROR(__xludf.DUMMYFUNCTION("""COMPUTED_VALUE"""),"THANA ROAD")</f>
        <v>THANA ROAD</v>
      </c>
      <c r="F80" s="4">
        <f>IFERROR(__xludf.DUMMYFUNCTION("""COMPUTED_VALUE"""),316.0)</f>
        <v>316</v>
      </c>
      <c r="G80" s="5">
        <f>IFERROR(__xludf.DUMMYFUNCTION("""COMPUTED_VALUE"""),1.0103168E7)</f>
        <v>10103168</v>
      </c>
    </row>
    <row r="81">
      <c r="A81" s="3">
        <f>IFERROR(__xludf.DUMMYFUNCTION("""COMPUTED_VALUE"""),610.0)</f>
        <v>610</v>
      </c>
      <c r="B81" s="2" t="str">
        <f>IFERROR(__xludf.DUMMYFUNCTION("""COMPUTED_VALUE"""),"BOGRA")</f>
        <v>BOGRA</v>
      </c>
      <c r="C81" s="4">
        <f>IFERROR(__xludf.DUMMYFUNCTION("""COMPUTED_VALUE"""),10.0)</f>
        <v>10</v>
      </c>
      <c r="D81" s="2" t="str">
        <f>IFERROR(__xludf.DUMMYFUNCTION("""COMPUTED_VALUE"""),"AGRANI BANK LTD.")</f>
        <v>AGRANI BANK LTD.</v>
      </c>
      <c r="E81" s="2" t="str">
        <f>IFERROR(__xludf.DUMMYFUNCTION("""COMPUTED_VALUE"""),"ZIANAGAR")</f>
        <v>ZIANAGAR</v>
      </c>
      <c r="F81" s="4">
        <f>IFERROR(__xludf.DUMMYFUNCTION("""COMPUTED_VALUE"""),322.0)</f>
        <v>322</v>
      </c>
      <c r="G81" s="5">
        <f>IFERROR(__xludf.DUMMYFUNCTION("""COMPUTED_VALUE"""),1.0103221E7)</f>
        <v>10103221</v>
      </c>
    </row>
    <row r="82">
      <c r="A82" s="3">
        <f>IFERROR(__xludf.DUMMYFUNCTION("""COMPUTED_VALUE"""),112.0)</f>
        <v>112</v>
      </c>
      <c r="B82" s="2" t="str">
        <f>IFERROR(__xludf.DUMMYFUNCTION("""COMPUTED_VALUE"""),"BRAHMANBARIA")</f>
        <v>BRAHMANBARIA</v>
      </c>
      <c r="C82" s="4">
        <f>IFERROR(__xludf.DUMMYFUNCTION("""COMPUTED_VALUE"""),10.0)</f>
        <v>10</v>
      </c>
      <c r="D82" s="2" t="str">
        <f>IFERROR(__xludf.DUMMYFUNCTION("""COMPUTED_VALUE"""),"AGRANI BANK LTD.")</f>
        <v>AGRANI BANK LTD.</v>
      </c>
      <c r="E82" s="2" t="str">
        <f>IFERROR(__xludf.DUMMYFUNCTION("""COMPUTED_VALUE"""),"AKHAURA")</f>
        <v>AKHAURA</v>
      </c>
      <c r="F82" s="4">
        <f>IFERROR(__xludf.DUMMYFUNCTION("""COMPUTED_VALUE"""),4.0)</f>
        <v>4</v>
      </c>
      <c r="G82" s="5">
        <f>IFERROR(__xludf.DUMMYFUNCTION("""COMPUTED_VALUE"""),1.0120046E7)</f>
        <v>10120046</v>
      </c>
    </row>
    <row r="83">
      <c r="A83" s="3">
        <f>IFERROR(__xludf.DUMMYFUNCTION("""COMPUTED_VALUE"""),112.0)</f>
        <v>112</v>
      </c>
      <c r="B83" s="2" t="str">
        <f>IFERROR(__xludf.DUMMYFUNCTION("""COMPUTED_VALUE"""),"BRAHMANBARIA")</f>
        <v>BRAHMANBARIA</v>
      </c>
      <c r="C83" s="4">
        <f>IFERROR(__xludf.DUMMYFUNCTION("""COMPUTED_VALUE"""),10.0)</f>
        <v>10</v>
      </c>
      <c r="D83" s="2" t="str">
        <f>IFERROR(__xludf.DUMMYFUNCTION("""COMPUTED_VALUE"""),"AGRANI BANK LTD.")</f>
        <v>AGRANI BANK LTD.</v>
      </c>
      <c r="E83" s="2" t="str">
        <f>IFERROR(__xludf.DUMMYFUNCTION("""COMPUTED_VALUE"""),"ASHUGANJ")</f>
        <v>ASHUGANJ</v>
      </c>
      <c r="F83" s="4">
        <f>IFERROR(__xludf.DUMMYFUNCTION("""COMPUTED_VALUE"""),10.0)</f>
        <v>10</v>
      </c>
      <c r="G83" s="5">
        <f>IFERROR(__xludf.DUMMYFUNCTION("""COMPUTED_VALUE"""),1.0120109E7)</f>
        <v>10120109</v>
      </c>
    </row>
    <row r="84">
      <c r="A84" s="3">
        <f>IFERROR(__xludf.DUMMYFUNCTION("""COMPUTED_VALUE"""),112.0)</f>
        <v>112</v>
      </c>
      <c r="B84" s="2" t="str">
        <f>IFERROR(__xludf.DUMMYFUNCTION("""COMPUTED_VALUE"""),"BRAHMANBARIA")</f>
        <v>BRAHMANBARIA</v>
      </c>
      <c r="C84" s="4">
        <f>IFERROR(__xludf.DUMMYFUNCTION("""COMPUTED_VALUE"""),10.0)</f>
        <v>10</v>
      </c>
      <c r="D84" s="2" t="str">
        <f>IFERROR(__xludf.DUMMYFUNCTION("""COMPUTED_VALUE"""),"AGRANI BANK LTD.")</f>
        <v>AGRANI BANK LTD.</v>
      </c>
      <c r="E84" s="2" t="str">
        <f>IFERROR(__xludf.DUMMYFUNCTION("""COMPUTED_VALUE"""),"BANCHARAMPUR")</f>
        <v>BANCHARAMPUR</v>
      </c>
      <c r="F84" s="4">
        <f>IFERROR(__xludf.DUMMYFUNCTION("""COMPUTED_VALUE"""),25.0)</f>
        <v>25</v>
      </c>
      <c r="G84" s="5">
        <f>IFERROR(__xludf.DUMMYFUNCTION("""COMPUTED_VALUE"""),1.0120259E7)</f>
        <v>10120259</v>
      </c>
    </row>
    <row r="85">
      <c r="A85" s="3">
        <f>IFERROR(__xludf.DUMMYFUNCTION("""COMPUTED_VALUE"""),112.0)</f>
        <v>112</v>
      </c>
      <c r="B85" s="2" t="str">
        <f>IFERROR(__xludf.DUMMYFUNCTION("""COMPUTED_VALUE"""),"BRAHMANBARIA")</f>
        <v>BRAHMANBARIA</v>
      </c>
      <c r="C85" s="4">
        <f>IFERROR(__xludf.DUMMYFUNCTION("""COMPUTED_VALUE"""),10.0)</f>
        <v>10</v>
      </c>
      <c r="D85" s="2" t="str">
        <f>IFERROR(__xludf.DUMMYFUNCTION("""COMPUTED_VALUE"""),"AGRANI BANK LTD.")</f>
        <v>AGRANI BANK LTD.</v>
      </c>
      <c r="E85" s="2" t="str">
        <f>IFERROR(__xludf.DUMMYFUNCTION("""COMPUTED_VALUE"""),"BANGURA BAZAR")</f>
        <v>BANGURA BAZAR</v>
      </c>
      <c r="F85" s="4">
        <f>IFERROR(__xludf.DUMMYFUNCTION("""COMPUTED_VALUE"""),28.0)</f>
        <v>28</v>
      </c>
      <c r="G85" s="5">
        <f>IFERROR(__xludf.DUMMYFUNCTION("""COMPUTED_VALUE"""),1.0120288E7)</f>
        <v>10120288</v>
      </c>
    </row>
    <row r="86">
      <c r="A86" s="3">
        <f>IFERROR(__xludf.DUMMYFUNCTION("""COMPUTED_VALUE"""),112.0)</f>
        <v>112</v>
      </c>
      <c r="B86" s="2" t="str">
        <f>IFERROR(__xludf.DUMMYFUNCTION("""COMPUTED_VALUE"""),"BRAHMANBARIA")</f>
        <v>BRAHMANBARIA</v>
      </c>
      <c r="C86" s="4">
        <f>IFERROR(__xludf.DUMMYFUNCTION("""COMPUTED_VALUE"""),10.0)</f>
        <v>10</v>
      </c>
      <c r="D86" s="2" t="str">
        <f>IFERROR(__xludf.DUMMYFUNCTION("""COMPUTED_VALUE"""),"AGRANI BANK LTD.")</f>
        <v>AGRANI BANK LTD.</v>
      </c>
      <c r="E86" s="2" t="str">
        <f>IFERROR(__xludf.DUMMYFUNCTION("""COMPUTED_VALUE"""),"BITGHAR")</f>
        <v>BITGHAR</v>
      </c>
      <c r="F86" s="4">
        <f>IFERROR(__xludf.DUMMYFUNCTION("""COMPUTED_VALUE"""),40.0)</f>
        <v>40</v>
      </c>
      <c r="G86" s="5">
        <f>IFERROR(__xludf.DUMMYFUNCTION("""COMPUTED_VALUE"""),1.0120404E7)</f>
        <v>10120404</v>
      </c>
    </row>
    <row r="87">
      <c r="A87" s="3">
        <f>IFERROR(__xludf.DUMMYFUNCTION("""COMPUTED_VALUE"""),112.0)</f>
        <v>112</v>
      </c>
      <c r="B87" s="2" t="str">
        <f>IFERROR(__xludf.DUMMYFUNCTION("""COMPUTED_VALUE"""),"BRAHMANBARIA")</f>
        <v>BRAHMANBARIA</v>
      </c>
      <c r="C87" s="4">
        <f>IFERROR(__xludf.DUMMYFUNCTION("""COMPUTED_VALUE"""),10.0)</f>
        <v>10</v>
      </c>
      <c r="D87" s="2" t="str">
        <f>IFERROR(__xludf.DUMMYFUNCTION("""COMPUTED_VALUE"""),"AGRANI BANK LTD.")</f>
        <v>AGRANI BANK LTD.</v>
      </c>
      <c r="E87" s="2" t="str">
        <f>IFERROR(__xludf.DUMMYFUNCTION("""COMPUTED_VALUE"""),"BRAHMANBARIA")</f>
        <v>BRAHMANBARIA</v>
      </c>
      <c r="F87" s="4">
        <f>IFERROR(__xludf.DUMMYFUNCTION("""COMPUTED_VALUE"""),43.0)</f>
        <v>43</v>
      </c>
      <c r="G87" s="5">
        <f>IFERROR(__xludf.DUMMYFUNCTION("""COMPUTED_VALUE"""),1.0120433E7)</f>
        <v>10120433</v>
      </c>
    </row>
    <row r="88">
      <c r="A88" s="3">
        <f>IFERROR(__xludf.DUMMYFUNCTION("""COMPUTED_VALUE"""),112.0)</f>
        <v>112</v>
      </c>
      <c r="B88" s="2" t="str">
        <f>IFERROR(__xludf.DUMMYFUNCTION("""COMPUTED_VALUE"""),"BRAHMANBARIA")</f>
        <v>BRAHMANBARIA</v>
      </c>
      <c r="C88" s="4">
        <f>IFERROR(__xludf.DUMMYFUNCTION("""COMPUTED_VALUE"""),10.0)</f>
        <v>10</v>
      </c>
      <c r="D88" s="2" t="str">
        <f>IFERROR(__xludf.DUMMYFUNCTION("""COMPUTED_VALUE"""),"AGRANI BANK LTD.")</f>
        <v>AGRANI BANK LTD.</v>
      </c>
      <c r="E88" s="2" t="str">
        <f>IFERROR(__xludf.DUMMYFUNCTION("""COMPUTED_VALUE"""),"CHANDURA BAZAR")</f>
        <v>CHANDURA BAZAR</v>
      </c>
      <c r="F88" s="4">
        <f>IFERROR(__xludf.DUMMYFUNCTION("""COMPUTED_VALUE"""),58.0)</f>
        <v>58</v>
      </c>
      <c r="G88" s="5">
        <f>IFERROR(__xludf.DUMMYFUNCTION("""COMPUTED_VALUE"""),1.0120583E7)</f>
        <v>10120583</v>
      </c>
    </row>
    <row r="89">
      <c r="A89" s="3">
        <f>IFERROR(__xludf.DUMMYFUNCTION("""COMPUTED_VALUE"""),112.0)</f>
        <v>112</v>
      </c>
      <c r="B89" s="2" t="str">
        <f>IFERROR(__xludf.DUMMYFUNCTION("""COMPUTED_VALUE"""),"BRAHMANBARIA")</f>
        <v>BRAHMANBARIA</v>
      </c>
      <c r="C89" s="4">
        <f>IFERROR(__xludf.DUMMYFUNCTION("""COMPUTED_VALUE"""),10.0)</f>
        <v>10</v>
      </c>
      <c r="D89" s="2" t="str">
        <f>IFERROR(__xludf.DUMMYFUNCTION("""COMPUTED_VALUE"""),"AGRANI BANK LTD.")</f>
        <v>AGRANI BANK LTD.</v>
      </c>
      <c r="E89" s="2" t="str">
        <f>IFERROR(__xludf.DUMMYFUNCTION("""COMPUTED_VALUE"""),"JAGAT BAZAR")</f>
        <v>JAGAT BAZAR</v>
      </c>
      <c r="F89" s="4">
        <f>IFERROR(__xludf.DUMMYFUNCTION("""COMPUTED_VALUE"""),91.0)</f>
        <v>91</v>
      </c>
      <c r="G89" s="5">
        <f>IFERROR(__xludf.DUMMYFUNCTION("""COMPUTED_VALUE"""),1.0120912E7)</f>
        <v>10120912</v>
      </c>
    </row>
    <row r="90">
      <c r="A90" s="3">
        <f>IFERROR(__xludf.DUMMYFUNCTION("""COMPUTED_VALUE"""),112.0)</f>
        <v>112</v>
      </c>
      <c r="B90" s="2" t="str">
        <f>IFERROR(__xludf.DUMMYFUNCTION("""COMPUTED_VALUE"""),"BRAHMANBARIA")</f>
        <v>BRAHMANBARIA</v>
      </c>
      <c r="C90" s="4">
        <f>IFERROR(__xludf.DUMMYFUNCTION("""COMPUTED_VALUE"""),10.0)</f>
        <v>10</v>
      </c>
      <c r="D90" s="2" t="str">
        <f>IFERROR(__xludf.DUMMYFUNCTION("""COMPUTED_VALUE"""),"AGRANI BANK LTD.")</f>
        <v>AGRANI BANK LTD.</v>
      </c>
      <c r="E90" s="2" t="str">
        <f>IFERROR(__xludf.DUMMYFUNCTION("""COMPUTED_VALUE"""),"KASBA")</f>
        <v>KASBA</v>
      </c>
      <c r="F90" s="4">
        <f>IFERROR(__xludf.DUMMYFUNCTION("""COMPUTED_VALUE"""),103.0)</f>
        <v>103</v>
      </c>
      <c r="G90" s="5">
        <f>IFERROR(__xludf.DUMMYFUNCTION("""COMPUTED_VALUE"""),1.0121032E7)</f>
        <v>10121032</v>
      </c>
    </row>
    <row r="91">
      <c r="A91" s="3">
        <f>IFERROR(__xludf.DUMMYFUNCTION("""COMPUTED_VALUE"""),112.0)</f>
        <v>112</v>
      </c>
      <c r="B91" s="2" t="str">
        <f>IFERROR(__xludf.DUMMYFUNCTION("""COMPUTED_VALUE"""),"BRAHMANBARIA")</f>
        <v>BRAHMANBARIA</v>
      </c>
      <c r="C91" s="4">
        <f>IFERROR(__xludf.DUMMYFUNCTION("""COMPUTED_VALUE"""),10.0)</f>
        <v>10</v>
      </c>
      <c r="D91" s="2" t="str">
        <f>IFERROR(__xludf.DUMMYFUNCTION("""COMPUTED_VALUE"""),"AGRANI BANK LTD.")</f>
        <v>AGRANI BANK LTD.</v>
      </c>
      <c r="E91" s="2" t="str">
        <f>IFERROR(__xludf.DUMMYFUNCTION("""COMPUTED_VALUE"""),"LALPUR BAZAR")</f>
        <v>LALPUR BAZAR</v>
      </c>
      <c r="F91" s="4">
        <f>IFERROR(__xludf.DUMMYFUNCTION("""COMPUTED_VALUE"""),115.0)</f>
        <v>115</v>
      </c>
      <c r="G91" s="5">
        <f>IFERROR(__xludf.DUMMYFUNCTION("""COMPUTED_VALUE"""),1.0121153E7)</f>
        <v>10121153</v>
      </c>
    </row>
    <row r="92">
      <c r="A92" s="3">
        <f>IFERROR(__xludf.DUMMYFUNCTION("""COMPUTED_VALUE"""),112.0)</f>
        <v>112</v>
      </c>
      <c r="B92" s="2" t="str">
        <f>IFERROR(__xludf.DUMMYFUNCTION("""COMPUTED_VALUE"""),"BRAHMANBARIA")</f>
        <v>BRAHMANBARIA</v>
      </c>
      <c r="C92" s="4">
        <f>IFERROR(__xludf.DUMMYFUNCTION("""COMPUTED_VALUE"""),10.0)</f>
        <v>10</v>
      </c>
      <c r="D92" s="2" t="str">
        <f>IFERROR(__xludf.DUMMYFUNCTION("""COMPUTED_VALUE"""),"AGRANI BANK LTD.")</f>
        <v>AGRANI BANK LTD.</v>
      </c>
      <c r="E92" s="2" t="str">
        <f>IFERROR(__xludf.DUMMYFUNCTION("""COMPUTED_VALUE"""),"NABINAGAR")</f>
        <v>NABINAGAR</v>
      </c>
      <c r="F92" s="4">
        <f>IFERROR(__xludf.DUMMYFUNCTION("""COMPUTED_VALUE"""),136.0)</f>
        <v>136</v>
      </c>
      <c r="G92" s="5">
        <f>IFERROR(__xludf.DUMMYFUNCTION("""COMPUTED_VALUE"""),1.0121366E7)</f>
        <v>10121366</v>
      </c>
    </row>
    <row r="93">
      <c r="A93" s="3">
        <f>IFERROR(__xludf.DUMMYFUNCTION("""COMPUTED_VALUE"""),112.0)</f>
        <v>112</v>
      </c>
      <c r="B93" s="2" t="str">
        <f>IFERROR(__xludf.DUMMYFUNCTION("""COMPUTED_VALUE"""),"BRAHMANBARIA")</f>
        <v>BRAHMANBARIA</v>
      </c>
      <c r="C93" s="4">
        <f>IFERROR(__xludf.DUMMYFUNCTION("""COMPUTED_VALUE"""),10.0)</f>
        <v>10</v>
      </c>
      <c r="D93" s="2" t="str">
        <f>IFERROR(__xludf.DUMMYFUNCTION("""COMPUTED_VALUE"""),"AGRANI BANK LTD.")</f>
        <v>AGRANI BANK LTD.</v>
      </c>
      <c r="E93" s="2" t="str">
        <f>IFERROR(__xludf.DUMMYFUNCTION("""COMPUTED_VALUE"""),"SALIMGONJ")</f>
        <v>SALIMGONJ</v>
      </c>
      <c r="F93" s="4">
        <f>IFERROR(__xludf.DUMMYFUNCTION("""COMPUTED_VALUE"""),157.0)</f>
        <v>157</v>
      </c>
      <c r="G93" s="5">
        <f>IFERROR(__xludf.DUMMYFUNCTION("""COMPUTED_VALUE"""),1.0121579E7)</f>
        <v>10121579</v>
      </c>
    </row>
    <row r="94">
      <c r="A94" s="3">
        <f>IFERROR(__xludf.DUMMYFUNCTION("""COMPUTED_VALUE"""),112.0)</f>
        <v>112</v>
      </c>
      <c r="B94" s="2" t="str">
        <f>IFERROR(__xludf.DUMMYFUNCTION("""COMPUTED_VALUE"""),"BRAHMANBARIA")</f>
        <v>BRAHMANBARIA</v>
      </c>
      <c r="C94" s="4">
        <f>IFERROR(__xludf.DUMMYFUNCTION("""COMPUTED_VALUE"""),10.0)</f>
        <v>10</v>
      </c>
      <c r="D94" s="2" t="str">
        <f>IFERROR(__xludf.DUMMYFUNCTION("""COMPUTED_VALUE"""),"AGRANI BANK LTD.")</f>
        <v>AGRANI BANK LTD.</v>
      </c>
      <c r="E94" s="2" t="str">
        <f>IFERROR(__xludf.DUMMYFUNCTION("""COMPUTED_VALUE"""),"SHAHPUR")</f>
        <v>SHAHPUR</v>
      </c>
      <c r="F94" s="4">
        <f>IFERROR(__xludf.DUMMYFUNCTION("""COMPUTED_VALUE"""),172.0)</f>
        <v>172</v>
      </c>
      <c r="G94" s="5">
        <f>IFERROR(__xludf.DUMMYFUNCTION("""COMPUTED_VALUE"""),1.0121724E7)</f>
        <v>10121724</v>
      </c>
    </row>
    <row r="95">
      <c r="A95" s="3">
        <f>IFERROR(__xludf.DUMMYFUNCTION("""COMPUTED_VALUE"""),112.0)</f>
        <v>112</v>
      </c>
      <c r="B95" s="2" t="str">
        <f>IFERROR(__xludf.DUMMYFUNCTION("""COMPUTED_VALUE"""),"BRAHMANBARIA")</f>
        <v>BRAHMANBARIA</v>
      </c>
      <c r="C95" s="4">
        <f>IFERROR(__xludf.DUMMYFUNCTION("""COMPUTED_VALUE"""),10.0)</f>
        <v>10</v>
      </c>
      <c r="D95" s="2" t="str">
        <f>IFERROR(__xludf.DUMMYFUNCTION("""COMPUTED_VALUE"""),"AGRANI BANK LTD.")</f>
        <v>AGRANI BANK LTD.</v>
      </c>
      <c r="E95" s="2" t="str">
        <f>IFERROR(__xludf.DUMMYFUNCTION("""COMPUTED_VALUE"""),"SHIBPUR")</f>
        <v>SHIBPUR</v>
      </c>
      <c r="F95" s="4">
        <f>IFERROR(__xludf.DUMMYFUNCTION("""COMPUTED_VALUE"""),173.0)</f>
        <v>173</v>
      </c>
      <c r="G95" s="5">
        <f>IFERROR(__xludf.DUMMYFUNCTION("""COMPUTED_VALUE"""),1.0121737E7)</f>
        <v>10121737</v>
      </c>
    </row>
    <row r="96">
      <c r="A96" s="3">
        <f>IFERROR(__xludf.DUMMYFUNCTION("""COMPUTED_VALUE"""),112.0)</f>
        <v>112</v>
      </c>
      <c r="B96" s="2" t="str">
        <f>IFERROR(__xludf.DUMMYFUNCTION("""COMPUTED_VALUE"""),"BRAHMANBARIA")</f>
        <v>BRAHMANBARIA</v>
      </c>
      <c r="C96" s="4">
        <f>IFERROR(__xludf.DUMMYFUNCTION("""COMPUTED_VALUE"""),10.0)</f>
        <v>10</v>
      </c>
      <c r="D96" s="2" t="str">
        <f>IFERROR(__xludf.DUMMYFUNCTION("""COMPUTED_VALUE"""),"AGRANI BANK LTD.")</f>
        <v>AGRANI BANK LTD.</v>
      </c>
      <c r="E96" s="2" t="str">
        <f>IFERROR(__xludf.DUMMYFUNCTION("""COMPUTED_VALUE"""),"T.A. ROAD")</f>
        <v>T.A. ROAD</v>
      </c>
      <c r="F96" s="4">
        <f>IFERROR(__xludf.DUMMYFUNCTION("""COMPUTED_VALUE"""),184.0)</f>
        <v>184</v>
      </c>
      <c r="G96" s="5">
        <f>IFERROR(__xludf.DUMMYFUNCTION("""COMPUTED_VALUE"""),1.0121845E7)</f>
        <v>10121845</v>
      </c>
    </row>
    <row r="97">
      <c r="A97" s="3">
        <f>IFERROR(__xludf.DUMMYFUNCTION("""COMPUTED_VALUE"""),113.0)</f>
        <v>113</v>
      </c>
      <c r="B97" s="2" t="str">
        <f>IFERROR(__xludf.DUMMYFUNCTION("""COMPUTED_VALUE"""),"CHANDPUR")</f>
        <v>CHANDPUR</v>
      </c>
      <c r="C97" s="4">
        <f>IFERROR(__xludf.DUMMYFUNCTION("""COMPUTED_VALUE"""),10.0)</f>
        <v>10</v>
      </c>
      <c r="D97" s="2" t="str">
        <f>IFERROR(__xludf.DUMMYFUNCTION("""COMPUTED_VALUE"""),"AGRANI BANK LTD.")</f>
        <v>AGRANI BANK LTD.</v>
      </c>
      <c r="E97" s="2" t="str">
        <f>IFERROR(__xludf.DUMMYFUNCTION("""COMPUTED_VALUE"""),"ALGEE BAZAR")</f>
        <v>ALGEE BAZAR</v>
      </c>
      <c r="F97" s="4">
        <f>IFERROR(__xludf.DUMMYFUNCTION("""COMPUTED_VALUE"""),5.0)</f>
        <v>5</v>
      </c>
      <c r="G97" s="5">
        <f>IFERROR(__xludf.DUMMYFUNCTION("""COMPUTED_VALUE"""),1.0130052E7)</f>
        <v>10130052</v>
      </c>
    </row>
    <row r="98">
      <c r="A98" s="3">
        <f>IFERROR(__xludf.DUMMYFUNCTION("""COMPUTED_VALUE"""),113.0)</f>
        <v>113</v>
      </c>
      <c r="B98" s="2" t="str">
        <f>IFERROR(__xludf.DUMMYFUNCTION("""COMPUTED_VALUE"""),"CHANDPUR")</f>
        <v>CHANDPUR</v>
      </c>
      <c r="C98" s="4">
        <f>IFERROR(__xludf.DUMMYFUNCTION("""COMPUTED_VALUE"""),10.0)</f>
        <v>10</v>
      </c>
      <c r="D98" s="2" t="str">
        <f>IFERROR(__xludf.DUMMYFUNCTION("""COMPUTED_VALUE"""),"AGRANI BANK LTD.")</f>
        <v>AGRANI BANK LTD.</v>
      </c>
      <c r="E98" s="2" t="str">
        <f>IFERROR(__xludf.DUMMYFUNCTION("""COMPUTED_VALUE"""),"KACHUA BAZAR")</f>
        <v>KACHUA BAZAR</v>
      </c>
      <c r="F98" s="4">
        <f>IFERROR(__xludf.DUMMYFUNCTION("""COMPUTED_VALUE"""),6.0)</f>
        <v>6</v>
      </c>
      <c r="G98" s="5">
        <f>IFERROR(__xludf.DUMMYFUNCTION("""COMPUTED_VALUE"""),1.0130065E7)</f>
        <v>10130065</v>
      </c>
    </row>
    <row r="99">
      <c r="A99" s="3">
        <f>IFERROR(__xludf.DUMMYFUNCTION("""COMPUTED_VALUE"""),113.0)</f>
        <v>113</v>
      </c>
      <c r="B99" s="2" t="str">
        <f>IFERROR(__xludf.DUMMYFUNCTION("""COMPUTED_VALUE"""),"CHANDPUR")</f>
        <v>CHANDPUR</v>
      </c>
      <c r="C99" s="4">
        <f>IFERROR(__xludf.DUMMYFUNCTION("""COMPUTED_VALUE"""),10.0)</f>
        <v>10</v>
      </c>
      <c r="D99" s="2" t="str">
        <f>IFERROR(__xludf.DUMMYFUNCTION("""COMPUTED_VALUE"""),"AGRANI BANK LTD.")</f>
        <v>AGRANI BANK LTD.</v>
      </c>
      <c r="E99" s="2" t="str">
        <f>IFERROR(__xludf.DUMMYFUNCTION("""COMPUTED_VALUE"""),"BABUR HAT")</f>
        <v>BABUR HAT</v>
      </c>
      <c r="F99" s="4">
        <f>IFERROR(__xludf.DUMMYFUNCTION("""COMPUTED_VALUE"""),13.0)</f>
        <v>13</v>
      </c>
      <c r="G99" s="5">
        <f>IFERROR(__xludf.DUMMYFUNCTION("""COMPUTED_VALUE"""),1.0130131E7)</f>
        <v>10130131</v>
      </c>
    </row>
    <row r="100">
      <c r="A100" s="3">
        <f>IFERROR(__xludf.DUMMYFUNCTION("""COMPUTED_VALUE"""),113.0)</f>
        <v>113</v>
      </c>
      <c r="B100" s="2" t="str">
        <f>IFERROR(__xludf.DUMMYFUNCTION("""COMPUTED_VALUE"""),"CHANDPUR")</f>
        <v>CHANDPUR</v>
      </c>
      <c r="C100" s="4">
        <f>IFERROR(__xludf.DUMMYFUNCTION("""COMPUTED_VALUE"""),10.0)</f>
        <v>10</v>
      </c>
      <c r="D100" s="2" t="str">
        <f>IFERROR(__xludf.DUMMYFUNCTION("""COMPUTED_VALUE"""),"AGRANI BANK LTD.")</f>
        <v>AGRANI BANK LTD.</v>
      </c>
      <c r="E100" s="2" t="str">
        <f>IFERROR(__xludf.DUMMYFUNCTION("""COMPUTED_VALUE"""),"BALITHUBA")</f>
        <v>BALITHUBA</v>
      </c>
      <c r="F100" s="4">
        <f>IFERROR(__xludf.DUMMYFUNCTION("""COMPUTED_VALUE"""),20.0)</f>
        <v>20</v>
      </c>
      <c r="G100" s="5">
        <f>IFERROR(__xludf.DUMMYFUNCTION("""COMPUTED_VALUE"""),1.0130207E7)</f>
        <v>10130207</v>
      </c>
    </row>
    <row r="101">
      <c r="A101" s="3">
        <f>IFERROR(__xludf.DUMMYFUNCTION("""COMPUTED_VALUE"""),113.0)</f>
        <v>113</v>
      </c>
      <c r="B101" s="2" t="str">
        <f>IFERROR(__xludf.DUMMYFUNCTION("""COMPUTED_VALUE"""),"CHANDPUR")</f>
        <v>CHANDPUR</v>
      </c>
      <c r="C101" s="4">
        <f>IFERROR(__xludf.DUMMYFUNCTION("""COMPUTED_VALUE"""),10.0)</f>
        <v>10</v>
      </c>
      <c r="D101" s="2" t="str">
        <f>IFERROR(__xludf.DUMMYFUNCTION("""COMPUTED_VALUE"""),"AGRANI BANK LTD.")</f>
        <v>AGRANI BANK LTD.</v>
      </c>
      <c r="E101" s="2" t="str">
        <f>IFERROR(__xludf.DUMMYFUNCTION("""COMPUTED_VALUE"""),"BELTALI BAZAR")</f>
        <v>BELTALI BAZAR</v>
      </c>
      <c r="F101" s="4">
        <f>IFERROR(__xludf.DUMMYFUNCTION("""COMPUTED_VALUE"""),22.0)</f>
        <v>22</v>
      </c>
      <c r="G101" s="5">
        <f>IFERROR(__xludf.DUMMYFUNCTION("""COMPUTED_VALUE"""),1.0130223E7)</f>
        <v>10130223</v>
      </c>
    </row>
    <row r="102">
      <c r="A102" s="3">
        <f>IFERROR(__xludf.DUMMYFUNCTION("""COMPUTED_VALUE"""),113.0)</f>
        <v>113</v>
      </c>
      <c r="B102" s="2" t="str">
        <f>IFERROR(__xludf.DUMMYFUNCTION("""COMPUTED_VALUE"""),"CHANDPUR")</f>
        <v>CHANDPUR</v>
      </c>
      <c r="C102" s="4">
        <f>IFERROR(__xludf.DUMMYFUNCTION("""COMPUTED_VALUE"""),10.0)</f>
        <v>10</v>
      </c>
      <c r="D102" s="2" t="str">
        <f>IFERROR(__xludf.DUMMYFUNCTION("""COMPUTED_VALUE"""),"AGRANI BANK LTD.")</f>
        <v>AGRANI BANK LTD.</v>
      </c>
      <c r="E102" s="2" t="str">
        <f>IFERROR(__xludf.DUMMYFUNCTION("""COMPUTED_VALUE"""),"CHANDRA BAZAR")</f>
        <v>CHANDRA BAZAR</v>
      </c>
      <c r="F102" s="4">
        <f>IFERROR(__xludf.DUMMYFUNCTION("""COMPUTED_VALUE"""),46.0)</f>
        <v>46</v>
      </c>
      <c r="G102" s="5">
        <f>IFERROR(__xludf.DUMMYFUNCTION("""COMPUTED_VALUE"""),1.0130465E7)</f>
        <v>10130465</v>
      </c>
    </row>
    <row r="103">
      <c r="A103" s="3">
        <f>IFERROR(__xludf.DUMMYFUNCTION("""COMPUTED_VALUE"""),113.0)</f>
        <v>113</v>
      </c>
      <c r="B103" s="2" t="str">
        <f>IFERROR(__xludf.DUMMYFUNCTION("""COMPUTED_VALUE"""),"CHANDPUR")</f>
        <v>CHANDPUR</v>
      </c>
      <c r="C103" s="4">
        <f>IFERROR(__xludf.DUMMYFUNCTION("""COMPUTED_VALUE"""),10.0)</f>
        <v>10</v>
      </c>
      <c r="D103" s="2" t="str">
        <f>IFERROR(__xludf.DUMMYFUNCTION("""COMPUTED_VALUE"""),"AGRANI BANK LTD.")</f>
        <v>AGRANI BANK LTD.</v>
      </c>
      <c r="E103" s="2" t="str">
        <f>IFERROR(__xludf.DUMMYFUNCTION("""COMPUTED_VALUE"""),"CHHENGARCHAR BAZAR")</f>
        <v>CHHENGARCHAR BAZAR</v>
      </c>
      <c r="F103" s="4">
        <f>IFERROR(__xludf.DUMMYFUNCTION("""COMPUTED_VALUE"""),55.0)</f>
        <v>55</v>
      </c>
      <c r="G103" s="5">
        <f>IFERROR(__xludf.DUMMYFUNCTION("""COMPUTED_VALUE"""),1.0130557E7)</f>
        <v>10130557</v>
      </c>
    </row>
    <row r="104">
      <c r="A104" s="3">
        <f>IFERROR(__xludf.DUMMYFUNCTION("""COMPUTED_VALUE"""),113.0)</f>
        <v>113</v>
      </c>
      <c r="B104" s="2" t="str">
        <f>IFERROR(__xludf.DUMMYFUNCTION("""COMPUTED_VALUE"""),"CHANDPUR")</f>
        <v>CHANDPUR</v>
      </c>
      <c r="C104" s="4">
        <f>IFERROR(__xludf.DUMMYFUNCTION("""COMPUTED_VALUE"""),10.0)</f>
        <v>10</v>
      </c>
      <c r="D104" s="2" t="str">
        <f>IFERROR(__xludf.DUMMYFUNCTION("""COMPUTED_VALUE"""),"AGRANI BANK LTD.")</f>
        <v>AGRANI BANK LTD.</v>
      </c>
      <c r="E104" s="2" t="str">
        <f>IFERROR(__xludf.DUMMYFUNCTION("""COMPUTED_VALUE"""),"FARAKKABAD")</f>
        <v>FARAKKABAD</v>
      </c>
      <c r="F104" s="4">
        <f>IFERROR(__xludf.DUMMYFUNCTION("""COMPUTED_VALUE"""),79.0)</f>
        <v>79</v>
      </c>
      <c r="G104" s="5">
        <f>IFERROR(__xludf.DUMMYFUNCTION("""COMPUTED_VALUE"""),1.0130799E7)</f>
        <v>10130799</v>
      </c>
    </row>
    <row r="105">
      <c r="A105" s="3">
        <f>IFERROR(__xludf.DUMMYFUNCTION("""COMPUTED_VALUE"""),113.0)</f>
        <v>113</v>
      </c>
      <c r="B105" s="2" t="str">
        <f>IFERROR(__xludf.DUMMYFUNCTION("""COMPUTED_VALUE"""),"CHANDPUR")</f>
        <v>CHANDPUR</v>
      </c>
      <c r="C105" s="4">
        <f>IFERROR(__xludf.DUMMYFUNCTION("""COMPUTED_VALUE"""),10.0)</f>
        <v>10</v>
      </c>
      <c r="D105" s="2" t="str">
        <f>IFERROR(__xludf.DUMMYFUNCTION("""COMPUTED_VALUE"""),"AGRANI BANK LTD.")</f>
        <v>AGRANI BANK LTD.</v>
      </c>
      <c r="E105" s="2" t="str">
        <f>IFERROR(__xludf.DUMMYFUNCTION("""COMPUTED_VALUE"""),"HAJIGANJ")</f>
        <v>HAJIGANJ</v>
      </c>
      <c r="F105" s="4">
        <f>IFERROR(__xludf.DUMMYFUNCTION("""COMPUTED_VALUE"""),88.0)</f>
        <v>88</v>
      </c>
      <c r="G105" s="5">
        <f>IFERROR(__xludf.DUMMYFUNCTION("""COMPUTED_VALUE"""),1.0130881E7)</f>
        <v>10130881</v>
      </c>
    </row>
    <row r="106">
      <c r="A106" s="3">
        <f>IFERROR(__xludf.DUMMYFUNCTION("""COMPUTED_VALUE"""),113.0)</f>
        <v>113</v>
      </c>
      <c r="B106" s="2" t="str">
        <f>IFERROR(__xludf.DUMMYFUNCTION("""COMPUTED_VALUE"""),"CHANDPUR")</f>
        <v>CHANDPUR</v>
      </c>
      <c r="C106" s="4">
        <f>IFERROR(__xludf.DUMMYFUNCTION("""COMPUTED_VALUE"""),10.0)</f>
        <v>10</v>
      </c>
      <c r="D106" s="2" t="str">
        <f>IFERROR(__xludf.DUMMYFUNCTION("""COMPUTED_VALUE"""),"AGRANI BANK LTD.")</f>
        <v>AGRANI BANK LTD.</v>
      </c>
      <c r="E106" s="2" t="str">
        <f>IFERROR(__xludf.DUMMYFUNCTION("""COMPUTED_VALUE"""),"KHAJURIA BAZAR")</f>
        <v>KHAJURIA BAZAR</v>
      </c>
      <c r="F106" s="4">
        <f>IFERROR(__xludf.DUMMYFUNCTION("""COMPUTED_VALUE"""),103.0)</f>
        <v>103</v>
      </c>
      <c r="G106" s="5">
        <f>IFERROR(__xludf.DUMMYFUNCTION("""COMPUTED_VALUE"""),1.0131035E7)</f>
        <v>10131035</v>
      </c>
    </row>
    <row r="107">
      <c r="A107" s="3">
        <f>IFERROR(__xludf.DUMMYFUNCTION("""COMPUTED_VALUE"""),113.0)</f>
        <v>113</v>
      </c>
      <c r="B107" s="2" t="str">
        <f>IFERROR(__xludf.DUMMYFUNCTION("""COMPUTED_VALUE"""),"CHANDPUR")</f>
        <v>CHANDPUR</v>
      </c>
      <c r="C107" s="4">
        <f>IFERROR(__xludf.DUMMYFUNCTION("""COMPUTED_VALUE"""),10.0)</f>
        <v>10</v>
      </c>
      <c r="D107" s="2" t="str">
        <f>IFERROR(__xludf.DUMMYFUNCTION("""COMPUTED_VALUE"""),"AGRANI BANK LTD.")</f>
        <v>AGRANI BANK LTD.</v>
      </c>
      <c r="E107" s="2" t="str">
        <f>IFERROR(__xludf.DUMMYFUNCTION("""COMPUTED_VALUE"""),"MATLAB BAZAR")</f>
        <v>MATLAB BAZAR</v>
      </c>
      <c r="F107" s="4">
        <f>IFERROR(__xludf.DUMMYFUNCTION("""COMPUTED_VALUE"""),121.0)</f>
        <v>121</v>
      </c>
      <c r="G107" s="5">
        <f>IFERROR(__xludf.DUMMYFUNCTION("""COMPUTED_VALUE"""),1.0131219E7)</f>
        <v>10131219</v>
      </c>
    </row>
    <row r="108">
      <c r="A108" s="3">
        <f>IFERROR(__xludf.DUMMYFUNCTION("""COMPUTED_VALUE"""),113.0)</f>
        <v>113</v>
      </c>
      <c r="B108" s="2" t="str">
        <f>IFERROR(__xludf.DUMMYFUNCTION("""COMPUTED_VALUE"""),"CHANDPUR")</f>
        <v>CHANDPUR</v>
      </c>
      <c r="C108" s="4">
        <f>IFERROR(__xludf.DUMMYFUNCTION("""COMPUTED_VALUE"""),10.0)</f>
        <v>10</v>
      </c>
      <c r="D108" s="2" t="str">
        <f>IFERROR(__xludf.DUMMYFUNCTION("""COMPUTED_VALUE"""),"AGRANI BANK LTD.")</f>
        <v>AGRANI BANK LTD.</v>
      </c>
      <c r="E108" s="2" t="str">
        <f>IFERROR(__xludf.DUMMYFUNCTION("""COMPUTED_VALUE"""),"MEHER")</f>
        <v>MEHER</v>
      </c>
      <c r="F108" s="4">
        <f>IFERROR(__xludf.DUMMYFUNCTION("""COMPUTED_VALUE"""),127.0)</f>
        <v>127</v>
      </c>
      <c r="G108" s="5">
        <f>IFERROR(__xludf.DUMMYFUNCTION("""COMPUTED_VALUE"""),1.0131277E7)</f>
        <v>10131277</v>
      </c>
    </row>
    <row r="109">
      <c r="A109" s="3">
        <f>IFERROR(__xludf.DUMMYFUNCTION("""COMPUTED_VALUE"""),113.0)</f>
        <v>113</v>
      </c>
      <c r="B109" s="2" t="str">
        <f>IFERROR(__xludf.DUMMYFUNCTION("""COMPUTED_VALUE"""),"CHANDPUR")</f>
        <v>CHANDPUR</v>
      </c>
      <c r="C109" s="4">
        <f>IFERROR(__xludf.DUMMYFUNCTION("""COMPUTED_VALUE"""),10.0)</f>
        <v>10</v>
      </c>
      <c r="D109" s="2" t="str">
        <f>IFERROR(__xludf.DUMMYFUNCTION("""COMPUTED_VALUE"""),"AGRANI BANK LTD.")</f>
        <v>AGRANI BANK LTD.</v>
      </c>
      <c r="E109" s="2" t="str">
        <f>IFERROR(__xludf.DUMMYFUNCTION("""COMPUTED_VALUE"""),"MUNSHIRHAT")</f>
        <v>MUNSHIRHAT</v>
      </c>
      <c r="F109" s="4">
        <f>IFERROR(__xludf.DUMMYFUNCTION("""COMPUTED_VALUE"""),133.0)</f>
        <v>133</v>
      </c>
      <c r="G109" s="5">
        <f>IFERROR(__xludf.DUMMYFUNCTION("""COMPUTED_VALUE"""),1.013133E7)</f>
        <v>10131330</v>
      </c>
    </row>
    <row r="110">
      <c r="A110" s="3">
        <f>IFERROR(__xludf.DUMMYFUNCTION("""COMPUTED_VALUE"""),113.0)</f>
        <v>113</v>
      </c>
      <c r="B110" s="2" t="str">
        <f>IFERROR(__xludf.DUMMYFUNCTION("""COMPUTED_VALUE"""),"CHANDPUR")</f>
        <v>CHANDPUR</v>
      </c>
      <c r="C110" s="4">
        <f>IFERROR(__xludf.DUMMYFUNCTION("""COMPUTED_VALUE"""),10.0)</f>
        <v>10</v>
      </c>
      <c r="D110" s="2" t="str">
        <f>IFERROR(__xludf.DUMMYFUNCTION("""COMPUTED_VALUE"""),"AGRANI BANK LTD.")</f>
        <v>AGRANI BANK LTD.</v>
      </c>
      <c r="E110" s="2" t="str">
        <f>IFERROR(__xludf.DUMMYFUNCTION("""COMPUTED_VALUE"""),"NANDALALPUR")</f>
        <v>NANDALALPUR</v>
      </c>
      <c r="F110" s="4">
        <f>IFERROR(__xludf.DUMMYFUNCTION("""COMPUTED_VALUE"""),139.0)</f>
        <v>139</v>
      </c>
      <c r="G110" s="5">
        <f>IFERROR(__xludf.DUMMYFUNCTION("""COMPUTED_VALUE"""),1.0131398E7)</f>
        <v>10131398</v>
      </c>
    </row>
    <row r="111">
      <c r="A111" s="3">
        <f>IFERROR(__xludf.DUMMYFUNCTION("""COMPUTED_VALUE"""),113.0)</f>
        <v>113</v>
      </c>
      <c r="B111" s="2" t="str">
        <f>IFERROR(__xludf.DUMMYFUNCTION("""COMPUTED_VALUE"""),"CHANDPUR")</f>
        <v>CHANDPUR</v>
      </c>
      <c r="C111" s="4">
        <f>IFERROR(__xludf.DUMMYFUNCTION("""COMPUTED_VALUE"""),10.0)</f>
        <v>10</v>
      </c>
      <c r="D111" s="2" t="str">
        <f>IFERROR(__xludf.DUMMYFUNCTION("""COMPUTED_VALUE"""),"AGRANI BANK LTD.")</f>
        <v>AGRANI BANK LTD.</v>
      </c>
      <c r="E111" s="2" t="str">
        <f>IFERROR(__xludf.DUMMYFUNCTION("""COMPUTED_VALUE"""),"NARAYANPUR")</f>
        <v>NARAYANPUR</v>
      </c>
      <c r="F111" s="4">
        <f>IFERROR(__xludf.DUMMYFUNCTION("""COMPUTED_VALUE"""),145.0)</f>
        <v>145</v>
      </c>
      <c r="G111" s="5">
        <f>IFERROR(__xludf.DUMMYFUNCTION("""COMPUTED_VALUE"""),1.0131451E7)</f>
        <v>10131451</v>
      </c>
    </row>
    <row r="112">
      <c r="A112" s="3">
        <f>IFERROR(__xludf.DUMMYFUNCTION("""COMPUTED_VALUE"""),113.0)</f>
        <v>113</v>
      </c>
      <c r="B112" s="2" t="str">
        <f>IFERROR(__xludf.DUMMYFUNCTION("""COMPUTED_VALUE"""),"CHANDPUR")</f>
        <v>CHANDPUR</v>
      </c>
      <c r="C112" s="4">
        <f>IFERROR(__xludf.DUMMYFUNCTION("""COMPUTED_VALUE"""),10.0)</f>
        <v>10</v>
      </c>
      <c r="D112" s="2" t="str">
        <f>IFERROR(__xludf.DUMMYFUNCTION("""COMPUTED_VALUE"""),"AGRANI BANK LTD.")</f>
        <v>AGRANI BANK LTD.</v>
      </c>
      <c r="E112" s="2" t="str">
        <f>IFERROR(__xludf.DUMMYFUNCTION("""COMPUTED_VALUE"""),"NATUN BAZAR")</f>
        <v>NATUN BAZAR</v>
      </c>
      <c r="F112" s="4">
        <f>IFERROR(__xludf.DUMMYFUNCTION("""COMPUTED_VALUE"""),148.0)</f>
        <v>148</v>
      </c>
      <c r="G112" s="5">
        <f>IFERROR(__xludf.DUMMYFUNCTION("""COMPUTED_VALUE"""),1.013148E7)</f>
        <v>10131480</v>
      </c>
    </row>
    <row r="113">
      <c r="A113" s="3">
        <f>IFERROR(__xludf.DUMMYFUNCTION("""COMPUTED_VALUE"""),113.0)</f>
        <v>113</v>
      </c>
      <c r="B113" s="2" t="str">
        <f>IFERROR(__xludf.DUMMYFUNCTION("""COMPUTED_VALUE"""),"CHANDPUR")</f>
        <v>CHANDPUR</v>
      </c>
      <c r="C113" s="4">
        <f>IFERROR(__xludf.DUMMYFUNCTION("""COMPUTED_VALUE"""),10.0)</f>
        <v>10</v>
      </c>
      <c r="D113" s="2" t="str">
        <f>IFERROR(__xludf.DUMMYFUNCTION("""COMPUTED_VALUE"""),"AGRANI BANK LTD.")</f>
        <v>AGRANI BANK LTD.</v>
      </c>
      <c r="E113" s="2" t="str">
        <f>IFERROR(__xludf.DUMMYFUNCTION("""COMPUTED_VALUE"""),"RAMCHANDRAPUR BAZAR")</f>
        <v>RAMCHANDRAPUR BAZAR</v>
      </c>
      <c r="F113" s="4">
        <f>IFERROR(__xludf.DUMMYFUNCTION("""COMPUTED_VALUE"""),172.0)</f>
        <v>172</v>
      </c>
      <c r="G113" s="5">
        <f>IFERROR(__xludf.DUMMYFUNCTION("""COMPUTED_VALUE"""),1.0131727E7)</f>
        <v>10131727</v>
      </c>
    </row>
    <row r="114">
      <c r="A114" s="3">
        <f>IFERROR(__xludf.DUMMYFUNCTION("""COMPUTED_VALUE"""),113.0)</f>
        <v>113</v>
      </c>
      <c r="B114" s="2" t="str">
        <f>IFERROR(__xludf.DUMMYFUNCTION("""COMPUTED_VALUE"""),"CHANDPUR")</f>
        <v>CHANDPUR</v>
      </c>
      <c r="C114" s="4">
        <f>IFERROR(__xludf.DUMMYFUNCTION("""COMPUTED_VALUE"""),10.0)</f>
        <v>10</v>
      </c>
      <c r="D114" s="2" t="str">
        <f>IFERROR(__xludf.DUMMYFUNCTION("""COMPUTED_VALUE"""),"AGRANI BANK LTD.")</f>
        <v>AGRANI BANK LTD.</v>
      </c>
      <c r="E114" s="2" t="str">
        <f>IFERROR(__xludf.DUMMYFUNCTION("""COMPUTED_VALUE"""),"RUPSHA BAZAR")</f>
        <v>RUPSHA BAZAR</v>
      </c>
      <c r="F114" s="4">
        <f>IFERROR(__xludf.DUMMYFUNCTION("""COMPUTED_VALUE"""),178.0)</f>
        <v>178</v>
      </c>
      <c r="G114" s="5">
        <f>IFERROR(__xludf.DUMMYFUNCTION("""COMPUTED_VALUE"""),1.0131785E7)</f>
        <v>10131785</v>
      </c>
    </row>
    <row r="115">
      <c r="A115" s="3">
        <f>IFERROR(__xludf.DUMMYFUNCTION("""COMPUTED_VALUE"""),113.0)</f>
        <v>113</v>
      </c>
      <c r="B115" s="2" t="str">
        <f>IFERROR(__xludf.DUMMYFUNCTION("""COMPUTED_VALUE"""),"CHANDPUR")</f>
        <v>CHANDPUR</v>
      </c>
      <c r="C115" s="4">
        <f>IFERROR(__xludf.DUMMYFUNCTION("""COMPUTED_VALUE"""),10.0)</f>
        <v>10</v>
      </c>
      <c r="D115" s="2" t="str">
        <f>IFERROR(__xludf.DUMMYFUNCTION("""COMPUTED_VALUE"""),"AGRANI BANK LTD.")</f>
        <v>AGRANI BANK LTD.</v>
      </c>
      <c r="E115" s="2" t="str">
        <f>IFERROR(__xludf.DUMMYFUNCTION("""COMPUTED_VALUE"""),"SREERAMDI")</f>
        <v>SREERAMDI</v>
      </c>
      <c r="F115" s="4">
        <f>IFERROR(__xludf.DUMMYFUNCTION("""COMPUTED_VALUE"""),205.0)</f>
        <v>205</v>
      </c>
      <c r="G115" s="5">
        <f>IFERROR(__xludf.DUMMYFUNCTION("""COMPUTED_VALUE"""),1.013205E7)</f>
        <v>10132050</v>
      </c>
    </row>
    <row r="116">
      <c r="A116" s="3">
        <f>IFERROR(__xludf.DUMMYFUNCTION("""COMPUTED_VALUE"""),113.0)</f>
        <v>113</v>
      </c>
      <c r="B116" s="2" t="str">
        <f>IFERROR(__xludf.DUMMYFUNCTION("""COMPUTED_VALUE"""),"CHANDPUR")</f>
        <v>CHANDPUR</v>
      </c>
      <c r="C116" s="4">
        <f>IFERROR(__xludf.DUMMYFUNCTION("""COMPUTED_VALUE"""),10.0)</f>
        <v>10</v>
      </c>
      <c r="D116" s="2" t="str">
        <f>IFERROR(__xludf.DUMMYFUNCTION("""COMPUTED_VALUE"""),"AGRANI BANK LTD.")</f>
        <v>AGRANI BANK LTD.</v>
      </c>
      <c r="E116" s="2" t="str">
        <f>IFERROR(__xludf.DUMMYFUNCTION("""COMPUTED_VALUE"""),"STATION ROAD")</f>
        <v>STATION ROAD</v>
      </c>
      <c r="F116" s="4">
        <f>IFERROR(__xludf.DUMMYFUNCTION("""COMPUTED_VALUE"""),208.0)</f>
        <v>208</v>
      </c>
      <c r="G116" s="5">
        <f>IFERROR(__xludf.DUMMYFUNCTION("""COMPUTED_VALUE"""),1.0132089E7)</f>
        <v>10132089</v>
      </c>
    </row>
    <row r="117">
      <c r="A117" s="3">
        <f>IFERROR(__xludf.DUMMYFUNCTION("""COMPUTED_VALUE"""),215.0)</f>
        <v>215</v>
      </c>
      <c r="B117" s="2" t="str">
        <f>IFERROR(__xludf.DUMMYFUNCTION("""COMPUTED_VALUE"""),"CHITTAGONG")</f>
        <v>CHITTAGONG</v>
      </c>
      <c r="C117" s="4">
        <f>IFERROR(__xludf.DUMMYFUNCTION("""COMPUTED_VALUE"""),10.0)</f>
        <v>10</v>
      </c>
      <c r="D117" s="2" t="str">
        <f>IFERROR(__xludf.DUMMYFUNCTION("""COMPUTED_VALUE"""),"AGRANI BANK LTD.")</f>
        <v>AGRANI BANK LTD.</v>
      </c>
      <c r="E117" s="2" t="str">
        <f>IFERROR(__xludf.DUMMYFUNCTION("""COMPUTED_VALUE"""),"AGRABAD CORPORATE")</f>
        <v>AGRABAD CORPORATE</v>
      </c>
      <c r="F117" s="4">
        <f>IFERROR(__xludf.DUMMYFUNCTION("""COMPUTED_VALUE"""),16.0)</f>
        <v>16</v>
      </c>
      <c r="G117" s="5">
        <f>IFERROR(__xludf.DUMMYFUNCTION("""COMPUTED_VALUE"""),1.0150166E7)</f>
        <v>10150166</v>
      </c>
    </row>
    <row r="118">
      <c r="A118" s="3">
        <f>IFERROR(__xludf.DUMMYFUNCTION("""COMPUTED_VALUE"""),215.0)</f>
        <v>215</v>
      </c>
      <c r="B118" s="2" t="str">
        <f>IFERROR(__xludf.DUMMYFUNCTION("""COMPUTED_VALUE"""),"CHITTAGONG")</f>
        <v>CHITTAGONG</v>
      </c>
      <c r="C118" s="4">
        <f>IFERROR(__xludf.DUMMYFUNCTION("""COMPUTED_VALUE"""),10.0)</f>
        <v>10</v>
      </c>
      <c r="D118" s="2" t="str">
        <f>IFERROR(__xludf.DUMMYFUNCTION("""COMPUTED_VALUE"""),"AGRANI BANK LTD.")</f>
        <v>AGRANI BANK LTD.</v>
      </c>
      <c r="E118" s="2" t="str">
        <f>IFERROR(__xludf.DUMMYFUNCTION("""COMPUTED_VALUE"""),"AIR BASE")</f>
        <v>AIR BASE</v>
      </c>
      <c r="F118" s="4">
        <f>IFERROR(__xludf.DUMMYFUNCTION("""COMPUTED_VALUE"""),19.0)</f>
        <v>19</v>
      </c>
      <c r="G118" s="5">
        <f>IFERROR(__xludf.DUMMYFUNCTION("""COMPUTED_VALUE"""),1.0150195E7)</f>
        <v>10150195</v>
      </c>
    </row>
    <row r="119">
      <c r="A119" s="3">
        <f>IFERROR(__xludf.DUMMYFUNCTION("""COMPUTED_VALUE"""),215.0)</f>
        <v>215</v>
      </c>
      <c r="B119" s="2" t="str">
        <f>IFERROR(__xludf.DUMMYFUNCTION("""COMPUTED_VALUE"""),"CHITTAGONG")</f>
        <v>CHITTAGONG</v>
      </c>
      <c r="C119" s="4">
        <f>IFERROR(__xludf.DUMMYFUNCTION("""COMPUTED_VALUE"""),10.0)</f>
        <v>10</v>
      </c>
      <c r="D119" s="2" t="str">
        <f>IFERROR(__xludf.DUMMYFUNCTION("""COMPUTED_VALUE"""),"AGRANI BANK LTD.")</f>
        <v>AGRANI BANK LTD.</v>
      </c>
      <c r="E119" s="2" t="str">
        <f>IFERROR(__xludf.DUMMYFUNCTION("""COMPUTED_VALUE"""),"AMANAT KHAN SARAK")</f>
        <v>AMANAT KHAN SARAK</v>
      </c>
      <c r="F119" s="4">
        <f>IFERROR(__xludf.DUMMYFUNCTION("""COMPUTED_VALUE"""),28.0)</f>
        <v>28</v>
      </c>
      <c r="G119" s="5">
        <f>IFERROR(__xludf.DUMMYFUNCTION("""COMPUTED_VALUE"""),1.0150287E7)</f>
        <v>10150287</v>
      </c>
    </row>
    <row r="120">
      <c r="A120" s="3">
        <f>IFERROR(__xludf.DUMMYFUNCTION("""COMPUTED_VALUE"""),215.0)</f>
        <v>215</v>
      </c>
      <c r="B120" s="2" t="str">
        <f>IFERROR(__xludf.DUMMYFUNCTION("""COMPUTED_VALUE"""),"CHITTAGONG")</f>
        <v>CHITTAGONG</v>
      </c>
      <c r="C120" s="4">
        <f>IFERROR(__xludf.DUMMYFUNCTION("""COMPUTED_VALUE"""),10.0)</f>
        <v>10</v>
      </c>
      <c r="D120" s="2" t="str">
        <f>IFERROR(__xludf.DUMMYFUNCTION("""COMPUTED_VALUE"""),"AGRANI BANK LTD.")</f>
        <v>AGRANI BANK LTD.</v>
      </c>
      <c r="E120" s="2" t="str">
        <f>IFERROR(__xludf.DUMMYFUNCTION("""COMPUTED_VALUE"""),"AMIRABAD")</f>
        <v>AMIRABAD</v>
      </c>
      <c r="F120" s="4">
        <f>IFERROR(__xludf.DUMMYFUNCTION("""COMPUTED_VALUE"""),40.0)</f>
        <v>40</v>
      </c>
      <c r="G120" s="5">
        <f>IFERROR(__xludf.DUMMYFUNCTION("""COMPUTED_VALUE"""),1.0150403E7)</f>
        <v>10150403</v>
      </c>
    </row>
    <row r="121">
      <c r="A121" s="3">
        <f>IFERROR(__xludf.DUMMYFUNCTION("""COMPUTED_VALUE"""),215.0)</f>
        <v>215</v>
      </c>
      <c r="B121" s="2" t="str">
        <f>IFERROR(__xludf.DUMMYFUNCTION("""COMPUTED_VALUE"""),"CHITTAGONG")</f>
        <v>CHITTAGONG</v>
      </c>
      <c r="C121" s="4">
        <f>IFERROR(__xludf.DUMMYFUNCTION("""COMPUTED_VALUE"""),10.0)</f>
        <v>10</v>
      </c>
      <c r="D121" s="2" t="str">
        <f>IFERROR(__xludf.DUMMYFUNCTION("""COMPUTED_VALUE"""),"AGRANI BANK LTD.")</f>
        <v>AGRANI BANK LTD.</v>
      </c>
      <c r="E121" s="2" t="str">
        <f>IFERROR(__xludf.DUMMYFUNCTION("""COMPUTED_VALUE"""),"AMIRHAT")</f>
        <v>AMIRHAT</v>
      </c>
      <c r="F121" s="4">
        <f>IFERROR(__xludf.DUMMYFUNCTION("""COMPUTED_VALUE"""),43.0)</f>
        <v>43</v>
      </c>
      <c r="G121" s="5">
        <f>IFERROR(__xludf.DUMMYFUNCTION("""COMPUTED_VALUE"""),1.0150432E7)</f>
        <v>10150432</v>
      </c>
    </row>
    <row r="122">
      <c r="A122" s="3">
        <f>IFERROR(__xludf.DUMMYFUNCTION("""COMPUTED_VALUE"""),215.0)</f>
        <v>215</v>
      </c>
      <c r="B122" s="2" t="str">
        <f>IFERROR(__xludf.DUMMYFUNCTION("""COMPUTED_VALUE"""),"CHITTAGONG")</f>
        <v>CHITTAGONG</v>
      </c>
      <c r="C122" s="4">
        <f>IFERROR(__xludf.DUMMYFUNCTION("""COMPUTED_VALUE"""),10.0)</f>
        <v>10</v>
      </c>
      <c r="D122" s="2" t="str">
        <f>IFERROR(__xludf.DUMMYFUNCTION("""COMPUTED_VALUE"""),"AGRANI BANK LTD.")</f>
        <v>AGRANI BANK LTD.</v>
      </c>
      <c r="E122" s="2" t="str">
        <f>IFERROR(__xludf.DUMMYFUNCTION("""COMPUTED_VALUE"""),"ARTYLARY CENTRE")</f>
        <v>ARTYLARY CENTRE</v>
      </c>
      <c r="F122" s="4">
        <f>IFERROR(__xludf.DUMMYFUNCTION("""COMPUTED_VALUE"""),55.0)</f>
        <v>55</v>
      </c>
      <c r="G122" s="5">
        <f>IFERROR(__xludf.DUMMYFUNCTION("""COMPUTED_VALUE"""),1.0150553E7)</f>
        <v>10150553</v>
      </c>
    </row>
    <row r="123">
      <c r="A123" s="3">
        <f>IFERROR(__xludf.DUMMYFUNCTION("""COMPUTED_VALUE"""),215.0)</f>
        <v>215</v>
      </c>
      <c r="B123" s="2" t="str">
        <f>IFERROR(__xludf.DUMMYFUNCTION("""COMPUTED_VALUE"""),"CHITTAGONG")</f>
        <v>CHITTAGONG</v>
      </c>
      <c r="C123" s="4">
        <f>IFERROR(__xludf.DUMMYFUNCTION("""COMPUTED_VALUE"""),10.0)</f>
        <v>10</v>
      </c>
      <c r="D123" s="2" t="str">
        <f>IFERROR(__xludf.DUMMYFUNCTION("""COMPUTED_VALUE"""),"AGRANI BANK LTD.")</f>
        <v>AGRANI BANK LTD.</v>
      </c>
      <c r="E123" s="2" t="str">
        <f>IFERROR(__xludf.DUMMYFUNCTION("""COMPUTED_VALUE"""),"ASAD GANJ")</f>
        <v>ASAD GANJ</v>
      </c>
      <c r="F123" s="4">
        <f>IFERROR(__xludf.DUMMYFUNCTION("""COMPUTED_VALUE"""),58.0)</f>
        <v>58</v>
      </c>
      <c r="G123" s="5">
        <f>IFERROR(__xludf.DUMMYFUNCTION("""COMPUTED_VALUE"""),1.0150582E7)</f>
        <v>10150582</v>
      </c>
    </row>
    <row r="124">
      <c r="A124" s="3">
        <f>IFERROR(__xludf.DUMMYFUNCTION("""COMPUTED_VALUE"""),215.0)</f>
        <v>215</v>
      </c>
      <c r="B124" s="2" t="str">
        <f>IFERROR(__xludf.DUMMYFUNCTION("""COMPUTED_VALUE"""),"CHITTAGONG")</f>
        <v>CHITTAGONG</v>
      </c>
      <c r="C124" s="4">
        <f>IFERROR(__xludf.DUMMYFUNCTION("""COMPUTED_VALUE"""),10.0)</f>
        <v>10</v>
      </c>
      <c r="D124" s="2" t="str">
        <f>IFERROR(__xludf.DUMMYFUNCTION("""COMPUTED_VALUE"""),"AGRANI BANK LTD.")</f>
        <v>AGRANI BANK LTD.</v>
      </c>
      <c r="E124" s="2" t="str">
        <f>IFERROR(__xludf.DUMMYFUNCTION("""COMPUTED_VALUE"""),"ASKERDIGHI")</f>
        <v>ASKERDIGHI</v>
      </c>
      <c r="F124" s="4">
        <f>IFERROR(__xludf.DUMMYFUNCTION("""COMPUTED_VALUE"""),67.0)</f>
        <v>67</v>
      </c>
      <c r="G124" s="5">
        <f>IFERROR(__xludf.DUMMYFUNCTION("""COMPUTED_VALUE"""),1.0150674E7)</f>
        <v>10150674</v>
      </c>
    </row>
    <row r="125">
      <c r="A125" s="3">
        <f>IFERROR(__xludf.DUMMYFUNCTION("""COMPUTED_VALUE"""),215.0)</f>
        <v>215</v>
      </c>
      <c r="B125" s="2" t="str">
        <f>IFERROR(__xludf.DUMMYFUNCTION("""COMPUTED_VALUE"""),"CHITTAGONG")</f>
        <v>CHITTAGONG</v>
      </c>
      <c r="C125" s="4">
        <f>IFERROR(__xludf.DUMMYFUNCTION("""COMPUTED_VALUE"""),10.0)</f>
        <v>10</v>
      </c>
      <c r="D125" s="2" t="str">
        <f>IFERROR(__xludf.DUMMYFUNCTION("""COMPUTED_VALUE"""),"AGRANI BANK LTD.")</f>
        <v>AGRANI BANK LTD.</v>
      </c>
      <c r="E125" s="2" t="str">
        <f>IFERROR(__xludf.DUMMYFUNCTION("""COMPUTED_VALUE"""),"AZADI BAZAR")</f>
        <v>AZADI BAZAR</v>
      </c>
      <c r="F125" s="4">
        <f>IFERROR(__xludf.DUMMYFUNCTION("""COMPUTED_VALUE"""),73.0)</f>
        <v>73</v>
      </c>
      <c r="G125" s="5">
        <f>IFERROR(__xludf.DUMMYFUNCTION("""COMPUTED_VALUE"""),1.0150737E7)</f>
        <v>10150737</v>
      </c>
    </row>
    <row r="126">
      <c r="A126" s="3">
        <f>IFERROR(__xludf.DUMMYFUNCTION("""COMPUTED_VALUE"""),215.0)</f>
        <v>215</v>
      </c>
      <c r="B126" s="2" t="str">
        <f>IFERROR(__xludf.DUMMYFUNCTION("""COMPUTED_VALUE"""),"CHITTAGONG")</f>
        <v>CHITTAGONG</v>
      </c>
      <c r="C126" s="4">
        <f>IFERROR(__xludf.DUMMYFUNCTION("""COMPUTED_VALUE"""),10.0)</f>
        <v>10</v>
      </c>
      <c r="D126" s="2" t="str">
        <f>IFERROR(__xludf.DUMMYFUNCTION("""COMPUTED_VALUE"""),"AGRANI BANK LTD.")</f>
        <v>AGRANI BANK LTD.</v>
      </c>
      <c r="E126" s="2" t="str">
        <f>IFERROR(__xludf.DUMMYFUNCTION("""COMPUTED_VALUE"""),"BAHADDAR HAT")</f>
        <v>BAHADDAR HAT</v>
      </c>
      <c r="F126" s="4">
        <f>IFERROR(__xludf.DUMMYFUNCTION("""COMPUTED_VALUE"""),79.0)</f>
        <v>79</v>
      </c>
      <c r="G126" s="5">
        <f>IFERROR(__xludf.DUMMYFUNCTION("""COMPUTED_VALUE"""),1.0150795E7)</f>
        <v>10150795</v>
      </c>
    </row>
    <row r="127">
      <c r="A127" s="3">
        <f>IFERROR(__xludf.DUMMYFUNCTION("""COMPUTED_VALUE"""),215.0)</f>
        <v>215</v>
      </c>
      <c r="B127" s="2" t="str">
        <f>IFERROR(__xludf.DUMMYFUNCTION("""COMPUTED_VALUE"""),"CHITTAGONG")</f>
        <v>CHITTAGONG</v>
      </c>
      <c r="C127" s="4">
        <f>IFERROR(__xludf.DUMMYFUNCTION("""COMPUTED_VALUE"""),10.0)</f>
        <v>10</v>
      </c>
      <c r="D127" s="2" t="str">
        <f>IFERROR(__xludf.DUMMYFUNCTION("""COMPUTED_VALUE"""),"AGRANI BANK LTD.")</f>
        <v>AGRANI BANK LTD.</v>
      </c>
      <c r="E127" s="2" t="str">
        <f>IFERROR(__xludf.DUMMYFUNCTION("""COMPUTED_VALUE"""),"BANDAR")</f>
        <v>BANDAR</v>
      </c>
      <c r="F127" s="4">
        <f>IFERROR(__xludf.DUMMYFUNCTION("""COMPUTED_VALUE"""),91.0)</f>
        <v>91</v>
      </c>
      <c r="G127" s="5">
        <f>IFERROR(__xludf.DUMMYFUNCTION("""COMPUTED_VALUE"""),1.0150911E7)</f>
        <v>10150911</v>
      </c>
    </row>
    <row r="128">
      <c r="A128" s="3">
        <f>IFERROR(__xludf.DUMMYFUNCTION("""COMPUTED_VALUE"""),215.0)</f>
        <v>215</v>
      </c>
      <c r="B128" s="2" t="str">
        <f>IFERROR(__xludf.DUMMYFUNCTION("""COMPUTED_VALUE"""),"CHITTAGONG")</f>
        <v>CHITTAGONG</v>
      </c>
      <c r="C128" s="4">
        <f>IFERROR(__xludf.DUMMYFUNCTION("""COMPUTED_VALUE"""),10.0)</f>
        <v>10</v>
      </c>
      <c r="D128" s="2" t="str">
        <f>IFERROR(__xludf.DUMMYFUNCTION("""COMPUTED_VALUE"""),"AGRANI BANK LTD.")</f>
        <v>AGRANI BANK LTD.</v>
      </c>
      <c r="E128" s="2" t="str">
        <f>IFERROR(__xludf.DUMMYFUNCTION("""COMPUTED_VALUE"""),"BARAIYER HAT")</f>
        <v>BARAIYER HAT</v>
      </c>
      <c r="F128" s="4">
        <f>IFERROR(__xludf.DUMMYFUNCTION("""COMPUTED_VALUE"""),109.0)</f>
        <v>109</v>
      </c>
      <c r="G128" s="5">
        <f>IFERROR(__xludf.DUMMYFUNCTION("""COMPUTED_VALUE"""),1.0151099E7)</f>
        <v>10151099</v>
      </c>
    </row>
    <row r="129">
      <c r="A129" s="3">
        <f>IFERROR(__xludf.DUMMYFUNCTION("""COMPUTED_VALUE"""),215.0)</f>
        <v>215</v>
      </c>
      <c r="B129" s="2" t="str">
        <f>IFERROR(__xludf.DUMMYFUNCTION("""COMPUTED_VALUE"""),"CHITTAGONG")</f>
        <v>CHITTAGONG</v>
      </c>
      <c r="C129" s="4">
        <f>IFERROR(__xludf.DUMMYFUNCTION("""COMPUTED_VALUE"""),10.0)</f>
        <v>10</v>
      </c>
      <c r="D129" s="2" t="str">
        <f>IFERROR(__xludf.DUMMYFUNCTION("""COMPUTED_VALUE"""),"AGRANI BANK LTD.")</f>
        <v>AGRANI BANK LTD.</v>
      </c>
      <c r="E129" s="2" t="str">
        <f>IFERROR(__xludf.DUMMYFUNCTION("""COMPUTED_VALUE"""),"BARODAROGA HAT")</f>
        <v>BARODAROGA HAT</v>
      </c>
      <c r="F129" s="4">
        <f>IFERROR(__xludf.DUMMYFUNCTION("""COMPUTED_VALUE"""),112.0)</f>
        <v>112</v>
      </c>
      <c r="G129" s="5">
        <f>IFERROR(__xludf.DUMMYFUNCTION("""COMPUTED_VALUE"""),1.0151123E7)</f>
        <v>10151123</v>
      </c>
    </row>
    <row r="130">
      <c r="A130" s="3">
        <f>IFERROR(__xludf.DUMMYFUNCTION("""COMPUTED_VALUE"""),215.0)</f>
        <v>215</v>
      </c>
      <c r="B130" s="2" t="str">
        <f>IFERROR(__xludf.DUMMYFUNCTION("""COMPUTED_VALUE"""),"CHITTAGONG")</f>
        <v>CHITTAGONG</v>
      </c>
      <c r="C130" s="4">
        <f>IFERROR(__xludf.DUMMYFUNCTION("""COMPUTED_VALUE"""),10.0)</f>
        <v>10</v>
      </c>
      <c r="D130" s="2" t="str">
        <f>IFERROR(__xludf.DUMMYFUNCTION("""COMPUTED_VALUE"""),"AGRANI BANK LTD.")</f>
        <v>AGRANI BANK LTD.</v>
      </c>
      <c r="E130" s="2" t="str">
        <f>IFERROR(__xludf.DUMMYFUNCTION("""COMPUTED_VALUE"""),"BAY SHOPPING CENTRE")</f>
        <v>BAY SHOPPING CENTRE</v>
      </c>
      <c r="F130" s="4">
        <f>IFERROR(__xludf.DUMMYFUNCTION("""COMPUTED_VALUE"""),118.0)</f>
        <v>118</v>
      </c>
      <c r="G130" s="5">
        <f>IFERROR(__xludf.DUMMYFUNCTION("""COMPUTED_VALUE"""),1.0151181E7)</f>
        <v>10151181</v>
      </c>
    </row>
    <row r="131">
      <c r="A131" s="3">
        <f>IFERROR(__xludf.DUMMYFUNCTION("""COMPUTED_VALUE"""),215.0)</f>
        <v>215</v>
      </c>
      <c r="B131" s="2" t="str">
        <f>IFERROR(__xludf.DUMMYFUNCTION("""COMPUTED_VALUE"""),"CHITTAGONG")</f>
        <v>CHITTAGONG</v>
      </c>
      <c r="C131" s="4">
        <f>IFERROR(__xludf.DUMMYFUNCTION("""COMPUTED_VALUE"""),10.0)</f>
        <v>10</v>
      </c>
      <c r="D131" s="2" t="str">
        <f>IFERROR(__xludf.DUMMYFUNCTION("""COMPUTED_VALUE"""),"AGRANI BANK LTD.")</f>
        <v>AGRANI BANK LTD.</v>
      </c>
      <c r="E131" s="2" t="str">
        <f>IFERROR(__xludf.DUMMYFUNCTION("""COMPUTED_VALUE"""),"BOALKHALI")</f>
        <v>BOALKHALI</v>
      </c>
      <c r="F131" s="4">
        <f>IFERROR(__xludf.DUMMYFUNCTION("""COMPUTED_VALUE"""),130.0)</f>
        <v>130</v>
      </c>
      <c r="G131" s="5">
        <f>IFERROR(__xludf.DUMMYFUNCTION("""COMPUTED_VALUE"""),1.0151307E7)</f>
        <v>10151307</v>
      </c>
    </row>
    <row r="132">
      <c r="A132" s="3">
        <f>IFERROR(__xludf.DUMMYFUNCTION("""COMPUTED_VALUE"""),215.0)</f>
        <v>215</v>
      </c>
      <c r="B132" s="2" t="str">
        <f>IFERROR(__xludf.DUMMYFUNCTION("""COMPUTED_VALUE"""),"CHITTAGONG")</f>
        <v>CHITTAGONG</v>
      </c>
      <c r="C132" s="4">
        <f>IFERROR(__xludf.DUMMYFUNCTION("""COMPUTED_VALUE"""),10.0)</f>
        <v>10</v>
      </c>
      <c r="D132" s="2" t="str">
        <f>IFERROR(__xludf.DUMMYFUNCTION("""COMPUTED_VALUE"""),"AGRANI BANK LTD.")</f>
        <v>AGRANI BANK LTD.</v>
      </c>
      <c r="E132" s="2" t="str">
        <f>IFERROR(__xludf.DUMMYFUNCTION("""COMPUTED_VALUE"""),"CADET COLLEGE")</f>
        <v>CADET COLLEGE</v>
      </c>
      <c r="F132" s="4">
        <f>IFERROR(__xludf.DUMMYFUNCTION("""COMPUTED_VALUE"""),166.0)</f>
        <v>166</v>
      </c>
      <c r="G132" s="5">
        <f>IFERROR(__xludf.DUMMYFUNCTION("""COMPUTED_VALUE"""),1.015166E7)</f>
        <v>10151660</v>
      </c>
    </row>
    <row r="133">
      <c r="A133" s="3">
        <f>IFERROR(__xludf.DUMMYFUNCTION("""COMPUTED_VALUE"""),215.0)</f>
        <v>215</v>
      </c>
      <c r="B133" s="2" t="str">
        <f>IFERROR(__xludf.DUMMYFUNCTION("""COMPUTED_VALUE"""),"CHITTAGONG")</f>
        <v>CHITTAGONG</v>
      </c>
      <c r="C133" s="4">
        <f>IFERROR(__xludf.DUMMYFUNCTION("""COMPUTED_VALUE"""),10.0)</f>
        <v>10</v>
      </c>
      <c r="D133" s="2" t="str">
        <f>IFERROR(__xludf.DUMMYFUNCTION("""COMPUTED_VALUE"""),"AGRANI BANK LTD.")</f>
        <v>AGRANI BANK LTD.</v>
      </c>
      <c r="E133" s="2" t="str">
        <f>IFERROR(__xludf.DUMMYFUNCTION("""COMPUTED_VALUE"""),"CHAKTAI")</f>
        <v>CHAKTAI</v>
      </c>
      <c r="F133" s="4">
        <f>IFERROR(__xludf.DUMMYFUNCTION("""COMPUTED_VALUE"""),175.0)</f>
        <v>175</v>
      </c>
      <c r="G133" s="5">
        <f>IFERROR(__xludf.DUMMYFUNCTION("""COMPUTED_VALUE"""),1.0151752E7)</f>
        <v>10151752</v>
      </c>
    </row>
    <row r="134">
      <c r="A134" s="3">
        <f>IFERROR(__xludf.DUMMYFUNCTION("""COMPUTED_VALUE"""),215.0)</f>
        <v>215</v>
      </c>
      <c r="B134" s="2" t="str">
        <f>IFERROR(__xludf.DUMMYFUNCTION("""COMPUTED_VALUE"""),"CHITTAGONG")</f>
        <v>CHITTAGONG</v>
      </c>
      <c r="C134" s="4">
        <f>IFERROR(__xludf.DUMMYFUNCTION("""COMPUTED_VALUE"""),10.0)</f>
        <v>10</v>
      </c>
      <c r="D134" s="2" t="str">
        <f>IFERROR(__xludf.DUMMYFUNCTION("""COMPUTED_VALUE"""),"AGRANI BANK LTD.")</f>
        <v>AGRANI BANK LTD.</v>
      </c>
      <c r="E134" s="2" t="str">
        <f>IFERROR(__xludf.DUMMYFUNCTION("""COMPUTED_VALUE"""),"CHATTESWARI ROAD")</f>
        <v>CHATTESWARI ROAD</v>
      </c>
      <c r="F134" s="4">
        <f>IFERROR(__xludf.DUMMYFUNCTION("""COMPUTED_VALUE"""),190.0)</f>
        <v>190</v>
      </c>
      <c r="G134" s="5">
        <f>IFERROR(__xludf.DUMMYFUNCTION("""COMPUTED_VALUE"""),1.0151907E7)</f>
        <v>10151907</v>
      </c>
    </row>
    <row r="135">
      <c r="A135" s="3">
        <f>IFERROR(__xludf.DUMMYFUNCTION("""COMPUTED_VALUE"""),215.0)</f>
        <v>215</v>
      </c>
      <c r="B135" s="2" t="str">
        <f>IFERROR(__xludf.DUMMYFUNCTION("""COMPUTED_VALUE"""),"CHITTAGONG")</f>
        <v>CHITTAGONG</v>
      </c>
      <c r="C135" s="4">
        <f>IFERROR(__xludf.DUMMYFUNCTION("""COMPUTED_VALUE"""),10.0)</f>
        <v>10</v>
      </c>
      <c r="D135" s="2" t="str">
        <f>IFERROR(__xludf.DUMMYFUNCTION("""COMPUTED_VALUE"""),"AGRANI BANK LTD.")</f>
        <v>AGRANI BANK LTD.</v>
      </c>
      <c r="E135" s="2" t="str">
        <f>IFERROR(__xludf.DUMMYFUNCTION("""COMPUTED_VALUE"""),"CHATURI CHAUMUHONI")</f>
        <v>CHATURI CHAUMUHONI</v>
      </c>
      <c r="F135" s="4">
        <f>IFERROR(__xludf.DUMMYFUNCTION("""COMPUTED_VALUE"""),191.0)</f>
        <v>191</v>
      </c>
      <c r="G135" s="5">
        <f>IFERROR(__xludf.DUMMYFUNCTION("""COMPUTED_VALUE"""),1.015191E7)</f>
        <v>10151910</v>
      </c>
    </row>
    <row r="136">
      <c r="A136" s="3">
        <f>IFERROR(__xludf.DUMMYFUNCTION("""COMPUTED_VALUE"""),215.0)</f>
        <v>215</v>
      </c>
      <c r="B136" s="2" t="str">
        <f>IFERROR(__xludf.DUMMYFUNCTION("""COMPUTED_VALUE"""),"CHITTAGONG")</f>
        <v>CHITTAGONG</v>
      </c>
      <c r="C136" s="4">
        <f>IFERROR(__xludf.DUMMYFUNCTION("""COMPUTED_VALUE"""),10.0)</f>
        <v>10</v>
      </c>
      <c r="D136" s="2" t="str">
        <f>IFERROR(__xludf.DUMMYFUNCTION("""COMPUTED_VALUE"""),"AGRANI BANK LTD.")</f>
        <v>AGRANI BANK LTD.</v>
      </c>
      <c r="E136" s="2" t="str">
        <f>IFERROR(__xludf.DUMMYFUNCTION("""COMPUTED_VALUE"""),"CHITTAGONG PRESS CLUB")</f>
        <v>CHITTAGONG PRESS CLUB</v>
      </c>
      <c r="F136" s="4">
        <f>IFERROR(__xludf.DUMMYFUNCTION("""COMPUTED_VALUE"""),205.0)</f>
        <v>205</v>
      </c>
      <c r="G136" s="5">
        <f>IFERROR(__xludf.DUMMYFUNCTION("""COMPUTED_VALUE"""),1.0152056E7)</f>
        <v>10152056</v>
      </c>
    </row>
    <row r="137">
      <c r="A137" s="3">
        <f>IFERROR(__xludf.DUMMYFUNCTION("""COMPUTED_VALUE"""),215.0)</f>
        <v>215</v>
      </c>
      <c r="B137" s="2" t="str">
        <f>IFERROR(__xludf.DUMMYFUNCTION("""COMPUTED_VALUE"""),"CHITTAGONG")</f>
        <v>CHITTAGONG</v>
      </c>
      <c r="C137" s="4">
        <f>IFERROR(__xludf.DUMMYFUNCTION("""COMPUTED_VALUE"""),10.0)</f>
        <v>10</v>
      </c>
      <c r="D137" s="2" t="str">
        <f>IFERROR(__xludf.DUMMYFUNCTION("""COMPUTED_VALUE"""),"AGRANI BANK LTD.")</f>
        <v>AGRANI BANK LTD.</v>
      </c>
      <c r="E137" s="2" t="str">
        <f>IFERROR(__xludf.DUMMYFUNCTION("""COMPUTED_VALUE"""),"CHITTAGONG UNIVERSITY")</f>
        <v>CHITTAGONG UNIVERSITY</v>
      </c>
      <c r="F137" s="4">
        <f>IFERROR(__xludf.DUMMYFUNCTION("""COMPUTED_VALUE"""),208.0)</f>
        <v>208</v>
      </c>
      <c r="G137" s="5">
        <f>IFERROR(__xludf.DUMMYFUNCTION("""COMPUTED_VALUE"""),1.0152085E7)</f>
        <v>10152085</v>
      </c>
    </row>
    <row r="138">
      <c r="A138" s="3">
        <f>IFERROR(__xludf.DUMMYFUNCTION("""COMPUTED_VALUE"""),215.0)</f>
        <v>215</v>
      </c>
      <c r="B138" s="2" t="str">
        <f>IFERROR(__xludf.DUMMYFUNCTION("""COMPUTED_VALUE"""),"CHITTAGONG")</f>
        <v>CHITTAGONG</v>
      </c>
      <c r="C138" s="4">
        <f>IFERROR(__xludf.DUMMYFUNCTION("""COMPUTED_VALUE"""),10.0)</f>
        <v>10</v>
      </c>
      <c r="D138" s="2" t="str">
        <f>IFERROR(__xludf.DUMMYFUNCTION("""COMPUTED_VALUE"""),"AGRANI BANK LTD.")</f>
        <v>AGRANI BANK LTD.</v>
      </c>
      <c r="E138" s="2" t="str">
        <f>IFERROR(__xludf.DUMMYFUNCTION("""COMPUTED_VALUE"""),"COLONEL HAT")</f>
        <v>COLONEL HAT</v>
      </c>
      <c r="F138" s="4">
        <f>IFERROR(__xludf.DUMMYFUNCTION("""COMPUTED_VALUE"""),229.0)</f>
        <v>229</v>
      </c>
      <c r="G138" s="5">
        <f>IFERROR(__xludf.DUMMYFUNCTION("""COMPUTED_VALUE"""),1.0152298E7)</f>
        <v>10152298</v>
      </c>
    </row>
    <row r="139">
      <c r="A139" s="3">
        <f>IFERROR(__xludf.DUMMYFUNCTION("""COMPUTED_VALUE"""),215.0)</f>
        <v>215</v>
      </c>
      <c r="B139" s="2" t="str">
        <f>IFERROR(__xludf.DUMMYFUNCTION("""COMPUTED_VALUE"""),"CHITTAGONG")</f>
        <v>CHITTAGONG</v>
      </c>
      <c r="C139" s="4">
        <f>IFERROR(__xludf.DUMMYFUNCTION("""COMPUTED_VALUE"""),10.0)</f>
        <v>10</v>
      </c>
      <c r="D139" s="2" t="str">
        <f>IFERROR(__xludf.DUMMYFUNCTION("""COMPUTED_VALUE"""),"AGRANI BANK LTD.")</f>
        <v>AGRANI BANK LTD.</v>
      </c>
      <c r="E139" s="2" t="str">
        <f>IFERROR(__xludf.DUMMYFUNCTION("""COMPUTED_VALUE"""),"COMMERCIAL AREA")</f>
        <v>COMMERCIAL AREA</v>
      </c>
      <c r="F139" s="4">
        <f>IFERROR(__xludf.DUMMYFUNCTION("""COMPUTED_VALUE"""),232.0)</f>
        <v>232</v>
      </c>
      <c r="G139" s="5">
        <f>IFERROR(__xludf.DUMMYFUNCTION("""COMPUTED_VALUE"""),1.0152322E7)</f>
        <v>10152322</v>
      </c>
    </row>
    <row r="140">
      <c r="A140" s="3">
        <f>IFERROR(__xludf.DUMMYFUNCTION("""COMPUTED_VALUE"""),215.0)</f>
        <v>215</v>
      </c>
      <c r="B140" s="2" t="str">
        <f>IFERROR(__xludf.DUMMYFUNCTION("""COMPUTED_VALUE"""),"CHITTAGONG")</f>
        <v>CHITTAGONG</v>
      </c>
      <c r="C140" s="4">
        <f>IFERROR(__xludf.DUMMYFUNCTION("""COMPUTED_VALUE"""),10.0)</f>
        <v>10</v>
      </c>
      <c r="D140" s="2" t="str">
        <f>IFERROR(__xludf.DUMMYFUNCTION("""COMPUTED_VALUE"""),"AGRANI BANK LTD.")</f>
        <v>AGRANI BANK LTD.</v>
      </c>
      <c r="E140" s="2" t="str">
        <f>IFERROR(__xludf.DUMMYFUNCTION("""COMPUTED_VALUE"""),"DEWAN HAT")</f>
        <v>DEWAN HAT</v>
      </c>
      <c r="F140" s="4">
        <f>IFERROR(__xludf.DUMMYFUNCTION("""COMPUTED_VALUE"""),244.0)</f>
        <v>244</v>
      </c>
      <c r="G140" s="5">
        <f>IFERROR(__xludf.DUMMYFUNCTION("""COMPUTED_VALUE"""),1.0152443E7)</f>
        <v>10152443</v>
      </c>
    </row>
    <row r="141">
      <c r="A141" s="3">
        <f>IFERROR(__xludf.DUMMYFUNCTION("""COMPUTED_VALUE"""),215.0)</f>
        <v>215</v>
      </c>
      <c r="B141" s="2" t="str">
        <f>IFERROR(__xludf.DUMMYFUNCTION("""COMPUTED_VALUE"""),"CHITTAGONG")</f>
        <v>CHITTAGONG</v>
      </c>
      <c r="C141" s="4">
        <f>IFERROR(__xludf.DUMMYFUNCTION("""COMPUTED_VALUE"""),10.0)</f>
        <v>10</v>
      </c>
      <c r="D141" s="2" t="str">
        <f>IFERROR(__xludf.DUMMYFUNCTION("""COMPUTED_VALUE"""),"AGRANI BANK LTD.")</f>
        <v>AGRANI BANK LTD.</v>
      </c>
      <c r="E141" s="2" t="str">
        <f>IFERROR(__xludf.DUMMYFUNCTION("""COMPUTED_VALUE"""),"DURGAPUR")</f>
        <v>DURGAPUR</v>
      </c>
      <c r="F141" s="4">
        <f>IFERROR(__xludf.DUMMYFUNCTION("""COMPUTED_VALUE"""),262.0)</f>
        <v>262</v>
      </c>
      <c r="G141" s="5">
        <f>IFERROR(__xludf.DUMMYFUNCTION("""COMPUTED_VALUE"""),1.0152627E7)</f>
        <v>10152627</v>
      </c>
    </row>
    <row r="142">
      <c r="A142" s="3">
        <f>IFERROR(__xludf.DUMMYFUNCTION("""COMPUTED_VALUE"""),215.0)</f>
        <v>215</v>
      </c>
      <c r="B142" s="2" t="str">
        <f>IFERROR(__xludf.DUMMYFUNCTION("""COMPUTED_VALUE"""),"CHITTAGONG")</f>
        <v>CHITTAGONG</v>
      </c>
      <c r="C142" s="4">
        <f>IFERROR(__xludf.DUMMYFUNCTION("""COMPUTED_VALUE"""),10.0)</f>
        <v>10</v>
      </c>
      <c r="D142" s="2" t="str">
        <f>IFERROR(__xludf.DUMMYFUNCTION("""COMPUTED_VALUE"""),"AGRANI BANK LTD.")</f>
        <v>AGRANI BANK LTD.</v>
      </c>
      <c r="E142" s="2" t="str">
        <f>IFERROR(__xludf.DUMMYFUNCTION("""COMPUTED_VALUE"""),"FERINGHEE BAZAR")</f>
        <v>FERINGHEE BAZAR</v>
      </c>
      <c r="F142" s="4">
        <f>IFERROR(__xludf.DUMMYFUNCTION("""COMPUTED_VALUE"""),280.0)</f>
        <v>280</v>
      </c>
      <c r="G142" s="5">
        <f>IFERROR(__xludf.DUMMYFUNCTION("""COMPUTED_VALUE"""),1.0152801E7)</f>
        <v>10152801</v>
      </c>
    </row>
    <row r="143">
      <c r="A143" s="3">
        <f>IFERROR(__xludf.DUMMYFUNCTION("""COMPUTED_VALUE"""),215.0)</f>
        <v>215</v>
      </c>
      <c r="B143" s="2" t="str">
        <f>IFERROR(__xludf.DUMMYFUNCTION("""COMPUTED_VALUE"""),"CHITTAGONG")</f>
        <v>CHITTAGONG</v>
      </c>
      <c r="C143" s="4">
        <f>IFERROR(__xludf.DUMMYFUNCTION("""COMPUTED_VALUE"""),10.0)</f>
        <v>10</v>
      </c>
      <c r="D143" s="2" t="str">
        <f>IFERROR(__xludf.DUMMYFUNCTION("""COMPUTED_VALUE"""),"AGRANI BANK LTD.")</f>
        <v>AGRANI BANK LTD.</v>
      </c>
      <c r="E143" s="2" t="str">
        <f>IFERROR(__xludf.DUMMYFUNCTION("""COMPUTED_VALUE"""),"FOTAYABAD")</f>
        <v>FOTAYABAD</v>
      </c>
      <c r="F143" s="4">
        <f>IFERROR(__xludf.DUMMYFUNCTION("""COMPUTED_VALUE"""),286.0)</f>
        <v>286</v>
      </c>
      <c r="G143" s="5">
        <f>IFERROR(__xludf.DUMMYFUNCTION("""COMPUTED_VALUE"""),1.0152869E7)</f>
        <v>10152869</v>
      </c>
    </row>
    <row r="144">
      <c r="A144" s="3">
        <f>IFERROR(__xludf.DUMMYFUNCTION("""COMPUTED_VALUE"""),215.0)</f>
        <v>215</v>
      </c>
      <c r="B144" s="2" t="str">
        <f>IFERROR(__xludf.DUMMYFUNCTION("""COMPUTED_VALUE"""),"CHITTAGONG")</f>
        <v>CHITTAGONG</v>
      </c>
      <c r="C144" s="4">
        <f>IFERROR(__xludf.DUMMYFUNCTION("""COMPUTED_VALUE"""),10.0)</f>
        <v>10</v>
      </c>
      <c r="D144" s="2" t="str">
        <f>IFERROR(__xludf.DUMMYFUNCTION("""COMPUTED_VALUE"""),"AGRANI BANK LTD.")</f>
        <v>AGRANI BANK LTD.</v>
      </c>
      <c r="E144" s="2" t="str">
        <f>IFERROR(__xludf.DUMMYFUNCTION("""COMPUTED_VALUE"""),"FOUZDERHAT")</f>
        <v>FOUZDERHAT</v>
      </c>
      <c r="F144" s="4">
        <f>IFERROR(__xludf.DUMMYFUNCTION("""COMPUTED_VALUE"""),289.0)</f>
        <v>289</v>
      </c>
      <c r="G144" s="5">
        <f>IFERROR(__xludf.DUMMYFUNCTION("""COMPUTED_VALUE"""),1.0152898E7)</f>
        <v>10152898</v>
      </c>
    </row>
    <row r="145">
      <c r="A145" s="3">
        <f>IFERROR(__xludf.DUMMYFUNCTION("""COMPUTED_VALUE"""),215.0)</f>
        <v>215</v>
      </c>
      <c r="B145" s="2" t="str">
        <f>IFERROR(__xludf.DUMMYFUNCTION("""COMPUTED_VALUE"""),"CHITTAGONG")</f>
        <v>CHITTAGONG</v>
      </c>
      <c r="C145" s="4">
        <f>IFERROR(__xludf.DUMMYFUNCTION("""COMPUTED_VALUE"""),10.0)</f>
        <v>10</v>
      </c>
      <c r="D145" s="2" t="str">
        <f>IFERROR(__xludf.DUMMYFUNCTION("""COMPUTED_VALUE"""),"AGRANI BANK LTD.")</f>
        <v>AGRANI BANK LTD.</v>
      </c>
      <c r="E145" s="2" t="str">
        <f>IFERROR(__xludf.DUMMYFUNCTION("""COMPUTED_VALUE"""),"GOHIRA")</f>
        <v>GOHIRA</v>
      </c>
      <c r="F145" s="4">
        <f>IFERROR(__xludf.DUMMYFUNCTION("""COMPUTED_VALUE"""),301.0)</f>
        <v>301</v>
      </c>
      <c r="G145" s="5">
        <f>IFERROR(__xludf.DUMMYFUNCTION("""COMPUTED_VALUE"""),1.0153013E7)</f>
        <v>10153013</v>
      </c>
    </row>
    <row r="146">
      <c r="A146" s="3">
        <f>IFERROR(__xludf.DUMMYFUNCTION("""COMPUTED_VALUE"""),215.0)</f>
        <v>215</v>
      </c>
      <c r="B146" s="2" t="str">
        <f>IFERROR(__xludf.DUMMYFUNCTION("""COMPUTED_VALUE"""),"CHITTAGONG")</f>
        <v>CHITTAGONG</v>
      </c>
      <c r="C146" s="4">
        <f>IFERROR(__xludf.DUMMYFUNCTION("""COMPUTED_VALUE"""),10.0)</f>
        <v>10</v>
      </c>
      <c r="D146" s="2" t="str">
        <f>IFERROR(__xludf.DUMMYFUNCTION("""COMPUTED_VALUE"""),"AGRANI BANK LTD.")</f>
        <v>AGRANI BANK LTD.</v>
      </c>
      <c r="E146" s="2" t="str">
        <f>IFERROR(__xludf.DUMMYFUNCTION("""COMPUTED_VALUE"""),"GUNAGARI")</f>
        <v>GUNAGARI</v>
      </c>
      <c r="F146" s="4">
        <f>IFERROR(__xludf.DUMMYFUNCTION("""COMPUTED_VALUE"""),307.0)</f>
        <v>307</v>
      </c>
      <c r="G146" s="5">
        <f>IFERROR(__xludf.DUMMYFUNCTION("""COMPUTED_VALUE"""),1.0153071E7)</f>
        <v>10153071</v>
      </c>
    </row>
    <row r="147">
      <c r="A147" s="3">
        <f>IFERROR(__xludf.DUMMYFUNCTION("""COMPUTED_VALUE"""),215.0)</f>
        <v>215</v>
      </c>
      <c r="B147" s="2" t="str">
        <f>IFERROR(__xludf.DUMMYFUNCTION("""COMPUTED_VALUE"""),"CHITTAGONG")</f>
        <v>CHITTAGONG</v>
      </c>
      <c r="C147" s="4">
        <f>IFERROR(__xludf.DUMMYFUNCTION("""COMPUTED_VALUE"""),10.0)</f>
        <v>10</v>
      </c>
      <c r="D147" s="2" t="str">
        <f>IFERROR(__xludf.DUMMYFUNCTION("""COMPUTED_VALUE"""),"AGRANI BANK LTD.")</f>
        <v>AGRANI BANK LTD.</v>
      </c>
      <c r="E147" s="2" t="str">
        <f>IFERROR(__xludf.DUMMYFUNCTION("""COMPUTED_VALUE"""),"HALISHAHAR")</f>
        <v>HALISHAHAR</v>
      </c>
      <c r="F147" s="4">
        <f>IFERROR(__xludf.DUMMYFUNCTION("""COMPUTED_VALUE"""),316.0)</f>
        <v>316</v>
      </c>
      <c r="G147" s="5">
        <f>IFERROR(__xludf.DUMMYFUNCTION("""COMPUTED_VALUE"""),1.0153163E7)</f>
        <v>10153163</v>
      </c>
    </row>
    <row r="148">
      <c r="A148" s="3">
        <f>IFERROR(__xludf.DUMMYFUNCTION("""COMPUTED_VALUE"""),215.0)</f>
        <v>215</v>
      </c>
      <c r="B148" s="2" t="str">
        <f>IFERROR(__xludf.DUMMYFUNCTION("""COMPUTED_VALUE"""),"CHITTAGONG")</f>
        <v>CHITTAGONG</v>
      </c>
      <c r="C148" s="4">
        <f>IFERROR(__xludf.DUMMYFUNCTION("""COMPUTED_VALUE"""),10.0)</f>
        <v>10</v>
      </c>
      <c r="D148" s="2" t="str">
        <f>IFERROR(__xludf.DUMMYFUNCTION("""COMPUTED_VALUE"""),"AGRANI BANK LTD.")</f>
        <v>AGRANI BANK LTD.</v>
      </c>
      <c r="E148" s="2" t="str">
        <f>IFERROR(__xludf.DUMMYFUNCTION("""COMPUTED_VALUE"""),"HATHAZARI")</f>
        <v>HATHAZARI</v>
      </c>
      <c r="F148" s="4">
        <f>IFERROR(__xludf.DUMMYFUNCTION("""COMPUTED_VALUE"""),322.0)</f>
        <v>322</v>
      </c>
      <c r="G148" s="5">
        <f>IFERROR(__xludf.DUMMYFUNCTION("""COMPUTED_VALUE"""),1.0153226E7)</f>
        <v>10153226</v>
      </c>
    </row>
    <row r="149">
      <c r="A149" s="3">
        <f>IFERROR(__xludf.DUMMYFUNCTION("""COMPUTED_VALUE"""),215.0)</f>
        <v>215</v>
      </c>
      <c r="B149" s="2" t="str">
        <f>IFERROR(__xludf.DUMMYFUNCTION("""COMPUTED_VALUE"""),"CHITTAGONG")</f>
        <v>CHITTAGONG</v>
      </c>
      <c r="C149" s="4">
        <f>IFERROR(__xludf.DUMMYFUNCTION("""COMPUTED_VALUE"""),10.0)</f>
        <v>10</v>
      </c>
      <c r="D149" s="2" t="str">
        <f>IFERROR(__xludf.DUMMYFUNCTION("""COMPUTED_VALUE"""),"AGRANI BANK LTD.")</f>
        <v>AGRANI BANK LTD.</v>
      </c>
      <c r="E149" s="2" t="str">
        <f>IFERROR(__xludf.DUMMYFUNCTION("""COMPUTED_VALUE"""),"HAZIRHAT")</f>
        <v>HAZIRHAT</v>
      </c>
      <c r="F149" s="4">
        <f>IFERROR(__xludf.DUMMYFUNCTION("""COMPUTED_VALUE"""),325.0)</f>
        <v>325</v>
      </c>
      <c r="G149" s="5">
        <f>IFERROR(__xludf.DUMMYFUNCTION("""COMPUTED_VALUE"""),1.0153255E7)</f>
        <v>10153255</v>
      </c>
    </row>
    <row r="150">
      <c r="A150" s="3">
        <f>IFERROR(__xludf.DUMMYFUNCTION("""COMPUTED_VALUE"""),215.0)</f>
        <v>215</v>
      </c>
      <c r="B150" s="2" t="str">
        <f>IFERROR(__xludf.DUMMYFUNCTION("""COMPUTED_VALUE"""),"CHITTAGONG")</f>
        <v>CHITTAGONG</v>
      </c>
      <c r="C150" s="4">
        <f>IFERROR(__xludf.DUMMYFUNCTION("""COMPUTED_VALUE"""),10.0)</f>
        <v>10</v>
      </c>
      <c r="D150" s="2" t="str">
        <f>IFERROR(__xludf.DUMMYFUNCTION("""COMPUTED_VALUE"""),"AGRANI BANK LTD.")</f>
        <v>AGRANI BANK LTD.</v>
      </c>
      <c r="E150" s="2" t="str">
        <f>IFERROR(__xludf.DUMMYFUNCTION("""COMPUTED_VALUE"""),"INDUSTRIAL AREA")</f>
        <v>INDUSTRIAL AREA</v>
      </c>
      <c r="F150" s="4">
        <f>IFERROR(__xludf.DUMMYFUNCTION("""COMPUTED_VALUE"""),331.0)</f>
        <v>331</v>
      </c>
      <c r="G150" s="5">
        <f>IFERROR(__xludf.DUMMYFUNCTION("""COMPUTED_VALUE"""),1.0153318E7)</f>
        <v>10153318</v>
      </c>
    </row>
    <row r="151">
      <c r="A151" s="3">
        <f>IFERROR(__xludf.DUMMYFUNCTION("""COMPUTED_VALUE"""),215.0)</f>
        <v>215</v>
      </c>
      <c r="B151" s="2" t="str">
        <f>IFERROR(__xludf.DUMMYFUNCTION("""COMPUTED_VALUE"""),"CHITTAGONG")</f>
        <v>CHITTAGONG</v>
      </c>
      <c r="C151" s="4">
        <f>IFERROR(__xludf.DUMMYFUNCTION("""COMPUTED_VALUE"""),10.0)</f>
        <v>10</v>
      </c>
      <c r="D151" s="2" t="str">
        <f>IFERROR(__xludf.DUMMYFUNCTION("""COMPUTED_VALUE"""),"AGRANI BANK LTD.")</f>
        <v>AGRANI BANK LTD.</v>
      </c>
      <c r="E151" s="2" t="str">
        <f>IFERROR(__xludf.DUMMYFUNCTION("""COMPUTED_VALUE"""),"ISHAKHALI")</f>
        <v>ISHAKHALI</v>
      </c>
      <c r="F151" s="4">
        <f>IFERROR(__xludf.DUMMYFUNCTION("""COMPUTED_VALUE"""),337.0)</f>
        <v>337</v>
      </c>
      <c r="G151" s="5">
        <f>IFERROR(__xludf.DUMMYFUNCTION("""COMPUTED_VALUE"""),1.0153376E7)</f>
        <v>10153376</v>
      </c>
    </row>
    <row r="152">
      <c r="A152" s="3">
        <f>IFERROR(__xludf.DUMMYFUNCTION("""COMPUTED_VALUE"""),215.0)</f>
        <v>215</v>
      </c>
      <c r="B152" s="2" t="str">
        <f>IFERROR(__xludf.DUMMYFUNCTION("""COMPUTED_VALUE"""),"CHITTAGONG")</f>
        <v>CHITTAGONG</v>
      </c>
      <c r="C152" s="4">
        <f>IFERROR(__xludf.DUMMYFUNCTION("""COMPUTED_VALUE"""),10.0)</f>
        <v>10</v>
      </c>
      <c r="D152" s="2" t="str">
        <f>IFERROR(__xludf.DUMMYFUNCTION("""COMPUTED_VALUE"""),"AGRANI BANK LTD.")</f>
        <v>AGRANI BANK LTD.</v>
      </c>
      <c r="E152" s="2" t="str">
        <f>IFERROR(__xludf.DUMMYFUNCTION("""COMPUTED_VALUE"""),"ISHANAGAR")</f>
        <v>ISHANAGAR</v>
      </c>
      <c r="F152" s="4">
        <f>IFERROR(__xludf.DUMMYFUNCTION("""COMPUTED_VALUE"""),343.0)</f>
        <v>343</v>
      </c>
      <c r="G152" s="5">
        <f>IFERROR(__xludf.DUMMYFUNCTION("""COMPUTED_VALUE"""),1.0153439E7)</f>
        <v>10153439</v>
      </c>
    </row>
    <row r="153">
      <c r="A153" s="3">
        <f>IFERROR(__xludf.DUMMYFUNCTION("""COMPUTED_VALUE"""),215.0)</f>
        <v>215</v>
      </c>
      <c r="B153" s="2" t="str">
        <f>IFERROR(__xludf.DUMMYFUNCTION("""COMPUTED_VALUE"""),"CHITTAGONG")</f>
        <v>CHITTAGONG</v>
      </c>
      <c r="C153" s="4">
        <f>IFERROR(__xludf.DUMMYFUNCTION("""COMPUTED_VALUE"""),10.0)</f>
        <v>10</v>
      </c>
      <c r="D153" s="2" t="str">
        <f>IFERROR(__xludf.DUMMYFUNCTION("""COMPUTED_VALUE"""),"AGRANI BANK LTD.")</f>
        <v>AGRANI BANK LTD.</v>
      </c>
      <c r="E153" s="2" t="str">
        <f>IFERROR(__xludf.DUMMYFUNCTION("""COMPUTED_VALUE"""),"JALALABAD")</f>
        <v>JALALABAD</v>
      </c>
      <c r="F153" s="4">
        <f>IFERROR(__xludf.DUMMYFUNCTION("""COMPUTED_VALUE"""),352.0)</f>
        <v>352</v>
      </c>
      <c r="G153" s="5">
        <f>IFERROR(__xludf.DUMMYFUNCTION("""COMPUTED_VALUE"""),1.0153521E7)</f>
        <v>10153521</v>
      </c>
    </row>
    <row r="154">
      <c r="A154" s="3">
        <f>IFERROR(__xludf.DUMMYFUNCTION("""COMPUTED_VALUE"""),215.0)</f>
        <v>215</v>
      </c>
      <c r="B154" s="2" t="str">
        <f>IFERROR(__xludf.DUMMYFUNCTION("""COMPUTED_VALUE"""),"CHITTAGONG")</f>
        <v>CHITTAGONG</v>
      </c>
      <c r="C154" s="4">
        <f>IFERROR(__xludf.DUMMYFUNCTION("""COMPUTED_VALUE"""),10.0)</f>
        <v>10</v>
      </c>
      <c r="D154" s="2" t="str">
        <f>IFERROR(__xludf.DUMMYFUNCTION("""COMPUTED_VALUE"""),"AGRANI BANK LTD.")</f>
        <v>AGRANI BANK LTD.</v>
      </c>
      <c r="E154" s="2" t="str">
        <f>IFERROR(__xludf.DUMMYFUNCTION("""COMPUTED_VALUE"""),"JUBILEE ROAD")</f>
        <v>JUBILEE ROAD</v>
      </c>
      <c r="F154" s="4">
        <f>IFERROR(__xludf.DUMMYFUNCTION("""COMPUTED_VALUE"""),364.0)</f>
        <v>364</v>
      </c>
      <c r="G154" s="5">
        <f>IFERROR(__xludf.DUMMYFUNCTION("""COMPUTED_VALUE"""),1.0153642E7)</f>
        <v>10153642</v>
      </c>
    </row>
    <row r="155">
      <c r="A155" s="3">
        <f>IFERROR(__xludf.DUMMYFUNCTION("""COMPUTED_VALUE"""),215.0)</f>
        <v>215</v>
      </c>
      <c r="B155" s="2" t="str">
        <f>IFERROR(__xludf.DUMMYFUNCTION("""COMPUTED_VALUE"""),"CHITTAGONG")</f>
        <v>CHITTAGONG</v>
      </c>
      <c r="C155" s="4">
        <f>IFERROR(__xludf.DUMMYFUNCTION("""COMPUTED_VALUE"""),10.0)</f>
        <v>10</v>
      </c>
      <c r="D155" s="2" t="str">
        <f>IFERROR(__xludf.DUMMYFUNCTION("""COMPUTED_VALUE"""),"AGRANI BANK LTD.")</f>
        <v>AGRANI BANK LTD.</v>
      </c>
      <c r="E155" s="2" t="str">
        <f>IFERROR(__xludf.DUMMYFUNCTION("""COMPUTED_VALUE"""),"KAPASHGOLA")</f>
        <v>KAPASHGOLA</v>
      </c>
      <c r="F155" s="4">
        <f>IFERROR(__xludf.DUMMYFUNCTION("""COMPUTED_VALUE"""),403.0)</f>
        <v>403</v>
      </c>
      <c r="G155" s="5">
        <f>IFERROR(__xludf.DUMMYFUNCTION("""COMPUTED_VALUE"""),1.0154038E7)</f>
        <v>10154038</v>
      </c>
    </row>
    <row r="156">
      <c r="A156" s="3">
        <f>IFERROR(__xludf.DUMMYFUNCTION("""COMPUTED_VALUE"""),215.0)</f>
        <v>215</v>
      </c>
      <c r="B156" s="2" t="str">
        <f>IFERROR(__xludf.DUMMYFUNCTION("""COMPUTED_VALUE"""),"CHITTAGONG")</f>
        <v>CHITTAGONG</v>
      </c>
      <c r="C156" s="4">
        <f>IFERROR(__xludf.DUMMYFUNCTION("""COMPUTED_VALUE"""),10.0)</f>
        <v>10</v>
      </c>
      <c r="D156" s="2" t="str">
        <f>IFERROR(__xludf.DUMMYFUNCTION("""COMPUTED_VALUE"""),"AGRANI BANK LTD.")</f>
        <v>AGRANI BANK LTD.</v>
      </c>
      <c r="E156" s="2" t="str">
        <f>IFERROR(__xludf.DUMMYFUNCTION("""COMPUTED_VALUE"""),"KERANIHAT")</f>
        <v>KERANIHAT</v>
      </c>
      <c r="F156" s="4">
        <f>IFERROR(__xludf.DUMMYFUNCTION("""COMPUTED_VALUE"""),418.0)</f>
        <v>418</v>
      </c>
      <c r="G156" s="5">
        <f>IFERROR(__xludf.DUMMYFUNCTION("""COMPUTED_VALUE"""),1.0154188E7)</f>
        <v>10154188</v>
      </c>
    </row>
    <row r="157">
      <c r="A157" s="3">
        <f>IFERROR(__xludf.DUMMYFUNCTION("""COMPUTED_VALUE"""),215.0)</f>
        <v>215</v>
      </c>
      <c r="B157" s="2" t="str">
        <f>IFERROR(__xludf.DUMMYFUNCTION("""COMPUTED_VALUE"""),"CHITTAGONG")</f>
        <v>CHITTAGONG</v>
      </c>
      <c r="C157" s="4">
        <f>IFERROR(__xludf.DUMMYFUNCTION("""COMPUTED_VALUE"""),10.0)</f>
        <v>10</v>
      </c>
      <c r="D157" s="2" t="str">
        <f>IFERROR(__xludf.DUMMYFUNCTION("""COMPUTED_VALUE"""),"AGRANI BANK LTD.")</f>
        <v>AGRANI BANK LTD.</v>
      </c>
      <c r="E157" s="2" t="str">
        <f>IFERROR(__xludf.DUMMYFUNCTION("""COMPUTED_VALUE"""),"KHATUNGANJ")</f>
        <v>KHATUNGANJ</v>
      </c>
      <c r="F157" s="4">
        <f>IFERROR(__xludf.DUMMYFUNCTION("""COMPUTED_VALUE"""),427.0)</f>
        <v>427</v>
      </c>
      <c r="G157" s="5">
        <f>IFERROR(__xludf.DUMMYFUNCTION("""COMPUTED_VALUE"""),1.015427E7)</f>
        <v>10154270</v>
      </c>
    </row>
    <row r="158">
      <c r="A158" s="3">
        <f>IFERROR(__xludf.DUMMYFUNCTION("""COMPUTED_VALUE"""),215.0)</f>
        <v>215</v>
      </c>
      <c r="B158" s="2" t="str">
        <f>IFERROR(__xludf.DUMMYFUNCTION("""COMPUTED_VALUE"""),"CHITTAGONG")</f>
        <v>CHITTAGONG</v>
      </c>
      <c r="C158" s="4">
        <f>IFERROR(__xludf.DUMMYFUNCTION("""COMPUTED_VALUE"""),10.0)</f>
        <v>10</v>
      </c>
      <c r="D158" s="2" t="str">
        <f>IFERROR(__xludf.DUMMYFUNCTION("""COMPUTED_VALUE"""),"AGRANI BANK LTD.")</f>
        <v>AGRANI BANK LTD.</v>
      </c>
      <c r="E158" s="2" t="str">
        <f>IFERROR(__xludf.DUMMYFUNCTION("""COMPUTED_VALUE"""),"KHULSHI")</f>
        <v>KHULSHI</v>
      </c>
      <c r="F158" s="4">
        <f>IFERROR(__xludf.DUMMYFUNCTION("""COMPUTED_VALUE"""),436.0)</f>
        <v>436</v>
      </c>
      <c r="G158" s="5">
        <f>IFERROR(__xludf.DUMMYFUNCTION("""COMPUTED_VALUE"""),1.0154362E7)</f>
        <v>10154362</v>
      </c>
    </row>
    <row r="159">
      <c r="A159" s="3">
        <f>IFERROR(__xludf.DUMMYFUNCTION("""COMPUTED_VALUE"""),215.0)</f>
        <v>215</v>
      </c>
      <c r="B159" s="2" t="str">
        <f>IFERROR(__xludf.DUMMYFUNCTION("""COMPUTED_VALUE"""),"CHITTAGONG")</f>
        <v>CHITTAGONG</v>
      </c>
      <c r="C159" s="4">
        <f>IFERROR(__xludf.DUMMYFUNCTION("""COMPUTED_VALUE"""),10.0)</f>
        <v>10</v>
      </c>
      <c r="D159" s="2" t="str">
        <f>IFERROR(__xludf.DUMMYFUNCTION("""COMPUTED_VALUE"""),"AGRANI BANK LTD.")</f>
        <v>AGRANI BANK LTD.</v>
      </c>
      <c r="E159" s="2" t="str">
        <f>IFERROR(__xludf.DUMMYFUNCTION("""COMPUTED_VALUE"""),"LALDIGHI EAST")</f>
        <v>LALDIGHI EAST</v>
      </c>
      <c r="F159" s="4">
        <f>IFERROR(__xludf.DUMMYFUNCTION("""COMPUTED_VALUE"""),454.0)</f>
        <v>454</v>
      </c>
      <c r="G159" s="5">
        <f>IFERROR(__xludf.DUMMYFUNCTION("""COMPUTED_VALUE"""),1.0154546E7)</f>
        <v>10154546</v>
      </c>
    </row>
    <row r="160">
      <c r="A160" s="3">
        <f>IFERROR(__xludf.DUMMYFUNCTION("""COMPUTED_VALUE"""),215.0)</f>
        <v>215</v>
      </c>
      <c r="B160" s="2" t="str">
        <f>IFERROR(__xludf.DUMMYFUNCTION("""COMPUTED_VALUE"""),"CHITTAGONG")</f>
        <v>CHITTAGONG</v>
      </c>
      <c r="C160" s="4">
        <f>IFERROR(__xludf.DUMMYFUNCTION("""COMPUTED_VALUE"""),10.0)</f>
        <v>10</v>
      </c>
      <c r="D160" s="2" t="str">
        <f>IFERROR(__xludf.DUMMYFUNCTION("""COMPUTED_VALUE"""),"AGRANI BANK LTD.")</f>
        <v>AGRANI BANK LTD.</v>
      </c>
      <c r="E160" s="2" t="str">
        <f>IFERROR(__xludf.DUMMYFUNCTION("""COMPUTED_VALUE"""),"LALKHAN BAZAR")</f>
        <v>LALKHAN BAZAR</v>
      </c>
      <c r="F160" s="4">
        <f>IFERROR(__xludf.DUMMYFUNCTION("""COMPUTED_VALUE"""),457.0)</f>
        <v>457</v>
      </c>
      <c r="G160" s="5">
        <f>IFERROR(__xludf.DUMMYFUNCTION("""COMPUTED_VALUE"""),1.0154575E7)</f>
        <v>10154575</v>
      </c>
    </row>
    <row r="161">
      <c r="A161" s="3">
        <f>IFERROR(__xludf.DUMMYFUNCTION("""COMPUTED_VALUE"""),215.0)</f>
        <v>215</v>
      </c>
      <c r="B161" s="2" t="str">
        <f>IFERROR(__xludf.DUMMYFUNCTION("""COMPUTED_VALUE"""),"CHITTAGONG")</f>
        <v>CHITTAGONG</v>
      </c>
      <c r="C161" s="4">
        <f>IFERROR(__xludf.DUMMYFUNCTION("""COMPUTED_VALUE"""),10.0)</f>
        <v>10</v>
      </c>
      <c r="D161" s="2" t="str">
        <f>IFERROR(__xludf.DUMMYFUNCTION("""COMPUTED_VALUE"""),"AGRANI BANK LTD.")</f>
        <v>AGRANI BANK LTD.</v>
      </c>
      <c r="E161" s="2" t="str">
        <f>IFERROR(__xludf.DUMMYFUNCTION("""COMPUTED_VALUE"""),"MADAM BIBIR HAT")</f>
        <v>MADAM BIBIR HAT</v>
      </c>
      <c r="F161" s="3">
        <f>IFERROR(__xludf.DUMMYFUNCTION("""COMPUTED_VALUE"""),469.0)</f>
        <v>469</v>
      </c>
      <c r="G161" s="5">
        <f>IFERROR(__xludf.DUMMYFUNCTION("""COMPUTED_VALUE"""),1.0154696E7)</f>
        <v>10154696</v>
      </c>
    </row>
    <row r="162">
      <c r="A162" s="3">
        <f>IFERROR(__xludf.DUMMYFUNCTION("""COMPUTED_VALUE"""),215.0)</f>
        <v>215</v>
      </c>
      <c r="B162" s="2" t="str">
        <f>IFERROR(__xludf.DUMMYFUNCTION("""COMPUTED_VALUE"""),"CHITTAGONG")</f>
        <v>CHITTAGONG</v>
      </c>
      <c r="C162" s="4">
        <f>IFERROR(__xludf.DUMMYFUNCTION("""COMPUTED_VALUE"""),10.0)</f>
        <v>10</v>
      </c>
      <c r="D162" s="2" t="str">
        <f>IFERROR(__xludf.DUMMYFUNCTION("""COMPUTED_VALUE"""),"AGRANI BANK LTD.")</f>
        <v>AGRANI BANK LTD.</v>
      </c>
      <c r="E162" s="2" t="str">
        <f>IFERROR(__xludf.DUMMYFUNCTION("""COMPUTED_VALUE"""),"MEDICAL COLLEGE")</f>
        <v>MEDICAL COLLEGE</v>
      </c>
      <c r="F162" s="3">
        <f>IFERROR(__xludf.DUMMYFUNCTION("""COMPUTED_VALUE"""),493.0)</f>
        <v>493</v>
      </c>
      <c r="G162" s="5">
        <f>IFERROR(__xludf.DUMMYFUNCTION("""COMPUTED_VALUE"""),1.0154933E7)</f>
        <v>10154933</v>
      </c>
    </row>
    <row r="163">
      <c r="A163" s="3">
        <f>IFERROR(__xludf.DUMMYFUNCTION("""COMPUTED_VALUE"""),215.0)</f>
        <v>215</v>
      </c>
      <c r="B163" s="2" t="str">
        <f>IFERROR(__xludf.DUMMYFUNCTION("""COMPUTED_VALUE"""),"CHITTAGONG")</f>
        <v>CHITTAGONG</v>
      </c>
      <c r="C163" s="4">
        <f>IFERROR(__xludf.DUMMYFUNCTION("""COMPUTED_VALUE"""),10.0)</f>
        <v>10</v>
      </c>
      <c r="D163" s="2" t="str">
        <f>IFERROR(__xludf.DUMMYFUNCTION("""COMPUTED_VALUE"""),"AGRANI BANK LTD.")</f>
        <v>AGRANI BANK LTD.</v>
      </c>
      <c r="E163" s="2" t="str">
        <f>IFERROR(__xludf.DUMMYFUNCTION("""COMPUTED_VALUE"""),"MINNAT ALI HAT")</f>
        <v>MINNAT ALI HAT</v>
      </c>
      <c r="F163" s="3">
        <f>IFERROR(__xludf.DUMMYFUNCTION("""COMPUTED_VALUE"""),502.0)</f>
        <v>502</v>
      </c>
      <c r="G163" s="5">
        <f>IFERROR(__xludf.DUMMYFUNCTION("""COMPUTED_VALUE"""),1.0155024E7)</f>
        <v>10155024</v>
      </c>
    </row>
    <row r="164">
      <c r="A164" s="3">
        <f>IFERROR(__xludf.DUMMYFUNCTION("""COMPUTED_VALUE"""),215.0)</f>
        <v>215</v>
      </c>
      <c r="B164" s="2" t="str">
        <f>IFERROR(__xludf.DUMMYFUNCTION("""COMPUTED_VALUE"""),"CHITTAGONG")</f>
        <v>CHITTAGONG</v>
      </c>
      <c r="C164" s="4">
        <f>IFERROR(__xludf.DUMMYFUNCTION("""COMPUTED_VALUE"""),10.0)</f>
        <v>10</v>
      </c>
      <c r="D164" s="2" t="str">
        <f>IFERROR(__xludf.DUMMYFUNCTION("""COMPUTED_VALUE"""),"AGRANI BANK LTD.")</f>
        <v>AGRANI BANK LTD.</v>
      </c>
      <c r="E164" s="2" t="str">
        <f>IFERROR(__xludf.DUMMYFUNCTION("""COMPUTED_VALUE"""),"MIRSARAI")</f>
        <v>MIRSARAI</v>
      </c>
      <c r="F164" s="3">
        <f>IFERROR(__xludf.DUMMYFUNCTION("""COMPUTED_VALUE"""),505.0)</f>
        <v>505</v>
      </c>
      <c r="G164" s="5">
        <f>IFERROR(__xludf.DUMMYFUNCTION("""COMPUTED_VALUE"""),1.0155053E7)</f>
        <v>10155053</v>
      </c>
    </row>
    <row r="165">
      <c r="A165" s="3">
        <f>IFERROR(__xludf.DUMMYFUNCTION("""COMPUTED_VALUE"""),215.0)</f>
        <v>215</v>
      </c>
      <c r="B165" s="2" t="str">
        <f>IFERROR(__xludf.DUMMYFUNCTION("""COMPUTED_VALUE"""),"CHITTAGONG")</f>
        <v>CHITTAGONG</v>
      </c>
      <c r="C165" s="4">
        <f>IFERROR(__xludf.DUMMYFUNCTION("""COMPUTED_VALUE"""),10.0)</f>
        <v>10</v>
      </c>
      <c r="D165" s="2" t="str">
        <f>IFERROR(__xludf.DUMMYFUNCTION("""COMPUTED_VALUE"""),"AGRANI BANK LTD.")</f>
        <v>AGRANI BANK LTD.</v>
      </c>
      <c r="E165" s="2" t="str">
        <f>IFERROR(__xludf.DUMMYFUNCTION("""COMPUTED_VALUE"""),"MIRZAKHIL")</f>
        <v>MIRZAKHIL</v>
      </c>
      <c r="F165" s="3">
        <f>IFERROR(__xludf.DUMMYFUNCTION("""COMPUTED_VALUE"""),508.0)</f>
        <v>508</v>
      </c>
      <c r="G165" s="5">
        <f>IFERROR(__xludf.DUMMYFUNCTION("""COMPUTED_VALUE"""),1.0155082E7)</f>
        <v>10155082</v>
      </c>
    </row>
    <row r="166">
      <c r="A166" s="3">
        <f>IFERROR(__xludf.DUMMYFUNCTION("""COMPUTED_VALUE"""),215.0)</f>
        <v>215</v>
      </c>
      <c r="B166" s="2" t="str">
        <f>IFERROR(__xludf.DUMMYFUNCTION("""COMPUTED_VALUE"""),"CHITTAGONG")</f>
        <v>CHITTAGONG</v>
      </c>
      <c r="C166" s="4">
        <f>IFERROR(__xludf.DUMMYFUNCTION("""COMPUTED_VALUE"""),10.0)</f>
        <v>10</v>
      </c>
      <c r="D166" s="2" t="str">
        <f>IFERROR(__xludf.DUMMYFUNCTION("""COMPUTED_VALUE"""),"AGRANI BANK LTD.")</f>
        <v>AGRANI BANK LTD.</v>
      </c>
      <c r="E166" s="2" t="str">
        <f>IFERROR(__xludf.DUMMYFUNCTION("""COMPUTED_VALUE"""),"MODUNA GHAT")</f>
        <v>MODUNA GHAT</v>
      </c>
      <c r="F166" s="3">
        <f>IFERROR(__xludf.DUMMYFUNCTION("""COMPUTED_VALUE"""),517.0)</f>
        <v>517</v>
      </c>
      <c r="G166" s="5">
        <f>IFERROR(__xludf.DUMMYFUNCTION("""COMPUTED_VALUE"""),1.0155174E7)</f>
        <v>10155174</v>
      </c>
    </row>
    <row r="167">
      <c r="A167" s="3">
        <f>IFERROR(__xludf.DUMMYFUNCTION("""COMPUTED_VALUE"""),215.0)</f>
        <v>215</v>
      </c>
      <c r="B167" s="2" t="str">
        <f>IFERROR(__xludf.DUMMYFUNCTION("""COMPUTED_VALUE"""),"CHITTAGONG")</f>
        <v>CHITTAGONG</v>
      </c>
      <c r="C167" s="4">
        <f>IFERROR(__xludf.DUMMYFUNCTION("""COMPUTED_VALUE"""),10.0)</f>
        <v>10</v>
      </c>
      <c r="D167" s="2" t="str">
        <f>IFERROR(__xludf.DUMMYFUNCTION("""COMPUTED_VALUE"""),"AGRANI BANK LTD.")</f>
        <v>AGRANI BANK LTD.</v>
      </c>
      <c r="E167" s="2" t="str">
        <f>IFERROR(__xludf.DUMMYFUNCTION("""COMPUTED_VALUE"""),"NAZIR HAT")</f>
        <v>NAZIR HAT</v>
      </c>
      <c r="F167" s="3">
        <f>IFERROR(__xludf.DUMMYFUNCTION("""COMPUTED_VALUE"""),559.0)</f>
        <v>559</v>
      </c>
      <c r="G167" s="5">
        <f>IFERROR(__xludf.DUMMYFUNCTION("""COMPUTED_VALUE"""),1.015559E7)</f>
        <v>10155590</v>
      </c>
    </row>
    <row r="168">
      <c r="A168" s="3">
        <f>IFERROR(__xludf.DUMMYFUNCTION("""COMPUTED_VALUE"""),215.0)</f>
        <v>215</v>
      </c>
      <c r="B168" s="2" t="str">
        <f>IFERROR(__xludf.DUMMYFUNCTION("""COMPUTED_VALUE"""),"CHITTAGONG")</f>
        <v>CHITTAGONG</v>
      </c>
      <c r="C168" s="4">
        <f>IFERROR(__xludf.DUMMYFUNCTION("""COMPUTED_VALUE"""),10.0)</f>
        <v>10</v>
      </c>
      <c r="D168" s="2" t="str">
        <f>IFERROR(__xludf.DUMMYFUNCTION("""COMPUTED_VALUE"""),"AGRANI BANK LTD.")</f>
        <v>AGRANI BANK LTD.</v>
      </c>
      <c r="E168" s="2" t="str">
        <f>IFERROR(__xludf.DUMMYFUNCTION("""COMPUTED_VALUE"""),"NEW MARKET")</f>
        <v>NEW MARKET</v>
      </c>
      <c r="F168" s="3">
        <f>IFERROR(__xludf.DUMMYFUNCTION("""COMPUTED_VALUE"""),565.0)</f>
        <v>565</v>
      </c>
      <c r="G168" s="5">
        <f>IFERROR(__xludf.DUMMYFUNCTION("""COMPUTED_VALUE"""),1.0155653E7)</f>
        <v>10155653</v>
      </c>
    </row>
    <row r="169">
      <c r="A169" s="3">
        <f>IFERROR(__xludf.DUMMYFUNCTION("""COMPUTED_VALUE"""),215.0)</f>
        <v>215</v>
      </c>
      <c r="B169" s="2" t="str">
        <f>IFERROR(__xludf.DUMMYFUNCTION("""COMPUTED_VALUE"""),"CHITTAGONG")</f>
        <v>CHITTAGONG</v>
      </c>
      <c r="C169" s="4">
        <f>IFERROR(__xludf.DUMMYFUNCTION("""COMPUTED_VALUE"""),10.0)</f>
        <v>10</v>
      </c>
      <c r="D169" s="2" t="str">
        <f>IFERROR(__xludf.DUMMYFUNCTION("""COMPUTED_VALUE"""),"AGRANI BANK LTD.")</f>
        <v>AGRANI BANK LTD.</v>
      </c>
      <c r="E169" s="2" t="str">
        <f>IFERROR(__xludf.DUMMYFUNCTION("""COMPUTED_VALUE"""),"PAHARTALI")</f>
        <v>PAHARTALI</v>
      </c>
      <c r="F169" s="3">
        <f>IFERROR(__xludf.DUMMYFUNCTION("""COMPUTED_VALUE"""),592.0)</f>
        <v>592</v>
      </c>
      <c r="G169" s="5">
        <f>IFERROR(__xludf.DUMMYFUNCTION("""COMPUTED_VALUE"""),1.0155929E7)</f>
        <v>10155929</v>
      </c>
    </row>
    <row r="170">
      <c r="A170" s="3">
        <f>IFERROR(__xludf.DUMMYFUNCTION("""COMPUTED_VALUE"""),215.0)</f>
        <v>215</v>
      </c>
      <c r="B170" s="2" t="str">
        <f>IFERROR(__xludf.DUMMYFUNCTION("""COMPUTED_VALUE"""),"CHITTAGONG")</f>
        <v>CHITTAGONG</v>
      </c>
      <c r="C170" s="4">
        <f>IFERROR(__xludf.DUMMYFUNCTION("""COMPUTED_VALUE"""),10.0)</f>
        <v>10</v>
      </c>
      <c r="D170" s="2" t="str">
        <f>IFERROR(__xludf.DUMMYFUNCTION("""COMPUTED_VALUE"""),"AGRANI BANK LTD.")</f>
        <v>AGRANI BANK LTD.</v>
      </c>
      <c r="E170" s="2" t="str">
        <f>IFERROR(__xludf.DUMMYFUNCTION("""COMPUTED_VALUE"""),"PATIYA")</f>
        <v>PATIYA</v>
      </c>
      <c r="F170" s="3">
        <f>IFERROR(__xludf.DUMMYFUNCTION("""COMPUTED_VALUE"""),616.0)</f>
        <v>616</v>
      </c>
      <c r="G170" s="5">
        <f>IFERROR(__xludf.DUMMYFUNCTION("""COMPUTED_VALUE"""),1.015616E7)</f>
        <v>10156160</v>
      </c>
    </row>
    <row r="171">
      <c r="A171" s="3">
        <f>IFERROR(__xludf.DUMMYFUNCTION("""COMPUTED_VALUE"""),215.0)</f>
        <v>215</v>
      </c>
      <c r="B171" s="2" t="str">
        <f>IFERROR(__xludf.DUMMYFUNCTION("""COMPUTED_VALUE"""),"CHITTAGONG")</f>
        <v>CHITTAGONG</v>
      </c>
      <c r="C171" s="4">
        <f>IFERROR(__xludf.DUMMYFUNCTION("""COMPUTED_VALUE"""),10.0)</f>
        <v>10</v>
      </c>
      <c r="D171" s="2" t="str">
        <f>IFERROR(__xludf.DUMMYFUNCTION("""COMPUTED_VALUE"""),"AGRANI BANK LTD.")</f>
        <v>AGRANI BANK LTD.</v>
      </c>
      <c r="E171" s="2" t="str">
        <f>IFERROR(__xludf.DUMMYFUNCTION("""COMPUTED_VALUE"""),"QUAISH BURISH CHAR")</f>
        <v>QUAISH BURISH CHAR</v>
      </c>
      <c r="F171" s="3">
        <f>IFERROR(__xludf.DUMMYFUNCTION("""COMPUTED_VALUE"""),634.0)</f>
        <v>634</v>
      </c>
      <c r="G171" s="5">
        <f>IFERROR(__xludf.DUMMYFUNCTION("""COMPUTED_VALUE"""),1.0156344E7)</f>
        <v>10156344</v>
      </c>
    </row>
    <row r="172">
      <c r="A172" s="3">
        <f>IFERROR(__xludf.DUMMYFUNCTION("""COMPUTED_VALUE"""),215.0)</f>
        <v>215</v>
      </c>
      <c r="B172" s="2" t="str">
        <f>IFERROR(__xludf.DUMMYFUNCTION("""COMPUTED_VALUE"""),"CHITTAGONG")</f>
        <v>CHITTAGONG</v>
      </c>
      <c r="C172" s="4">
        <f>IFERROR(__xludf.DUMMYFUNCTION("""COMPUTED_VALUE"""),10.0)</f>
        <v>10</v>
      </c>
      <c r="D172" s="2" t="str">
        <f>IFERROR(__xludf.DUMMYFUNCTION("""COMPUTED_VALUE"""),"AGRANI BANK LTD.")</f>
        <v>AGRANI BANK LTD.</v>
      </c>
      <c r="E172" s="2" t="str">
        <f>IFERROR(__xludf.DUMMYFUNCTION("""COMPUTED_VALUE"""),"RAOZAN")</f>
        <v>RAOZAN</v>
      </c>
      <c r="F172" s="3">
        <f>IFERROR(__xludf.DUMMYFUNCTION("""COMPUTED_VALUE"""),649.0)</f>
        <v>649</v>
      </c>
      <c r="G172" s="5">
        <f>IFERROR(__xludf.DUMMYFUNCTION("""COMPUTED_VALUE"""),1.0156494E7)</f>
        <v>10156494</v>
      </c>
    </row>
    <row r="173">
      <c r="A173" s="3">
        <f>IFERROR(__xludf.DUMMYFUNCTION("""COMPUTED_VALUE"""),215.0)</f>
        <v>215</v>
      </c>
      <c r="B173" s="2" t="str">
        <f>IFERROR(__xludf.DUMMYFUNCTION("""COMPUTED_VALUE"""),"CHITTAGONG")</f>
        <v>CHITTAGONG</v>
      </c>
      <c r="C173" s="4">
        <f>IFERROR(__xludf.DUMMYFUNCTION("""COMPUTED_VALUE"""),10.0)</f>
        <v>10</v>
      </c>
      <c r="D173" s="2" t="str">
        <f>IFERROR(__xludf.DUMMYFUNCTION("""COMPUTED_VALUE"""),"AGRANI BANK LTD.")</f>
        <v>AGRANI BANK LTD.</v>
      </c>
      <c r="E173" s="2" t="str">
        <f>IFERROR(__xludf.DUMMYFUNCTION("""COMPUTED_VALUE"""),"REAZUDDIN BAZAR")</f>
        <v>REAZUDDIN BAZAR</v>
      </c>
      <c r="F173" s="3">
        <f>IFERROR(__xludf.DUMMYFUNCTION("""COMPUTED_VALUE"""),652.0)</f>
        <v>652</v>
      </c>
      <c r="G173" s="5">
        <f>IFERROR(__xludf.DUMMYFUNCTION("""COMPUTED_VALUE"""),1.0156528E7)</f>
        <v>10156528</v>
      </c>
    </row>
    <row r="174">
      <c r="A174" s="3">
        <f>IFERROR(__xludf.DUMMYFUNCTION("""COMPUTED_VALUE"""),215.0)</f>
        <v>215</v>
      </c>
      <c r="B174" s="2" t="str">
        <f>IFERROR(__xludf.DUMMYFUNCTION("""COMPUTED_VALUE"""),"CHITTAGONG")</f>
        <v>CHITTAGONG</v>
      </c>
      <c r="C174" s="4">
        <f>IFERROR(__xludf.DUMMYFUNCTION("""COMPUTED_VALUE"""),10.0)</f>
        <v>10</v>
      </c>
      <c r="D174" s="2" t="str">
        <f>IFERROR(__xludf.DUMMYFUNCTION("""COMPUTED_VALUE"""),"AGRANI BANK LTD.")</f>
        <v>AGRANI BANK LTD.</v>
      </c>
      <c r="E174" s="2" t="str">
        <f>IFERROR(__xludf.DUMMYFUNCTION("""COMPUTED_VALUE"""),"SADARGHAT")</f>
        <v>SADARGHAT</v>
      </c>
      <c r="F174" s="3">
        <f>IFERROR(__xludf.DUMMYFUNCTION("""COMPUTED_VALUE"""),673.0)</f>
        <v>673</v>
      </c>
      <c r="G174" s="5">
        <f>IFERROR(__xludf.DUMMYFUNCTION("""COMPUTED_VALUE"""),1.0156731E7)</f>
        <v>10156731</v>
      </c>
    </row>
    <row r="175">
      <c r="A175" s="3">
        <f>IFERROR(__xludf.DUMMYFUNCTION("""COMPUTED_VALUE"""),215.0)</f>
        <v>215</v>
      </c>
      <c r="B175" s="2" t="str">
        <f>IFERROR(__xludf.DUMMYFUNCTION("""COMPUTED_VALUE"""),"CHITTAGONG")</f>
        <v>CHITTAGONG</v>
      </c>
      <c r="C175" s="4">
        <f>IFERROR(__xludf.DUMMYFUNCTION("""COMPUTED_VALUE"""),10.0)</f>
        <v>10</v>
      </c>
      <c r="D175" s="2" t="str">
        <f>IFERROR(__xludf.DUMMYFUNCTION("""COMPUTED_VALUE"""),"AGRANI BANK LTD.")</f>
        <v>AGRANI BANK LTD.</v>
      </c>
      <c r="E175" s="2" t="str">
        <f>IFERROR(__xludf.DUMMYFUNCTION("""COMPUTED_VALUE"""),"SAMITIRHAT")</f>
        <v>SAMITIRHAT</v>
      </c>
      <c r="F175" s="3">
        <f>IFERROR(__xludf.DUMMYFUNCTION("""COMPUTED_VALUE"""),688.0)</f>
        <v>688</v>
      </c>
      <c r="G175" s="5">
        <f>IFERROR(__xludf.DUMMYFUNCTION("""COMPUTED_VALUE"""),1.0156881E7)</f>
        <v>10156881</v>
      </c>
    </row>
    <row r="176">
      <c r="A176" s="3">
        <f>IFERROR(__xludf.DUMMYFUNCTION("""COMPUTED_VALUE"""),215.0)</f>
        <v>215</v>
      </c>
      <c r="B176" s="2" t="str">
        <f>IFERROR(__xludf.DUMMYFUNCTION("""COMPUTED_VALUE"""),"CHITTAGONG")</f>
        <v>CHITTAGONG</v>
      </c>
      <c r="C176" s="4">
        <f>IFERROR(__xludf.DUMMYFUNCTION("""COMPUTED_VALUE"""),10.0)</f>
        <v>10</v>
      </c>
      <c r="D176" s="2" t="str">
        <f>IFERROR(__xludf.DUMMYFUNCTION("""COMPUTED_VALUE"""),"AGRANI BANK LTD.")</f>
        <v>AGRANI BANK LTD.</v>
      </c>
      <c r="E176" s="2" t="str">
        <f>IFERROR(__xludf.DUMMYFUNCTION("""COMPUTED_VALUE"""),"SANDWIP")</f>
        <v>SANDWIP</v>
      </c>
      <c r="F176" s="3">
        <f>IFERROR(__xludf.DUMMYFUNCTION("""COMPUTED_VALUE"""),691.0)</f>
        <v>691</v>
      </c>
      <c r="G176" s="5">
        <f>IFERROR(__xludf.DUMMYFUNCTION("""COMPUTED_VALUE"""),1.0156915E7)</f>
        <v>10156915</v>
      </c>
    </row>
    <row r="177">
      <c r="A177" s="3">
        <f>IFERROR(__xludf.DUMMYFUNCTION("""COMPUTED_VALUE"""),215.0)</f>
        <v>215</v>
      </c>
      <c r="B177" s="2" t="str">
        <f>IFERROR(__xludf.DUMMYFUNCTION("""COMPUTED_VALUE"""),"CHITTAGONG")</f>
        <v>CHITTAGONG</v>
      </c>
      <c r="C177" s="4">
        <f>IFERROR(__xludf.DUMMYFUNCTION("""COMPUTED_VALUE"""),10.0)</f>
        <v>10</v>
      </c>
      <c r="D177" s="2" t="str">
        <f>IFERROR(__xludf.DUMMYFUNCTION("""COMPUTED_VALUE"""),"AGRANI BANK LTD.")</f>
        <v>AGRANI BANK LTD.</v>
      </c>
      <c r="E177" s="2" t="str">
        <f>IFERROR(__xludf.DUMMYFUNCTION("""COMPUTED_VALUE"""),"SANTINIKETAN")</f>
        <v>SANTINIKETAN</v>
      </c>
      <c r="F177" s="3">
        <f>IFERROR(__xludf.DUMMYFUNCTION("""COMPUTED_VALUE"""),694.0)</f>
        <v>694</v>
      </c>
      <c r="G177" s="5">
        <f>IFERROR(__xludf.DUMMYFUNCTION("""COMPUTED_VALUE"""),1.0156944E7)</f>
        <v>10156944</v>
      </c>
    </row>
    <row r="178">
      <c r="A178" s="3">
        <f>IFERROR(__xludf.DUMMYFUNCTION("""COMPUTED_VALUE"""),215.0)</f>
        <v>215</v>
      </c>
      <c r="B178" s="2" t="str">
        <f>IFERROR(__xludf.DUMMYFUNCTION("""COMPUTED_VALUE"""),"CHITTAGONG")</f>
        <v>CHITTAGONG</v>
      </c>
      <c r="C178" s="4">
        <f>IFERROR(__xludf.DUMMYFUNCTION("""COMPUTED_VALUE"""),10.0)</f>
        <v>10</v>
      </c>
      <c r="D178" s="2" t="str">
        <f>IFERROR(__xludf.DUMMYFUNCTION("""COMPUTED_VALUE"""),"AGRANI BANK LTD.")</f>
        <v>AGRANI BANK LTD.</v>
      </c>
      <c r="E178" s="2" t="str">
        <f>IFERROR(__xludf.DUMMYFUNCTION("""COMPUTED_VALUE"""),"SARWATOLI")</f>
        <v>SARWATOLI</v>
      </c>
      <c r="F178" s="3">
        <f>IFERROR(__xludf.DUMMYFUNCTION("""COMPUTED_VALUE"""),703.0)</f>
        <v>703</v>
      </c>
      <c r="G178" s="5">
        <f>IFERROR(__xludf.DUMMYFUNCTION("""COMPUTED_VALUE"""),1.0157035E7)</f>
        <v>10157035</v>
      </c>
    </row>
    <row r="179">
      <c r="A179" s="3">
        <f>IFERROR(__xludf.DUMMYFUNCTION("""COMPUTED_VALUE"""),215.0)</f>
        <v>215</v>
      </c>
      <c r="B179" s="2" t="str">
        <f>IFERROR(__xludf.DUMMYFUNCTION("""COMPUTED_VALUE"""),"CHITTAGONG")</f>
        <v>CHITTAGONG</v>
      </c>
      <c r="C179" s="4">
        <f>IFERROR(__xludf.DUMMYFUNCTION("""COMPUTED_VALUE"""),10.0)</f>
        <v>10</v>
      </c>
      <c r="D179" s="2" t="str">
        <f>IFERROR(__xludf.DUMMYFUNCTION("""COMPUTED_VALUE"""),"AGRANI BANK LTD.")</f>
        <v>AGRANI BANK LTD.</v>
      </c>
      <c r="E179" s="2" t="str">
        <f>IFERROR(__xludf.DUMMYFUNCTION("""COMPUTED_VALUE"""),"SATTAR HAT")</f>
        <v>SATTAR HAT</v>
      </c>
      <c r="F179" s="3">
        <f>IFERROR(__xludf.DUMMYFUNCTION("""COMPUTED_VALUE"""),709.0)</f>
        <v>709</v>
      </c>
      <c r="G179" s="5">
        <f>IFERROR(__xludf.DUMMYFUNCTION("""COMPUTED_VALUE"""),1.0157093E7)</f>
        <v>10157093</v>
      </c>
    </row>
    <row r="180">
      <c r="A180" s="3">
        <f>IFERROR(__xludf.DUMMYFUNCTION("""COMPUTED_VALUE"""),215.0)</f>
        <v>215</v>
      </c>
      <c r="B180" s="2" t="str">
        <f>IFERROR(__xludf.DUMMYFUNCTION("""COMPUTED_VALUE"""),"CHITTAGONG")</f>
        <v>CHITTAGONG</v>
      </c>
      <c r="C180" s="4">
        <f>IFERROR(__xludf.DUMMYFUNCTION("""COMPUTED_VALUE"""),10.0)</f>
        <v>10</v>
      </c>
      <c r="D180" s="2" t="str">
        <f>IFERROR(__xludf.DUMMYFUNCTION("""COMPUTED_VALUE"""),"AGRANI BANK LTD.")</f>
        <v>AGRANI BANK LTD.</v>
      </c>
      <c r="E180" s="2" t="str">
        <f>IFERROR(__xludf.DUMMYFUNCTION("""COMPUTED_VALUE"""),"SITAKUNDA")</f>
        <v>SITAKUNDA</v>
      </c>
      <c r="F180" s="3">
        <f>IFERROR(__xludf.DUMMYFUNCTION("""COMPUTED_VALUE"""),739.0)</f>
        <v>739</v>
      </c>
      <c r="G180" s="5">
        <f>IFERROR(__xludf.DUMMYFUNCTION("""COMPUTED_VALUE"""),1.0157398E7)</f>
        <v>10157398</v>
      </c>
    </row>
    <row r="181">
      <c r="A181" s="3">
        <f>IFERROR(__xludf.DUMMYFUNCTION("""COMPUTED_VALUE"""),215.0)</f>
        <v>215</v>
      </c>
      <c r="B181" s="2" t="str">
        <f>IFERROR(__xludf.DUMMYFUNCTION("""COMPUTED_VALUE"""),"CHITTAGONG")</f>
        <v>CHITTAGONG</v>
      </c>
      <c r="C181" s="4">
        <f>IFERROR(__xludf.DUMMYFUNCTION("""COMPUTED_VALUE"""),10.0)</f>
        <v>10</v>
      </c>
      <c r="D181" s="2" t="str">
        <f>IFERROR(__xludf.DUMMYFUNCTION("""COMPUTED_VALUE"""),"AGRANI BANK LTD.")</f>
        <v>AGRANI BANK LTD.</v>
      </c>
      <c r="E181" s="2" t="str">
        <f>IFERROR(__xludf.DUMMYFUNCTION("""COMPUTED_VALUE"""),"SK. MUJIB ROAD")</f>
        <v>SK. MUJIB ROAD</v>
      </c>
      <c r="F181" s="3">
        <f>IFERROR(__xludf.DUMMYFUNCTION("""COMPUTED_VALUE"""),742.0)</f>
        <v>742</v>
      </c>
      <c r="G181" s="5">
        <f>IFERROR(__xludf.DUMMYFUNCTION("""COMPUTED_VALUE"""),1.0157422E7)</f>
        <v>10157422</v>
      </c>
    </row>
    <row r="182">
      <c r="A182" s="3">
        <f>IFERROR(__xludf.DUMMYFUNCTION("""COMPUTED_VALUE"""),215.0)</f>
        <v>215</v>
      </c>
      <c r="B182" s="2" t="str">
        <f>IFERROR(__xludf.DUMMYFUNCTION("""COMPUTED_VALUE"""),"CHITTAGONG")</f>
        <v>CHITTAGONG</v>
      </c>
      <c r="C182" s="4">
        <f>IFERROR(__xludf.DUMMYFUNCTION("""COMPUTED_VALUE"""),10.0)</f>
        <v>10</v>
      </c>
      <c r="D182" s="2" t="str">
        <f>IFERROR(__xludf.DUMMYFUNCTION("""COMPUTED_VALUE"""),"AGRANI BANK LTD.")</f>
        <v>AGRANI BANK LTD.</v>
      </c>
      <c r="E182" s="2" t="str">
        <f>IFERROR(__xludf.DUMMYFUNCTION("""COMPUTED_VALUE"""),"STEEL MILLS")</f>
        <v>STEEL MILLS</v>
      </c>
      <c r="F182" s="3">
        <f>IFERROR(__xludf.DUMMYFUNCTION("""COMPUTED_VALUE"""),754.0)</f>
        <v>754</v>
      </c>
      <c r="G182" s="5">
        <f>IFERROR(__xludf.DUMMYFUNCTION("""COMPUTED_VALUE"""),1.0157543E7)</f>
        <v>10157543</v>
      </c>
    </row>
    <row r="183">
      <c r="A183" s="3">
        <f>IFERROR(__xludf.DUMMYFUNCTION("""COMPUTED_VALUE"""),215.0)</f>
        <v>215</v>
      </c>
      <c r="B183" s="2" t="str">
        <f>IFERROR(__xludf.DUMMYFUNCTION("""COMPUTED_VALUE"""),"CHITTAGONG")</f>
        <v>CHITTAGONG</v>
      </c>
      <c r="C183" s="4">
        <f>IFERROR(__xludf.DUMMYFUNCTION("""COMPUTED_VALUE"""),10.0)</f>
        <v>10</v>
      </c>
      <c r="D183" s="2" t="str">
        <f>IFERROR(__xludf.DUMMYFUNCTION("""COMPUTED_VALUE"""),"AGRANI BANK LTD.")</f>
        <v>AGRANI BANK LTD.</v>
      </c>
      <c r="E183" s="2" t="str">
        <f>IFERROR(__xludf.DUMMYFUNCTION("""COMPUTED_VALUE"""),"STRAND ROAD")</f>
        <v>STRAND ROAD</v>
      </c>
      <c r="F183" s="3">
        <f>IFERROR(__xludf.DUMMYFUNCTION("""COMPUTED_VALUE"""),757.0)</f>
        <v>757</v>
      </c>
      <c r="G183" s="5">
        <f>IFERROR(__xludf.DUMMYFUNCTION("""COMPUTED_VALUE"""),1.0157572E7)</f>
        <v>10157572</v>
      </c>
    </row>
    <row r="184">
      <c r="A184" s="3">
        <f>IFERROR(__xludf.DUMMYFUNCTION("""COMPUTED_VALUE"""),418.0)</f>
        <v>418</v>
      </c>
      <c r="B184" s="2" t="str">
        <f>IFERROR(__xludf.DUMMYFUNCTION("""COMPUTED_VALUE"""),"CHUADANGA")</f>
        <v>CHUADANGA</v>
      </c>
      <c r="C184" s="4">
        <f>IFERROR(__xludf.DUMMYFUNCTION("""COMPUTED_VALUE"""),10.0)</f>
        <v>10</v>
      </c>
      <c r="D184" s="2" t="str">
        <f>IFERROR(__xludf.DUMMYFUNCTION("""COMPUTED_VALUE"""),"AGRANI BANK LTD.")</f>
        <v>AGRANI BANK LTD.</v>
      </c>
      <c r="E184" s="2" t="str">
        <f>IFERROR(__xludf.DUMMYFUNCTION("""COMPUTED_VALUE"""),"ALAMDANGA")</f>
        <v>ALAMDANGA</v>
      </c>
      <c r="F184" s="3">
        <f>IFERROR(__xludf.DUMMYFUNCTION("""COMPUTED_VALUE"""),4.0)</f>
        <v>4</v>
      </c>
      <c r="G184" s="5">
        <f>IFERROR(__xludf.DUMMYFUNCTION("""COMPUTED_VALUE"""),1.0180044E7)</f>
        <v>10180044</v>
      </c>
    </row>
    <row r="185">
      <c r="A185" s="3">
        <f>IFERROR(__xludf.DUMMYFUNCTION("""COMPUTED_VALUE"""),418.0)</f>
        <v>418</v>
      </c>
      <c r="B185" s="2" t="str">
        <f>IFERROR(__xludf.DUMMYFUNCTION("""COMPUTED_VALUE"""),"CHUADANGA")</f>
        <v>CHUADANGA</v>
      </c>
      <c r="C185" s="4">
        <f>IFERROR(__xludf.DUMMYFUNCTION("""COMPUTED_VALUE"""),10.0)</f>
        <v>10</v>
      </c>
      <c r="D185" s="2" t="str">
        <f>IFERROR(__xludf.DUMMYFUNCTION("""COMPUTED_VALUE"""),"AGRANI BANK LTD.")</f>
        <v>AGRANI BANK LTD.</v>
      </c>
      <c r="E185" s="2" t="str">
        <f>IFERROR(__xludf.DUMMYFUNCTION("""COMPUTED_VALUE"""),"ANDUL BARIA")</f>
        <v>ANDUL BARIA</v>
      </c>
      <c r="F185" s="3">
        <f>IFERROR(__xludf.DUMMYFUNCTION("""COMPUTED_VALUE"""),10.0)</f>
        <v>10</v>
      </c>
      <c r="G185" s="5">
        <f>IFERROR(__xludf.DUMMYFUNCTION("""COMPUTED_VALUE"""),1.0180107E7)</f>
        <v>10180107</v>
      </c>
    </row>
    <row r="186">
      <c r="A186" s="3">
        <f>IFERROR(__xludf.DUMMYFUNCTION("""COMPUTED_VALUE"""),418.0)</f>
        <v>418</v>
      </c>
      <c r="B186" s="2" t="str">
        <f>IFERROR(__xludf.DUMMYFUNCTION("""COMPUTED_VALUE"""),"CHUADANGA")</f>
        <v>CHUADANGA</v>
      </c>
      <c r="C186" s="4">
        <f>IFERROR(__xludf.DUMMYFUNCTION("""COMPUTED_VALUE"""),10.0)</f>
        <v>10</v>
      </c>
      <c r="D186" s="2" t="str">
        <f>IFERROR(__xludf.DUMMYFUNCTION("""COMPUTED_VALUE"""),"AGRANI BANK LTD.")</f>
        <v>AGRANI BANK LTD.</v>
      </c>
      <c r="E186" s="2" t="str">
        <f>IFERROR(__xludf.DUMMYFUNCTION("""COMPUTED_VALUE"""),"ASMANKHALI")</f>
        <v>ASMANKHALI</v>
      </c>
      <c r="F186" s="3">
        <f>IFERROR(__xludf.DUMMYFUNCTION("""COMPUTED_VALUE"""),13.0)</f>
        <v>13</v>
      </c>
      <c r="G186" s="5">
        <f>IFERROR(__xludf.DUMMYFUNCTION("""COMPUTED_VALUE"""),1.0180136E7)</f>
        <v>10180136</v>
      </c>
    </row>
    <row r="187">
      <c r="A187" s="3">
        <f>IFERROR(__xludf.DUMMYFUNCTION("""COMPUTED_VALUE"""),418.0)</f>
        <v>418</v>
      </c>
      <c r="B187" s="2" t="str">
        <f>IFERROR(__xludf.DUMMYFUNCTION("""COMPUTED_VALUE"""),"CHUADANGA")</f>
        <v>CHUADANGA</v>
      </c>
      <c r="C187" s="4">
        <f>IFERROR(__xludf.DUMMYFUNCTION("""COMPUTED_VALUE"""),10.0)</f>
        <v>10</v>
      </c>
      <c r="D187" s="2" t="str">
        <f>IFERROR(__xludf.DUMMYFUNCTION("""COMPUTED_VALUE"""),"AGRANI BANK LTD.")</f>
        <v>AGRANI BANK LTD.</v>
      </c>
      <c r="E187" s="2" t="str">
        <f>IFERROR(__xludf.DUMMYFUNCTION("""COMPUTED_VALUE"""),"CHUADANGA")</f>
        <v>CHUADANGA</v>
      </c>
      <c r="F187" s="3">
        <f>IFERROR(__xludf.DUMMYFUNCTION("""COMPUTED_VALUE"""),19.0)</f>
        <v>19</v>
      </c>
      <c r="G187" s="5">
        <f>IFERROR(__xludf.DUMMYFUNCTION("""COMPUTED_VALUE"""),1.0180194E7)</f>
        <v>10180194</v>
      </c>
    </row>
    <row r="188">
      <c r="A188" s="3">
        <f>IFERROR(__xludf.DUMMYFUNCTION("""COMPUTED_VALUE"""),418.0)</f>
        <v>418</v>
      </c>
      <c r="B188" s="2" t="str">
        <f>IFERROR(__xludf.DUMMYFUNCTION("""COMPUTED_VALUE"""),"CHUADANGA")</f>
        <v>CHUADANGA</v>
      </c>
      <c r="C188" s="4">
        <f>IFERROR(__xludf.DUMMYFUNCTION("""COMPUTED_VALUE"""),10.0)</f>
        <v>10</v>
      </c>
      <c r="D188" s="2" t="str">
        <f>IFERROR(__xludf.DUMMYFUNCTION("""COMPUTED_VALUE"""),"AGRANI BANK LTD.")</f>
        <v>AGRANI BANK LTD.</v>
      </c>
      <c r="E188" s="2" t="str">
        <f>IFERROR(__xludf.DUMMYFUNCTION("""COMPUTED_VALUE"""),"DARSHANA")</f>
        <v>DARSHANA</v>
      </c>
      <c r="F188" s="3">
        <f>IFERROR(__xludf.DUMMYFUNCTION("""COMPUTED_VALUE"""),31.0)</f>
        <v>31</v>
      </c>
      <c r="G188" s="5">
        <f>IFERROR(__xludf.DUMMYFUNCTION("""COMPUTED_VALUE"""),1.018031E7)</f>
        <v>10180310</v>
      </c>
    </row>
    <row r="189">
      <c r="A189" s="3">
        <f>IFERROR(__xludf.DUMMYFUNCTION("""COMPUTED_VALUE"""),418.0)</f>
        <v>418</v>
      </c>
      <c r="B189" s="2" t="str">
        <f>IFERROR(__xludf.DUMMYFUNCTION("""COMPUTED_VALUE"""),"CHUADANGA")</f>
        <v>CHUADANGA</v>
      </c>
      <c r="C189" s="4">
        <f>IFERROR(__xludf.DUMMYFUNCTION("""COMPUTED_VALUE"""),10.0)</f>
        <v>10</v>
      </c>
      <c r="D189" s="2" t="str">
        <f>IFERROR(__xludf.DUMMYFUNCTION("""COMPUTED_VALUE"""),"AGRANI BANK LTD.")</f>
        <v>AGRANI BANK LTD.</v>
      </c>
      <c r="E189" s="2" t="str">
        <f>IFERROR(__xludf.DUMMYFUNCTION("""COMPUTED_VALUE"""),"HARDI")</f>
        <v>HARDI</v>
      </c>
      <c r="F189" s="3">
        <f>IFERROR(__xludf.DUMMYFUNCTION("""COMPUTED_VALUE"""),43.0)</f>
        <v>43</v>
      </c>
      <c r="G189" s="5">
        <f>IFERROR(__xludf.DUMMYFUNCTION("""COMPUTED_VALUE"""),1.0180431E7)</f>
        <v>10180431</v>
      </c>
    </row>
    <row r="190">
      <c r="A190" s="3">
        <f>IFERROR(__xludf.DUMMYFUNCTION("""COMPUTED_VALUE"""),418.0)</f>
        <v>418</v>
      </c>
      <c r="B190" s="2" t="str">
        <f>IFERROR(__xludf.DUMMYFUNCTION("""COMPUTED_VALUE"""),"CHUADANGA")</f>
        <v>CHUADANGA</v>
      </c>
      <c r="C190" s="4">
        <f>IFERROR(__xludf.DUMMYFUNCTION("""COMPUTED_VALUE"""),10.0)</f>
        <v>10</v>
      </c>
      <c r="D190" s="2" t="str">
        <f>IFERROR(__xludf.DUMMYFUNCTION("""COMPUTED_VALUE"""),"AGRANI BANK LTD.")</f>
        <v>AGRANI BANK LTD.</v>
      </c>
      <c r="E190" s="2" t="str">
        <f>IFERROR(__xludf.DUMMYFUNCTION("""COMPUTED_VALUE"""),"JIBAN NAGAR")</f>
        <v>JIBAN NAGAR</v>
      </c>
      <c r="F190" s="3">
        <f>IFERROR(__xludf.DUMMYFUNCTION("""COMPUTED_VALUE"""),58.0)</f>
        <v>58</v>
      </c>
      <c r="G190" s="5">
        <f>IFERROR(__xludf.DUMMYFUNCTION("""COMPUTED_VALUE"""),1.0180581E7)</f>
        <v>10180581</v>
      </c>
    </row>
    <row r="191">
      <c r="A191" s="3">
        <f>IFERROR(__xludf.DUMMYFUNCTION("""COMPUTED_VALUE"""),418.0)</f>
        <v>418</v>
      </c>
      <c r="B191" s="2" t="str">
        <f>IFERROR(__xludf.DUMMYFUNCTION("""COMPUTED_VALUE"""),"CHUADANGA")</f>
        <v>CHUADANGA</v>
      </c>
      <c r="C191" s="4">
        <f>IFERROR(__xludf.DUMMYFUNCTION("""COMPUTED_VALUE"""),10.0)</f>
        <v>10</v>
      </c>
      <c r="D191" s="2" t="str">
        <f>IFERROR(__xludf.DUMMYFUNCTION("""COMPUTED_VALUE"""),"AGRANI BANK LTD.")</f>
        <v>AGRANI BANK LTD.</v>
      </c>
      <c r="E191" s="2" t="str">
        <f>IFERROR(__xludf.DUMMYFUNCTION("""COMPUTED_VALUE"""),"KEDERGANJ")</f>
        <v>KEDERGANJ</v>
      </c>
      <c r="F191" s="3">
        <f>IFERROR(__xludf.DUMMYFUNCTION("""COMPUTED_VALUE"""),70.0)</f>
        <v>70</v>
      </c>
      <c r="G191" s="5">
        <f>IFERROR(__xludf.DUMMYFUNCTION("""COMPUTED_VALUE"""),1.0180707E7)</f>
        <v>10180707</v>
      </c>
    </row>
    <row r="192">
      <c r="A192" s="3">
        <f>IFERROR(__xludf.DUMMYFUNCTION("""COMPUTED_VALUE"""),418.0)</f>
        <v>418</v>
      </c>
      <c r="B192" s="2" t="str">
        <f>IFERROR(__xludf.DUMMYFUNCTION("""COMPUTED_VALUE"""),"CHUADANGA")</f>
        <v>CHUADANGA</v>
      </c>
      <c r="C192" s="4">
        <f>IFERROR(__xludf.DUMMYFUNCTION("""COMPUTED_VALUE"""),10.0)</f>
        <v>10</v>
      </c>
      <c r="D192" s="2" t="str">
        <f>IFERROR(__xludf.DUMMYFUNCTION("""COMPUTED_VALUE"""),"AGRANI BANK LTD.")</f>
        <v>AGRANI BANK LTD.</v>
      </c>
      <c r="E192" s="2" t="str">
        <f>IFERROR(__xludf.DUMMYFUNCTION("""COMPUTED_VALUE"""),"RADHAKANTAPUR BAZAR")</f>
        <v>RADHAKANTAPUR BAZAR</v>
      </c>
      <c r="F192" s="3">
        <f>IFERROR(__xludf.DUMMYFUNCTION("""COMPUTED_VALUE"""),79.0)</f>
        <v>79</v>
      </c>
      <c r="G192" s="5">
        <f>IFERROR(__xludf.DUMMYFUNCTION("""COMPUTED_VALUE"""),1.0180794E7)</f>
        <v>10180794</v>
      </c>
    </row>
    <row r="193">
      <c r="A193" s="3">
        <f>IFERROR(__xludf.DUMMYFUNCTION("""COMPUTED_VALUE"""),418.0)</f>
        <v>418</v>
      </c>
      <c r="B193" s="2" t="str">
        <f>IFERROR(__xludf.DUMMYFUNCTION("""COMPUTED_VALUE"""),"CHUADANGA")</f>
        <v>CHUADANGA</v>
      </c>
      <c r="C193" s="4">
        <f>IFERROR(__xludf.DUMMYFUNCTION("""COMPUTED_VALUE"""),10.0)</f>
        <v>10</v>
      </c>
      <c r="D193" s="2" t="str">
        <f>IFERROR(__xludf.DUMMYFUNCTION("""COMPUTED_VALUE"""),"AGRANI BANK LTD.")</f>
        <v>AGRANI BANK LTD.</v>
      </c>
      <c r="E193" s="2" t="str">
        <f>IFERROR(__xludf.DUMMYFUNCTION("""COMPUTED_VALUE"""),"RAMDIA BAZAR")</f>
        <v>RAMDIA BAZAR</v>
      </c>
      <c r="F193" s="3">
        <f>IFERROR(__xludf.DUMMYFUNCTION("""COMPUTED_VALUE"""),82.0)</f>
        <v>82</v>
      </c>
      <c r="G193" s="5">
        <f>IFERROR(__xludf.DUMMYFUNCTION("""COMPUTED_VALUE"""),1.0180828E7)</f>
        <v>10180828</v>
      </c>
    </row>
    <row r="194">
      <c r="A194" s="3">
        <f>IFERROR(__xludf.DUMMYFUNCTION("""COMPUTED_VALUE"""),119.0)</f>
        <v>119</v>
      </c>
      <c r="B194" s="2" t="str">
        <f>IFERROR(__xludf.DUMMYFUNCTION("""COMPUTED_VALUE"""),"COMILLA")</f>
        <v>COMILLA</v>
      </c>
      <c r="C194" s="4">
        <f>IFERROR(__xludf.DUMMYFUNCTION("""COMPUTED_VALUE"""),10.0)</f>
        <v>10</v>
      </c>
      <c r="D194" s="2" t="str">
        <f>IFERROR(__xludf.DUMMYFUNCTION("""COMPUTED_VALUE"""),"AGRANI BANK LTD.")</f>
        <v>AGRANI BANK LTD.</v>
      </c>
      <c r="E194" s="2" t="str">
        <f>IFERROR(__xludf.DUMMYFUNCTION("""COMPUTED_VALUE"""),"JUKTIKHOLA BAZAR")</f>
        <v>JUKTIKHOLA BAZAR</v>
      </c>
      <c r="F194" s="3">
        <f>IFERROR(__xludf.DUMMYFUNCTION("""COMPUTED_VALUE"""),6.0)</f>
        <v>6</v>
      </c>
      <c r="G194" s="5">
        <f>IFERROR(__xludf.DUMMYFUNCTION("""COMPUTED_VALUE"""),1.0190063E7)</f>
        <v>10190063</v>
      </c>
    </row>
    <row r="195">
      <c r="A195" s="3">
        <f>IFERROR(__xludf.DUMMYFUNCTION("""COMPUTED_VALUE"""),119.0)</f>
        <v>119</v>
      </c>
      <c r="B195" s="2" t="str">
        <f>IFERROR(__xludf.DUMMYFUNCTION("""COMPUTED_VALUE"""),"COMILLA")</f>
        <v>COMILLA</v>
      </c>
      <c r="C195" s="4">
        <f>IFERROR(__xludf.DUMMYFUNCTION("""COMPUTED_VALUE"""),10.0)</f>
        <v>10</v>
      </c>
      <c r="D195" s="2" t="str">
        <f>IFERROR(__xludf.DUMMYFUNCTION("""COMPUTED_VALUE"""),"AGRANI BANK LTD.")</f>
        <v>AGRANI BANK LTD.</v>
      </c>
      <c r="E195" s="2" t="str">
        <f>IFERROR(__xludf.DUMMYFUNCTION("""COMPUTED_VALUE"""),"MEDICAL COLLEGE")</f>
        <v>MEDICAL COLLEGE</v>
      </c>
      <c r="F195" s="3">
        <f>IFERROR(__xludf.DUMMYFUNCTION("""COMPUTED_VALUE"""),12.0)</f>
        <v>12</v>
      </c>
      <c r="G195" s="5">
        <f>IFERROR(__xludf.DUMMYFUNCTION("""COMPUTED_VALUE"""),1.0190126E7)</f>
        <v>10190126</v>
      </c>
    </row>
    <row r="196">
      <c r="A196" s="3">
        <f>IFERROR(__xludf.DUMMYFUNCTION("""COMPUTED_VALUE"""),119.0)</f>
        <v>119</v>
      </c>
      <c r="B196" s="2" t="str">
        <f>IFERROR(__xludf.DUMMYFUNCTION("""COMPUTED_VALUE"""),"COMILLA")</f>
        <v>COMILLA</v>
      </c>
      <c r="C196" s="4">
        <f>IFERROR(__xludf.DUMMYFUNCTION("""COMPUTED_VALUE"""),10.0)</f>
        <v>10</v>
      </c>
      <c r="D196" s="2" t="str">
        <f>IFERROR(__xludf.DUMMYFUNCTION("""COMPUTED_VALUE"""),"AGRANI BANK LTD.")</f>
        <v>AGRANI BANK LTD.</v>
      </c>
      <c r="E196" s="2" t="str">
        <f>IFERROR(__xludf.DUMMYFUNCTION("""COMPUTED_VALUE"""),"AMRATALI BAZAR")</f>
        <v>AMRATALI BAZAR</v>
      </c>
      <c r="F196" s="3">
        <f>IFERROR(__xludf.DUMMYFUNCTION("""COMPUTED_VALUE"""),16.0)</f>
        <v>16</v>
      </c>
      <c r="G196" s="5">
        <f>IFERROR(__xludf.DUMMYFUNCTION("""COMPUTED_VALUE"""),1.0190168E7)</f>
        <v>10190168</v>
      </c>
    </row>
    <row r="197">
      <c r="A197" s="3">
        <f>IFERROR(__xludf.DUMMYFUNCTION("""COMPUTED_VALUE"""),119.0)</f>
        <v>119</v>
      </c>
      <c r="B197" s="2" t="str">
        <f>IFERROR(__xludf.DUMMYFUNCTION("""COMPUTED_VALUE"""),"COMILLA")</f>
        <v>COMILLA</v>
      </c>
      <c r="C197" s="4">
        <f>IFERROR(__xludf.DUMMYFUNCTION("""COMPUTED_VALUE"""),10.0)</f>
        <v>10</v>
      </c>
      <c r="D197" s="2" t="str">
        <f>IFERROR(__xludf.DUMMYFUNCTION("""COMPUTED_VALUE"""),"AGRANI BANK LTD.")</f>
        <v>AGRANI BANK LTD.</v>
      </c>
      <c r="E197" s="2" t="str">
        <f>IFERROR(__xludf.DUMMYFUNCTION("""COMPUTED_VALUE"""),"B.S.C.I.C")</f>
        <v>B.S.C.I.C</v>
      </c>
      <c r="F197" s="3">
        <f>IFERROR(__xludf.DUMMYFUNCTION("""COMPUTED_VALUE"""),25.0)</f>
        <v>25</v>
      </c>
      <c r="G197" s="5">
        <f>IFERROR(__xludf.DUMMYFUNCTION("""COMPUTED_VALUE"""),1.019025E7)</f>
        <v>10190250</v>
      </c>
    </row>
    <row r="198">
      <c r="A198" s="3">
        <f>IFERROR(__xludf.DUMMYFUNCTION("""COMPUTED_VALUE"""),119.0)</f>
        <v>119</v>
      </c>
      <c r="B198" s="2" t="str">
        <f>IFERROR(__xludf.DUMMYFUNCTION("""COMPUTED_VALUE"""),"COMILLA")</f>
        <v>COMILLA</v>
      </c>
      <c r="C198" s="4">
        <f>IFERROR(__xludf.DUMMYFUNCTION("""COMPUTED_VALUE"""),10.0)</f>
        <v>10</v>
      </c>
      <c r="D198" s="2" t="str">
        <f>IFERROR(__xludf.DUMMYFUNCTION("""COMPUTED_VALUE"""),"AGRANI BANK LTD.")</f>
        <v>AGRANI BANK LTD.</v>
      </c>
      <c r="E198" s="2" t="str">
        <f>IFERROR(__xludf.DUMMYFUNCTION("""COMPUTED_VALUE"""),"BALUTUPA")</f>
        <v>BALUTUPA</v>
      </c>
      <c r="F198" s="3">
        <f>IFERROR(__xludf.DUMMYFUNCTION("""COMPUTED_VALUE"""),37.0)</f>
        <v>37</v>
      </c>
      <c r="G198" s="5">
        <f>IFERROR(__xludf.DUMMYFUNCTION("""COMPUTED_VALUE"""),1.0190371E7)</f>
        <v>10190371</v>
      </c>
    </row>
    <row r="199">
      <c r="A199" s="3">
        <f>IFERROR(__xludf.DUMMYFUNCTION("""COMPUTED_VALUE"""),119.0)</f>
        <v>119</v>
      </c>
      <c r="B199" s="2" t="str">
        <f>IFERROR(__xludf.DUMMYFUNCTION("""COMPUTED_VALUE"""),"COMILLA")</f>
        <v>COMILLA</v>
      </c>
      <c r="C199" s="4">
        <f>IFERROR(__xludf.DUMMYFUNCTION("""COMPUTED_VALUE"""),10.0)</f>
        <v>10</v>
      </c>
      <c r="D199" s="2" t="str">
        <f>IFERROR(__xludf.DUMMYFUNCTION("""COMPUTED_VALUE"""),"AGRANI BANK LTD.")</f>
        <v>AGRANI BANK LTD.</v>
      </c>
      <c r="E199" s="2" t="str">
        <f>IFERROR(__xludf.DUMMYFUNCTION("""COMPUTED_VALUE"""),"BATA KANDI BAZAR")</f>
        <v>BATA KANDI BAZAR</v>
      </c>
      <c r="F199" s="3">
        <f>IFERROR(__xludf.DUMMYFUNCTION("""COMPUTED_VALUE"""),52.0)</f>
        <v>52</v>
      </c>
      <c r="G199" s="5">
        <f>IFERROR(__xludf.DUMMYFUNCTION("""COMPUTED_VALUE"""),1.0190526E7)</f>
        <v>10190526</v>
      </c>
    </row>
    <row r="200">
      <c r="A200" s="3">
        <f>IFERROR(__xludf.DUMMYFUNCTION("""COMPUTED_VALUE"""),119.0)</f>
        <v>119</v>
      </c>
      <c r="B200" s="2" t="str">
        <f>IFERROR(__xludf.DUMMYFUNCTION("""COMPUTED_VALUE"""),"COMILLA")</f>
        <v>COMILLA</v>
      </c>
      <c r="C200" s="4">
        <f>IFERROR(__xludf.DUMMYFUNCTION("""COMPUTED_VALUE"""),10.0)</f>
        <v>10</v>
      </c>
      <c r="D200" s="2" t="str">
        <f>IFERROR(__xludf.DUMMYFUNCTION("""COMPUTED_VALUE"""),"AGRANI BANK LTD.")</f>
        <v>AGRANI BANK LTD.</v>
      </c>
      <c r="E200" s="2" t="str">
        <f>IFERROR(__xludf.DUMMYFUNCTION("""COMPUTED_VALUE"""),"BATAICHARI BAZAR")</f>
        <v>BATAICHARI BAZAR</v>
      </c>
      <c r="F200" s="3">
        <f>IFERROR(__xludf.DUMMYFUNCTION("""COMPUTED_VALUE"""),55.0)</f>
        <v>55</v>
      </c>
      <c r="G200" s="5">
        <f>IFERROR(__xludf.DUMMYFUNCTION("""COMPUTED_VALUE"""),1.0190555E7)</f>
        <v>10190555</v>
      </c>
    </row>
    <row r="201">
      <c r="A201" s="3">
        <f>IFERROR(__xludf.DUMMYFUNCTION("""COMPUTED_VALUE"""),119.0)</f>
        <v>119</v>
      </c>
      <c r="B201" s="2" t="str">
        <f>IFERROR(__xludf.DUMMYFUNCTION("""COMPUTED_VALUE"""),"COMILLA")</f>
        <v>COMILLA</v>
      </c>
      <c r="C201" s="4">
        <f>IFERROR(__xludf.DUMMYFUNCTION("""COMPUTED_VALUE"""),10.0)</f>
        <v>10</v>
      </c>
      <c r="D201" s="2" t="str">
        <f>IFERROR(__xludf.DUMMYFUNCTION("""COMPUTED_VALUE"""),"AGRANI BANK LTD.")</f>
        <v>AGRANI BANK LTD.</v>
      </c>
      <c r="E201" s="2" t="str">
        <f>IFERROR(__xludf.DUMMYFUNCTION("""COMPUTED_VALUE"""),"BOKSHAGONJ")</f>
        <v>BOKSHAGONJ</v>
      </c>
      <c r="F201" s="3">
        <f>IFERROR(__xludf.DUMMYFUNCTION("""COMPUTED_VALUE"""),73.0)</f>
        <v>73</v>
      </c>
      <c r="G201" s="5">
        <f>IFERROR(__xludf.DUMMYFUNCTION("""COMPUTED_VALUE"""),1.0190739E7)</f>
        <v>10190739</v>
      </c>
    </row>
    <row r="202">
      <c r="A202" s="3">
        <f>IFERROR(__xludf.DUMMYFUNCTION("""COMPUTED_VALUE"""),119.0)</f>
        <v>119</v>
      </c>
      <c r="B202" s="2" t="str">
        <f>IFERROR(__xludf.DUMMYFUNCTION("""COMPUTED_VALUE"""),"COMILLA")</f>
        <v>COMILLA</v>
      </c>
      <c r="C202" s="4">
        <f>IFERROR(__xludf.DUMMYFUNCTION("""COMPUTED_VALUE"""),10.0)</f>
        <v>10</v>
      </c>
      <c r="D202" s="2" t="str">
        <f>IFERROR(__xludf.DUMMYFUNCTION("""COMPUTED_VALUE"""),"AGRANI BANK LTD.")</f>
        <v>AGRANI BANK LTD.</v>
      </c>
      <c r="E202" s="2" t="str">
        <f>IFERROR(__xludf.DUMMYFUNCTION("""COMPUTED_VALUE"""),"BURICHANG BAZAR")</f>
        <v>BURICHANG BAZAR</v>
      </c>
      <c r="F202" s="3">
        <f>IFERROR(__xludf.DUMMYFUNCTION("""COMPUTED_VALUE"""),83.0)</f>
        <v>83</v>
      </c>
      <c r="G202" s="5">
        <f>IFERROR(__xludf.DUMMYFUNCTION("""COMPUTED_VALUE"""),1.0190834E7)</f>
        <v>10190834</v>
      </c>
    </row>
    <row r="203">
      <c r="A203" s="3">
        <f>IFERROR(__xludf.DUMMYFUNCTION("""COMPUTED_VALUE"""),119.0)</f>
        <v>119</v>
      </c>
      <c r="B203" s="2" t="str">
        <f>IFERROR(__xludf.DUMMYFUNCTION("""COMPUTED_VALUE"""),"COMILLA")</f>
        <v>COMILLA</v>
      </c>
      <c r="C203" s="4">
        <f>IFERROR(__xludf.DUMMYFUNCTION("""COMPUTED_VALUE"""),10.0)</f>
        <v>10</v>
      </c>
      <c r="D203" s="2" t="str">
        <f>IFERROR(__xludf.DUMMYFUNCTION("""COMPUTED_VALUE"""),"AGRANI BANK LTD.")</f>
        <v>AGRANI BANK LTD.</v>
      </c>
      <c r="E203" s="2" t="str">
        <f>IFERROR(__xludf.DUMMYFUNCTION("""COMPUTED_VALUE"""),"CHANDINA")</f>
        <v>CHANDINA</v>
      </c>
      <c r="F203" s="3">
        <f>IFERROR(__xludf.DUMMYFUNCTION("""COMPUTED_VALUE"""),88.0)</f>
        <v>88</v>
      </c>
      <c r="G203" s="5">
        <f>IFERROR(__xludf.DUMMYFUNCTION("""COMPUTED_VALUE"""),1.0190889E7)</f>
        <v>10190889</v>
      </c>
    </row>
    <row r="204">
      <c r="A204" s="3">
        <f>IFERROR(__xludf.DUMMYFUNCTION("""COMPUTED_VALUE"""),119.0)</f>
        <v>119</v>
      </c>
      <c r="B204" s="2" t="str">
        <f>IFERROR(__xludf.DUMMYFUNCTION("""COMPUTED_VALUE"""),"COMILLA")</f>
        <v>COMILLA</v>
      </c>
      <c r="C204" s="4">
        <f>IFERROR(__xludf.DUMMYFUNCTION("""COMPUTED_VALUE"""),10.0)</f>
        <v>10</v>
      </c>
      <c r="D204" s="2" t="str">
        <f>IFERROR(__xludf.DUMMYFUNCTION("""COMPUTED_VALUE"""),"AGRANI BANK LTD.")</f>
        <v>AGRANI BANK LTD.</v>
      </c>
      <c r="E204" s="2" t="str">
        <f>IFERROR(__xludf.DUMMYFUNCTION("""COMPUTED_VALUE"""),"DAUDKANDI")</f>
        <v>DAUDKANDI</v>
      </c>
      <c r="F204" s="3">
        <f>IFERROR(__xludf.DUMMYFUNCTION("""COMPUTED_VALUE"""),151.0)</f>
        <v>151</v>
      </c>
      <c r="G204" s="5">
        <f>IFERROR(__xludf.DUMMYFUNCTION("""COMPUTED_VALUE"""),1.0191512E7)</f>
        <v>10191512</v>
      </c>
    </row>
    <row r="205">
      <c r="A205" s="3">
        <f>IFERROR(__xludf.DUMMYFUNCTION("""COMPUTED_VALUE"""),119.0)</f>
        <v>119</v>
      </c>
      <c r="B205" s="2" t="str">
        <f>IFERROR(__xludf.DUMMYFUNCTION("""COMPUTED_VALUE"""),"COMILLA")</f>
        <v>COMILLA</v>
      </c>
      <c r="C205" s="4">
        <f>IFERROR(__xludf.DUMMYFUNCTION("""COMPUTED_VALUE"""),10.0)</f>
        <v>10</v>
      </c>
      <c r="D205" s="2" t="str">
        <f>IFERROR(__xludf.DUMMYFUNCTION("""COMPUTED_VALUE"""),"AGRANI BANK LTD.")</f>
        <v>AGRANI BANK LTD.</v>
      </c>
      <c r="E205" s="2" t="str">
        <f>IFERROR(__xludf.DUMMYFUNCTION("""COMPUTED_VALUE"""),"DEBIDWAR")</f>
        <v>DEBIDWAR</v>
      </c>
      <c r="F205" s="3">
        <f>IFERROR(__xludf.DUMMYFUNCTION("""COMPUTED_VALUE"""),160.0)</f>
        <v>160</v>
      </c>
      <c r="G205" s="5">
        <f>IFERROR(__xludf.DUMMYFUNCTION("""COMPUTED_VALUE"""),1.0191604E7)</f>
        <v>10191604</v>
      </c>
    </row>
    <row r="206">
      <c r="A206" s="3">
        <f>IFERROR(__xludf.DUMMYFUNCTION("""COMPUTED_VALUE"""),119.0)</f>
        <v>119</v>
      </c>
      <c r="B206" s="2" t="str">
        <f>IFERROR(__xludf.DUMMYFUNCTION("""COMPUTED_VALUE"""),"COMILLA")</f>
        <v>COMILLA</v>
      </c>
      <c r="C206" s="4">
        <f>IFERROR(__xludf.DUMMYFUNCTION("""COMPUTED_VALUE"""),10.0)</f>
        <v>10</v>
      </c>
      <c r="D206" s="2" t="str">
        <f>IFERROR(__xludf.DUMMYFUNCTION("""COMPUTED_VALUE"""),"AGRANI BANK LTD.")</f>
        <v>AGRANI BANK LTD.</v>
      </c>
      <c r="E206" s="2" t="str">
        <f>IFERROR(__xludf.DUMMYFUNCTION("""COMPUTED_VALUE"""),"HASANPUR")</f>
        <v>HASANPUR</v>
      </c>
      <c r="F206" s="3">
        <f>IFERROR(__xludf.DUMMYFUNCTION("""COMPUTED_VALUE"""),220.0)</f>
        <v>220</v>
      </c>
      <c r="G206" s="5">
        <f>IFERROR(__xludf.DUMMYFUNCTION("""COMPUTED_VALUE"""),1.0192203E7)</f>
        <v>10192203</v>
      </c>
    </row>
    <row r="207">
      <c r="A207" s="3">
        <f>IFERROR(__xludf.DUMMYFUNCTION("""COMPUTED_VALUE"""),119.0)</f>
        <v>119</v>
      </c>
      <c r="B207" s="2" t="str">
        <f>IFERROR(__xludf.DUMMYFUNCTION("""COMPUTED_VALUE"""),"COMILLA")</f>
        <v>COMILLA</v>
      </c>
      <c r="C207" s="4">
        <f>IFERROR(__xludf.DUMMYFUNCTION("""COMPUTED_VALUE"""),10.0)</f>
        <v>10</v>
      </c>
      <c r="D207" s="2" t="str">
        <f>IFERROR(__xludf.DUMMYFUNCTION("""COMPUTED_VALUE"""),"AGRANI BANK LTD.")</f>
        <v>AGRANI BANK LTD.</v>
      </c>
      <c r="E207" s="2" t="str">
        <f>IFERROR(__xludf.DUMMYFUNCTION("""COMPUTED_VALUE"""),"HOMNA")</f>
        <v>HOMNA</v>
      </c>
      <c r="F207" s="3">
        <f>IFERROR(__xludf.DUMMYFUNCTION("""COMPUTED_VALUE"""),223.0)</f>
        <v>223</v>
      </c>
      <c r="G207" s="5">
        <f>IFERROR(__xludf.DUMMYFUNCTION("""COMPUTED_VALUE"""),1.0192232E7)</f>
        <v>10192232</v>
      </c>
    </row>
    <row r="208">
      <c r="A208" s="3">
        <f>IFERROR(__xludf.DUMMYFUNCTION("""COMPUTED_VALUE"""),119.0)</f>
        <v>119</v>
      </c>
      <c r="B208" s="2" t="str">
        <f>IFERROR(__xludf.DUMMYFUNCTION("""COMPUTED_VALUE"""),"COMILLA")</f>
        <v>COMILLA</v>
      </c>
      <c r="C208" s="4">
        <f>IFERROR(__xludf.DUMMYFUNCTION("""COMPUTED_VALUE"""),10.0)</f>
        <v>10</v>
      </c>
      <c r="D208" s="2" t="str">
        <f>IFERROR(__xludf.DUMMYFUNCTION("""COMPUTED_VALUE"""),"AGRANI BANK LTD.")</f>
        <v>AGRANI BANK LTD.</v>
      </c>
      <c r="E208" s="2" t="str">
        <f>IFERROR(__xludf.DUMMYFUNCTION("""COMPUTED_VALUE"""),"HOUSING ESTATE")</f>
        <v>HOUSING ESTATE</v>
      </c>
      <c r="F208" s="3">
        <f>IFERROR(__xludf.DUMMYFUNCTION("""COMPUTED_VALUE"""),226.0)</f>
        <v>226</v>
      </c>
      <c r="G208" s="5">
        <f>IFERROR(__xludf.DUMMYFUNCTION("""COMPUTED_VALUE"""),1.0192261E7)</f>
        <v>10192261</v>
      </c>
    </row>
    <row r="209">
      <c r="A209" s="3">
        <f>IFERROR(__xludf.DUMMYFUNCTION("""COMPUTED_VALUE"""),119.0)</f>
        <v>119</v>
      </c>
      <c r="B209" s="2" t="str">
        <f>IFERROR(__xludf.DUMMYFUNCTION("""COMPUTED_VALUE"""),"COMILLA")</f>
        <v>COMILLA</v>
      </c>
      <c r="C209" s="4">
        <f>IFERROR(__xludf.DUMMYFUNCTION("""COMPUTED_VALUE"""),10.0)</f>
        <v>10</v>
      </c>
      <c r="D209" s="2" t="str">
        <f>IFERROR(__xludf.DUMMYFUNCTION("""COMPUTED_VALUE"""),"AGRANI BANK LTD.")</f>
        <v>AGRANI BANK LTD.</v>
      </c>
      <c r="E209" s="2" t="str">
        <f>IFERROR(__xludf.DUMMYFUNCTION("""COMPUTED_VALUE"""),"JAHAPUR")</f>
        <v>JAHAPUR</v>
      </c>
      <c r="F209" s="3">
        <f>IFERROR(__xludf.DUMMYFUNCTION("""COMPUTED_VALUE"""),235.0)</f>
        <v>235</v>
      </c>
      <c r="G209" s="5">
        <f>IFERROR(__xludf.DUMMYFUNCTION("""COMPUTED_VALUE"""),1.0192353E7)</f>
        <v>10192353</v>
      </c>
    </row>
    <row r="210">
      <c r="A210" s="3">
        <f>IFERROR(__xludf.DUMMYFUNCTION("""COMPUTED_VALUE"""),119.0)</f>
        <v>119</v>
      </c>
      <c r="B210" s="2" t="str">
        <f>IFERROR(__xludf.DUMMYFUNCTION("""COMPUTED_VALUE"""),"COMILLA")</f>
        <v>COMILLA</v>
      </c>
      <c r="C210" s="4">
        <f>IFERROR(__xludf.DUMMYFUNCTION("""COMPUTED_VALUE"""),10.0)</f>
        <v>10</v>
      </c>
      <c r="D210" s="2" t="str">
        <f>IFERROR(__xludf.DUMMYFUNCTION("""COMPUTED_VALUE"""),"AGRANI BANK LTD.")</f>
        <v>AGRANI BANK LTD.</v>
      </c>
      <c r="E210" s="2" t="str">
        <f>IFERROR(__xludf.DUMMYFUNCTION("""COMPUTED_VALUE"""),"JHALAM BAZAR")</f>
        <v>JHALAM BAZAR</v>
      </c>
      <c r="F210" s="3">
        <f>IFERROR(__xludf.DUMMYFUNCTION("""COMPUTED_VALUE"""),238.0)</f>
        <v>238</v>
      </c>
      <c r="G210" s="5">
        <f>IFERROR(__xludf.DUMMYFUNCTION("""COMPUTED_VALUE"""),1.0192382E7)</f>
        <v>10192382</v>
      </c>
    </row>
    <row r="211">
      <c r="A211" s="3">
        <f>IFERROR(__xludf.DUMMYFUNCTION("""COMPUTED_VALUE"""),119.0)</f>
        <v>119</v>
      </c>
      <c r="B211" s="2" t="str">
        <f>IFERROR(__xludf.DUMMYFUNCTION("""COMPUTED_VALUE"""),"COMILLA")</f>
        <v>COMILLA</v>
      </c>
      <c r="C211" s="4">
        <f>IFERROR(__xludf.DUMMYFUNCTION("""COMPUTED_VALUE"""),10.0)</f>
        <v>10</v>
      </c>
      <c r="D211" s="2" t="str">
        <f>IFERROR(__xludf.DUMMYFUNCTION("""COMPUTED_VALUE"""),"AGRANI BANK LTD.")</f>
        <v>AGRANI BANK LTD.</v>
      </c>
      <c r="E211" s="2" t="str">
        <f>IFERROR(__xludf.DUMMYFUNCTION("""COMPUTED_VALUE"""),"KASHINAGAR")</f>
        <v>KASHINAGAR</v>
      </c>
      <c r="F211" s="3">
        <f>IFERROR(__xludf.DUMMYFUNCTION("""COMPUTED_VALUE"""),259.0)</f>
        <v>259</v>
      </c>
      <c r="G211" s="5">
        <f>IFERROR(__xludf.DUMMYFUNCTION("""COMPUTED_VALUE"""),1.0192595E7)</f>
        <v>10192595</v>
      </c>
    </row>
    <row r="212">
      <c r="A212" s="3">
        <f>IFERROR(__xludf.DUMMYFUNCTION("""COMPUTED_VALUE"""),119.0)</f>
        <v>119</v>
      </c>
      <c r="B212" s="2" t="str">
        <f>IFERROR(__xludf.DUMMYFUNCTION("""COMPUTED_VALUE"""),"COMILLA")</f>
        <v>COMILLA</v>
      </c>
      <c r="C212" s="4">
        <f>IFERROR(__xludf.DUMMYFUNCTION("""COMPUTED_VALUE"""),10.0)</f>
        <v>10</v>
      </c>
      <c r="D212" s="2" t="str">
        <f>IFERROR(__xludf.DUMMYFUNCTION("""COMPUTED_VALUE"""),"AGRANI BANK LTD.")</f>
        <v>AGRANI BANK LTD.</v>
      </c>
      <c r="E212" s="2" t="str">
        <f>IFERROR(__xludf.DUMMYFUNCTION("""COMPUTED_VALUE"""),"KHILA BAZAR")</f>
        <v>KHILA BAZAR</v>
      </c>
      <c r="F212" s="3">
        <f>IFERROR(__xludf.DUMMYFUNCTION("""COMPUTED_VALUE"""),262.0)</f>
        <v>262</v>
      </c>
      <c r="G212" s="5">
        <f>IFERROR(__xludf.DUMMYFUNCTION("""COMPUTED_VALUE"""),1.0192629E7)</f>
        <v>10192629</v>
      </c>
    </row>
    <row r="213">
      <c r="A213" s="3">
        <f>IFERROR(__xludf.DUMMYFUNCTION("""COMPUTED_VALUE"""),119.0)</f>
        <v>119</v>
      </c>
      <c r="B213" s="2" t="str">
        <f>IFERROR(__xludf.DUMMYFUNCTION("""COMPUTED_VALUE"""),"COMILLA")</f>
        <v>COMILLA</v>
      </c>
      <c r="C213" s="4">
        <f>IFERROR(__xludf.DUMMYFUNCTION("""COMPUTED_VALUE"""),10.0)</f>
        <v>10</v>
      </c>
      <c r="D213" s="2" t="str">
        <f>IFERROR(__xludf.DUMMYFUNCTION("""COMPUTED_VALUE"""),"AGRANI BANK LTD.")</f>
        <v>AGRANI BANK LTD.</v>
      </c>
      <c r="E213" s="2" t="str">
        <f>IFERROR(__xludf.DUMMYFUNCTION("""COMPUTED_VALUE"""),"LAKSAM")</f>
        <v>LAKSAM</v>
      </c>
      <c r="F213" s="3">
        <f>IFERROR(__xludf.DUMMYFUNCTION("""COMPUTED_VALUE"""),271.0)</f>
        <v>271</v>
      </c>
      <c r="G213" s="5">
        <f>IFERROR(__xludf.DUMMYFUNCTION("""COMPUTED_VALUE"""),1.0192711E7)</f>
        <v>10192711</v>
      </c>
    </row>
    <row r="214">
      <c r="A214" s="3">
        <f>IFERROR(__xludf.DUMMYFUNCTION("""COMPUTED_VALUE"""),119.0)</f>
        <v>119</v>
      </c>
      <c r="B214" s="2" t="str">
        <f>IFERROR(__xludf.DUMMYFUNCTION("""COMPUTED_VALUE"""),"COMILLA")</f>
        <v>COMILLA</v>
      </c>
      <c r="C214" s="4">
        <f>IFERROR(__xludf.DUMMYFUNCTION("""COMPUTED_VALUE"""),10.0)</f>
        <v>10</v>
      </c>
      <c r="D214" s="2" t="str">
        <f>IFERROR(__xludf.DUMMYFUNCTION("""COMPUTED_VALUE"""),"AGRANI BANK LTD.")</f>
        <v>AGRANI BANK LTD.</v>
      </c>
      <c r="E214" s="2" t="str">
        <f>IFERROR(__xludf.DUMMYFUNCTION("""COMPUTED_VALUE"""),"MADHABPUR")</f>
        <v>MADHABPUR</v>
      </c>
      <c r="F214" s="3">
        <f>IFERROR(__xludf.DUMMYFUNCTION("""COMPUTED_VALUE"""),277.0)</f>
        <v>277</v>
      </c>
      <c r="G214" s="5">
        <f>IFERROR(__xludf.DUMMYFUNCTION("""COMPUTED_VALUE"""),1.0192779E7)</f>
        <v>10192779</v>
      </c>
    </row>
    <row r="215">
      <c r="A215" s="3">
        <f>IFERROR(__xludf.DUMMYFUNCTION("""COMPUTED_VALUE"""),119.0)</f>
        <v>119</v>
      </c>
      <c r="B215" s="2" t="str">
        <f>IFERROR(__xludf.DUMMYFUNCTION("""COMPUTED_VALUE"""),"COMILLA")</f>
        <v>COMILLA</v>
      </c>
      <c r="C215" s="4">
        <f>IFERROR(__xludf.DUMMYFUNCTION("""COMPUTED_VALUE"""),10.0)</f>
        <v>10</v>
      </c>
      <c r="D215" s="2" t="str">
        <f>IFERROR(__xludf.DUMMYFUNCTION("""COMPUTED_VALUE"""),"AGRANI BANK LTD.")</f>
        <v>AGRANI BANK LTD.</v>
      </c>
      <c r="E215" s="2" t="str">
        <f>IFERROR(__xludf.DUMMYFUNCTION("""COMPUTED_VALUE"""),"MONOHARPUR")</f>
        <v>MONOHARPUR</v>
      </c>
      <c r="F215" s="3">
        <f>IFERROR(__xludf.DUMMYFUNCTION("""COMPUTED_VALUE"""),307.0)</f>
        <v>307</v>
      </c>
      <c r="G215" s="5">
        <f>IFERROR(__xludf.DUMMYFUNCTION("""COMPUTED_VALUE"""),1.0193073E7)</f>
        <v>10193073</v>
      </c>
    </row>
    <row r="216">
      <c r="A216" s="3">
        <f>IFERROR(__xludf.DUMMYFUNCTION("""COMPUTED_VALUE"""),119.0)</f>
        <v>119</v>
      </c>
      <c r="B216" s="2" t="str">
        <f>IFERROR(__xludf.DUMMYFUNCTION("""COMPUTED_VALUE"""),"COMILLA")</f>
        <v>COMILLA</v>
      </c>
      <c r="C216" s="4">
        <f>IFERROR(__xludf.DUMMYFUNCTION("""COMPUTED_VALUE"""),10.0)</f>
        <v>10</v>
      </c>
      <c r="D216" s="2" t="str">
        <f>IFERROR(__xludf.DUMMYFUNCTION("""COMPUTED_VALUE"""),"AGRANI BANK LTD.")</f>
        <v>AGRANI BANK LTD.</v>
      </c>
      <c r="E216" s="2" t="str">
        <f>IFERROR(__xludf.DUMMYFUNCTION("""COMPUTED_VALUE"""),"MONSHIRHAT")</f>
        <v>MONSHIRHAT</v>
      </c>
      <c r="F216" s="3">
        <f>IFERROR(__xludf.DUMMYFUNCTION("""COMPUTED_VALUE"""),310.0)</f>
        <v>310</v>
      </c>
      <c r="G216" s="5">
        <f>IFERROR(__xludf.DUMMYFUNCTION("""COMPUTED_VALUE"""),1.0193107E7)</f>
        <v>10193107</v>
      </c>
    </row>
    <row r="217">
      <c r="A217" s="3">
        <f>IFERROR(__xludf.DUMMYFUNCTION("""COMPUTED_VALUE"""),119.0)</f>
        <v>119</v>
      </c>
      <c r="B217" s="2" t="str">
        <f>IFERROR(__xludf.DUMMYFUNCTION("""COMPUTED_VALUE"""),"COMILLA")</f>
        <v>COMILLA</v>
      </c>
      <c r="C217" s="4">
        <f>IFERROR(__xludf.DUMMYFUNCTION("""COMPUTED_VALUE"""),10.0)</f>
        <v>10</v>
      </c>
      <c r="D217" s="2" t="str">
        <f>IFERROR(__xludf.DUMMYFUNCTION("""COMPUTED_VALUE"""),"AGRANI BANK LTD.")</f>
        <v>AGRANI BANK LTD.</v>
      </c>
      <c r="E217" s="2" t="str">
        <f>IFERROR(__xludf.DUMMYFUNCTION("""COMPUTED_VALUE"""),"NANGALKOT")</f>
        <v>NANGALKOT</v>
      </c>
      <c r="F217" s="3">
        <f>IFERROR(__xludf.DUMMYFUNCTION("""COMPUTED_VALUE"""),325.0)</f>
        <v>325</v>
      </c>
      <c r="G217" s="5">
        <f>IFERROR(__xludf.DUMMYFUNCTION("""COMPUTED_VALUE"""),1.0193257E7)</f>
        <v>10193257</v>
      </c>
    </row>
    <row r="218">
      <c r="A218" s="3">
        <f>IFERROR(__xludf.DUMMYFUNCTION("""COMPUTED_VALUE"""),119.0)</f>
        <v>119</v>
      </c>
      <c r="B218" s="2" t="str">
        <f>IFERROR(__xludf.DUMMYFUNCTION("""COMPUTED_VALUE"""),"COMILLA")</f>
        <v>COMILLA</v>
      </c>
      <c r="C218" s="4">
        <f>IFERROR(__xludf.DUMMYFUNCTION("""COMPUTED_VALUE"""),10.0)</f>
        <v>10</v>
      </c>
      <c r="D218" s="2" t="str">
        <f>IFERROR(__xludf.DUMMYFUNCTION("""COMPUTED_VALUE"""),"AGRANI BANK LTD.")</f>
        <v>AGRANI BANK LTD.</v>
      </c>
      <c r="E218" s="2" t="str">
        <f>IFERROR(__xludf.DUMMYFUNCTION("""COMPUTED_VALUE"""),"NASRATPUR")</f>
        <v>NASRATPUR</v>
      </c>
      <c r="F218" s="3">
        <f>IFERROR(__xludf.DUMMYFUNCTION("""COMPUTED_VALUE"""),328.0)</f>
        <v>328</v>
      </c>
      <c r="G218" s="5">
        <f>IFERROR(__xludf.DUMMYFUNCTION("""COMPUTED_VALUE"""),1.0193286E7)</f>
        <v>10193286</v>
      </c>
    </row>
    <row r="219">
      <c r="A219" s="3">
        <f>IFERROR(__xludf.DUMMYFUNCTION("""COMPUTED_VALUE"""),119.0)</f>
        <v>119</v>
      </c>
      <c r="B219" s="2" t="str">
        <f>IFERROR(__xludf.DUMMYFUNCTION("""COMPUTED_VALUE"""),"COMILLA")</f>
        <v>COMILLA</v>
      </c>
      <c r="C219" s="4">
        <f>IFERROR(__xludf.DUMMYFUNCTION("""COMPUTED_VALUE"""),10.0)</f>
        <v>10</v>
      </c>
      <c r="D219" s="2" t="str">
        <f>IFERROR(__xludf.DUMMYFUNCTION("""COMPUTED_VALUE"""),"AGRANI BANK LTD.")</f>
        <v>AGRANI BANK LTD.</v>
      </c>
      <c r="E219" s="2" t="str">
        <f>IFERROR(__xludf.DUMMYFUNCTION("""COMPUTED_VALUE"""),"NATHERPETUA")</f>
        <v>NATHERPETUA</v>
      </c>
      <c r="F219" s="3">
        <f>IFERROR(__xludf.DUMMYFUNCTION("""COMPUTED_VALUE"""),331.0)</f>
        <v>331</v>
      </c>
      <c r="G219" s="5">
        <f>IFERROR(__xludf.DUMMYFUNCTION("""COMPUTED_VALUE"""),1.019331E7)</f>
        <v>10193310</v>
      </c>
    </row>
    <row r="220">
      <c r="A220" s="3">
        <f>IFERROR(__xludf.DUMMYFUNCTION("""COMPUTED_VALUE"""),119.0)</f>
        <v>119</v>
      </c>
      <c r="B220" s="2" t="str">
        <f>IFERROR(__xludf.DUMMYFUNCTION("""COMPUTED_VALUE"""),"COMILLA")</f>
        <v>COMILLA</v>
      </c>
      <c r="C220" s="4">
        <f>IFERROR(__xludf.DUMMYFUNCTION("""COMPUTED_VALUE"""),10.0)</f>
        <v>10</v>
      </c>
      <c r="D220" s="2" t="str">
        <f>IFERROR(__xludf.DUMMYFUNCTION("""COMPUTED_VALUE"""),"AGRANI BANK LTD.")</f>
        <v>AGRANI BANK LTD.</v>
      </c>
      <c r="E220" s="2" t="str">
        <f>IFERROR(__xludf.DUMMYFUNCTION("""COMPUTED_VALUE"""),"NIMSHAR")</f>
        <v>NIMSHAR</v>
      </c>
      <c r="F220" s="3">
        <f>IFERROR(__xludf.DUMMYFUNCTION("""COMPUTED_VALUE"""),334.0)</f>
        <v>334</v>
      </c>
      <c r="G220" s="5">
        <f>IFERROR(__xludf.DUMMYFUNCTION("""COMPUTED_VALUE"""),1.0193349E7)</f>
        <v>10193349</v>
      </c>
    </row>
    <row r="221">
      <c r="A221" s="3">
        <f>IFERROR(__xludf.DUMMYFUNCTION("""COMPUTED_VALUE"""),119.0)</f>
        <v>119</v>
      </c>
      <c r="B221" s="2" t="str">
        <f>IFERROR(__xludf.DUMMYFUNCTION("""COMPUTED_VALUE"""),"COMILLA")</f>
        <v>COMILLA</v>
      </c>
      <c r="C221" s="4">
        <f>IFERROR(__xludf.DUMMYFUNCTION("""COMPUTED_VALUE"""),10.0)</f>
        <v>10</v>
      </c>
      <c r="D221" s="2" t="str">
        <f>IFERROR(__xludf.DUMMYFUNCTION("""COMPUTED_VALUE"""),"AGRANI BANK LTD.")</f>
        <v>AGRANI BANK LTD.</v>
      </c>
      <c r="E221" s="2" t="str">
        <f>IFERROR(__xludf.DUMMYFUNCTION("""COMPUTED_VALUE"""),"PADUAR BAZAR")</f>
        <v>PADUAR BAZAR</v>
      </c>
      <c r="F221" s="3">
        <f>IFERROR(__xludf.DUMMYFUNCTION("""COMPUTED_VALUE"""),340.0)</f>
        <v>340</v>
      </c>
      <c r="G221" s="5">
        <f>IFERROR(__xludf.DUMMYFUNCTION("""COMPUTED_VALUE"""),1.0193402E7)</f>
        <v>10193402</v>
      </c>
    </row>
    <row r="222">
      <c r="A222" s="3">
        <f>IFERROR(__xludf.DUMMYFUNCTION("""COMPUTED_VALUE"""),119.0)</f>
        <v>119</v>
      </c>
      <c r="B222" s="2" t="str">
        <f>IFERROR(__xludf.DUMMYFUNCTION("""COMPUTED_VALUE"""),"COMILLA")</f>
        <v>COMILLA</v>
      </c>
      <c r="C222" s="4">
        <f>IFERROR(__xludf.DUMMYFUNCTION("""COMPUTED_VALUE"""),10.0)</f>
        <v>10</v>
      </c>
      <c r="D222" s="2" t="str">
        <f>IFERROR(__xludf.DUMMYFUNCTION("""COMPUTED_VALUE"""),"AGRANI BANK LTD.")</f>
        <v>AGRANI BANK LTD.</v>
      </c>
      <c r="E222" s="2" t="str">
        <f>IFERROR(__xludf.DUMMYFUNCTION("""COMPUTED_VALUE"""),"RAJGANJ")</f>
        <v>RAJGANJ</v>
      </c>
      <c r="F222" s="3">
        <f>IFERROR(__xludf.DUMMYFUNCTION("""COMPUTED_VALUE"""),358.0)</f>
        <v>358</v>
      </c>
      <c r="G222" s="5">
        <f>IFERROR(__xludf.DUMMYFUNCTION("""COMPUTED_VALUE"""),1.0193581E7)</f>
        <v>10193581</v>
      </c>
    </row>
    <row r="223">
      <c r="A223" s="3">
        <f>IFERROR(__xludf.DUMMYFUNCTION("""COMPUTED_VALUE"""),119.0)</f>
        <v>119</v>
      </c>
      <c r="B223" s="2" t="str">
        <f>IFERROR(__xludf.DUMMYFUNCTION("""COMPUTED_VALUE"""),"COMILLA")</f>
        <v>COMILLA</v>
      </c>
      <c r="C223" s="4">
        <f>IFERROR(__xludf.DUMMYFUNCTION("""COMPUTED_VALUE"""),10.0)</f>
        <v>10</v>
      </c>
      <c r="D223" s="2" t="str">
        <f>IFERROR(__xludf.DUMMYFUNCTION("""COMPUTED_VALUE"""),"AGRANI BANK LTD.")</f>
        <v>AGRANI BANK LTD.</v>
      </c>
      <c r="E223" s="2" t="str">
        <f>IFERROR(__xludf.DUMMYFUNCTION("""COMPUTED_VALUE"""),"RUPBABU BAZAR")</f>
        <v>RUPBABU BAZAR</v>
      </c>
      <c r="F223" s="3">
        <f>IFERROR(__xludf.DUMMYFUNCTION("""COMPUTED_VALUE"""),376.0)</f>
        <v>376</v>
      </c>
      <c r="G223" s="5">
        <f>IFERROR(__xludf.DUMMYFUNCTION("""COMPUTED_VALUE"""),1.0193765E7)</f>
        <v>10193765</v>
      </c>
    </row>
    <row r="224">
      <c r="A224" s="3">
        <f>IFERROR(__xludf.DUMMYFUNCTION("""COMPUTED_VALUE"""),119.0)</f>
        <v>119</v>
      </c>
      <c r="B224" s="2" t="str">
        <f>IFERROR(__xludf.DUMMYFUNCTION("""COMPUTED_VALUE"""),"COMILLA")</f>
        <v>COMILLA</v>
      </c>
      <c r="C224" s="4">
        <f>IFERROR(__xludf.DUMMYFUNCTION("""COMPUTED_VALUE"""),10.0)</f>
        <v>10</v>
      </c>
      <c r="D224" s="2" t="str">
        <f>IFERROR(__xludf.DUMMYFUNCTION("""COMPUTED_VALUE"""),"AGRANI BANK LTD.")</f>
        <v>AGRANI BANK LTD.</v>
      </c>
      <c r="E224" s="2" t="str">
        <f>IFERROR(__xludf.DUMMYFUNCTION("""COMPUTED_VALUE"""),"SHANKHACHAIL")</f>
        <v>SHANKHACHAIL</v>
      </c>
      <c r="F224" s="3">
        <f>IFERROR(__xludf.DUMMYFUNCTION("""COMPUTED_VALUE"""),382.0)</f>
        <v>382</v>
      </c>
      <c r="G224" s="5">
        <f>IFERROR(__xludf.DUMMYFUNCTION("""COMPUTED_VALUE"""),1.0193828E7)</f>
        <v>10193828</v>
      </c>
    </row>
    <row r="225">
      <c r="A225" s="3">
        <f>IFERROR(__xludf.DUMMYFUNCTION("""COMPUTED_VALUE"""),119.0)</f>
        <v>119</v>
      </c>
      <c r="B225" s="2" t="str">
        <f>IFERROR(__xludf.DUMMYFUNCTION("""COMPUTED_VALUE"""),"COMILLA")</f>
        <v>COMILLA</v>
      </c>
      <c r="C225" s="4">
        <f>IFERROR(__xludf.DUMMYFUNCTION("""COMPUTED_VALUE"""),10.0)</f>
        <v>10</v>
      </c>
      <c r="D225" s="2" t="str">
        <f>IFERROR(__xludf.DUMMYFUNCTION("""COMPUTED_VALUE"""),"AGRANI BANK LTD.")</f>
        <v>AGRANI BANK LTD.</v>
      </c>
      <c r="E225" s="2" t="str">
        <f>IFERROR(__xludf.DUMMYFUNCTION("""COMPUTED_VALUE"""),"TOMSON BRIDGE")</f>
        <v>TOMSON BRIDGE</v>
      </c>
      <c r="F225" s="3">
        <f>IFERROR(__xludf.DUMMYFUNCTION("""COMPUTED_VALUE"""),409.0)</f>
        <v>409</v>
      </c>
      <c r="G225" s="5">
        <f>IFERROR(__xludf.DUMMYFUNCTION("""COMPUTED_VALUE"""),1.0194098E7)</f>
        <v>10194098</v>
      </c>
    </row>
    <row r="226">
      <c r="A226" s="3">
        <f>IFERROR(__xludf.DUMMYFUNCTION("""COMPUTED_VALUE"""),222.0)</f>
        <v>222</v>
      </c>
      <c r="B226" s="2" t="str">
        <f>IFERROR(__xludf.DUMMYFUNCTION("""COMPUTED_VALUE"""),"COXS BAZAR")</f>
        <v>COXS BAZAR</v>
      </c>
      <c r="C226" s="4">
        <f>IFERROR(__xludf.DUMMYFUNCTION("""COMPUTED_VALUE"""),10.0)</f>
        <v>10</v>
      </c>
      <c r="D226" s="2" t="str">
        <f>IFERROR(__xludf.DUMMYFUNCTION("""COMPUTED_VALUE"""),"AGRANI BANK LTD.")</f>
        <v>AGRANI BANK LTD.</v>
      </c>
      <c r="E226" s="2" t="str">
        <f>IFERROR(__xludf.DUMMYFUNCTION("""COMPUTED_VALUE"""),"COXS BAZAR")</f>
        <v>COXS BAZAR</v>
      </c>
      <c r="F226" s="3">
        <f>IFERROR(__xludf.DUMMYFUNCTION("""COMPUTED_VALUE"""),25.0)</f>
        <v>25</v>
      </c>
      <c r="G226" s="5">
        <f>IFERROR(__xludf.DUMMYFUNCTION("""COMPUTED_VALUE"""),1.0220254E7)</f>
        <v>10220254</v>
      </c>
    </row>
    <row r="227">
      <c r="A227" s="3">
        <f>IFERROR(__xludf.DUMMYFUNCTION("""COMPUTED_VALUE"""),222.0)</f>
        <v>222</v>
      </c>
      <c r="B227" s="2" t="str">
        <f>IFERROR(__xludf.DUMMYFUNCTION("""COMPUTED_VALUE"""),"COXS BAZAR")</f>
        <v>COXS BAZAR</v>
      </c>
      <c r="C227" s="4">
        <f>IFERROR(__xludf.DUMMYFUNCTION("""COMPUTED_VALUE"""),10.0)</f>
        <v>10</v>
      </c>
      <c r="D227" s="2" t="str">
        <f>IFERROR(__xludf.DUMMYFUNCTION("""COMPUTED_VALUE"""),"AGRANI BANK LTD.")</f>
        <v>AGRANI BANK LTD.</v>
      </c>
      <c r="E227" s="2" t="str">
        <f>IFERROR(__xludf.DUMMYFUNCTION("""COMPUTED_VALUE"""),"KHUTAKHALI")</f>
        <v>KHUTAKHALI</v>
      </c>
      <c r="F227" s="3">
        <f>IFERROR(__xludf.DUMMYFUNCTION("""COMPUTED_VALUE"""),64.0)</f>
        <v>64</v>
      </c>
      <c r="G227" s="5">
        <f>IFERROR(__xludf.DUMMYFUNCTION("""COMPUTED_VALUE"""),1.0220641E7)</f>
        <v>10220641</v>
      </c>
    </row>
    <row r="228">
      <c r="A228" s="3">
        <f>IFERROR(__xludf.DUMMYFUNCTION("""COMPUTED_VALUE"""),222.0)</f>
        <v>222</v>
      </c>
      <c r="B228" s="2" t="str">
        <f>IFERROR(__xludf.DUMMYFUNCTION("""COMPUTED_VALUE"""),"COXS BAZAR")</f>
        <v>COXS BAZAR</v>
      </c>
      <c r="C228" s="4">
        <f>IFERROR(__xludf.DUMMYFUNCTION("""COMPUTED_VALUE"""),10.0)</f>
        <v>10</v>
      </c>
      <c r="D228" s="2" t="str">
        <f>IFERROR(__xludf.DUMMYFUNCTION("""COMPUTED_VALUE"""),"AGRANI BANK LTD.")</f>
        <v>AGRANI BANK LTD.</v>
      </c>
      <c r="E228" s="2" t="str">
        <f>IFERROR(__xludf.DUMMYFUNCTION("""COMPUTED_VALUE"""),"MARICCHA")</f>
        <v>MARICCHA</v>
      </c>
      <c r="F228" s="3">
        <f>IFERROR(__xludf.DUMMYFUNCTION("""COMPUTED_VALUE"""),70.0)</f>
        <v>70</v>
      </c>
      <c r="G228" s="5">
        <f>IFERROR(__xludf.DUMMYFUNCTION("""COMPUTED_VALUE"""),1.0220704E7)</f>
        <v>10220704</v>
      </c>
    </row>
    <row r="229">
      <c r="A229" s="3">
        <f>IFERROR(__xludf.DUMMYFUNCTION("""COMPUTED_VALUE"""),222.0)</f>
        <v>222</v>
      </c>
      <c r="B229" s="2" t="str">
        <f>IFERROR(__xludf.DUMMYFUNCTION("""COMPUTED_VALUE"""),"COXS BAZAR")</f>
        <v>COXS BAZAR</v>
      </c>
      <c r="C229" s="4">
        <f>IFERROR(__xludf.DUMMYFUNCTION("""COMPUTED_VALUE"""),10.0)</f>
        <v>10</v>
      </c>
      <c r="D229" s="2" t="str">
        <f>IFERROR(__xludf.DUMMYFUNCTION("""COMPUTED_VALUE"""),"AGRANI BANK LTD.")</f>
        <v>AGRANI BANK LTD.</v>
      </c>
      <c r="E229" s="2" t="str">
        <f>IFERROR(__xludf.DUMMYFUNCTION("""COMPUTED_VALUE"""),"TEKNAF")</f>
        <v>TEKNAF</v>
      </c>
      <c r="F229" s="3">
        <f>IFERROR(__xludf.DUMMYFUNCTION("""COMPUTED_VALUE"""),91.0)</f>
        <v>91</v>
      </c>
      <c r="G229" s="5">
        <f>IFERROR(__xludf.DUMMYFUNCTION("""COMPUTED_VALUE"""),1.0220917E7)</f>
        <v>10220917</v>
      </c>
    </row>
    <row r="230">
      <c r="A230" s="3">
        <f>IFERROR(__xludf.DUMMYFUNCTION("""COMPUTED_VALUE"""),126.0)</f>
        <v>126</v>
      </c>
      <c r="B230" s="2" t="str">
        <f>IFERROR(__xludf.DUMMYFUNCTION("""COMPUTED_VALUE"""),"DHAKA-NORTH")</f>
        <v>DHAKA-NORTH</v>
      </c>
      <c r="C230" s="4">
        <f>IFERROR(__xludf.DUMMYFUNCTION("""COMPUTED_VALUE"""),10.0)</f>
        <v>10</v>
      </c>
      <c r="D230" s="2" t="str">
        <f>IFERROR(__xludf.DUMMYFUNCTION("""COMPUTED_VALUE"""),"AGRANI BANK LTD.")</f>
        <v>AGRANI BANK LTD.</v>
      </c>
      <c r="E230" s="2" t="str">
        <f>IFERROR(__xludf.DUMMYFUNCTION("""COMPUTED_VALUE"""),"B.A.F.")</f>
        <v>B.A.F.</v>
      </c>
      <c r="F230" s="3">
        <f>IFERROR(__xludf.DUMMYFUNCTION("""COMPUTED_VALUE"""),31.0)</f>
        <v>31</v>
      </c>
      <c r="G230" s="5">
        <f>IFERROR(__xludf.DUMMYFUNCTION("""COMPUTED_VALUE"""),1.0260319E7)</f>
        <v>10260319</v>
      </c>
    </row>
    <row r="231">
      <c r="A231" s="3">
        <f>IFERROR(__xludf.DUMMYFUNCTION("""COMPUTED_VALUE"""),126.0)</f>
        <v>126</v>
      </c>
      <c r="B231" s="2" t="str">
        <f>IFERROR(__xludf.DUMMYFUNCTION("""COMPUTED_VALUE"""),"DHAKA-NORTH")</f>
        <v>DHAKA-NORTH</v>
      </c>
      <c r="C231" s="4">
        <f>IFERROR(__xludf.DUMMYFUNCTION("""COMPUTED_VALUE"""),10.0)</f>
        <v>10</v>
      </c>
      <c r="D231" s="2" t="str">
        <f>IFERROR(__xludf.DUMMYFUNCTION("""COMPUTED_VALUE"""),"AGRANI BANK LTD.")</f>
        <v>AGRANI BANK LTD.</v>
      </c>
      <c r="E231" s="2" t="str">
        <f>IFERROR(__xludf.DUMMYFUNCTION("""COMPUTED_VALUE"""),"BADDA")</f>
        <v>BADDA</v>
      </c>
      <c r="F231" s="3">
        <f>IFERROR(__xludf.DUMMYFUNCTION("""COMPUTED_VALUE"""),34.0)</f>
        <v>34</v>
      </c>
      <c r="G231" s="5">
        <f>IFERROR(__xludf.DUMMYFUNCTION("""COMPUTED_VALUE"""),1.0260348E7)</f>
        <v>10260348</v>
      </c>
    </row>
    <row r="232">
      <c r="A232" s="3">
        <f>IFERROR(__xludf.DUMMYFUNCTION("""COMPUTED_VALUE"""),126.0)</f>
        <v>126</v>
      </c>
      <c r="B232" s="2" t="str">
        <f>IFERROR(__xludf.DUMMYFUNCTION("""COMPUTED_VALUE"""),"DHAKA-NORTH")</f>
        <v>DHAKA-NORTH</v>
      </c>
      <c r="C232" s="4">
        <f>IFERROR(__xludf.DUMMYFUNCTION("""COMPUTED_VALUE"""),10.0)</f>
        <v>10</v>
      </c>
      <c r="D232" s="2" t="str">
        <f>IFERROR(__xludf.DUMMYFUNCTION("""COMPUTED_VALUE"""),"AGRANI BANK LTD.")</f>
        <v>AGRANI BANK LTD.</v>
      </c>
      <c r="E232" s="2" t="str">
        <f>IFERROR(__xludf.DUMMYFUNCTION("""COMPUTED_VALUE"""),"BANANI")</f>
        <v>BANANI</v>
      </c>
      <c r="F232" s="3">
        <f>IFERROR(__xludf.DUMMYFUNCTION("""COMPUTED_VALUE"""),43.0)</f>
        <v>43</v>
      </c>
      <c r="G232" s="5">
        <f>IFERROR(__xludf.DUMMYFUNCTION("""COMPUTED_VALUE"""),1.026043E7)</f>
        <v>10260430</v>
      </c>
    </row>
    <row r="233">
      <c r="A233" s="3">
        <f>IFERROR(__xludf.DUMMYFUNCTION("""COMPUTED_VALUE"""),126.0)</f>
        <v>126</v>
      </c>
      <c r="B233" s="2" t="str">
        <f>IFERROR(__xludf.DUMMYFUNCTION("""COMPUTED_VALUE"""),"DHAKA-NORTH")</f>
        <v>DHAKA-NORTH</v>
      </c>
      <c r="C233" s="4">
        <f>IFERROR(__xludf.DUMMYFUNCTION("""COMPUTED_VALUE"""),10.0)</f>
        <v>10</v>
      </c>
      <c r="D233" s="2" t="str">
        <f>IFERROR(__xludf.DUMMYFUNCTION("""COMPUTED_VALUE"""),"AGRANI BANK LTD.")</f>
        <v>AGRANI BANK LTD.</v>
      </c>
      <c r="E233" s="2" t="str">
        <f>IFERROR(__xludf.DUMMYFUNCTION("""COMPUTED_VALUE"""),"BANK TOWN")</f>
        <v>BANK TOWN</v>
      </c>
      <c r="F233" s="3">
        <f>IFERROR(__xludf.DUMMYFUNCTION("""COMPUTED_VALUE"""),49.0)</f>
        <v>49</v>
      </c>
      <c r="G233" s="5">
        <f>IFERROR(__xludf.DUMMYFUNCTION("""COMPUTED_VALUE"""),1.0260498E7)</f>
        <v>10260498</v>
      </c>
    </row>
    <row r="234">
      <c r="A234" s="3">
        <f>IFERROR(__xludf.DUMMYFUNCTION("""COMPUTED_VALUE"""),126.0)</f>
        <v>126</v>
      </c>
      <c r="B234" s="2" t="str">
        <f>IFERROR(__xludf.DUMMYFUNCTION("""COMPUTED_VALUE"""),"DHAKA-NORTH")</f>
        <v>DHAKA-NORTH</v>
      </c>
      <c r="C234" s="4">
        <f>IFERROR(__xludf.DUMMYFUNCTION("""COMPUTED_VALUE"""),10.0)</f>
        <v>10</v>
      </c>
      <c r="D234" s="2" t="str">
        <f>IFERROR(__xludf.DUMMYFUNCTION("""COMPUTED_VALUE"""),"AGRANI BANK LTD.")</f>
        <v>AGRANI BANK LTD.</v>
      </c>
      <c r="E234" s="2" t="str">
        <f>IFERROR(__xludf.DUMMYFUNCTION("""COMPUTED_VALUE"""),"DHAMRAI")</f>
        <v>DHAMRAI</v>
      </c>
      <c r="F234" s="3">
        <f>IFERROR(__xludf.DUMMYFUNCTION("""COMPUTED_VALUE"""),115.0)</f>
        <v>115</v>
      </c>
      <c r="G234" s="5">
        <f>IFERROR(__xludf.DUMMYFUNCTION("""COMPUTED_VALUE"""),1.026115E7)</f>
        <v>10261150</v>
      </c>
    </row>
    <row r="235">
      <c r="A235" s="3">
        <f>IFERROR(__xludf.DUMMYFUNCTION("""COMPUTED_VALUE"""),126.0)</f>
        <v>126</v>
      </c>
      <c r="B235" s="2" t="str">
        <f>IFERROR(__xludf.DUMMYFUNCTION("""COMPUTED_VALUE"""),"DHAKA-NORTH")</f>
        <v>DHAKA-NORTH</v>
      </c>
      <c r="C235" s="4">
        <f>IFERROR(__xludf.DUMMYFUNCTION("""COMPUTED_VALUE"""),10.0)</f>
        <v>10</v>
      </c>
      <c r="D235" s="2" t="str">
        <f>IFERROR(__xludf.DUMMYFUNCTION("""COMPUTED_VALUE"""),"AGRANI BANK LTD.")</f>
        <v>AGRANI BANK LTD.</v>
      </c>
      <c r="E235" s="2" t="str">
        <f>IFERROR(__xludf.DUMMYFUNCTION("""COMPUTED_VALUE"""),"DHANMONDI")</f>
        <v>DHANMONDI</v>
      </c>
      <c r="F235" s="3">
        <f>IFERROR(__xludf.DUMMYFUNCTION("""COMPUTED_VALUE"""),118.0)</f>
        <v>118</v>
      </c>
      <c r="G235" s="5">
        <f>IFERROR(__xludf.DUMMYFUNCTION("""COMPUTED_VALUE"""),1.0261189E7)</f>
        <v>10261189</v>
      </c>
    </row>
    <row r="236">
      <c r="A236" s="3">
        <f>IFERROR(__xludf.DUMMYFUNCTION("""COMPUTED_VALUE"""),126.0)</f>
        <v>126</v>
      </c>
      <c r="B236" s="2" t="str">
        <f>IFERROR(__xludf.DUMMYFUNCTION("""COMPUTED_VALUE"""),"DHAKA-NORTH")</f>
        <v>DHAKA-NORTH</v>
      </c>
      <c r="C236" s="4">
        <f>IFERROR(__xludf.DUMMYFUNCTION("""COMPUTED_VALUE"""),10.0)</f>
        <v>10</v>
      </c>
      <c r="D236" s="2" t="str">
        <f>IFERROR(__xludf.DUMMYFUNCTION("""COMPUTED_VALUE"""),"AGRANI BANK LTD.")</f>
        <v>AGRANI BANK LTD.</v>
      </c>
      <c r="E236" s="2" t="str">
        <f>IFERROR(__xludf.DUMMYFUNCTION("""COMPUTED_VALUE"""),"ELEPHANT ROAD")</f>
        <v>ELEPHANT ROAD</v>
      </c>
      <c r="F236" s="3">
        <f>IFERROR(__xludf.DUMMYFUNCTION("""COMPUTED_VALUE"""),133.0)</f>
        <v>133</v>
      </c>
      <c r="G236" s="5">
        <f>IFERROR(__xludf.DUMMYFUNCTION("""COMPUTED_VALUE"""),1.0261334E7)</f>
        <v>10261334</v>
      </c>
    </row>
    <row r="237">
      <c r="A237" s="3">
        <f>IFERROR(__xludf.DUMMYFUNCTION("""COMPUTED_VALUE"""),126.0)</f>
        <v>126</v>
      </c>
      <c r="B237" s="2" t="str">
        <f>IFERROR(__xludf.DUMMYFUNCTION("""COMPUTED_VALUE"""),"DHAKA-NORTH")</f>
        <v>DHAKA-NORTH</v>
      </c>
      <c r="C237" s="4">
        <f>IFERROR(__xludf.DUMMYFUNCTION("""COMPUTED_VALUE"""),10.0)</f>
        <v>10</v>
      </c>
      <c r="D237" s="2" t="str">
        <f>IFERROR(__xludf.DUMMYFUNCTION("""COMPUTED_VALUE"""),"AGRANI BANK LTD.")</f>
        <v>AGRANI BANK LTD.</v>
      </c>
      <c r="E237" s="2" t="str">
        <f>IFERROR(__xludf.DUMMYFUNCTION("""COMPUTED_VALUE"""),"FARMGATE")</f>
        <v>FARMGATE</v>
      </c>
      <c r="F237" s="3">
        <f>IFERROR(__xludf.DUMMYFUNCTION("""COMPUTED_VALUE"""),145.0)</f>
        <v>145</v>
      </c>
      <c r="G237" s="5">
        <f>IFERROR(__xludf.DUMMYFUNCTION("""COMPUTED_VALUE"""),1.0261455E7)</f>
        <v>10261455</v>
      </c>
    </row>
    <row r="238">
      <c r="A238" s="3">
        <f>IFERROR(__xludf.DUMMYFUNCTION("""COMPUTED_VALUE"""),126.0)</f>
        <v>126</v>
      </c>
      <c r="B238" s="2" t="str">
        <f>IFERROR(__xludf.DUMMYFUNCTION("""COMPUTED_VALUE"""),"DHAKA-NORTH")</f>
        <v>DHAKA-NORTH</v>
      </c>
      <c r="C238" s="4">
        <f>IFERROR(__xludf.DUMMYFUNCTION("""COMPUTED_VALUE"""),10.0)</f>
        <v>10</v>
      </c>
      <c r="D238" s="2" t="str">
        <f>IFERROR(__xludf.DUMMYFUNCTION("""COMPUTED_VALUE"""),"AGRANI BANK LTD.")</f>
        <v>AGRANI BANK LTD.</v>
      </c>
      <c r="E238" s="2" t="str">
        <f>IFERROR(__xludf.DUMMYFUNCTION("""COMPUTED_VALUE"""),"GABTALI")</f>
        <v>GABTALI</v>
      </c>
      <c r="F238" s="3">
        <f>IFERROR(__xludf.DUMMYFUNCTION("""COMPUTED_VALUE"""),154.0)</f>
        <v>154</v>
      </c>
      <c r="G238" s="5">
        <f>IFERROR(__xludf.DUMMYFUNCTION("""COMPUTED_VALUE"""),1.0261547E7)</f>
        <v>10261547</v>
      </c>
    </row>
    <row r="239">
      <c r="A239" s="3">
        <f>IFERROR(__xludf.DUMMYFUNCTION("""COMPUTED_VALUE"""),126.0)</f>
        <v>126</v>
      </c>
      <c r="B239" s="2" t="str">
        <f>IFERROR(__xludf.DUMMYFUNCTION("""COMPUTED_VALUE"""),"DHAKA-NORTH")</f>
        <v>DHAKA-NORTH</v>
      </c>
      <c r="C239" s="4">
        <f>IFERROR(__xludf.DUMMYFUNCTION("""COMPUTED_VALUE"""),10.0)</f>
        <v>10</v>
      </c>
      <c r="D239" s="2" t="str">
        <f>IFERROR(__xludf.DUMMYFUNCTION("""COMPUTED_VALUE"""),"AGRANI BANK LTD.")</f>
        <v>AGRANI BANK LTD.</v>
      </c>
      <c r="E239" s="2" t="str">
        <f>IFERROR(__xludf.DUMMYFUNCTION("""COMPUTED_VALUE"""),"GREEN ROAD")</f>
        <v>GREEN ROAD</v>
      </c>
      <c r="F239" s="3">
        <f>IFERROR(__xludf.DUMMYFUNCTION("""COMPUTED_VALUE"""),169.0)</f>
        <v>169</v>
      </c>
      <c r="G239" s="5">
        <f>IFERROR(__xludf.DUMMYFUNCTION("""COMPUTED_VALUE"""),1.0261697E7)</f>
        <v>10261697</v>
      </c>
    </row>
    <row r="240">
      <c r="A240" s="3">
        <f>IFERROR(__xludf.DUMMYFUNCTION("""COMPUTED_VALUE"""),126.0)</f>
        <v>126</v>
      </c>
      <c r="B240" s="2" t="str">
        <f>IFERROR(__xludf.DUMMYFUNCTION("""COMPUTED_VALUE"""),"DHAKA-NORTH")</f>
        <v>DHAKA-NORTH</v>
      </c>
      <c r="C240" s="4">
        <f>IFERROR(__xludf.DUMMYFUNCTION("""COMPUTED_VALUE"""),10.0)</f>
        <v>10</v>
      </c>
      <c r="D240" s="2" t="str">
        <f>IFERROR(__xludf.DUMMYFUNCTION("""COMPUTED_VALUE"""),"AGRANI BANK LTD.")</f>
        <v>AGRANI BANK LTD.</v>
      </c>
      <c r="E240" s="2" t="str">
        <f>IFERROR(__xludf.DUMMYFUNCTION("""COMPUTED_VALUE"""),"GULSHAN")</f>
        <v>GULSHAN</v>
      </c>
      <c r="F240" s="3">
        <f>IFERROR(__xludf.DUMMYFUNCTION("""COMPUTED_VALUE"""),172.0)</f>
        <v>172</v>
      </c>
      <c r="G240" s="5">
        <f>IFERROR(__xludf.DUMMYFUNCTION("""COMPUTED_VALUE"""),1.0261721E7)</f>
        <v>10261721</v>
      </c>
    </row>
    <row r="241">
      <c r="A241" s="3">
        <f>IFERROR(__xludf.DUMMYFUNCTION("""COMPUTED_VALUE"""),126.0)</f>
        <v>126</v>
      </c>
      <c r="B241" s="2" t="str">
        <f>IFERROR(__xludf.DUMMYFUNCTION("""COMPUTED_VALUE"""),"DHAKA-NORTH")</f>
        <v>DHAKA-NORTH</v>
      </c>
      <c r="C241" s="4">
        <f>IFERROR(__xludf.DUMMYFUNCTION("""COMPUTED_VALUE"""),10.0)</f>
        <v>10</v>
      </c>
      <c r="D241" s="2" t="str">
        <f>IFERROR(__xludf.DUMMYFUNCTION("""COMPUTED_VALUE"""),"AGRANI BANK LTD.")</f>
        <v>AGRANI BANK LTD.</v>
      </c>
      <c r="E241" s="2" t="str">
        <f>IFERROR(__xludf.DUMMYFUNCTION("""COMPUTED_VALUE"""),"ICDDRB")</f>
        <v>ICDDRB</v>
      </c>
      <c r="F241" s="3">
        <f>IFERROR(__xludf.DUMMYFUNCTION("""COMPUTED_VALUE"""),211.0)</f>
        <v>211</v>
      </c>
      <c r="G241" s="5">
        <f>IFERROR(__xludf.DUMMYFUNCTION("""COMPUTED_VALUE"""),1.0262117E7)</f>
        <v>10262117</v>
      </c>
    </row>
    <row r="242">
      <c r="A242" s="3">
        <f>IFERROR(__xludf.DUMMYFUNCTION("""COMPUTED_VALUE"""),126.0)</f>
        <v>126</v>
      </c>
      <c r="B242" s="2" t="str">
        <f>IFERROR(__xludf.DUMMYFUNCTION("""COMPUTED_VALUE"""),"DHAKA-NORTH")</f>
        <v>DHAKA-NORTH</v>
      </c>
      <c r="C242" s="4">
        <f>IFERROR(__xludf.DUMMYFUNCTION("""COMPUTED_VALUE"""),10.0)</f>
        <v>10</v>
      </c>
      <c r="D242" s="2" t="str">
        <f>IFERROR(__xludf.DUMMYFUNCTION("""COMPUTED_VALUE"""),"AGRANI BANK LTD.")</f>
        <v>AGRANI BANK LTD.</v>
      </c>
      <c r="E242" s="2" t="str">
        <f>IFERROR(__xludf.DUMMYFUNCTION("""COMPUTED_VALUE"""),"JAHANGIRNAGAR UNIVERSITY")</f>
        <v>JAHANGIRNAGAR UNIVERSITY</v>
      </c>
      <c r="F242" s="3">
        <f>IFERROR(__xludf.DUMMYFUNCTION("""COMPUTED_VALUE"""),226.0)</f>
        <v>226</v>
      </c>
      <c r="G242" s="5">
        <f>IFERROR(__xludf.DUMMYFUNCTION("""COMPUTED_VALUE"""),1.0262267E7)</f>
        <v>10262267</v>
      </c>
    </row>
    <row r="243">
      <c r="A243" s="3">
        <f>IFERROR(__xludf.DUMMYFUNCTION("""COMPUTED_VALUE"""),126.0)</f>
        <v>126</v>
      </c>
      <c r="B243" s="2" t="str">
        <f>IFERROR(__xludf.DUMMYFUNCTION("""COMPUTED_VALUE"""),"DHAKA-NORTH")</f>
        <v>DHAKA-NORTH</v>
      </c>
      <c r="C243" s="4">
        <f>IFERROR(__xludf.DUMMYFUNCTION("""COMPUTED_VALUE"""),10.0)</f>
        <v>10</v>
      </c>
      <c r="D243" s="2" t="str">
        <f>IFERROR(__xludf.DUMMYFUNCTION("""COMPUTED_VALUE"""),"AGRANI BANK LTD.")</f>
        <v>AGRANI BANK LTD.</v>
      </c>
      <c r="E243" s="2" t="str">
        <f>IFERROR(__xludf.DUMMYFUNCTION("""COMPUTED_VALUE"""),"KURMITOLA")</f>
        <v>KURMITOLA</v>
      </c>
      <c r="F243" s="3">
        <f>IFERROR(__xludf.DUMMYFUNCTION("""COMPUTED_VALUE"""),265.0)</f>
        <v>265</v>
      </c>
      <c r="G243" s="5">
        <f>IFERROR(__xludf.DUMMYFUNCTION("""COMPUTED_VALUE"""),1.0262654E7)</f>
        <v>10262654</v>
      </c>
    </row>
    <row r="244">
      <c r="A244" s="3">
        <f>IFERROR(__xludf.DUMMYFUNCTION("""COMPUTED_VALUE"""),126.0)</f>
        <v>126</v>
      </c>
      <c r="B244" s="2" t="str">
        <f>IFERROR(__xludf.DUMMYFUNCTION("""COMPUTED_VALUE"""),"DHAKA-NORTH")</f>
        <v>DHAKA-NORTH</v>
      </c>
      <c r="C244" s="4">
        <f>IFERROR(__xludf.DUMMYFUNCTION("""COMPUTED_VALUE"""),10.0)</f>
        <v>10</v>
      </c>
      <c r="D244" s="2" t="str">
        <f>IFERROR(__xludf.DUMMYFUNCTION("""COMPUTED_VALUE"""),"AGRANI BANK LTD.")</f>
        <v>AGRANI BANK LTD.</v>
      </c>
      <c r="E244" s="2" t="str">
        <f>IFERROR(__xludf.DUMMYFUNCTION("""COMPUTED_VALUE"""),"MIRPUR")</f>
        <v>MIRPUR</v>
      </c>
      <c r="F244" s="3">
        <f>IFERROR(__xludf.DUMMYFUNCTION("""COMPUTED_VALUE"""),298.0)</f>
        <v>298</v>
      </c>
      <c r="G244" s="5">
        <f>IFERROR(__xludf.DUMMYFUNCTION("""COMPUTED_VALUE"""),1.0262988E7)</f>
        <v>10262988</v>
      </c>
    </row>
    <row r="245">
      <c r="A245" s="3">
        <f>IFERROR(__xludf.DUMMYFUNCTION("""COMPUTED_VALUE"""),126.0)</f>
        <v>126</v>
      </c>
      <c r="B245" s="2" t="str">
        <f>IFERROR(__xludf.DUMMYFUNCTION("""COMPUTED_VALUE"""),"DHAKA-NORTH")</f>
        <v>DHAKA-NORTH</v>
      </c>
      <c r="C245" s="4">
        <f>IFERROR(__xludf.DUMMYFUNCTION("""COMPUTED_VALUE"""),10.0)</f>
        <v>10</v>
      </c>
      <c r="D245" s="2" t="str">
        <f>IFERROR(__xludf.DUMMYFUNCTION("""COMPUTED_VALUE"""),"AGRANI BANK LTD.")</f>
        <v>AGRANI BANK LTD.</v>
      </c>
      <c r="E245" s="2" t="str">
        <f>IFERROR(__xludf.DUMMYFUNCTION("""COMPUTED_VALUE"""),"MOHAKHALI")</f>
        <v>MOHAKHALI</v>
      </c>
      <c r="F245" s="3">
        <f>IFERROR(__xludf.DUMMYFUNCTION("""COMPUTED_VALUE"""),319.0)</f>
        <v>319</v>
      </c>
      <c r="G245" s="5">
        <f>IFERROR(__xludf.DUMMYFUNCTION("""COMPUTED_VALUE"""),1.026319E7)</f>
        <v>10263190</v>
      </c>
    </row>
    <row r="246">
      <c r="A246" s="3">
        <f>IFERROR(__xludf.DUMMYFUNCTION("""COMPUTED_VALUE"""),126.0)</f>
        <v>126</v>
      </c>
      <c r="B246" s="2" t="str">
        <f>IFERROR(__xludf.DUMMYFUNCTION("""COMPUTED_VALUE"""),"DHAKA-NORTH")</f>
        <v>DHAKA-NORTH</v>
      </c>
      <c r="C246" s="4">
        <f>IFERROR(__xludf.DUMMYFUNCTION("""COMPUTED_VALUE"""),10.0)</f>
        <v>10</v>
      </c>
      <c r="D246" s="2" t="str">
        <f>IFERROR(__xludf.DUMMYFUNCTION("""COMPUTED_VALUE"""),"AGRANI BANK LTD.")</f>
        <v>AGRANI BANK LTD.</v>
      </c>
      <c r="E246" s="2" t="str">
        <f>IFERROR(__xludf.DUMMYFUNCTION("""COMPUTED_VALUE"""),"MOHAMMADPUR")</f>
        <v>MOHAMMADPUR</v>
      </c>
      <c r="F246" s="3">
        <f>IFERROR(__xludf.DUMMYFUNCTION("""COMPUTED_VALUE"""),328.0)</f>
        <v>328</v>
      </c>
      <c r="G246" s="5">
        <f>IFERROR(__xludf.DUMMYFUNCTION("""COMPUTED_VALUE"""),1.0263282E7)</f>
        <v>10263282</v>
      </c>
    </row>
    <row r="247">
      <c r="A247" s="3">
        <f>IFERROR(__xludf.DUMMYFUNCTION("""COMPUTED_VALUE"""),126.0)</f>
        <v>126</v>
      </c>
      <c r="B247" s="2" t="str">
        <f>IFERROR(__xludf.DUMMYFUNCTION("""COMPUTED_VALUE"""),"DHAKA-NORTH")</f>
        <v>DHAKA-NORTH</v>
      </c>
      <c r="C247" s="4">
        <f>IFERROR(__xludf.DUMMYFUNCTION("""COMPUTED_VALUE"""),10.0)</f>
        <v>10</v>
      </c>
      <c r="D247" s="2" t="str">
        <f>IFERROR(__xludf.DUMMYFUNCTION("""COMPUTED_VALUE"""),"AGRANI BANK LTD.")</f>
        <v>AGRANI BANK LTD.</v>
      </c>
      <c r="E247" s="2" t="str">
        <f>IFERROR(__xludf.DUMMYFUNCTION("""COMPUTED_VALUE"""),"NEW MARKET")</f>
        <v>NEW MARKET</v>
      </c>
      <c r="F247" s="3">
        <f>IFERROR(__xludf.DUMMYFUNCTION("""COMPUTED_VALUE"""),352.0)</f>
        <v>352</v>
      </c>
      <c r="G247" s="5">
        <f>IFERROR(__xludf.DUMMYFUNCTION("""COMPUTED_VALUE"""),1.0263529E7)</f>
        <v>10263529</v>
      </c>
    </row>
    <row r="248">
      <c r="A248" s="3">
        <f>IFERROR(__xludf.DUMMYFUNCTION("""COMPUTED_VALUE"""),126.0)</f>
        <v>126</v>
      </c>
      <c r="B248" s="2" t="str">
        <f>IFERROR(__xludf.DUMMYFUNCTION("""COMPUTED_VALUE"""),"DHAKA-NORTH")</f>
        <v>DHAKA-NORTH</v>
      </c>
      <c r="C248" s="4">
        <f>IFERROR(__xludf.DUMMYFUNCTION("""COMPUTED_VALUE"""),10.0)</f>
        <v>10</v>
      </c>
      <c r="D248" s="2" t="str">
        <f>IFERROR(__xludf.DUMMYFUNCTION("""COMPUTED_VALUE"""),"AGRANI BANK LTD.")</f>
        <v>AGRANI BANK LTD.</v>
      </c>
      <c r="E248" s="2" t="str">
        <f>IFERROR(__xludf.DUMMYFUNCTION("""COMPUTED_VALUE"""),"PALLABI")</f>
        <v>PALLABI</v>
      </c>
      <c r="F248" s="3">
        <f>IFERROR(__xludf.DUMMYFUNCTION("""COMPUTED_VALUE"""),358.0)</f>
        <v>358</v>
      </c>
      <c r="G248" s="5">
        <f>IFERROR(__xludf.DUMMYFUNCTION("""COMPUTED_VALUE"""),1.0263587E7)</f>
        <v>10263587</v>
      </c>
    </row>
    <row r="249">
      <c r="A249" s="3">
        <f>IFERROR(__xludf.DUMMYFUNCTION("""COMPUTED_VALUE"""),126.0)</f>
        <v>126</v>
      </c>
      <c r="B249" s="2" t="str">
        <f>IFERROR(__xludf.DUMMYFUNCTION("""COMPUTED_VALUE"""),"DHAKA-NORTH")</f>
        <v>DHAKA-NORTH</v>
      </c>
      <c r="C249" s="4">
        <f>IFERROR(__xludf.DUMMYFUNCTION("""COMPUTED_VALUE"""),10.0)</f>
        <v>10</v>
      </c>
      <c r="D249" s="2" t="str">
        <f>IFERROR(__xludf.DUMMYFUNCTION("""COMPUTED_VALUE"""),"AGRANI BANK LTD.")</f>
        <v>AGRANI BANK LTD.</v>
      </c>
      <c r="E249" s="2" t="str">
        <f>IFERROR(__xludf.DUMMYFUNCTION("""COMPUTED_VALUE"""),"PANTHA PATH")</f>
        <v>PANTHA PATH</v>
      </c>
      <c r="F249" s="3">
        <f>IFERROR(__xludf.DUMMYFUNCTION("""COMPUTED_VALUE"""),361.0)</f>
        <v>361</v>
      </c>
      <c r="G249" s="5">
        <f>IFERROR(__xludf.DUMMYFUNCTION("""COMPUTED_VALUE"""),1.0263611E7)</f>
        <v>10263611</v>
      </c>
    </row>
    <row r="250">
      <c r="A250" s="3">
        <f>IFERROR(__xludf.DUMMYFUNCTION("""COMPUTED_VALUE"""),126.0)</f>
        <v>126</v>
      </c>
      <c r="B250" s="2" t="str">
        <f>IFERROR(__xludf.DUMMYFUNCTION("""COMPUTED_VALUE"""),"DHAKA-NORTH")</f>
        <v>DHAKA-NORTH</v>
      </c>
      <c r="C250" s="4">
        <f>IFERROR(__xludf.DUMMYFUNCTION("""COMPUTED_VALUE"""),10.0)</f>
        <v>10</v>
      </c>
      <c r="D250" s="2" t="str">
        <f>IFERROR(__xludf.DUMMYFUNCTION("""COMPUTED_VALUE"""),"AGRANI BANK LTD.")</f>
        <v>AGRANI BANK LTD.</v>
      </c>
      <c r="E250" s="2" t="str">
        <f>IFERROR(__xludf.DUMMYFUNCTION("""COMPUTED_VALUE"""),"PATHALIA")</f>
        <v>PATHALIA</v>
      </c>
      <c r="F250" s="3">
        <f>IFERROR(__xludf.DUMMYFUNCTION("""COMPUTED_VALUE"""),364.0)</f>
        <v>364</v>
      </c>
      <c r="G250" s="5">
        <f>IFERROR(__xludf.DUMMYFUNCTION("""COMPUTED_VALUE"""),1.026364E7)</f>
        <v>10263640</v>
      </c>
    </row>
    <row r="251">
      <c r="A251" s="3">
        <f>IFERROR(__xludf.DUMMYFUNCTION("""COMPUTED_VALUE"""),126.0)</f>
        <v>126</v>
      </c>
      <c r="B251" s="2" t="str">
        <f>IFERROR(__xludf.DUMMYFUNCTION("""COMPUTED_VALUE"""),"DHAKA-NORTH")</f>
        <v>DHAKA-NORTH</v>
      </c>
      <c r="C251" s="4">
        <f>IFERROR(__xludf.DUMMYFUNCTION("""COMPUTED_VALUE"""),10.0)</f>
        <v>10</v>
      </c>
      <c r="D251" s="2" t="str">
        <f>IFERROR(__xludf.DUMMYFUNCTION("""COMPUTED_VALUE"""),"AGRANI BANK LTD.")</f>
        <v>AGRANI BANK LTD.</v>
      </c>
      <c r="E251" s="2" t="str">
        <f>IFERROR(__xludf.DUMMYFUNCTION("""COMPUTED_VALUE"""),"RAYER BAZAR")</f>
        <v>RAYER BAZAR</v>
      </c>
      <c r="F251" s="3">
        <f>IFERROR(__xludf.DUMMYFUNCTION("""COMPUTED_VALUE"""),394.0)</f>
        <v>394</v>
      </c>
      <c r="G251" s="5">
        <f>IFERROR(__xludf.DUMMYFUNCTION("""COMPUTED_VALUE"""),1.0263945E7)</f>
        <v>10263945</v>
      </c>
    </row>
    <row r="252">
      <c r="A252" s="3">
        <f>IFERROR(__xludf.DUMMYFUNCTION("""COMPUTED_VALUE"""),126.0)</f>
        <v>126</v>
      </c>
      <c r="B252" s="2" t="str">
        <f>IFERROR(__xludf.DUMMYFUNCTION("""COMPUTED_VALUE"""),"DHAKA-NORTH")</f>
        <v>DHAKA-NORTH</v>
      </c>
      <c r="C252" s="4">
        <f>IFERROR(__xludf.DUMMYFUNCTION("""COMPUTED_VALUE"""),10.0)</f>
        <v>10</v>
      </c>
      <c r="D252" s="2" t="str">
        <f>IFERROR(__xludf.DUMMYFUNCTION("""COMPUTED_VALUE"""),"AGRANI BANK LTD.")</f>
        <v>AGRANI BANK LTD.</v>
      </c>
      <c r="E252" s="2" t="str">
        <f>IFERROR(__xludf.DUMMYFUNCTION("""COMPUTED_VALUE"""),"SATMASJID ROAD")</f>
        <v>SATMASJID ROAD</v>
      </c>
      <c r="F252" s="3">
        <f>IFERROR(__xludf.DUMMYFUNCTION("""COMPUTED_VALUE"""),403.0)</f>
        <v>403</v>
      </c>
      <c r="G252" s="5">
        <f>IFERROR(__xludf.DUMMYFUNCTION("""COMPUTED_VALUE"""),1.0264036E7)</f>
        <v>10264036</v>
      </c>
    </row>
    <row r="253">
      <c r="A253" s="3">
        <f>IFERROR(__xludf.DUMMYFUNCTION("""COMPUTED_VALUE"""),126.0)</f>
        <v>126</v>
      </c>
      <c r="B253" s="2" t="str">
        <f>IFERROR(__xludf.DUMMYFUNCTION("""COMPUTED_VALUE"""),"DHAKA-NORTH")</f>
        <v>DHAKA-NORTH</v>
      </c>
      <c r="C253" s="4">
        <f>IFERROR(__xludf.DUMMYFUNCTION("""COMPUTED_VALUE"""),10.0)</f>
        <v>10</v>
      </c>
      <c r="D253" s="2" t="str">
        <f>IFERROR(__xludf.DUMMYFUNCTION("""COMPUTED_VALUE"""),"AGRANI BANK LTD.")</f>
        <v>AGRANI BANK LTD.</v>
      </c>
      <c r="E253" s="2" t="str">
        <f>IFERROR(__xludf.DUMMYFUNCTION("""COMPUTED_VALUE"""),"SAVAR")</f>
        <v>SAVAR</v>
      </c>
      <c r="F253" s="3">
        <f>IFERROR(__xludf.DUMMYFUNCTION("""COMPUTED_VALUE"""),409.0)</f>
        <v>409</v>
      </c>
      <c r="G253" s="5">
        <f>IFERROR(__xludf.DUMMYFUNCTION("""COMPUTED_VALUE"""),1.0264094E7)</f>
        <v>10264094</v>
      </c>
    </row>
    <row r="254">
      <c r="A254" s="3">
        <f>IFERROR(__xludf.DUMMYFUNCTION("""COMPUTED_VALUE"""),126.0)</f>
        <v>126</v>
      </c>
      <c r="B254" s="2" t="str">
        <f>IFERROR(__xludf.DUMMYFUNCTION("""COMPUTED_VALUE"""),"DHAKA-NORTH")</f>
        <v>DHAKA-NORTH</v>
      </c>
      <c r="C254" s="4">
        <f>IFERROR(__xludf.DUMMYFUNCTION("""COMPUTED_VALUE"""),10.0)</f>
        <v>10</v>
      </c>
      <c r="D254" s="2" t="str">
        <f>IFERROR(__xludf.DUMMYFUNCTION("""COMPUTED_VALUE"""),"AGRANI BANK LTD.")</f>
        <v>AGRANI BANK LTD.</v>
      </c>
      <c r="E254" s="2" t="str">
        <f>IFERROR(__xludf.DUMMYFUNCTION("""COMPUTED_VALUE"""),"SENPARA")</f>
        <v>SENPARA</v>
      </c>
      <c r="F254" s="3">
        <f>IFERROR(__xludf.DUMMYFUNCTION("""COMPUTED_VALUE"""),421.0)</f>
        <v>421</v>
      </c>
      <c r="G254" s="5">
        <f>IFERROR(__xludf.DUMMYFUNCTION("""COMPUTED_VALUE"""),1.026421E7)</f>
        <v>10264210</v>
      </c>
    </row>
    <row r="255">
      <c r="A255" s="3">
        <f>IFERROR(__xludf.DUMMYFUNCTION("""COMPUTED_VALUE"""),126.0)</f>
        <v>126</v>
      </c>
      <c r="B255" s="2" t="str">
        <f>IFERROR(__xludf.DUMMYFUNCTION("""COMPUTED_VALUE"""),"DHAKA-NORTH")</f>
        <v>DHAKA-NORTH</v>
      </c>
      <c r="C255" s="4">
        <f>IFERROR(__xludf.DUMMYFUNCTION("""COMPUTED_VALUE"""),10.0)</f>
        <v>10</v>
      </c>
      <c r="D255" s="2" t="str">
        <f>IFERROR(__xludf.DUMMYFUNCTION("""COMPUTED_VALUE"""),"AGRANI BANK LTD.")</f>
        <v>AGRANI BANK LTD.</v>
      </c>
      <c r="E255" s="2" t="str">
        <f>IFERROR(__xludf.DUMMYFUNCTION("""COMPUTED_VALUE"""),"SHEWRA PARA")</f>
        <v>SHEWRA PARA</v>
      </c>
      <c r="F255" s="3">
        <f>IFERROR(__xludf.DUMMYFUNCTION("""COMPUTED_VALUE"""),427.0)</f>
        <v>427</v>
      </c>
      <c r="G255" s="5">
        <f>IFERROR(__xludf.DUMMYFUNCTION("""COMPUTED_VALUE"""),1.0264278E7)</f>
        <v>10264278</v>
      </c>
    </row>
    <row r="256">
      <c r="A256" s="3">
        <f>IFERROR(__xludf.DUMMYFUNCTION("""COMPUTED_VALUE"""),126.0)</f>
        <v>126</v>
      </c>
      <c r="B256" s="2" t="str">
        <f>IFERROR(__xludf.DUMMYFUNCTION("""COMPUTED_VALUE"""),"DHAKA-NORTH")</f>
        <v>DHAKA-NORTH</v>
      </c>
      <c r="C256" s="4">
        <f>IFERROR(__xludf.DUMMYFUNCTION("""COMPUTED_VALUE"""),10.0)</f>
        <v>10</v>
      </c>
      <c r="D256" s="2" t="str">
        <f>IFERROR(__xludf.DUMMYFUNCTION("""COMPUTED_VALUE"""),"AGRANI BANK LTD.")</f>
        <v>AGRANI BANK LTD.</v>
      </c>
      <c r="E256" s="2" t="str">
        <f>IFERROR(__xludf.DUMMYFUNCTION("""COMPUTED_VALUE"""),"SHYAMALI")</f>
        <v>SHYAMALI</v>
      </c>
      <c r="F256" s="3">
        <f>IFERROR(__xludf.DUMMYFUNCTION("""COMPUTED_VALUE"""),430.0)</f>
        <v>430</v>
      </c>
      <c r="G256" s="5">
        <f>IFERROR(__xludf.DUMMYFUNCTION("""COMPUTED_VALUE"""),1.0264302E7)</f>
        <v>10264302</v>
      </c>
    </row>
    <row r="257">
      <c r="A257" s="3">
        <f>IFERROR(__xludf.DUMMYFUNCTION("""COMPUTED_VALUE"""),126.0)</f>
        <v>126</v>
      </c>
      <c r="B257" s="2" t="str">
        <f>IFERROR(__xludf.DUMMYFUNCTION("""COMPUTED_VALUE"""),"DHAKA-NORTH")</f>
        <v>DHAKA-NORTH</v>
      </c>
      <c r="C257" s="4">
        <f>IFERROR(__xludf.DUMMYFUNCTION("""COMPUTED_VALUE"""),10.0)</f>
        <v>10</v>
      </c>
      <c r="D257" s="2" t="str">
        <f>IFERROR(__xludf.DUMMYFUNCTION("""COMPUTED_VALUE"""),"AGRANI BANK LTD.")</f>
        <v>AGRANI BANK LTD.</v>
      </c>
      <c r="E257" s="2" t="str">
        <f>IFERROR(__xludf.DUMMYFUNCTION("""COMPUTED_VALUE"""),"SIMULIA")</f>
        <v>SIMULIA</v>
      </c>
      <c r="F257" s="3">
        <f>IFERROR(__xludf.DUMMYFUNCTION("""COMPUTED_VALUE"""),433.0)</f>
        <v>433</v>
      </c>
      <c r="G257" s="5">
        <f>IFERROR(__xludf.DUMMYFUNCTION("""COMPUTED_VALUE"""),1.0264331E7)</f>
        <v>10264331</v>
      </c>
    </row>
    <row r="258">
      <c r="A258" s="3">
        <f>IFERROR(__xludf.DUMMYFUNCTION("""COMPUTED_VALUE"""),126.0)</f>
        <v>126</v>
      </c>
      <c r="B258" s="2" t="str">
        <f>IFERROR(__xludf.DUMMYFUNCTION("""COMPUTED_VALUE"""),"DHAKA-NORTH")</f>
        <v>DHAKA-NORTH</v>
      </c>
      <c r="C258" s="4">
        <f>IFERROR(__xludf.DUMMYFUNCTION("""COMPUTED_VALUE"""),10.0)</f>
        <v>10</v>
      </c>
      <c r="D258" s="2" t="str">
        <f>IFERROR(__xludf.DUMMYFUNCTION("""COMPUTED_VALUE"""),"AGRANI BANK LTD.")</f>
        <v>AGRANI BANK LTD.</v>
      </c>
      <c r="E258" s="2" t="str">
        <f>IFERROR(__xludf.DUMMYFUNCTION("""COMPUTED_VALUE"""),"SONARGAON ROAD")</f>
        <v>SONARGAON ROAD</v>
      </c>
      <c r="F258" s="3">
        <f>IFERROR(__xludf.DUMMYFUNCTION("""COMPUTED_VALUE"""),436.0)</f>
        <v>436</v>
      </c>
      <c r="G258" s="5">
        <f>IFERROR(__xludf.DUMMYFUNCTION("""COMPUTED_VALUE"""),1.026436E7)</f>
        <v>10264360</v>
      </c>
    </row>
    <row r="259">
      <c r="A259" s="3">
        <f>IFERROR(__xludf.DUMMYFUNCTION("""COMPUTED_VALUE"""),126.0)</f>
        <v>126</v>
      </c>
      <c r="B259" s="2" t="str">
        <f>IFERROR(__xludf.DUMMYFUNCTION("""COMPUTED_VALUE"""),"DHAKA-NORTH")</f>
        <v>DHAKA-NORTH</v>
      </c>
      <c r="C259" s="4">
        <f>IFERROR(__xludf.DUMMYFUNCTION("""COMPUTED_VALUE"""),10.0)</f>
        <v>10</v>
      </c>
      <c r="D259" s="2" t="str">
        <f>IFERROR(__xludf.DUMMYFUNCTION("""COMPUTED_VALUE"""),"AGRANI BANK LTD.")</f>
        <v>AGRANI BANK LTD.</v>
      </c>
      <c r="E259" s="2" t="str">
        <f>IFERROR(__xludf.DUMMYFUNCTION("""COMPUTED_VALUE"""),"TEJGAON INDUSTRIAL AREA")</f>
        <v>TEJGAON INDUSTRIAL AREA</v>
      </c>
      <c r="F259" s="3">
        <f>IFERROR(__xludf.DUMMYFUNCTION("""COMPUTED_VALUE"""),451.0)</f>
        <v>451</v>
      </c>
      <c r="G259" s="5">
        <f>IFERROR(__xludf.DUMMYFUNCTION("""COMPUTED_VALUE"""),1.0264515E7)</f>
        <v>10264515</v>
      </c>
    </row>
    <row r="260">
      <c r="A260" s="3">
        <f>IFERROR(__xludf.DUMMYFUNCTION("""COMPUTED_VALUE"""),126.0)</f>
        <v>126</v>
      </c>
      <c r="B260" s="2" t="str">
        <f>IFERROR(__xludf.DUMMYFUNCTION("""COMPUTED_VALUE"""),"DHAKA-NORTH")</f>
        <v>DHAKA-NORTH</v>
      </c>
      <c r="C260" s="4">
        <f>IFERROR(__xludf.DUMMYFUNCTION("""COMPUTED_VALUE"""),10.0)</f>
        <v>10</v>
      </c>
      <c r="D260" s="2" t="str">
        <f>IFERROR(__xludf.DUMMYFUNCTION("""COMPUTED_VALUE"""),"AGRANI BANK LTD.")</f>
        <v>AGRANI BANK LTD.</v>
      </c>
      <c r="E260" s="2" t="str">
        <f>IFERROR(__xludf.DUMMYFUNCTION("""COMPUTED_VALUE"""),"UTTARA MODEL TOWN")</f>
        <v>UTTARA MODEL TOWN</v>
      </c>
      <c r="F260" s="3">
        <f>IFERROR(__xludf.DUMMYFUNCTION("""COMPUTED_VALUE"""),469.0)</f>
        <v>469</v>
      </c>
      <c r="G260" s="5">
        <f>IFERROR(__xludf.DUMMYFUNCTION("""COMPUTED_VALUE"""),1.0264694E7)</f>
        <v>10264694</v>
      </c>
    </row>
    <row r="261">
      <c r="A261" s="3">
        <f>IFERROR(__xludf.DUMMYFUNCTION("""COMPUTED_VALUE"""),126.0)</f>
        <v>126</v>
      </c>
      <c r="B261" s="2" t="str">
        <f>IFERROR(__xludf.DUMMYFUNCTION("""COMPUTED_VALUE"""),"DHAKA-NORTH")</f>
        <v>DHAKA-NORTH</v>
      </c>
      <c r="C261" s="4">
        <f>IFERROR(__xludf.DUMMYFUNCTION("""COMPUTED_VALUE"""),10.0)</f>
        <v>10</v>
      </c>
      <c r="D261" s="2" t="str">
        <f>IFERROR(__xludf.DUMMYFUNCTION("""COMPUTED_VALUE"""),"AGRANI BANK LTD.")</f>
        <v>AGRANI BANK LTD.</v>
      </c>
      <c r="E261" s="2" t="str">
        <f>IFERROR(__xludf.DUMMYFUNCTION("""COMPUTED_VALUE"""),"WASA")</f>
        <v>WASA</v>
      </c>
      <c r="F261" s="3">
        <f>IFERROR(__xludf.DUMMYFUNCTION("""COMPUTED_VALUE"""),472.0)</f>
        <v>472</v>
      </c>
      <c r="G261" s="5">
        <f>IFERROR(__xludf.DUMMYFUNCTION("""COMPUTED_VALUE"""),1.0264728E7)</f>
        <v>10264728</v>
      </c>
    </row>
    <row r="262">
      <c r="A262" s="3">
        <f>IFERROR(__xludf.DUMMYFUNCTION("""COMPUTED_VALUE"""),127.0)</f>
        <v>127</v>
      </c>
      <c r="B262" s="2" t="str">
        <f>IFERROR(__xludf.DUMMYFUNCTION("""COMPUTED_VALUE"""),"DHAKA-SOUTH")</f>
        <v>DHAKA-SOUTH</v>
      </c>
      <c r="C262" s="4">
        <f>IFERROR(__xludf.DUMMYFUNCTION("""COMPUTED_VALUE"""),10.0)</f>
        <v>10</v>
      </c>
      <c r="D262" s="2" t="str">
        <f>IFERROR(__xludf.DUMMYFUNCTION("""COMPUTED_VALUE"""),"AGRANI BANK LTD.")</f>
        <v>AGRANI BANK LTD.</v>
      </c>
      <c r="E262" s="2" t="str">
        <f>IFERROR(__xludf.DUMMYFUNCTION("""COMPUTED_VALUE"""),"TRUNCATION POINT")</f>
        <v>TRUNCATION POINT</v>
      </c>
      <c r="F262" s="3">
        <f>IFERROR(__xludf.DUMMYFUNCTION("""COMPUTED_VALUE"""),0.0)</f>
        <v>0</v>
      </c>
      <c r="G262" s="5">
        <f>IFERROR(__xludf.DUMMYFUNCTION("""COMPUTED_VALUE"""),1.0270004E7)</f>
        <v>10270004</v>
      </c>
    </row>
    <row r="263">
      <c r="A263" s="3">
        <f>IFERROR(__xludf.DUMMYFUNCTION("""COMPUTED_VALUE"""),127.0)</f>
        <v>127</v>
      </c>
      <c r="B263" s="2" t="str">
        <f>IFERROR(__xludf.DUMMYFUNCTION("""COMPUTED_VALUE"""),"DHAKA-SOUTH")</f>
        <v>DHAKA-SOUTH</v>
      </c>
      <c r="C263" s="4">
        <f>IFERROR(__xludf.DUMMYFUNCTION("""COMPUTED_VALUE"""),10.0)</f>
        <v>10</v>
      </c>
      <c r="D263" s="2" t="str">
        <f>IFERROR(__xludf.DUMMYFUNCTION("""COMPUTED_VALUE"""),"AGRANI BANK LTD.")</f>
        <v>AGRANI BANK LTD.</v>
      </c>
      <c r="E263" s="2" t="str">
        <f>IFERROR(__xludf.DUMMYFUNCTION("""COMPUTED_VALUE"""),"AGAMASHILANE")</f>
        <v>AGAMASHILANE</v>
      </c>
      <c r="F263" s="3">
        <f>IFERROR(__xludf.DUMMYFUNCTION("""COMPUTED_VALUE"""),10.0)</f>
        <v>10</v>
      </c>
      <c r="G263" s="5">
        <f>IFERROR(__xludf.DUMMYFUNCTION("""COMPUTED_VALUE"""),1.0270109E7)</f>
        <v>10270109</v>
      </c>
    </row>
    <row r="264">
      <c r="A264" s="3">
        <f>IFERROR(__xludf.DUMMYFUNCTION("""COMPUTED_VALUE"""),127.0)</f>
        <v>127</v>
      </c>
      <c r="B264" s="2" t="str">
        <f>IFERROR(__xludf.DUMMYFUNCTION("""COMPUTED_VALUE"""),"DHAKA-SOUTH")</f>
        <v>DHAKA-SOUTH</v>
      </c>
      <c r="C264" s="4">
        <f>IFERROR(__xludf.DUMMYFUNCTION("""COMPUTED_VALUE"""),10.0)</f>
        <v>10</v>
      </c>
      <c r="D264" s="2" t="str">
        <f>IFERROR(__xludf.DUMMYFUNCTION("""COMPUTED_VALUE"""),"AGRANI BANK LTD.")</f>
        <v>AGRANI BANK LTD.</v>
      </c>
      <c r="E264" s="2" t="str">
        <f>IFERROR(__xludf.DUMMYFUNCTION("""COMPUTED_VALUE"""),"AMINCOURT")</f>
        <v>AMINCOURT</v>
      </c>
      <c r="F264" s="3">
        <f>IFERROR(__xludf.DUMMYFUNCTION("""COMPUTED_VALUE"""),25.0)</f>
        <v>25</v>
      </c>
      <c r="G264" s="5">
        <f>IFERROR(__xludf.DUMMYFUNCTION("""COMPUTED_VALUE"""),1.0270259E7)</f>
        <v>10270259</v>
      </c>
    </row>
    <row r="265">
      <c r="A265" s="3">
        <f>IFERROR(__xludf.DUMMYFUNCTION("""COMPUTED_VALUE"""),127.0)</f>
        <v>127</v>
      </c>
      <c r="B265" s="2" t="str">
        <f>IFERROR(__xludf.DUMMYFUNCTION("""COMPUTED_VALUE"""),"DHAKA-SOUTH")</f>
        <v>DHAKA-SOUTH</v>
      </c>
      <c r="C265" s="4">
        <f>IFERROR(__xludf.DUMMYFUNCTION("""COMPUTED_VALUE"""),10.0)</f>
        <v>10</v>
      </c>
      <c r="D265" s="2" t="str">
        <f>IFERROR(__xludf.DUMMYFUNCTION("""COMPUTED_VALUE"""),"AGRANI BANK LTD.")</f>
        <v>AGRANI BANK LTD.</v>
      </c>
      <c r="E265" s="2" t="str">
        <f>IFERROR(__xludf.DUMMYFUNCTION("""COMPUTED_VALUE"""),"CHURAIN BAZAR")</f>
        <v>CHURAIN BAZAR</v>
      </c>
      <c r="F265" s="3">
        <f>IFERROR(__xludf.DUMMYFUNCTION("""COMPUTED_VALUE"""),26.0)</f>
        <v>26</v>
      </c>
      <c r="G265" s="5">
        <f>IFERROR(__xludf.DUMMYFUNCTION("""COMPUTED_VALUE"""),1.0270262E7)</f>
        <v>10270262</v>
      </c>
    </row>
    <row r="266">
      <c r="A266" s="3">
        <f>IFERROR(__xludf.DUMMYFUNCTION("""COMPUTED_VALUE"""),127.0)</f>
        <v>127</v>
      </c>
      <c r="B266" s="2" t="str">
        <f>IFERROR(__xludf.DUMMYFUNCTION("""COMPUTED_VALUE"""),"DHAKA-SOUTH")</f>
        <v>DHAKA-SOUTH</v>
      </c>
      <c r="C266" s="4">
        <f>IFERROR(__xludf.DUMMYFUNCTION("""COMPUTED_VALUE"""),10.0)</f>
        <v>10</v>
      </c>
      <c r="D266" s="2" t="str">
        <f>IFERROR(__xludf.DUMMYFUNCTION("""COMPUTED_VALUE"""),"AGRANI BANK LTD.")</f>
        <v>AGRANI BANK LTD.</v>
      </c>
      <c r="E266" s="2" t="str">
        <f>IFERROR(__xludf.DUMMYFUNCTION("""COMPUTED_VALUE"""),"ANTA BARAH")</f>
        <v>ANTA BARAH</v>
      </c>
      <c r="F266" s="3">
        <f>IFERROR(__xludf.DUMMYFUNCTION("""COMPUTED_VALUE"""),28.0)</f>
        <v>28</v>
      </c>
      <c r="G266" s="5">
        <f>IFERROR(__xludf.DUMMYFUNCTION("""COMPUTED_VALUE"""),1.0270288E7)</f>
        <v>10270288</v>
      </c>
    </row>
    <row r="267">
      <c r="A267" s="3">
        <f>IFERROR(__xludf.DUMMYFUNCTION("""COMPUTED_VALUE"""),127.0)</f>
        <v>127</v>
      </c>
      <c r="B267" s="2" t="str">
        <f>IFERROR(__xludf.DUMMYFUNCTION("""COMPUTED_VALUE"""),"DHAKA-SOUTH")</f>
        <v>DHAKA-SOUTH</v>
      </c>
      <c r="C267" s="4">
        <f>IFERROR(__xludf.DUMMYFUNCTION("""COMPUTED_VALUE"""),10.0)</f>
        <v>10</v>
      </c>
      <c r="D267" s="2" t="str">
        <f>IFERROR(__xludf.DUMMYFUNCTION("""COMPUTED_VALUE"""),"AGRANI BANK LTD.")</f>
        <v>AGRANI BANK LTD.</v>
      </c>
      <c r="E267" s="2" t="str">
        <f>IFERROR(__xludf.DUMMYFUNCTION("""COMPUTED_VALUE"""),"RAYER BAGH")</f>
        <v>RAYER BAGH</v>
      </c>
      <c r="F267" s="3">
        <f>IFERROR(__xludf.DUMMYFUNCTION("""COMPUTED_VALUE"""),32.0)</f>
        <v>32</v>
      </c>
      <c r="G267" s="5">
        <f>IFERROR(__xludf.DUMMYFUNCTION("""COMPUTED_VALUE"""),1.0270325E7)</f>
        <v>10270325</v>
      </c>
    </row>
    <row r="268">
      <c r="A268" s="3">
        <f>IFERROR(__xludf.DUMMYFUNCTION("""COMPUTED_VALUE"""),127.0)</f>
        <v>127</v>
      </c>
      <c r="B268" s="2" t="str">
        <f>IFERROR(__xludf.DUMMYFUNCTION("""COMPUTED_VALUE"""),"DHAKA-SOUTH")</f>
        <v>DHAKA-SOUTH</v>
      </c>
      <c r="C268" s="4">
        <f>IFERROR(__xludf.DUMMYFUNCTION("""COMPUTED_VALUE"""),10.0)</f>
        <v>10</v>
      </c>
      <c r="D268" s="2" t="str">
        <f>IFERROR(__xludf.DUMMYFUNCTION("""COMPUTED_VALUE"""),"AGRANI BANK LTD.")</f>
        <v>AGRANI BANK LTD.</v>
      </c>
      <c r="E268" s="2" t="str">
        <f>IFERROR(__xludf.DUMMYFUNCTION("""COMPUTED_VALUE"""),"B.B. AVENUE")</f>
        <v>B.B. AVENUE</v>
      </c>
      <c r="F268" s="3">
        <f>IFERROR(__xludf.DUMMYFUNCTION("""COMPUTED_VALUE"""),43.0)</f>
        <v>43</v>
      </c>
      <c r="G268" s="5">
        <f>IFERROR(__xludf.DUMMYFUNCTION("""COMPUTED_VALUE"""),1.0270433E7)</f>
        <v>10270433</v>
      </c>
    </row>
    <row r="269">
      <c r="A269" s="3">
        <f>IFERROR(__xludf.DUMMYFUNCTION("""COMPUTED_VALUE"""),127.0)</f>
        <v>127</v>
      </c>
      <c r="B269" s="2" t="str">
        <f>IFERROR(__xludf.DUMMYFUNCTION("""COMPUTED_VALUE"""),"DHAKA-SOUTH")</f>
        <v>DHAKA-SOUTH</v>
      </c>
      <c r="C269" s="4">
        <f>IFERROR(__xludf.DUMMYFUNCTION("""COMPUTED_VALUE"""),10.0)</f>
        <v>10</v>
      </c>
      <c r="D269" s="2" t="str">
        <f>IFERROR(__xludf.DUMMYFUNCTION("""COMPUTED_VALUE"""),"AGRANI BANK LTD.")</f>
        <v>AGRANI BANK LTD.</v>
      </c>
      <c r="E269" s="2" t="str">
        <f>IFERROR(__xludf.DUMMYFUNCTION("""COMPUTED_VALUE"""),"BABU BAZAR")</f>
        <v>BABU BAZAR</v>
      </c>
      <c r="F269" s="3">
        <f>IFERROR(__xludf.DUMMYFUNCTION("""COMPUTED_VALUE"""),55.0)</f>
        <v>55</v>
      </c>
      <c r="G269" s="5">
        <f>IFERROR(__xludf.DUMMYFUNCTION("""COMPUTED_VALUE"""),1.0270554E7)</f>
        <v>10270554</v>
      </c>
    </row>
    <row r="270">
      <c r="A270" s="3">
        <f>IFERROR(__xludf.DUMMYFUNCTION("""COMPUTED_VALUE"""),127.0)</f>
        <v>127</v>
      </c>
      <c r="B270" s="2" t="str">
        <f>IFERROR(__xludf.DUMMYFUNCTION("""COMPUTED_VALUE"""),"DHAKA-SOUTH")</f>
        <v>DHAKA-SOUTH</v>
      </c>
      <c r="C270" s="4">
        <f>IFERROR(__xludf.DUMMYFUNCTION("""COMPUTED_VALUE"""),10.0)</f>
        <v>10</v>
      </c>
      <c r="D270" s="2" t="str">
        <f>IFERROR(__xludf.DUMMYFUNCTION("""COMPUTED_VALUE"""),"AGRANI BANK LTD.")</f>
        <v>AGRANI BANK LTD.</v>
      </c>
      <c r="E270" s="2" t="str">
        <f>IFERROR(__xludf.DUMMYFUNCTION("""COMPUTED_VALUE"""),"BANGLA ACADAMY")</f>
        <v>BANGLA ACADAMY</v>
      </c>
      <c r="F270" s="3">
        <f>IFERROR(__xludf.DUMMYFUNCTION("""COMPUTED_VALUE"""),79.0)</f>
        <v>79</v>
      </c>
      <c r="G270" s="5">
        <f>IFERROR(__xludf.DUMMYFUNCTION("""COMPUTED_VALUE"""),1.0270796E7)</f>
        <v>10270796</v>
      </c>
    </row>
    <row r="271">
      <c r="A271" s="3">
        <f>IFERROR(__xludf.DUMMYFUNCTION("""COMPUTED_VALUE"""),127.0)</f>
        <v>127</v>
      </c>
      <c r="B271" s="2" t="str">
        <f>IFERROR(__xludf.DUMMYFUNCTION("""COMPUTED_VALUE"""),"DHAKA-SOUTH")</f>
        <v>DHAKA-SOUTH</v>
      </c>
      <c r="C271" s="4">
        <f>IFERROR(__xludf.DUMMYFUNCTION("""COMPUTED_VALUE"""),10.0)</f>
        <v>10</v>
      </c>
      <c r="D271" s="2" t="str">
        <f>IFERROR(__xludf.DUMMYFUNCTION("""COMPUTED_VALUE"""),"AGRANI BANK LTD.")</f>
        <v>AGRANI BANK LTD.</v>
      </c>
      <c r="E271" s="2" t="str">
        <f>IFERROR(__xludf.DUMMYFUNCTION("""COMPUTED_VALUE"""),"BASHABOO")</f>
        <v>BASHABOO</v>
      </c>
      <c r="F271" s="3">
        <f>IFERROR(__xludf.DUMMYFUNCTION("""COMPUTED_VALUE"""),97.0)</f>
        <v>97</v>
      </c>
      <c r="G271" s="5">
        <f>IFERROR(__xludf.DUMMYFUNCTION("""COMPUTED_VALUE"""),1.027097E7)</f>
        <v>10270970</v>
      </c>
    </row>
    <row r="272">
      <c r="A272" s="3">
        <f>IFERROR(__xludf.DUMMYFUNCTION("""COMPUTED_VALUE"""),127.0)</f>
        <v>127</v>
      </c>
      <c r="B272" s="2" t="str">
        <f>IFERROR(__xludf.DUMMYFUNCTION("""COMPUTED_VALUE"""),"DHAKA-SOUTH")</f>
        <v>DHAKA-SOUTH</v>
      </c>
      <c r="C272" s="4">
        <f>IFERROR(__xludf.DUMMYFUNCTION("""COMPUTED_VALUE"""),10.0)</f>
        <v>10</v>
      </c>
      <c r="D272" s="2" t="str">
        <f>IFERROR(__xludf.DUMMYFUNCTION("""COMPUTED_VALUE"""),"AGRANI BANK LTD.")</f>
        <v>AGRANI BANK LTD.</v>
      </c>
      <c r="E272" s="2" t="str">
        <f>IFERROR(__xludf.DUMMYFUNCTION("""COMPUTED_VALUE"""),"BECHARAMDEWRI")</f>
        <v>BECHARAMDEWRI</v>
      </c>
      <c r="F272" s="3">
        <f>IFERROR(__xludf.DUMMYFUNCTION("""COMPUTED_VALUE"""),103.0)</f>
        <v>103</v>
      </c>
      <c r="G272" s="5">
        <f>IFERROR(__xludf.DUMMYFUNCTION("""COMPUTED_VALUE"""),1.0271032E7)</f>
        <v>10271032</v>
      </c>
    </row>
    <row r="273">
      <c r="A273" s="3">
        <f>IFERROR(__xludf.DUMMYFUNCTION("""COMPUTED_VALUE"""),127.0)</f>
        <v>127</v>
      </c>
      <c r="B273" s="2" t="str">
        <f>IFERROR(__xludf.DUMMYFUNCTION("""COMPUTED_VALUE"""),"DHAKA-SOUTH")</f>
        <v>DHAKA-SOUTH</v>
      </c>
      <c r="C273" s="4">
        <f>IFERROR(__xludf.DUMMYFUNCTION("""COMPUTED_VALUE"""),10.0)</f>
        <v>10</v>
      </c>
      <c r="D273" s="2" t="str">
        <f>IFERROR(__xludf.DUMMYFUNCTION("""COMPUTED_VALUE"""),"AGRANI BANK LTD.")</f>
        <v>AGRANI BANK LTD.</v>
      </c>
      <c r="E273" s="2" t="str">
        <f>IFERROR(__xludf.DUMMYFUNCTION("""COMPUTED_VALUE"""),"BEGUM BAZAR")</f>
        <v>BEGUM BAZAR</v>
      </c>
      <c r="F273" s="3">
        <f>IFERROR(__xludf.DUMMYFUNCTION("""COMPUTED_VALUE"""),106.0)</f>
        <v>106</v>
      </c>
      <c r="G273" s="5">
        <f>IFERROR(__xludf.DUMMYFUNCTION("""COMPUTED_VALUE"""),1.0271061E7)</f>
        <v>10271061</v>
      </c>
    </row>
    <row r="274">
      <c r="A274" s="3">
        <f>IFERROR(__xludf.DUMMYFUNCTION("""COMPUTED_VALUE"""),127.0)</f>
        <v>127</v>
      </c>
      <c r="B274" s="2" t="str">
        <f>IFERROR(__xludf.DUMMYFUNCTION("""COMPUTED_VALUE"""),"DHAKA-SOUTH")</f>
        <v>DHAKA-SOUTH</v>
      </c>
      <c r="C274" s="4">
        <f>IFERROR(__xludf.DUMMYFUNCTION("""COMPUTED_VALUE"""),10.0)</f>
        <v>10</v>
      </c>
      <c r="D274" s="2" t="str">
        <f>IFERROR(__xludf.DUMMYFUNCTION("""COMPUTED_VALUE"""),"AGRANI BANK LTD.")</f>
        <v>AGRANI BANK LTD.</v>
      </c>
      <c r="E274" s="2" t="str">
        <f>IFERROR(__xludf.DUMMYFUNCTION("""COMPUTED_VALUE"""),"CENTRAL LAW COLLEGE")</f>
        <v>CENTRAL LAW COLLEGE</v>
      </c>
      <c r="F274" s="3">
        <f>IFERROR(__xludf.DUMMYFUNCTION("""COMPUTED_VALUE"""),121.0)</f>
        <v>121</v>
      </c>
      <c r="G274" s="5">
        <f>IFERROR(__xludf.DUMMYFUNCTION("""COMPUTED_VALUE"""),1.0271216E7)</f>
        <v>10271216</v>
      </c>
    </row>
    <row r="275">
      <c r="A275" s="3">
        <f>IFERROR(__xludf.DUMMYFUNCTION("""COMPUTED_VALUE"""),127.0)</f>
        <v>127</v>
      </c>
      <c r="B275" s="2" t="str">
        <f>IFERROR(__xludf.DUMMYFUNCTION("""COMPUTED_VALUE"""),"DHAKA-SOUTH")</f>
        <v>DHAKA-SOUTH</v>
      </c>
      <c r="C275" s="4">
        <f>IFERROR(__xludf.DUMMYFUNCTION("""COMPUTED_VALUE"""),10.0)</f>
        <v>10</v>
      </c>
      <c r="D275" s="2" t="str">
        <f>IFERROR(__xludf.DUMMYFUNCTION("""COMPUTED_VALUE"""),"AGRANI BANK LTD.")</f>
        <v>AGRANI BANK LTD.</v>
      </c>
      <c r="E275" s="2" t="str">
        <f>IFERROR(__xludf.DUMMYFUNCTION("""COMPUTED_VALUE"""),"CHAWK BAZAR")</f>
        <v>CHAWK BAZAR</v>
      </c>
      <c r="F275" s="3">
        <f>IFERROR(__xludf.DUMMYFUNCTION("""COMPUTED_VALUE"""),127.0)</f>
        <v>127</v>
      </c>
      <c r="G275" s="5">
        <f>IFERROR(__xludf.DUMMYFUNCTION("""COMPUTED_VALUE"""),1.0271274E7)</f>
        <v>10271274</v>
      </c>
    </row>
    <row r="276">
      <c r="A276" s="3">
        <f>IFERROR(__xludf.DUMMYFUNCTION("""COMPUTED_VALUE"""),127.0)</f>
        <v>127</v>
      </c>
      <c r="B276" s="2" t="str">
        <f>IFERROR(__xludf.DUMMYFUNCTION("""COMPUTED_VALUE"""),"DHAKA-SOUTH")</f>
        <v>DHAKA-SOUTH</v>
      </c>
      <c r="C276" s="4">
        <f>IFERROR(__xludf.DUMMYFUNCTION("""COMPUTED_VALUE"""),10.0)</f>
        <v>10</v>
      </c>
      <c r="D276" s="2" t="str">
        <f>IFERROR(__xludf.DUMMYFUNCTION("""COMPUTED_VALUE"""),"AGRANI BANK LTD.")</f>
        <v>AGRANI BANK LTD.</v>
      </c>
      <c r="E276" s="2" t="str">
        <f>IFERROR(__xludf.DUMMYFUNCTION("""COMPUTED_VALUE"""),"CHOWDHURY BAZAR")</f>
        <v>CHOWDHURY BAZAR</v>
      </c>
      <c r="F276" s="3">
        <f>IFERROR(__xludf.DUMMYFUNCTION("""COMPUTED_VALUE"""),133.0)</f>
        <v>133</v>
      </c>
      <c r="G276" s="5">
        <f>IFERROR(__xludf.DUMMYFUNCTION("""COMPUTED_VALUE"""),1.0271337E7)</f>
        <v>10271337</v>
      </c>
    </row>
    <row r="277">
      <c r="A277" s="3">
        <f>IFERROR(__xludf.DUMMYFUNCTION("""COMPUTED_VALUE"""),127.0)</f>
        <v>127</v>
      </c>
      <c r="B277" s="2" t="str">
        <f>IFERROR(__xludf.DUMMYFUNCTION("""COMPUTED_VALUE"""),"DHAKA-SOUTH")</f>
        <v>DHAKA-SOUTH</v>
      </c>
      <c r="C277" s="4">
        <f>IFERROR(__xludf.DUMMYFUNCTION("""COMPUTED_VALUE"""),10.0)</f>
        <v>10</v>
      </c>
      <c r="D277" s="2" t="str">
        <f>IFERROR(__xludf.DUMMYFUNCTION("""COMPUTED_VALUE"""),"AGRANI BANK LTD.")</f>
        <v>AGRANI BANK LTD.</v>
      </c>
      <c r="E277" s="2" t="str">
        <f>IFERROR(__xludf.DUMMYFUNCTION("""COMPUTED_VALUE"""),"DHAKA SHERATON HOTEL")</f>
        <v>DHAKA SHERATON HOTEL</v>
      </c>
      <c r="F277" s="3">
        <f>IFERROR(__xludf.DUMMYFUNCTION("""COMPUTED_VALUE"""),163.0)</f>
        <v>163</v>
      </c>
      <c r="G277" s="5">
        <f>IFERROR(__xludf.DUMMYFUNCTION("""COMPUTED_VALUE"""),1.0271632E7)</f>
        <v>10271632</v>
      </c>
    </row>
    <row r="278">
      <c r="A278" s="3">
        <f>IFERROR(__xludf.DUMMYFUNCTION("""COMPUTED_VALUE"""),127.0)</f>
        <v>127</v>
      </c>
      <c r="B278" s="2" t="str">
        <f>IFERROR(__xludf.DUMMYFUNCTION("""COMPUTED_VALUE"""),"DHAKA-SOUTH")</f>
        <v>DHAKA-SOUTH</v>
      </c>
      <c r="C278" s="4">
        <f>IFERROR(__xludf.DUMMYFUNCTION("""COMPUTED_VALUE"""),10.0)</f>
        <v>10</v>
      </c>
      <c r="D278" s="2" t="str">
        <f>IFERROR(__xludf.DUMMYFUNCTION("""COMPUTED_VALUE"""),"AGRANI BANK LTD.")</f>
        <v>AGRANI BANK LTD.</v>
      </c>
      <c r="E278" s="2" t="str">
        <f>IFERROR(__xludf.DUMMYFUNCTION("""COMPUTED_VALUE"""),"DHAKA UNIVERSITY")</f>
        <v>DHAKA UNIVERSITY</v>
      </c>
      <c r="F278" s="3">
        <f>IFERROR(__xludf.DUMMYFUNCTION("""COMPUTED_VALUE"""),172.0)</f>
        <v>172</v>
      </c>
      <c r="G278" s="5">
        <f>IFERROR(__xludf.DUMMYFUNCTION("""COMPUTED_VALUE"""),1.0271724E7)</f>
        <v>10271724</v>
      </c>
    </row>
    <row r="279">
      <c r="A279" s="3">
        <f>IFERROR(__xludf.DUMMYFUNCTION("""COMPUTED_VALUE"""),127.0)</f>
        <v>127</v>
      </c>
      <c r="B279" s="2" t="str">
        <f>IFERROR(__xludf.DUMMYFUNCTION("""COMPUTED_VALUE"""),"DHAKA-SOUTH")</f>
        <v>DHAKA-SOUTH</v>
      </c>
      <c r="C279" s="4">
        <f>IFERROR(__xludf.DUMMYFUNCTION("""COMPUTED_VALUE"""),10.0)</f>
        <v>10</v>
      </c>
      <c r="D279" s="2" t="str">
        <f>IFERROR(__xludf.DUMMYFUNCTION("""COMPUTED_VALUE"""),"AGRANI BANK LTD.")</f>
        <v>AGRANI BANK LTD.</v>
      </c>
      <c r="E279" s="2" t="str">
        <f>IFERROR(__xludf.DUMMYFUNCTION("""COMPUTED_VALUE"""),"DHOLAIRPAR")</f>
        <v>DHOLAIRPAR</v>
      </c>
      <c r="F279" s="3">
        <f>IFERROR(__xludf.DUMMYFUNCTION("""COMPUTED_VALUE"""),187.0)</f>
        <v>187</v>
      </c>
      <c r="G279" s="5">
        <f>IFERROR(__xludf.DUMMYFUNCTION("""COMPUTED_VALUE"""),1.0271874E7)</f>
        <v>10271874</v>
      </c>
    </row>
    <row r="280">
      <c r="A280" s="3">
        <f>IFERROR(__xludf.DUMMYFUNCTION("""COMPUTED_VALUE"""),127.0)</f>
        <v>127</v>
      </c>
      <c r="B280" s="2" t="str">
        <f>IFERROR(__xludf.DUMMYFUNCTION("""COMPUTED_VALUE"""),"DHAKA-SOUTH")</f>
        <v>DHAKA-SOUTH</v>
      </c>
      <c r="C280" s="4">
        <f>IFERROR(__xludf.DUMMYFUNCTION("""COMPUTED_VALUE"""),10.0)</f>
        <v>10</v>
      </c>
      <c r="D280" s="2" t="str">
        <f>IFERROR(__xludf.DUMMYFUNCTION("""COMPUTED_VALUE"""),"AGRANI BANK LTD.")</f>
        <v>AGRANI BANK LTD.</v>
      </c>
      <c r="E280" s="2" t="str">
        <f>IFERROR(__xludf.DUMMYFUNCTION("""COMPUTED_VALUE"""),"FARASHGANJ")</f>
        <v>FARASHGANJ</v>
      </c>
      <c r="F280" s="3">
        <f>IFERROR(__xludf.DUMMYFUNCTION("""COMPUTED_VALUE"""),223.0)</f>
        <v>223</v>
      </c>
      <c r="G280" s="5">
        <f>IFERROR(__xludf.DUMMYFUNCTION("""COMPUTED_VALUE"""),1.0272231E7)</f>
        <v>10272231</v>
      </c>
    </row>
    <row r="281">
      <c r="A281" s="3">
        <f>IFERROR(__xludf.DUMMYFUNCTION("""COMPUTED_VALUE"""),127.0)</f>
        <v>127</v>
      </c>
      <c r="B281" s="2" t="str">
        <f>IFERROR(__xludf.DUMMYFUNCTION("""COMPUTED_VALUE"""),"DHAKA-SOUTH")</f>
        <v>DHAKA-SOUTH</v>
      </c>
      <c r="C281" s="4">
        <f>IFERROR(__xludf.DUMMYFUNCTION("""COMPUTED_VALUE"""),10.0)</f>
        <v>10</v>
      </c>
      <c r="D281" s="2" t="str">
        <f>IFERROR(__xludf.DUMMYFUNCTION("""COMPUTED_VALUE"""),"AGRANI BANK LTD.")</f>
        <v>AGRANI BANK LTD.</v>
      </c>
      <c r="E281" s="2" t="str">
        <f>IFERROR(__xludf.DUMMYFUNCTION("""COMPUTED_VALUE"""),"FARIDABAD")</f>
        <v>FARIDABAD</v>
      </c>
      <c r="F281" s="3">
        <f>IFERROR(__xludf.DUMMYFUNCTION("""COMPUTED_VALUE"""),226.0)</f>
        <v>226</v>
      </c>
      <c r="G281" s="5">
        <f>IFERROR(__xludf.DUMMYFUNCTION("""COMPUTED_VALUE"""),1.027226E7)</f>
        <v>10272260</v>
      </c>
    </row>
    <row r="282">
      <c r="A282" s="3">
        <f>IFERROR(__xludf.DUMMYFUNCTION("""COMPUTED_VALUE"""),127.0)</f>
        <v>127</v>
      </c>
      <c r="B282" s="2" t="str">
        <f>IFERROR(__xludf.DUMMYFUNCTION("""COMPUTED_VALUE"""),"DHAKA-SOUTH")</f>
        <v>DHAKA-SOUTH</v>
      </c>
      <c r="C282" s="4">
        <f>IFERROR(__xludf.DUMMYFUNCTION("""COMPUTED_VALUE"""),10.0)</f>
        <v>10</v>
      </c>
      <c r="D282" s="2" t="str">
        <f>IFERROR(__xludf.DUMMYFUNCTION("""COMPUTED_VALUE"""),"AGRANI BANK LTD.")</f>
        <v>AGRANI BANK LTD.</v>
      </c>
      <c r="E282" s="2" t="str">
        <f>IFERROR(__xludf.DUMMYFUNCTION("""COMPUTED_VALUE"""),"FOREIGN EXCHANGE")</f>
        <v>FOREIGN EXCHANGE</v>
      </c>
      <c r="F282" s="3">
        <f>IFERROR(__xludf.DUMMYFUNCTION("""COMPUTED_VALUE"""),232.0)</f>
        <v>232</v>
      </c>
      <c r="G282" s="5">
        <f>IFERROR(__xludf.DUMMYFUNCTION("""COMPUTED_VALUE"""),1.0272323E7)</f>
        <v>10272323</v>
      </c>
    </row>
    <row r="283">
      <c r="A283" s="3">
        <f>IFERROR(__xludf.DUMMYFUNCTION("""COMPUTED_VALUE"""),127.0)</f>
        <v>127</v>
      </c>
      <c r="B283" s="2" t="str">
        <f>IFERROR(__xludf.DUMMYFUNCTION("""COMPUTED_VALUE"""),"DHAKA-SOUTH")</f>
        <v>DHAKA-SOUTH</v>
      </c>
      <c r="C283" s="4">
        <f>IFERROR(__xludf.DUMMYFUNCTION("""COMPUTED_VALUE"""),10.0)</f>
        <v>10</v>
      </c>
      <c r="D283" s="2" t="str">
        <f>IFERROR(__xludf.DUMMYFUNCTION("""COMPUTED_VALUE"""),"AGRANI BANK LTD.")</f>
        <v>AGRANI BANK LTD.</v>
      </c>
      <c r="E283" s="2" t="str">
        <f>IFERROR(__xludf.DUMMYFUNCTION("""COMPUTED_VALUE"""),"HATKHOLA")</f>
        <v>HATKHOLA</v>
      </c>
      <c r="F283" s="3">
        <f>IFERROR(__xludf.DUMMYFUNCTION("""COMPUTED_VALUE"""),259.0)</f>
        <v>259</v>
      </c>
      <c r="G283" s="5">
        <f>IFERROR(__xludf.DUMMYFUNCTION("""COMPUTED_VALUE"""),1.0272594E7)</f>
        <v>10272594</v>
      </c>
    </row>
    <row r="284">
      <c r="A284" s="3">
        <f>IFERROR(__xludf.DUMMYFUNCTION("""COMPUTED_VALUE"""),127.0)</f>
        <v>127</v>
      </c>
      <c r="B284" s="2" t="str">
        <f>IFERROR(__xludf.DUMMYFUNCTION("""COMPUTED_VALUE"""),"DHAKA-SOUTH")</f>
        <v>DHAKA-SOUTH</v>
      </c>
      <c r="C284" s="4">
        <f>IFERROR(__xludf.DUMMYFUNCTION("""COMPUTED_VALUE"""),10.0)</f>
        <v>10</v>
      </c>
      <c r="D284" s="2" t="str">
        <f>IFERROR(__xludf.DUMMYFUNCTION("""COMPUTED_VALUE"""),"AGRANI BANK LTD.")</f>
        <v>AGRANI BANK LTD.</v>
      </c>
      <c r="E284" s="2" t="str">
        <f>IFERROR(__xludf.DUMMYFUNCTION("""COMPUTED_VALUE"""),"HEAD OFFICE")</f>
        <v>HEAD OFFICE</v>
      </c>
      <c r="F284" s="3">
        <f>IFERROR(__xludf.DUMMYFUNCTION("""COMPUTED_VALUE"""),268.0)</f>
        <v>268</v>
      </c>
      <c r="G284" s="5">
        <f>IFERROR(__xludf.DUMMYFUNCTION("""COMPUTED_VALUE"""),1.0272686E7)</f>
        <v>10272686</v>
      </c>
    </row>
    <row r="285">
      <c r="A285" s="3">
        <f>IFERROR(__xludf.DUMMYFUNCTION("""COMPUTED_VALUE"""),127.0)</f>
        <v>127</v>
      </c>
      <c r="B285" s="2" t="str">
        <f>IFERROR(__xludf.DUMMYFUNCTION("""COMPUTED_VALUE"""),"DHAKA-SOUTH")</f>
        <v>DHAKA-SOUTH</v>
      </c>
      <c r="C285" s="4">
        <f>IFERROR(__xludf.DUMMYFUNCTION("""COMPUTED_VALUE"""),10.0)</f>
        <v>10</v>
      </c>
      <c r="D285" s="2" t="str">
        <f>IFERROR(__xludf.DUMMYFUNCTION("""COMPUTED_VALUE"""),"AGRANI BANK LTD.")</f>
        <v>AGRANI BANK LTD.</v>
      </c>
      <c r="E285" s="2" t="str">
        <f>IFERROR(__xludf.DUMMYFUNCTION("""COMPUTED_VALUE"""),"IMAMGANJ")</f>
        <v>IMAMGANJ</v>
      </c>
      <c r="F285" s="3">
        <f>IFERROR(__xludf.DUMMYFUNCTION("""COMPUTED_VALUE"""),280.0)</f>
        <v>280</v>
      </c>
      <c r="G285" s="5">
        <f>IFERROR(__xludf.DUMMYFUNCTION("""COMPUTED_VALUE"""),1.0272802E7)</f>
        <v>10272802</v>
      </c>
    </row>
    <row r="286">
      <c r="A286" s="3">
        <f>IFERROR(__xludf.DUMMYFUNCTION("""COMPUTED_VALUE"""),127.0)</f>
        <v>127</v>
      </c>
      <c r="B286" s="2" t="str">
        <f>IFERROR(__xludf.DUMMYFUNCTION("""COMPUTED_VALUE"""),"DHAKA-SOUTH")</f>
        <v>DHAKA-SOUTH</v>
      </c>
      <c r="C286" s="4">
        <f>IFERROR(__xludf.DUMMYFUNCTION("""COMPUTED_VALUE"""),10.0)</f>
        <v>10</v>
      </c>
      <c r="D286" s="2" t="str">
        <f>IFERROR(__xludf.DUMMYFUNCTION("""COMPUTED_VALUE"""),"AGRANI BANK LTD.")</f>
        <v>AGRANI BANK LTD.</v>
      </c>
      <c r="E286" s="2" t="str">
        <f>IFERROR(__xludf.DUMMYFUNCTION("""COMPUTED_VALUE"""),"ISLAMPUR")</f>
        <v>ISLAMPUR</v>
      </c>
      <c r="F286" s="3">
        <f>IFERROR(__xludf.DUMMYFUNCTION("""COMPUTED_VALUE"""),298.0)</f>
        <v>298</v>
      </c>
      <c r="G286" s="5">
        <f>IFERROR(__xludf.DUMMYFUNCTION("""COMPUTED_VALUE"""),1.0272981E7)</f>
        <v>10272981</v>
      </c>
    </row>
    <row r="287">
      <c r="A287" s="3">
        <f>IFERROR(__xludf.DUMMYFUNCTION("""COMPUTED_VALUE"""),127.0)</f>
        <v>127</v>
      </c>
      <c r="B287" s="2" t="str">
        <f>IFERROR(__xludf.DUMMYFUNCTION("""COMPUTED_VALUE"""),"DHAKA-SOUTH")</f>
        <v>DHAKA-SOUTH</v>
      </c>
      <c r="C287" s="4">
        <f>IFERROR(__xludf.DUMMYFUNCTION("""COMPUTED_VALUE"""),10.0)</f>
        <v>10</v>
      </c>
      <c r="D287" s="2" t="str">
        <f>IFERROR(__xludf.DUMMYFUNCTION("""COMPUTED_VALUE"""),"AGRANI BANK LTD.")</f>
        <v>AGRANI BANK LTD.</v>
      </c>
      <c r="E287" s="2" t="str">
        <f>IFERROR(__xludf.DUMMYFUNCTION("""COMPUTED_VALUE"""),"JAGANNATH UNIVERSITY")</f>
        <v>JAGANNATH UNIVERSITY</v>
      </c>
      <c r="F287" s="3">
        <f>IFERROR(__xludf.DUMMYFUNCTION("""COMPUTED_VALUE"""),310.0)</f>
        <v>310</v>
      </c>
      <c r="G287" s="5">
        <f>IFERROR(__xludf.DUMMYFUNCTION("""COMPUTED_VALUE"""),1.0273106E7)</f>
        <v>10273106</v>
      </c>
    </row>
    <row r="288">
      <c r="A288" s="3">
        <f>IFERROR(__xludf.DUMMYFUNCTION("""COMPUTED_VALUE"""),127.0)</f>
        <v>127</v>
      </c>
      <c r="B288" s="2" t="str">
        <f>IFERROR(__xludf.DUMMYFUNCTION("""COMPUTED_VALUE"""),"DHAKA-SOUTH")</f>
        <v>DHAKA-SOUTH</v>
      </c>
      <c r="C288" s="4">
        <f>IFERROR(__xludf.DUMMYFUNCTION("""COMPUTED_VALUE"""),10.0)</f>
        <v>10</v>
      </c>
      <c r="D288" s="2" t="str">
        <f>IFERROR(__xludf.DUMMYFUNCTION("""COMPUTED_VALUE"""),"AGRANI BANK LTD.")</f>
        <v>AGRANI BANK LTD.</v>
      </c>
      <c r="E288" s="2" t="str">
        <f>IFERROR(__xludf.DUMMYFUNCTION("""COMPUTED_VALUE"""),"JATIYA JADUGHAR")</f>
        <v>JATIYA JADUGHAR</v>
      </c>
      <c r="F288" s="3">
        <f>IFERROR(__xludf.DUMMYFUNCTION("""COMPUTED_VALUE"""),316.0)</f>
        <v>316</v>
      </c>
      <c r="G288" s="5">
        <f>IFERROR(__xludf.DUMMYFUNCTION("""COMPUTED_VALUE"""),1.0273164E7)</f>
        <v>10273164</v>
      </c>
    </row>
    <row r="289">
      <c r="A289" s="3">
        <f>IFERROR(__xludf.DUMMYFUNCTION("""COMPUTED_VALUE"""),127.0)</f>
        <v>127</v>
      </c>
      <c r="B289" s="2" t="str">
        <f>IFERROR(__xludf.DUMMYFUNCTION("""COMPUTED_VALUE"""),"DHAKA-SOUTH")</f>
        <v>DHAKA-SOUTH</v>
      </c>
      <c r="C289" s="4">
        <f>IFERROR(__xludf.DUMMYFUNCTION("""COMPUTED_VALUE"""),10.0)</f>
        <v>10</v>
      </c>
      <c r="D289" s="2" t="str">
        <f>IFERROR(__xludf.DUMMYFUNCTION("""COMPUTED_VALUE"""),"AGRANI BANK LTD.")</f>
        <v>AGRANI BANK LTD.</v>
      </c>
      <c r="E289" s="2" t="str">
        <f>IFERROR(__xludf.DUMMYFUNCTION("""COMPUTED_VALUE"""),"JATIYA PRESS CLUB")</f>
        <v>JATIYA PRESS CLUB</v>
      </c>
      <c r="F289" s="3">
        <f>IFERROR(__xludf.DUMMYFUNCTION("""COMPUTED_VALUE"""),319.0)</f>
        <v>319</v>
      </c>
      <c r="G289" s="5">
        <f>IFERROR(__xludf.DUMMYFUNCTION("""COMPUTED_VALUE"""),1.0273193E7)</f>
        <v>10273193</v>
      </c>
    </row>
    <row r="290">
      <c r="A290" s="3">
        <f>IFERROR(__xludf.DUMMYFUNCTION("""COMPUTED_VALUE"""),127.0)</f>
        <v>127</v>
      </c>
      <c r="B290" s="2" t="str">
        <f>IFERROR(__xludf.DUMMYFUNCTION("""COMPUTED_VALUE"""),"DHAKA-SOUTH")</f>
        <v>DHAKA-SOUTH</v>
      </c>
      <c r="C290" s="4">
        <f>IFERROR(__xludf.DUMMYFUNCTION("""COMPUTED_VALUE"""),10.0)</f>
        <v>10</v>
      </c>
      <c r="D290" s="2" t="str">
        <f>IFERROR(__xludf.DUMMYFUNCTION("""COMPUTED_VALUE"""),"AGRANI BANK LTD.")</f>
        <v>AGRANI BANK LTD.</v>
      </c>
      <c r="E290" s="2" t="str">
        <f>IFERROR(__xludf.DUMMYFUNCTION("""COMPUTED_VALUE"""),"JATRABARI")</f>
        <v>JATRABARI</v>
      </c>
      <c r="F290" s="3">
        <f>IFERROR(__xludf.DUMMYFUNCTION("""COMPUTED_VALUE"""),322.0)</f>
        <v>322</v>
      </c>
      <c r="G290" s="5">
        <f>IFERROR(__xludf.DUMMYFUNCTION("""COMPUTED_VALUE"""),1.0273227E7)</f>
        <v>10273227</v>
      </c>
    </row>
    <row r="291">
      <c r="A291" s="3">
        <f>IFERROR(__xludf.DUMMYFUNCTION("""COMPUTED_VALUE"""),127.0)</f>
        <v>127</v>
      </c>
      <c r="B291" s="2" t="str">
        <f>IFERROR(__xludf.DUMMYFUNCTION("""COMPUTED_VALUE"""),"DHAKA-SOUTH")</f>
        <v>DHAKA-SOUTH</v>
      </c>
      <c r="C291" s="4">
        <f>IFERROR(__xludf.DUMMYFUNCTION("""COMPUTED_VALUE"""),10.0)</f>
        <v>10</v>
      </c>
      <c r="D291" s="2" t="str">
        <f>IFERROR(__xludf.DUMMYFUNCTION("""COMPUTED_VALUE"""),"AGRANI BANK LTD.")</f>
        <v>AGRANI BANK LTD.</v>
      </c>
      <c r="E291" s="2" t="str">
        <f>IFERROR(__xludf.DUMMYFUNCTION("""COMPUTED_VALUE"""),"JOYPARA")</f>
        <v>JOYPARA</v>
      </c>
      <c r="F291" s="3">
        <f>IFERROR(__xludf.DUMMYFUNCTION("""COMPUTED_VALUE"""),328.0)</f>
        <v>328</v>
      </c>
      <c r="G291" s="5">
        <f>IFERROR(__xludf.DUMMYFUNCTION("""COMPUTED_VALUE"""),1.0273285E7)</f>
        <v>10273285</v>
      </c>
    </row>
    <row r="292">
      <c r="A292" s="3">
        <f>IFERROR(__xludf.DUMMYFUNCTION("""COMPUTED_VALUE"""),127.0)</f>
        <v>127</v>
      </c>
      <c r="B292" s="2" t="str">
        <f>IFERROR(__xludf.DUMMYFUNCTION("""COMPUTED_VALUE"""),"DHAKA-SOUTH")</f>
        <v>DHAKA-SOUTH</v>
      </c>
      <c r="C292" s="4">
        <f>IFERROR(__xludf.DUMMYFUNCTION("""COMPUTED_VALUE"""),10.0)</f>
        <v>10</v>
      </c>
      <c r="D292" s="2" t="str">
        <f>IFERROR(__xludf.DUMMYFUNCTION("""COMPUTED_VALUE"""),"AGRANI BANK LTD.")</f>
        <v>AGRANI BANK LTD.</v>
      </c>
      <c r="E292" s="2" t="str">
        <f>IFERROR(__xludf.DUMMYFUNCTION("""COMPUTED_VALUE"""),"KADAMTALI")</f>
        <v>KADAMTALI</v>
      </c>
      <c r="F292" s="3">
        <f>IFERROR(__xludf.DUMMYFUNCTION("""COMPUTED_VALUE"""),334.0)</f>
        <v>334</v>
      </c>
      <c r="G292" s="5">
        <f>IFERROR(__xludf.DUMMYFUNCTION("""COMPUTED_VALUE"""),1.0273348E7)</f>
        <v>10273348</v>
      </c>
    </row>
    <row r="293">
      <c r="A293" s="3">
        <f>IFERROR(__xludf.DUMMYFUNCTION("""COMPUTED_VALUE"""),127.0)</f>
        <v>127</v>
      </c>
      <c r="B293" s="2" t="str">
        <f>IFERROR(__xludf.DUMMYFUNCTION("""COMPUTED_VALUE"""),"DHAKA-SOUTH")</f>
        <v>DHAKA-SOUTH</v>
      </c>
      <c r="C293" s="4">
        <f>IFERROR(__xludf.DUMMYFUNCTION("""COMPUTED_VALUE"""),10.0)</f>
        <v>10</v>
      </c>
      <c r="D293" s="2" t="str">
        <f>IFERROR(__xludf.DUMMYFUNCTION("""COMPUTED_VALUE"""),"AGRANI BANK LTD.")</f>
        <v>AGRANI BANK LTD.</v>
      </c>
      <c r="E293" s="2" t="str">
        <f>IFERROR(__xludf.DUMMYFUNCTION("""COMPUTED_VALUE"""),"KAMALAPUR")</f>
        <v>KAMALAPUR</v>
      </c>
      <c r="F293" s="3">
        <f>IFERROR(__xludf.DUMMYFUNCTION("""COMPUTED_VALUE"""),349.0)</f>
        <v>349</v>
      </c>
      <c r="G293" s="5">
        <f>IFERROR(__xludf.DUMMYFUNCTION("""COMPUTED_VALUE"""),1.0273498E7)</f>
        <v>10273498</v>
      </c>
    </row>
    <row r="294">
      <c r="A294" s="3">
        <f>IFERROR(__xludf.DUMMYFUNCTION("""COMPUTED_VALUE"""),127.0)</f>
        <v>127</v>
      </c>
      <c r="B294" s="2" t="str">
        <f>IFERROR(__xludf.DUMMYFUNCTION("""COMPUTED_VALUE"""),"DHAKA-SOUTH")</f>
        <v>DHAKA-SOUTH</v>
      </c>
      <c r="C294" s="4">
        <f>IFERROR(__xludf.DUMMYFUNCTION("""COMPUTED_VALUE"""),10.0)</f>
        <v>10</v>
      </c>
      <c r="D294" s="2" t="str">
        <f>IFERROR(__xludf.DUMMYFUNCTION("""COMPUTED_VALUE"""),"AGRANI BANK LTD.")</f>
        <v>AGRANI BANK LTD.</v>
      </c>
      <c r="E294" s="2" t="str">
        <f>IFERROR(__xludf.DUMMYFUNCTION("""COMPUTED_VALUE"""),"KAMRANGIRCHAR")</f>
        <v>KAMRANGIRCHAR</v>
      </c>
      <c r="F294" s="3">
        <f>IFERROR(__xludf.DUMMYFUNCTION("""COMPUTED_VALUE"""),358.0)</f>
        <v>358</v>
      </c>
      <c r="G294" s="5">
        <f>IFERROR(__xludf.DUMMYFUNCTION("""COMPUTED_VALUE"""),1.027358E7)</f>
        <v>10273580</v>
      </c>
    </row>
    <row r="295">
      <c r="A295" s="3">
        <f>IFERROR(__xludf.DUMMYFUNCTION("""COMPUTED_VALUE"""),127.0)</f>
        <v>127</v>
      </c>
      <c r="B295" s="2" t="str">
        <f>IFERROR(__xludf.DUMMYFUNCTION("""COMPUTED_VALUE"""),"DHAKA-SOUTH")</f>
        <v>DHAKA-SOUTH</v>
      </c>
      <c r="C295" s="4">
        <f>IFERROR(__xludf.DUMMYFUNCTION("""COMPUTED_VALUE"""),10.0)</f>
        <v>10</v>
      </c>
      <c r="D295" s="2" t="str">
        <f>IFERROR(__xludf.DUMMYFUNCTION("""COMPUTED_VALUE"""),"AGRANI BANK LTD.")</f>
        <v>AGRANI BANK LTD.</v>
      </c>
      <c r="E295" s="2" t="str">
        <f>IFERROR(__xludf.DUMMYFUNCTION("""COMPUTED_VALUE"""),"KOMORGONJ")</f>
        <v>KOMORGONJ</v>
      </c>
      <c r="F295" s="3">
        <f>IFERROR(__xludf.DUMMYFUNCTION("""COMPUTED_VALUE"""),373.0)</f>
        <v>373</v>
      </c>
      <c r="G295" s="5">
        <f>IFERROR(__xludf.DUMMYFUNCTION("""COMPUTED_VALUE"""),1.0273735E7)</f>
        <v>10273735</v>
      </c>
    </row>
    <row r="296">
      <c r="A296" s="3">
        <f>IFERROR(__xludf.DUMMYFUNCTION("""COMPUTED_VALUE"""),127.0)</f>
        <v>127</v>
      </c>
      <c r="B296" s="2" t="str">
        <f>IFERROR(__xludf.DUMMYFUNCTION("""COMPUTED_VALUE"""),"DHAKA-SOUTH")</f>
        <v>DHAKA-SOUTH</v>
      </c>
      <c r="C296" s="4">
        <f>IFERROR(__xludf.DUMMYFUNCTION("""COMPUTED_VALUE"""),10.0)</f>
        <v>10</v>
      </c>
      <c r="D296" s="2" t="str">
        <f>IFERROR(__xludf.DUMMYFUNCTION("""COMPUTED_VALUE"""),"AGRANI BANK LTD.")</f>
        <v>AGRANI BANK LTD.</v>
      </c>
      <c r="E296" s="2" t="str">
        <f>IFERROR(__xludf.DUMMYFUNCTION("""COMPUTED_VALUE"""),"MALIBAGH")</f>
        <v>MALIBAGH</v>
      </c>
      <c r="F296" s="3">
        <f>IFERROR(__xludf.DUMMYFUNCTION("""COMPUTED_VALUE"""),394.0)</f>
        <v>394</v>
      </c>
      <c r="G296" s="5">
        <f>IFERROR(__xludf.DUMMYFUNCTION("""COMPUTED_VALUE"""),1.0273948E7)</f>
        <v>10273948</v>
      </c>
    </row>
    <row r="297">
      <c r="A297" s="3">
        <f>IFERROR(__xludf.DUMMYFUNCTION("""COMPUTED_VALUE"""),127.0)</f>
        <v>127</v>
      </c>
      <c r="B297" s="2" t="str">
        <f>IFERROR(__xludf.DUMMYFUNCTION("""COMPUTED_VALUE"""),"DHAKA-SOUTH")</f>
        <v>DHAKA-SOUTH</v>
      </c>
      <c r="C297" s="4">
        <f>IFERROR(__xludf.DUMMYFUNCTION("""COMPUTED_VALUE"""),10.0)</f>
        <v>10</v>
      </c>
      <c r="D297" s="2" t="str">
        <f>IFERROR(__xludf.DUMMYFUNCTION("""COMPUTED_VALUE"""),"AGRANI BANK LTD.")</f>
        <v>AGRANI BANK LTD.</v>
      </c>
      <c r="E297" s="2" t="str">
        <f>IFERROR(__xludf.DUMMYFUNCTION("""COMPUTED_VALUE"""),"MATUAIL")</f>
        <v>MATUAIL</v>
      </c>
      <c r="F297" s="3">
        <f>IFERROR(__xludf.DUMMYFUNCTION("""COMPUTED_VALUE"""),400.0)</f>
        <v>400</v>
      </c>
      <c r="G297" s="5">
        <f>IFERROR(__xludf.DUMMYFUNCTION("""COMPUTED_VALUE"""),1.0274E7)</f>
        <v>10274000</v>
      </c>
    </row>
    <row r="298">
      <c r="A298" s="3">
        <f>IFERROR(__xludf.DUMMYFUNCTION("""COMPUTED_VALUE"""),127.0)</f>
        <v>127</v>
      </c>
      <c r="B298" s="2" t="str">
        <f>IFERROR(__xludf.DUMMYFUNCTION("""COMPUTED_VALUE"""),"DHAKA-SOUTH")</f>
        <v>DHAKA-SOUTH</v>
      </c>
      <c r="C298" s="4">
        <f>IFERROR(__xludf.DUMMYFUNCTION("""COMPUTED_VALUE"""),10.0)</f>
        <v>10</v>
      </c>
      <c r="D298" s="2" t="str">
        <f>IFERROR(__xludf.DUMMYFUNCTION("""COMPUTED_VALUE"""),"AGRANI BANK LTD.")</f>
        <v>AGRANI BANK LTD.</v>
      </c>
      <c r="E298" s="2" t="str">
        <f>IFERROR(__xludf.DUMMYFUNCTION("""COMPUTED_VALUE"""),"MITFORD HOSPITAL")</f>
        <v>MITFORD HOSPITAL</v>
      </c>
      <c r="F298" s="3">
        <f>IFERROR(__xludf.DUMMYFUNCTION("""COMPUTED_VALUE"""),409.0)</f>
        <v>409</v>
      </c>
      <c r="G298" s="5">
        <f>IFERROR(__xludf.DUMMYFUNCTION("""COMPUTED_VALUE"""),1.0274097E7)</f>
        <v>10274097</v>
      </c>
    </row>
    <row r="299">
      <c r="A299" s="3">
        <f>IFERROR(__xludf.DUMMYFUNCTION("""COMPUTED_VALUE"""),127.0)</f>
        <v>127</v>
      </c>
      <c r="B299" s="2" t="str">
        <f>IFERROR(__xludf.DUMMYFUNCTION("""COMPUTED_VALUE"""),"DHAKA-SOUTH")</f>
        <v>DHAKA-SOUTH</v>
      </c>
      <c r="C299" s="4">
        <f>IFERROR(__xludf.DUMMYFUNCTION("""COMPUTED_VALUE"""),10.0)</f>
        <v>10</v>
      </c>
      <c r="D299" s="2" t="str">
        <f>IFERROR(__xludf.DUMMYFUNCTION("""COMPUTED_VALUE"""),"AGRANI BANK LTD.")</f>
        <v>AGRANI BANK LTD.</v>
      </c>
      <c r="E299" s="2" t="str">
        <f>IFERROR(__xludf.DUMMYFUNCTION("""COMPUTED_VALUE"""),"MOUCHAK MARKET")</f>
        <v>MOUCHAK MARKET</v>
      </c>
      <c r="F299" s="3">
        <f>IFERROR(__xludf.DUMMYFUNCTION("""COMPUTED_VALUE"""),439.0)</f>
        <v>439</v>
      </c>
      <c r="G299" s="5">
        <f>IFERROR(__xludf.DUMMYFUNCTION("""COMPUTED_VALUE"""),1.0274392E7)</f>
        <v>10274392</v>
      </c>
    </row>
    <row r="300">
      <c r="A300" s="3">
        <f>IFERROR(__xludf.DUMMYFUNCTION("""COMPUTED_VALUE"""),127.0)</f>
        <v>127</v>
      </c>
      <c r="B300" s="2" t="str">
        <f>IFERROR(__xludf.DUMMYFUNCTION("""COMPUTED_VALUE"""),"DHAKA-SOUTH")</f>
        <v>DHAKA-SOUTH</v>
      </c>
      <c r="C300" s="4">
        <f>IFERROR(__xludf.DUMMYFUNCTION("""COMPUTED_VALUE"""),10.0)</f>
        <v>10</v>
      </c>
      <c r="D300" s="2" t="str">
        <f>IFERROR(__xludf.DUMMYFUNCTION("""COMPUTED_VALUE"""),"AGRANI BANK LTD.")</f>
        <v>AGRANI BANK LTD.</v>
      </c>
      <c r="E300" s="2" t="str">
        <f>IFERROR(__xludf.DUMMYFUNCTION("""COMPUTED_VALUE"""),"MOULVI BAZAR")</f>
        <v>MOULVI BAZAR</v>
      </c>
      <c r="F300" s="3">
        <f>IFERROR(__xludf.DUMMYFUNCTION("""COMPUTED_VALUE"""),442.0)</f>
        <v>442</v>
      </c>
      <c r="G300" s="5">
        <f>IFERROR(__xludf.DUMMYFUNCTION("""COMPUTED_VALUE"""),1.0274426E7)</f>
        <v>10274426</v>
      </c>
    </row>
    <row r="301">
      <c r="A301" s="3">
        <f>IFERROR(__xludf.DUMMYFUNCTION("""COMPUTED_VALUE"""),127.0)</f>
        <v>127</v>
      </c>
      <c r="B301" s="2" t="str">
        <f>IFERROR(__xludf.DUMMYFUNCTION("""COMPUTED_VALUE"""),"DHAKA-SOUTH")</f>
        <v>DHAKA-SOUTH</v>
      </c>
      <c r="C301" s="4">
        <f>IFERROR(__xludf.DUMMYFUNCTION("""COMPUTED_VALUE"""),10.0)</f>
        <v>10</v>
      </c>
      <c r="D301" s="2" t="str">
        <f>IFERROR(__xludf.DUMMYFUNCTION("""COMPUTED_VALUE"""),"AGRANI BANK LTD.")</f>
        <v>AGRANI BANK LTD.</v>
      </c>
      <c r="E301" s="2" t="str">
        <f>IFERROR(__xludf.DUMMYFUNCTION("""COMPUTED_VALUE"""),"NARINDA")</f>
        <v>NARINDA</v>
      </c>
      <c r="F301" s="3">
        <f>IFERROR(__xludf.DUMMYFUNCTION("""COMPUTED_VALUE"""),463.0)</f>
        <v>463</v>
      </c>
      <c r="G301" s="5">
        <f>IFERROR(__xludf.DUMMYFUNCTION("""COMPUTED_VALUE"""),1.0274639E7)</f>
        <v>10274639</v>
      </c>
    </row>
    <row r="302">
      <c r="A302" s="3">
        <f>IFERROR(__xludf.DUMMYFUNCTION("""COMPUTED_VALUE"""),127.0)</f>
        <v>127</v>
      </c>
      <c r="B302" s="2" t="str">
        <f>IFERROR(__xludf.DUMMYFUNCTION("""COMPUTED_VALUE"""),"DHAKA-SOUTH")</f>
        <v>DHAKA-SOUTH</v>
      </c>
      <c r="C302" s="4">
        <f>IFERROR(__xludf.DUMMYFUNCTION("""COMPUTED_VALUE"""),10.0)</f>
        <v>10</v>
      </c>
      <c r="D302" s="2" t="str">
        <f>IFERROR(__xludf.DUMMYFUNCTION("""COMPUTED_VALUE"""),"AGRANI BANK LTD.")</f>
        <v>AGRANI BANK LTD.</v>
      </c>
      <c r="E302" s="2" t="str">
        <f>IFERROR(__xludf.DUMMYFUNCTION("""COMPUTED_VALUE"""),"NARISHA BAZAR")</f>
        <v>NARISHA BAZAR</v>
      </c>
      <c r="F302" s="3">
        <f>IFERROR(__xludf.DUMMYFUNCTION("""COMPUTED_VALUE"""),466.0)</f>
        <v>466</v>
      </c>
      <c r="G302" s="5">
        <f>IFERROR(__xludf.DUMMYFUNCTION("""COMPUTED_VALUE"""),1.0274668E7)</f>
        <v>10274668</v>
      </c>
    </row>
    <row r="303">
      <c r="A303" s="3">
        <f>IFERROR(__xludf.DUMMYFUNCTION("""COMPUTED_VALUE"""),127.0)</f>
        <v>127</v>
      </c>
      <c r="B303" s="2" t="str">
        <f>IFERROR(__xludf.DUMMYFUNCTION("""COMPUTED_VALUE"""),"DHAKA-SOUTH")</f>
        <v>DHAKA-SOUTH</v>
      </c>
      <c r="C303" s="4">
        <f>IFERROR(__xludf.DUMMYFUNCTION("""COMPUTED_VALUE"""),10.0)</f>
        <v>10</v>
      </c>
      <c r="D303" s="2" t="str">
        <f>IFERROR(__xludf.DUMMYFUNCTION("""COMPUTED_VALUE"""),"AGRANI BANK LTD.")</f>
        <v>AGRANI BANK LTD.</v>
      </c>
      <c r="E303" s="2" t="str">
        <f>IFERROR(__xludf.DUMMYFUNCTION("""COMPUTED_VALUE"""),"NAWABGANJ ROAD")</f>
        <v>NAWABGANJ ROAD</v>
      </c>
      <c r="F303" s="3">
        <f>IFERROR(__xludf.DUMMYFUNCTION("""COMPUTED_VALUE"""),469.0)</f>
        <v>469</v>
      </c>
      <c r="G303" s="5">
        <f>IFERROR(__xludf.DUMMYFUNCTION("""COMPUTED_VALUE"""),1.0274697E7)</f>
        <v>10274697</v>
      </c>
    </row>
    <row r="304">
      <c r="A304" s="3">
        <f>IFERROR(__xludf.DUMMYFUNCTION("""COMPUTED_VALUE"""),127.0)</f>
        <v>127</v>
      </c>
      <c r="B304" s="2" t="str">
        <f>IFERROR(__xludf.DUMMYFUNCTION("""COMPUTED_VALUE"""),"DHAKA-SOUTH")</f>
        <v>DHAKA-SOUTH</v>
      </c>
      <c r="C304" s="4">
        <f>IFERROR(__xludf.DUMMYFUNCTION("""COMPUTED_VALUE"""),10.0)</f>
        <v>10</v>
      </c>
      <c r="D304" s="2" t="str">
        <f>IFERROR(__xludf.DUMMYFUNCTION("""COMPUTED_VALUE"""),"AGRANI BANK LTD.")</f>
        <v>AGRANI BANK LTD.</v>
      </c>
      <c r="E304" s="2" t="str">
        <f>IFERROR(__xludf.DUMMYFUNCTION("""COMPUTED_VALUE"""),"NOBABGONJ  (KOLAKOPA)")</f>
        <v>NOBABGONJ  (KOLAKOPA)</v>
      </c>
      <c r="F304" s="3">
        <f>IFERROR(__xludf.DUMMYFUNCTION("""COMPUTED_VALUE"""),471.0)</f>
        <v>471</v>
      </c>
      <c r="G304" s="5">
        <f>IFERROR(__xludf.DUMMYFUNCTION("""COMPUTED_VALUE"""),1.0274718E7)</f>
        <v>10274718</v>
      </c>
    </row>
    <row r="305">
      <c r="A305" s="3">
        <f>IFERROR(__xludf.DUMMYFUNCTION("""COMPUTED_VALUE"""),127.0)</f>
        <v>127</v>
      </c>
      <c r="B305" s="2" t="str">
        <f>IFERROR(__xludf.DUMMYFUNCTION("""COMPUTED_VALUE"""),"DHAKA-SOUTH")</f>
        <v>DHAKA-SOUTH</v>
      </c>
      <c r="C305" s="4">
        <f>IFERROR(__xludf.DUMMYFUNCTION("""COMPUTED_VALUE"""),10.0)</f>
        <v>10</v>
      </c>
      <c r="D305" s="2" t="str">
        <f>IFERROR(__xludf.DUMMYFUNCTION("""COMPUTED_VALUE"""),"AGRANI BANK LTD.")</f>
        <v>AGRANI BANK LTD.</v>
      </c>
      <c r="E305" s="2" t="str">
        <f>IFERROR(__xludf.DUMMYFUNCTION("""COMPUTED_VALUE"""),"NAWABPUR")</f>
        <v>NAWABPUR</v>
      </c>
      <c r="F305" s="3">
        <f>IFERROR(__xludf.DUMMYFUNCTION("""COMPUTED_VALUE"""),472.0)</f>
        <v>472</v>
      </c>
      <c r="G305" s="5">
        <f>IFERROR(__xludf.DUMMYFUNCTION("""COMPUTED_VALUE"""),1.0274721E7)</f>
        <v>10274721</v>
      </c>
    </row>
    <row r="306">
      <c r="A306" s="3">
        <f>IFERROR(__xludf.DUMMYFUNCTION("""COMPUTED_VALUE"""),127.0)</f>
        <v>127</v>
      </c>
      <c r="B306" s="2" t="str">
        <f>IFERROR(__xludf.DUMMYFUNCTION("""COMPUTED_VALUE"""),"DHAKA-SOUTH")</f>
        <v>DHAKA-SOUTH</v>
      </c>
      <c r="C306" s="4">
        <f>IFERROR(__xludf.DUMMYFUNCTION("""COMPUTED_VALUE"""),10.0)</f>
        <v>10</v>
      </c>
      <c r="D306" s="2" t="str">
        <f>IFERROR(__xludf.DUMMYFUNCTION("""COMPUTED_VALUE"""),"AGRANI BANK LTD.")</f>
        <v>AGRANI BANK LTD.</v>
      </c>
      <c r="E306" s="2" t="str">
        <f>IFERROR(__xludf.DUMMYFUNCTION("""COMPUTED_VALUE"""),"NEW ESKATON")</f>
        <v>NEW ESKATON</v>
      </c>
      <c r="F306" s="3">
        <f>IFERROR(__xludf.DUMMYFUNCTION("""COMPUTED_VALUE"""),502.0)</f>
        <v>502</v>
      </c>
      <c r="G306" s="5">
        <f>IFERROR(__xludf.DUMMYFUNCTION("""COMPUTED_VALUE"""),1.0275025E7)</f>
        <v>10275025</v>
      </c>
    </row>
    <row r="307">
      <c r="A307" s="3">
        <f>IFERROR(__xludf.DUMMYFUNCTION("""COMPUTED_VALUE"""),127.0)</f>
        <v>127</v>
      </c>
      <c r="B307" s="2" t="str">
        <f>IFERROR(__xludf.DUMMYFUNCTION("""COMPUTED_VALUE"""),"DHAKA-SOUTH")</f>
        <v>DHAKA-SOUTH</v>
      </c>
      <c r="C307" s="4">
        <f>IFERROR(__xludf.DUMMYFUNCTION("""COMPUTED_VALUE"""),10.0)</f>
        <v>10</v>
      </c>
      <c r="D307" s="2" t="str">
        <f>IFERROR(__xludf.DUMMYFUNCTION("""COMPUTED_VALUE"""),"AGRANI BANK LTD.")</f>
        <v>AGRANI BANK LTD.</v>
      </c>
      <c r="E307" s="2" t="str">
        <f>IFERROR(__xludf.DUMMYFUNCTION("""COMPUTED_VALUE"""),"NORTH SOUTH ROAD")</f>
        <v>NORTH SOUTH ROAD</v>
      </c>
      <c r="F307" s="3">
        <f>IFERROR(__xludf.DUMMYFUNCTION("""COMPUTED_VALUE"""),511.0)</f>
        <v>511</v>
      </c>
      <c r="G307" s="5">
        <f>IFERROR(__xludf.DUMMYFUNCTION("""COMPUTED_VALUE"""),1.0275117E7)</f>
        <v>10275117</v>
      </c>
    </row>
    <row r="308">
      <c r="A308" s="3">
        <f>IFERROR(__xludf.DUMMYFUNCTION("""COMPUTED_VALUE"""),127.0)</f>
        <v>127</v>
      </c>
      <c r="B308" s="2" t="str">
        <f>IFERROR(__xludf.DUMMYFUNCTION("""COMPUTED_VALUE"""),"DHAKA-SOUTH")</f>
        <v>DHAKA-SOUTH</v>
      </c>
      <c r="C308" s="4">
        <f>IFERROR(__xludf.DUMMYFUNCTION("""COMPUTED_VALUE"""),10.0)</f>
        <v>10</v>
      </c>
      <c r="D308" s="2" t="str">
        <f>IFERROR(__xludf.DUMMYFUNCTION("""COMPUTED_VALUE"""),"AGRANI BANK LTD.")</f>
        <v>AGRANI BANK LTD.</v>
      </c>
      <c r="E308" s="2" t="str">
        <f>IFERROR(__xludf.DUMMYFUNCTION("""COMPUTED_VALUE"""),"PATILZHAP BAZAR")</f>
        <v>PATILZHAP BAZAR</v>
      </c>
      <c r="F308" s="3">
        <f>IFERROR(__xludf.DUMMYFUNCTION("""COMPUTED_VALUE"""),517.0)</f>
        <v>517</v>
      </c>
      <c r="G308" s="5">
        <f>IFERROR(__xludf.DUMMYFUNCTION("""COMPUTED_VALUE"""),1.0275175E7)</f>
        <v>10275175</v>
      </c>
    </row>
    <row r="309">
      <c r="A309" s="3">
        <f>IFERROR(__xludf.DUMMYFUNCTION("""COMPUTED_VALUE"""),127.0)</f>
        <v>127</v>
      </c>
      <c r="B309" s="2" t="str">
        <f>IFERROR(__xludf.DUMMYFUNCTION("""COMPUTED_VALUE"""),"DHAKA-SOUTH")</f>
        <v>DHAKA-SOUTH</v>
      </c>
      <c r="C309" s="4">
        <f>IFERROR(__xludf.DUMMYFUNCTION("""COMPUTED_VALUE"""),10.0)</f>
        <v>10</v>
      </c>
      <c r="D309" s="2" t="str">
        <f>IFERROR(__xludf.DUMMYFUNCTION("""COMPUTED_VALUE"""),"AGRANI BANK LTD.")</f>
        <v>AGRANI BANK LTD.</v>
      </c>
      <c r="E309" s="2" t="str">
        <f>IFERROR(__xludf.DUMMYFUNCTION("""COMPUTED_VALUE"""),"POSTA")</f>
        <v>POSTA</v>
      </c>
      <c r="F309" s="3">
        <f>IFERROR(__xludf.DUMMYFUNCTION("""COMPUTED_VALUE"""),529.0)</f>
        <v>529</v>
      </c>
      <c r="G309" s="5">
        <f>IFERROR(__xludf.DUMMYFUNCTION("""COMPUTED_VALUE"""),1.0275296E7)</f>
        <v>10275296</v>
      </c>
    </row>
    <row r="310">
      <c r="A310" s="3">
        <f>IFERROR(__xludf.DUMMYFUNCTION("""COMPUTED_VALUE"""),127.0)</f>
        <v>127</v>
      </c>
      <c r="B310" s="2" t="str">
        <f>IFERROR(__xludf.DUMMYFUNCTION("""COMPUTED_VALUE"""),"DHAKA-SOUTH")</f>
        <v>DHAKA-SOUTH</v>
      </c>
      <c r="C310" s="4">
        <f>IFERROR(__xludf.DUMMYFUNCTION("""COMPUTED_VALUE"""),10.0)</f>
        <v>10</v>
      </c>
      <c r="D310" s="2" t="str">
        <f>IFERROR(__xludf.DUMMYFUNCTION("""COMPUTED_VALUE"""),"AGRANI BANK LTD.")</f>
        <v>AGRANI BANK LTD.</v>
      </c>
      <c r="E310" s="2" t="str">
        <f>IFERROR(__xludf.DUMMYFUNCTION("""COMPUTED_VALUE"""),"PRINCIPAL")</f>
        <v>PRINCIPAL</v>
      </c>
      <c r="F310" s="3">
        <f>IFERROR(__xludf.DUMMYFUNCTION("""COMPUTED_VALUE"""),535.0)</f>
        <v>535</v>
      </c>
      <c r="G310" s="5">
        <f>IFERROR(__xludf.DUMMYFUNCTION("""COMPUTED_VALUE"""),1.0275359E7)</f>
        <v>10275359</v>
      </c>
    </row>
    <row r="311">
      <c r="A311" s="3">
        <f>IFERROR(__xludf.DUMMYFUNCTION("""COMPUTED_VALUE"""),127.0)</f>
        <v>127</v>
      </c>
      <c r="B311" s="2" t="str">
        <f>IFERROR(__xludf.DUMMYFUNCTION("""COMPUTED_VALUE"""),"DHAKA-SOUTH")</f>
        <v>DHAKA-SOUTH</v>
      </c>
      <c r="C311" s="4">
        <f>IFERROR(__xludf.DUMMYFUNCTION("""COMPUTED_VALUE"""),10.0)</f>
        <v>10</v>
      </c>
      <c r="D311" s="2" t="str">
        <f>IFERROR(__xludf.DUMMYFUNCTION("""COMPUTED_VALUE"""),"AGRANI BANK LTD.")</f>
        <v>AGRANI BANK LTD.</v>
      </c>
      <c r="E311" s="2" t="str">
        <f>IFERROR(__xludf.DUMMYFUNCTION("""COMPUTED_VALUE"""),"PURANA PALTAN")</f>
        <v>PURANA PALTAN</v>
      </c>
      <c r="F311" s="3">
        <f>IFERROR(__xludf.DUMMYFUNCTION("""COMPUTED_VALUE"""),538.0)</f>
        <v>538</v>
      </c>
      <c r="G311" s="5">
        <f>IFERROR(__xludf.DUMMYFUNCTION("""COMPUTED_VALUE"""),1.0275388E7)</f>
        <v>10275388</v>
      </c>
    </row>
    <row r="312">
      <c r="A312" s="3">
        <f>IFERROR(__xludf.DUMMYFUNCTION("""COMPUTED_VALUE"""),127.0)</f>
        <v>127</v>
      </c>
      <c r="B312" s="2" t="str">
        <f>IFERROR(__xludf.DUMMYFUNCTION("""COMPUTED_VALUE"""),"DHAKA-SOUTH")</f>
        <v>DHAKA-SOUTH</v>
      </c>
      <c r="C312" s="4">
        <f>IFERROR(__xludf.DUMMYFUNCTION("""COMPUTED_VALUE"""),10.0)</f>
        <v>10</v>
      </c>
      <c r="D312" s="2" t="str">
        <f>IFERROR(__xludf.DUMMYFUNCTION("""COMPUTED_VALUE"""),"AGRANI BANK LTD.")</f>
        <v>AGRANI BANK LTD.</v>
      </c>
      <c r="E312" s="2" t="str">
        <f>IFERROR(__xludf.DUMMYFUNCTION("""COMPUTED_VALUE"""),"PYARIDAS ROAD")</f>
        <v>PYARIDAS ROAD</v>
      </c>
      <c r="F312" s="3">
        <f>IFERROR(__xludf.DUMMYFUNCTION("""COMPUTED_VALUE"""),544.0)</f>
        <v>544</v>
      </c>
      <c r="G312" s="5">
        <f>IFERROR(__xludf.DUMMYFUNCTION("""COMPUTED_VALUE"""),1.0275441E7)</f>
        <v>10275441</v>
      </c>
    </row>
    <row r="313">
      <c r="A313" s="3">
        <f>IFERROR(__xludf.DUMMYFUNCTION("""COMPUTED_VALUE"""),127.0)</f>
        <v>127</v>
      </c>
      <c r="B313" s="2" t="str">
        <f>IFERROR(__xludf.DUMMYFUNCTION("""COMPUTED_VALUE"""),"DHAKA-SOUTH")</f>
        <v>DHAKA-SOUTH</v>
      </c>
      <c r="C313" s="4">
        <f>IFERROR(__xludf.DUMMYFUNCTION("""COMPUTED_VALUE"""),10.0)</f>
        <v>10</v>
      </c>
      <c r="D313" s="2" t="str">
        <f>IFERROR(__xludf.DUMMYFUNCTION("""COMPUTED_VALUE"""),"AGRANI BANK LTD.")</f>
        <v>AGRANI BANK LTD.</v>
      </c>
      <c r="E313" s="2" t="str">
        <f>IFERROR(__xludf.DUMMYFUNCTION("""COMPUTED_VALUE"""),"RAISHAHEB BAZAR")</f>
        <v>RAISHAHEB BAZAR</v>
      </c>
      <c r="F313" s="3">
        <f>IFERROR(__xludf.DUMMYFUNCTION("""COMPUTED_VALUE"""),550.0)</f>
        <v>550</v>
      </c>
      <c r="G313" s="5">
        <f>IFERROR(__xludf.DUMMYFUNCTION("""COMPUTED_VALUE"""),1.0275504E7)</f>
        <v>10275504</v>
      </c>
    </row>
    <row r="314">
      <c r="A314" s="3">
        <f>IFERROR(__xludf.DUMMYFUNCTION("""COMPUTED_VALUE"""),127.0)</f>
        <v>127</v>
      </c>
      <c r="B314" s="2" t="str">
        <f>IFERROR(__xludf.DUMMYFUNCTION("""COMPUTED_VALUE"""),"DHAKA-SOUTH")</f>
        <v>DHAKA-SOUTH</v>
      </c>
      <c r="C314" s="4">
        <f>IFERROR(__xludf.DUMMYFUNCTION("""COMPUTED_VALUE"""),10.0)</f>
        <v>10</v>
      </c>
      <c r="D314" s="2" t="str">
        <f>IFERROR(__xludf.DUMMYFUNCTION("""COMPUTED_VALUE"""),"AGRANI BANK LTD.")</f>
        <v>AGRANI BANK LTD.</v>
      </c>
      <c r="E314" s="2" t="str">
        <f>IFERROR(__xludf.DUMMYFUNCTION("""COMPUTED_VALUE"""),"RAJUK BHABAN")</f>
        <v>RAJUK BHABAN</v>
      </c>
      <c r="F314" s="3">
        <f>IFERROR(__xludf.DUMMYFUNCTION("""COMPUTED_VALUE"""),562.0)</f>
        <v>562</v>
      </c>
      <c r="G314" s="5">
        <f>IFERROR(__xludf.DUMMYFUNCTION("""COMPUTED_VALUE"""),1.0275625E7)</f>
        <v>10275625</v>
      </c>
    </row>
    <row r="315">
      <c r="A315" s="3">
        <f>IFERROR(__xludf.DUMMYFUNCTION("""COMPUTED_VALUE"""),127.0)</f>
        <v>127</v>
      </c>
      <c r="B315" s="2" t="str">
        <f>IFERROR(__xludf.DUMMYFUNCTION("""COMPUTED_VALUE"""),"DHAKA-SOUTH")</f>
        <v>DHAKA-SOUTH</v>
      </c>
      <c r="C315" s="4">
        <f>IFERROR(__xludf.DUMMYFUNCTION("""COMPUTED_VALUE"""),10.0)</f>
        <v>10</v>
      </c>
      <c r="D315" s="2" t="str">
        <f>IFERROR(__xludf.DUMMYFUNCTION("""COMPUTED_VALUE"""),"AGRANI BANK LTD.")</f>
        <v>AGRANI BANK LTD.</v>
      </c>
      <c r="E315" s="2" t="str">
        <f>IFERROR(__xludf.DUMMYFUNCTION("""COMPUTED_VALUE"""),"RAMNA")</f>
        <v>RAMNA</v>
      </c>
      <c r="F315" s="3">
        <f>IFERROR(__xludf.DUMMYFUNCTION("""COMPUTED_VALUE"""),568.0)</f>
        <v>568</v>
      </c>
      <c r="G315" s="5">
        <f>IFERROR(__xludf.DUMMYFUNCTION("""COMPUTED_VALUE"""),1.0275683E7)</f>
        <v>10275683</v>
      </c>
    </row>
    <row r="316">
      <c r="A316" s="3">
        <f>IFERROR(__xludf.DUMMYFUNCTION("""COMPUTED_VALUE"""),127.0)</f>
        <v>127</v>
      </c>
      <c r="B316" s="2" t="str">
        <f>IFERROR(__xludf.DUMMYFUNCTION("""COMPUTED_VALUE"""),"DHAKA-SOUTH")</f>
        <v>DHAKA-SOUTH</v>
      </c>
      <c r="C316" s="4">
        <f>IFERROR(__xludf.DUMMYFUNCTION("""COMPUTED_VALUE"""),10.0)</f>
        <v>10</v>
      </c>
      <c r="D316" s="2" t="str">
        <f>IFERROR(__xludf.DUMMYFUNCTION("""COMPUTED_VALUE"""),"AGRANI BANK LTD.")</f>
        <v>AGRANI BANK LTD.</v>
      </c>
      <c r="E316" s="2" t="str">
        <f>IFERROR(__xludf.DUMMYFUNCTION("""COMPUTED_VALUE"""),"RAMPURA")</f>
        <v>RAMPURA</v>
      </c>
      <c r="F316" s="3">
        <f>IFERROR(__xludf.DUMMYFUNCTION("""COMPUTED_VALUE"""),574.0)</f>
        <v>574</v>
      </c>
      <c r="G316" s="5">
        <f>IFERROR(__xludf.DUMMYFUNCTION("""COMPUTED_VALUE"""),1.0275746E7)</f>
        <v>10275746</v>
      </c>
    </row>
    <row r="317">
      <c r="A317" s="3">
        <f>IFERROR(__xludf.DUMMYFUNCTION("""COMPUTED_VALUE"""),127.0)</f>
        <v>127</v>
      </c>
      <c r="B317" s="2" t="str">
        <f>IFERROR(__xludf.DUMMYFUNCTION("""COMPUTED_VALUE"""),"DHAKA-SOUTH")</f>
        <v>DHAKA-SOUTH</v>
      </c>
      <c r="C317" s="4">
        <f>IFERROR(__xludf.DUMMYFUNCTION("""COMPUTED_VALUE"""),10.0)</f>
        <v>10</v>
      </c>
      <c r="D317" s="2" t="str">
        <f>IFERROR(__xludf.DUMMYFUNCTION("""COMPUTED_VALUE"""),"AGRANI BANK LTD.")</f>
        <v>AGRANI BANK LTD.</v>
      </c>
      <c r="E317" s="2" t="str">
        <f>IFERROR(__xludf.DUMMYFUNCTION("""COMPUTED_VALUE"""),"S.S. COLLEGE")</f>
        <v>S.S. COLLEGE</v>
      </c>
      <c r="F317" s="3">
        <f>IFERROR(__xludf.DUMMYFUNCTION("""COMPUTED_VALUE"""),589.0)</f>
        <v>589</v>
      </c>
      <c r="G317" s="5">
        <f>IFERROR(__xludf.DUMMYFUNCTION("""COMPUTED_VALUE"""),1.0275896E7)</f>
        <v>10275896</v>
      </c>
    </row>
    <row r="318">
      <c r="A318" s="3">
        <f>IFERROR(__xludf.DUMMYFUNCTION("""COMPUTED_VALUE"""),127.0)</f>
        <v>127</v>
      </c>
      <c r="B318" s="2" t="str">
        <f>IFERROR(__xludf.DUMMYFUNCTION("""COMPUTED_VALUE"""),"DHAKA-SOUTH")</f>
        <v>DHAKA-SOUTH</v>
      </c>
      <c r="C318" s="4">
        <f>IFERROR(__xludf.DUMMYFUNCTION("""COMPUTED_VALUE"""),10.0)</f>
        <v>10</v>
      </c>
      <c r="D318" s="2" t="str">
        <f>IFERROR(__xludf.DUMMYFUNCTION("""COMPUTED_VALUE"""),"AGRANI BANK LTD.")</f>
        <v>AGRANI BANK LTD.</v>
      </c>
      <c r="E318" s="2" t="str">
        <f>IFERROR(__xludf.DUMMYFUNCTION("""COMPUTED_VALUE"""),"SADARGHAT")</f>
        <v>SADARGHAT</v>
      </c>
      <c r="F318" s="3">
        <f>IFERROR(__xludf.DUMMYFUNCTION("""COMPUTED_VALUE"""),592.0)</f>
        <v>592</v>
      </c>
      <c r="G318" s="5">
        <f>IFERROR(__xludf.DUMMYFUNCTION("""COMPUTED_VALUE"""),1.027592E7)</f>
        <v>10275920</v>
      </c>
    </row>
    <row r="319">
      <c r="A319" s="3">
        <f>IFERROR(__xludf.DUMMYFUNCTION("""COMPUTED_VALUE"""),127.0)</f>
        <v>127</v>
      </c>
      <c r="B319" s="2" t="str">
        <f>IFERROR(__xludf.DUMMYFUNCTION("""COMPUTED_VALUE"""),"DHAKA-SOUTH")</f>
        <v>DHAKA-SOUTH</v>
      </c>
      <c r="C319" s="4">
        <f>IFERROR(__xludf.DUMMYFUNCTION("""COMPUTED_VALUE"""),10.0)</f>
        <v>10</v>
      </c>
      <c r="D319" s="2" t="str">
        <f>IFERROR(__xludf.DUMMYFUNCTION("""COMPUTED_VALUE"""),"AGRANI BANK LTD.")</f>
        <v>AGRANI BANK LTD.</v>
      </c>
      <c r="E319" s="2" t="str">
        <f>IFERROR(__xludf.DUMMYFUNCTION("""COMPUTED_VALUE"""),"SANTINAGAR")</f>
        <v>SANTINAGAR</v>
      </c>
      <c r="F319" s="3">
        <f>IFERROR(__xludf.DUMMYFUNCTION("""COMPUTED_VALUE"""),601.0)</f>
        <v>601</v>
      </c>
      <c r="G319" s="5">
        <f>IFERROR(__xludf.DUMMYFUNCTION("""COMPUTED_VALUE"""),1.0276011E7)</f>
        <v>10276011</v>
      </c>
    </row>
    <row r="320">
      <c r="A320" s="3">
        <f>IFERROR(__xludf.DUMMYFUNCTION("""COMPUTED_VALUE"""),127.0)</f>
        <v>127</v>
      </c>
      <c r="B320" s="2" t="str">
        <f>IFERROR(__xludf.DUMMYFUNCTION("""COMPUTED_VALUE"""),"DHAKA-SOUTH")</f>
        <v>DHAKA-SOUTH</v>
      </c>
      <c r="C320" s="4">
        <f>IFERROR(__xludf.DUMMYFUNCTION("""COMPUTED_VALUE"""),10.0)</f>
        <v>10</v>
      </c>
      <c r="D320" s="2" t="str">
        <f>IFERROR(__xludf.DUMMYFUNCTION("""COMPUTED_VALUE"""),"AGRANI BANK LTD.")</f>
        <v>AGRANI BANK LTD.</v>
      </c>
      <c r="E320" s="2" t="str">
        <f>IFERROR(__xludf.DUMMYFUNCTION("""COMPUTED_VALUE"""),"THATARI BAZAR")</f>
        <v>THATARI BAZAR</v>
      </c>
      <c r="F320" s="3">
        <f>IFERROR(__xludf.DUMMYFUNCTION("""COMPUTED_VALUE"""),667.0)</f>
        <v>667</v>
      </c>
      <c r="G320" s="5">
        <f>IFERROR(__xludf.DUMMYFUNCTION("""COMPUTED_VALUE"""),1.0276679E7)</f>
        <v>10276679</v>
      </c>
    </row>
    <row r="321">
      <c r="A321" s="3">
        <f>IFERROR(__xludf.DUMMYFUNCTION("""COMPUTED_VALUE"""),127.0)</f>
        <v>127</v>
      </c>
      <c r="B321" s="2" t="str">
        <f>IFERROR(__xludf.DUMMYFUNCTION("""COMPUTED_VALUE"""),"DHAKA-SOUTH")</f>
        <v>DHAKA-SOUTH</v>
      </c>
      <c r="C321" s="4">
        <f>IFERROR(__xludf.DUMMYFUNCTION("""COMPUTED_VALUE"""),10.0)</f>
        <v>10</v>
      </c>
      <c r="D321" s="2" t="str">
        <f>IFERROR(__xludf.DUMMYFUNCTION("""COMPUTED_VALUE"""),"AGRANI BANK LTD.")</f>
        <v>AGRANI BANK LTD.</v>
      </c>
      <c r="E321" s="2" t="str">
        <f>IFERROR(__xludf.DUMMYFUNCTION("""COMPUTED_VALUE"""),"WAPDA")</f>
        <v>WAPDA</v>
      </c>
      <c r="F321" s="3">
        <f>IFERROR(__xludf.DUMMYFUNCTION("""COMPUTED_VALUE"""),694.0)</f>
        <v>694</v>
      </c>
      <c r="G321" s="5">
        <f>IFERROR(__xludf.DUMMYFUNCTION("""COMPUTED_VALUE"""),1.0276945E7)</f>
        <v>10276945</v>
      </c>
    </row>
    <row r="322">
      <c r="A322" s="3">
        <f>IFERROR(__xludf.DUMMYFUNCTION("""COMPUTED_VALUE"""),127.0)</f>
        <v>127</v>
      </c>
      <c r="B322" s="2" t="str">
        <f>IFERROR(__xludf.DUMMYFUNCTION("""COMPUTED_VALUE"""),"DHAKA-SOUTH")</f>
        <v>DHAKA-SOUTH</v>
      </c>
      <c r="C322" s="4">
        <f>IFERROR(__xludf.DUMMYFUNCTION("""COMPUTED_VALUE"""),10.0)</f>
        <v>10</v>
      </c>
      <c r="D322" s="2" t="str">
        <f>IFERROR(__xludf.DUMMYFUNCTION("""COMPUTED_VALUE"""),"AGRANI BANK LTD.")</f>
        <v>AGRANI BANK LTD.</v>
      </c>
      <c r="E322" s="2" t="str">
        <f>IFERROR(__xludf.DUMMYFUNCTION("""COMPUTED_VALUE"""),"ZINZIRA")</f>
        <v>ZINZIRA</v>
      </c>
      <c r="F322" s="3">
        <f>IFERROR(__xludf.DUMMYFUNCTION("""COMPUTED_VALUE"""),709.0)</f>
        <v>709</v>
      </c>
      <c r="G322" s="5">
        <f>IFERROR(__xludf.DUMMYFUNCTION("""COMPUTED_VALUE"""),1.0277094E7)</f>
        <v>10277094</v>
      </c>
    </row>
    <row r="323">
      <c r="A323" s="3">
        <f>IFERROR(__xludf.DUMMYFUNCTION("""COMPUTED_VALUE"""),728.0)</f>
        <v>728</v>
      </c>
      <c r="B323" s="2" t="str">
        <f>IFERROR(__xludf.DUMMYFUNCTION("""COMPUTED_VALUE"""),"DINAJPUR")</f>
        <v>DINAJPUR</v>
      </c>
      <c r="C323" s="4">
        <f>IFERROR(__xludf.DUMMYFUNCTION("""COMPUTED_VALUE"""),10.0)</f>
        <v>10</v>
      </c>
      <c r="D323" s="2" t="str">
        <f>IFERROR(__xludf.DUMMYFUNCTION("""COMPUTED_VALUE"""),"AGRANI BANK LTD.")</f>
        <v>AGRANI BANK LTD.</v>
      </c>
      <c r="E323" s="2" t="str">
        <f>IFERROR(__xludf.DUMMYFUNCTION("""COMPUTED_VALUE"""),"AMTALI")</f>
        <v>AMTALI</v>
      </c>
      <c r="F323" s="3">
        <f>IFERROR(__xludf.DUMMYFUNCTION("""COMPUTED_VALUE"""),7.0)</f>
        <v>7</v>
      </c>
      <c r="G323" s="5">
        <f>IFERROR(__xludf.DUMMYFUNCTION("""COMPUTED_VALUE"""),1.0280078E7)</f>
        <v>10280078</v>
      </c>
    </row>
    <row r="324">
      <c r="A324" s="3">
        <f>IFERROR(__xludf.DUMMYFUNCTION("""COMPUTED_VALUE"""),728.0)</f>
        <v>728</v>
      </c>
      <c r="B324" s="2" t="str">
        <f>IFERROR(__xludf.DUMMYFUNCTION("""COMPUTED_VALUE"""),"DINAJPUR")</f>
        <v>DINAJPUR</v>
      </c>
      <c r="C324" s="4">
        <f>IFERROR(__xludf.DUMMYFUNCTION("""COMPUTED_VALUE"""),10.0)</f>
        <v>10</v>
      </c>
      <c r="D324" s="2" t="str">
        <f>IFERROR(__xludf.DUMMYFUNCTION("""COMPUTED_VALUE"""),"AGRANI BANK LTD.")</f>
        <v>AGRANI BANK LTD.</v>
      </c>
      <c r="E324" s="2" t="str">
        <f>IFERROR(__xludf.DUMMYFUNCTION("""COMPUTED_VALUE"""),"BHUSHIR BANDAR")</f>
        <v>BHUSHIR BANDAR</v>
      </c>
      <c r="F324" s="3">
        <f>IFERROR(__xludf.DUMMYFUNCTION("""COMPUTED_VALUE"""),28.0)</f>
        <v>28</v>
      </c>
      <c r="G324" s="5">
        <f>IFERROR(__xludf.DUMMYFUNCTION("""COMPUTED_VALUE"""),1.0280281E7)</f>
        <v>10280281</v>
      </c>
    </row>
    <row r="325">
      <c r="A325" s="3">
        <f>IFERROR(__xludf.DUMMYFUNCTION("""COMPUTED_VALUE"""),728.0)</f>
        <v>728</v>
      </c>
      <c r="B325" s="2" t="str">
        <f>IFERROR(__xludf.DUMMYFUNCTION("""COMPUTED_VALUE"""),"DINAJPUR")</f>
        <v>DINAJPUR</v>
      </c>
      <c r="C325" s="4">
        <f>IFERROR(__xludf.DUMMYFUNCTION("""COMPUTED_VALUE"""),10.0)</f>
        <v>10</v>
      </c>
      <c r="D325" s="2" t="str">
        <f>IFERROR(__xludf.DUMMYFUNCTION("""COMPUTED_VALUE"""),"AGRANI BANK LTD.")</f>
        <v>AGRANI BANK LTD.</v>
      </c>
      <c r="E325" s="2" t="str">
        <f>IFERROR(__xludf.DUMMYFUNCTION("""COMPUTED_VALUE"""),"BIRAMPUR")</f>
        <v>BIRAMPUR</v>
      </c>
      <c r="F325" s="3">
        <f>IFERROR(__xludf.DUMMYFUNCTION("""COMPUTED_VALUE"""),34.0)</f>
        <v>34</v>
      </c>
      <c r="G325" s="5">
        <f>IFERROR(__xludf.DUMMYFUNCTION("""COMPUTED_VALUE"""),1.0280344E7)</f>
        <v>10280344</v>
      </c>
    </row>
    <row r="326">
      <c r="A326" s="3">
        <f>IFERROR(__xludf.DUMMYFUNCTION("""COMPUTED_VALUE"""),728.0)</f>
        <v>728</v>
      </c>
      <c r="B326" s="2" t="str">
        <f>IFERROR(__xludf.DUMMYFUNCTION("""COMPUTED_VALUE"""),"DINAJPUR")</f>
        <v>DINAJPUR</v>
      </c>
      <c r="C326" s="4">
        <f>IFERROR(__xludf.DUMMYFUNCTION("""COMPUTED_VALUE"""),10.0)</f>
        <v>10</v>
      </c>
      <c r="D326" s="2" t="str">
        <f>IFERROR(__xludf.DUMMYFUNCTION("""COMPUTED_VALUE"""),"AGRANI BANK LTD.")</f>
        <v>AGRANI BANK LTD.</v>
      </c>
      <c r="E326" s="2" t="str">
        <f>IFERROR(__xludf.DUMMYFUNCTION("""COMPUTED_VALUE"""),"BIRGANJ")</f>
        <v>BIRGANJ</v>
      </c>
      <c r="F326" s="3">
        <f>IFERROR(__xludf.DUMMYFUNCTION("""COMPUTED_VALUE"""),37.0)</f>
        <v>37</v>
      </c>
      <c r="G326" s="5">
        <f>IFERROR(__xludf.DUMMYFUNCTION("""COMPUTED_VALUE"""),1.0280373E7)</f>
        <v>10280373</v>
      </c>
    </row>
    <row r="327">
      <c r="A327" s="3">
        <f>IFERROR(__xludf.DUMMYFUNCTION("""COMPUTED_VALUE"""),728.0)</f>
        <v>728</v>
      </c>
      <c r="B327" s="2" t="str">
        <f>IFERROR(__xludf.DUMMYFUNCTION("""COMPUTED_VALUE"""),"DINAJPUR")</f>
        <v>DINAJPUR</v>
      </c>
      <c r="C327" s="4">
        <f>IFERROR(__xludf.DUMMYFUNCTION("""COMPUTED_VALUE"""),10.0)</f>
        <v>10</v>
      </c>
      <c r="D327" s="2" t="str">
        <f>IFERROR(__xludf.DUMMYFUNCTION("""COMPUTED_VALUE"""),"AGRANI BANK LTD.")</f>
        <v>AGRANI BANK LTD.</v>
      </c>
      <c r="E327" s="2" t="str">
        <f>IFERROR(__xludf.DUMMYFUNCTION("""COMPUTED_VALUE"""),"HAKIMPUR")</f>
        <v>HAKIMPUR</v>
      </c>
      <c r="F327" s="3">
        <f>IFERROR(__xludf.DUMMYFUNCTION("""COMPUTED_VALUE"""),91.0)</f>
        <v>91</v>
      </c>
      <c r="G327" s="5">
        <f>IFERROR(__xludf.DUMMYFUNCTION("""COMPUTED_VALUE"""),1.0280915E7)</f>
        <v>10280915</v>
      </c>
    </row>
    <row r="328">
      <c r="A328" s="3">
        <f>IFERROR(__xludf.DUMMYFUNCTION("""COMPUTED_VALUE"""),728.0)</f>
        <v>728</v>
      </c>
      <c r="B328" s="2" t="str">
        <f>IFERROR(__xludf.DUMMYFUNCTION("""COMPUTED_VALUE"""),"DINAJPUR")</f>
        <v>DINAJPUR</v>
      </c>
      <c r="C328" s="4">
        <f>IFERROR(__xludf.DUMMYFUNCTION("""COMPUTED_VALUE"""),10.0)</f>
        <v>10</v>
      </c>
      <c r="D328" s="2" t="str">
        <f>IFERROR(__xludf.DUMMYFUNCTION("""COMPUTED_VALUE"""),"AGRANI BANK LTD.")</f>
        <v>AGRANI BANK LTD.</v>
      </c>
      <c r="E328" s="2" t="str">
        <f>IFERROR(__xludf.DUMMYFUNCTION("""COMPUTED_VALUE"""),"KAMOLPUR")</f>
        <v>KAMOLPUR</v>
      </c>
      <c r="F328" s="3">
        <f>IFERROR(__xludf.DUMMYFUNCTION("""COMPUTED_VALUE"""),115.0)</f>
        <v>115</v>
      </c>
      <c r="G328" s="5">
        <f>IFERROR(__xludf.DUMMYFUNCTION("""COMPUTED_VALUE"""),1.0281156E7)</f>
        <v>10281156</v>
      </c>
    </row>
    <row r="329">
      <c r="A329" s="3">
        <f>IFERROR(__xludf.DUMMYFUNCTION("""COMPUTED_VALUE"""),728.0)</f>
        <v>728</v>
      </c>
      <c r="B329" s="2" t="str">
        <f>IFERROR(__xludf.DUMMYFUNCTION("""COMPUTED_VALUE"""),"DINAJPUR")</f>
        <v>DINAJPUR</v>
      </c>
      <c r="C329" s="4">
        <f>IFERROR(__xludf.DUMMYFUNCTION("""COMPUTED_VALUE"""),10.0)</f>
        <v>10</v>
      </c>
      <c r="D329" s="2" t="str">
        <f>IFERROR(__xludf.DUMMYFUNCTION("""COMPUTED_VALUE"""),"AGRANI BANK LTD.")</f>
        <v>AGRANI BANK LTD.</v>
      </c>
      <c r="E329" s="2" t="str">
        <f>IFERROR(__xludf.DUMMYFUNCTION("""COMPUTED_VALUE"""),"MADILA HAT")</f>
        <v>MADILA HAT</v>
      </c>
      <c r="F329" s="3">
        <f>IFERROR(__xludf.DUMMYFUNCTION("""COMPUTED_VALUE"""),136.0)</f>
        <v>136</v>
      </c>
      <c r="G329" s="5">
        <f>IFERROR(__xludf.DUMMYFUNCTION("""COMPUTED_VALUE"""),1.0281369E7)</f>
        <v>10281369</v>
      </c>
    </row>
    <row r="330">
      <c r="A330" s="3">
        <f>IFERROR(__xludf.DUMMYFUNCTION("""COMPUTED_VALUE"""),728.0)</f>
        <v>728</v>
      </c>
      <c r="B330" s="2" t="str">
        <f>IFERROR(__xludf.DUMMYFUNCTION("""COMPUTED_VALUE"""),"DINAJPUR")</f>
        <v>DINAJPUR</v>
      </c>
      <c r="C330" s="4">
        <f>IFERROR(__xludf.DUMMYFUNCTION("""COMPUTED_VALUE"""),10.0)</f>
        <v>10</v>
      </c>
      <c r="D330" s="2" t="str">
        <f>IFERROR(__xludf.DUMMYFUNCTION("""COMPUTED_VALUE"""),"AGRANI BANK LTD.")</f>
        <v>AGRANI BANK LTD.</v>
      </c>
      <c r="E330" s="2" t="str">
        <f>IFERROR(__xludf.DUMMYFUNCTION("""COMPUTED_VALUE"""),"MALDAH PATTY")</f>
        <v>MALDAH PATTY</v>
      </c>
      <c r="F330" s="3">
        <f>IFERROR(__xludf.DUMMYFUNCTION("""COMPUTED_VALUE"""),142.0)</f>
        <v>142</v>
      </c>
      <c r="G330" s="5">
        <f>IFERROR(__xludf.DUMMYFUNCTION("""COMPUTED_VALUE"""),1.0281422E7)</f>
        <v>10281422</v>
      </c>
    </row>
    <row r="331">
      <c r="A331" s="3">
        <f>IFERROR(__xludf.DUMMYFUNCTION("""COMPUTED_VALUE"""),728.0)</f>
        <v>728</v>
      </c>
      <c r="B331" s="2" t="str">
        <f>IFERROR(__xludf.DUMMYFUNCTION("""COMPUTED_VALUE"""),"DINAJPUR")</f>
        <v>DINAJPUR</v>
      </c>
      <c r="C331" s="4">
        <f>IFERROR(__xludf.DUMMYFUNCTION("""COMPUTED_VALUE"""),10.0)</f>
        <v>10</v>
      </c>
      <c r="D331" s="2" t="str">
        <f>IFERROR(__xludf.DUMMYFUNCTION("""COMPUTED_VALUE"""),"AGRANI BANK LTD.")</f>
        <v>AGRANI BANK LTD.</v>
      </c>
      <c r="E331" s="2" t="str">
        <f>IFERROR(__xludf.DUMMYFUNCTION("""COMPUTED_VALUE"""),"MUNSHIPARA")</f>
        <v>MUNSHIPARA</v>
      </c>
      <c r="F331" s="3">
        <f>IFERROR(__xludf.DUMMYFUNCTION("""COMPUTED_VALUE"""),157.0)</f>
        <v>157</v>
      </c>
      <c r="G331" s="5">
        <f>IFERROR(__xludf.DUMMYFUNCTION("""COMPUTED_VALUE"""),1.0281572E7)</f>
        <v>10281572</v>
      </c>
    </row>
    <row r="332">
      <c r="A332" s="3">
        <f>IFERROR(__xludf.DUMMYFUNCTION("""COMPUTED_VALUE"""),728.0)</f>
        <v>728</v>
      </c>
      <c r="B332" s="2" t="str">
        <f>IFERROR(__xludf.DUMMYFUNCTION("""COMPUTED_VALUE"""),"DINAJPUR")</f>
        <v>DINAJPUR</v>
      </c>
      <c r="C332" s="4">
        <f>IFERROR(__xludf.DUMMYFUNCTION("""COMPUTED_VALUE"""),10.0)</f>
        <v>10</v>
      </c>
      <c r="D332" s="2" t="str">
        <f>IFERROR(__xludf.DUMMYFUNCTION("""COMPUTED_VALUE"""),"AGRANI BANK LTD.")</f>
        <v>AGRANI BANK LTD.</v>
      </c>
      <c r="E332" s="2" t="str">
        <f>IFERROR(__xludf.DUMMYFUNCTION("""COMPUTED_VALUE"""),"NAWABGANJ")</f>
        <v>NAWABGANJ</v>
      </c>
      <c r="F332" s="3">
        <f>IFERROR(__xludf.DUMMYFUNCTION("""COMPUTED_VALUE"""),163.0)</f>
        <v>163</v>
      </c>
      <c r="G332" s="5">
        <f>IFERROR(__xludf.DUMMYFUNCTION("""COMPUTED_VALUE"""),1.0281635E7)</f>
        <v>10281635</v>
      </c>
    </row>
    <row r="333">
      <c r="A333" s="3">
        <f>IFERROR(__xludf.DUMMYFUNCTION("""COMPUTED_VALUE"""),728.0)</f>
        <v>728</v>
      </c>
      <c r="B333" s="2" t="str">
        <f>IFERROR(__xludf.DUMMYFUNCTION("""COMPUTED_VALUE"""),"DINAJPUR")</f>
        <v>DINAJPUR</v>
      </c>
      <c r="C333" s="4">
        <f>IFERROR(__xludf.DUMMYFUNCTION("""COMPUTED_VALUE"""),10.0)</f>
        <v>10</v>
      </c>
      <c r="D333" s="2" t="str">
        <f>IFERROR(__xludf.DUMMYFUNCTION("""COMPUTED_VALUE"""),"AGRANI BANK LTD.")</f>
        <v>AGRANI BANK LTD.</v>
      </c>
      <c r="E333" s="2" t="str">
        <f>IFERROR(__xludf.DUMMYFUNCTION("""COMPUTED_VALUE"""),"PARBATIPUR")</f>
        <v>PARBATIPUR</v>
      </c>
      <c r="F333" s="3">
        <f>IFERROR(__xludf.DUMMYFUNCTION("""COMPUTED_VALUE"""),181.0)</f>
        <v>181</v>
      </c>
      <c r="G333" s="5">
        <f>IFERROR(__xludf.DUMMYFUNCTION("""COMPUTED_VALUE"""),1.0281819E7)</f>
        <v>10281819</v>
      </c>
    </row>
    <row r="334">
      <c r="A334" s="3">
        <f>IFERROR(__xludf.DUMMYFUNCTION("""COMPUTED_VALUE"""),728.0)</f>
        <v>728</v>
      </c>
      <c r="B334" s="2" t="str">
        <f>IFERROR(__xludf.DUMMYFUNCTION("""COMPUTED_VALUE"""),"DINAJPUR")</f>
        <v>DINAJPUR</v>
      </c>
      <c r="C334" s="4">
        <f>IFERROR(__xludf.DUMMYFUNCTION("""COMPUTED_VALUE"""),10.0)</f>
        <v>10</v>
      </c>
      <c r="D334" s="2" t="str">
        <f>IFERROR(__xludf.DUMMYFUNCTION("""COMPUTED_VALUE"""),"AGRANI BANK LTD.")</f>
        <v>AGRANI BANK LTD.</v>
      </c>
      <c r="E334" s="2" t="str">
        <f>IFERROR(__xludf.DUMMYFUNCTION("""COMPUTED_VALUE"""),"PHUL HAT")</f>
        <v>PHUL HAT</v>
      </c>
      <c r="F334" s="3">
        <f>IFERROR(__xludf.DUMMYFUNCTION("""COMPUTED_VALUE"""),184.0)</f>
        <v>184</v>
      </c>
      <c r="G334" s="5">
        <f>IFERROR(__xludf.DUMMYFUNCTION("""COMPUTED_VALUE"""),1.0281848E7)</f>
        <v>10281848</v>
      </c>
    </row>
    <row r="335">
      <c r="A335" s="3">
        <f>IFERROR(__xludf.DUMMYFUNCTION("""COMPUTED_VALUE"""),728.0)</f>
        <v>728</v>
      </c>
      <c r="B335" s="2" t="str">
        <f>IFERROR(__xludf.DUMMYFUNCTION("""COMPUTED_VALUE"""),"DINAJPUR")</f>
        <v>DINAJPUR</v>
      </c>
      <c r="C335" s="4">
        <f>IFERROR(__xludf.DUMMYFUNCTION("""COMPUTED_VALUE"""),10.0)</f>
        <v>10</v>
      </c>
      <c r="D335" s="2" t="str">
        <f>IFERROR(__xludf.DUMMYFUNCTION("""COMPUTED_VALUE"""),"AGRANI BANK LTD.")</f>
        <v>AGRANI BANK LTD.</v>
      </c>
      <c r="E335" s="2" t="str">
        <f>IFERROR(__xludf.DUMMYFUNCTION("""COMPUTED_VALUE"""),"PHULBARI")</f>
        <v>PHULBARI</v>
      </c>
      <c r="F335" s="3">
        <f>IFERROR(__xludf.DUMMYFUNCTION("""COMPUTED_VALUE"""),187.0)</f>
        <v>187</v>
      </c>
      <c r="G335" s="5">
        <f>IFERROR(__xludf.DUMMYFUNCTION("""COMPUTED_VALUE"""),1.0281877E7)</f>
        <v>10281877</v>
      </c>
    </row>
    <row r="336">
      <c r="A336" s="3">
        <f>IFERROR(__xludf.DUMMYFUNCTION("""COMPUTED_VALUE"""),728.0)</f>
        <v>728</v>
      </c>
      <c r="B336" s="2" t="str">
        <f>IFERROR(__xludf.DUMMYFUNCTION("""COMPUTED_VALUE"""),"DINAJPUR")</f>
        <v>DINAJPUR</v>
      </c>
      <c r="C336" s="4">
        <f>IFERROR(__xludf.DUMMYFUNCTION("""COMPUTED_VALUE"""),10.0)</f>
        <v>10</v>
      </c>
      <c r="D336" s="2" t="str">
        <f>IFERROR(__xludf.DUMMYFUNCTION("""COMPUTED_VALUE"""),"AGRANI BANK LTD.")</f>
        <v>AGRANI BANK LTD.</v>
      </c>
      <c r="E336" s="2" t="str">
        <f>IFERROR(__xludf.DUMMYFUNCTION("""COMPUTED_VALUE"""),"PURATAN BAZAR")</f>
        <v>PURATAN BAZAR</v>
      </c>
      <c r="F336" s="3">
        <f>IFERROR(__xludf.DUMMYFUNCTION("""COMPUTED_VALUE"""),196.0)</f>
        <v>196</v>
      </c>
      <c r="G336" s="5">
        <f>IFERROR(__xludf.DUMMYFUNCTION("""COMPUTED_VALUE"""),1.0281969E7)</f>
        <v>10281969</v>
      </c>
    </row>
    <row r="337">
      <c r="A337" s="3">
        <f>IFERROR(__xludf.DUMMYFUNCTION("""COMPUTED_VALUE"""),728.0)</f>
        <v>728</v>
      </c>
      <c r="B337" s="2" t="str">
        <f>IFERROR(__xludf.DUMMYFUNCTION("""COMPUTED_VALUE"""),"DINAJPUR")</f>
        <v>DINAJPUR</v>
      </c>
      <c r="C337" s="4">
        <f>IFERROR(__xludf.DUMMYFUNCTION("""COMPUTED_VALUE"""),10.0)</f>
        <v>10</v>
      </c>
      <c r="D337" s="2" t="str">
        <f>IFERROR(__xludf.DUMMYFUNCTION("""COMPUTED_VALUE"""),"AGRANI BANK LTD.")</f>
        <v>AGRANI BANK LTD.</v>
      </c>
      <c r="E337" s="2" t="str">
        <f>IFERROR(__xludf.DUMMYFUNCTION("""COMPUTED_VALUE"""),"SETABGANJ")</f>
        <v>SETABGANJ</v>
      </c>
      <c r="F337" s="3">
        <f>IFERROR(__xludf.DUMMYFUNCTION("""COMPUTED_VALUE"""),217.0)</f>
        <v>217</v>
      </c>
      <c r="G337" s="5">
        <f>IFERROR(__xludf.DUMMYFUNCTION("""COMPUTED_VALUE"""),1.0282171E7)</f>
        <v>10282171</v>
      </c>
    </row>
    <row r="338">
      <c r="A338" s="3">
        <f>IFERROR(__xludf.DUMMYFUNCTION("""COMPUTED_VALUE"""),728.0)</f>
        <v>728</v>
      </c>
      <c r="B338" s="2" t="str">
        <f>IFERROR(__xludf.DUMMYFUNCTION("""COMPUTED_VALUE"""),"DINAJPUR")</f>
        <v>DINAJPUR</v>
      </c>
      <c r="C338" s="4">
        <f>IFERROR(__xludf.DUMMYFUNCTION("""COMPUTED_VALUE"""),10.0)</f>
        <v>10</v>
      </c>
      <c r="D338" s="2" t="str">
        <f>IFERROR(__xludf.DUMMYFUNCTION("""COMPUTED_VALUE"""),"AGRANI BANK LTD.")</f>
        <v>AGRANI BANK LTD.</v>
      </c>
      <c r="E338" s="2" t="str">
        <f>IFERROR(__xludf.DUMMYFUNCTION("""COMPUTED_VALUE"""),"STATION ROAD")</f>
        <v>STATION ROAD</v>
      </c>
      <c r="F338" s="3">
        <f>IFERROR(__xludf.DUMMYFUNCTION("""COMPUTED_VALUE"""),232.0)</f>
        <v>232</v>
      </c>
      <c r="G338" s="5">
        <f>IFERROR(__xludf.DUMMYFUNCTION("""COMPUTED_VALUE"""),1.0282326E7)</f>
        <v>10282326</v>
      </c>
    </row>
    <row r="339">
      <c r="A339" s="3">
        <f>IFERROR(__xludf.DUMMYFUNCTION("""COMPUTED_VALUE"""),728.0)</f>
        <v>728</v>
      </c>
      <c r="B339" s="2" t="str">
        <f>IFERROR(__xludf.DUMMYFUNCTION("""COMPUTED_VALUE"""),"DINAJPUR")</f>
        <v>DINAJPUR</v>
      </c>
      <c r="C339" s="4">
        <f>IFERROR(__xludf.DUMMYFUNCTION("""COMPUTED_VALUE"""),10.0)</f>
        <v>10</v>
      </c>
      <c r="D339" s="2" t="str">
        <f>IFERROR(__xludf.DUMMYFUNCTION("""COMPUTED_VALUE"""),"AGRANI BANK LTD.")</f>
        <v>AGRANI BANK LTD.</v>
      </c>
      <c r="E339" s="2" t="str">
        <f>IFERROR(__xludf.DUMMYFUNCTION("""COMPUTED_VALUE"""),"TAJPURHAT")</f>
        <v>TAJPURHAT</v>
      </c>
      <c r="F339" s="3">
        <f>IFERROR(__xludf.DUMMYFUNCTION("""COMPUTED_VALUE"""),241.0)</f>
        <v>241</v>
      </c>
      <c r="G339" s="5">
        <f>IFERROR(__xludf.DUMMYFUNCTION("""COMPUTED_VALUE"""),1.0282418E7)</f>
        <v>10282418</v>
      </c>
    </row>
    <row r="340">
      <c r="A340" s="3">
        <f>IFERROR(__xludf.DUMMYFUNCTION("""COMPUTED_VALUE"""),329.0)</f>
        <v>329</v>
      </c>
      <c r="B340" s="2" t="str">
        <f>IFERROR(__xludf.DUMMYFUNCTION("""COMPUTED_VALUE"""),"FARIDPUR")</f>
        <v>FARIDPUR</v>
      </c>
      <c r="C340" s="4">
        <f>IFERROR(__xludf.DUMMYFUNCTION("""COMPUTED_VALUE"""),10.0)</f>
        <v>10</v>
      </c>
      <c r="D340" s="2" t="str">
        <f>IFERROR(__xludf.DUMMYFUNCTION("""COMPUTED_VALUE"""),"AGRANI BANK LTD.")</f>
        <v>AGRANI BANK LTD.</v>
      </c>
      <c r="E340" s="2" t="str">
        <f>IFERROR(__xludf.DUMMYFUNCTION("""COMPUTED_VALUE"""),"BADARPUR")</f>
        <v>BADARPUR</v>
      </c>
      <c r="F340" s="3">
        <f>IFERROR(__xludf.DUMMYFUNCTION("""COMPUTED_VALUE"""),16.0)</f>
        <v>16</v>
      </c>
      <c r="G340" s="5">
        <f>IFERROR(__xludf.DUMMYFUNCTION("""COMPUTED_VALUE"""),1.0290163E7)</f>
        <v>10290163</v>
      </c>
    </row>
    <row r="341">
      <c r="A341" s="3">
        <f>IFERROR(__xludf.DUMMYFUNCTION("""COMPUTED_VALUE"""),329.0)</f>
        <v>329</v>
      </c>
      <c r="B341" s="2" t="str">
        <f>IFERROR(__xludf.DUMMYFUNCTION("""COMPUTED_VALUE"""),"FARIDPUR")</f>
        <v>FARIDPUR</v>
      </c>
      <c r="C341" s="4">
        <f>IFERROR(__xludf.DUMMYFUNCTION("""COMPUTED_VALUE"""),10.0)</f>
        <v>10</v>
      </c>
      <c r="D341" s="2" t="str">
        <f>IFERROR(__xludf.DUMMYFUNCTION("""COMPUTED_VALUE"""),"AGRANI BANK LTD.")</f>
        <v>AGRANI BANK LTD.</v>
      </c>
      <c r="E341" s="2" t="str">
        <f>IFERROR(__xludf.DUMMYFUNCTION("""COMPUTED_VALUE"""),"BHANGA")</f>
        <v>BHANGA</v>
      </c>
      <c r="F341" s="3">
        <f>IFERROR(__xludf.DUMMYFUNCTION("""COMPUTED_VALUE"""),28.0)</f>
        <v>28</v>
      </c>
      <c r="G341" s="5">
        <f>IFERROR(__xludf.DUMMYFUNCTION("""COMPUTED_VALUE"""),1.0290284E7)</f>
        <v>10290284</v>
      </c>
    </row>
    <row r="342">
      <c r="A342" s="3">
        <f>IFERROR(__xludf.DUMMYFUNCTION("""COMPUTED_VALUE"""),329.0)</f>
        <v>329</v>
      </c>
      <c r="B342" s="2" t="str">
        <f>IFERROR(__xludf.DUMMYFUNCTION("""COMPUTED_VALUE"""),"FARIDPUR")</f>
        <v>FARIDPUR</v>
      </c>
      <c r="C342" s="4">
        <f>IFERROR(__xludf.DUMMYFUNCTION("""COMPUTED_VALUE"""),10.0)</f>
        <v>10</v>
      </c>
      <c r="D342" s="2" t="str">
        <f>IFERROR(__xludf.DUMMYFUNCTION("""COMPUTED_VALUE"""),"AGRANI BANK LTD.")</f>
        <v>AGRANI BANK LTD.</v>
      </c>
      <c r="E342" s="2" t="str">
        <f>IFERROR(__xludf.DUMMYFUNCTION("""COMPUTED_VALUE"""),"BOALMARI")</f>
        <v>BOALMARI</v>
      </c>
      <c r="F342" s="3">
        <f>IFERROR(__xludf.DUMMYFUNCTION("""COMPUTED_VALUE"""),34.0)</f>
        <v>34</v>
      </c>
      <c r="G342" s="5">
        <f>IFERROR(__xludf.DUMMYFUNCTION("""COMPUTED_VALUE"""),1.0290347E7)</f>
        <v>10290347</v>
      </c>
    </row>
    <row r="343">
      <c r="A343" s="3">
        <f>IFERROR(__xludf.DUMMYFUNCTION("""COMPUTED_VALUE"""),329.0)</f>
        <v>329</v>
      </c>
      <c r="B343" s="2" t="str">
        <f>IFERROR(__xludf.DUMMYFUNCTION("""COMPUTED_VALUE"""),"FARIDPUR")</f>
        <v>FARIDPUR</v>
      </c>
      <c r="C343" s="4">
        <f>IFERROR(__xludf.DUMMYFUNCTION("""COMPUTED_VALUE"""),10.0)</f>
        <v>10</v>
      </c>
      <c r="D343" s="2" t="str">
        <f>IFERROR(__xludf.DUMMYFUNCTION("""COMPUTED_VALUE"""),"AGRANI BANK LTD.")</f>
        <v>AGRANI BANK LTD.</v>
      </c>
      <c r="E343" s="2" t="str">
        <f>IFERROR(__xludf.DUMMYFUNCTION("""COMPUTED_VALUE"""),"BUS STAND")</f>
        <v>BUS STAND</v>
      </c>
      <c r="F343" s="3">
        <f>IFERROR(__xludf.DUMMYFUNCTION("""COMPUTED_VALUE"""),37.0)</f>
        <v>37</v>
      </c>
      <c r="G343" s="5">
        <f>IFERROR(__xludf.DUMMYFUNCTION("""COMPUTED_VALUE"""),1.0290376E7)</f>
        <v>10290376</v>
      </c>
    </row>
    <row r="344">
      <c r="A344" s="3">
        <f>IFERROR(__xludf.DUMMYFUNCTION("""COMPUTED_VALUE"""),329.0)</f>
        <v>329</v>
      </c>
      <c r="B344" s="2" t="str">
        <f>IFERROR(__xludf.DUMMYFUNCTION("""COMPUTED_VALUE"""),"FARIDPUR")</f>
        <v>FARIDPUR</v>
      </c>
      <c r="C344" s="4">
        <f>IFERROR(__xludf.DUMMYFUNCTION("""COMPUTED_VALUE"""),10.0)</f>
        <v>10</v>
      </c>
      <c r="D344" s="2" t="str">
        <f>IFERROR(__xludf.DUMMYFUNCTION("""COMPUTED_VALUE"""),"AGRANI BANK LTD.")</f>
        <v>AGRANI BANK LTD.</v>
      </c>
      <c r="E344" s="2" t="str">
        <f>IFERROR(__xludf.DUMMYFUNCTION("""COMPUTED_VALUE"""),"CHAR BHADRASAN")</f>
        <v>CHAR BHADRASAN</v>
      </c>
      <c r="F344" s="3">
        <f>IFERROR(__xludf.DUMMYFUNCTION("""COMPUTED_VALUE"""),43.0)</f>
        <v>43</v>
      </c>
      <c r="G344" s="5">
        <f>IFERROR(__xludf.DUMMYFUNCTION("""COMPUTED_VALUE"""),1.0290439E7)</f>
        <v>10290439</v>
      </c>
    </row>
    <row r="345">
      <c r="A345" s="3">
        <f>IFERROR(__xludf.DUMMYFUNCTION("""COMPUTED_VALUE"""),329.0)</f>
        <v>329</v>
      </c>
      <c r="B345" s="2" t="str">
        <f>IFERROR(__xludf.DUMMYFUNCTION("""COMPUTED_VALUE"""),"FARIDPUR")</f>
        <v>FARIDPUR</v>
      </c>
      <c r="C345" s="4">
        <f>IFERROR(__xludf.DUMMYFUNCTION("""COMPUTED_VALUE"""),10.0)</f>
        <v>10</v>
      </c>
      <c r="D345" s="2" t="str">
        <f>IFERROR(__xludf.DUMMYFUNCTION("""COMPUTED_VALUE"""),"AGRANI BANK LTD.")</f>
        <v>AGRANI BANK LTD.</v>
      </c>
      <c r="E345" s="2" t="str">
        <f>IFERROR(__xludf.DUMMYFUNCTION("""COMPUTED_VALUE"""),"FARIDPUR")</f>
        <v>FARIDPUR</v>
      </c>
      <c r="F345" s="3">
        <f>IFERROR(__xludf.DUMMYFUNCTION("""COMPUTED_VALUE"""),52.0)</f>
        <v>52</v>
      </c>
      <c r="G345" s="5">
        <f>IFERROR(__xludf.DUMMYFUNCTION("""COMPUTED_VALUE"""),1.0290521E7)</f>
        <v>10290521</v>
      </c>
    </row>
    <row r="346">
      <c r="A346" s="3">
        <f>IFERROR(__xludf.DUMMYFUNCTION("""COMPUTED_VALUE"""),329.0)</f>
        <v>329</v>
      </c>
      <c r="B346" s="2" t="str">
        <f>IFERROR(__xludf.DUMMYFUNCTION("""COMPUTED_VALUE"""),"FARIDPUR")</f>
        <v>FARIDPUR</v>
      </c>
      <c r="C346" s="4">
        <f>IFERROR(__xludf.DUMMYFUNCTION("""COMPUTED_VALUE"""),10.0)</f>
        <v>10</v>
      </c>
      <c r="D346" s="2" t="str">
        <f>IFERROR(__xludf.DUMMYFUNCTION("""COMPUTED_VALUE"""),"AGRANI BANK LTD.")</f>
        <v>AGRANI BANK LTD.</v>
      </c>
      <c r="E346" s="2" t="str">
        <f>IFERROR(__xludf.DUMMYFUNCTION("""COMPUTED_VALUE"""),"GHARUA")</f>
        <v>GHARUA</v>
      </c>
      <c r="F346" s="3">
        <f>IFERROR(__xludf.DUMMYFUNCTION("""COMPUTED_VALUE"""),58.0)</f>
        <v>58</v>
      </c>
      <c r="G346" s="5">
        <f>IFERROR(__xludf.DUMMYFUNCTION("""COMPUTED_VALUE"""),1.0290589E7)</f>
        <v>10290589</v>
      </c>
    </row>
    <row r="347">
      <c r="A347" s="3">
        <f>IFERROR(__xludf.DUMMYFUNCTION("""COMPUTED_VALUE"""),329.0)</f>
        <v>329</v>
      </c>
      <c r="B347" s="2" t="str">
        <f>IFERROR(__xludf.DUMMYFUNCTION("""COMPUTED_VALUE"""),"FARIDPUR")</f>
        <v>FARIDPUR</v>
      </c>
      <c r="C347" s="4">
        <f>IFERROR(__xludf.DUMMYFUNCTION("""COMPUTED_VALUE"""),10.0)</f>
        <v>10</v>
      </c>
      <c r="D347" s="2" t="str">
        <f>IFERROR(__xludf.DUMMYFUNCTION("""COMPUTED_VALUE"""),"AGRANI BANK LTD.")</f>
        <v>AGRANI BANK LTD.</v>
      </c>
      <c r="E347" s="2" t="str">
        <f>IFERROR(__xludf.DUMMYFUNCTION("""COMPUTED_VALUE"""),"MALIGRAM")</f>
        <v>MALIGRAM</v>
      </c>
      <c r="F347" s="3">
        <f>IFERROR(__xludf.DUMMYFUNCTION("""COMPUTED_VALUE"""),112.0)</f>
        <v>112</v>
      </c>
      <c r="G347" s="5">
        <f>IFERROR(__xludf.DUMMYFUNCTION("""COMPUTED_VALUE"""),1.029112E7)</f>
        <v>10291120</v>
      </c>
    </row>
    <row r="348">
      <c r="A348" s="3">
        <f>IFERROR(__xludf.DUMMYFUNCTION("""COMPUTED_VALUE"""),329.0)</f>
        <v>329</v>
      </c>
      <c r="B348" s="2" t="str">
        <f>IFERROR(__xludf.DUMMYFUNCTION("""COMPUTED_VALUE"""),"FARIDPUR")</f>
        <v>FARIDPUR</v>
      </c>
      <c r="C348" s="4">
        <f>IFERROR(__xludf.DUMMYFUNCTION("""COMPUTED_VALUE"""),10.0)</f>
        <v>10</v>
      </c>
      <c r="D348" s="2" t="str">
        <f>IFERROR(__xludf.DUMMYFUNCTION("""COMPUTED_VALUE"""),"AGRANI BANK LTD.")</f>
        <v>AGRANI BANK LTD.</v>
      </c>
      <c r="E348" s="2" t="str">
        <f>IFERROR(__xludf.DUMMYFUNCTION("""COMPUTED_VALUE"""),"NAGARKANDA")</f>
        <v>NAGARKANDA</v>
      </c>
      <c r="F348" s="3">
        <f>IFERROR(__xludf.DUMMYFUNCTION("""COMPUTED_VALUE"""),118.0)</f>
        <v>118</v>
      </c>
      <c r="G348" s="5">
        <f>IFERROR(__xludf.DUMMYFUNCTION("""COMPUTED_VALUE"""),1.0291188E7)</f>
        <v>10291188</v>
      </c>
    </row>
    <row r="349">
      <c r="A349" s="3">
        <f>IFERROR(__xludf.DUMMYFUNCTION("""COMPUTED_VALUE"""),329.0)</f>
        <v>329</v>
      </c>
      <c r="B349" s="2" t="str">
        <f>IFERROR(__xludf.DUMMYFUNCTION("""COMPUTED_VALUE"""),"FARIDPUR")</f>
        <v>FARIDPUR</v>
      </c>
      <c r="C349" s="4">
        <f>IFERROR(__xludf.DUMMYFUNCTION("""COMPUTED_VALUE"""),10.0)</f>
        <v>10</v>
      </c>
      <c r="D349" s="2" t="str">
        <f>IFERROR(__xludf.DUMMYFUNCTION("""COMPUTED_VALUE"""),"AGRANI BANK LTD.")</f>
        <v>AGRANI BANK LTD.</v>
      </c>
      <c r="E349" s="2" t="str">
        <f>IFERROR(__xludf.DUMMYFUNCTION("""COMPUTED_VALUE"""),"SADARPUR")</f>
        <v>SADARPUR</v>
      </c>
      <c r="F349" s="3">
        <f>IFERROR(__xludf.DUMMYFUNCTION("""COMPUTED_VALUE"""),127.0)</f>
        <v>127</v>
      </c>
      <c r="G349" s="5">
        <f>IFERROR(__xludf.DUMMYFUNCTION("""COMPUTED_VALUE"""),1.029127E7)</f>
        <v>10291270</v>
      </c>
    </row>
    <row r="350">
      <c r="A350" s="3">
        <f>IFERROR(__xludf.DUMMYFUNCTION("""COMPUTED_VALUE"""),329.0)</f>
        <v>329</v>
      </c>
      <c r="B350" s="2" t="str">
        <f>IFERROR(__xludf.DUMMYFUNCTION("""COMPUTED_VALUE"""),"FARIDPUR")</f>
        <v>FARIDPUR</v>
      </c>
      <c r="C350" s="4">
        <f>IFERROR(__xludf.DUMMYFUNCTION("""COMPUTED_VALUE"""),10.0)</f>
        <v>10</v>
      </c>
      <c r="D350" s="2" t="str">
        <f>IFERROR(__xludf.DUMMYFUNCTION("""COMPUTED_VALUE"""),"AGRANI BANK LTD.")</f>
        <v>AGRANI BANK LTD.</v>
      </c>
      <c r="E350" s="2" t="str">
        <f>IFERROR(__xludf.DUMMYFUNCTION("""COMPUTED_VALUE"""),"SARIATULLAH BAZAR")</f>
        <v>SARIATULLAH BAZAR</v>
      </c>
      <c r="F350" s="3">
        <f>IFERROR(__xludf.DUMMYFUNCTION("""COMPUTED_VALUE"""),133.0)</f>
        <v>133</v>
      </c>
      <c r="G350" s="5">
        <f>IFERROR(__xludf.DUMMYFUNCTION("""COMPUTED_VALUE"""),1.0291333E7)</f>
        <v>10291333</v>
      </c>
    </row>
    <row r="351">
      <c r="A351" s="3">
        <f>IFERROR(__xludf.DUMMYFUNCTION("""COMPUTED_VALUE"""),329.0)</f>
        <v>329</v>
      </c>
      <c r="B351" s="2" t="str">
        <f>IFERROR(__xludf.DUMMYFUNCTION("""COMPUTED_VALUE"""),"FARIDPUR")</f>
        <v>FARIDPUR</v>
      </c>
      <c r="C351" s="4">
        <f>IFERROR(__xludf.DUMMYFUNCTION("""COMPUTED_VALUE"""),10.0)</f>
        <v>10</v>
      </c>
      <c r="D351" s="2" t="str">
        <f>IFERROR(__xludf.DUMMYFUNCTION("""COMPUTED_VALUE"""),"AGRANI BANK LTD.")</f>
        <v>AGRANI BANK LTD.</v>
      </c>
      <c r="E351" s="2" t="str">
        <f>IFERROR(__xludf.DUMMYFUNCTION("""COMPUTED_VALUE"""),"ZILLA PARISAD")</f>
        <v>ZILLA PARISAD</v>
      </c>
      <c r="F351" s="3">
        <f>IFERROR(__xludf.DUMMYFUNCTION("""COMPUTED_VALUE"""),151.0)</f>
        <v>151</v>
      </c>
      <c r="G351" s="5">
        <f>IFERROR(__xludf.DUMMYFUNCTION("""COMPUTED_VALUE"""),1.0291517E7)</f>
        <v>10291517</v>
      </c>
    </row>
    <row r="352">
      <c r="A352" s="3">
        <f>IFERROR(__xludf.DUMMYFUNCTION("""COMPUTED_VALUE"""),230.0)</f>
        <v>230</v>
      </c>
      <c r="B352" s="2" t="str">
        <f>IFERROR(__xludf.DUMMYFUNCTION("""COMPUTED_VALUE"""),"FENI")</f>
        <v>FENI</v>
      </c>
      <c r="C352" s="4">
        <f>IFERROR(__xludf.DUMMYFUNCTION("""COMPUTED_VALUE"""),10.0)</f>
        <v>10</v>
      </c>
      <c r="D352" s="2" t="str">
        <f>IFERROR(__xludf.DUMMYFUNCTION("""COMPUTED_VALUE"""),"AGRANI BANK LTD.")</f>
        <v>AGRANI BANK LTD.</v>
      </c>
      <c r="E352" s="2" t="str">
        <f>IFERROR(__xludf.DUMMYFUNCTION("""COMPUTED_VALUE"""),"SUBAR BAZAR")</f>
        <v>SUBAR BAZAR</v>
      </c>
      <c r="F352" s="3">
        <f>IFERROR(__xludf.DUMMYFUNCTION("""COMPUTED_VALUE"""),6.0)</f>
        <v>6</v>
      </c>
      <c r="G352" s="5">
        <f>IFERROR(__xludf.DUMMYFUNCTION("""COMPUTED_VALUE"""),1.0300066E7)</f>
        <v>10300066</v>
      </c>
    </row>
    <row r="353">
      <c r="A353" s="3">
        <f>IFERROR(__xludf.DUMMYFUNCTION("""COMPUTED_VALUE"""),230.0)</f>
        <v>230</v>
      </c>
      <c r="B353" s="2" t="str">
        <f>IFERROR(__xludf.DUMMYFUNCTION("""COMPUTED_VALUE"""),"FENI")</f>
        <v>FENI</v>
      </c>
      <c r="C353" s="4">
        <f>IFERROR(__xludf.DUMMYFUNCTION("""COMPUTED_VALUE"""),10.0)</f>
        <v>10</v>
      </c>
      <c r="D353" s="2" t="str">
        <f>IFERROR(__xludf.DUMMYFUNCTION("""COMPUTED_VALUE"""),"AGRANI BANK LTD.")</f>
        <v>AGRANI BANK LTD.</v>
      </c>
      <c r="E353" s="2" t="str">
        <f>IFERROR(__xludf.DUMMYFUNCTION("""COMPUTED_VALUE"""),"BAIRAGIRHAT")</f>
        <v>BAIRAGIRHAT</v>
      </c>
      <c r="F353" s="3">
        <f>IFERROR(__xludf.DUMMYFUNCTION("""COMPUTED_VALUE"""),13.0)</f>
        <v>13</v>
      </c>
      <c r="G353" s="5">
        <f>IFERROR(__xludf.DUMMYFUNCTION("""COMPUTED_VALUE"""),1.0300132E7)</f>
        <v>10300132</v>
      </c>
    </row>
    <row r="354">
      <c r="A354" s="3">
        <f>IFERROR(__xludf.DUMMYFUNCTION("""COMPUTED_VALUE"""),230.0)</f>
        <v>230</v>
      </c>
      <c r="B354" s="2" t="str">
        <f>IFERROR(__xludf.DUMMYFUNCTION("""COMPUTED_VALUE"""),"FENI")</f>
        <v>FENI</v>
      </c>
      <c r="C354" s="4">
        <f>IFERROR(__xludf.DUMMYFUNCTION("""COMPUTED_VALUE"""),10.0)</f>
        <v>10</v>
      </c>
      <c r="D354" s="2" t="str">
        <f>IFERROR(__xludf.DUMMYFUNCTION("""COMPUTED_VALUE"""),"AGRANI BANK LTD.")</f>
        <v>AGRANI BANK LTD.</v>
      </c>
      <c r="E354" s="2" t="str">
        <f>IFERROR(__xludf.DUMMYFUNCTION("""COMPUTED_VALUE"""),"CHHAGALNAIYA")</f>
        <v>CHHAGALNAIYA</v>
      </c>
      <c r="F354" s="3">
        <f>IFERROR(__xludf.DUMMYFUNCTION("""COMPUTED_VALUE"""),31.0)</f>
        <v>31</v>
      </c>
      <c r="G354" s="5">
        <f>IFERROR(__xludf.DUMMYFUNCTION("""COMPUTED_VALUE"""),1.0300316E7)</f>
        <v>10300316</v>
      </c>
    </row>
    <row r="355">
      <c r="A355" s="3">
        <f>IFERROR(__xludf.DUMMYFUNCTION("""COMPUTED_VALUE"""),230.0)</f>
        <v>230</v>
      </c>
      <c r="B355" s="2" t="str">
        <f>IFERROR(__xludf.DUMMYFUNCTION("""COMPUTED_VALUE"""),"FENI")</f>
        <v>FENI</v>
      </c>
      <c r="C355" s="4">
        <f>IFERROR(__xludf.DUMMYFUNCTION("""COMPUTED_VALUE"""),10.0)</f>
        <v>10</v>
      </c>
      <c r="D355" s="2" t="str">
        <f>IFERROR(__xludf.DUMMYFUNCTION("""COMPUTED_VALUE"""),"AGRANI BANK LTD.")</f>
        <v>AGRANI BANK LTD.</v>
      </c>
      <c r="E355" s="2" t="str">
        <f>IFERROR(__xludf.DUMMYFUNCTION("""COMPUTED_VALUE"""),"FENI")</f>
        <v>FENI</v>
      </c>
      <c r="F355" s="3">
        <f>IFERROR(__xludf.DUMMYFUNCTION("""COMPUTED_VALUE"""),52.0)</f>
        <v>52</v>
      </c>
      <c r="G355" s="5">
        <f>IFERROR(__xludf.DUMMYFUNCTION("""COMPUTED_VALUE"""),1.0300529E7)</f>
        <v>10300529</v>
      </c>
    </row>
    <row r="356">
      <c r="A356" s="3">
        <f>IFERROR(__xludf.DUMMYFUNCTION("""COMPUTED_VALUE"""),230.0)</f>
        <v>230</v>
      </c>
      <c r="B356" s="2" t="str">
        <f>IFERROR(__xludf.DUMMYFUNCTION("""COMPUTED_VALUE"""),"FENI")</f>
        <v>FENI</v>
      </c>
      <c r="C356" s="4">
        <f>IFERROR(__xludf.DUMMYFUNCTION("""COMPUTED_VALUE"""),10.0)</f>
        <v>10</v>
      </c>
      <c r="D356" s="2" t="str">
        <f>IFERROR(__xludf.DUMMYFUNCTION("""COMPUTED_VALUE"""),"AGRANI BANK LTD.")</f>
        <v>AGRANI BANK LTD.</v>
      </c>
      <c r="E356" s="2" t="str">
        <f>IFERROR(__xludf.DUMMYFUNCTION("""COMPUTED_VALUE"""),"KAMALAPATTY")</f>
        <v>KAMALAPATTY</v>
      </c>
      <c r="F356" s="3">
        <f>IFERROR(__xludf.DUMMYFUNCTION("""COMPUTED_VALUE"""),79.0)</f>
        <v>79</v>
      </c>
      <c r="G356" s="5">
        <f>IFERROR(__xludf.DUMMYFUNCTION("""COMPUTED_VALUE"""),1.030079E7)</f>
        <v>10300790</v>
      </c>
    </row>
    <row r="357">
      <c r="A357" s="3">
        <f>IFERROR(__xludf.DUMMYFUNCTION("""COMPUTED_VALUE"""),230.0)</f>
        <v>230</v>
      </c>
      <c r="B357" s="2" t="str">
        <f>IFERROR(__xludf.DUMMYFUNCTION("""COMPUTED_VALUE"""),"FENI")</f>
        <v>FENI</v>
      </c>
      <c r="C357" s="4">
        <f>IFERROR(__xludf.DUMMYFUNCTION("""COMPUTED_VALUE"""),10.0)</f>
        <v>10</v>
      </c>
      <c r="D357" s="2" t="str">
        <f>IFERROR(__xludf.DUMMYFUNCTION("""COMPUTED_VALUE"""),"AGRANI BANK LTD.")</f>
        <v>AGRANI BANK LTD.</v>
      </c>
      <c r="E357" s="2" t="str">
        <f>IFERROR(__xludf.DUMMYFUNCTION("""COMPUTED_VALUE"""),"PARSHURAM")</f>
        <v>PARSHURAM</v>
      </c>
      <c r="F357" s="3">
        <f>IFERROR(__xludf.DUMMYFUNCTION("""COMPUTED_VALUE"""),127.0)</f>
        <v>127</v>
      </c>
      <c r="G357" s="5">
        <f>IFERROR(__xludf.DUMMYFUNCTION("""COMPUTED_VALUE"""),1.0301278E7)</f>
        <v>10301278</v>
      </c>
    </row>
    <row r="358">
      <c r="A358" s="3">
        <f>IFERROR(__xludf.DUMMYFUNCTION("""COMPUTED_VALUE"""),230.0)</f>
        <v>230</v>
      </c>
      <c r="B358" s="2" t="str">
        <f>IFERROR(__xludf.DUMMYFUNCTION("""COMPUTED_VALUE"""),"FENI")</f>
        <v>FENI</v>
      </c>
      <c r="C358" s="4">
        <f>IFERROR(__xludf.DUMMYFUNCTION("""COMPUTED_VALUE"""),10.0)</f>
        <v>10</v>
      </c>
      <c r="D358" s="2" t="str">
        <f>IFERROR(__xludf.DUMMYFUNCTION("""COMPUTED_VALUE"""),"AGRANI BANK LTD.")</f>
        <v>AGRANI BANK LTD.</v>
      </c>
      <c r="E358" s="2" t="str">
        <f>IFERROR(__xludf.DUMMYFUNCTION("""COMPUTED_VALUE"""),"SONAGAZI")</f>
        <v>SONAGAZI</v>
      </c>
      <c r="F358" s="3">
        <f>IFERROR(__xludf.DUMMYFUNCTION("""COMPUTED_VALUE"""),148.0)</f>
        <v>148</v>
      </c>
      <c r="G358" s="5">
        <f>IFERROR(__xludf.DUMMYFUNCTION("""COMPUTED_VALUE"""),1.0301481E7)</f>
        <v>10301481</v>
      </c>
    </row>
    <row r="359">
      <c r="A359" s="3">
        <f>IFERROR(__xludf.DUMMYFUNCTION("""COMPUTED_VALUE"""),230.0)</f>
        <v>230</v>
      </c>
      <c r="B359" s="2" t="str">
        <f>IFERROR(__xludf.DUMMYFUNCTION("""COMPUTED_VALUE"""),"FENI")</f>
        <v>FENI</v>
      </c>
      <c r="C359" s="4">
        <f>IFERROR(__xludf.DUMMYFUNCTION("""COMPUTED_VALUE"""),10.0)</f>
        <v>10</v>
      </c>
      <c r="D359" s="2" t="str">
        <f>IFERROR(__xludf.DUMMYFUNCTION("""COMPUTED_VALUE"""),"AGRANI BANK LTD.")</f>
        <v>AGRANI BANK LTD.</v>
      </c>
      <c r="E359" s="2" t="str">
        <f>IFERROR(__xludf.DUMMYFUNCTION("""COMPUTED_VALUE"""),"TULATOLY BAZAR")</f>
        <v>TULATOLY BAZAR</v>
      </c>
      <c r="F359" s="3">
        <f>IFERROR(__xludf.DUMMYFUNCTION("""COMPUTED_VALUE"""),151.0)</f>
        <v>151</v>
      </c>
      <c r="G359" s="5">
        <f>IFERROR(__xludf.DUMMYFUNCTION("""COMPUTED_VALUE"""),1.0301515E7)</f>
        <v>10301515</v>
      </c>
    </row>
    <row r="360">
      <c r="A360" s="3">
        <f>IFERROR(__xludf.DUMMYFUNCTION("""COMPUTED_VALUE"""),632.0)</f>
        <v>632</v>
      </c>
      <c r="B360" s="2" t="str">
        <f>IFERROR(__xludf.DUMMYFUNCTION("""COMPUTED_VALUE"""),"GAIBANDHA")</f>
        <v>GAIBANDHA</v>
      </c>
      <c r="C360" s="4">
        <f>IFERROR(__xludf.DUMMYFUNCTION("""COMPUTED_VALUE"""),10.0)</f>
        <v>10</v>
      </c>
      <c r="D360" s="2" t="str">
        <f>IFERROR(__xludf.DUMMYFUNCTION("""COMPUTED_VALUE"""),"AGRANI BANK LTD.")</f>
        <v>AGRANI BANK LTD.</v>
      </c>
      <c r="E360" s="2" t="str">
        <f>IFERROR(__xludf.DUMMYFUNCTION("""COMPUTED_VALUE"""),"BONARPARA")</f>
        <v>BONARPARA</v>
      </c>
      <c r="F360" s="3">
        <f>IFERROR(__xludf.DUMMYFUNCTION("""COMPUTED_VALUE"""),22.0)</f>
        <v>22</v>
      </c>
      <c r="G360" s="5">
        <f>IFERROR(__xludf.DUMMYFUNCTION("""COMPUTED_VALUE"""),1.032022E7)</f>
        <v>10320220</v>
      </c>
    </row>
    <row r="361">
      <c r="A361" s="3">
        <f>IFERROR(__xludf.DUMMYFUNCTION("""COMPUTED_VALUE"""),632.0)</f>
        <v>632</v>
      </c>
      <c r="B361" s="2" t="str">
        <f>IFERROR(__xludf.DUMMYFUNCTION("""COMPUTED_VALUE"""),"GAIBANDHA")</f>
        <v>GAIBANDHA</v>
      </c>
      <c r="C361" s="4">
        <f>IFERROR(__xludf.DUMMYFUNCTION("""COMPUTED_VALUE"""),10.0)</f>
        <v>10</v>
      </c>
      <c r="D361" s="2" t="str">
        <f>IFERROR(__xludf.DUMMYFUNCTION("""COMPUTED_VALUE"""),"AGRANI BANK LTD.")</f>
        <v>AGRANI BANK LTD.</v>
      </c>
      <c r="E361" s="2" t="str">
        <f>IFERROR(__xludf.DUMMYFUNCTION("""COMPUTED_VALUE"""),"DHOLBHANGA")</f>
        <v>DHOLBHANGA</v>
      </c>
      <c r="F361" s="3">
        <f>IFERROR(__xludf.DUMMYFUNCTION("""COMPUTED_VALUE"""),37.0)</f>
        <v>37</v>
      </c>
      <c r="G361" s="5">
        <f>IFERROR(__xludf.DUMMYFUNCTION("""COMPUTED_VALUE"""),1.032037E7)</f>
        <v>10320370</v>
      </c>
    </row>
    <row r="362">
      <c r="A362" s="3">
        <f>IFERROR(__xludf.DUMMYFUNCTION("""COMPUTED_VALUE"""),632.0)</f>
        <v>632</v>
      </c>
      <c r="B362" s="2" t="str">
        <f>IFERROR(__xludf.DUMMYFUNCTION("""COMPUTED_VALUE"""),"GAIBANDHA")</f>
        <v>GAIBANDHA</v>
      </c>
      <c r="C362" s="4">
        <f>IFERROR(__xludf.DUMMYFUNCTION("""COMPUTED_VALUE"""),10.0)</f>
        <v>10</v>
      </c>
      <c r="D362" s="2" t="str">
        <f>IFERROR(__xludf.DUMMYFUNCTION("""COMPUTED_VALUE"""),"AGRANI BANK LTD.")</f>
        <v>AGRANI BANK LTD.</v>
      </c>
      <c r="E362" s="2" t="str">
        <f>IFERROR(__xludf.DUMMYFUNCTION("""COMPUTED_VALUE"""),"FULCHARIGHAT")</f>
        <v>FULCHARIGHAT</v>
      </c>
      <c r="F362" s="3">
        <f>IFERROR(__xludf.DUMMYFUNCTION("""COMPUTED_VALUE"""),49.0)</f>
        <v>49</v>
      </c>
      <c r="G362" s="5">
        <f>IFERROR(__xludf.DUMMYFUNCTION("""COMPUTED_VALUE"""),1.0320491E7)</f>
        <v>10320491</v>
      </c>
    </row>
    <row r="363">
      <c r="A363" s="3">
        <f>IFERROR(__xludf.DUMMYFUNCTION("""COMPUTED_VALUE"""),632.0)</f>
        <v>632</v>
      </c>
      <c r="B363" s="2" t="str">
        <f>IFERROR(__xludf.DUMMYFUNCTION("""COMPUTED_VALUE"""),"GAIBANDHA")</f>
        <v>GAIBANDHA</v>
      </c>
      <c r="C363" s="4">
        <f>IFERROR(__xludf.DUMMYFUNCTION("""COMPUTED_VALUE"""),10.0)</f>
        <v>10</v>
      </c>
      <c r="D363" s="2" t="str">
        <f>IFERROR(__xludf.DUMMYFUNCTION("""COMPUTED_VALUE"""),"AGRANI BANK LTD.")</f>
        <v>AGRANI BANK LTD.</v>
      </c>
      <c r="E363" s="2" t="str">
        <f>IFERROR(__xludf.DUMMYFUNCTION("""COMPUTED_VALUE"""),"GAIBANDHA")</f>
        <v>GAIBANDHA</v>
      </c>
      <c r="F363" s="3">
        <f>IFERROR(__xludf.DUMMYFUNCTION("""COMPUTED_VALUE"""),52.0)</f>
        <v>52</v>
      </c>
      <c r="G363" s="5">
        <f>IFERROR(__xludf.DUMMYFUNCTION("""COMPUTED_VALUE"""),1.0320525E7)</f>
        <v>10320525</v>
      </c>
    </row>
    <row r="364">
      <c r="A364" s="3">
        <f>IFERROR(__xludf.DUMMYFUNCTION("""COMPUTED_VALUE"""),632.0)</f>
        <v>632</v>
      </c>
      <c r="B364" s="2" t="str">
        <f>IFERROR(__xludf.DUMMYFUNCTION("""COMPUTED_VALUE"""),"GAIBANDHA")</f>
        <v>GAIBANDHA</v>
      </c>
      <c r="C364" s="4">
        <f>IFERROR(__xludf.DUMMYFUNCTION("""COMPUTED_VALUE"""),10.0)</f>
        <v>10</v>
      </c>
      <c r="D364" s="2" t="str">
        <f>IFERROR(__xludf.DUMMYFUNCTION("""COMPUTED_VALUE"""),"AGRANI BANK LTD.")</f>
        <v>AGRANI BANK LTD.</v>
      </c>
      <c r="E364" s="2" t="str">
        <f>IFERROR(__xludf.DUMMYFUNCTION("""COMPUTED_VALUE"""),"KAMARPARA")</f>
        <v>KAMARPARA</v>
      </c>
      <c r="F364" s="3">
        <f>IFERROR(__xludf.DUMMYFUNCTION("""COMPUTED_VALUE"""),70.0)</f>
        <v>70</v>
      </c>
      <c r="G364" s="5">
        <f>IFERROR(__xludf.DUMMYFUNCTION("""COMPUTED_VALUE"""),1.0320709E7)</f>
        <v>10320709</v>
      </c>
    </row>
    <row r="365">
      <c r="A365" s="3">
        <f>IFERROR(__xludf.DUMMYFUNCTION("""COMPUTED_VALUE"""),632.0)</f>
        <v>632</v>
      </c>
      <c r="B365" s="2" t="str">
        <f>IFERROR(__xludf.DUMMYFUNCTION("""COMPUTED_VALUE"""),"GAIBANDHA")</f>
        <v>GAIBANDHA</v>
      </c>
      <c r="C365" s="4">
        <f>IFERROR(__xludf.DUMMYFUNCTION("""COMPUTED_VALUE"""),10.0)</f>
        <v>10</v>
      </c>
      <c r="D365" s="2" t="str">
        <f>IFERROR(__xludf.DUMMYFUNCTION("""COMPUTED_VALUE"""),"AGRANI BANK LTD.")</f>
        <v>AGRANI BANK LTD.</v>
      </c>
      <c r="E365" s="2" t="str">
        <f>IFERROR(__xludf.DUMMYFUNCTION("""COMPUTED_VALUE"""),"NALDANGA")</f>
        <v>NALDANGA</v>
      </c>
      <c r="F365" s="3">
        <f>IFERROR(__xludf.DUMMYFUNCTION("""COMPUTED_VALUE"""),103.0)</f>
        <v>103</v>
      </c>
      <c r="G365" s="5">
        <f>IFERROR(__xludf.DUMMYFUNCTION("""COMPUTED_VALUE"""),1.0321032E7)</f>
        <v>10321032</v>
      </c>
    </row>
    <row r="366">
      <c r="A366" s="3">
        <f>IFERROR(__xludf.DUMMYFUNCTION("""COMPUTED_VALUE"""),632.0)</f>
        <v>632</v>
      </c>
      <c r="B366" s="2" t="str">
        <f>IFERROR(__xludf.DUMMYFUNCTION("""COMPUTED_VALUE"""),"GAIBANDHA")</f>
        <v>GAIBANDHA</v>
      </c>
      <c r="C366" s="4">
        <f>IFERROR(__xludf.DUMMYFUNCTION("""COMPUTED_VALUE"""),10.0)</f>
        <v>10</v>
      </c>
      <c r="D366" s="2" t="str">
        <f>IFERROR(__xludf.DUMMYFUNCTION("""COMPUTED_VALUE"""),"AGRANI BANK LTD.")</f>
        <v>AGRANI BANK LTD.</v>
      </c>
      <c r="E366" s="2" t="str">
        <f>IFERROR(__xludf.DUMMYFUNCTION("""COMPUTED_VALUE"""),"PANCHPIR BAZAR")</f>
        <v>PANCHPIR BAZAR</v>
      </c>
      <c r="F366" s="3">
        <f>IFERROR(__xludf.DUMMYFUNCTION("""COMPUTED_VALUE"""),112.0)</f>
        <v>112</v>
      </c>
      <c r="G366" s="5">
        <f>IFERROR(__xludf.DUMMYFUNCTION("""COMPUTED_VALUE"""),1.0321124E7)</f>
        <v>10321124</v>
      </c>
    </row>
    <row r="367">
      <c r="A367" s="3">
        <f>IFERROR(__xludf.DUMMYFUNCTION("""COMPUTED_VALUE"""),632.0)</f>
        <v>632</v>
      </c>
      <c r="B367" s="2" t="str">
        <f>IFERROR(__xludf.DUMMYFUNCTION("""COMPUTED_VALUE"""),"GAIBANDHA")</f>
        <v>GAIBANDHA</v>
      </c>
      <c r="C367" s="4">
        <f>IFERROR(__xludf.DUMMYFUNCTION("""COMPUTED_VALUE"""),10.0)</f>
        <v>10</v>
      </c>
      <c r="D367" s="2" t="str">
        <f>IFERROR(__xludf.DUMMYFUNCTION("""COMPUTED_VALUE"""),"AGRANI BANK LTD.")</f>
        <v>AGRANI BANK LTD.</v>
      </c>
      <c r="E367" s="2" t="str">
        <f>IFERROR(__xludf.DUMMYFUNCTION("""COMPUTED_VALUE"""),"RASULPUR")</f>
        <v>RASULPUR</v>
      </c>
      <c r="F367" s="3">
        <f>IFERROR(__xludf.DUMMYFUNCTION("""COMPUTED_VALUE"""),121.0)</f>
        <v>121</v>
      </c>
      <c r="G367" s="5">
        <f>IFERROR(__xludf.DUMMYFUNCTION("""COMPUTED_VALUE"""),1.0321216E7)</f>
        <v>10321216</v>
      </c>
    </row>
    <row r="368">
      <c r="A368" s="3">
        <f>IFERROR(__xludf.DUMMYFUNCTION("""COMPUTED_VALUE"""),632.0)</f>
        <v>632</v>
      </c>
      <c r="B368" s="2" t="str">
        <f>IFERROR(__xludf.DUMMYFUNCTION("""COMPUTED_VALUE"""),"GAIBANDHA")</f>
        <v>GAIBANDHA</v>
      </c>
      <c r="C368" s="4">
        <f>IFERROR(__xludf.DUMMYFUNCTION("""COMPUTED_VALUE"""),10.0)</f>
        <v>10</v>
      </c>
      <c r="D368" s="2" t="str">
        <f>IFERROR(__xludf.DUMMYFUNCTION("""COMPUTED_VALUE"""),"AGRANI BANK LTD.")</f>
        <v>AGRANI BANK LTD.</v>
      </c>
      <c r="E368" s="2" t="str">
        <f>IFERROR(__xludf.DUMMYFUNCTION("""COMPUTED_VALUE"""),"SADULLAPUR")</f>
        <v>SADULLAPUR</v>
      </c>
      <c r="F368" s="3">
        <f>IFERROR(__xludf.DUMMYFUNCTION("""COMPUTED_VALUE"""),124.0)</f>
        <v>124</v>
      </c>
      <c r="G368" s="5">
        <f>IFERROR(__xludf.DUMMYFUNCTION("""COMPUTED_VALUE"""),1.0321245E7)</f>
        <v>10321245</v>
      </c>
    </row>
    <row r="369">
      <c r="A369" s="3">
        <f>IFERROR(__xludf.DUMMYFUNCTION("""COMPUTED_VALUE"""),632.0)</f>
        <v>632</v>
      </c>
      <c r="B369" s="2" t="str">
        <f>IFERROR(__xludf.DUMMYFUNCTION("""COMPUTED_VALUE"""),"GAIBANDHA")</f>
        <v>GAIBANDHA</v>
      </c>
      <c r="C369" s="4">
        <f>IFERROR(__xludf.DUMMYFUNCTION("""COMPUTED_VALUE"""),10.0)</f>
        <v>10</v>
      </c>
      <c r="D369" s="2" t="str">
        <f>IFERROR(__xludf.DUMMYFUNCTION("""COMPUTED_VALUE"""),"AGRANI BANK LTD.")</f>
        <v>AGRANI BANK LTD.</v>
      </c>
      <c r="E369" s="2" t="str">
        <f>IFERROR(__xludf.DUMMYFUNCTION("""COMPUTED_VALUE"""),"SAGHATTA")</f>
        <v>SAGHATTA</v>
      </c>
      <c r="F369" s="3">
        <f>IFERROR(__xludf.DUMMYFUNCTION("""COMPUTED_VALUE"""),127.0)</f>
        <v>127</v>
      </c>
      <c r="G369" s="5">
        <f>IFERROR(__xludf.DUMMYFUNCTION("""COMPUTED_VALUE"""),1.0321274E7)</f>
        <v>10321274</v>
      </c>
    </row>
    <row r="370">
      <c r="A370" s="3">
        <f>IFERROR(__xludf.DUMMYFUNCTION("""COMPUTED_VALUE"""),632.0)</f>
        <v>632</v>
      </c>
      <c r="B370" s="2" t="str">
        <f>IFERROR(__xludf.DUMMYFUNCTION("""COMPUTED_VALUE"""),"GAIBANDHA")</f>
        <v>GAIBANDHA</v>
      </c>
      <c r="C370" s="4">
        <f>IFERROR(__xludf.DUMMYFUNCTION("""COMPUTED_VALUE"""),10.0)</f>
        <v>10</v>
      </c>
      <c r="D370" s="2" t="str">
        <f>IFERROR(__xludf.DUMMYFUNCTION("""COMPUTED_VALUE"""),"AGRANI BANK LTD.")</f>
        <v>AGRANI BANK LTD.</v>
      </c>
      <c r="E370" s="2" t="str">
        <f>IFERROR(__xludf.DUMMYFUNCTION("""COMPUTED_VALUE"""),"SUNDARGANJ")</f>
        <v>SUNDARGANJ</v>
      </c>
      <c r="F370" s="3">
        <f>IFERROR(__xludf.DUMMYFUNCTION("""COMPUTED_VALUE"""),130.0)</f>
        <v>130</v>
      </c>
      <c r="G370" s="5">
        <f>IFERROR(__xludf.DUMMYFUNCTION("""COMPUTED_VALUE"""),1.0321308E7)</f>
        <v>10321308</v>
      </c>
    </row>
    <row r="371">
      <c r="A371" s="3">
        <f>IFERROR(__xludf.DUMMYFUNCTION("""COMPUTED_VALUE"""),133.0)</f>
        <v>133</v>
      </c>
      <c r="B371" s="2" t="str">
        <f>IFERROR(__xludf.DUMMYFUNCTION("""COMPUTED_VALUE"""),"GAZIPUR")</f>
        <v>GAZIPUR</v>
      </c>
      <c r="C371" s="4">
        <f>IFERROR(__xludf.DUMMYFUNCTION("""COMPUTED_VALUE"""),10.0)</f>
        <v>10</v>
      </c>
      <c r="D371" s="2" t="str">
        <f>IFERROR(__xludf.DUMMYFUNCTION("""COMPUTED_VALUE"""),"AGRANI BANK LTD.")</f>
        <v>AGRANI BANK LTD.</v>
      </c>
      <c r="E371" s="2" t="str">
        <f>IFERROR(__xludf.DUMMYFUNCTION("""COMPUTED_VALUE"""),"BAKTARPUR")</f>
        <v>BAKTARPUR</v>
      </c>
      <c r="F371" s="3">
        <f>IFERROR(__xludf.DUMMYFUNCTION("""COMPUTED_VALUE"""),20.0)</f>
        <v>20</v>
      </c>
      <c r="G371" s="5">
        <f>IFERROR(__xludf.DUMMYFUNCTION("""COMPUTED_VALUE"""),1.0330207E7)</f>
        <v>10330207</v>
      </c>
    </row>
    <row r="372">
      <c r="A372" s="3">
        <f>IFERROR(__xludf.DUMMYFUNCTION("""COMPUTED_VALUE"""),133.0)</f>
        <v>133</v>
      </c>
      <c r="B372" s="2" t="str">
        <f>IFERROR(__xludf.DUMMYFUNCTION("""COMPUTED_VALUE"""),"GAZIPUR")</f>
        <v>GAZIPUR</v>
      </c>
      <c r="C372" s="4">
        <f>IFERROR(__xludf.DUMMYFUNCTION("""COMPUTED_VALUE"""),10.0)</f>
        <v>10</v>
      </c>
      <c r="D372" s="2" t="str">
        <f>IFERROR(__xludf.DUMMYFUNCTION("""COMPUTED_VALUE"""),"AGRANI BANK LTD.")</f>
        <v>AGRANI BANK LTD.</v>
      </c>
      <c r="E372" s="2" t="str">
        <f>IFERROR(__xludf.DUMMYFUNCTION("""COMPUTED_VALUE"""),"BOARD BAZAR")</f>
        <v>BOARD BAZAR</v>
      </c>
      <c r="F372" s="3">
        <f>IFERROR(__xludf.DUMMYFUNCTION("""COMPUTED_VALUE"""),22.0)</f>
        <v>22</v>
      </c>
      <c r="G372" s="5">
        <f>IFERROR(__xludf.DUMMYFUNCTION("""COMPUTED_VALUE"""),1.0330223E7)</f>
        <v>10330223</v>
      </c>
    </row>
    <row r="373">
      <c r="A373" s="3">
        <f>IFERROR(__xludf.DUMMYFUNCTION("""COMPUTED_VALUE"""),133.0)</f>
        <v>133</v>
      </c>
      <c r="B373" s="2" t="str">
        <f>IFERROR(__xludf.DUMMYFUNCTION("""COMPUTED_VALUE"""),"GAZIPUR")</f>
        <v>GAZIPUR</v>
      </c>
      <c r="C373" s="4">
        <f>IFERROR(__xludf.DUMMYFUNCTION("""COMPUTED_VALUE"""),10.0)</f>
        <v>10</v>
      </c>
      <c r="D373" s="2" t="str">
        <f>IFERROR(__xludf.DUMMYFUNCTION("""COMPUTED_VALUE"""),"AGRANI BANK LTD.")</f>
        <v>AGRANI BANK LTD.</v>
      </c>
      <c r="E373" s="2" t="str">
        <f>IFERROR(__xludf.DUMMYFUNCTION("""COMPUTED_VALUE"""),"BORMI BAZAR")</f>
        <v>BORMI BAZAR</v>
      </c>
      <c r="F373" s="3">
        <f>IFERROR(__xludf.DUMMYFUNCTION("""COMPUTED_VALUE"""),28.0)</f>
        <v>28</v>
      </c>
      <c r="G373" s="5">
        <f>IFERROR(__xludf.DUMMYFUNCTION("""COMPUTED_VALUE"""),1.0330281E7)</f>
        <v>10330281</v>
      </c>
    </row>
    <row r="374">
      <c r="A374" s="3">
        <f>IFERROR(__xludf.DUMMYFUNCTION("""COMPUTED_VALUE"""),133.0)</f>
        <v>133</v>
      </c>
      <c r="B374" s="2" t="str">
        <f>IFERROR(__xludf.DUMMYFUNCTION("""COMPUTED_VALUE"""),"GAZIPUR")</f>
        <v>GAZIPUR</v>
      </c>
      <c r="C374" s="4">
        <f>IFERROR(__xludf.DUMMYFUNCTION("""COMPUTED_VALUE"""),10.0)</f>
        <v>10</v>
      </c>
      <c r="D374" s="2" t="str">
        <f>IFERROR(__xludf.DUMMYFUNCTION("""COMPUTED_VALUE"""),"AGRANI BANK LTD.")</f>
        <v>AGRANI BANK LTD.</v>
      </c>
      <c r="E374" s="2" t="str">
        <f>IFERROR(__xludf.DUMMYFUNCTION("""COMPUTED_VALUE"""),"D.U.E.T.")</f>
        <v>D.U.E.T.</v>
      </c>
      <c r="F374" s="3">
        <f>IFERROR(__xludf.DUMMYFUNCTION("""COMPUTED_VALUE"""),43.0)</f>
        <v>43</v>
      </c>
      <c r="G374" s="5">
        <f>IFERROR(__xludf.DUMMYFUNCTION("""COMPUTED_VALUE"""),1.0330436E7)</f>
        <v>10330436</v>
      </c>
    </row>
    <row r="375">
      <c r="A375" s="3">
        <f>IFERROR(__xludf.DUMMYFUNCTION("""COMPUTED_VALUE"""),133.0)</f>
        <v>133</v>
      </c>
      <c r="B375" s="2" t="str">
        <f>IFERROR(__xludf.DUMMYFUNCTION("""COMPUTED_VALUE"""),"GAZIPUR")</f>
        <v>GAZIPUR</v>
      </c>
      <c r="C375" s="4">
        <f>IFERROR(__xludf.DUMMYFUNCTION("""COMPUTED_VALUE"""),10.0)</f>
        <v>10</v>
      </c>
      <c r="D375" s="2" t="str">
        <f>IFERROR(__xludf.DUMMYFUNCTION("""COMPUTED_VALUE"""),"AGRANI BANK LTD.")</f>
        <v>AGRANI BANK LTD.</v>
      </c>
      <c r="E375" s="2" t="str">
        <f>IFERROR(__xludf.DUMMYFUNCTION("""COMPUTED_VALUE"""),"DALAN BAZAR")</f>
        <v>DALAN BAZAR</v>
      </c>
      <c r="F375" s="3">
        <f>IFERROR(__xludf.DUMMYFUNCTION("""COMPUTED_VALUE"""),44.0)</f>
        <v>44</v>
      </c>
      <c r="G375" s="5">
        <f>IFERROR(__xludf.DUMMYFUNCTION("""COMPUTED_VALUE"""),1.0330449E7)</f>
        <v>10330449</v>
      </c>
    </row>
    <row r="376">
      <c r="A376" s="3">
        <f>IFERROR(__xludf.DUMMYFUNCTION("""COMPUTED_VALUE"""),133.0)</f>
        <v>133</v>
      </c>
      <c r="B376" s="2" t="str">
        <f>IFERROR(__xludf.DUMMYFUNCTION("""COMPUTED_VALUE"""),"GAZIPUR")</f>
        <v>GAZIPUR</v>
      </c>
      <c r="C376" s="4">
        <f>IFERROR(__xludf.DUMMYFUNCTION("""COMPUTED_VALUE"""),10.0)</f>
        <v>10</v>
      </c>
      <c r="D376" s="2" t="str">
        <f>IFERROR(__xludf.DUMMYFUNCTION("""COMPUTED_VALUE"""),"AGRANI BANK LTD.")</f>
        <v>AGRANI BANK LTD.</v>
      </c>
      <c r="E376" s="2" t="str">
        <f>IFERROR(__xludf.DUMMYFUNCTION("""COMPUTED_VALUE"""),"GAGOTIA CHALAR BAZAR")</f>
        <v>GAGOTIA CHALAR BAZAR</v>
      </c>
      <c r="F376" s="3">
        <f>IFERROR(__xludf.DUMMYFUNCTION("""COMPUTED_VALUE"""),49.0)</f>
        <v>49</v>
      </c>
      <c r="G376" s="5">
        <f>IFERROR(__xludf.DUMMYFUNCTION("""COMPUTED_VALUE"""),1.0330494E7)</f>
        <v>10330494</v>
      </c>
    </row>
    <row r="377">
      <c r="A377" s="3">
        <f>IFERROR(__xludf.DUMMYFUNCTION("""COMPUTED_VALUE"""),133.0)</f>
        <v>133</v>
      </c>
      <c r="B377" s="2" t="str">
        <f>IFERROR(__xludf.DUMMYFUNCTION("""COMPUTED_VALUE"""),"GAZIPUR")</f>
        <v>GAZIPUR</v>
      </c>
      <c r="C377" s="4">
        <f>IFERROR(__xludf.DUMMYFUNCTION("""COMPUTED_VALUE"""),10.0)</f>
        <v>10</v>
      </c>
      <c r="D377" s="2" t="str">
        <f>IFERROR(__xludf.DUMMYFUNCTION("""COMPUTED_VALUE"""),"AGRANI BANK LTD.")</f>
        <v>AGRANI BANK LTD.</v>
      </c>
      <c r="E377" s="2" t="str">
        <f>IFERROR(__xludf.DUMMYFUNCTION("""COMPUTED_VALUE"""),"GAZIPUR")</f>
        <v>GAZIPUR</v>
      </c>
      <c r="F377" s="3">
        <f>IFERROR(__xludf.DUMMYFUNCTION("""COMPUTED_VALUE"""),52.0)</f>
        <v>52</v>
      </c>
      <c r="G377" s="5">
        <f>IFERROR(__xludf.DUMMYFUNCTION("""COMPUTED_VALUE"""),1.0330528E7)</f>
        <v>10330528</v>
      </c>
    </row>
    <row r="378">
      <c r="A378" s="3">
        <f>IFERROR(__xludf.DUMMYFUNCTION("""COMPUTED_VALUE"""),133.0)</f>
        <v>133</v>
      </c>
      <c r="B378" s="2" t="str">
        <f>IFERROR(__xludf.DUMMYFUNCTION("""COMPUTED_VALUE"""),"GAZIPUR")</f>
        <v>GAZIPUR</v>
      </c>
      <c r="C378" s="4">
        <f>IFERROR(__xludf.DUMMYFUNCTION("""COMPUTED_VALUE"""),10.0)</f>
        <v>10</v>
      </c>
      <c r="D378" s="2" t="str">
        <f>IFERROR(__xludf.DUMMYFUNCTION("""COMPUTED_VALUE"""),"AGRANI BANK LTD.")</f>
        <v>AGRANI BANK LTD.</v>
      </c>
      <c r="E378" s="2" t="str">
        <f>IFERROR(__xludf.DUMMYFUNCTION("""COMPUTED_VALUE"""),"GOSINGA")</f>
        <v>GOSINGA</v>
      </c>
      <c r="F378" s="3">
        <f>IFERROR(__xludf.DUMMYFUNCTION("""COMPUTED_VALUE"""),64.0)</f>
        <v>64</v>
      </c>
      <c r="G378" s="5">
        <f>IFERROR(__xludf.DUMMYFUNCTION("""COMPUTED_VALUE"""),1.0330649E7)</f>
        <v>10330649</v>
      </c>
    </row>
    <row r="379">
      <c r="A379" s="3">
        <f>IFERROR(__xludf.DUMMYFUNCTION("""COMPUTED_VALUE"""),133.0)</f>
        <v>133</v>
      </c>
      <c r="B379" s="2" t="str">
        <f>IFERROR(__xludf.DUMMYFUNCTION("""COMPUTED_VALUE"""),"GAZIPUR")</f>
        <v>GAZIPUR</v>
      </c>
      <c r="C379" s="4">
        <f>IFERROR(__xludf.DUMMYFUNCTION("""COMPUTED_VALUE"""),10.0)</f>
        <v>10</v>
      </c>
      <c r="D379" s="2" t="str">
        <f>IFERROR(__xludf.DUMMYFUNCTION("""COMPUTED_VALUE"""),"AGRANI BANK LTD.")</f>
        <v>AGRANI BANK LTD.</v>
      </c>
      <c r="E379" s="2" t="str">
        <f>IFERROR(__xludf.DUMMYFUNCTION("""COMPUTED_VALUE"""),"KALIAKOIR")</f>
        <v>KALIAKOIR</v>
      </c>
      <c r="F379" s="3">
        <f>IFERROR(__xludf.DUMMYFUNCTION("""COMPUTED_VALUE"""),79.0)</f>
        <v>79</v>
      </c>
      <c r="G379" s="5">
        <f>IFERROR(__xludf.DUMMYFUNCTION("""COMPUTED_VALUE"""),1.0330799E7)</f>
        <v>10330799</v>
      </c>
    </row>
    <row r="380">
      <c r="A380" s="3">
        <f>IFERROR(__xludf.DUMMYFUNCTION("""COMPUTED_VALUE"""),133.0)</f>
        <v>133</v>
      </c>
      <c r="B380" s="2" t="str">
        <f>IFERROR(__xludf.DUMMYFUNCTION("""COMPUTED_VALUE"""),"GAZIPUR")</f>
        <v>GAZIPUR</v>
      </c>
      <c r="C380" s="4">
        <f>IFERROR(__xludf.DUMMYFUNCTION("""COMPUTED_VALUE"""),10.0)</f>
        <v>10</v>
      </c>
      <c r="D380" s="2" t="str">
        <f>IFERROR(__xludf.DUMMYFUNCTION("""COMPUTED_VALUE"""),"AGRANI BANK LTD.")</f>
        <v>AGRANI BANK LTD.</v>
      </c>
      <c r="E380" s="2" t="str">
        <f>IFERROR(__xludf.DUMMYFUNCTION("""COMPUTED_VALUE"""),"KAORAID")</f>
        <v>KAORAID</v>
      </c>
      <c r="F380" s="3">
        <f>IFERROR(__xludf.DUMMYFUNCTION("""COMPUTED_VALUE"""),85.0)</f>
        <v>85</v>
      </c>
      <c r="G380" s="5">
        <f>IFERROR(__xludf.DUMMYFUNCTION("""COMPUTED_VALUE"""),1.0330852E7)</f>
        <v>10330852</v>
      </c>
    </row>
    <row r="381">
      <c r="A381" s="3">
        <f>IFERROR(__xludf.DUMMYFUNCTION("""COMPUTED_VALUE"""),133.0)</f>
        <v>133</v>
      </c>
      <c r="B381" s="2" t="str">
        <f>IFERROR(__xludf.DUMMYFUNCTION("""COMPUTED_VALUE"""),"GAZIPUR")</f>
        <v>GAZIPUR</v>
      </c>
      <c r="C381" s="4">
        <f>IFERROR(__xludf.DUMMYFUNCTION("""COMPUTED_VALUE"""),10.0)</f>
        <v>10</v>
      </c>
      <c r="D381" s="2" t="str">
        <f>IFERROR(__xludf.DUMMYFUNCTION("""COMPUTED_VALUE"""),"AGRANI BANK LTD.")</f>
        <v>AGRANI BANK LTD.</v>
      </c>
      <c r="E381" s="2" t="str">
        <f>IFERROR(__xludf.DUMMYFUNCTION("""COMPUTED_VALUE"""),"KAPASIA")</f>
        <v>KAPASIA</v>
      </c>
      <c r="F381" s="3">
        <f>IFERROR(__xludf.DUMMYFUNCTION("""COMPUTED_VALUE"""),88.0)</f>
        <v>88</v>
      </c>
      <c r="G381" s="5">
        <f>IFERROR(__xludf.DUMMYFUNCTION("""COMPUTED_VALUE"""),1.0330881E7)</f>
        <v>10330881</v>
      </c>
    </row>
    <row r="382">
      <c r="A382" s="3">
        <f>IFERROR(__xludf.DUMMYFUNCTION("""COMPUTED_VALUE"""),133.0)</f>
        <v>133</v>
      </c>
      <c r="B382" s="2" t="str">
        <f>IFERROR(__xludf.DUMMYFUNCTION("""COMPUTED_VALUE"""),"GAZIPUR")</f>
        <v>GAZIPUR</v>
      </c>
      <c r="C382" s="4">
        <f>IFERROR(__xludf.DUMMYFUNCTION("""COMPUTED_VALUE"""),10.0)</f>
        <v>10</v>
      </c>
      <c r="D382" s="2" t="str">
        <f>IFERROR(__xludf.DUMMYFUNCTION("""COMPUTED_VALUE"""),"AGRANI BANK LTD.")</f>
        <v>AGRANI BANK LTD.</v>
      </c>
      <c r="E382" s="2" t="str">
        <f>IFERROR(__xludf.DUMMYFUNCTION("""COMPUTED_VALUE"""),"KASHIMPUR")</f>
        <v>KASHIMPUR</v>
      </c>
      <c r="F382" s="3">
        <f>IFERROR(__xludf.DUMMYFUNCTION("""COMPUTED_VALUE"""),91.0)</f>
        <v>91</v>
      </c>
      <c r="G382" s="5">
        <f>IFERROR(__xludf.DUMMYFUNCTION("""COMPUTED_VALUE"""),1.0330915E7)</f>
        <v>10330915</v>
      </c>
    </row>
    <row r="383">
      <c r="A383" s="3">
        <f>IFERROR(__xludf.DUMMYFUNCTION("""COMPUTED_VALUE"""),133.0)</f>
        <v>133</v>
      </c>
      <c r="B383" s="2" t="str">
        <f>IFERROR(__xludf.DUMMYFUNCTION("""COMPUTED_VALUE"""),"GAZIPUR")</f>
        <v>GAZIPUR</v>
      </c>
      <c r="C383" s="4">
        <f>IFERROR(__xludf.DUMMYFUNCTION("""COMPUTED_VALUE"""),10.0)</f>
        <v>10</v>
      </c>
      <c r="D383" s="2" t="str">
        <f>IFERROR(__xludf.DUMMYFUNCTION("""COMPUTED_VALUE"""),"AGRANI BANK LTD.")</f>
        <v>AGRANI BANK LTD.</v>
      </c>
      <c r="E383" s="2" t="str">
        <f>IFERROR(__xludf.DUMMYFUNCTION("""COMPUTED_VALUE"""),"MOUNA BAZAR")</f>
        <v>MOUNA BAZAR</v>
      </c>
      <c r="F383" s="3">
        <f>IFERROR(__xludf.DUMMYFUNCTION("""COMPUTED_VALUE"""),112.0)</f>
        <v>112</v>
      </c>
      <c r="G383" s="5">
        <f>IFERROR(__xludf.DUMMYFUNCTION("""COMPUTED_VALUE"""),1.0331127E7)</f>
        <v>10331127</v>
      </c>
    </row>
    <row r="384">
      <c r="A384" s="3">
        <f>IFERROR(__xludf.DUMMYFUNCTION("""COMPUTED_VALUE"""),133.0)</f>
        <v>133</v>
      </c>
      <c r="B384" s="2" t="str">
        <f>IFERROR(__xludf.DUMMYFUNCTION("""COMPUTED_VALUE"""),"GAZIPUR")</f>
        <v>GAZIPUR</v>
      </c>
      <c r="C384" s="4">
        <f>IFERROR(__xludf.DUMMYFUNCTION("""COMPUTED_VALUE"""),10.0)</f>
        <v>10</v>
      </c>
      <c r="D384" s="2" t="str">
        <f>IFERROR(__xludf.DUMMYFUNCTION("""COMPUTED_VALUE"""),"AGRANI BANK LTD.")</f>
        <v>AGRANI BANK LTD.</v>
      </c>
      <c r="E384" s="2" t="str">
        <f>IFERROR(__xludf.DUMMYFUNCTION("""COMPUTED_VALUE"""),"NAGARI")</f>
        <v>NAGARI</v>
      </c>
      <c r="F384" s="3">
        <f>IFERROR(__xludf.DUMMYFUNCTION("""COMPUTED_VALUE"""),115.0)</f>
        <v>115</v>
      </c>
      <c r="G384" s="5">
        <f>IFERROR(__xludf.DUMMYFUNCTION("""COMPUTED_VALUE"""),1.0331156E7)</f>
        <v>10331156</v>
      </c>
    </row>
    <row r="385">
      <c r="A385" s="3">
        <f>IFERROR(__xludf.DUMMYFUNCTION("""COMPUTED_VALUE"""),133.0)</f>
        <v>133</v>
      </c>
      <c r="B385" s="2" t="str">
        <f>IFERROR(__xludf.DUMMYFUNCTION("""COMPUTED_VALUE"""),"GAZIPUR")</f>
        <v>GAZIPUR</v>
      </c>
      <c r="C385" s="4">
        <f>IFERROR(__xludf.DUMMYFUNCTION("""COMPUTED_VALUE"""),10.0)</f>
        <v>10</v>
      </c>
      <c r="D385" s="2" t="str">
        <f>IFERROR(__xludf.DUMMYFUNCTION("""COMPUTED_VALUE"""),"AGRANI BANK LTD.")</f>
        <v>AGRANI BANK LTD.</v>
      </c>
      <c r="E385" s="2" t="str">
        <f>IFERROR(__xludf.DUMMYFUNCTION("""COMPUTED_VALUE"""),"RAJABARI")</f>
        <v>RAJABARI</v>
      </c>
      <c r="F385" s="3">
        <f>IFERROR(__xludf.DUMMYFUNCTION("""COMPUTED_VALUE"""),130.0)</f>
        <v>130</v>
      </c>
      <c r="G385" s="5">
        <f>IFERROR(__xludf.DUMMYFUNCTION("""COMPUTED_VALUE"""),1.0331301E7)</f>
        <v>10331301</v>
      </c>
    </row>
    <row r="386">
      <c r="A386" s="3">
        <f>IFERROR(__xludf.DUMMYFUNCTION("""COMPUTED_VALUE"""),133.0)</f>
        <v>133</v>
      </c>
      <c r="B386" s="2" t="str">
        <f>IFERROR(__xludf.DUMMYFUNCTION("""COMPUTED_VALUE"""),"GAZIPUR")</f>
        <v>GAZIPUR</v>
      </c>
      <c r="C386" s="4">
        <f>IFERROR(__xludf.DUMMYFUNCTION("""COMPUTED_VALUE"""),10.0)</f>
        <v>10</v>
      </c>
      <c r="D386" s="2" t="str">
        <f>IFERROR(__xludf.DUMMYFUNCTION("""COMPUTED_VALUE"""),"AGRANI BANK LTD.")</f>
        <v>AGRANI BANK LTD.</v>
      </c>
      <c r="E386" s="2" t="str">
        <f>IFERROR(__xludf.DUMMYFUNCTION("""COMPUTED_VALUE"""),"SREEPUR")</f>
        <v>SREEPUR</v>
      </c>
      <c r="F386" s="3">
        <f>IFERROR(__xludf.DUMMYFUNCTION("""COMPUTED_VALUE"""),148.0)</f>
        <v>148</v>
      </c>
      <c r="G386" s="5">
        <f>IFERROR(__xludf.DUMMYFUNCTION("""COMPUTED_VALUE"""),1.033148E7)</f>
        <v>10331480</v>
      </c>
    </row>
    <row r="387">
      <c r="A387" s="3">
        <f>IFERROR(__xludf.DUMMYFUNCTION("""COMPUTED_VALUE"""),133.0)</f>
        <v>133</v>
      </c>
      <c r="B387" s="2" t="str">
        <f>IFERROR(__xludf.DUMMYFUNCTION("""COMPUTED_VALUE"""),"GAZIPUR")</f>
        <v>GAZIPUR</v>
      </c>
      <c r="C387" s="4">
        <f>IFERROR(__xludf.DUMMYFUNCTION("""COMPUTED_VALUE"""),10.0)</f>
        <v>10</v>
      </c>
      <c r="D387" s="2" t="str">
        <f>IFERROR(__xludf.DUMMYFUNCTION("""COMPUTED_VALUE"""),"AGRANI BANK LTD.")</f>
        <v>AGRANI BANK LTD.</v>
      </c>
      <c r="E387" s="2" t="str">
        <f>IFERROR(__xludf.DUMMYFUNCTION("""COMPUTED_VALUE"""),"TOKNAYAN")</f>
        <v>TOKNAYAN</v>
      </c>
      <c r="F387" s="3">
        <f>IFERROR(__xludf.DUMMYFUNCTION("""COMPUTED_VALUE"""),157.0)</f>
        <v>157</v>
      </c>
      <c r="G387" s="5">
        <f>IFERROR(__xludf.DUMMYFUNCTION("""COMPUTED_VALUE"""),1.0331572E7)</f>
        <v>10331572</v>
      </c>
    </row>
    <row r="388">
      <c r="A388" s="3">
        <f>IFERROR(__xludf.DUMMYFUNCTION("""COMPUTED_VALUE"""),133.0)</f>
        <v>133</v>
      </c>
      <c r="B388" s="2" t="str">
        <f>IFERROR(__xludf.DUMMYFUNCTION("""COMPUTED_VALUE"""),"GAZIPUR")</f>
        <v>GAZIPUR</v>
      </c>
      <c r="C388" s="4">
        <f>IFERROR(__xludf.DUMMYFUNCTION("""COMPUTED_VALUE"""),10.0)</f>
        <v>10</v>
      </c>
      <c r="D388" s="2" t="str">
        <f>IFERROR(__xludf.DUMMYFUNCTION("""COMPUTED_VALUE"""),"AGRANI BANK LTD.")</f>
        <v>AGRANI BANK LTD.</v>
      </c>
      <c r="E388" s="2" t="str">
        <f>IFERROR(__xludf.DUMMYFUNCTION("""COMPUTED_VALUE"""),"TONGI")</f>
        <v>TONGI</v>
      </c>
      <c r="F388" s="3">
        <f>IFERROR(__xludf.DUMMYFUNCTION("""COMPUTED_VALUE"""),163.0)</f>
        <v>163</v>
      </c>
      <c r="G388" s="5">
        <f>IFERROR(__xludf.DUMMYFUNCTION("""COMPUTED_VALUE"""),1.0331635E7)</f>
        <v>10331635</v>
      </c>
    </row>
    <row r="389">
      <c r="A389" s="3">
        <f>IFERROR(__xludf.DUMMYFUNCTION("""COMPUTED_VALUE"""),435.0)</f>
        <v>435</v>
      </c>
      <c r="B389" s="2" t="str">
        <f>IFERROR(__xludf.DUMMYFUNCTION("""COMPUTED_VALUE"""),"GOPALGANJ")</f>
        <v>GOPALGANJ</v>
      </c>
      <c r="C389" s="4">
        <f>IFERROR(__xludf.DUMMYFUNCTION("""COMPUTED_VALUE"""),10.0)</f>
        <v>10</v>
      </c>
      <c r="D389" s="2" t="str">
        <f>IFERROR(__xludf.DUMMYFUNCTION("""COMPUTED_VALUE"""),"AGRANI BANK LTD.")</f>
        <v>AGRANI BANK LTD.</v>
      </c>
      <c r="E389" s="2" t="str">
        <f>IFERROR(__xludf.DUMMYFUNCTION("""COMPUTED_VALUE"""),"VANGAR HAT")</f>
        <v>VANGAR HAT</v>
      </c>
      <c r="F389" s="3">
        <f>IFERROR(__xludf.DUMMYFUNCTION("""COMPUTED_VALUE"""),5.0)</f>
        <v>5</v>
      </c>
      <c r="G389" s="5">
        <f>IFERROR(__xludf.DUMMYFUNCTION("""COMPUTED_VALUE"""),1.0350058E7)</f>
        <v>10350058</v>
      </c>
    </row>
    <row r="390">
      <c r="A390" s="3">
        <f>IFERROR(__xludf.DUMMYFUNCTION("""COMPUTED_VALUE"""),435.0)</f>
        <v>435</v>
      </c>
      <c r="B390" s="2" t="str">
        <f>IFERROR(__xludf.DUMMYFUNCTION("""COMPUTED_VALUE"""),"GOPALGANJ")</f>
        <v>GOPALGANJ</v>
      </c>
      <c r="C390" s="4">
        <f>IFERROR(__xludf.DUMMYFUNCTION("""COMPUTED_VALUE"""),10.0)</f>
        <v>10</v>
      </c>
      <c r="D390" s="2" t="str">
        <f>IFERROR(__xludf.DUMMYFUNCTION("""COMPUTED_VALUE"""),"AGRANI BANK LTD.")</f>
        <v>AGRANI BANK LTD.</v>
      </c>
      <c r="E390" s="2" t="str">
        <f>IFERROR(__xludf.DUMMYFUNCTION("""COMPUTED_VALUE"""),"BANGABANDHU SHEIKH MUJIBUR RAHMAN SCIENCE AND TECHNOLOGY UNIVERSITY")</f>
        <v>BANGABANDHU SHEIKH MUJIBUR RAHMAN SCIENCE AND TECHNOLOGY UNIVERSITY</v>
      </c>
      <c r="F390" s="3">
        <f>IFERROR(__xludf.DUMMYFUNCTION("""COMPUTED_VALUE"""),6.0)</f>
        <v>6</v>
      </c>
      <c r="G390" s="5">
        <f>IFERROR(__xludf.DUMMYFUNCTION("""COMPUTED_VALUE"""),1.0350061E7)</f>
        <v>10350061</v>
      </c>
    </row>
    <row r="391">
      <c r="A391" s="3">
        <f>IFERROR(__xludf.DUMMYFUNCTION("""COMPUTED_VALUE"""),435.0)</f>
        <v>435</v>
      </c>
      <c r="B391" s="2" t="str">
        <f>IFERROR(__xludf.DUMMYFUNCTION("""COMPUTED_VALUE"""),"GOPALGANJ")</f>
        <v>GOPALGANJ</v>
      </c>
      <c r="C391" s="4">
        <f>IFERROR(__xludf.DUMMYFUNCTION("""COMPUTED_VALUE"""),10.0)</f>
        <v>10</v>
      </c>
      <c r="D391" s="2" t="str">
        <f>IFERROR(__xludf.DUMMYFUNCTION("""COMPUTED_VALUE"""),"AGRANI BANK LTD.")</f>
        <v>AGRANI BANK LTD.</v>
      </c>
      <c r="E391" s="2" t="str">
        <f>IFERROR(__xludf.DUMMYFUNCTION("""COMPUTED_VALUE"""),"BANAGRAM BAZAR")</f>
        <v>BANAGRAM BAZAR</v>
      </c>
      <c r="F391" s="3">
        <f>IFERROR(__xludf.DUMMYFUNCTION("""COMPUTED_VALUE"""),7.0)</f>
        <v>7</v>
      </c>
      <c r="G391" s="5">
        <f>IFERROR(__xludf.DUMMYFUNCTION("""COMPUTED_VALUE"""),1.0350074E7)</f>
        <v>10350074</v>
      </c>
    </row>
    <row r="392">
      <c r="A392" s="3">
        <f>IFERROR(__xludf.DUMMYFUNCTION("""COMPUTED_VALUE"""),435.0)</f>
        <v>435</v>
      </c>
      <c r="B392" s="2" t="str">
        <f>IFERROR(__xludf.DUMMYFUNCTION("""COMPUTED_VALUE"""),"GOPALGANJ")</f>
        <v>GOPALGANJ</v>
      </c>
      <c r="C392" s="4">
        <f>IFERROR(__xludf.DUMMYFUNCTION("""COMPUTED_VALUE"""),10.0)</f>
        <v>10</v>
      </c>
      <c r="D392" s="2" t="str">
        <f>IFERROR(__xludf.DUMMYFUNCTION("""COMPUTED_VALUE"""),"AGRANI BANK LTD.")</f>
        <v>AGRANI BANK LTD.</v>
      </c>
      <c r="E392" s="2" t="str">
        <f>IFERROR(__xludf.DUMMYFUNCTION("""COMPUTED_VALUE"""),"KALIGANJ BAZAR")</f>
        <v>KALIGANJ BAZAR</v>
      </c>
      <c r="F392" s="3">
        <f>IFERROR(__xludf.DUMMYFUNCTION("""COMPUTED_VALUE"""),8.0)</f>
        <v>8</v>
      </c>
      <c r="G392" s="5">
        <f>IFERROR(__xludf.DUMMYFUNCTION("""COMPUTED_VALUE"""),1.0350087E7)</f>
        <v>10350087</v>
      </c>
    </row>
    <row r="393">
      <c r="A393" s="3">
        <f>IFERROR(__xludf.DUMMYFUNCTION("""COMPUTED_VALUE"""),435.0)</f>
        <v>435</v>
      </c>
      <c r="B393" s="2" t="str">
        <f>IFERROR(__xludf.DUMMYFUNCTION("""COMPUTED_VALUE"""),"GOPALGANJ")</f>
        <v>GOPALGANJ</v>
      </c>
      <c r="C393" s="4">
        <f>IFERROR(__xludf.DUMMYFUNCTION("""COMPUTED_VALUE"""),10.0)</f>
        <v>10</v>
      </c>
      <c r="D393" s="2" t="str">
        <f>IFERROR(__xludf.DUMMYFUNCTION("""COMPUTED_VALUE"""),"AGRANI BANK LTD.")</f>
        <v>AGRANI BANK LTD.</v>
      </c>
      <c r="E393" s="2" t="str">
        <f>IFERROR(__xludf.DUMMYFUNCTION("""COMPUTED_VALUE"""),"GOPALGANJ")</f>
        <v>GOPALGANJ</v>
      </c>
      <c r="F393" s="3">
        <f>IFERROR(__xludf.DUMMYFUNCTION("""COMPUTED_VALUE"""),37.0)</f>
        <v>37</v>
      </c>
      <c r="G393" s="5">
        <f>IFERROR(__xludf.DUMMYFUNCTION("""COMPUTED_VALUE"""),1.0350379E7)</f>
        <v>10350379</v>
      </c>
    </row>
    <row r="394">
      <c r="A394" s="3">
        <f>IFERROR(__xludf.DUMMYFUNCTION("""COMPUTED_VALUE"""),435.0)</f>
        <v>435</v>
      </c>
      <c r="B394" s="2" t="str">
        <f>IFERROR(__xludf.DUMMYFUNCTION("""COMPUTED_VALUE"""),"GOPALGANJ")</f>
        <v>GOPALGANJ</v>
      </c>
      <c r="C394" s="4">
        <f>IFERROR(__xludf.DUMMYFUNCTION("""COMPUTED_VALUE"""),10.0)</f>
        <v>10</v>
      </c>
      <c r="D394" s="2" t="str">
        <f>IFERROR(__xludf.DUMMYFUNCTION("""COMPUTED_VALUE"""),"AGRANI BANK LTD.")</f>
        <v>AGRANI BANK LTD.</v>
      </c>
      <c r="E394" s="2" t="str">
        <f>IFERROR(__xludf.DUMMYFUNCTION("""COMPUTED_VALUE"""),"JALIRPUR")</f>
        <v>JALIRPUR</v>
      </c>
      <c r="F394" s="3">
        <f>IFERROR(__xludf.DUMMYFUNCTION("""COMPUTED_VALUE"""),46.0)</f>
        <v>46</v>
      </c>
      <c r="G394" s="5">
        <f>IFERROR(__xludf.DUMMYFUNCTION("""COMPUTED_VALUE"""),1.0350461E7)</f>
        <v>10350461</v>
      </c>
    </row>
    <row r="395">
      <c r="A395" s="3">
        <f>IFERROR(__xludf.DUMMYFUNCTION("""COMPUTED_VALUE"""),435.0)</f>
        <v>435</v>
      </c>
      <c r="B395" s="2" t="str">
        <f>IFERROR(__xludf.DUMMYFUNCTION("""COMPUTED_VALUE"""),"GOPALGANJ")</f>
        <v>GOPALGANJ</v>
      </c>
      <c r="C395" s="4">
        <f>IFERROR(__xludf.DUMMYFUNCTION("""COMPUTED_VALUE"""),10.0)</f>
        <v>10</v>
      </c>
      <c r="D395" s="2" t="str">
        <f>IFERROR(__xludf.DUMMYFUNCTION("""COMPUTED_VALUE"""),"AGRANI BANK LTD.")</f>
        <v>AGRANI BANK LTD.</v>
      </c>
      <c r="E395" s="2" t="str">
        <f>IFERROR(__xludf.DUMMYFUNCTION("""COMPUTED_VALUE"""),"JHUTIGRAM")</f>
        <v>JHUTIGRAM</v>
      </c>
      <c r="F395" s="3">
        <f>IFERROR(__xludf.DUMMYFUNCTION("""COMPUTED_VALUE"""),49.0)</f>
        <v>49</v>
      </c>
      <c r="G395" s="5">
        <f>IFERROR(__xludf.DUMMYFUNCTION("""COMPUTED_VALUE"""),1.035049E7)</f>
        <v>10350490</v>
      </c>
    </row>
    <row r="396">
      <c r="A396" s="3">
        <f>IFERROR(__xludf.DUMMYFUNCTION("""COMPUTED_VALUE"""),435.0)</f>
        <v>435</v>
      </c>
      <c r="B396" s="2" t="str">
        <f>IFERROR(__xludf.DUMMYFUNCTION("""COMPUTED_VALUE"""),"GOPALGANJ")</f>
        <v>GOPALGANJ</v>
      </c>
      <c r="C396" s="4">
        <f>IFERROR(__xludf.DUMMYFUNCTION("""COMPUTED_VALUE"""),10.0)</f>
        <v>10</v>
      </c>
      <c r="D396" s="2" t="str">
        <f>IFERROR(__xludf.DUMMYFUNCTION("""COMPUTED_VALUE"""),"AGRANI BANK LTD.")</f>
        <v>AGRANI BANK LTD.</v>
      </c>
      <c r="E396" s="2" t="str">
        <f>IFERROR(__xludf.DUMMYFUNCTION("""COMPUTED_VALUE"""),"KASHIANI")</f>
        <v>KASHIANI</v>
      </c>
      <c r="F396" s="3">
        <f>IFERROR(__xludf.DUMMYFUNCTION("""COMPUTED_VALUE"""),58.0)</f>
        <v>58</v>
      </c>
      <c r="G396" s="5">
        <f>IFERROR(__xludf.DUMMYFUNCTION("""COMPUTED_VALUE"""),1.0350582E7)</f>
        <v>10350582</v>
      </c>
    </row>
    <row r="397">
      <c r="A397" s="3">
        <f>IFERROR(__xludf.DUMMYFUNCTION("""COMPUTED_VALUE"""),435.0)</f>
        <v>435</v>
      </c>
      <c r="B397" s="2" t="str">
        <f>IFERROR(__xludf.DUMMYFUNCTION("""COMPUTED_VALUE"""),"GOPALGANJ")</f>
        <v>GOPALGANJ</v>
      </c>
      <c r="C397" s="4">
        <f>IFERROR(__xludf.DUMMYFUNCTION("""COMPUTED_VALUE"""),10.0)</f>
        <v>10</v>
      </c>
      <c r="D397" s="2" t="str">
        <f>IFERROR(__xludf.DUMMYFUNCTION("""COMPUTED_VALUE"""),"AGRANI BANK LTD.")</f>
        <v>AGRANI BANK LTD.</v>
      </c>
      <c r="E397" s="2" t="str">
        <f>IFERROR(__xludf.DUMMYFUNCTION("""COMPUTED_VALUE"""),"KOTALIPARA")</f>
        <v>KOTALIPARA</v>
      </c>
      <c r="F397" s="3">
        <f>IFERROR(__xludf.DUMMYFUNCTION("""COMPUTED_VALUE"""),67.0)</f>
        <v>67</v>
      </c>
      <c r="G397" s="5">
        <f>IFERROR(__xludf.DUMMYFUNCTION("""COMPUTED_VALUE"""),1.0350674E7)</f>
        <v>10350674</v>
      </c>
    </row>
    <row r="398">
      <c r="A398" s="3">
        <f>IFERROR(__xludf.DUMMYFUNCTION("""COMPUTED_VALUE"""),435.0)</f>
        <v>435</v>
      </c>
      <c r="B398" s="2" t="str">
        <f>IFERROR(__xludf.DUMMYFUNCTION("""COMPUTED_VALUE"""),"GOPALGANJ")</f>
        <v>GOPALGANJ</v>
      </c>
      <c r="C398" s="4">
        <f>IFERROR(__xludf.DUMMYFUNCTION("""COMPUTED_VALUE"""),10.0)</f>
        <v>10</v>
      </c>
      <c r="D398" s="2" t="str">
        <f>IFERROR(__xludf.DUMMYFUNCTION("""COMPUTED_VALUE"""),"AGRANI BANK LTD.")</f>
        <v>AGRANI BANK LTD.</v>
      </c>
      <c r="E398" s="2" t="str">
        <f>IFERROR(__xludf.DUMMYFUNCTION("""COMPUTED_VALUE"""),"MUKSUDPUR")</f>
        <v>MUKSUDPUR</v>
      </c>
      <c r="F398" s="3">
        <f>IFERROR(__xludf.DUMMYFUNCTION("""COMPUTED_VALUE"""),73.0)</f>
        <v>73</v>
      </c>
      <c r="G398" s="5">
        <f>IFERROR(__xludf.DUMMYFUNCTION("""COMPUTED_VALUE"""),1.0350737E7)</f>
        <v>10350737</v>
      </c>
    </row>
    <row r="399">
      <c r="A399" s="3">
        <f>IFERROR(__xludf.DUMMYFUNCTION("""COMPUTED_VALUE"""),435.0)</f>
        <v>435</v>
      </c>
      <c r="B399" s="2" t="str">
        <f>IFERROR(__xludf.DUMMYFUNCTION("""COMPUTED_VALUE"""),"GOPALGANJ")</f>
        <v>GOPALGANJ</v>
      </c>
      <c r="C399" s="4">
        <f>IFERROR(__xludf.DUMMYFUNCTION("""COMPUTED_VALUE"""),10.0)</f>
        <v>10</v>
      </c>
      <c r="D399" s="2" t="str">
        <f>IFERROR(__xludf.DUMMYFUNCTION("""COMPUTED_VALUE"""),"AGRANI BANK LTD.")</f>
        <v>AGRANI BANK LTD.</v>
      </c>
      <c r="E399" s="2" t="str">
        <f>IFERROR(__xludf.DUMMYFUNCTION("""COMPUTED_VALUE"""),"POURA SUPER MARKET")</f>
        <v>POURA SUPER MARKET</v>
      </c>
      <c r="F399" s="3">
        <f>IFERROR(__xludf.DUMMYFUNCTION("""COMPUTED_VALUE"""),85.0)</f>
        <v>85</v>
      </c>
      <c r="G399" s="5">
        <f>IFERROR(__xludf.DUMMYFUNCTION("""COMPUTED_VALUE"""),1.0350858E7)</f>
        <v>10350858</v>
      </c>
    </row>
    <row r="400">
      <c r="A400" s="3">
        <f>IFERROR(__xludf.DUMMYFUNCTION("""COMPUTED_VALUE"""),435.0)</f>
        <v>435</v>
      </c>
      <c r="B400" s="2" t="str">
        <f>IFERROR(__xludf.DUMMYFUNCTION("""COMPUTED_VALUE"""),"GOPALGANJ")</f>
        <v>GOPALGANJ</v>
      </c>
      <c r="C400" s="4">
        <f>IFERROR(__xludf.DUMMYFUNCTION("""COMPUTED_VALUE"""),10.0)</f>
        <v>10</v>
      </c>
      <c r="D400" s="2" t="str">
        <f>IFERROR(__xludf.DUMMYFUNCTION("""COMPUTED_VALUE"""),"AGRANI BANK LTD.")</f>
        <v>AGRANI BANK LTD.</v>
      </c>
      <c r="E400" s="2" t="str">
        <f>IFERROR(__xludf.DUMMYFUNCTION("""COMPUTED_VALUE"""),"RAMDIA")</f>
        <v>RAMDIA</v>
      </c>
      <c r="F400" s="3">
        <f>IFERROR(__xludf.DUMMYFUNCTION("""COMPUTED_VALUE"""),97.0)</f>
        <v>97</v>
      </c>
      <c r="G400" s="5">
        <f>IFERROR(__xludf.DUMMYFUNCTION("""COMPUTED_VALUE"""),1.0350979E7)</f>
        <v>10350979</v>
      </c>
    </row>
    <row r="401">
      <c r="A401" s="3">
        <f>IFERROR(__xludf.DUMMYFUNCTION("""COMPUTED_VALUE"""),435.0)</f>
        <v>435</v>
      </c>
      <c r="B401" s="2" t="str">
        <f>IFERROR(__xludf.DUMMYFUNCTION("""COMPUTED_VALUE"""),"GOPALGANJ")</f>
        <v>GOPALGANJ</v>
      </c>
      <c r="C401" s="4">
        <f>IFERROR(__xludf.DUMMYFUNCTION("""COMPUTED_VALUE"""),10.0)</f>
        <v>10</v>
      </c>
      <c r="D401" s="2" t="str">
        <f>IFERROR(__xludf.DUMMYFUNCTION("""COMPUTED_VALUE"""),"AGRANI BANK LTD.")</f>
        <v>AGRANI BANK LTD.</v>
      </c>
      <c r="E401" s="2" t="str">
        <f>IFERROR(__xludf.DUMMYFUNCTION("""COMPUTED_VALUE"""),"TUNGI PARA")</f>
        <v>TUNGI PARA</v>
      </c>
      <c r="F401" s="3">
        <f>IFERROR(__xludf.DUMMYFUNCTION("""COMPUTED_VALUE"""),109.0)</f>
        <v>109</v>
      </c>
      <c r="G401" s="5">
        <f>IFERROR(__xludf.DUMMYFUNCTION("""COMPUTED_VALUE"""),1.0351099E7)</f>
        <v>10351099</v>
      </c>
    </row>
    <row r="402">
      <c r="A402" s="3">
        <f>IFERROR(__xludf.DUMMYFUNCTION("""COMPUTED_VALUE"""),836.0)</f>
        <v>836</v>
      </c>
      <c r="B402" s="2" t="str">
        <f>IFERROR(__xludf.DUMMYFUNCTION("""COMPUTED_VALUE"""),"HABIGANJ")</f>
        <v>HABIGANJ</v>
      </c>
      <c r="C402" s="4">
        <f>IFERROR(__xludf.DUMMYFUNCTION("""COMPUTED_VALUE"""),10.0)</f>
        <v>10</v>
      </c>
      <c r="D402" s="2" t="str">
        <f>IFERROR(__xludf.DUMMYFUNCTION("""COMPUTED_VALUE"""),"AGRANI BANK LTD.")</f>
        <v>AGRANI BANK LTD.</v>
      </c>
      <c r="E402" s="2" t="str">
        <f>IFERROR(__xludf.DUMMYFUNCTION("""COMPUTED_VALUE"""),"GOPAYA")</f>
        <v>GOPAYA</v>
      </c>
      <c r="F402" s="3">
        <f>IFERROR(__xludf.DUMMYFUNCTION("""COMPUTED_VALUE"""),52.0)</f>
        <v>52</v>
      </c>
      <c r="G402" s="5">
        <f>IFERROR(__xludf.DUMMYFUNCTION("""COMPUTED_VALUE"""),1.0360527E7)</f>
        <v>10360527</v>
      </c>
    </row>
    <row r="403">
      <c r="A403" s="3">
        <f>IFERROR(__xludf.DUMMYFUNCTION("""COMPUTED_VALUE"""),836.0)</f>
        <v>836</v>
      </c>
      <c r="B403" s="2" t="str">
        <f>IFERROR(__xludf.DUMMYFUNCTION("""COMPUTED_VALUE"""),"HABIGANJ")</f>
        <v>HABIGANJ</v>
      </c>
      <c r="C403" s="4">
        <f>IFERROR(__xludf.DUMMYFUNCTION("""COMPUTED_VALUE"""),10.0)</f>
        <v>10</v>
      </c>
      <c r="D403" s="2" t="str">
        <f>IFERROR(__xludf.DUMMYFUNCTION("""COMPUTED_VALUE"""),"AGRANI BANK LTD.")</f>
        <v>AGRANI BANK LTD.</v>
      </c>
      <c r="E403" s="2" t="str">
        <f>IFERROR(__xludf.DUMMYFUNCTION("""COMPUTED_VALUE"""),"HABIGANJ")</f>
        <v>HABIGANJ</v>
      </c>
      <c r="F403" s="3">
        <f>IFERROR(__xludf.DUMMYFUNCTION("""COMPUTED_VALUE"""),61.0)</f>
        <v>61</v>
      </c>
      <c r="G403" s="5">
        <f>IFERROR(__xludf.DUMMYFUNCTION("""COMPUTED_VALUE"""),1.0360619E7)</f>
        <v>10360619</v>
      </c>
    </row>
    <row r="404">
      <c r="A404" s="3">
        <f>IFERROR(__xludf.DUMMYFUNCTION("""COMPUTED_VALUE"""),836.0)</f>
        <v>836</v>
      </c>
      <c r="B404" s="2" t="str">
        <f>IFERROR(__xludf.DUMMYFUNCTION("""COMPUTED_VALUE"""),"HABIGANJ")</f>
        <v>HABIGANJ</v>
      </c>
      <c r="C404" s="4">
        <f>IFERROR(__xludf.DUMMYFUNCTION("""COMPUTED_VALUE"""),10.0)</f>
        <v>10</v>
      </c>
      <c r="D404" s="2" t="str">
        <f>IFERROR(__xludf.DUMMYFUNCTION("""COMPUTED_VALUE"""),"AGRANI BANK LTD.")</f>
        <v>AGRANI BANK LTD.</v>
      </c>
      <c r="E404" s="2" t="str">
        <f>IFERROR(__xludf.DUMMYFUNCTION("""COMPUTED_VALUE"""),"KAILASHGANJ")</f>
        <v>KAILASHGANJ</v>
      </c>
      <c r="F404" s="3">
        <f>IFERROR(__xludf.DUMMYFUNCTION("""COMPUTED_VALUE"""),70.0)</f>
        <v>70</v>
      </c>
      <c r="G404" s="5">
        <f>IFERROR(__xludf.DUMMYFUNCTION("""COMPUTED_VALUE"""),1.0360701E7)</f>
        <v>10360701</v>
      </c>
    </row>
    <row r="405">
      <c r="A405" s="3">
        <f>IFERROR(__xludf.DUMMYFUNCTION("""COMPUTED_VALUE"""),836.0)</f>
        <v>836</v>
      </c>
      <c r="B405" s="2" t="str">
        <f>IFERROR(__xludf.DUMMYFUNCTION("""COMPUTED_VALUE"""),"HABIGANJ")</f>
        <v>HABIGANJ</v>
      </c>
      <c r="C405" s="4">
        <f>IFERROR(__xludf.DUMMYFUNCTION("""COMPUTED_VALUE"""),10.0)</f>
        <v>10</v>
      </c>
      <c r="D405" s="2" t="str">
        <f>IFERROR(__xludf.DUMMYFUNCTION("""COMPUTED_VALUE"""),"AGRANI BANK LTD.")</f>
        <v>AGRANI BANK LTD.</v>
      </c>
      <c r="E405" s="2" t="str">
        <f>IFERROR(__xludf.DUMMYFUNCTION("""COMPUTED_VALUE"""),"NABIGANJ")</f>
        <v>NABIGANJ</v>
      </c>
      <c r="F405" s="3">
        <f>IFERROR(__xludf.DUMMYFUNCTION("""COMPUTED_VALUE"""),109.0)</f>
        <v>109</v>
      </c>
      <c r="G405" s="5">
        <f>IFERROR(__xludf.DUMMYFUNCTION("""COMPUTED_VALUE"""),1.0361092E7)</f>
        <v>10361092</v>
      </c>
    </row>
    <row r="406">
      <c r="A406" s="3">
        <f>IFERROR(__xludf.DUMMYFUNCTION("""COMPUTED_VALUE"""),836.0)</f>
        <v>836</v>
      </c>
      <c r="B406" s="2" t="str">
        <f>IFERROR(__xludf.DUMMYFUNCTION("""COMPUTED_VALUE"""),"HABIGANJ")</f>
        <v>HABIGANJ</v>
      </c>
      <c r="C406" s="4">
        <f>IFERROR(__xludf.DUMMYFUNCTION("""COMPUTED_VALUE"""),10.0)</f>
        <v>10</v>
      </c>
      <c r="D406" s="2" t="str">
        <f>IFERROR(__xludf.DUMMYFUNCTION("""COMPUTED_VALUE"""),"AGRANI BANK LTD.")</f>
        <v>AGRANI BANK LTD.</v>
      </c>
      <c r="E406" s="2" t="str">
        <f>IFERROR(__xludf.DUMMYFUNCTION("""COMPUTED_VALUE"""),"PURAN BAZAR")</f>
        <v>PURAN BAZAR</v>
      </c>
      <c r="F406" s="3">
        <f>IFERROR(__xludf.DUMMYFUNCTION("""COMPUTED_VALUE"""),133.0)</f>
        <v>133</v>
      </c>
      <c r="G406" s="5">
        <f>IFERROR(__xludf.DUMMYFUNCTION("""COMPUTED_VALUE"""),1.0361339E7)</f>
        <v>10361339</v>
      </c>
    </row>
    <row r="407">
      <c r="A407" s="3">
        <f>IFERROR(__xludf.DUMMYFUNCTION("""COMPUTED_VALUE"""),638.0)</f>
        <v>638</v>
      </c>
      <c r="B407" s="2" t="str">
        <f>IFERROR(__xludf.DUMMYFUNCTION("""COMPUTED_VALUE"""),"JOYPURHAT")</f>
        <v>JOYPURHAT</v>
      </c>
      <c r="C407" s="4">
        <f>IFERROR(__xludf.DUMMYFUNCTION("""COMPUTED_VALUE"""),10.0)</f>
        <v>10</v>
      </c>
      <c r="D407" s="2" t="str">
        <f>IFERROR(__xludf.DUMMYFUNCTION("""COMPUTED_VALUE"""),"AGRANI BANK LTD.")</f>
        <v>AGRANI BANK LTD.</v>
      </c>
      <c r="E407" s="2" t="str">
        <f>IFERROR(__xludf.DUMMYFUNCTION("""COMPUTED_VALUE"""),"AKKELPUR")</f>
        <v>AKKELPUR</v>
      </c>
      <c r="F407" s="3">
        <f>IFERROR(__xludf.DUMMYFUNCTION("""COMPUTED_VALUE"""),4.0)</f>
        <v>4</v>
      </c>
      <c r="G407" s="5">
        <f>IFERROR(__xludf.DUMMYFUNCTION("""COMPUTED_VALUE"""),1.0380044E7)</f>
        <v>10380044</v>
      </c>
    </row>
    <row r="408">
      <c r="A408" s="3">
        <f>IFERROR(__xludf.DUMMYFUNCTION("""COMPUTED_VALUE"""),638.0)</f>
        <v>638</v>
      </c>
      <c r="B408" s="2" t="str">
        <f>IFERROR(__xludf.DUMMYFUNCTION("""COMPUTED_VALUE"""),"JOYPURHAT")</f>
        <v>JOYPURHAT</v>
      </c>
      <c r="C408" s="4">
        <f>IFERROR(__xludf.DUMMYFUNCTION("""COMPUTED_VALUE"""),10.0)</f>
        <v>10</v>
      </c>
      <c r="D408" s="2" t="str">
        <f>IFERROR(__xludf.DUMMYFUNCTION("""COMPUTED_VALUE"""),"AGRANI BANK LTD.")</f>
        <v>AGRANI BANK LTD.</v>
      </c>
      <c r="E408" s="2" t="str">
        <f>IFERROR(__xludf.DUMMYFUNCTION("""COMPUTED_VALUE"""),"JOYPURHAT GIRLS CADET COLLEGE")</f>
        <v>JOYPURHAT GIRLS CADET COLLEGE</v>
      </c>
      <c r="F408" s="3">
        <f>IFERROR(__xludf.DUMMYFUNCTION("""COMPUTED_VALUE"""),5.0)</f>
        <v>5</v>
      </c>
      <c r="G408" s="5">
        <f>IFERROR(__xludf.DUMMYFUNCTION("""COMPUTED_VALUE"""),1.0380057E7)</f>
        <v>10380057</v>
      </c>
    </row>
    <row r="409">
      <c r="A409" s="3">
        <f>IFERROR(__xludf.DUMMYFUNCTION("""COMPUTED_VALUE"""),638.0)</f>
        <v>638</v>
      </c>
      <c r="B409" s="2" t="str">
        <f>IFERROR(__xludf.DUMMYFUNCTION("""COMPUTED_VALUE"""),"JOYPURHAT")</f>
        <v>JOYPURHAT</v>
      </c>
      <c r="C409" s="4">
        <f>IFERROR(__xludf.DUMMYFUNCTION("""COMPUTED_VALUE"""),10.0)</f>
        <v>10</v>
      </c>
      <c r="D409" s="2" t="str">
        <f>IFERROR(__xludf.DUMMYFUNCTION("""COMPUTED_VALUE"""),"AGRANI BANK LTD.")</f>
        <v>AGRANI BANK LTD.</v>
      </c>
      <c r="E409" s="2" t="str">
        <f>IFERROR(__xludf.DUMMYFUNCTION("""COMPUTED_VALUE"""),"AWLAI")</f>
        <v>AWLAI</v>
      </c>
      <c r="F409" s="3">
        <f>IFERROR(__xludf.DUMMYFUNCTION("""COMPUTED_VALUE"""),10.0)</f>
        <v>10</v>
      </c>
      <c r="G409" s="5">
        <f>IFERROR(__xludf.DUMMYFUNCTION("""COMPUTED_VALUE"""),1.0380107E7)</f>
        <v>10380107</v>
      </c>
    </row>
    <row r="410">
      <c r="A410" s="3">
        <f>IFERROR(__xludf.DUMMYFUNCTION("""COMPUTED_VALUE"""),638.0)</f>
        <v>638</v>
      </c>
      <c r="B410" s="2" t="str">
        <f>IFERROR(__xludf.DUMMYFUNCTION("""COMPUTED_VALUE"""),"JOYPURHAT")</f>
        <v>JOYPURHAT</v>
      </c>
      <c r="C410" s="4">
        <f>IFERROR(__xludf.DUMMYFUNCTION("""COMPUTED_VALUE"""),10.0)</f>
        <v>10</v>
      </c>
      <c r="D410" s="2" t="str">
        <f>IFERROR(__xludf.DUMMYFUNCTION("""COMPUTED_VALUE"""),"AGRANI BANK LTD.")</f>
        <v>AGRANI BANK LTD.</v>
      </c>
      <c r="E410" s="2" t="str">
        <f>IFERROR(__xludf.DUMMYFUNCTION("""COMPUTED_VALUE"""),"CHAWK BARKAT")</f>
        <v>CHAWK BARKAT</v>
      </c>
      <c r="F410" s="3">
        <f>IFERROR(__xludf.DUMMYFUNCTION("""COMPUTED_VALUE"""),22.0)</f>
        <v>22</v>
      </c>
      <c r="G410" s="5">
        <f>IFERROR(__xludf.DUMMYFUNCTION("""COMPUTED_VALUE"""),1.0380228E7)</f>
        <v>10380228</v>
      </c>
    </row>
    <row r="411">
      <c r="A411" s="3">
        <f>IFERROR(__xludf.DUMMYFUNCTION("""COMPUTED_VALUE"""),638.0)</f>
        <v>638</v>
      </c>
      <c r="B411" s="2" t="str">
        <f>IFERROR(__xludf.DUMMYFUNCTION("""COMPUTED_VALUE"""),"JOYPURHAT")</f>
        <v>JOYPURHAT</v>
      </c>
      <c r="C411" s="4">
        <f>IFERROR(__xludf.DUMMYFUNCTION("""COMPUTED_VALUE"""),10.0)</f>
        <v>10</v>
      </c>
      <c r="D411" s="2" t="str">
        <f>IFERROR(__xludf.DUMMYFUNCTION("""COMPUTED_VALUE"""),"AGRANI BANK LTD.")</f>
        <v>AGRANI BANK LTD.</v>
      </c>
      <c r="E411" s="2" t="str">
        <f>IFERROR(__xludf.DUMMYFUNCTION("""COMPUTED_VALUE"""),"JOYPURHAT")</f>
        <v>JOYPURHAT</v>
      </c>
      <c r="F411" s="3">
        <f>IFERROR(__xludf.DUMMYFUNCTION("""COMPUTED_VALUE"""),40.0)</f>
        <v>40</v>
      </c>
      <c r="G411" s="5">
        <f>IFERROR(__xludf.DUMMYFUNCTION("""COMPUTED_VALUE"""),1.0380402E7)</f>
        <v>10380402</v>
      </c>
    </row>
    <row r="412">
      <c r="A412" s="3">
        <f>IFERROR(__xludf.DUMMYFUNCTION("""COMPUTED_VALUE"""),638.0)</f>
        <v>638</v>
      </c>
      <c r="B412" s="2" t="str">
        <f>IFERROR(__xludf.DUMMYFUNCTION("""COMPUTED_VALUE"""),"JOYPURHAT")</f>
        <v>JOYPURHAT</v>
      </c>
      <c r="C412" s="4">
        <f>IFERROR(__xludf.DUMMYFUNCTION("""COMPUTED_VALUE"""),10.0)</f>
        <v>10</v>
      </c>
      <c r="D412" s="2" t="str">
        <f>IFERROR(__xludf.DUMMYFUNCTION("""COMPUTED_VALUE"""),"AGRANI BANK LTD.")</f>
        <v>AGRANI BANK LTD.</v>
      </c>
      <c r="E412" s="2" t="str">
        <f>IFERROR(__xludf.DUMMYFUNCTION("""COMPUTED_VALUE"""),"KALAI")</f>
        <v>KALAI</v>
      </c>
      <c r="F412" s="3">
        <f>IFERROR(__xludf.DUMMYFUNCTION("""COMPUTED_VALUE"""),46.0)</f>
        <v>46</v>
      </c>
      <c r="G412" s="5">
        <f>IFERROR(__xludf.DUMMYFUNCTION("""COMPUTED_VALUE"""),1.038046E7)</f>
        <v>10380460</v>
      </c>
    </row>
    <row r="413">
      <c r="A413" s="3">
        <f>IFERROR(__xludf.DUMMYFUNCTION("""COMPUTED_VALUE"""),638.0)</f>
        <v>638</v>
      </c>
      <c r="B413" s="2" t="str">
        <f>IFERROR(__xludf.DUMMYFUNCTION("""COMPUTED_VALUE"""),"JOYPURHAT")</f>
        <v>JOYPURHAT</v>
      </c>
      <c r="C413" s="4">
        <f>IFERROR(__xludf.DUMMYFUNCTION("""COMPUTED_VALUE"""),10.0)</f>
        <v>10</v>
      </c>
      <c r="D413" s="2" t="str">
        <f>IFERROR(__xludf.DUMMYFUNCTION("""COMPUTED_VALUE"""),"AGRANI BANK LTD.")</f>
        <v>AGRANI BANK LTD.</v>
      </c>
      <c r="E413" s="2" t="str">
        <f>IFERROR(__xludf.DUMMYFUNCTION("""COMPUTED_VALUE"""),"KUSHUMBA")</f>
        <v>KUSHUMBA</v>
      </c>
      <c r="F413" s="3">
        <f>IFERROR(__xludf.DUMMYFUNCTION("""COMPUTED_VALUE"""),52.0)</f>
        <v>52</v>
      </c>
      <c r="G413" s="5">
        <f>IFERROR(__xludf.DUMMYFUNCTION("""COMPUTED_VALUE"""),1.0380523E7)</f>
        <v>10380523</v>
      </c>
    </row>
    <row r="414">
      <c r="A414" s="3">
        <f>IFERROR(__xludf.DUMMYFUNCTION("""COMPUTED_VALUE"""),638.0)</f>
        <v>638</v>
      </c>
      <c r="B414" s="2" t="str">
        <f>IFERROR(__xludf.DUMMYFUNCTION("""COMPUTED_VALUE"""),"JOYPURHAT")</f>
        <v>JOYPURHAT</v>
      </c>
      <c r="C414" s="4">
        <f>IFERROR(__xludf.DUMMYFUNCTION("""COMPUTED_VALUE"""),10.0)</f>
        <v>10</v>
      </c>
      <c r="D414" s="2" t="str">
        <f>IFERROR(__xludf.DUMMYFUNCTION("""COMPUTED_VALUE"""),"AGRANI BANK LTD.")</f>
        <v>AGRANI BANK LTD.</v>
      </c>
      <c r="E414" s="2" t="str">
        <f>IFERROR(__xludf.DUMMYFUNCTION("""COMPUTED_VALUE"""),"MATRAI")</f>
        <v>MATRAI</v>
      </c>
      <c r="F414" s="3">
        <f>IFERROR(__xludf.DUMMYFUNCTION("""COMPUTED_VALUE"""),58.0)</f>
        <v>58</v>
      </c>
      <c r="G414" s="5">
        <f>IFERROR(__xludf.DUMMYFUNCTION("""COMPUTED_VALUE"""),1.0380581E7)</f>
        <v>10380581</v>
      </c>
    </row>
    <row r="415">
      <c r="A415" s="3">
        <f>IFERROR(__xludf.DUMMYFUNCTION("""COMPUTED_VALUE"""),638.0)</f>
        <v>638</v>
      </c>
      <c r="B415" s="2" t="str">
        <f>IFERROR(__xludf.DUMMYFUNCTION("""COMPUTED_VALUE"""),"JOYPURHAT")</f>
        <v>JOYPURHAT</v>
      </c>
      <c r="C415" s="4">
        <f>IFERROR(__xludf.DUMMYFUNCTION("""COMPUTED_VALUE"""),10.0)</f>
        <v>10</v>
      </c>
      <c r="D415" s="2" t="str">
        <f>IFERROR(__xludf.DUMMYFUNCTION("""COMPUTED_VALUE"""),"AGRANI BANK LTD.")</f>
        <v>AGRANI BANK LTD.</v>
      </c>
      <c r="E415" s="2" t="str">
        <f>IFERROR(__xludf.DUMMYFUNCTION("""COMPUTED_VALUE"""),"PANCHBIBI")</f>
        <v>PANCHBIBI</v>
      </c>
      <c r="F415" s="3">
        <f>IFERROR(__xludf.DUMMYFUNCTION("""COMPUTED_VALUE"""),67.0)</f>
        <v>67</v>
      </c>
      <c r="G415" s="5">
        <f>IFERROR(__xludf.DUMMYFUNCTION("""COMPUTED_VALUE"""),1.0380673E7)</f>
        <v>10380673</v>
      </c>
    </row>
    <row r="416">
      <c r="A416" s="3">
        <f>IFERROR(__xludf.DUMMYFUNCTION("""COMPUTED_VALUE"""),139.0)</f>
        <v>139</v>
      </c>
      <c r="B416" s="2" t="str">
        <f>IFERROR(__xludf.DUMMYFUNCTION("""COMPUTED_VALUE"""),"JAMALPUR")</f>
        <v>JAMALPUR</v>
      </c>
      <c r="C416" s="4">
        <f>IFERROR(__xludf.DUMMYFUNCTION("""COMPUTED_VALUE"""),10.0)</f>
        <v>10</v>
      </c>
      <c r="D416" s="2" t="str">
        <f>IFERROR(__xludf.DUMMYFUNCTION("""COMPUTED_VALUE"""),"AGRANI BANK LTD.")</f>
        <v>AGRANI BANK LTD.</v>
      </c>
      <c r="E416" s="2" t="str">
        <f>IFERROR(__xludf.DUMMYFUNCTION("""COMPUTED_VALUE"""),"BALIJURI BAZAR")</f>
        <v>BALIJURI BAZAR</v>
      </c>
      <c r="F416" s="3">
        <f>IFERROR(__xludf.DUMMYFUNCTION("""COMPUTED_VALUE"""),19.0)</f>
        <v>19</v>
      </c>
      <c r="G416" s="5">
        <f>IFERROR(__xludf.DUMMYFUNCTION("""COMPUTED_VALUE"""),1.0390197E7)</f>
        <v>10390197</v>
      </c>
    </row>
    <row r="417">
      <c r="A417" s="3">
        <f>IFERROR(__xludf.DUMMYFUNCTION("""COMPUTED_VALUE"""),139.0)</f>
        <v>139</v>
      </c>
      <c r="B417" s="2" t="str">
        <f>IFERROR(__xludf.DUMMYFUNCTION("""COMPUTED_VALUE"""),"JAMALPUR")</f>
        <v>JAMALPUR</v>
      </c>
      <c r="C417" s="4">
        <f>IFERROR(__xludf.DUMMYFUNCTION("""COMPUTED_VALUE"""),10.0)</f>
        <v>10</v>
      </c>
      <c r="D417" s="2" t="str">
        <f>IFERROR(__xludf.DUMMYFUNCTION("""COMPUTED_VALUE"""),"AGRANI BANK LTD.")</f>
        <v>AGRANI BANK LTD.</v>
      </c>
      <c r="E417" s="2" t="str">
        <f>IFERROR(__xludf.DUMMYFUNCTION("""COMPUTED_VALUE"""),"BUS STAND")</f>
        <v>BUS STAND</v>
      </c>
      <c r="F417" s="3">
        <f>IFERROR(__xludf.DUMMYFUNCTION("""COMPUTED_VALUE"""),40.0)</f>
        <v>40</v>
      </c>
      <c r="G417" s="5">
        <f>IFERROR(__xludf.DUMMYFUNCTION("""COMPUTED_VALUE"""),1.0390405E7)</f>
        <v>10390405</v>
      </c>
    </row>
    <row r="418">
      <c r="A418" s="3">
        <f>IFERROR(__xludf.DUMMYFUNCTION("""COMPUTED_VALUE"""),139.0)</f>
        <v>139</v>
      </c>
      <c r="B418" s="2" t="str">
        <f>IFERROR(__xludf.DUMMYFUNCTION("""COMPUTED_VALUE"""),"JAMALPUR")</f>
        <v>JAMALPUR</v>
      </c>
      <c r="C418" s="4">
        <f>IFERROR(__xludf.DUMMYFUNCTION("""COMPUTED_VALUE"""),10.0)</f>
        <v>10</v>
      </c>
      <c r="D418" s="2" t="str">
        <f>IFERROR(__xludf.DUMMYFUNCTION("""COMPUTED_VALUE"""),"AGRANI BANK LTD.")</f>
        <v>AGRANI BANK LTD.</v>
      </c>
      <c r="E418" s="2" t="str">
        <f>IFERROR(__xludf.DUMMYFUNCTION("""COMPUTED_VALUE"""),"HAZIPUR BAZAR")</f>
        <v>HAZIPUR BAZAR</v>
      </c>
      <c r="F418" s="3">
        <f>IFERROR(__xludf.DUMMYFUNCTION("""COMPUTED_VALUE"""),70.0)</f>
        <v>70</v>
      </c>
      <c r="G418" s="5">
        <f>IFERROR(__xludf.DUMMYFUNCTION("""COMPUTED_VALUE"""),1.03907E7)</f>
        <v>10390700</v>
      </c>
    </row>
    <row r="419">
      <c r="A419" s="3">
        <f>IFERROR(__xludf.DUMMYFUNCTION("""COMPUTED_VALUE"""),139.0)</f>
        <v>139</v>
      </c>
      <c r="B419" s="2" t="str">
        <f>IFERROR(__xludf.DUMMYFUNCTION("""COMPUTED_VALUE"""),"JAMALPUR")</f>
        <v>JAMALPUR</v>
      </c>
      <c r="C419" s="4">
        <f>IFERROR(__xludf.DUMMYFUNCTION("""COMPUTED_VALUE"""),10.0)</f>
        <v>10</v>
      </c>
      <c r="D419" s="2" t="str">
        <f>IFERROR(__xludf.DUMMYFUNCTION("""COMPUTED_VALUE"""),"AGRANI BANK LTD.")</f>
        <v>AGRANI BANK LTD.</v>
      </c>
      <c r="E419" s="2" t="str">
        <f>IFERROR(__xludf.DUMMYFUNCTION("""COMPUTED_VALUE"""),"ISLAMPUR BAZAR")</f>
        <v>ISLAMPUR BAZAR</v>
      </c>
      <c r="F419" s="3">
        <f>IFERROR(__xludf.DUMMYFUNCTION("""COMPUTED_VALUE"""),79.0)</f>
        <v>79</v>
      </c>
      <c r="G419" s="5">
        <f>IFERROR(__xludf.DUMMYFUNCTION("""COMPUTED_VALUE"""),1.0390797E7)</f>
        <v>10390797</v>
      </c>
    </row>
    <row r="420">
      <c r="A420" s="3">
        <f>IFERROR(__xludf.DUMMYFUNCTION("""COMPUTED_VALUE"""),139.0)</f>
        <v>139</v>
      </c>
      <c r="B420" s="2" t="str">
        <f>IFERROR(__xludf.DUMMYFUNCTION("""COMPUTED_VALUE"""),"JAMALPUR")</f>
        <v>JAMALPUR</v>
      </c>
      <c r="C420" s="4">
        <f>IFERROR(__xludf.DUMMYFUNCTION("""COMPUTED_VALUE"""),10.0)</f>
        <v>10</v>
      </c>
      <c r="D420" s="2" t="str">
        <f>IFERROR(__xludf.DUMMYFUNCTION("""COMPUTED_VALUE"""),"AGRANI BANK LTD.")</f>
        <v>AGRANI BANK LTD.</v>
      </c>
      <c r="E420" s="2" t="str">
        <f>IFERROR(__xludf.DUMMYFUNCTION("""COMPUTED_VALUE"""),"JAGANNATHGONJ GHAT")</f>
        <v>JAGANNATHGONJ GHAT</v>
      </c>
      <c r="F420" s="3">
        <f>IFERROR(__xludf.DUMMYFUNCTION("""COMPUTED_VALUE"""),82.0)</f>
        <v>82</v>
      </c>
      <c r="G420" s="5">
        <f>IFERROR(__xludf.DUMMYFUNCTION("""COMPUTED_VALUE"""),1.0390821E7)</f>
        <v>10390821</v>
      </c>
    </row>
    <row r="421">
      <c r="A421" s="3">
        <f>IFERROR(__xludf.DUMMYFUNCTION("""COMPUTED_VALUE"""),139.0)</f>
        <v>139</v>
      </c>
      <c r="B421" s="2" t="str">
        <f>IFERROR(__xludf.DUMMYFUNCTION("""COMPUTED_VALUE"""),"JAMALPUR")</f>
        <v>JAMALPUR</v>
      </c>
      <c r="C421" s="4">
        <f>IFERROR(__xludf.DUMMYFUNCTION("""COMPUTED_VALUE"""),10.0)</f>
        <v>10</v>
      </c>
      <c r="D421" s="2" t="str">
        <f>IFERROR(__xludf.DUMMYFUNCTION("""COMPUTED_VALUE"""),"AGRANI BANK LTD.")</f>
        <v>AGRANI BANK LTD.</v>
      </c>
      <c r="E421" s="2" t="str">
        <f>IFERROR(__xludf.DUMMYFUNCTION("""COMPUTED_VALUE"""),"JAMALPUR")</f>
        <v>JAMALPUR</v>
      </c>
      <c r="F421" s="3">
        <f>IFERROR(__xludf.DUMMYFUNCTION("""COMPUTED_VALUE"""),85.0)</f>
        <v>85</v>
      </c>
      <c r="G421" s="5">
        <f>IFERROR(__xludf.DUMMYFUNCTION("""COMPUTED_VALUE"""),1.039085E7)</f>
        <v>10390850</v>
      </c>
    </row>
    <row r="422">
      <c r="A422" s="3">
        <f>IFERROR(__xludf.DUMMYFUNCTION("""COMPUTED_VALUE"""),139.0)</f>
        <v>139</v>
      </c>
      <c r="B422" s="2" t="str">
        <f>IFERROR(__xludf.DUMMYFUNCTION("""COMPUTED_VALUE"""),"JAMALPUR")</f>
        <v>JAMALPUR</v>
      </c>
      <c r="C422" s="4">
        <f>IFERROR(__xludf.DUMMYFUNCTION("""COMPUTED_VALUE"""),10.0)</f>
        <v>10</v>
      </c>
      <c r="D422" s="2" t="str">
        <f>IFERROR(__xludf.DUMMYFUNCTION("""COMPUTED_VALUE"""),"AGRANI BANK LTD.")</f>
        <v>AGRANI BANK LTD.</v>
      </c>
      <c r="E422" s="2" t="str">
        <f>IFERROR(__xludf.DUMMYFUNCTION("""COMPUTED_VALUE"""),"JAMTOLI BAZAR")</f>
        <v>JAMTOLI BAZAR</v>
      </c>
      <c r="F422" s="3">
        <f>IFERROR(__xludf.DUMMYFUNCTION("""COMPUTED_VALUE"""),94.0)</f>
        <v>94</v>
      </c>
      <c r="G422" s="5">
        <f>IFERROR(__xludf.DUMMYFUNCTION("""COMPUTED_VALUE"""),1.0390942E7)</f>
        <v>10390942</v>
      </c>
    </row>
    <row r="423">
      <c r="A423" s="3">
        <f>IFERROR(__xludf.DUMMYFUNCTION("""COMPUTED_VALUE"""),139.0)</f>
        <v>139</v>
      </c>
      <c r="B423" s="2" t="str">
        <f>IFERROR(__xludf.DUMMYFUNCTION("""COMPUTED_VALUE"""),"JAMALPUR")</f>
        <v>JAMALPUR</v>
      </c>
      <c r="C423" s="4">
        <f>IFERROR(__xludf.DUMMYFUNCTION("""COMPUTED_VALUE"""),10.0)</f>
        <v>10</v>
      </c>
      <c r="D423" s="2" t="str">
        <f>IFERROR(__xludf.DUMMYFUNCTION("""COMPUTED_VALUE"""),"AGRANI BANK LTD.")</f>
        <v>AGRANI BANK LTD.</v>
      </c>
      <c r="E423" s="2" t="str">
        <f>IFERROR(__xludf.DUMMYFUNCTION("""COMPUTED_VALUE"""),"JAMUNA SARKARKHANA")</f>
        <v>JAMUNA SARKARKHANA</v>
      </c>
      <c r="F423" s="3">
        <f>IFERROR(__xludf.DUMMYFUNCTION("""COMPUTED_VALUE"""),100.0)</f>
        <v>100</v>
      </c>
      <c r="G423" s="5">
        <f>IFERROR(__xludf.DUMMYFUNCTION("""COMPUTED_VALUE"""),1.0391004E7)</f>
        <v>10391004</v>
      </c>
    </row>
    <row r="424">
      <c r="A424" s="3">
        <f>IFERROR(__xludf.DUMMYFUNCTION("""COMPUTED_VALUE"""),139.0)</f>
        <v>139</v>
      </c>
      <c r="B424" s="2" t="str">
        <f>IFERROR(__xludf.DUMMYFUNCTION("""COMPUTED_VALUE"""),"JAMALPUR")</f>
        <v>JAMALPUR</v>
      </c>
      <c r="C424" s="4">
        <f>IFERROR(__xludf.DUMMYFUNCTION("""COMPUTED_VALUE"""),10.0)</f>
        <v>10</v>
      </c>
      <c r="D424" s="2" t="str">
        <f>IFERROR(__xludf.DUMMYFUNCTION("""COMPUTED_VALUE"""),"AGRANI BANK LTD.")</f>
        <v>AGRANI BANK LTD.</v>
      </c>
      <c r="E424" s="2" t="str">
        <f>IFERROR(__xludf.DUMMYFUNCTION("""COMPUTED_VALUE"""),"LAHIRIKANDA")</f>
        <v>LAHIRIKANDA</v>
      </c>
      <c r="F424" s="3">
        <f>IFERROR(__xludf.DUMMYFUNCTION("""COMPUTED_VALUE"""),112.0)</f>
        <v>112</v>
      </c>
      <c r="G424" s="5">
        <f>IFERROR(__xludf.DUMMYFUNCTION("""COMPUTED_VALUE"""),1.0391125E7)</f>
        <v>10391125</v>
      </c>
    </row>
    <row r="425">
      <c r="A425" s="3">
        <f>IFERROR(__xludf.DUMMYFUNCTION("""COMPUTED_VALUE"""),139.0)</f>
        <v>139</v>
      </c>
      <c r="B425" s="2" t="str">
        <f>IFERROR(__xludf.DUMMYFUNCTION("""COMPUTED_VALUE"""),"JAMALPUR")</f>
        <v>JAMALPUR</v>
      </c>
      <c r="C425" s="4">
        <f>IFERROR(__xludf.DUMMYFUNCTION("""COMPUTED_VALUE"""),10.0)</f>
        <v>10</v>
      </c>
      <c r="D425" s="2" t="str">
        <f>IFERROR(__xludf.DUMMYFUNCTION("""COMPUTED_VALUE"""),"AGRANI BANK LTD.")</f>
        <v>AGRANI BANK LTD.</v>
      </c>
      <c r="E425" s="2" t="str">
        <f>IFERROR(__xludf.DUMMYFUNCTION("""COMPUTED_VALUE"""),"PINGNA")</f>
        <v>PINGNA</v>
      </c>
      <c r="F425" s="3">
        <f>IFERROR(__xludf.DUMMYFUNCTION("""COMPUTED_VALUE"""),139.0)</f>
        <v>139</v>
      </c>
      <c r="G425" s="5">
        <f>IFERROR(__xludf.DUMMYFUNCTION("""COMPUTED_VALUE"""),1.0391396E7)</f>
        <v>10391396</v>
      </c>
    </row>
    <row r="426">
      <c r="A426" s="3">
        <f>IFERROR(__xludf.DUMMYFUNCTION("""COMPUTED_VALUE"""),139.0)</f>
        <v>139</v>
      </c>
      <c r="B426" s="2" t="str">
        <f>IFERROR(__xludf.DUMMYFUNCTION("""COMPUTED_VALUE"""),"JAMALPUR")</f>
        <v>JAMALPUR</v>
      </c>
      <c r="C426" s="4">
        <f>IFERROR(__xludf.DUMMYFUNCTION("""COMPUTED_VALUE"""),10.0)</f>
        <v>10</v>
      </c>
      <c r="D426" s="2" t="str">
        <f>IFERROR(__xludf.DUMMYFUNCTION("""COMPUTED_VALUE"""),"AGRANI BANK LTD.")</f>
        <v>AGRANI BANK LTD.</v>
      </c>
      <c r="E426" s="2" t="str">
        <f>IFERROR(__xludf.DUMMYFUNCTION("""COMPUTED_VALUE"""),"PIYARPUR")</f>
        <v>PIYARPUR</v>
      </c>
      <c r="F426" s="3">
        <f>IFERROR(__xludf.DUMMYFUNCTION("""COMPUTED_VALUE"""),142.0)</f>
        <v>142</v>
      </c>
      <c r="G426" s="5">
        <f>IFERROR(__xludf.DUMMYFUNCTION("""COMPUTED_VALUE"""),1.039142E7)</f>
        <v>10391420</v>
      </c>
    </row>
    <row r="427">
      <c r="A427" s="3">
        <f>IFERROR(__xludf.DUMMYFUNCTION("""COMPUTED_VALUE"""),139.0)</f>
        <v>139</v>
      </c>
      <c r="B427" s="2" t="str">
        <f>IFERROR(__xludf.DUMMYFUNCTION("""COMPUTED_VALUE"""),"JAMALPUR")</f>
        <v>JAMALPUR</v>
      </c>
      <c r="C427" s="4">
        <f>IFERROR(__xludf.DUMMYFUNCTION("""COMPUTED_VALUE"""),10.0)</f>
        <v>10</v>
      </c>
      <c r="D427" s="2" t="str">
        <f>IFERROR(__xludf.DUMMYFUNCTION("""COMPUTED_VALUE"""),"AGRANI BANK LTD.")</f>
        <v>AGRANI BANK LTD.</v>
      </c>
      <c r="E427" s="2" t="str">
        <f>IFERROR(__xludf.DUMMYFUNCTION("""COMPUTED_VALUE"""),"SARISHABARI")</f>
        <v>SARISHABARI</v>
      </c>
      <c r="F427" s="3">
        <f>IFERROR(__xludf.DUMMYFUNCTION("""COMPUTED_VALUE"""),148.0)</f>
        <v>148</v>
      </c>
      <c r="G427" s="5">
        <f>IFERROR(__xludf.DUMMYFUNCTION("""COMPUTED_VALUE"""),1.0391488E7)</f>
        <v>10391488</v>
      </c>
    </row>
    <row r="428">
      <c r="A428" s="3">
        <f>IFERROR(__xludf.DUMMYFUNCTION("""COMPUTED_VALUE"""),139.0)</f>
        <v>139</v>
      </c>
      <c r="B428" s="2" t="str">
        <f>IFERROR(__xludf.DUMMYFUNCTION("""COMPUTED_VALUE"""),"JAMALPUR")</f>
        <v>JAMALPUR</v>
      </c>
      <c r="C428" s="4">
        <f>IFERROR(__xludf.DUMMYFUNCTION("""COMPUTED_VALUE"""),10.0)</f>
        <v>10</v>
      </c>
      <c r="D428" s="2" t="str">
        <f>IFERROR(__xludf.DUMMYFUNCTION("""COMPUTED_VALUE"""),"AGRANI BANK LTD.")</f>
        <v>AGRANI BANK LTD.</v>
      </c>
      <c r="E428" s="2" t="str">
        <f>IFERROR(__xludf.DUMMYFUNCTION("""COMPUTED_VALUE"""),"SHABAZPUR")</f>
        <v>SHABAZPUR</v>
      </c>
      <c r="F428" s="3">
        <f>IFERROR(__xludf.DUMMYFUNCTION("""COMPUTED_VALUE"""),154.0)</f>
        <v>154</v>
      </c>
      <c r="G428" s="5">
        <f>IFERROR(__xludf.DUMMYFUNCTION("""COMPUTED_VALUE"""),1.0391541E7)</f>
        <v>10391541</v>
      </c>
    </row>
    <row r="429">
      <c r="A429" s="3">
        <f>IFERROR(__xludf.DUMMYFUNCTION("""COMPUTED_VALUE"""),139.0)</f>
        <v>139</v>
      </c>
      <c r="B429" s="2" t="str">
        <f>IFERROR(__xludf.DUMMYFUNCTION("""COMPUTED_VALUE"""),"JAMALPUR")</f>
        <v>JAMALPUR</v>
      </c>
      <c r="C429" s="4">
        <f>IFERROR(__xludf.DUMMYFUNCTION("""COMPUTED_VALUE"""),10.0)</f>
        <v>10</v>
      </c>
      <c r="D429" s="2" t="str">
        <f>IFERROR(__xludf.DUMMYFUNCTION("""COMPUTED_VALUE"""),"AGRANI BANK LTD.")</f>
        <v>AGRANI BANK LTD.</v>
      </c>
      <c r="E429" s="2" t="str">
        <f>IFERROR(__xludf.DUMMYFUNCTION("""COMPUTED_VALUE"""),"STATION ROAD")</f>
        <v>STATION ROAD</v>
      </c>
      <c r="F429" s="3">
        <f>IFERROR(__xludf.DUMMYFUNCTION("""COMPUTED_VALUE"""),166.0)</f>
        <v>166</v>
      </c>
      <c r="G429" s="5">
        <f>IFERROR(__xludf.DUMMYFUNCTION("""COMPUTED_VALUE"""),1.0391662E7)</f>
        <v>10391662</v>
      </c>
    </row>
    <row r="430">
      <c r="A430" s="3">
        <f>IFERROR(__xludf.DUMMYFUNCTION("""COMPUTED_VALUE"""),441.0)</f>
        <v>441</v>
      </c>
      <c r="B430" s="2" t="str">
        <f>IFERROR(__xludf.DUMMYFUNCTION("""COMPUTED_VALUE"""),"JESSORE")</f>
        <v>JESSORE</v>
      </c>
      <c r="C430" s="4">
        <f>IFERROR(__xludf.DUMMYFUNCTION("""COMPUTED_VALUE"""),10.0)</f>
        <v>10</v>
      </c>
      <c r="D430" s="2" t="str">
        <f>IFERROR(__xludf.DUMMYFUNCTION("""COMPUTED_VALUE"""),"AGRANI BANK LTD.")</f>
        <v>AGRANI BANK LTD.</v>
      </c>
      <c r="E430" s="2" t="str">
        <f>IFERROR(__xludf.DUMMYFUNCTION("""COMPUTED_VALUE"""),"BAGHERPARA")</f>
        <v>BAGHERPARA</v>
      </c>
      <c r="F430" s="3">
        <f>IFERROR(__xludf.DUMMYFUNCTION("""COMPUTED_VALUE"""),13.0)</f>
        <v>13</v>
      </c>
      <c r="G430" s="5">
        <f>IFERROR(__xludf.DUMMYFUNCTION("""COMPUTED_VALUE"""),1.041013E7)</f>
        <v>10410130</v>
      </c>
    </row>
    <row r="431">
      <c r="A431" s="3">
        <f>IFERROR(__xludf.DUMMYFUNCTION("""COMPUTED_VALUE"""),441.0)</f>
        <v>441</v>
      </c>
      <c r="B431" s="2" t="str">
        <f>IFERROR(__xludf.DUMMYFUNCTION("""COMPUTED_VALUE"""),"JESSORE")</f>
        <v>JESSORE</v>
      </c>
      <c r="C431" s="4">
        <f>IFERROR(__xludf.DUMMYFUNCTION("""COMPUTED_VALUE"""),10.0)</f>
        <v>10</v>
      </c>
      <c r="D431" s="2" t="str">
        <f>IFERROR(__xludf.DUMMYFUNCTION("""COMPUTED_VALUE"""),"AGRANI BANK LTD.")</f>
        <v>AGRANI BANK LTD.</v>
      </c>
      <c r="E431" s="2" t="str">
        <f>IFERROR(__xludf.DUMMYFUNCTION("""COMPUTED_VALUE"""),"BAZAR(H.M.M.ROAD)")</f>
        <v>BAZAR(H.M.M.ROAD)</v>
      </c>
      <c r="F431" s="3">
        <f>IFERROR(__xludf.DUMMYFUNCTION("""COMPUTED_VALUE"""),25.0)</f>
        <v>25</v>
      </c>
      <c r="G431" s="5">
        <f>IFERROR(__xludf.DUMMYFUNCTION("""COMPUTED_VALUE"""),1.0410251E7)</f>
        <v>10410251</v>
      </c>
    </row>
    <row r="432">
      <c r="A432" s="3">
        <f>IFERROR(__xludf.DUMMYFUNCTION("""COMPUTED_VALUE"""),441.0)</f>
        <v>441</v>
      </c>
      <c r="B432" s="2" t="str">
        <f>IFERROR(__xludf.DUMMYFUNCTION("""COMPUTED_VALUE"""),"JESSORE")</f>
        <v>JESSORE</v>
      </c>
      <c r="C432" s="4">
        <f>IFERROR(__xludf.DUMMYFUNCTION("""COMPUTED_VALUE"""),10.0)</f>
        <v>10</v>
      </c>
      <c r="D432" s="2" t="str">
        <f>IFERROR(__xludf.DUMMYFUNCTION("""COMPUTED_VALUE"""),"AGRANI BANK LTD.")</f>
        <v>AGRANI BANK LTD.</v>
      </c>
      <c r="E432" s="2" t="str">
        <f>IFERROR(__xludf.DUMMYFUNCTION("""COMPUTED_VALUE"""),"BENAPOLE BAZAR")</f>
        <v>BENAPOLE BAZAR</v>
      </c>
      <c r="F432" s="3">
        <f>IFERROR(__xludf.DUMMYFUNCTION("""COMPUTED_VALUE"""),31.0)</f>
        <v>31</v>
      </c>
      <c r="G432" s="5">
        <f>IFERROR(__xludf.DUMMYFUNCTION("""COMPUTED_VALUE"""),1.0410314E7)</f>
        <v>10410314</v>
      </c>
    </row>
    <row r="433">
      <c r="A433" s="3">
        <f>IFERROR(__xludf.DUMMYFUNCTION("""COMPUTED_VALUE"""),441.0)</f>
        <v>441</v>
      </c>
      <c r="B433" s="2" t="str">
        <f>IFERROR(__xludf.DUMMYFUNCTION("""COMPUTED_VALUE"""),"JESSORE")</f>
        <v>JESSORE</v>
      </c>
      <c r="C433" s="4">
        <f>IFERROR(__xludf.DUMMYFUNCTION("""COMPUTED_VALUE"""),10.0)</f>
        <v>10</v>
      </c>
      <c r="D433" s="2" t="str">
        <f>IFERROR(__xludf.DUMMYFUNCTION("""COMPUTED_VALUE"""),"AGRANI BANK LTD.")</f>
        <v>AGRANI BANK LTD.</v>
      </c>
      <c r="E433" s="2" t="str">
        <f>IFERROR(__xludf.DUMMYFUNCTION("""COMPUTED_VALUE"""),"BHANGURA BAZAR")</f>
        <v>BHANGURA BAZAR</v>
      </c>
      <c r="F433" s="3">
        <f>IFERROR(__xludf.DUMMYFUNCTION("""COMPUTED_VALUE"""),34.0)</f>
        <v>34</v>
      </c>
      <c r="G433" s="5">
        <f>IFERROR(__xludf.DUMMYFUNCTION("""COMPUTED_VALUE"""),1.0410343E7)</f>
        <v>10410343</v>
      </c>
    </row>
    <row r="434">
      <c r="A434" s="3">
        <f>IFERROR(__xludf.DUMMYFUNCTION("""COMPUTED_VALUE"""),441.0)</f>
        <v>441</v>
      </c>
      <c r="B434" s="2" t="str">
        <f>IFERROR(__xludf.DUMMYFUNCTION("""COMPUTED_VALUE"""),"JESSORE")</f>
        <v>JESSORE</v>
      </c>
      <c r="C434" s="4">
        <f>IFERROR(__xludf.DUMMYFUNCTION("""COMPUTED_VALUE"""),10.0)</f>
        <v>10</v>
      </c>
      <c r="D434" s="2" t="str">
        <f>IFERROR(__xludf.DUMMYFUNCTION("""COMPUTED_VALUE"""),"AGRANI BANK LTD.")</f>
        <v>AGRANI BANK LTD.</v>
      </c>
      <c r="E434" s="2" t="str">
        <f>IFERROR(__xludf.DUMMYFUNCTION("""COMPUTED_VALUE"""),"BUS STAND")</f>
        <v>BUS STAND</v>
      </c>
      <c r="F434" s="3">
        <f>IFERROR(__xludf.DUMMYFUNCTION("""COMPUTED_VALUE"""),40.0)</f>
        <v>40</v>
      </c>
      <c r="G434" s="5">
        <f>IFERROR(__xludf.DUMMYFUNCTION("""COMPUTED_VALUE"""),1.0410406E7)</f>
        <v>10410406</v>
      </c>
    </row>
    <row r="435">
      <c r="A435" s="3">
        <f>IFERROR(__xludf.DUMMYFUNCTION("""COMPUTED_VALUE"""),441.0)</f>
        <v>441</v>
      </c>
      <c r="B435" s="2" t="str">
        <f>IFERROR(__xludf.DUMMYFUNCTION("""COMPUTED_VALUE"""),"JESSORE")</f>
        <v>JESSORE</v>
      </c>
      <c r="C435" s="4">
        <f>IFERROR(__xludf.DUMMYFUNCTION("""COMPUTED_VALUE"""),10.0)</f>
        <v>10</v>
      </c>
      <c r="D435" s="2" t="str">
        <f>IFERROR(__xludf.DUMMYFUNCTION("""COMPUTED_VALUE"""),"AGRANI BANK LTD.")</f>
        <v>AGRANI BANK LTD.</v>
      </c>
      <c r="E435" s="2" t="str">
        <f>IFERROR(__xludf.DUMMYFUNCTION("""COMPUTED_VALUE"""),"DARATANA ROAD")</f>
        <v>DARATANA ROAD</v>
      </c>
      <c r="F435" s="3">
        <f>IFERROR(__xludf.DUMMYFUNCTION("""COMPUTED_VALUE"""),61.0)</f>
        <v>61</v>
      </c>
      <c r="G435" s="5">
        <f>IFERROR(__xludf.DUMMYFUNCTION("""COMPUTED_VALUE"""),1.0410619E7)</f>
        <v>10410619</v>
      </c>
    </row>
    <row r="436">
      <c r="A436" s="3">
        <f>IFERROR(__xludf.DUMMYFUNCTION("""COMPUTED_VALUE"""),441.0)</f>
        <v>441</v>
      </c>
      <c r="B436" s="2" t="str">
        <f>IFERROR(__xludf.DUMMYFUNCTION("""COMPUTED_VALUE"""),"JESSORE")</f>
        <v>JESSORE</v>
      </c>
      <c r="C436" s="4">
        <f>IFERROR(__xludf.DUMMYFUNCTION("""COMPUTED_VALUE"""),10.0)</f>
        <v>10</v>
      </c>
      <c r="D436" s="2" t="str">
        <f>IFERROR(__xludf.DUMMYFUNCTION("""COMPUTED_VALUE"""),"AGRANI BANK LTD.")</f>
        <v>AGRANI BANK LTD.</v>
      </c>
      <c r="E436" s="2" t="str">
        <f>IFERROR(__xludf.DUMMYFUNCTION("""COMPUTED_VALUE"""),"GANGANANDAPUR")</f>
        <v>GANGANANDAPUR</v>
      </c>
      <c r="F436" s="3">
        <f>IFERROR(__xludf.DUMMYFUNCTION("""COMPUTED_VALUE"""),67.0)</f>
        <v>67</v>
      </c>
      <c r="G436" s="5">
        <f>IFERROR(__xludf.DUMMYFUNCTION("""COMPUTED_VALUE"""),1.0410677E7)</f>
        <v>10410677</v>
      </c>
    </row>
    <row r="437">
      <c r="A437" s="3">
        <f>IFERROR(__xludf.DUMMYFUNCTION("""COMPUTED_VALUE"""),441.0)</f>
        <v>441</v>
      </c>
      <c r="B437" s="2" t="str">
        <f>IFERROR(__xludf.DUMMYFUNCTION("""COMPUTED_VALUE"""),"JESSORE")</f>
        <v>JESSORE</v>
      </c>
      <c r="C437" s="4">
        <f>IFERROR(__xludf.DUMMYFUNCTION("""COMPUTED_VALUE"""),10.0)</f>
        <v>10</v>
      </c>
      <c r="D437" s="2" t="str">
        <f>IFERROR(__xludf.DUMMYFUNCTION("""COMPUTED_VALUE"""),"AGRANI BANK LTD.")</f>
        <v>AGRANI BANK LTD.</v>
      </c>
      <c r="E437" s="2" t="str">
        <f>IFERROR(__xludf.DUMMYFUNCTION("""COMPUTED_VALUE"""),"GODKHALI BAZAR")</f>
        <v>GODKHALI BAZAR</v>
      </c>
      <c r="F437" s="3">
        <f>IFERROR(__xludf.DUMMYFUNCTION("""COMPUTED_VALUE"""),73.0)</f>
        <v>73</v>
      </c>
      <c r="G437" s="5">
        <f>IFERROR(__xludf.DUMMYFUNCTION("""COMPUTED_VALUE"""),1.041073E7)</f>
        <v>10410730</v>
      </c>
    </row>
    <row r="438">
      <c r="A438" s="3">
        <f>IFERROR(__xludf.DUMMYFUNCTION("""COMPUTED_VALUE"""),441.0)</f>
        <v>441</v>
      </c>
      <c r="B438" s="2" t="str">
        <f>IFERROR(__xludf.DUMMYFUNCTION("""COMPUTED_VALUE"""),"JESSORE")</f>
        <v>JESSORE</v>
      </c>
      <c r="C438" s="4">
        <f>IFERROR(__xludf.DUMMYFUNCTION("""COMPUTED_VALUE"""),10.0)</f>
        <v>10</v>
      </c>
      <c r="D438" s="2" t="str">
        <f>IFERROR(__xludf.DUMMYFUNCTION("""COMPUTED_VALUE"""),"AGRANI BANK LTD.")</f>
        <v>AGRANI BANK LTD.</v>
      </c>
      <c r="E438" s="2" t="str">
        <f>IFERROR(__xludf.DUMMYFUNCTION("""COMPUTED_VALUE"""),"HASIMPUR")</f>
        <v>HASIMPUR</v>
      </c>
      <c r="F438" s="3">
        <f>IFERROR(__xludf.DUMMYFUNCTION("""COMPUTED_VALUE"""),85.0)</f>
        <v>85</v>
      </c>
      <c r="G438" s="5">
        <f>IFERROR(__xludf.DUMMYFUNCTION("""COMPUTED_VALUE"""),1.0410851E7)</f>
        <v>10410851</v>
      </c>
    </row>
    <row r="439">
      <c r="A439" s="3">
        <f>IFERROR(__xludf.DUMMYFUNCTION("""COMPUTED_VALUE"""),441.0)</f>
        <v>441</v>
      </c>
      <c r="B439" s="2" t="str">
        <f>IFERROR(__xludf.DUMMYFUNCTION("""COMPUTED_VALUE"""),"JESSORE")</f>
        <v>JESSORE</v>
      </c>
      <c r="C439" s="4">
        <f>IFERROR(__xludf.DUMMYFUNCTION("""COMPUTED_VALUE"""),10.0)</f>
        <v>10</v>
      </c>
      <c r="D439" s="2" t="str">
        <f>IFERROR(__xludf.DUMMYFUNCTION("""COMPUTED_VALUE"""),"AGRANI BANK LTD.")</f>
        <v>AGRANI BANK LTD.</v>
      </c>
      <c r="E439" s="2" t="str">
        <f>IFERROR(__xludf.DUMMYFUNCTION("""COMPUTED_VALUE"""),"JESSORE")</f>
        <v>JESSORE</v>
      </c>
      <c r="F439" s="3">
        <f>IFERROR(__xludf.DUMMYFUNCTION("""COMPUTED_VALUE"""),94.0)</f>
        <v>94</v>
      </c>
      <c r="G439" s="5">
        <f>IFERROR(__xludf.DUMMYFUNCTION("""COMPUTED_VALUE"""),1.0410943E7)</f>
        <v>10410943</v>
      </c>
    </row>
    <row r="440">
      <c r="A440" s="3">
        <f>IFERROR(__xludf.DUMMYFUNCTION("""COMPUTED_VALUE"""),441.0)</f>
        <v>441</v>
      </c>
      <c r="B440" s="2" t="str">
        <f>IFERROR(__xludf.DUMMYFUNCTION("""COMPUTED_VALUE"""),"JESSORE")</f>
        <v>JESSORE</v>
      </c>
      <c r="C440" s="4">
        <f>IFERROR(__xludf.DUMMYFUNCTION("""COMPUTED_VALUE"""),10.0)</f>
        <v>10</v>
      </c>
      <c r="D440" s="2" t="str">
        <f>IFERROR(__xludf.DUMMYFUNCTION("""COMPUTED_VALUE"""),"AGRANI BANK LTD.")</f>
        <v>AGRANI BANK LTD.</v>
      </c>
      <c r="E440" s="2" t="str">
        <f>IFERROR(__xludf.DUMMYFUNCTION("""COMPUTED_VALUE"""),"JESSORE AIR BASE")</f>
        <v>JESSORE AIR BASE</v>
      </c>
      <c r="F440" s="3">
        <f>IFERROR(__xludf.DUMMYFUNCTION("""COMPUTED_VALUE"""),97.0)</f>
        <v>97</v>
      </c>
      <c r="G440" s="5">
        <f>IFERROR(__xludf.DUMMYFUNCTION("""COMPUTED_VALUE"""),1.0410972E7)</f>
        <v>10410972</v>
      </c>
    </row>
    <row r="441">
      <c r="A441" s="3">
        <f>IFERROR(__xludf.DUMMYFUNCTION("""COMPUTED_VALUE"""),441.0)</f>
        <v>441</v>
      </c>
      <c r="B441" s="2" t="str">
        <f>IFERROR(__xludf.DUMMYFUNCTION("""COMPUTED_VALUE"""),"JESSORE")</f>
        <v>JESSORE</v>
      </c>
      <c r="C441" s="4">
        <f>IFERROR(__xludf.DUMMYFUNCTION("""COMPUTED_VALUE"""),10.0)</f>
        <v>10</v>
      </c>
      <c r="D441" s="2" t="str">
        <f>IFERROR(__xludf.DUMMYFUNCTION("""COMPUTED_VALUE"""),"AGRANI BANK LTD.")</f>
        <v>AGRANI BANK LTD.</v>
      </c>
      <c r="E441" s="2" t="str">
        <f>IFERROR(__xludf.DUMMYFUNCTION("""COMPUTED_VALUE"""),"JESSORE SCIENCE &amp; TECHNOLOGY UNIVERSITY")</f>
        <v>JESSORE SCIENCE &amp; TECHNOLOGY UNIVERSITY</v>
      </c>
      <c r="F441" s="4">
        <f>IFERROR(__xludf.DUMMYFUNCTION("""COMPUTED_VALUE"""),98.0)</f>
        <v>98</v>
      </c>
      <c r="G441" s="5">
        <f>IFERROR(__xludf.DUMMYFUNCTION("""COMPUTED_VALUE"""),1.0410985E7)</f>
        <v>10410985</v>
      </c>
    </row>
    <row r="442">
      <c r="A442" s="3">
        <f>IFERROR(__xludf.DUMMYFUNCTION("""COMPUTED_VALUE"""),441.0)</f>
        <v>441</v>
      </c>
      <c r="B442" s="2" t="str">
        <f>IFERROR(__xludf.DUMMYFUNCTION("""COMPUTED_VALUE"""),"JESSORE")</f>
        <v>JESSORE</v>
      </c>
      <c r="C442" s="4">
        <f>IFERROR(__xludf.DUMMYFUNCTION("""COMPUTED_VALUE"""),10.0)</f>
        <v>10</v>
      </c>
      <c r="D442" s="2" t="str">
        <f>IFERROR(__xludf.DUMMYFUNCTION("""COMPUTED_VALUE"""),"AGRANI BANK LTD.")</f>
        <v>AGRANI BANK LTD.</v>
      </c>
      <c r="E442" s="2" t="str">
        <f>IFERROR(__xludf.DUMMYFUNCTION("""COMPUTED_VALUE"""),"JHIKARGACHA")</f>
        <v>JHIKARGACHA</v>
      </c>
      <c r="F442" s="4">
        <f>IFERROR(__xludf.DUMMYFUNCTION("""COMPUTED_VALUE"""),109.0)</f>
        <v>109</v>
      </c>
      <c r="G442" s="5">
        <f>IFERROR(__xludf.DUMMYFUNCTION("""COMPUTED_VALUE"""),1.0411092E7)</f>
        <v>10411092</v>
      </c>
    </row>
    <row r="443">
      <c r="A443" s="3">
        <f>IFERROR(__xludf.DUMMYFUNCTION("""COMPUTED_VALUE"""),441.0)</f>
        <v>441</v>
      </c>
      <c r="B443" s="2" t="str">
        <f>IFERROR(__xludf.DUMMYFUNCTION("""COMPUTED_VALUE"""),"JESSORE")</f>
        <v>JESSORE</v>
      </c>
      <c r="C443" s="4">
        <f>IFERROR(__xludf.DUMMYFUNCTION("""COMPUTED_VALUE"""),10.0)</f>
        <v>10</v>
      </c>
      <c r="D443" s="2" t="str">
        <f>IFERROR(__xludf.DUMMYFUNCTION("""COMPUTED_VALUE"""),"AGRANI BANK LTD.")</f>
        <v>AGRANI BANK LTD.</v>
      </c>
      <c r="E443" s="2" t="str">
        <f>IFERROR(__xludf.DUMMYFUNCTION("""COMPUTED_VALUE"""),"JHUMJHUMPUR")</f>
        <v>JHUMJHUMPUR</v>
      </c>
      <c r="F443" s="4">
        <f>IFERROR(__xludf.DUMMYFUNCTION("""COMPUTED_VALUE"""),112.0)</f>
        <v>112</v>
      </c>
      <c r="G443" s="5">
        <f>IFERROR(__xludf.DUMMYFUNCTION("""COMPUTED_VALUE"""),1.0411126E7)</f>
        <v>10411126</v>
      </c>
    </row>
    <row r="444">
      <c r="A444" s="3">
        <f>IFERROR(__xludf.DUMMYFUNCTION("""COMPUTED_VALUE"""),441.0)</f>
        <v>441</v>
      </c>
      <c r="B444" s="2" t="str">
        <f>IFERROR(__xludf.DUMMYFUNCTION("""COMPUTED_VALUE"""),"JESSORE")</f>
        <v>JESSORE</v>
      </c>
      <c r="C444" s="4">
        <f>IFERROR(__xludf.DUMMYFUNCTION("""COMPUTED_VALUE"""),10.0)</f>
        <v>10</v>
      </c>
      <c r="D444" s="2" t="str">
        <f>IFERROR(__xludf.DUMMYFUNCTION("""COMPUTED_VALUE"""),"AGRANI BANK LTD.")</f>
        <v>AGRANI BANK LTD.</v>
      </c>
      <c r="E444" s="2" t="str">
        <f>IFERROR(__xludf.DUMMYFUNCTION("""COMPUTED_VALUE"""),"KESHABPUR")</f>
        <v>KESHABPUR</v>
      </c>
      <c r="F444" s="4">
        <f>IFERROR(__xludf.DUMMYFUNCTION("""COMPUTED_VALUE"""),121.0)</f>
        <v>121</v>
      </c>
      <c r="G444" s="5">
        <f>IFERROR(__xludf.DUMMYFUNCTION("""COMPUTED_VALUE"""),1.0411218E7)</f>
        <v>10411218</v>
      </c>
    </row>
    <row r="445">
      <c r="A445" s="3">
        <f>IFERROR(__xludf.DUMMYFUNCTION("""COMPUTED_VALUE"""),441.0)</f>
        <v>441</v>
      </c>
      <c r="B445" s="2" t="str">
        <f>IFERROR(__xludf.DUMMYFUNCTION("""COMPUTED_VALUE"""),"JESSORE")</f>
        <v>JESSORE</v>
      </c>
      <c r="C445" s="4">
        <f>IFERROR(__xludf.DUMMYFUNCTION("""COMPUTED_VALUE"""),10.0)</f>
        <v>10</v>
      </c>
      <c r="D445" s="2" t="str">
        <f>IFERROR(__xludf.DUMMYFUNCTION("""COMPUTED_VALUE"""),"AGRANI BANK LTD.")</f>
        <v>AGRANI BANK LTD.</v>
      </c>
      <c r="E445" s="2" t="str">
        <f>IFERROR(__xludf.DUMMYFUNCTION("""COMPUTED_VALUE"""),"PROTAPPUR")</f>
        <v>PROTAPPUR</v>
      </c>
      <c r="F445" s="4">
        <f>IFERROR(__xludf.DUMMYFUNCTION("""COMPUTED_VALUE"""),175.0)</f>
        <v>175</v>
      </c>
      <c r="G445" s="5">
        <f>IFERROR(__xludf.DUMMYFUNCTION("""COMPUTED_VALUE"""),1.0411755E7)</f>
        <v>10411755</v>
      </c>
    </row>
    <row r="446">
      <c r="A446" s="3">
        <f>IFERROR(__xludf.DUMMYFUNCTION("""COMPUTED_VALUE"""),441.0)</f>
        <v>441</v>
      </c>
      <c r="B446" s="2" t="str">
        <f>IFERROR(__xludf.DUMMYFUNCTION("""COMPUTED_VALUE"""),"JESSORE")</f>
        <v>JESSORE</v>
      </c>
      <c r="C446" s="4">
        <f>IFERROR(__xludf.DUMMYFUNCTION("""COMPUTED_VALUE"""),10.0)</f>
        <v>10</v>
      </c>
      <c r="D446" s="2" t="str">
        <f>IFERROR(__xludf.DUMMYFUNCTION("""COMPUTED_VALUE"""),"AGRANI BANK LTD.")</f>
        <v>AGRANI BANK LTD.</v>
      </c>
      <c r="E446" s="2" t="str">
        <f>IFERROR(__xludf.DUMMYFUNCTION("""COMPUTED_VALUE"""),"PULERHAT")</f>
        <v>PULERHAT</v>
      </c>
      <c r="F446" s="4">
        <f>IFERROR(__xludf.DUMMYFUNCTION("""COMPUTED_VALUE"""),178.0)</f>
        <v>178</v>
      </c>
      <c r="G446" s="5">
        <f>IFERROR(__xludf.DUMMYFUNCTION("""COMPUTED_VALUE"""),1.0411784E7)</f>
        <v>10411784</v>
      </c>
    </row>
    <row r="447">
      <c r="A447" s="3">
        <f>IFERROR(__xludf.DUMMYFUNCTION("""COMPUTED_VALUE"""),441.0)</f>
        <v>441</v>
      </c>
      <c r="B447" s="2" t="str">
        <f>IFERROR(__xludf.DUMMYFUNCTION("""COMPUTED_VALUE"""),"JESSORE")</f>
        <v>JESSORE</v>
      </c>
      <c r="C447" s="4">
        <f>IFERROR(__xludf.DUMMYFUNCTION("""COMPUTED_VALUE"""),10.0)</f>
        <v>10</v>
      </c>
      <c r="D447" s="2" t="str">
        <f>IFERROR(__xludf.DUMMYFUNCTION("""COMPUTED_VALUE"""),"AGRANI BANK LTD.")</f>
        <v>AGRANI BANK LTD.</v>
      </c>
      <c r="E447" s="2" t="str">
        <f>IFERROR(__xludf.DUMMYFUNCTION("""COMPUTED_VALUE"""),"RAIL BAZAR")</f>
        <v>RAIL BAZAR</v>
      </c>
      <c r="F447" s="4">
        <f>IFERROR(__xludf.DUMMYFUNCTION("""COMPUTED_VALUE"""),187.0)</f>
        <v>187</v>
      </c>
      <c r="G447" s="5">
        <f>IFERROR(__xludf.DUMMYFUNCTION("""COMPUTED_VALUE"""),1.0411876E7)</f>
        <v>10411876</v>
      </c>
    </row>
    <row r="448">
      <c r="A448" s="3">
        <f>IFERROR(__xludf.DUMMYFUNCTION("""COMPUTED_VALUE"""),441.0)</f>
        <v>441</v>
      </c>
      <c r="B448" s="2" t="str">
        <f>IFERROR(__xludf.DUMMYFUNCTION("""COMPUTED_VALUE"""),"JESSORE")</f>
        <v>JESSORE</v>
      </c>
      <c r="C448" s="4">
        <f>IFERROR(__xludf.DUMMYFUNCTION("""COMPUTED_VALUE"""),10.0)</f>
        <v>10</v>
      </c>
      <c r="D448" s="2" t="str">
        <f>IFERROR(__xludf.DUMMYFUNCTION("""COMPUTED_VALUE"""),"AGRANI BANK LTD.")</f>
        <v>AGRANI BANK LTD.</v>
      </c>
      <c r="E448" s="2" t="str">
        <f>IFERROR(__xludf.DUMMYFUNCTION("""COMPUTED_VALUE"""),"RAJARHAT")</f>
        <v>RAJARHAT</v>
      </c>
      <c r="F448" s="4">
        <f>IFERROR(__xludf.DUMMYFUNCTION("""COMPUTED_VALUE"""),196.0)</f>
        <v>196</v>
      </c>
      <c r="G448" s="5">
        <f>IFERROR(__xludf.DUMMYFUNCTION("""COMPUTED_VALUE"""),1.0411968E7)</f>
        <v>10411968</v>
      </c>
    </row>
    <row r="449">
      <c r="A449" s="3">
        <f>IFERROR(__xludf.DUMMYFUNCTION("""COMPUTED_VALUE"""),441.0)</f>
        <v>441</v>
      </c>
      <c r="B449" s="2" t="str">
        <f>IFERROR(__xludf.DUMMYFUNCTION("""COMPUTED_VALUE"""),"JESSORE")</f>
        <v>JESSORE</v>
      </c>
      <c r="C449" s="4">
        <f>IFERROR(__xludf.DUMMYFUNCTION("""COMPUTED_VALUE"""),10.0)</f>
        <v>10</v>
      </c>
      <c r="D449" s="2" t="str">
        <f>IFERROR(__xludf.DUMMYFUNCTION("""COMPUTED_VALUE"""),"AGRANI BANK LTD.")</f>
        <v>AGRANI BANK LTD.</v>
      </c>
      <c r="E449" s="2" t="str">
        <f>IFERROR(__xludf.DUMMYFUNCTION("""COMPUTED_VALUE"""),"SHAIKH HATI")</f>
        <v>SHAIKH HATI</v>
      </c>
      <c r="F449" s="4">
        <f>IFERROR(__xludf.DUMMYFUNCTION("""COMPUTED_VALUE"""),217.0)</f>
        <v>217</v>
      </c>
      <c r="G449" s="5">
        <f>IFERROR(__xludf.DUMMYFUNCTION("""COMPUTED_VALUE"""),1.041217E7)</f>
        <v>10412170</v>
      </c>
    </row>
    <row r="450">
      <c r="A450" s="3">
        <f>IFERROR(__xludf.DUMMYFUNCTION("""COMPUTED_VALUE"""),342.0)</f>
        <v>342</v>
      </c>
      <c r="B450" s="2" t="str">
        <f>IFERROR(__xludf.DUMMYFUNCTION("""COMPUTED_VALUE"""),"JHALOKATHI")</f>
        <v>JHALOKATHI</v>
      </c>
      <c r="C450" s="4">
        <f>IFERROR(__xludf.DUMMYFUNCTION("""COMPUTED_VALUE"""),10.0)</f>
        <v>10</v>
      </c>
      <c r="D450" s="2" t="str">
        <f>IFERROR(__xludf.DUMMYFUNCTION("""COMPUTED_VALUE"""),"AGRANI BANK LTD.")</f>
        <v>AGRANI BANK LTD.</v>
      </c>
      <c r="E450" s="2" t="str">
        <f>IFERROR(__xludf.DUMMYFUNCTION("""COMPUTED_VALUE"""),"LABUBUNIA HAT")</f>
        <v>LABUBUNIA HAT</v>
      </c>
      <c r="F450" s="4">
        <f>IFERROR(__xludf.DUMMYFUNCTION("""COMPUTED_VALUE"""),5.0)</f>
        <v>5</v>
      </c>
      <c r="G450" s="5">
        <f>IFERROR(__xludf.DUMMYFUNCTION("""COMPUTED_VALUE"""),1.0420054E7)</f>
        <v>10420054</v>
      </c>
    </row>
    <row r="451">
      <c r="A451" s="3">
        <f>IFERROR(__xludf.DUMMYFUNCTION("""COMPUTED_VALUE"""),342.0)</f>
        <v>342</v>
      </c>
      <c r="B451" s="2" t="str">
        <f>IFERROR(__xludf.DUMMYFUNCTION("""COMPUTED_VALUE"""),"JHALOKATHI")</f>
        <v>JHALOKATHI</v>
      </c>
      <c r="C451" s="4">
        <f>IFERROR(__xludf.DUMMYFUNCTION("""COMPUTED_VALUE"""),10.0)</f>
        <v>10</v>
      </c>
      <c r="D451" s="2" t="str">
        <f>IFERROR(__xludf.DUMMYFUNCTION("""COMPUTED_VALUE"""),"AGRANI BANK LTD.")</f>
        <v>AGRANI BANK LTD.</v>
      </c>
      <c r="E451" s="2" t="str">
        <f>IFERROR(__xludf.DUMMYFUNCTION("""COMPUTED_VALUE"""),"AMUA BAZAR")</f>
        <v>AMUA BAZAR</v>
      </c>
      <c r="F451" s="4">
        <f>IFERROR(__xludf.DUMMYFUNCTION("""COMPUTED_VALUE"""),7.0)</f>
        <v>7</v>
      </c>
      <c r="G451" s="5">
        <f>IFERROR(__xludf.DUMMYFUNCTION("""COMPUTED_VALUE"""),1.042007E7)</f>
        <v>10420070</v>
      </c>
    </row>
    <row r="452">
      <c r="A452" s="3">
        <f>IFERROR(__xludf.DUMMYFUNCTION("""COMPUTED_VALUE"""),342.0)</f>
        <v>342</v>
      </c>
      <c r="B452" s="2" t="str">
        <f>IFERROR(__xludf.DUMMYFUNCTION("""COMPUTED_VALUE"""),"JHALOKATHI")</f>
        <v>JHALOKATHI</v>
      </c>
      <c r="C452" s="4">
        <f>IFERROR(__xludf.DUMMYFUNCTION("""COMPUTED_VALUE"""),10.0)</f>
        <v>10</v>
      </c>
      <c r="D452" s="2" t="str">
        <f>IFERROR(__xludf.DUMMYFUNCTION("""COMPUTED_VALUE"""),"AGRANI BANK LTD.")</f>
        <v>AGRANI BANK LTD.</v>
      </c>
      <c r="E452" s="2" t="str">
        <f>IFERROR(__xludf.DUMMYFUNCTION("""COMPUTED_VALUE"""),"DAPDAPIA FERRYGHAT")</f>
        <v>DAPDAPIA FERRYGHAT</v>
      </c>
      <c r="F452" s="4">
        <f>IFERROR(__xludf.DUMMYFUNCTION("""COMPUTED_VALUE"""),22.0)</f>
        <v>22</v>
      </c>
      <c r="G452" s="5">
        <f>IFERROR(__xludf.DUMMYFUNCTION("""COMPUTED_VALUE"""),1.0420225E7)</f>
        <v>10420225</v>
      </c>
    </row>
    <row r="453">
      <c r="A453" s="3">
        <f>IFERROR(__xludf.DUMMYFUNCTION("""COMPUTED_VALUE"""),342.0)</f>
        <v>342</v>
      </c>
      <c r="B453" s="2" t="str">
        <f>IFERROR(__xludf.DUMMYFUNCTION("""COMPUTED_VALUE"""),"JHALOKATHI")</f>
        <v>JHALOKATHI</v>
      </c>
      <c r="C453" s="4">
        <f>IFERROR(__xludf.DUMMYFUNCTION("""COMPUTED_VALUE"""),10.0)</f>
        <v>10</v>
      </c>
      <c r="D453" s="2" t="str">
        <f>IFERROR(__xludf.DUMMYFUNCTION("""COMPUTED_VALUE"""),"AGRANI BANK LTD.")</f>
        <v>AGRANI BANK LTD.</v>
      </c>
      <c r="E453" s="2" t="str">
        <f>IFERROR(__xludf.DUMMYFUNCTION("""COMPUTED_VALUE"""),"JHALOKATI")</f>
        <v>JHALOKATI</v>
      </c>
      <c r="F453" s="4">
        <f>IFERROR(__xludf.DUMMYFUNCTION("""COMPUTED_VALUE"""),31.0)</f>
        <v>31</v>
      </c>
      <c r="G453" s="5">
        <f>IFERROR(__xludf.DUMMYFUNCTION("""COMPUTED_VALUE"""),1.0420317E7)</f>
        <v>10420317</v>
      </c>
    </row>
    <row r="454">
      <c r="A454" s="3">
        <f>IFERROR(__xludf.DUMMYFUNCTION("""COMPUTED_VALUE"""),342.0)</f>
        <v>342</v>
      </c>
      <c r="B454" s="2" t="str">
        <f>IFERROR(__xludf.DUMMYFUNCTION("""COMPUTED_VALUE"""),"JHALOKATHI")</f>
        <v>JHALOKATHI</v>
      </c>
      <c r="C454" s="4">
        <f>IFERROR(__xludf.DUMMYFUNCTION("""COMPUTED_VALUE"""),10.0)</f>
        <v>10</v>
      </c>
      <c r="D454" s="2" t="str">
        <f>IFERROR(__xludf.DUMMYFUNCTION("""COMPUTED_VALUE"""),"AGRANI BANK LTD.")</f>
        <v>AGRANI BANK LTD.</v>
      </c>
      <c r="E454" s="2" t="str">
        <f>IFERROR(__xludf.DUMMYFUNCTION("""COMPUTED_VALUE"""),"NALCHITY")</f>
        <v>NALCHITY</v>
      </c>
      <c r="F454" s="4">
        <f>IFERROR(__xludf.DUMMYFUNCTION("""COMPUTED_VALUE"""),49.0)</f>
        <v>49</v>
      </c>
      <c r="G454" s="5">
        <f>IFERROR(__xludf.DUMMYFUNCTION("""COMPUTED_VALUE"""),1.0420496E7)</f>
        <v>10420496</v>
      </c>
    </row>
    <row r="455">
      <c r="A455" s="3">
        <f>IFERROR(__xludf.DUMMYFUNCTION("""COMPUTED_VALUE"""),342.0)</f>
        <v>342</v>
      </c>
      <c r="B455" s="2" t="str">
        <f>IFERROR(__xludf.DUMMYFUNCTION("""COMPUTED_VALUE"""),"JHALOKATHI")</f>
        <v>JHALOKATHI</v>
      </c>
      <c r="C455" s="4">
        <f>IFERROR(__xludf.DUMMYFUNCTION("""COMPUTED_VALUE"""),10.0)</f>
        <v>10</v>
      </c>
      <c r="D455" s="2" t="str">
        <f>IFERROR(__xludf.DUMMYFUNCTION("""COMPUTED_VALUE"""),"AGRANI BANK LTD.")</f>
        <v>AGRANI BANK LTD.</v>
      </c>
      <c r="E455" s="2" t="str">
        <f>IFERROR(__xludf.DUMMYFUNCTION("""COMPUTED_VALUE"""),"SHEKERHAT")</f>
        <v>SHEKERHAT</v>
      </c>
      <c r="F455" s="4">
        <f>IFERROR(__xludf.DUMMYFUNCTION("""COMPUTED_VALUE"""),61.0)</f>
        <v>61</v>
      </c>
      <c r="G455" s="5">
        <f>IFERROR(__xludf.DUMMYFUNCTION("""COMPUTED_VALUE"""),1.0420612E7)</f>
        <v>10420612</v>
      </c>
    </row>
    <row r="456">
      <c r="A456" s="3">
        <f>IFERROR(__xludf.DUMMYFUNCTION("""COMPUTED_VALUE"""),444.0)</f>
        <v>444</v>
      </c>
      <c r="B456" s="2" t="str">
        <f>IFERROR(__xludf.DUMMYFUNCTION("""COMPUTED_VALUE"""),"JHENAIDAH")</f>
        <v>JHENAIDAH</v>
      </c>
      <c r="C456" s="4">
        <f>IFERROR(__xludf.DUMMYFUNCTION("""COMPUTED_VALUE"""),10.0)</f>
        <v>10</v>
      </c>
      <c r="D456" s="2" t="str">
        <f>IFERROR(__xludf.DUMMYFUNCTION("""COMPUTED_VALUE"""),"AGRANI BANK LTD.")</f>
        <v>AGRANI BANK LTD.</v>
      </c>
      <c r="E456" s="2" t="str">
        <f>IFERROR(__xludf.DUMMYFUNCTION("""COMPUTED_VALUE"""),"BAZAR GOPALPUR")</f>
        <v>BAZAR GOPALPUR</v>
      </c>
      <c r="F456" s="4">
        <f>IFERROR(__xludf.DUMMYFUNCTION("""COMPUTED_VALUE"""),10.0)</f>
        <v>10</v>
      </c>
      <c r="G456" s="5">
        <f>IFERROR(__xludf.DUMMYFUNCTION("""COMPUTED_VALUE"""),1.04401E7)</f>
        <v>10440100</v>
      </c>
    </row>
    <row r="457">
      <c r="A457" s="3">
        <f>IFERROR(__xludf.DUMMYFUNCTION("""COMPUTED_VALUE"""),444.0)</f>
        <v>444</v>
      </c>
      <c r="B457" s="2" t="str">
        <f>IFERROR(__xludf.DUMMYFUNCTION("""COMPUTED_VALUE"""),"JHENAIDAH")</f>
        <v>JHENAIDAH</v>
      </c>
      <c r="C457" s="4">
        <f>IFERROR(__xludf.DUMMYFUNCTION("""COMPUTED_VALUE"""),10.0)</f>
        <v>10</v>
      </c>
      <c r="D457" s="2" t="str">
        <f>IFERROR(__xludf.DUMMYFUNCTION("""COMPUTED_VALUE"""),"AGRANI BANK LTD.")</f>
        <v>AGRANI BANK LTD.</v>
      </c>
      <c r="E457" s="2" t="str">
        <f>IFERROR(__xludf.DUMMYFUNCTION("""COMPUTED_VALUE"""),"CHAPRAIL")</f>
        <v>CHAPRAIL</v>
      </c>
      <c r="F457" s="4">
        <f>IFERROR(__xludf.DUMMYFUNCTION("""COMPUTED_VALUE"""),31.0)</f>
        <v>31</v>
      </c>
      <c r="G457" s="5">
        <f>IFERROR(__xludf.DUMMYFUNCTION("""COMPUTED_VALUE"""),1.0440313E7)</f>
        <v>10440313</v>
      </c>
    </row>
    <row r="458">
      <c r="A458" s="3">
        <f>IFERROR(__xludf.DUMMYFUNCTION("""COMPUTED_VALUE"""),444.0)</f>
        <v>444</v>
      </c>
      <c r="B458" s="2" t="str">
        <f>IFERROR(__xludf.DUMMYFUNCTION("""COMPUTED_VALUE"""),"JHENAIDAH")</f>
        <v>JHENAIDAH</v>
      </c>
      <c r="C458" s="4">
        <f>IFERROR(__xludf.DUMMYFUNCTION("""COMPUTED_VALUE"""),10.0)</f>
        <v>10</v>
      </c>
      <c r="D458" s="2" t="str">
        <f>IFERROR(__xludf.DUMMYFUNCTION("""COMPUTED_VALUE"""),"AGRANI BANK LTD.")</f>
        <v>AGRANI BANK LTD.</v>
      </c>
      <c r="E458" s="2" t="str">
        <f>IFERROR(__xludf.DUMMYFUNCTION("""COMPUTED_VALUE"""),"HAMDAH BUS STAND")</f>
        <v>HAMDAH BUS STAND</v>
      </c>
      <c r="F458" s="4">
        <f>IFERROR(__xludf.DUMMYFUNCTION("""COMPUTED_VALUE"""),46.0)</f>
        <v>46</v>
      </c>
      <c r="G458" s="5">
        <f>IFERROR(__xludf.DUMMYFUNCTION("""COMPUTED_VALUE"""),1.0440463E7)</f>
        <v>10440463</v>
      </c>
    </row>
    <row r="459">
      <c r="A459" s="3">
        <f>IFERROR(__xludf.DUMMYFUNCTION("""COMPUTED_VALUE"""),444.0)</f>
        <v>444</v>
      </c>
      <c r="B459" s="2" t="str">
        <f>IFERROR(__xludf.DUMMYFUNCTION("""COMPUTED_VALUE"""),"JHENAIDAH")</f>
        <v>JHENAIDAH</v>
      </c>
      <c r="C459" s="4">
        <f>IFERROR(__xludf.DUMMYFUNCTION("""COMPUTED_VALUE"""),10.0)</f>
        <v>10</v>
      </c>
      <c r="D459" s="2" t="str">
        <f>IFERROR(__xludf.DUMMYFUNCTION("""COMPUTED_VALUE"""),"AGRANI BANK LTD.")</f>
        <v>AGRANI BANK LTD.</v>
      </c>
      <c r="E459" s="2" t="str">
        <f>IFERROR(__xludf.DUMMYFUNCTION("""COMPUTED_VALUE"""),"HOLIDHANI BAZAR")</f>
        <v>HOLIDHANI BAZAR</v>
      </c>
      <c r="F459" s="4">
        <f>IFERROR(__xludf.DUMMYFUNCTION("""COMPUTED_VALUE"""),61.0)</f>
        <v>61</v>
      </c>
      <c r="G459" s="5">
        <f>IFERROR(__xludf.DUMMYFUNCTION("""COMPUTED_VALUE"""),1.0440618E7)</f>
        <v>10440618</v>
      </c>
    </row>
    <row r="460">
      <c r="A460" s="3">
        <f>IFERROR(__xludf.DUMMYFUNCTION("""COMPUTED_VALUE"""),444.0)</f>
        <v>444</v>
      </c>
      <c r="B460" s="2" t="str">
        <f>IFERROR(__xludf.DUMMYFUNCTION("""COMPUTED_VALUE"""),"JHENAIDAH")</f>
        <v>JHENAIDAH</v>
      </c>
      <c r="C460" s="4">
        <f>IFERROR(__xludf.DUMMYFUNCTION("""COMPUTED_VALUE"""),10.0)</f>
        <v>10</v>
      </c>
      <c r="D460" s="2" t="str">
        <f>IFERROR(__xludf.DUMMYFUNCTION("""COMPUTED_VALUE"""),"AGRANI BANK LTD.")</f>
        <v>AGRANI BANK LTD.</v>
      </c>
      <c r="E460" s="2" t="str">
        <f>IFERROR(__xludf.DUMMYFUNCTION("""COMPUTED_VALUE"""),"JHENAIDAH")</f>
        <v>JHENAIDAH</v>
      </c>
      <c r="F460" s="4">
        <f>IFERROR(__xludf.DUMMYFUNCTION("""COMPUTED_VALUE"""),64.0)</f>
        <v>64</v>
      </c>
      <c r="G460" s="5">
        <f>IFERROR(__xludf.DUMMYFUNCTION("""COMPUTED_VALUE"""),1.0440647E7)</f>
        <v>10440647</v>
      </c>
    </row>
    <row r="461">
      <c r="A461" s="3">
        <f>IFERROR(__xludf.DUMMYFUNCTION("""COMPUTED_VALUE"""),444.0)</f>
        <v>444</v>
      </c>
      <c r="B461" s="2" t="str">
        <f>IFERROR(__xludf.DUMMYFUNCTION("""COMPUTED_VALUE"""),"JHENAIDAH")</f>
        <v>JHENAIDAH</v>
      </c>
      <c r="C461" s="4">
        <f>IFERROR(__xludf.DUMMYFUNCTION("""COMPUTED_VALUE"""),10.0)</f>
        <v>10</v>
      </c>
      <c r="D461" s="2" t="str">
        <f>IFERROR(__xludf.DUMMYFUNCTION("""COMPUTED_VALUE"""),"AGRANI BANK LTD.")</f>
        <v>AGRANI BANK LTD.</v>
      </c>
      <c r="E461" s="2" t="str">
        <f>IFERROR(__xludf.DUMMYFUNCTION("""COMPUTED_VALUE"""),"KABIRPUR BAZAR")</f>
        <v>KABIRPUR BAZAR</v>
      </c>
      <c r="F461" s="4">
        <f>IFERROR(__xludf.DUMMYFUNCTION("""COMPUTED_VALUE"""),73.0)</f>
        <v>73</v>
      </c>
      <c r="G461" s="5">
        <f>IFERROR(__xludf.DUMMYFUNCTION("""COMPUTED_VALUE"""),1.0440739E7)</f>
        <v>10440739</v>
      </c>
    </row>
    <row r="462">
      <c r="A462" s="3">
        <f>IFERROR(__xludf.DUMMYFUNCTION("""COMPUTED_VALUE"""),444.0)</f>
        <v>444</v>
      </c>
      <c r="B462" s="2" t="str">
        <f>IFERROR(__xludf.DUMMYFUNCTION("""COMPUTED_VALUE"""),"JHENAIDAH")</f>
        <v>JHENAIDAH</v>
      </c>
      <c r="C462" s="4">
        <f>IFERROR(__xludf.DUMMYFUNCTION("""COMPUTED_VALUE"""),10.0)</f>
        <v>10</v>
      </c>
      <c r="D462" s="2" t="str">
        <f>IFERROR(__xludf.DUMMYFUNCTION("""COMPUTED_VALUE"""),"AGRANI BANK LTD.")</f>
        <v>AGRANI BANK LTD.</v>
      </c>
      <c r="E462" s="2" t="str">
        <f>IFERROR(__xludf.DUMMYFUNCTION("""COMPUTED_VALUE"""),"KALIGANJ")</f>
        <v>KALIGANJ</v>
      </c>
      <c r="F462" s="4">
        <f>IFERROR(__xludf.DUMMYFUNCTION("""COMPUTED_VALUE"""),79.0)</f>
        <v>79</v>
      </c>
      <c r="G462" s="5">
        <f>IFERROR(__xludf.DUMMYFUNCTION("""COMPUTED_VALUE"""),1.0440797E7)</f>
        <v>10440797</v>
      </c>
    </row>
    <row r="463">
      <c r="A463" s="3">
        <f>IFERROR(__xludf.DUMMYFUNCTION("""COMPUTED_VALUE"""),444.0)</f>
        <v>444</v>
      </c>
      <c r="B463" s="2" t="str">
        <f>IFERROR(__xludf.DUMMYFUNCTION("""COMPUTED_VALUE"""),"JHENAIDAH")</f>
        <v>JHENAIDAH</v>
      </c>
      <c r="C463" s="4">
        <f>IFERROR(__xludf.DUMMYFUNCTION("""COMPUTED_VALUE"""),10.0)</f>
        <v>10</v>
      </c>
      <c r="D463" s="2" t="str">
        <f>IFERROR(__xludf.DUMMYFUNCTION("""COMPUTED_VALUE"""),"AGRANI BANK LTD.")</f>
        <v>AGRANI BANK LTD.</v>
      </c>
      <c r="E463" s="2" t="str">
        <f>IFERROR(__xludf.DUMMYFUNCTION("""COMPUTED_VALUE"""),"KANYADAH")</f>
        <v>KANYADAH</v>
      </c>
      <c r="F463" s="4">
        <f>IFERROR(__xludf.DUMMYFUNCTION("""COMPUTED_VALUE"""),85.0)</f>
        <v>85</v>
      </c>
      <c r="G463" s="5">
        <f>IFERROR(__xludf.DUMMYFUNCTION("""COMPUTED_VALUE"""),1.044085E7)</f>
        <v>10440850</v>
      </c>
    </row>
    <row r="464">
      <c r="A464" s="3">
        <f>IFERROR(__xludf.DUMMYFUNCTION("""COMPUTED_VALUE"""),444.0)</f>
        <v>444</v>
      </c>
      <c r="B464" s="2" t="str">
        <f>IFERROR(__xludf.DUMMYFUNCTION("""COMPUTED_VALUE"""),"JHENAIDAH")</f>
        <v>JHENAIDAH</v>
      </c>
      <c r="C464" s="4">
        <f>IFERROR(__xludf.DUMMYFUNCTION("""COMPUTED_VALUE"""),10.0)</f>
        <v>10</v>
      </c>
      <c r="D464" s="2" t="str">
        <f>IFERROR(__xludf.DUMMYFUNCTION("""COMPUTED_VALUE"""),"AGRANI BANK LTD.")</f>
        <v>AGRANI BANK LTD.</v>
      </c>
      <c r="E464" s="2" t="str">
        <f>IFERROR(__xludf.DUMMYFUNCTION("""COMPUTED_VALUE"""),"KOTCHANDPUR")</f>
        <v>KOTCHANDPUR</v>
      </c>
      <c r="F464" s="4">
        <f>IFERROR(__xludf.DUMMYFUNCTION("""COMPUTED_VALUE"""),100.0)</f>
        <v>100</v>
      </c>
      <c r="G464" s="5">
        <f>IFERROR(__xludf.DUMMYFUNCTION("""COMPUTED_VALUE"""),1.0441004E7)</f>
        <v>10441004</v>
      </c>
    </row>
    <row r="465">
      <c r="A465" s="3">
        <f>IFERROR(__xludf.DUMMYFUNCTION("""COMPUTED_VALUE"""),444.0)</f>
        <v>444</v>
      </c>
      <c r="B465" s="2" t="str">
        <f>IFERROR(__xludf.DUMMYFUNCTION("""COMPUTED_VALUE"""),"JHENAIDAH")</f>
        <v>JHENAIDAH</v>
      </c>
      <c r="C465" s="4">
        <f>IFERROR(__xludf.DUMMYFUNCTION("""COMPUTED_VALUE"""),10.0)</f>
        <v>10</v>
      </c>
      <c r="D465" s="2" t="str">
        <f>IFERROR(__xludf.DUMMYFUNCTION("""COMPUTED_VALUE"""),"AGRANI BANK LTD.")</f>
        <v>AGRANI BANK LTD.</v>
      </c>
      <c r="E465" s="2" t="str">
        <f>IFERROR(__xludf.DUMMYFUNCTION("""COMPUTED_VALUE"""),"SHADHUHATI")</f>
        <v>SHADHUHATI</v>
      </c>
      <c r="F465" s="4">
        <f>IFERROR(__xludf.DUMMYFUNCTION("""COMPUTED_VALUE"""),121.0)</f>
        <v>121</v>
      </c>
      <c r="G465" s="5">
        <f>IFERROR(__xludf.DUMMYFUNCTION("""COMPUTED_VALUE"""),1.0441217E7)</f>
        <v>10441217</v>
      </c>
    </row>
    <row r="466">
      <c r="A466" s="3">
        <f>IFERROR(__xludf.DUMMYFUNCTION("""COMPUTED_VALUE"""),246.0)</f>
        <v>246</v>
      </c>
      <c r="B466" s="2" t="str">
        <f>IFERROR(__xludf.DUMMYFUNCTION("""COMPUTED_VALUE"""),"KHAGRACHARI")</f>
        <v>KHAGRACHARI</v>
      </c>
      <c r="C466" s="4">
        <f>IFERROR(__xludf.DUMMYFUNCTION("""COMPUTED_VALUE"""),10.0)</f>
        <v>10</v>
      </c>
      <c r="D466" s="2" t="str">
        <f>IFERROR(__xludf.DUMMYFUNCTION("""COMPUTED_VALUE"""),"AGRANI BANK LTD.")</f>
        <v>AGRANI BANK LTD.</v>
      </c>
      <c r="E466" s="2" t="str">
        <f>IFERROR(__xludf.DUMMYFUNCTION("""COMPUTED_VALUE"""),"KHAGRACHARI")</f>
        <v>KHAGRACHARI</v>
      </c>
      <c r="F466" s="4">
        <f>IFERROR(__xludf.DUMMYFUNCTION("""COMPUTED_VALUE"""),7.0)</f>
        <v>7</v>
      </c>
      <c r="G466" s="5">
        <f>IFERROR(__xludf.DUMMYFUNCTION("""COMPUTED_VALUE"""),1.0460072E7)</f>
        <v>10460072</v>
      </c>
    </row>
    <row r="467">
      <c r="A467" s="3">
        <f>IFERROR(__xludf.DUMMYFUNCTION("""COMPUTED_VALUE"""),246.0)</f>
        <v>246</v>
      </c>
      <c r="B467" s="2" t="str">
        <f>IFERROR(__xludf.DUMMYFUNCTION("""COMPUTED_VALUE"""),"KHAGRACHARI")</f>
        <v>KHAGRACHARI</v>
      </c>
      <c r="C467" s="4">
        <f>IFERROR(__xludf.DUMMYFUNCTION("""COMPUTED_VALUE"""),10.0)</f>
        <v>10</v>
      </c>
      <c r="D467" s="2" t="str">
        <f>IFERROR(__xludf.DUMMYFUNCTION("""COMPUTED_VALUE"""),"AGRANI BANK LTD.")</f>
        <v>AGRANI BANK LTD.</v>
      </c>
      <c r="E467" s="2" t="str">
        <f>IFERROR(__xludf.DUMMYFUNCTION("""COMPUTED_VALUE"""),"RAMGARH")</f>
        <v>RAMGARH</v>
      </c>
      <c r="F467" s="4">
        <f>IFERROR(__xludf.DUMMYFUNCTION("""COMPUTED_VALUE"""),31.0)</f>
        <v>31</v>
      </c>
      <c r="G467" s="5">
        <f>IFERROR(__xludf.DUMMYFUNCTION("""COMPUTED_VALUE"""),1.0460319E7)</f>
        <v>10460319</v>
      </c>
    </row>
    <row r="468">
      <c r="A468" s="3">
        <f>IFERROR(__xludf.DUMMYFUNCTION("""COMPUTED_VALUE"""),447.0)</f>
        <v>447</v>
      </c>
      <c r="B468" s="2" t="str">
        <f>IFERROR(__xludf.DUMMYFUNCTION("""COMPUTED_VALUE"""),"KHULNA")</f>
        <v>KHULNA</v>
      </c>
      <c r="C468" s="4">
        <f>IFERROR(__xludf.DUMMYFUNCTION("""COMPUTED_VALUE"""),10.0)</f>
        <v>10</v>
      </c>
      <c r="D468" s="2" t="str">
        <f>IFERROR(__xludf.DUMMYFUNCTION("""COMPUTED_VALUE"""),"AGRANI BANK LTD.")</f>
        <v>AGRANI BANK LTD.</v>
      </c>
      <c r="E468" s="2" t="str">
        <f>IFERROR(__xludf.DUMMYFUNCTION("""COMPUTED_VALUE"""),"BAIKALI")</f>
        <v>BAIKALI</v>
      </c>
      <c r="F468" s="4">
        <f>IFERROR(__xludf.DUMMYFUNCTION("""COMPUTED_VALUE"""),7.0)</f>
        <v>7</v>
      </c>
      <c r="G468" s="5">
        <f>IFERROR(__xludf.DUMMYFUNCTION("""COMPUTED_VALUE"""),1.0470075E7)</f>
        <v>10470075</v>
      </c>
    </row>
    <row r="469">
      <c r="A469" s="3">
        <f>IFERROR(__xludf.DUMMYFUNCTION("""COMPUTED_VALUE"""),447.0)</f>
        <v>447</v>
      </c>
      <c r="B469" s="2" t="str">
        <f>IFERROR(__xludf.DUMMYFUNCTION("""COMPUTED_VALUE"""),"KHULNA")</f>
        <v>KHULNA</v>
      </c>
      <c r="C469" s="4">
        <f>IFERROR(__xludf.DUMMYFUNCTION("""COMPUTED_VALUE"""),10.0)</f>
        <v>10</v>
      </c>
      <c r="D469" s="2" t="str">
        <f>IFERROR(__xludf.DUMMYFUNCTION("""COMPUTED_VALUE"""),"AGRANI BANK LTD.")</f>
        <v>AGRANI BANK LTD.</v>
      </c>
      <c r="E469" s="2" t="str">
        <f>IFERROR(__xludf.DUMMYFUNCTION("""COMPUTED_VALUE"""),"BAJUA BAZAR")</f>
        <v>BAJUA BAZAR</v>
      </c>
      <c r="F469" s="4">
        <f>IFERROR(__xludf.DUMMYFUNCTION("""COMPUTED_VALUE"""),10.0)</f>
        <v>10</v>
      </c>
      <c r="G469" s="5">
        <f>IFERROR(__xludf.DUMMYFUNCTION("""COMPUTED_VALUE"""),1.0470109E7)</f>
        <v>10470109</v>
      </c>
    </row>
    <row r="470">
      <c r="A470" s="3">
        <f>IFERROR(__xludf.DUMMYFUNCTION("""COMPUTED_VALUE"""),447.0)</f>
        <v>447</v>
      </c>
      <c r="B470" s="2" t="str">
        <f>IFERROR(__xludf.DUMMYFUNCTION("""COMPUTED_VALUE"""),"KHULNA")</f>
        <v>KHULNA</v>
      </c>
      <c r="C470" s="4">
        <f>IFERROR(__xludf.DUMMYFUNCTION("""COMPUTED_VALUE"""),10.0)</f>
        <v>10</v>
      </c>
      <c r="D470" s="2" t="str">
        <f>IFERROR(__xludf.DUMMYFUNCTION("""COMPUTED_VALUE"""),"AGRANI BANK LTD.")</f>
        <v>AGRANI BANK LTD.</v>
      </c>
      <c r="E470" s="2" t="str">
        <f>IFERROR(__xludf.DUMMYFUNCTION("""COMPUTED_VALUE"""),"BANARGATI BAZAR")</f>
        <v>BANARGATI BAZAR</v>
      </c>
      <c r="F470" s="4">
        <f>IFERROR(__xludf.DUMMYFUNCTION("""COMPUTED_VALUE"""),13.0)</f>
        <v>13</v>
      </c>
      <c r="G470" s="5">
        <f>IFERROR(__xludf.DUMMYFUNCTION("""COMPUTED_VALUE"""),1.0470138E7)</f>
        <v>10470138</v>
      </c>
    </row>
    <row r="471">
      <c r="A471" s="3">
        <f>IFERROR(__xludf.DUMMYFUNCTION("""COMPUTED_VALUE"""),447.0)</f>
        <v>447</v>
      </c>
      <c r="B471" s="2" t="str">
        <f>IFERROR(__xludf.DUMMYFUNCTION("""COMPUTED_VALUE"""),"KHULNA")</f>
        <v>KHULNA</v>
      </c>
      <c r="C471" s="4">
        <f>IFERROR(__xludf.DUMMYFUNCTION("""COMPUTED_VALUE"""),10.0)</f>
        <v>10</v>
      </c>
      <c r="D471" s="2" t="str">
        <f>IFERROR(__xludf.DUMMYFUNCTION("""COMPUTED_VALUE"""),"AGRANI BANK LTD.")</f>
        <v>AGRANI BANK LTD.</v>
      </c>
      <c r="E471" s="2" t="str">
        <f>IFERROR(__xludf.DUMMYFUNCTION("""COMPUTED_VALUE"""),"BANKA BAZAR")</f>
        <v>BANKA BAZAR</v>
      </c>
      <c r="F471" s="4">
        <f>IFERROR(__xludf.DUMMYFUNCTION("""COMPUTED_VALUE"""),19.0)</f>
        <v>19</v>
      </c>
      <c r="G471" s="5">
        <f>IFERROR(__xludf.DUMMYFUNCTION("""COMPUTED_VALUE"""),1.0470196E7)</f>
        <v>10470196</v>
      </c>
    </row>
    <row r="472">
      <c r="A472" s="3">
        <f>IFERROR(__xludf.DUMMYFUNCTION("""COMPUTED_VALUE"""),447.0)</f>
        <v>447</v>
      </c>
      <c r="B472" s="2" t="str">
        <f>IFERROR(__xludf.DUMMYFUNCTION("""COMPUTED_VALUE"""),"KHULNA")</f>
        <v>KHULNA</v>
      </c>
      <c r="C472" s="4">
        <f>IFERROR(__xludf.DUMMYFUNCTION("""COMPUTED_VALUE"""),10.0)</f>
        <v>10</v>
      </c>
      <c r="D472" s="2" t="str">
        <f>IFERROR(__xludf.DUMMYFUNCTION("""COMPUTED_VALUE"""),"AGRANI BANK LTD.")</f>
        <v>AGRANI BANK LTD.</v>
      </c>
      <c r="E472" s="2" t="str">
        <f>IFERROR(__xludf.DUMMYFUNCTION("""COMPUTED_VALUE"""),"BATBUNIA BAZAR")</f>
        <v>BATBUNIA BAZAR</v>
      </c>
      <c r="F472" s="4">
        <f>IFERROR(__xludf.DUMMYFUNCTION("""COMPUTED_VALUE"""),28.0)</f>
        <v>28</v>
      </c>
      <c r="G472" s="5">
        <f>IFERROR(__xludf.DUMMYFUNCTION("""COMPUTED_VALUE"""),1.0470288E7)</f>
        <v>10470288</v>
      </c>
    </row>
    <row r="473">
      <c r="A473" s="3">
        <f>IFERROR(__xludf.DUMMYFUNCTION("""COMPUTED_VALUE"""),447.0)</f>
        <v>447</v>
      </c>
      <c r="B473" s="2" t="str">
        <f>IFERROR(__xludf.DUMMYFUNCTION("""COMPUTED_VALUE"""),"KHULNA")</f>
        <v>KHULNA</v>
      </c>
      <c r="C473" s="4">
        <f>IFERROR(__xludf.DUMMYFUNCTION("""COMPUTED_VALUE"""),10.0)</f>
        <v>10</v>
      </c>
      <c r="D473" s="2" t="str">
        <f>IFERROR(__xludf.DUMMYFUNCTION("""COMPUTED_VALUE"""),"AGRANI BANK LTD.")</f>
        <v>AGRANI BANK LTD.</v>
      </c>
      <c r="E473" s="2" t="str">
        <f>IFERROR(__xludf.DUMMYFUNCTION("""COMPUTED_VALUE"""),"CHUK NAGAR")</f>
        <v>CHUK NAGAR</v>
      </c>
      <c r="F473" s="4">
        <f>IFERROR(__xludf.DUMMYFUNCTION("""COMPUTED_VALUE"""),55.0)</f>
        <v>55</v>
      </c>
      <c r="G473" s="5">
        <f>IFERROR(__xludf.DUMMYFUNCTION("""COMPUTED_VALUE"""),1.0470554E7)</f>
        <v>10470554</v>
      </c>
    </row>
    <row r="474">
      <c r="A474" s="3">
        <f>IFERROR(__xludf.DUMMYFUNCTION("""COMPUTED_VALUE"""),447.0)</f>
        <v>447</v>
      </c>
      <c r="B474" s="2" t="str">
        <f>IFERROR(__xludf.DUMMYFUNCTION("""COMPUTED_VALUE"""),"KHULNA")</f>
        <v>KHULNA</v>
      </c>
      <c r="C474" s="4">
        <f>IFERROR(__xludf.DUMMYFUNCTION("""COMPUTED_VALUE"""),10.0)</f>
        <v>10</v>
      </c>
      <c r="D474" s="2" t="str">
        <f>IFERROR(__xludf.DUMMYFUNCTION("""COMPUTED_VALUE"""),"AGRANI BANK LTD.")</f>
        <v>AGRANI BANK LTD.</v>
      </c>
      <c r="E474" s="2" t="str">
        <f>IFERROR(__xludf.DUMMYFUNCTION("""COMPUTED_VALUE"""),"CLAY ROAD")</f>
        <v>CLAY ROAD</v>
      </c>
      <c r="F474" s="4">
        <f>IFERROR(__xludf.DUMMYFUNCTION("""COMPUTED_VALUE"""),58.0)</f>
        <v>58</v>
      </c>
      <c r="G474" s="5">
        <f>IFERROR(__xludf.DUMMYFUNCTION("""COMPUTED_VALUE"""),1.0470583E7)</f>
        <v>10470583</v>
      </c>
    </row>
    <row r="475">
      <c r="A475" s="3">
        <f>IFERROR(__xludf.DUMMYFUNCTION("""COMPUTED_VALUE"""),447.0)</f>
        <v>447</v>
      </c>
      <c r="B475" s="2" t="str">
        <f>IFERROR(__xludf.DUMMYFUNCTION("""COMPUTED_VALUE"""),"KHULNA")</f>
        <v>KHULNA</v>
      </c>
      <c r="C475" s="4">
        <f>IFERROR(__xludf.DUMMYFUNCTION("""COMPUTED_VALUE"""),10.0)</f>
        <v>10</v>
      </c>
      <c r="D475" s="2" t="str">
        <f>IFERROR(__xludf.DUMMYFUNCTION("""COMPUTED_VALUE"""),"AGRANI BANK LTD.")</f>
        <v>AGRANI BANK LTD.</v>
      </c>
      <c r="E475" s="2" t="str">
        <f>IFERROR(__xludf.DUMMYFUNCTION("""COMPUTED_VALUE"""),"DADA MATCH")</f>
        <v>DADA MATCH</v>
      </c>
      <c r="F475" s="4">
        <f>IFERROR(__xludf.DUMMYFUNCTION("""COMPUTED_VALUE"""),67.0)</f>
        <v>67</v>
      </c>
      <c r="G475" s="5">
        <f>IFERROR(__xludf.DUMMYFUNCTION("""COMPUTED_VALUE"""),1.0470675E7)</f>
        <v>10470675</v>
      </c>
    </row>
    <row r="476">
      <c r="A476" s="3">
        <f>IFERROR(__xludf.DUMMYFUNCTION("""COMPUTED_VALUE"""),447.0)</f>
        <v>447</v>
      </c>
      <c r="B476" s="2" t="str">
        <f>IFERROR(__xludf.DUMMYFUNCTION("""COMPUTED_VALUE"""),"KHULNA")</f>
        <v>KHULNA</v>
      </c>
      <c r="C476" s="4">
        <f>IFERROR(__xludf.DUMMYFUNCTION("""COMPUTED_VALUE"""),10.0)</f>
        <v>10</v>
      </c>
      <c r="D476" s="2" t="str">
        <f>IFERROR(__xludf.DUMMYFUNCTION("""COMPUTED_VALUE"""),"AGRANI BANK LTD.")</f>
        <v>AGRANI BANK LTD.</v>
      </c>
      <c r="E476" s="2" t="str">
        <f>IFERROR(__xludf.DUMMYFUNCTION("""COMPUTED_VALUE"""),"DAULATPUR")</f>
        <v>DAULATPUR</v>
      </c>
      <c r="F476" s="4">
        <f>IFERROR(__xludf.DUMMYFUNCTION("""COMPUTED_VALUE"""),70.0)</f>
        <v>70</v>
      </c>
      <c r="G476" s="5">
        <f>IFERROR(__xludf.DUMMYFUNCTION("""COMPUTED_VALUE"""),1.0470709E7)</f>
        <v>10470709</v>
      </c>
    </row>
    <row r="477">
      <c r="A477" s="3">
        <f>IFERROR(__xludf.DUMMYFUNCTION("""COMPUTED_VALUE"""),447.0)</f>
        <v>447</v>
      </c>
      <c r="B477" s="2" t="str">
        <f>IFERROR(__xludf.DUMMYFUNCTION("""COMPUTED_VALUE"""),"KHULNA")</f>
        <v>KHULNA</v>
      </c>
      <c r="C477" s="4">
        <f>IFERROR(__xludf.DUMMYFUNCTION("""COMPUTED_VALUE"""),10.0)</f>
        <v>10</v>
      </c>
      <c r="D477" s="2" t="str">
        <f>IFERROR(__xludf.DUMMYFUNCTION("""COMPUTED_VALUE"""),"AGRANI BANK LTD.")</f>
        <v>AGRANI BANK LTD.</v>
      </c>
      <c r="E477" s="2" t="str">
        <f>IFERROR(__xludf.DUMMYFUNCTION("""COMPUTED_VALUE"""),"FARAZIPARA")</f>
        <v>FARAZIPARA</v>
      </c>
      <c r="F477" s="4">
        <f>IFERROR(__xludf.DUMMYFUNCTION("""COMPUTED_VALUE"""),82.0)</f>
        <v>82</v>
      </c>
      <c r="G477" s="5">
        <f>IFERROR(__xludf.DUMMYFUNCTION("""COMPUTED_VALUE"""),1.047082E7)</f>
        <v>10470820</v>
      </c>
    </row>
    <row r="478">
      <c r="A478" s="3">
        <f>IFERROR(__xludf.DUMMYFUNCTION("""COMPUTED_VALUE"""),447.0)</f>
        <v>447</v>
      </c>
      <c r="B478" s="2" t="str">
        <f>IFERROR(__xludf.DUMMYFUNCTION("""COMPUTED_VALUE"""),"KHULNA")</f>
        <v>KHULNA</v>
      </c>
      <c r="C478" s="4">
        <f>IFERROR(__xludf.DUMMYFUNCTION("""COMPUTED_VALUE"""),10.0)</f>
        <v>10</v>
      </c>
      <c r="D478" s="2" t="str">
        <f>IFERROR(__xludf.DUMMYFUNCTION("""COMPUTED_VALUE"""),"AGRANI BANK LTD.")</f>
        <v>AGRANI BANK LTD.</v>
      </c>
      <c r="E478" s="2" t="str">
        <f>IFERROR(__xludf.DUMMYFUNCTION("""COMPUTED_VALUE"""),"GOALPARA")</f>
        <v>GOALPARA</v>
      </c>
      <c r="F478" s="4">
        <f>IFERROR(__xludf.DUMMYFUNCTION("""COMPUTED_VALUE"""),91.0)</f>
        <v>91</v>
      </c>
      <c r="G478" s="5">
        <f>IFERROR(__xludf.DUMMYFUNCTION("""COMPUTED_VALUE"""),1.0470912E7)</f>
        <v>10470912</v>
      </c>
    </row>
    <row r="479">
      <c r="A479" s="3">
        <f>IFERROR(__xludf.DUMMYFUNCTION("""COMPUTED_VALUE"""),447.0)</f>
        <v>447</v>
      </c>
      <c r="B479" s="2" t="str">
        <f>IFERROR(__xludf.DUMMYFUNCTION("""COMPUTED_VALUE"""),"KHULNA")</f>
        <v>KHULNA</v>
      </c>
      <c r="C479" s="4">
        <f>IFERROR(__xludf.DUMMYFUNCTION("""COMPUTED_VALUE"""),10.0)</f>
        <v>10</v>
      </c>
      <c r="D479" s="2" t="str">
        <f>IFERROR(__xludf.DUMMYFUNCTION("""COMPUTED_VALUE"""),"AGRANI BANK LTD.")</f>
        <v>AGRANI BANK LTD.</v>
      </c>
      <c r="E479" s="2" t="str">
        <f>IFERROR(__xludf.DUMMYFUNCTION("""COMPUTED_VALUE"""),"JAIGIR MOHAL")</f>
        <v>JAIGIR MOHAL</v>
      </c>
      <c r="F479" s="4">
        <f>IFERROR(__xludf.DUMMYFUNCTION("""COMPUTED_VALUE"""),106.0)</f>
        <v>106</v>
      </c>
      <c r="G479" s="5">
        <f>IFERROR(__xludf.DUMMYFUNCTION("""COMPUTED_VALUE"""),1.0471061E7)</f>
        <v>10471061</v>
      </c>
    </row>
    <row r="480">
      <c r="A480" s="3">
        <f>IFERROR(__xludf.DUMMYFUNCTION("""COMPUTED_VALUE"""),447.0)</f>
        <v>447</v>
      </c>
      <c r="B480" s="2" t="str">
        <f>IFERROR(__xludf.DUMMYFUNCTION("""COMPUTED_VALUE"""),"KHULNA")</f>
        <v>KHULNA</v>
      </c>
      <c r="C480" s="4">
        <f>IFERROR(__xludf.DUMMYFUNCTION("""COMPUTED_VALUE"""),10.0)</f>
        <v>10</v>
      </c>
      <c r="D480" s="2" t="str">
        <f>IFERROR(__xludf.DUMMYFUNCTION("""COMPUTED_VALUE"""),"AGRANI BANK LTD.")</f>
        <v>AGRANI BANK LTD.</v>
      </c>
      <c r="E480" s="2" t="str">
        <f>IFERROR(__xludf.DUMMYFUNCTION("""COMPUTED_VALUE"""),"JESSORE ROAD")</f>
        <v>JESSORE ROAD</v>
      </c>
      <c r="F480" s="4">
        <f>IFERROR(__xludf.DUMMYFUNCTION("""COMPUTED_VALUE"""),112.0)</f>
        <v>112</v>
      </c>
      <c r="G480" s="5">
        <f>IFERROR(__xludf.DUMMYFUNCTION("""COMPUTED_VALUE"""),1.0471124E7)</f>
        <v>10471124</v>
      </c>
    </row>
    <row r="481">
      <c r="A481" s="3">
        <f>IFERROR(__xludf.DUMMYFUNCTION("""COMPUTED_VALUE"""),447.0)</f>
        <v>447</v>
      </c>
      <c r="B481" s="2" t="str">
        <f>IFERROR(__xludf.DUMMYFUNCTION("""COMPUTED_VALUE"""),"KHULNA")</f>
        <v>KHULNA</v>
      </c>
      <c r="C481" s="4">
        <f>IFERROR(__xludf.DUMMYFUNCTION("""COMPUTED_VALUE"""),10.0)</f>
        <v>10</v>
      </c>
      <c r="D481" s="2" t="str">
        <f>IFERROR(__xludf.DUMMYFUNCTION("""COMPUTED_VALUE"""),"AGRANI BANK LTD.")</f>
        <v>AGRANI BANK LTD.</v>
      </c>
      <c r="E481" s="2" t="str">
        <f>IFERROR(__xludf.DUMMYFUNCTION("""COMPUTED_VALUE"""),"K.D.A. NEW MARKET")</f>
        <v>K.D.A. NEW MARKET</v>
      </c>
      <c r="F481" s="4">
        <f>IFERROR(__xludf.DUMMYFUNCTION("""COMPUTED_VALUE"""),121.0)</f>
        <v>121</v>
      </c>
      <c r="G481" s="5">
        <f>IFERROR(__xludf.DUMMYFUNCTION("""COMPUTED_VALUE"""),1.0471216E7)</f>
        <v>10471216</v>
      </c>
    </row>
    <row r="482">
      <c r="A482" s="3">
        <f>IFERROR(__xludf.DUMMYFUNCTION("""COMPUTED_VALUE"""),447.0)</f>
        <v>447</v>
      </c>
      <c r="B482" s="2" t="str">
        <f>IFERROR(__xludf.DUMMYFUNCTION("""COMPUTED_VALUE"""),"KHULNA")</f>
        <v>KHULNA</v>
      </c>
      <c r="C482" s="4">
        <f>IFERROR(__xludf.DUMMYFUNCTION("""COMPUTED_VALUE"""),10.0)</f>
        <v>10</v>
      </c>
      <c r="D482" s="2" t="str">
        <f>IFERROR(__xludf.DUMMYFUNCTION("""COMPUTED_VALUE"""),"AGRANI BANK LTD.")</f>
        <v>AGRANI BANK LTD.</v>
      </c>
      <c r="E482" s="2" t="str">
        <f>IFERROR(__xludf.DUMMYFUNCTION("""COMPUTED_VALUE"""),"KAPILMUNI")</f>
        <v>KAPILMUNI</v>
      </c>
      <c r="F482" s="4">
        <f>IFERROR(__xludf.DUMMYFUNCTION("""COMPUTED_VALUE"""),127.0)</f>
        <v>127</v>
      </c>
      <c r="G482" s="5">
        <f>IFERROR(__xludf.DUMMYFUNCTION("""COMPUTED_VALUE"""),1.0471274E7)</f>
        <v>10471274</v>
      </c>
    </row>
    <row r="483">
      <c r="A483" s="3">
        <f>IFERROR(__xludf.DUMMYFUNCTION("""COMPUTED_VALUE"""),447.0)</f>
        <v>447</v>
      </c>
      <c r="B483" s="2" t="str">
        <f>IFERROR(__xludf.DUMMYFUNCTION("""COMPUTED_VALUE"""),"KHULNA")</f>
        <v>KHULNA</v>
      </c>
      <c r="C483" s="4">
        <f>IFERROR(__xludf.DUMMYFUNCTION("""COMPUTED_VALUE"""),10.0)</f>
        <v>10</v>
      </c>
      <c r="D483" s="2" t="str">
        <f>IFERROR(__xludf.DUMMYFUNCTION("""COMPUTED_VALUE"""),"AGRANI BANK LTD.")</f>
        <v>AGRANI BANK LTD.</v>
      </c>
      <c r="E483" s="2" t="str">
        <f>IFERROR(__xludf.DUMMYFUNCTION("""COMPUTED_VALUE"""),"KAZDIA")</f>
        <v>KAZDIA</v>
      </c>
      <c r="F483" s="4">
        <f>IFERROR(__xludf.DUMMYFUNCTION("""COMPUTED_VALUE"""),136.0)</f>
        <v>136</v>
      </c>
      <c r="G483" s="5">
        <f>IFERROR(__xludf.DUMMYFUNCTION("""COMPUTED_VALUE"""),1.0471366E7)</f>
        <v>10471366</v>
      </c>
    </row>
    <row r="484">
      <c r="A484" s="3">
        <f>IFERROR(__xludf.DUMMYFUNCTION("""COMPUTED_VALUE"""),447.0)</f>
        <v>447</v>
      </c>
      <c r="B484" s="2" t="str">
        <f>IFERROR(__xludf.DUMMYFUNCTION("""COMPUTED_VALUE"""),"KHULNA")</f>
        <v>KHULNA</v>
      </c>
      <c r="C484" s="4">
        <f>IFERROR(__xludf.DUMMYFUNCTION("""COMPUTED_VALUE"""),10.0)</f>
        <v>10</v>
      </c>
      <c r="D484" s="2" t="str">
        <f>IFERROR(__xludf.DUMMYFUNCTION("""COMPUTED_VALUE"""),"AGRANI BANK LTD.")</f>
        <v>AGRANI BANK LTD.</v>
      </c>
      <c r="E484" s="2" t="str">
        <f>IFERROR(__xludf.DUMMYFUNCTION("""COMPUTED_VALUE"""),"KHALISHPUR")</f>
        <v>KHALISHPUR</v>
      </c>
      <c r="F484" s="4">
        <f>IFERROR(__xludf.DUMMYFUNCTION("""COMPUTED_VALUE"""),145.0)</f>
        <v>145</v>
      </c>
      <c r="G484" s="5">
        <f>IFERROR(__xludf.DUMMYFUNCTION("""COMPUTED_VALUE"""),1.0471458E7)</f>
        <v>10471458</v>
      </c>
    </row>
    <row r="485">
      <c r="A485" s="3">
        <f>IFERROR(__xludf.DUMMYFUNCTION("""COMPUTED_VALUE"""),447.0)</f>
        <v>447</v>
      </c>
      <c r="B485" s="2" t="str">
        <f>IFERROR(__xludf.DUMMYFUNCTION("""COMPUTED_VALUE"""),"KHULNA")</f>
        <v>KHULNA</v>
      </c>
      <c r="C485" s="4">
        <f>IFERROR(__xludf.DUMMYFUNCTION("""COMPUTED_VALUE"""),10.0)</f>
        <v>10</v>
      </c>
      <c r="D485" s="2" t="str">
        <f>IFERROR(__xludf.DUMMYFUNCTION("""COMPUTED_VALUE"""),"AGRANI BANK LTD.")</f>
        <v>AGRANI BANK LTD.</v>
      </c>
      <c r="E485" s="2" t="str">
        <f>IFERROR(__xludf.DUMMYFUNCTION("""COMPUTED_VALUE"""),"KHAN JAHAN ALI ROAD")</f>
        <v>KHAN JAHAN ALI ROAD</v>
      </c>
      <c r="F485" s="4">
        <f>IFERROR(__xludf.DUMMYFUNCTION("""COMPUTED_VALUE"""),148.0)</f>
        <v>148</v>
      </c>
      <c r="G485" s="5">
        <f>IFERROR(__xludf.DUMMYFUNCTION("""COMPUTED_VALUE"""),1.0471487E7)</f>
        <v>10471487</v>
      </c>
    </row>
    <row r="486">
      <c r="A486" s="3">
        <f>IFERROR(__xludf.DUMMYFUNCTION("""COMPUTED_VALUE"""),447.0)</f>
        <v>447</v>
      </c>
      <c r="B486" s="2" t="str">
        <f>IFERROR(__xludf.DUMMYFUNCTION("""COMPUTED_VALUE"""),"KHULNA")</f>
        <v>KHULNA</v>
      </c>
      <c r="C486" s="4">
        <f>IFERROR(__xludf.DUMMYFUNCTION("""COMPUTED_VALUE"""),10.0)</f>
        <v>10</v>
      </c>
      <c r="D486" s="2" t="str">
        <f>IFERROR(__xludf.DUMMYFUNCTION("""COMPUTED_VALUE"""),"AGRANI BANK LTD.")</f>
        <v>AGRANI BANK LTD.</v>
      </c>
      <c r="E486" s="2" t="str">
        <f>IFERROR(__xludf.DUMMYFUNCTION("""COMPUTED_VALUE"""),"KHULNA MEDICAL COLLEGE AND HOSPITAL")</f>
        <v>KHULNA MEDICAL COLLEGE AND HOSPITAL</v>
      </c>
      <c r="F486" s="4">
        <f>IFERROR(__xludf.DUMMYFUNCTION("""COMPUTED_VALUE"""),163.0)</f>
        <v>163</v>
      </c>
      <c r="G486" s="5">
        <f>IFERROR(__xludf.DUMMYFUNCTION("""COMPUTED_VALUE"""),1.0471632E7)</f>
        <v>10471632</v>
      </c>
    </row>
    <row r="487">
      <c r="A487" s="3">
        <f>IFERROR(__xludf.DUMMYFUNCTION("""COMPUTED_VALUE"""),447.0)</f>
        <v>447</v>
      </c>
      <c r="B487" s="2" t="str">
        <f>IFERROR(__xludf.DUMMYFUNCTION("""COMPUTED_VALUE"""),"KHULNA")</f>
        <v>KHULNA</v>
      </c>
      <c r="C487" s="4">
        <f>IFERROR(__xludf.DUMMYFUNCTION("""COMPUTED_VALUE"""),10.0)</f>
        <v>10</v>
      </c>
      <c r="D487" s="2" t="str">
        <f>IFERROR(__xludf.DUMMYFUNCTION("""COMPUTED_VALUE"""),"AGRANI BANK LTD.")</f>
        <v>AGRANI BANK LTD.</v>
      </c>
      <c r="E487" s="2" t="str">
        <f>IFERROR(__xludf.DUMMYFUNCTION("""COMPUTED_VALUE"""),"KHULNA UNIVERSITY")</f>
        <v>KHULNA UNIVERSITY</v>
      </c>
      <c r="F487" s="4">
        <f>IFERROR(__xludf.DUMMYFUNCTION("""COMPUTED_VALUE"""),169.0)</f>
        <v>169</v>
      </c>
      <c r="G487" s="5">
        <f>IFERROR(__xludf.DUMMYFUNCTION("""COMPUTED_VALUE"""),1.047169E7)</f>
        <v>10471690</v>
      </c>
    </row>
    <row r="488">
      <c r="A488" s="3">
        <f>IFERROR(__xludf.DUMMYFUNCTION("""COMPUTED_VALUE"""),447.0)</f>
        <v>447</v>
      </c>
      <c r="B488" s="2" t="str">
        <f>IFERROR(__xludf.DUMMYFUNCTION("""COMPUTED_VALUE"""),"KHULNA")</f>
        <v>KHULNA</v>
      </c>
      <c r="C488" s="4">
        <f>IFERROR(__xludf.DUMMYFUNCTION("""COMPUTED_VALUE"""),10.0)</f>
        <v>10</v>
      </c>
      <c r="D488" s="2" t="str">
        <f>IFERROR(__xludf.DUMMYFUNCTION("""COMPUTED_VALUE"""),"AGRANI BANK LTD.")</f>
        <v>AGRANI BANK LTD.</v>
      </c>
      <c r="E488" s="2" t="str">
        <f>IFERROR(__xludf.DUMMYFUNCTION("""COMPUTED_VALUE"""),"MOHESWARPASHA")</f>
        <v>MOHESWARPASHA</v>
      </c>
      <c r="F488" s="4">
        <f>IFERROR(__xludf.DUMMYFUNCTION("""COMPUTED_VALUE"""),190.0)</f>
        <v>190</v>
      </c>
      <c r="G488" s="5">
        <f>IFERROR(__xludf.DUMMYFUNCTION("""COMPUTED_VALUE"""),1.0471908E7)</f>
        <v>10471908</v>
      </c>
    </row>
    <row r="489">
      <c r="A489" s="3">
        <f>IFERROR(__xludf.DUMMYFUNCTION("""COMPUTED_VALUE"""),447.0)</f>
        <v>447</v>
      </c>
      <c r="B489" s="2" t="str">
        <f>IFERROR(__xludf.DUMMYFUNCTION("""COMPUTED_VALUE"""),"KHULNA")</f>
        <v>KHULNA</v>
      </c>
      <c r="C489" s="4">
        <f>IFERROR(__xludf.DUMMYFUNCTION("""COMPUTED_VALUE"""),10.0)</f>
        <v>10</v>
      </c>
      <c r="D489" s="2" t="str">
        <f>IFERROR(__xludf.DUMMYFUNCTION("""COMPUTED_VALUE"""),"AGRANI BANK LTD.")</f>
        <v>AGRANI BANK LTD.</v>
      </c>
      <c r="E489" s="2" t="str">
        <f>IFERROR(__xludf.DUMMYFUNCTION("""COMPUTED_VALUE"""),"NAVAL BASE(B.N.S.TITUMIR)")</f>
        <v>NAVAL BASE(B.N.S.TITUMIR)</v>
      </c>
      <c r="F489" s="4">
        <f>IFERROR(__xludf.DUMMYFUNCTION("""COMPUTED_VALUE"""),196.0)</f>
        <v>196</v>
      </c>
      <c r="G489" s="5">
        <f>IFERROR(__xludf.DUMMYFUNCTION("""COMPUTED_VALUE"""),1.0471966E7)</f>
        <v>10471966</v>
      </c>
    </row>
    <row r="490">
      <c r="A490" s="3">
        <f>IFERROR(__xludf.DUMMYFUNCTION("""COMPUTED_VALUE"""),447.0)</f>
        <v>447</v>
      </c>
      <c r="B490" s="2" t="str">
        <f>IFERROR(__xludf.DUMMYFUNCTION("""COMPUTED_VALUE"""),"KHULNA")</f>
        <v>KHULNA</v>
      </c>
      <c r="C490" s="4">
        <f>IFERROR(__xludf.DUMMYFUNCTION("""COMPUTED_VALUE"""),10.0)</f>
        <v>10</v>
      </c>
      <c r="D490" s="2" t="str">
        <f>IFERROR(__xludf.DUMMYFUNCTION("""COMPUTED_VALUE"""),"AGRANI BANK LTD.")</f>
        <v>AGRANI BANK LTD.</v>
      </c>
      <c r="E490" s="2" t="str">
        <f>IFERROR(__xludf.DUMMYFUNCTION("""COMPUTED_VALUE"""),"PHULBARI GATE")</f>
        <v>PHULBARI GATE</v>
      </c>
      <c r="F490" s="4">
        <f>IFERROR(__xludf.DUMMYFUNCTION("""COMPUTED_VALUE"""),211.0)</f>
        <v>211</v>
      </c>
      <c r="G490" s="5">
        <f>IFERROR(__xludf.DUMMYFUNCTION("""COMPUTED_VALUE"""),1.047211E7)</f>
        <v>10472110</v>
      </c>
    </row>
    <row r="491">
      <c r="A491" s="3">
        <f>IFERROR(__xludf.DUMMYFUNCTION("""COMPUTED_VALUE"""),447.0)</f>
        <v>447</v>
      </c>
      <c r="B491" s="2" t="str">
        <f>IFERROR(__xludf.DUMMYFUNCTION("""COMPUTED_VALUE"""),"KHULNA")</f>
        <v>KHULNA</v>
      </c>
      <c r="C491" s="4">
        <f>IFERROR(__xludf.DUMMYFUNCTION("""COMPUTED_VALUE"""),10.0)</f>
        <v>10</v>
      </c>
      <c r="D491" s="2" t="str">
        <f>IFERROR(__xludf.DUMMYFUNCTION("""COMPUTED_VALUE"""),"AGRANI BANK LTD.")</f>
        <v>AGRANI BANK LTD.</v>
      </c>
      <c r="E491" s="2" t="str">
        <f>IFERROR(__xludf.DUMMYFUNCTION("""COMPUTED_VALUE"""),"PHULTALA")</f>
        <v>PHULTALA</v>
      </c>
      <c r="F491" s="4">
        <f>IFERROR(__xludf.DUMMYFUNCTION("""COMPUTED_VALUE"""),214.0)</f>
        <v>214</v>
      </c>
      <c r="G491" s="5">
        <f>IFERROR(__xludf.DUMMYFUNCTION("""COMPUTED_VALUE"""),1.0472149E7)</f>
        <v>10472149</v>
      </c>
    </row>
    <row r="492">
      <c r="A492" s="3">
        <f>IFERROR(__xludf.DUMMYFUNCTION("""COMPUTED_VALUE"""),447.0)</f>
        <v>447</v>
      </c>
      <c r="B492" s="2" t="str">
        <f>IFERROR(__xludf.DUMMYFUNCTION("""COMPUTED_VALUE"""),"KHULNA")</f>
        <v>KHULNA</v>
      </c>
      <c r="C492" s="4">
        <f>IFERROR(__xludf.DUMMYFUNCTION("""COMPUTED_VALUE"""),10.0)</f>
        <v>10</v>
      </c>
      <c r="D492" s="2" t="str">
        <f>IFERROR(__xludf.DUMMYFUNCTION("""COMPUTED_VALUE"""),"AGRANI BANK LTD.")</f>
        <v>AGRANI BANK LTD.</v>
      </c>
      <c r="E492" s="2" t="str">
        <f>IFERROR(__xludf.DUMMYFUNCTION("""COMPUTED_VALUE"""),"RUPSHASTAND ROAD")</f>
        <v>RUPSHASTAND ROAD</v>
      </c>
      <c r="F492" s="4">
        <f>IFERROR(__xludf.DUMMYFUNCTION("""COMPUTED_VALUE"""),235.0)</f>
        <v>235</v>
      </c>
      <c r="G492" s="5">
        <f>IFERROR(__xludf.DUMMYFUNCTION("""COMPUTED_VALUE"""),1.0472352E7)</f>
        <v>10472352</v>
      </c>
    </row>
    <row r="493">
      <c r="A493" s="3">
        <f>IFERROR(__xludf.DUMMYFUNCTION("""COMPUTED_VALUE"""),447.0)</f>
        <v>447</v>
      </c>
      <c r="B493" s="2" t="str">
        <f>IFERROR(__xludf.DUMMYFUNCTION("""COMPUTED_VALUE"""),"KHULNA")</f>
        <v>KHULNA</v>
      </c>
      <c r="C493" s="4">
        <f>IFERROR(__xludf.DUMMYFUNCTION("""COMPUTED_VALUE"""),10.0)</f>
        <v>10</v>
      </c>
      <c r="D493" s="2" t="str">
        <f>IFERROR(__xludf.DUMMYFUNCTION("""COMPUTED_VALUE"""),"AGRANI BANK LTD.")</f>
        <v>AGRANI BANK LTD.</v>
      </c>
      <c r="E493" s="2" t="str">
        <f>IFERROR(__xludf.DUMMYFUNCTION("""COMPUTED_VALUE"""),"S.I. ROAD CORPORATE")</f>
        <v>S.I. ROAD CORPORATE</v>
      </c>
      <c r="F493" s="4">
        <f>IFERROR(__xludf.DUMMYFUNCTION("""COMPUTED_VALUE"""),238.0)</f>
        <v>238</v>
      </c>
      <c r="G493" s="5">
        <f>IFERROR(__xludf.DUMMYFUNCTION("""COMPUTED_VALUE"""),1.0472381E7)</f>
        <v>10472381</v>
      </c>
    </row>
    <row r="494">
      <c r="A494" s="3">
        <f>IFERROR(__xludf.DUMMYFUNCTION("""COMPUTED_VALUE"""),447.0)</f>
        <v>447</v>
      </c>
      <c r="B494" s="2" t="str">
        <f>IFERROR(__xludf.DUMMYFUNCTION("""COMPUTED_VALUE"""),"KHULNA")</f>
        <v>KHULNA</v>
      </c>
      <c r="C494" s="4">
        <f>IFERROR(__xludf.DUMMYFUNCTION("""COMPUTED_VALUE"""),10.0)</f>
        <v>10</v>
      </c>
      <c r="D494" s="2" t="str">
        <f>IFERROR(__xludf.DUMMYFUNCTION("""COMPUTED_VALUE"""),"AGRANI BANK LTD.")</f>
        <v>AGRANI BANK LTD.</v>
      </c>
      <c r="E494" s="2" t="str">
        <f>IFERROR(__xludf.DUMMYFUNCTION("""COMPUTED_VALUE"""),"S.RAHMAN ROAD")</f>
        <v>S.RAHMAN ROAD</v>
      </c>
      <c r="F494" s="4">
        <f>IFERROR(__xludf.DUMMYFUNCTION("""COMPUTED_VALUE"""),241.0)</f>
        <v>241</v>
      </c>
      <c r="G494" s="5">
        <f>IFERROR(__xludf.DUMMYFUNCTION("""COMPUTED_VALUE"""),1.0472415E7)</f>
        <v>10472415</v>
      </c>
    </row>
    <row r="495">
      <c r="A495" s="3">
        <f>IFERROR(__xludf.DUMMYFUNCTION("""COMPUTED_VALUE"""),447.0)</f>
        <v>447</v>
      </c>
      <c r="B495" s="2" t="str">
        <f>IFERROR(__xludf.DUMMYFUNCTION("""COMPUTED_VALUE"""),"KHULNA")</f>
        <v>KHULNA</v>
      </c>
      <c r="C495" s="4">
        <f>IFERROR(__xludf.DUMMYFUNCTION("""COMPUTED_VALUE"""),10.0)</f>
        <v>10</v>
      </c>
      <c r="D495" s="2" t="str">
        <f>IFERROR(__xludf.DUMMYFUNCTION("""COMPUTED_VALUE"""),"AGRANI BANK LTD.")</f>
        <v>AGRANI BANK LTD.</v>
      </c>
      <c r="E495" s="2" t="str">
        <f>IFERROR(__xludf.DUMMYFUNCTION("""COMPUTED_VALUE"""),"SHAIKHPURA")</f>
        <v>SHAIKHPURA</v>
      </c>
      <c r="F495" s="4">
        <f>IFERROR(__xludf.DUMMYFUNCTION("""COMPUTED_VALUE"""),250.0)</f>
        <v>250</v>
      </c>
      <c r="G495" s="5">
        <f>IFERROR(__xludf.DUMMYFUNCTION("""COMPUTED_VALUE"""),1.0472507E7)</f>
        <v>10472507</v>
      </c>
    </row>
    <row r="496">
      <c r="A496" s="3">
        <f>IFERROR(__xludf.DUMMYFUNCTION("""COMPUTED_VALUE"""),447.0)</f>
        <v>447</v>
      </c>
      <c r="B496" s="2" t="str">
        <f>IFERROR(__xludf.DUMMYFUNCTION("""COMPUTED_VALUE"""),"KHULNA")</f>
        <v>KHULNA</v>
      </c>
      <c r="C496" s="4">
        <f>IFERROR(__xludf.DUMMYFUNCTION("""COMPUTED_VALUE"""),10.0)</f>
        <v>10</v>
      </c>
      <c r="D496" s="2" t="str">
        <f>IFERROR(__xludf.DUMMYFUNCTION("""COMPUTED_VALUE"""),"AGRANI BANK LTD.")</f>
        <v>AGRANI BANK LTD.</v>
      </c>
      <c r="E496" s="2" t="str">
        <f>IFERROR(__xludf.DUMMYFUNCTION("""COMPUTED_VALUE"""),"TEROKHADA")</f>
        <v>TEROKHADA</v>
      </c>
      <c r="F496" s="4">
        <f>IFERROR(__xludf.DUMMYFUNCTION("""COMPUTED_VALUE"""),265.0)</f>
        <v>265</v>
      </c>
      <c r="G496" s="5">
        <f>IFERROR(__xludf.DUMMYFUNCTION("""COMPUTED_VALUE"""),1.0472657E7)</f>
        <v>10472657</v>
      </c>
    </row>
    <row r="497">
      <c r="A497" s="3">
        <f>IFERROR(__xludf.DUMMYFUNCTION("""COMPUTED_VALUE"""),148.0)</f>
        <v>148</v>
      </c>
      <c r="B497" s="2" t="str">
        <f>IFERROR(__xludf.DUMMYFUNCTION("""COMPUTED_VALUE"""),"KISHOREGANJ")</f>
        <v>KISHOREGANJ</v>
      </c>
      <c r="C497" s="4">
        <f>IFERROR(__xludf.DUMMYFUNCTION("""COMPUTED_VALUE"""),10.0)</f>
        <v>10</v>
      </c>
      <c r="D497" s="2" t="str">
        <f>IFERROR(__xludf.DUMMYFUNCTION("""COMPUTED_VALUE"""),"AGRANI BANK LTD.")</f>
        <v>AGRANI BANK LTD.</v>
      </c>
      <c r="E497" s="2" t="str">
        <f>IFERROR(__xludf.DUMMYFUNCTION("""COMPUTED_VALUE"""),"BAJITPUR")</f>
        <v>BAJITPUR</v>
      </c>
      <c r="F497" s="4">
        <f>IFERROR(__xludf.DUMMYFUNCTION("""COMPUTED_VALUE"""),10.0)</f>
        <v>10</v>
      </c>
      <c r="G497" s="5">
        <f>IFERROR(__xludf.DUMMYFUNCTION("""COMPUTED_VALUE"""),1.0480102E7)</f>
        <v>10480102</v>
      </c>
    </row>
    <row r="498">
      <c r="A498" s="3">
        <f>IFERROR(__xludf.DUMMYFUNCTION("""COMPUTED_VALUE"""),148.0)</f>
        <v>148</v>
      </c>
      <c r="B498" s="2" t="str">
        <f>IFERROR(__xludf.DUMMYFUNCTION("""COMPUTED_VALUE"""),"KISHOREGANJ")</f>
        <v>KISHOREGANJ</v>
      </c>
      <c r="C498" s="4">
        <f>IFERROR(__xludf.DUMMYFUNCTION("""COMPUTED_VALUE"""),10.0)</f>
        <v>10</v>
      </c>
      <c r="D498" s="2" t="str">
        <f>IFERROR(__xludf.DUMMYFUNCTION("""COMPUTED_VALUE"""),"AGRANI BANK LTD.")</f>
        <v>AGRANI BANK LTD.</v>
      </c>
      <c r="E498" s="2" t="str">
        <f>IFERROR(__xludf.DUMMYFUNCTION("""COMPUTED_VALUE"""),"BHAIRAB BAZAR")</f>
        <v>BHAIRAB BAZAR</v>
      </c>
      <c r="F498" s="4">
        <f>IFERROR(__xludf.DUMMYFUNCTION("""COMPUTED_VALUE"""),22.0)</f>
        <v>22</v>
      </c>
      <c r="G498" s="5">
        <f>IFERROR(__xludf.DUMMYFUNCTION("""COMPUTED_VALUE"""),1.0480223E7)</f>
        <v>10480223</v>
      </c>
    </row>
    <row r="499">
      <c r="A499" s="3">
        <f>IFERROR(__xludf.DUMMYFUNCTION("""COMPUTED_VALUE"""),148.0)</f>
        <v>148</v>
      </c>
      <c r="B499" s="2" t="str">
        <f>IFERROR(__xludf.DUMMYFUNCTION("""COMPUTED_VALUE"""),"KISHOREGANJ")</f>
        <v>KISHOREGANJ</v>
      </c>
      <c r="C499" s="4">
        <f>IFERROR(__xludf.DUMMYFUNCTION("""COMPUTED_VALUE"""),10.0)</f>
        <v>10</v>
      </c>
      <c r="D499" s="2" t="str">
        <f>IFERROR(__xludf.DUMMYFUNCTION("""COMPUTED_VALUE"""),"AGRANI BANK LTD.")</f>
        <v>AGRANI BANK LTD.</v>
      </c>
      <c r="E499" s="2" t="str">
        <f>IFERROR(__xludf.DUMMYFUNCTION("""COMPUTED_VALUE"""),"CHARPUMDI")</f>
        <v>CHARPUMDI</v>
      </c>
      <c r="F499" s="4">
        <f>IFERROR(__xludf.DUMMYFUNCTION("""COMPUTED_VALUE"""),25.0)</f>
        <v>25</v>
      </c>
      <c r="G499" s="5">
        <f>IFERROR(__xludf.DUMMYFUNCTION("""COMPUTED_VALUE"""),1.0480252E7)</f>
        <v>10480252</v>
      </c>
    </row>
    <row r="500">
      <c r="A500" s="3">
        <f>IFERROR(__xludf.DUMMYFUNCTION("""COMPUTED_VALUE"""),148.0)</f>
        <v>148</v>
      </c>
      <c r="B500" s="2" t="str">
        <f>IFERROR(__xludf.DUMMYFUNCTION("""COMPUTED_VALUE"""),"KISHOREGANJ")</f>
        <v>KISHOREGANJ</v>
      </c>
      <c r="C500" s="4">
        <f>IFERROR(__xludf.DUMMYFUNCTION("""COMPUTED_VALUE"""),10.0)</f>
        <v>10</v>
      </c>
      <c r="D500" s="2" t="str">
        <f>IFERROR(__xludf.DUMMYFUNCTION("""COMPUTED_VALUE"""),"AGRANI BANK LTD.")</f>
        <v>AGRANI BANK LTD.</v>
      </c>
      <c r="E500" s="2" t="str">
        <f>IFERROR(__xludf.DUMMYFUNCTION("""COMPUTED_VALUE"""),"HOSSAINPUR")</f>
        <v>HOSSAINPUR</v>
      </c>
      <c r="F500" s="4">
        <f>IFERROR(__xludf.DUMMYFUNCTION("""COMPUTED_VALUE"""),40.0)</f>
        <v>40</v>
      </c>
      <c r="G500" s="5">
        <f>IFERROR(__xludf.DUMMYFUNCTION("""COMPUTED_VALUE"""),1.0480407E7)</f>
        <v>10480407</v>
      </c>
    </row>
    <row r="501">
      <c r="A501" s="3">
        <f>IFERROR(__xludf.DUMMYFUNCTION("""COMPUTED_VALUE"""),148.0)</f>
        <v>148</v>
      </c>
      <c r="B501" s="2" t="str">
        <f>IFERROR(__xludf.DUMMYFUNCTION("""COMPUTED_VALUE"""),"KISHOREGANJ")</f>
        <v>KISHOREGANJ</v>
      </c>
      <c r="C501" s="4">
        <f>IFERROR(__xludf.DUMMYFUNCTION("""COMPUTED_VALUE"""),10.0)</f>
        <v>10</v>
      </c>
      <c r="D501" s="2" t="str">
        <f>IFERROR(__xludf.DUMMYFUNCTION("""COMPUTED_VALUE"""),"AGRANI BANK LTD.")</f>
        <v>AGRANI BANK LTD.</v>
      </c>
      <c r="E501" s="2" t="str">
        <f>IFERROR(__xludf.DUMMYFUNCTION("""COMPUTED_VALUE"""),"KARIMGANJ")</f>
        <v>KARIMGANJ</v>
      </c>
      <c r="F501" s="4">
        <f>IFERROR(__xludf.DUMMYFUNCTION("""COMPUTED_VALUE"""),55.0)</f>
        <v>55</v>
      </c>
      <c r="G501" s="5">
        <f>IFERROR(__xludf.DUMMYFUNCTION("""COMPUTED_VALUE"""),1.0480557E7)</f>
        <v>10480557</v>
      </c>
    </row>
    <row r="502">
      <c r="A502" s="3">
        <f>IFERROR(__xludf.DUMMYFUNCTION("""COMPUTED_VALUE"""),148.0)</f>
        <v>148</v>
      </c>
      <c r="B502" s="2" t="str">
        <f>IFERROR(__xludf.DUMMYFUNCTION("""COMPUTED_VALUE"""),"KISHOREGANJ")</f>
        <v>KISHOREGANJ</v>
      </c>
      <c r="C502" s="4">
        <f>IFERROR(__xludf.DUMMYFUNCTION("""COMPUTED_VALUE"""),10.0)</f>
        <v>10</v>
      </c>
      <c r="D502" s="2" t="str">
        <f>IFERROR(__xludf.DUMMYFUNCTION("""COMPUTED_VALUE"""),"AGRANI BANK LTD.")</f>
        <v>AGRANI BANK LTD.</v>
      </c>
      <c r="E502" s="2" t="str">
        <f>IFERROR(__xludf.DUMMYFUNCTION("""COMPUTED_VALUE"""),"KATIADI BAZAR")</f>
        <v>KATIADI BAZAR</v>
      </c>
      <c r="F502" s="4">
        <f>IFERROR(__xludf.DUMMYFUNCTION("""COMPUTED_VALUE"""),61.0)</f>
        <v>61</v>
      </c>
      <c r="G502" s="5">
        <f>IFERROR(__xludf.DUMMYFUNCTION("""COMPUTED_VALUE"""),1.048061E7)</f>
        <v>10480610</v>
      </c>
    </row>
    <row r="503">
      <c r="A503" s="3">
        <f>IFERROR(__xludf.DUMMYFUNCTION("""COMPUTED_VALUE"""),148.0)</f>
        <v>148</v>
      </c>
      <c r="B503" s="2" t="str">
        <f>IFERROR(__xludf.DUMMYFUNCTION("""COMPUTED_VALUE"""),"KISHOREGANJ")</f>
        <v>KISHOREGANJ</v>
      </c>
      <c r="C503" s="4">
        <f>IFERROR(__xludf.DUMMYFUNCTION("""COMPUTED_VALUE"""),10.0)</f>
        <v>10</v>
      </c>
      <c r="D503" s="2" t="str">
        <f>IFERROR(__xludf.DUMMYFUNCTION("""COMPUTED_VALUE"""),"AGRANI BANK LTD.")</f>
        <v>AGRANI BANK LTD.</v>
      </c>
      <c r="E503" s="2" t="str">
        <f>IFERROR(__xludf.DUMMYFUNCTION("""COMPUTED_VALUE"""),"KISHOREGANJ")</f>
        <v>KISHOREGANJ</v>
      </c>
      <c r="F503" s="4">
        <f>IFERROR(__xludf.DUMMYFUNCTION("""COMPUTED_VALUE"""),67.0)</f>
        <v>67</v>
      </c>
      <c r="G503" s="5">
        <f>IFERROR(__xludf.DUMMYFUNCTION("""COMPUTED_VALUE"""),1.0480678E7)</f>
        <v>10480678</v>
      </c>
    </row>
    <row r="504">
      <c r="A504" s="3">
        <f>IFERROR(__xludf.DUMMYFUNCTION("""COMPUTED_VALUE"""),148.0)</f>
        <v>148</v>
      </c>
      <c r="B504" s="2" t="str">
        <f>IFERROR(__xludf.DUMMYFUNCTION("""COMPUTED_VALUE"""),"KISHOREGANJ")</f>
        <v>KISHOREGANJ</v>
      </c>
      <c r="C504" s="4">
        <f>IFERROR(__xludf.DUMMYFUNCTION("""COMPUTED_VALUE"""),10.0)</f>
        <v>10</v>
      </c>
      <c r="D504" s="2" t="str">
        <f>IFERROR(__xludf.DUMMYFUNCTION("""COMPUTED_VALUE"""),"AGRANI BANK LTD.")</f>
        <v>AGRANI BANK LTD.</v>
      </c>
      <c r="E504" s="2" t="str">
        <f>IFERROR(__xludf.DUMMYFUNCTION("""COMPUTED_VALUE"""),"KULIAR CHAR")</f>
        <v>KULIAR CHAR</v>
      </c>
      <c r="F504" s="4">
        <f>IFERROR(__xludf.DUMMYFUNCTION("""COMPUTED_VALUE"""),73.0)</f>
        <v>73</v>
      </c>
      <c r="G504" s="5">
        <f>IFERROR(__xludf.DUMMYFUNCTION("""COMPUTED_VALUE"""),1.0480731E7)</f>
        <v>10480731</v>
      </c>
    </row>
    <row r="505">
      <c r="A505" s="3">
        <f>IFERROR(__xludf.DUMMYFUNCTION("""COMPUTED_VALUE"""),148.0)</f>
        <v>148</v>
      </c>
      <c r="B505" s="2" t="str">
        <f>IFERROR(__xludf.DUMMYFUNCTION("""COMPUTED_VALUE"""),"KISHOREGANJ")</f>
        <v>KISHOREGANJ</v>
      </c>
      <c r="C505" s="4">
        <f>IFERROR(__xludf.DUMMYFUNCTION("""COMPUTED_VALUE"""),10.0)</f>
        <v>10</v>
      </c>
      <c r="D505" s="2" t="str">
        <f>IFERROR(__xludf.DUMMYFUNCTION("""COMPUTED_VALUE"""),"AGRANI BANK LTD.")</f>
        <v>AGRANI BANK LTD.</v>
      </c>
      <c r="E505" s="2" t="str">
        <f>IFERROR(__xludf.DUMMYFUNCTION("""COMPUTED_VALUE"""),"MATHKHOLA")</f>
        <v>MATHKHOLA</v>
      </c>
      <c r="F505" s="4">
        <f>IFERROR(__xludf.DUMMYFUNCTION("""COMPUTED_VALUE"""),88.0)</f>
        <v>88</v>
      </c>
      <c r="G505" s="5">
        <f>IFERROR(__xludf.DUMMYFUNCTION("""COMPUTED_VALUE"""),1.0480881E7)</f>
        <v>10480881</v>
      </c>
    </row>
    <row r="506">
      <c r="A506" s="3">
        <f>IFERROR(__xludf.DUMMYFUNCTION("""COMPUTED_VALUE"""),148.0)</f>
        <v>148</v>
      </c>
      <c r="B506" s="2" t="str">
        <f>IFERROR(__xludf.DUMMYFUNCTION("""COMPUTED_VALUE"""),"KISHOREGANJ")</f>
        <v>KISHOREGANJ</v>
      </c>
      <c r="C506" s="4">
        <f>IFERROR(__xludf.DUMMYFUNCTION("""COMPUTED_VALUE"""),10.0)</f>
        <v>10</v>
      </c>
      <c r="D506" s="2" t="str">
        <f>IFERROR(__xludf.DUMMYFUNCTION("""COMPUTED_VALUE"""),"AGRANI BANK LTD.")</f>
        <v>AGRANI BANK LTD.</v>
      </c>
      <c r="E506" s="2" t="str">
        <f>IFERROR(__xludf.DUMMYFUNCTION("""COMPUTED_VALUE"""),"MIRZAPUR")</f>
        <v>MIRZAPUR</v>
      </c>
      <c r="F506" s="4">
        <f>IFERROR(__xludf.DUMMYFUNCTION("""COMPUTED_VALUE"""),91.0)</f>
        <v>91</v>
      </c>
      <c r="G506" s="5">
        <f>IFERROR(__xludf.DUMMYFUNCTION("""COMPUTED_VALUE"""),1.0480915E7)</f>
        <v>10480915</v>
      </c>
    </row>
    <row r="507">
      <c r="A507" s="3">
        <f>IFERROR(__xludf.DUMMYFUNCTION("""COMPUTED_VALUE"""),148.0)</f>
        <v>148</v>
      </c>
      <c r="B507" s="2" t="str">
        <f>IFERROR(__xludf.DUMMYFUNCTION("""COMPUTED_VALUE"""),"KISHOREGANJ")</f>
        <v>KISHOREGANJ</v>
      </c>
      <c r="C507" s="4">
        <f>IFERROR(__xludf.DUMMYFUNCTION("""COMPUTED_VALUE"""),10.0)</f>
        <v>10</v>
      </c>
      <c r="D507" s="2" t="str">
        <f>IFERROR(__xludf.DUMMYFUNCTION("""COMPUTED_VALUE"""),"AGRANI BANK LTD.")</f>
        <v>AGRANI BANK LTD.</v>
      </c>
      <c r="E507" s="2" t="str">
        <f>IFERROR(__xludf.DUMMYFUNCTION("""COMPUTED_VALUE"""),"NIKLI")</f>
        <v>NIKLI</v>
      </c>
      <c r="F507" s="4">
        <f>IFERROR(__xludf.DUMMYFUNCTION("""COMPUTED_VALUE"""),100.0)</f>
        <v>100</v>
      </c>
      <c r="G507" s="5">
        <f>IFERROR(__xludf.DUMMYFUNCTION("""COMPUTED_VALUE"""),1.0481006E7)</f>
        <v>10481006</v>
      </c>
    </row>
    <row r="508">
      <c r="A508" s="3">
        <f>IFERROR(__xludf.DUMMYFUNCTION("""COMPUTED_VALUE"""),148.0)</f>
        <v>148</v>
      </c>
      <c r="B508" s="2" t="str">
        <f>IFERROR(__xludf.DUMMYFUNCTION("""COMPUTED_VALUE"""),"KISHOREGANJ")</f>
        <v>KISHOREGANJ</v>
      </c>
      <c r="C508" s="4">
        <f>IFERROR(__xludf.DUMMYFUNCTION("""COMPUTED_VALUE"""),10.0)</f>
        <v>10</v>
      </c>
      <c r="D508" s="2" t="str">
        <f>IFERROR(__xludf.DUMMYFUNCTION("""COMPUTED_VALUE"""),"AGRANI BANK LTD.")</f>
        <v>AGRANI BANK LTD.</v>
      </c>
      <c r="E508" s="2" t="str">
        <f>IFERROR(__xludf.DUMMYFUNCTION("""COMPUTED_VALUE"""),"PAKUNDIA")</f>
        <v>PAKUNDIA</v>
      </c>
      <c r="F508" s="4">
        <f>IFERROR(__xludf.DUMMYFUNCTION("""COMPUTED_VALUE"""),106.0)</f>
        <v>106</v>
      </c>
      <c r="G508" s="5">
        <f>IFERROR(__xludf.DUMMYFUNCTION("""COMPUTED_VALUE"""),1.0481064E7)</f>
        <v>10481064</v>
      </c>
    </row>
    <row r="509">
      <c r="A509" s="3">
        <f>IFERROR(__xludf.DUMMYFUNCTION("""COMPUTED_VALUE"""),749.0)</f>
        <v>749</v>
      </c>
      <c r="B509" s="2" t="str">
        <f>IFERROR(__xludf.DUMMYFUNCTION("""COMPUTED_VALUE"""),"KURIGRAM")</f>
        <v>KURIGRAM</v>
      </c>
      <c r="C509" s="4">
        <f>IFERROR(__xludf.DUMMYFUNCTION("""COMPUTED_VALUE"""),10.0)</f>
        <v>10</v>
      </c>
      <c r="D509" s="2" t="str">
        <f>IFERROR(__xludf.DUMMYFUNCTION("""COMPUTED_VALUE"""),"AGRANI BANK LTD.")</f>
        <v>AGRANI BANK LTD.</v>
      </c>
      <c r="E509" s="2" t="str">
        <f>IFERROR(__xludf.DUMMYFUNCTION("""COMPUTED_VALUE"""),"BHITORBOND HAT")</f>
        <v>BHITORBOND HAT</v>
      </c>
      <c r="F509" s="4">
        <f>IFERROR(__xludf.DUMMYFUNCTION("""COMPUTED_VALUE"""),7.0)</f>
        <v>7</v>
      </c>
      <c r="G509" s="5">
        <f>IFERROR(__xludf.DUMMYFUNCTION("""COMPUTED_VALUE"""),1.0490071E7)</f>
        <v>10490071</v>
      </c>
    </row>
    <row r="510">
      <c r="A510" s="3">
        <f>IFERROR(__xludf.DUMMYFUNCTION("""COMPUTED_VALUE"""),749.0)</f>
        <v>749</v>
      </c>
      <c r="B510" s="2" t="str">
        <f>IFERROR(__xludf.DUMMYFUNCTION("""COMPUTED_VALUE"""),"KURIGRAM")</f>
        <v>KURIGRAM</v>
      </c>
      <c r="C510" s="4">
        <f>IFERROR(__xludf.DUMMYFUNCTION("""COMPUTED_VALUE"""),10.0)</f>
        <v>10</v>
      </c>
      <c r="D510" s="2" t="str">
        <f>IFERROR(__xludf.DUMMYFUNCTION("""COMPUTED_VALUE"""),"AGRANI BANK LTD.")</f>
        <v>AGRANI BANK LTD.</v>
      </c>
      <c r="E510" s="2" t="str">
        <f>IFERROR(__xludf.DUMMYFUNCTION("""COMPUTED_VALUE"""),"BHURUNGAMARI")</f>
        <v>BHURUNGAMARI</v>
      </c>
      <c r="F510" s="4">
        <f>IFERROR(__xludf.DUMMYFUNCTION("""COMPUTED_VALUE"""),10.0)</f>
        <v>10</v>
      </c>
      <c r="G510" s="5">
        <f>IFERROR(__xludf.DUMMYFUNCTION("""COMPUTED_VALUE"""),1.0490105E7)</f>
        <v>10490105</v>
      </c>
    </row>
    <row r="511">
      <c r="A511" s="3">
        <f>IFERROR(__xludf.DUMMYFUNCTION("""COMPUTED_VALUE"""),749.0)</f>
        <v>749</v>
      </c>
      <c r="B511" s="2" t="str">
        <f>IFERROR(__xludf.DUMMYFUNCTION("""COMPUTED_VALUE"""),"KURIGRAM")</f>
        <v>KURIGRAM</v>
      </c>
      <c r="C511" s="4">
        <f>IFERROR(__xludf.DUMMYFUNCTION("""COMPUTED_VALUE"""),10.0)</f>
        <v>10</v>
      </c>
      <c r="D511" s="2" t="str">
        <f>IFERROR(__xludf.DUMMYFUNCTION("""COMPUTED_VALUE"""),"AGRANI BANK LTD.")</f>
        <v>AGRANI BANK LTD.</v>
      </c>
      <c r="E511" s="2" t="str">
        <f>IFERROR(__xludf.DUMMYFUNCTION("""COMPUTED_VALUE"""),"CHILMARI")</f>
        <v>CHILMARI</v>
      </c>
      <c r="F511" s="4">
        <f>IFERROR(__xludf.DUMMYFUNCTION("""COMPUTED_VALUE"""),13.0)</f>
        <v>13</v>
      </c>
      <c r="G511" s="5">
        <f>IFERROR(__xludf.DUMMYFUNCTION("""COMPUTED_VALUE"""),1.0490134E7)</f>
        <v>10490134</v>
      </c>
    </row>
    <row r="512">
      <c r="A512" s="3">
        <f>IFERROR(__xludf.DUMMYFUNCTION("""COMPUTED_VALUE"""),749.0)</f>
        <v>749</v>
      </c>
      <c r="B512" s="2" t="str">
        <f>IFERROR(__xludf.DUMMYFUNCTION("""COMPUTED_VALUE"""),"KURIGRAM")</f>
        <v>KURIGRAM</v>
      </c>
      <c r="C512" s="4">
        <f>IFERROR(__xludf.DUMMYFUNCTION("""COMPUTED_VALUE"""),10.0)</f>
        <v>10</v>
      </c>
      <c r="D512" s="2" t="str">
        <f>IFERROR(__xludf.DUMMYFUNCTION("""COMPUTED_VALUE"""),"AGRANI BANK LTD.")</f>
        <v>AGRANI BANK LTD.</v>
      </c>
      <c r="E512" s="2" t="str">
        <f>IFERROR(__xludf.DUMMYFUNCTION("""COMPUTED_VALUE"""),"FULBARI")</f>
        <v>FULBARI</v>
      </c>
      <c r="F512" s="4">
        <f>IFERROR(__xludf.DUMMYFUNCTION("""COMPUTED_VALUE"""),19.0)</f>
        <v>19</v>
      </c>
      <c r="G512" s="5">
        <f>IFERROR(__xludf.DUMMYFUNCTION("""COMPUTED_VALUE"""),1.0490192E7)</f>
        <v>10490192</v>
      </c>
    </row>
    <row r="513">
      <c r="A513" s="3">
        <f>IFERROR(__xludf.DUMMYFUNCTION("""COMPUTED_VALUE"""),749.0)</f>
        <v>749</v>
      </c>
      <c r="B513" s="2" t="str">
        <f>IFERROR(__xludf.DUMMYFUNCTION("""COMPUTED_VALUE"""),"KURIGRAM")</f>
        <v>KURIGRAM</v>
      </c>
      <c r="C513" s="4">
        <f>IFERROR(__xludf.DUMMYFUNCTION("""COMPUTED_VALUE"""),10.0)</f>
        <v>10</v>
      </c>
      <c r="D513" s="2" t="str">
        <f>IFERROR(__xludf.DUMMYFUNCTION("""COMPUTED_VALUE"""),"AGRANI BANK LTD.")</f>
        <v>AGRANI BANK LTD.</v>
      </c>
      <c r="E513" s="2" t="str">
        <f>IFERROR(__xludf.DUMMYFUNCTION("""COMPUTED_VALUE"""),"KURIGRAM")</f>
        <v>KURIGRAM</v>
      </c>
      <c r="F513" s="4">
        <f>IFERROR(__xludf.DUMMYFUNCTION("""COMPUTED_VALUE"""),40.0)</f>
        <v>40</v>
      </c>
      <c r="G513" s="5">
        <f>IFERROR(__xludf.DUMMYFUNCTION("""COMPUTED_VALUE"""),1.04904E7)</f>
        <v>10490400</v>
      </c>
    </row>
    <row r="514">
      <c r="A514" s="3">
        <f>IFERROR(__xludf.DUMMYFUNCTION("""COMPUTED_VALUE"""),749.0)</f>
        <v>749</v>
      </c>
      <c r="B514" s="2" t="str">
        <f>IFERROR(__xludf.DUMMYFUNCTION("""COMPUTED_VALUE"""),"KURIGRAM")</f>
        <v>KURIGRAM</v>
      </c>
      <c r="C514" s="4">
        <f>IFERROR(__xludf.DUMMYFUNCTION("""COMPUTED_VALUE"""),10.0)</f>
        <v>10</v>
      </c>
      <c r="D514" s="2" t="str">
        <f>IFERROR(__xludf.DUMMYFUNCTION("""COMPUTED_VALUE"""),"AGRANI BANK LTD.")</f>
        <v>AGRANI BANK LTD.</v>
      </c>
      <c r="E514" s="2" t="str">
        <f>IFERROR(__xludf.DUMMYFUNCTION("""COMPUTED_VALUE"""),"NAGESWARI")</f>
        <v>NAGESWARI</v>
      </c>
      <c r="F514" s="4">
        <f>IFERROR(__xludf.DUMMYFUNCTION("""COMPUTED_VALUE"""),46.0)</f>
        <v>46</v>
      </c>
      <c r="G514" s="5">
        <f>IFERROR(__xludf.DUMMYFUNCTION("""COMPUTED_VALUE"""),1.0490468E7)</f>
        <v>10490468</v>
      </c>
    </row>
    <row r="515">
      <c r="A515" s="3">
        <f>IFERROR(__xludf.DUMMYFUNCTION("""COMPUTED_VALUE"""),749.0)</f>
        <v>749</v>
      </c>
      <c r="B515" s="2" t="str">
        <f>IFERROR(__xludf.DUMMYFUNCTION("""COMPUTED_VALUE"""),"KURIGRAM")</f>
        <v>KURIGRAM</v>
      </c>
      <c r="C515" s="4">
        <f>IFERROR(__xludf.DUMMYFUNCTION("""COMPUTED_VALUE"""),10.0)</f>
        <v>10</v>
      </c>
      <c r="D515" s="2" t="str">
        <f>IFERROR(__xludf.DUMMYFUNCTION("""COMPUTED_VALUE"""),"AGRANI BANK LTD.")</f>
        <v>AGRANI BANK LTD.</v>
      </c>
      <c r="E515" s="2" t="str">
        <f>IFERROR(__xludf.DUMMYFUNCTION("""COMPUTED_VALUE"""),"NAZIMKHAN")</f>
        <v>NAZIMKHAN</v>
      </c>
      <c r="F515" s="4">
        <f>IFERROR(__xludf.DUMMYFUNCTION("""COMPUTED_VALUE"""),49.0)</f>
        <v>49</v>
      </c>
      <c r="G515" s="5">
        <f>IFERROR(__xludf.DUMMYFUNCTION("""COMPUTED_VALUE"""),1.0490497E7)</f>
        <v>10490497</v>
      </c>
    </row>
    <row r="516">
      <c r="A516" s="3">
        <f>IFERROR(__xludf.DUMMYFUNCTION("""COMPUTED_VALUE"""),749.0)</f>
        <v>749</v>
      </c>
      <c r="B516" s="2" t="str">
        <f>IFERROR(__xludf.DUMMYFUNCTION("""COMPUTED_VALUE"""),"KURIGRAM")</f>
        <v>KURIGRAM</v>
      </c>
      <c r="C516" s="4">
        <f>IFERROR(__xludf.DUMMYFUNCTION("""COMPUTED_VALUE"""),10.0)</f>
        <v>10</v>
      </c>
      <c r="D516" s="2" t="str">
        <f>IFERROR(__xludf.DUMMYFUNCTION("""COMPUTED_VALUE"""),"AGRANI BANK LTD.")</f>
        <v>AGRANI BANK LTD.</v>
      </c>
      <c r="E516" s="2" t="str">
        <f>IFERROR(__xludf.DUMMYFUNCTION("""COMPUTED_VALUE"""),"RAJARHAT")</f>
        <v>RAJARHAT</v>
      </c>
      <c r="F516" s="4">
        <f>IFERROR(__xludf.DUMMYFUNCTION("""COMPUTED_VALUE"""),58.0)</f>
        <v>58</v>
      </c>
      <c r="G516" s="5">
        <f>IFERROR(__xludf.DUMMYFUNCTION("""COMPUTED_VALUE"""),1.0490589E7)</f>
        <v>10490589</v>
      </c>
    </row>
    <row r="517">
      <c r="A517" s="3">
        <f>IFERROR(__xludf.DUMMYFUNCTION("""COMPUTED_VALUE"""),749.0)</f>
        <v>749</v>
      </c>
      <c r="B517" s="2" t="str">
        <f>IFERROR(__xludf.DUMMYFUNCTION("""COMPUTED_VALUE"""),"KURIGRAM")</f>
        <v>KURIGRAM</v>
      </c>
      <c r="C517" s="4">
        <f>IFERROR(__xludf.DUMMYFUNCTION("""COMPUTED_VALUE"""),10.0)</f>
        <v>10</v>
      </c>
      <c r="D517" s="2" t="str">
        <f>IFERROR(__xludf.DUMMYFUNCTION("""COMPUTED_VALUE"""),"AGRANI BANK LTD.")</f>
        <v>AGRANI BANK LTD.</v>
      </c>
      <c r="E517" s="2" t="str">
        <f>IFERROR(__xludf.DUMMYFUNCTION("""COMPUTED_VALUE"""),"ULIPUR")</f>
        <v>ULIPUR</v>
      </c>
      <c r="F517" s="4">
        <f>IFERROR(__xludf.DUMMYFUNCTION("""COMPUTED_VALUE"""),70.0)</f>
        <v>70</v>
      </c>
      <c r="G517" s="5">
        <f>IFERROR(__xludf.DUMMYFUNCTION("""COMPUTED_VALUE"""),1.0490705E7)</f>
        <v>10490705</v>
      </c>
    </row>
    <row r="518">
      <c r="A518" s="3">
        <f>IFERROR(__xludf.DUMMYFUNCTION("""COMPUTED_VALUE"""),450.0)</f>
        <v>450</v>
      </c>
      <c r="B518" s="2" t="str">
        <f>IFERROR(__xludf.DUMMYFUNCTION("""COMPUTED_VALUE"""),"KUSHTIA")</f>
        <v>KUSHTIA</v>
      </c>
      <c r="C518" s="4">
        <f>IFERROR(__xludf.DUMMYFUNCTION("""COMPUTED_VALUE"""),10.0)</f>
        <v>10</v>
      </c>
      <c r="D518" s="2" t="str">
        <f>IFERROR(__xludf.DUMMYFUNCTION("""COMPUTED_VALUE"""),"AGRANI BANK LTD.")</f>
        <v>AGRANI BANK LTD.</v>
      </c>
      <c r="E518" s="2" t="str">
        <f>IFERROR(__xludf.DUMMYFUNCTION("""COMPUTED_VALUE"""),"ALLAHAR DARGAH")</f>
        <v>ALLAHAR DARGAH</v>
      </c>
      <c r="F518" s="4">
        <f>IFERROR(__xludf.DUMMYFUNCTION("""COMPUTED_VALUE"""),7.0)</f>
        <v>7</v>
      </c>
      <c r="G518" s="5">
        <f>IFERROR(__xludf.DUMMYFUNCTION("""COMPUTED_VALUE"""),1.0500079E7)</f>
        <v>10500079</v>
      </c>
    </row>
    <row r="519">
      <c r="A519" s="3">
        <f>IFERROR(__xludf.DUMMYFUNCTION("""COMPUTED_VALUE"""),450.0)</f>
        <v>450</v>
      </c>
      <c r="B519" s="2" t="str">
        <f>IFERROR(__xludf.DUMMYFUNCTION("""COMPUTED_VALUE"""),"KUSHTIA")</f>
        <v>KUSHTIA</v>
      </c>
      <c r="C519" s="4">
        <f>IFERROR(__xludf.DUMMYFUNCTION("""COMPUTED_VALUE"""),10.0)</f>
        <v>10</v>
      </c>
      <c r="D519" s="2" t="str">
        <f>IFERROR(__xludf.DUMMYFUNCTION("""COMPUTED_VALUE"""),"AGRANI BANK LTD.")</f>
        <v>AGRANI BANK LTD.</v>
      </c>
      <c r="E519" s="2" t="str">
        <f>IFERROR(__xludf.DUMMYFUNCTION("""COMPUTED_VALUE"""),"BARA BAZAR")</f>
        <v>BARA BAZAR</v>
      </c>
      <c r="F519" s="4">
        <f>IFERROR(__xludf.DUMMYFUNCTION("""COMPUTED_VALUE"""),19.0)</f>
        <v>19</v>
      </c>
      <c r="G519" s="5">
        <f>IFERROR(__xludf.DUMMYFUNCTION("""COMPUTED_VALUE"""),1.050019E7)</f>
        <v>10500190</v>
      </c>
    </row>
    <row r="520">
      <c r="A520" s="3">
        <f>IFERROR(__xludf.DUMMYFUNCTION("""COMPUTED_VALUE"""),450.0)</f>
        <v>450</v>
      </c>
      <c r="B520" s="2" t="str">
        <f>IFERROR(__xludf.DUMMYFUNCTION("""COMPUTED_VALUE"""),"KUSHTIA")</f>
        <v>KUSHTIA</v>
      </c>
      <c r="C520" s="4">
        <f>IFERROR(__xludf.DUMMYFUNCTION("""COMPUTED_VALUE"""),10.0)</f>
        <v>10</v>
      </c>
      <c r="D520" s="2" t="str">
        <f>IFERROR(__xludf.DUMMYFUNCTION("""COMPUTED_VALUE"""),"AGRANI BANK LTD.")</f>
        <v>AGRANI BANK LTD.</v>
      </c>
      <c r="E520" s="2" t="str">
        <f>IFERROR(__xludf.DUMMYFUNCTION("""COMPUTED_VALUE"""),"BARAGANGDIA")</f>
        <v>BARAGANGDIA</v>
      </c>
      <c r="F520" s="4">
        <f>IFERROR(__xludf.DUMMYFUNCTION("""COMPUTED_VALUE"""),22.0)</f>
        <v>22</v>
      </c>
      <c r="G520" s="5">
        <f>IFERROR(__xludf.DUMMYFUNCTION("""COMPUTED_VALUE"""),1.0500224E7)</f>
        <v>10500224</v>
      </c>
    </row>
    <row r="521">
      <c r="A521" s="3">
        <f>IFERROR(__xludf.DUMMYFUNCTION("""COMPUTED_VALUE"""),450.0)</f>
        <v>450</v>
      </c>
      <c r="B521" s="2" t="str">
        <f>IFERROR(__xludf.DUMMYFUNCTION("""COMPUTED_VALUE"""),"KUSHTIA")</f>
        <v>KUSHTIA</v>
      </c>
      <c r="C521" s="4">
        <f>IFERROR(__xludf.DUMMYFUNCTION("""COMPUTED_VALUE"""),10.0)</f>
        <v>10</v>
      </c>
      <c r="D521" s="2" t="str">
        <f>IFERROR(__xludf.DUMMYFUNCTION("""COMPUTED_VALUE"""),"AGRANI BANK LTD.")</f>
        <v>AGRANI BANK LTD.</v>
      </c>
      <c r="E521" s="2" t="str">
        <f>IFERROR(__xludf.DUMMYFUNCTION("""COMPUTED_VALUE"""),"BHERAMARA")</f>
        <v>BHERAMARA</v>
      </c>
      <c r="F521" s="4">
        <f>IFERROR(__xludf.DUMMYFUNCTION("""COMPUTED_VALUE"""),28.0)</f>
        <v>28</v>
      </c>
      <c r="G521" s="5">
        <f>IFERROR(__xludf.DUMMYFUNCTION("""COMPUTED_VALUE"""),1.0500282E7)</f>
        <v>10500282</v>
      </c>
    </row>
    <row r="522">
      <c r="A522" s="3">
        <f>IFERROR(__xludf.DUMMYFUNCTION("""COMPUTED_VALUE"""),450.0)</f>
        <v>450</v>
      </c>
      <c r="B522" s="2" t="str">
        <f>IFERROR(__xludf.DUMMYFUNCTION("""COMPUTED_VALUE"""),"KUSHTIA")</f>
        <v>KUSHTIA</v>
      </c>
      <c r="C522" s="4">
        <f>IFERROR(__xludf.DUMMYFUNCTION("""COMPUTED_VALUE"""),10.0)</f>
        <v>10</v>
      </c>
      <c r="D522" s="2" t="str">
        <f>IFERROR(__xludf.DUMMYFUNCTION("""COMPUTED_VALUE"""),"AGRANI BANK LTD.")</f>
        <v>AGRANI BANK LTD.</v>
      </c>
      <c r="E522" s="2" t="str">
        <f>IFERROR(__xludf.DUMMYFUNCTION("""COMPUTED_VALUE"""),"DAULATPUR")</f>
        <v>DAULATPUR</v>
      </c>
      <c r="F522" s="4">
        <f>IFERROR(__xludf.DUMMYFUNCTION("""COMPUTED_VALUE"""),46.0)</f>
        <v>46</v>
      </c>
      <c r="G522" s="5">
        <f>IFERROR(__xludf.DUMMYFUNCTION("""COMPUTED_VALUE"""),1.0500466E7)</f>
        <v>10500466</v>
      </c>
    </row>
    <row r="523">
      <c r="A523" s="3">
        <f>IFERROR(__xludf.DUMMYFUNCTION("""COMPUTED_VALUE"""),450.0)</f>
        <v>450</v>
      </c>
      <c r="B523" s="2" t="str">
        <f>IFERROR(__xludf.DUMMYFUNCTION("""COMPUTED_VALUE"""),"KUSHTIA")</f>
        <v>KUSHTIA</v>
      </c>
      <c r="C523" s="4">
        <f>IFERROR(__xludf.DUMMYFUNCTION("""COMPUTED_VALUE"""),10.0)</f>
        <v>10</v>
      </c>
      <c r="D523" s="2" t="str">
        <f>IFERROR(__xludf.DUMMYFUNCTION("""COMPUTED_VALUE"""),"AGRANI BANK LTD.")</f>
        <v>AGRANI BANK LTD.</v>
      </c>
      <c r="E523" s="2" t="str">
        <f>IFERROR(__xludf.DUMMYFUNCTION("""COMPUTED_VALUE"""),"GOLAP NAGAR")</f>
        <v>GOLAP NAGAR</v>
      </c>
      <c r="F523" s="4">
        <f>IFERROR(__xludf.DUMMYFUNCTION("""COMPUTED_VALUE"""),55.0)</f>
        <v>55</v>
      </c>
      <c r="G523" s="5">
        <f>IFERROR(__xludf.DUMMYFUNCTION("""COMPUTED_VALUE"""),1.0500558E7)</f>
        <v>10500558</v>
      </c>
    </row>
    <row r="524">
      <c r="A524" s="3">
        <f>IFERROR(__xludf.DUMMYFUNCTION("""COMPUTED_VALUE"""),450.0)</f>
        <v>450</v>
      </c>
      <c r="B524" s="2" t="str">
        <f>IFERROR(__xludf.DUMMYFUNCTION("""COMPUTED_VALUE"""),"KUSHTIA")</f>
        <v>KUSHTIA</v>
      </c>
      <c r="C524" s="4">
        <f>IFERROR(__xludf.DUMMYFUNCTION("""COMPUTED_VALUE"""),10.0)</f>
        <v>10</v>
      </c>
      <c r="D524" s="2" t="str">
        <f>IFERROR(__xludf.DUMMYFUNCTION("""COMPUTED_VALUE"""),"AGRANI BANK LTD.")</f>
        <v>AGRANI BANK LTD.</v>
      </c>
      <c r="E524" s="2" t="str">
        <f>IFERROR(__xludf.DUMMYFUNCTION("""COMPUTED_VALUE"""),"ISLAMIC UNIVERSITY")</f>
        <v>ISLAMIC UNIVERSITY</v>
      </c>
      <c r="F524" s="4">
        <f>IFERROR(__xludf.DUMMYFUNCTION("""COMPUTED_VALUE"""),67.0)</f>
        <v>67</v>
      </c>
      <c r="G524" s="5">
        <f>IFERROR(__xludf.DUMMYFUNCTION("""COMPUTED_VALUE"""),1.0500679E7)</f>
        <v>10500679</v>
      </c>
    </row>
    <row r="525">
      <c r="A525" s="3">
        <f>IFERROR(__xludf.DUMMYFUNCTION("""COMPUTED_VALUE"""),450.0)</f>
        <v>450</v>
      </c>
      <c r="B525" s="2" t="str">
        <f>IFERROR(__xludf.DUMMYFUNCTION("""COMPUTED_VALUE"""),"KUSHTIA")</f>
        <v>KUSHTIA</v>
      </c>
      <c r="C525" s="4">
        <f>IFERROR(__xludf.DUMMYFUNCTION("""COMPUTED_VALUE"""),10.0)</f>
        <v>10</v>
      </c>
      <c r="D525" s="2" t="str">
        <f>IFERROR(__xludf.DUMMYFUNCTION("""COMPUTED_VALUE"""),"AGRANI BANK LTD.")</f>
        <v>AGRANI BANK LTD.</v>
      </c>
      <c r="E525" s="2" t="str">
        <f>IFERROR(__xludf.DUMMYFUNCTION("""COMPUTED_VALUE"""),"KHALISHA KUNDI")</f>
        <v>KHALISHA KUNDI</v>
      </c>
      <c r="F525" s="4">
        <f>IFERROR(__xludf.DUMMYFUNCTION("""COMPUTED_VALUE"""),79.0)</f>
        <v>79</v>
      </c>
      <c r="G525" s="5">
        <f>IFERROR(__xludf.DUMMYFUNCTION("""COMPUTED_VALUE"""),1.050079E7)</f>
        <v>10500790</v>
      </c>
    </row>
    <row r="526">
      <c r="A526" s="3">
        <f>IFERROR(__xludf.DUMMYFUNCTION("""COMPUTED_VALUE"""),450.0)</f>
        <v>450</v>
      </c>
      <c r="B526" s="2" t="str">
        <f>IFERROR(__xludf.DUMMYFUNCTION("""COMPUTED_VALUE"""),"KUSHTIA")</f>
        <v>KUSHTIA</v>
      </c>
      <c r="C526" s="4">
        <f>IFERROR(__xludf.DUMMYFUNCTION("""COMPUTED_VALUE"""),10.0)</f>
        <v>10</v>
      </c>
      <c r="D526" s="2" t="str">
        <f>IFERROR(__xludf.DUMMYFUNCTION("""COMPUTED_VALUE"""),"AGRANI BANK LTD.")</f>
        <v>AGRANI BANK LTD.</v>
      </c>
      <c r="E526" s="2" t="str">
        <f>IFERROR(__xludf.DUMMYFUNCTION("""COMPUTED_VALUE"""),"KUMARKHALI")</f>
        <v>KUMARKHALI</v>
      </c>
      <c r="F526" s="4">
        <f>IFERROR(__xludf.DUMMYFUNCTION("""COMPUTED_VALUE"""),88.0)</f>
        <v>88</v>
      </c>
      <c r="G526" s="5">
        <f>IFERROR(__xludf.DUMMYFUNCTION("""COMPUTED_VALUE"""),1.0500882E7)</f>
        <v>10500882</v>
      </c>
    </row>
    <row r="527">
      <c r="A527" s="3">
        <f>IFERROR(__xludf.DUMMYFUNCTION("""COMPUTED_VALUE"""),450.0)</f>
        <v>450</v>
      </c>
      <c r="B527" s="2" t="str">
        <f>IFERROR(__xludf.DUMMYFUNCTION("""COMPUTED_VALUE"""),"KUSHTIA")</f>
        <v>KUSHTIA</v>
      </c>
      <c r="C527" s="4">
        <f>IFERROR(__xludf.DUMMYFUNCTION("""COMPUTED_VALUE"""),10.0)</f>
        <v>10</v>
      </c>
      <c r="D527" s="2" t="str">
        <f>IFERROR(__xludf.DUMMYFUNCTION("""COMPUTED_VALUE"""),"AGRANI BANK LTD.")</f>
        <v>AGRANI BANK LTD.</v>
      </c>
      <c r="E527" s="2" t="str">
        <f>IFERROR(__xludf.DUMMYFUNCTION("""COMPUTED_VALUE"""),"MATHURAPUR")</f>
        <v>MATHURAPUR</v>
      </c>
      <c r="F527" s="4">
        <f>IFERROR(__xludf.DUMMYFUNCTION("""COMPUTED_VALUE"""),103.0)</f>
        <v>103</v>
      </c>
      <c r="G527" s="5">
        <f>IFERROR(__xludf.DUMMYFUNCTION("""COMPUTED_VALUE"""),1.0501036E7)</f>
        <v>10501036</v>
      </c>
    </row>
    <row r="528">
      <c r="A528" s="3">
        <f>IFERROR(__xludf.DUMMYFUNCTION("""COMPUTED_VALUE"""),450.0)</f>
        <v>450</v>
      </c>
      <c r="B528" s="2" t="str">
        <f>IFERROR(__xludf.DUMMYFUNCTION("""COMPUTED_VALUE"""),"KUSHTIA")</f>
        <v>KUSHTIA</v>
      </c>
      <c r="C528" s="4">
        <f>IFERROR(__xludf.DUMMYFUNCTION("""COMPUTED_VALUE"""),10.0)</f>
        <v>10</v>
      </c>
      <c r="D528" s="2" t="str">
        <f>IFERROR(__xludf.DUMMYFUNCTION("""COMPUTED_VALUE"""),"AGRANI BANK LTD.")</f>
        <v>AGRANI BANK LTD.</v>
      </c>
      <c r="E528" s="2" t="str">
        <f>IFERROR(__xludf.DUMMYFUNCTION("""COMPUTED_VALUE"""),"MIRPUR")</f>
        <v>MIRPUR</v>
      </c>
      <c r="F528" s="4">
        <f>IFERROR(__xludf.DUMMYFUNCTION("""COMPUTED_VALUE"""),106.0)</f>
        <v>106</v>
      </c>
      <c r="G528" s="5">
        <f>IFERROR(__xludf.DUMMYFUNCTION("""COMPUTED_VALUE"""),1.0501065E7)</f>
        <v>10501065</v>
      </c>
    </row>
    <row r="529">
      <c r="A529" s="3">
        <f>IFERROR(__xludf.DUMMYFUNCTION("""COMPUTED_VALUE"""),450.0)</f>
        <v>450</v>
      </c>
      <c r="B529" s="2" t="str">
        <f>IFERROR(__xludf.DUMMYFUNCTION("""COMPUTED_VALUE"""),"KUSHTIA")</f>
        <v>KUSHTIA</v>
      </c>
      <c r="C529" s="4">
        <f>IFERROR(__xludf.DUMMYFUNCTION("""COMPUTED_VALUE"""),10.0)</f>
        <v>10</v>
      </c>
      <c r="D529" s="2" t="str">
        <f>IFERROR(__xludf.DUMMYFUNCTION("""COMPUTED_VALUE"""),"AGRANI BANK LTD.")</f>
        <v>AGRANI BANK LTD.</v>
      </c>
      <c r="E529" s="2" t="str">
        <f>IFERROR(__xludf.DUMMYFUNCTION("""COMPUTED_VALUE"""),"MOZAMPUR")</f>
        <v>MOZAMPUR</v>
      </c>
      <c r="F529" s="4">
        <f>IFERROR(__xludf.DUMMYFUNCTION("""COMPUTED_VALUE"""),115.0)</f>
        <v>115</v>
      </c>
      <c r="G529" s="5">
        <f>IFERROR(__xludf.DUMMYFUNCTION("""COMPUTED_VALUE"""),1.0501157E7)</f>
        <v>10501157</v>
      </c>
    </row>
    <row r="530">
      <c r="A530" s="3">
        <f>IFERROR(__xludf.DUMMYFUNCTION("""COMPUTED_VALUE"""),450.0)</f>
        <v>450</v>
      </c>
      <c r="B530" s="2" t="str">
        <f>IFERROR(__xludf.DUMMYFUNCTION("""COMPUTED_VALUE"""),"KUSHTIA")</f>
        <v>KUSHTIA</v>
      </c>
      <c r="C530" s="4">
        <f>IFERROR(__xludf.DUMMYFUNCTION("""COMPUTED_VALUE"""),10.0)</f>
        <v>10</v>
      </c>
      <c r="D530" s="2" t="str">
        <f>IFERROR(__xludf.DUMMYFUNCTION("""COMPUTED_VALUE"""),"AGRANI BANK LTD.")</f>
        <v>AGRANI BANK LTD.</v>
      </c>
      <c r="E530" s="2" t="str">
        <f>IFERROR(__xludf.DUMMYFUNCTION("""COMPUTED_VALUE"""),"NEW MARKET")</f>
        <v>NEW MARKET</v>
      </c>
      <c r="F530" s="4">
        <f>IFERROR(__xludf.DUMMYFUNCTION("""COMPUTED_VALUE"""),124.0)</f>
        <v>124</v>
      </c>
      <c r="G530" s="5">
        <f>IFERROR(__xludf.DUMMYFUNCTION("""COMPUTED_VALUE"""),1.0501249E7)</f>
        <v>10501249</v>
      </c>
    </row>
    <row r="531">
      <c r="A531" s="3">
        <f>IFERROR(__xludf.DUMMYFUNCTION("""COMPUTED_VALUE"""),450.0)</f>
        <v>450</v>
      </c>
      <c r="B531" s="2" t="str">
        <f>IFERROR(__xludf.DUMMYFUNCTION("""COMPUTED_VALUE"""),"KUSHTIA")</f>
        <v>KUSHTIA</v>
      </c>
      <c r="C531" s="4">
        <f>IFERROR(__xludf.DUMMYFUNCTION("""COMPUTED_VALUE"""),10.0)</f>
        <v>10</v>
      </c>
      <c r="D531" s="2" t="str">
        <f>IFERROR(__xludf.DUMMYFUNCTION("""COMPUTED_VALUE"""),"AGRANI BANK LTD.")</f>
        <v>AGRANI BANK LTD.</v>
      </c>
      <c r="E531" s="2" t="str">
        <f>IFERROR(__xludf.DUMMYFUNCTION("""COMPUTED_VALUE"""),"PANTI")</f>
        <v>PANTI</v>
      </c>
      <c r="F531" s="4">
        <f>IFERROR(__xludf.DUMMYFUNCTION("""COMPUTED_VALUE"""),127.0)</f>
        <v>127</v>
      </c>
      <c r="G531" s="5">
        <f>IFERROR(__xludf.DUMMYFUNCTION("""COMPUTED_VALUE"""),1.0501278E7)</f>
        <v>10501278</v>
      </c>
    </row>
    <row r="532">
      <c r="A532" s="3">
        <f>IFERROR(__xludf.DUMMYFUNCTION("""COMPUTED_VALUE"""),450.0)</f>
        <v>450</v>
      </c>
      <c r="B532" s="2" t="str">
        <f>IFERROR(__xludf.DUMMYFUNCTION("""COMPUTED_VALUE"""),"KUSHTIA")</f>
        <v>KUSHTIA</v>
      </c>
      <c r="C532" s="4">
        <f>IFERROR(__xludf.DUMMYFUNCTION("""COMPUTED_VALUE"""),10.0)</f>
        <v>10</v>
      </c>
      <c r="D532" s="2" t="str">
        <f>IFERROR(__xludf.DUMMYFUNCTION("""COMPUTED_VALUE"""),"AGRANI BANK LTD.")</f>
        <v>AGRANI BANK LTD.</v>
      </c>
      <c r="E532" s="2" t="str">
        <f>IFERROR(__xludf.DUMMYFUNCTION("""COMPUTED_VALUE"""),"PATIKABARI")</f>
        <v>PATIKABARI</v>
      </c>
      <c r="F532" s="4">
        <f>IFERROR(__xludf.DUMMYFUNCTION("""COMPUTED_VALUE"""),133.0)</f>
        <v>133</v>
      </c>
      <c r="G532" s="5">
        <f>IFERROR(__xludf.DUMMYFUNCTION("""COMPUTED_VALUE"""),1.0501331E7)</f>
        <v>10501331</v>
      </c>
    </row>
    <row r="533">
      <c r="A533" s="3">
        <f>IFERROR(__xludf.DUMMYFUNCTION("""COMPUTED_VALUE"""),450.0)</f>
        <v>450</v>
      </c>
      <c r="B533" s="2" t="str">
        <f>IFERROR(__xludf.DUMMYFUNCTION("""COMPUTED_VALUE"""),"KUSHTIA")</f>
        <v>KUSHTIA</v>
      </c>
      <c r="C533" s="4">
        <f>IFERROR(__xludf.DUMMYFUNCTION("""COMPUTED_VALUE"""),10.0)</f>
        <v>10</v>
      </c>
      <c r="D533" s="2" t="str">
        <f>IFERROR(__xludf.DUMMYFUNCTION("""COMPUTED_VALUE"""),"AGRANI BANK LTD.")</f>
        <v>AGRANI BANK LTD.</v>
      </c>
      <c r="E533" s="2" t="str">
        <f>IFERROR(__xludf.DUMMYFUNCTION("""COMPUTED_VALUE"""),"PRAGPUR")</f>
        <v>PRAGPUR</v>
      </c>
      <c r="F533" s="4">
        <f>IFERROR(__xludf.DUMMYFUNCTION("""COMPUTED_VALUE"""),139.0)</f>
        <v>139</v>
      </c>
      <c r="G533" s="5">
        <f>IFERROR(__xludf.DUMMYFUNCTION("""COMPUTED_VALUE"""),1.0501399E7)</f>
        <v>10501399</v>
      </c>
    </row>
    <row r="534">
      <c r="A534" s="3">
        <f>IFERROR(__xludf.DUMMYFUNCTION("""COMPUTED_VALUE"""),450.0)</f>
        <v>450</v>
      </c>
      <c r="B534" s="2" t="str">
        <f>IFERROR(__xludf.DUMMYFUNCTION("""COMPUTED_VALUE"""),"KUSHTIA")</f>
        <v>KUSHTIA</v>
      </c>
      <c r="C534" s="4">
        <f>IFERROR(__xludf.DUMMYFUNCTION("""COMPUTED_VALUE"""),10.0)</f>
        <v>10</v>
      </c>
      <c r="D534" s="2" t="str">
        <f>IFERROR(__xludf.DUMMYFUNCTION("""COMPUTED_VALUE"""),"AGRANI BANK LTD.")</f>
        <v>AGRANI BANK LTD.</v>
      </c>
      <c r="E534" s="2" t="str">
        <f>IFERROR(__xludf.DUMMYFUNCTION("""COMPUTED_VALUE"""),"S.C. BANERJEE ROAD")</f>
        <v>S.C. BANERJEE ROAD</v>
      </c>
      <c r="F534" s="4">
        <f>IFERROR(__xludf.DUMMYFUNCTION("""COMPUTED_VALUE"""),148.0)</f>
        <v>148</v>
      </c>
      <c r="G534" s="5">
        <f>IFERROR(__xludf.DUMMYFUNCTION("""COMPUTED_VALUE"""),1.0501481E7)</f>
        <v>10501481</v>
      </c>
    </row>
    <row r="535">
      <c r="A535" s="3">
        <f>IFERROR(__xludf.DUMMYFUNCTION("""COMPUTED_VALUE"""),450.0)</f>
        <v>450</v>
      </c>
      <c r="B535" s="2" t="str">
        <f>IFERROR(__xludf.DUMMYFUNCTION("""COMPUTED_VALUE"""),"KUSHTIA")</f>
        <v>KUSHTIA</v>
      </c>
      <c r="C535" s="4">
        <f>IFERROR(__xludf.DUMMYFUNCTION("""COMPUTED_VALUE"""),10.0)</f>
        <v>10</v>
      </c>
      <c r="D535" s="2" t="str">
        <f>IFERROR(__xludf.DUMMYFUNCTION("""COMPUTED_VALUE"""),"AGRANI BANK LTD.")</f>
        <v>AGRANI BANK LTD.</v>
      </c>
      <c r="E535" s="2" t="str">
        <f>IFERROR(__xludf.DUMMYFUNCTION("""COMPUTED_VALUE"""),"SILAIDAH")</f>
        <v>SILAIDAH</v>
      </c>
      <c r="F535" s="4">
        <f>IFERROR(__xludf.DUMMYFUNCTION("""COMPUTED_VALUE"""),154.0)</f>
        <v>154</v>
      </c>
      <c r="G535" s="5">
        <f>IFERROR(__xludf.DUMMYFUNCTION("""COMPUTED_VALUE"""),1.0501544E7)</f>
        <v>10501544</v>
      </c>
    </row>
    <row r="536">
      <c r="A536" s="3">
        <f>IFERROR(__xludf.DUMMYFUNCTION("""COMPUTED_VALUE"""),450.0)</f>
        <v>450</v>
      </c>
      <c r="B536" s="2" t="str">
        <f>IFERROR(__xludf.DUMMYFUNCTION("""COMPUTED_VALUE"""),"KUSHTIA")</f>
        <v>KUSHTIA</v>
      </c>
      <c r="C536" s="4">
        <f>IFERROR(__xludf.DUMMYFUNCTION("""COMPUTED_VALUE"""),10.0)</f>
        <v>10</v>
      </c>
      <c r="D536" s="2" t="str">
        <f>IFERROR(__xludf.DUMMYFUNCTION("""COMPUTED_VALUE"""),"AGRANI BANK LTD.")</f>
        <v>AGRANI BANK LTD.</v>
      </c>
      <c r="E536" s="2" t="str">
        <f>IFERROR(__xludf.DUMMYFUNCTION("""COMPUTED_VALUE"""),"STATION ROAD")</f>
        <v>STATION ROAD</v>
      </c>
      <c r="F536" s="4">
        <f>IFERROR(__xludf.DUMMYFUNCTION("""COMPUTED_VALUE"""),157.0)</f>
        <v>157</v>
      </c>
      <c r="G536" s="5">
        <f>IFERROR(__xludf.DUMMYFUNCTION("""COMPUTED_VALUE"""),1.0501573E7)</f>
        <v>10501573</v>
      </c>
    </row>
    <row r="537">
      <c r="A537" s="3">
        <f>IFERROR(__xludf.DUMMYFUNCTION("""COMPUTED_VALUE"""),450.0)</f>
        <v>450</v>
      </c>
      <c r="B537" s="2" t="str">
        <f>IFERROR(__xludf.DUMMYFUNCTION("""COMPUTED_VALUE"""),"KUSHTIA")</f>
        <v>KUSHTIA</v>
      </c>
      <c r="C537" s="4">
        <f>IFERROR(__xludf.DUMMYFUNCTION("""COMPUTED_VALUE"""),10.0)</f>
        <v>10</v>
      </c>
      <c r="D537" s="2" t="str">
        <f>IFERROR(__xludf.DUMMYFUNCTION("""COMPUTED_VALUE"""),"AGRANI BANK LTD.")</f>
        <v>AGRANI BANK LTD.</v>
      </c>
      <c r="E537" s="2" t="str">
        <f>IFERROR(__xludf.DUMMYFUNCTION("""COMPUTED_VALUE"""),"THANAPARA")</f>
        <v>THANAPARA</v>
      </c>
      <c r="F537" s="4">
        <f>IFERROR(__xludf.DUMMYFUNCTION("""COMPUTED_VALUE"""),166.0)</f>
        <v>166</v>
      </c>
      <c r="G537" s="5">
        <f>IFERROR(__xludf.DUMMYFUNCTION("""COMPUTED_VALUE"""),1.0501665E7)</f>
        <v>10501665</v>
      </c>
    </row>
    <row r="538">
      <c r="A538" s="3">
        <f>IFERROR(__xludf.DUMMYFUNCTION("""COMPUTED_VALUE"""),450.0)</f>
        <v>450</v>
      </c>
      <c r="B538" s="2" t="str">
        <f>IFERROR(__xludf.DUMMYFUNCTION("""COMPUTED_VALUE"""),"KUSHTIA")</f>
        <v>KUSHTIA</v>
      </c>
      <c r="C538" s="4">
        <f>IFERROR(__xludf.DUMMYFUNCTION("""COMPUTED_VALUE"""),10.0)</f>
        <v>10</v>
      </c>
      <c r="D538" s="2" t="str">
        <f>IFERROR(__xludf.DUMMYFUNCTION("""COMPUTED_VALUE"""),"AGRANI BANK LTD.")</f>
        <v>AGRANI BANK LTD.</v>
      </c>
      <c r="E538" s="2" t="str">
        <f>IFERROR(__xludf.DUMMYFUNCTION("""COMPUTED_VALUE"""),"UJANGRAM")</f>
        <v>UJANGRAM</v>
      </c>
      <c r="F538" s="4">
        <f>IFERROR(__xludf.DUMMYFUNCTION("""COMPUTED_VALUE"""),169.0)</f>
        <v>169</v>
      </c>
      <c r="G538" s="5">
        <f>IFERROR(__xludf.DUMMYFUNCTION("""COMPUTED_VALUE"""),1.0501694E7)</f>
        <v>10501694</v>
      </c>
    </row>
    <row r="539">
      <c r="A539" s="3">
        <f>IFERROR(__xludf.DUMMYFUNCTION("""COMPUTED_VALUE"""),251.0)</f>
        <v>251</v>
      </c>
      <c r="B539" s="2" t="str">
        <f>IFERROR(__xludf.DUMMYFUNCTION("""COMPUTED_VALUE"""),"LAKSHMIPUR")</f>
        <v>LAKSHMIPUR</v>
      </c>
      <c r="C539" s="4">
        <f>IFERROR(__xludf.DUMMYFUNCTION("""COMPUTED_VALUE"""),10.0)</f>
        <v>10</v>
      </c>
      <c r="D539" s="2" t="str">
        <f>IFERROR(__xludf.DUMMYFUNCTION("""COMPUTED_VALUE"""),"AGRANI BANK LTD.")</f>
        <v>AGRANI BANK LTD.</v>
      </c>
      <c r="E539" s="2" t="str">
        <f>IFERROR(__xludf.DUMMYFUNCTION("""COMPUTED_VALUE"""),"BHABANIGANJ")</f>
        <v>BHABANIGANJ</v>
      </c>
      <c r="F539" s="4">
        <f>IFERROR(__xludf.DUMMYFUNCTION("""COMPUTED_VALUE"""),7.0)</f>
        <v>7</v>
      </c>
      <c r="G539" s="5">
        <f>IFERROR(__xludf.DUMMYFUNCTION("""COMPUTED_VALUE"""),1.0510072E7)</f>
        <v>10510072</v>
      </c>
    </row>
    <row r="540">
      <c r="A540" s="3">
        <f>IFERROR(__xludf.DUMMYFUNCTION("""COMPUTED_VALUE"""),251.0)</f>
        <v>251</v>
      </c>
      <c r="B540" s="2" t="str">
        <f>IFERROR(__xludf.DUMMYFUNCTION("""COMPUTED_VALUE"""),"LAKSHMIPUR")</f>
        <v>LAKSHMIPUR</v>
      </c>
      <c r="C540" s="4">
        <f>IFERROR(__xludf.DUMMYFUNCTION("""COMPUTED_VALUE"""),10.0)</f>
        <v>10</v>
      </c>
      <c r="D540" s="2" t="str">
        <f>IFERROR(__xludf.DUMMYFUNCTION("""COMPUTED_VALUE"""),"AGRANI BANK LTD.")</f>
        <v>AGRANI BANK LTD.</v>
      </c>
      <c r="E540" s="2" t="str">
        <f>IFERROR(__xludf.DUMMYFUNCTION("""COMPUTED_VALUE"""),"NAGMUD BAZAR")</f>
        <v>NAGMUD BAZAR</v>
      </c>
      <c r="F540" s="4">
        <f>IFERROR(__xludf.DUMMYFUNCTION("""COMPUTED_VALUE"""),11.0)</f>
        <v>11</v>
      </c>
      <c r="G540" s="5">
        <f>IFERROR(__xludf.DUMMYFUNCTION("""COMPUTED_VALUE"""),1.0510119E7)</f>
        <v>10510119</v>
      </c>
    </row>
    <row r="541">
      <c r="A541" s="3">
        <f>IFERROR(__xludf.DUMMYFUNCTION("""COMPUTED_VALUE"""),251.0)</f>
        <v>251</v>
      </c>
      <c r="B541" s="2" t="str">
        <f>IFERROR(__xludf.DUMMYFUNCTION("""COMPUTED_VALUE"""),"LAKSHMIPUR")</f>
        <v>LAKSHMIPUR</v>
      </c>
      <c r="C541" s="4">
        <f>IFERROR(__xludf.DUMMYFUNCTION("""COMPUTED_VALUE"""),10.0)</f>
        <v>10</v>
      </c>
      <c r="D541" s="2" t="str">
        <f>IFERROR(__xludf.DUMMYFUNCTION("""COMPUTED_VALUE"""),"AGRANI BANK LTD.")</f>
        <v>AGRANI BANK LTD.</v>
      </c>
      <c r="E541" s="2" t="str">
        <f>IFERROR(__xludf.DUMMYFUNCTION("""COMPUTED_VALUE"""),"PANIWALA BAZAR")</f>
        <v>PANIWALA BAZAR</v>
      </c>
      <c r="F541" s="4">
        <f>IFERROR(__xludf.DUMMYFUNCTION("""COMPUTED_VALUE"""),12.0)</f>
        <v>12</v>
      </c>
      <c r="G541" s="5">
        <f>IFERROR(__xludf.DUMMYFUNCTION("""COMPUTED_VALUE"""),1.0510122E7)</f>
        <v>10510122</v>
      </c>
    </row>
    <row r="542">
      <c r="A542" s="3">
        <f>IFERROR(__xludf.DUMMYFUNCTION("""COMPUTED_VALUE"""),251.0)</f>
        <v>251</v>
      </c>
      <c r="B542" s="2" t="str">
        <f>IFERROR(__xludf.DUMMYFUNCTION("""COMPUTED_VALUE"""),"LAKSHMIPUR")</f>
        <v>LAKSHMIPUR</v>
      </c>
      <c r="C542" s="4">
        <f>IFERROR(__xludf.DUMMYFUNCTION("""COMPUTED_VALUE"""),10.0)</f>
        <v>10</v>
      </c>
      <c r="D542" s="2" t="str">
        <f>IFERROR(__xludf.DUMMYFUNCTION("""COMPUTED_VALUE"""),"AGRANI BANK LTD.")</f>
        <v>AGRANI BANK LTD.</v>
      </c>
      <c r="E542" s="2" t="str">
        <f>IFERROR(__xludf.DUMMYFUNCTION("""COMPUTED_VALUE"""),"DALAL BAZAR")</f>
        <v>DALAL BAZAR</v>
      </c>
      <c r="F542" s="4">
        <f>IFERROR(__xludf.DUMMYFUNCTION("""COMPUTED_VALUE"""),40.0)</f>
        <v>40</v>
      </c>
      <c r="G542" s="5">
        <f>IFERROR(__xludf.DUMMYFUNCTION("""COMPUTED_VALUE"""),1.0510401E7)</f>
        <v>10510401</v>
      </c>
    </row>
    <row r="543">
      <c r="A543" s="3">
        <f>IFERROR(__xludf.DUMMYFUNCTION("""COMPUTED_VALUE"""),251.0)</f>
        <v>251</v>
      </c>
      <c r="B543" s="2" t="str">
        <f>IFERROR(__xludf.DUMMYFUNCTION("""COMPUTED_VALUE"""),"LAKSHMIPUR")</f>
        <v>LAKSHMIPUR</v>
      </c>
      <c r="C543" s="4">
        <f>IFERROR(__xludf.DUMMYFUNCTION("""COMPUTED_VALUE"""),10.0)</f>
        <v>10</v>
      </c>
      <c r="D543" s="2" t="str">
        <f>IFERROR(__xludf.DUMMYFUNCTION("""COMPUTED_VALUE"""),"AGRANI BANK LTD.")</f>
        <v>AGRANI BANK LTD.</v>
      </c>
      <c r="E543" s="2" t="str">
        <f>IFERROR(__xludf.DUMMYFUNCTION("""COMPUTED_VALUE"""),"DASHER HAT")</f>
        <v>DASHER HAT</v>
      </c>
      <c r="F543" s="4">
        <f>IFERROR(__xludf.DUMMYFUNCTION("""COMPUTED_VALUE"""),46.0)</f>
        <v>46</v>
      </c>
      <c r="G543" s="5">
        <f>IFERROR(__xludf.DUMMYFUNCTION("""COMPUTED_VALUE"""),1.0510469E7)</f>
        <v>10510469</v>
      </c>
    </row>
    <row r="544">
      <c r="A544" s="3">
        <f>IFERROR(__xludf.DUMMYFUNCTION("""COMPUTED_VALUE"""),251.0)</f>
        <v>251</v>
      </c>
      <c r="B544" s="2" t="str">
        <f>IFERROR(__xludf.DUMMYFUNCTION("""COMPUTED_VALUE"""),"LAKSHMIPUR")</f>
        <v>LAKSHMIPUR</v>
      </c>
      <c r="C544" s="4">
        <f>IFERROR(__xludf.DUMMYFUNCTION("""COMPUTED_VALUE"""),10.0)</f>
        <v>10</v>
      </c>
      <c r="D544" s="2" t="str">
        <f>IFERROR(__xludf.DUMMYFUNCTION("""COMPUTED_VALUE"""),"AGRANI BANK LTD.")</f>
        <v>AGRANI BANK LTD.</v>
      </c>
      <c r="E544" s="2" t="str">
        <f>IFERROR(__xludf.DUMMYFUNCTION("""COMPUTED_VALUE"""),"LAKSHMIPUR")</f>
        <v>LAKSHMIPUR</v>
      </c>
      <c r="F544" s="4">
        <f>IFERROR(__xludf.DUMMYFUNCTION("""COMPUTED_VALUE"""),73.0)</f>
        <v>73</v>
      </c>
      <c r="G544" s="5">
        <f>IFERROR(__xludf.DUMMYFUNCTION("""COMPUTED_VALUE"""),1.0510735E7)</f>
        <v>10510735</v>
      </c>
    </row>
    <row r="545">
      <c r="A545" s="3">
        <f>IFERROR(__xludf.DUMMYFUNCTION("""COMPUTED_VALUE"""),251.0)</f>
        <v>251</v>
      </c>
      <c r="B545" s="2" t="str">
        <f>IFERROR(__xludf.DUMMYFUNCTION("""COMPUTED_VALUE"""),"LAKSHMIPUR")</f>
        <v>LAKSHMIPUR</v>
      </c>
      <c r="C545" s="4">
        <f>IFERROR(__xludf.DUMMYFUNCTION("""COMPUTED_VALUE"""),10.0)</f>
        <v>10</v>
      </c>
      <c r="D545" s="2" t="str">
        <f>IFERROR(__xludf.DUMMYFUNCTION("""COMPUTED_VALUE"""),"AGRANI BANK LTD.")</f>
        <v>AGRANI BANK LTD.</v>
      </c>
      <c r="E545" s="2" t="str">
        <f>IFERROR(__xludf.DUMMYFUNCTION("""COMPUTED_VALUE"""),"MANDARI BAZAR")</f>
        <v>MANDARI BAZAR</v>
      </c>
      <c r="F545" s="4">
        <f>IFERROR(__xludf.DUMMYFUNCTION("""COMPUTED_VALUE"""),82.0)</f>
        <v>82</v>
      </c>
      <c r="G545" s="5">
        <f>IFERROR(__xludf.DUMMYFUNCTION("""COMPUTED_VALUE"""),1.0510827E7)</f>
        <v>10510827</v>
      </c>
    </row>
    <row r="546">
      <c r="A546" s="3">
        <f>IFERROR(__xludf.DUMMYFUNCTION("""COMPUTED_VALUE"""),251.0)</f>
        <v>251</v>
      </c>
      <c r="B546" s="2" t="str">
        <f>IFERROR(__xludf.DUMMYFUNCTION("""COMPUTED_VALUE"""),"LAKSHMIPUR")</f>
        <v>LAKSHMIPUR</v>
      </c>
      <c r="C546" s="4">
        <f>IFERROR(__xludf.DUMMYFUNCTION("""COMPUTED_VALUE"""),10.0)</f>
        <v>10</v>
      </c>
      <c r="D546" s="2" t="str">
        <f>IFERROR(__xludf.DUMMYFUNCTION("""COMPUTED_VALUE"""),"AGRANI BANK LTD.")</f>
        <v>AGRANI BANK LTD.</v>
      </c>
      <c r="E546" s="2" t="str">
        <f>IFERROR(__xludf.DUMMYFUNCTION("""COMPUTED_VALUE"""),"PANPARA BAZAR")</f>
        <v>PANPARA BAZAR</v>
      </c>
      <c r="F546" s="4">
        <f>IFERROR(__xludf.DUMMYFUNCTION("""COMPUTED_VALUE"""),91.0)</f>
        <v>91</v>
      </c>
      <c r="G546" s="5">
        <f>IFERROR(__xludf.DUMMYFUNCTION("""COMPUTED_VALUE"""),1.0510919E7)</f>
        <v>10510919</v>
      </c>
    </row>
    <row r="547">
      <c r="A547" s="3">
        <f>IFERROR(__xludf.DUMMYFUNCTION("""COMPUTED_VALUE"""),251.0)</f>
        <v>251</v>
      </c>
      <c r="B547" s="2" t="str">
        <f>IFERROR(__xludf.DUMMYFUNCTION("""COMPUTED_VALUE"""),"LAKSHMIPUR")</f>
        <v>LAKSHMIPUR</v>
      </c>
      <c r="C547" s="4">
        <f>IFERROR(__xludf.DUMMYFUNCTION("""COMPUTED_VALUE"""),10.0)</f>
        <v>10</v>
      </c>
      <c r="D547" s="2" t="str">
        <f>IFERROR(__xludf.DUMMYFUNCTION("""COMPUTED_VALUE"""),"AGRANI BANK LTD.")</f>
        <v>AGRANI BANK LTD.</v>
      </c>
      <c r="E547" s="2" t="str">
        <f>IFERROR(__xludf.DUMMYFUNCTION("""COMPUTED_VALUE"""),"RAIPUR")</f>
        <v>RAIPUR</v>
      </c>
      <c r="F547" s="4">
        <f>IFERROR(__xludf.DUMMYFUNCTION("""COMPUTED_VALUE"""),97.0)</f>
        <v>97</v>
      </c>
      <c r="G547" s="5">
        <f>IFERROR(__xludf.DUMMYFUNCTION("""COMPUTED_VALUE"""),1.0510977E7)</f>
        <v>10510977</v>
      </c>
    </row>
    <row r="548">
      <c r="A548" s="3">
        <f>IFERROR(__xludf.DUMMYFUNCTION("""COMPUTED_VALUE"""),251.0)</f>
        <v>251</v>
      </c>
      <c r="B548" s="2" t="str">
        <f>IFERROR(__xludf.DUMMYFUNCTION("""COMPUTED_VALUE"""),"LAKSHMIPUR")</f>
        <v>LAKSHMIPUR</v>
      </c>
      <c r="C548" s="4">
        <f>IFERROR(__xludf.DUMMYFUNCTION("""COMPUTED_VALUE"""),10.0)</f>
        <v>10</v>
      </c>
      <c r="D548" s="2" t="str">
        <f>IFERROR(__xludf.DUMMYFUNCTION("""COMPUTED_VALUE"""),"AGRANI BANK LTD.")</f>
        <v>AGRANI BANK LTD.</v>
      </c>
      <c r="E548" s="2" t="str">
        <f>IFERROR(__xludf.DUMMYFUNCTION("""COMPUTED_VALUE"""),"RAMGANJ")</f>
        <v>RAMGANJ</v>
      </c>
      <c r="F548" s="4">
        <f>IFERROR(__xludf.DUMMYFUNCTION("""COMPUTED_VALUE"""),103.0)</f>
        <v>103</v>
      </c>
      <c r="G548" s="5">
        <f>IFERROR(__xludf.DUMMYFUNCTION("""COMPUTED_VALUE"""),1.0511039E7)</f>
        <v>10511039</v>
      </c>
    </row>
    <row r="549">
      <c r="A549" s="3">
        <f>IFERROR(__xludf.DUMMYFUNCTION("""COMPUTED_VALUE"""),251.0)</f>
        <v>251</v>
      </c>
      <c r="B549" s="2" t="str">
        <f>IFERROR(__xludf.DUMMYFUNCTION("""COMPUTED_VALUE"""),"LAKSHMIPUR")</f>
        <v>LAKSHMIPUR</v>
      </c>
      <c r="C549" s="4">
        <f>IFERROR(__xludf.DUMMYFUNCTION("""COMPUTED_VALUE"""),10.0)</f>
        <v>10</v>
      </c>
      <c r="D549" s="2" t="str">
        <f>IFERROR(__xludf.DUMMYFUNCTION("""COMPUTED_VALUE"""),"AGRANI BANK LTD.")</f>
        <v>AGRANI BANK LTD.</v>
      </c>
      <c r="E549" s="2" t="str">
        <f>IFERROR(__xludf.DUMMYFUNCTION("""COMPUTED_VALUE"""),"RAMGATI")</f>
        <v>RAMGATI</v>
      </c>
      <c r="F549" s="4">
        <f>IFERROR(__xludf.DUMMYFUNCTION("""COMPUTED_VALUE"""),106.0)</f>
        <v>106</v>
      </c>
      <c r="G549" s="5">
        <f>IFERROR(__xludf.DUMMYFUNCTION("""COMPUTED_VALUE"""),1.0511068E7)</f>
        <v>10511068</v>
      </c>
    </row>
    <row r="550">
      <c r="A550" s="3">
        <f>IFERROR(__xludf.DUMMYFUNCTION("""COMPUTED_VALUE"""),752.0)</f>
        <v>752</v>
      </c>
      <c r="B550" s="2" t="str">
        <f>IFERROR(__xludf.DUMMYFUNCTION("""COMPUTED_VALUE"""),"LALMONIRHAT")</f>
        <v>LALMONIRHAT</v>
      </c>
      <c r="C550" s="4">
        <f>IFERROR(__xludf.DUMMYFUNCTION("""COMPUTED_VALUE"""),10.0)</f>
        <v>10</v>
      </c>
      <c r="D550" s="2" t="str">
        <f>IFERROR(__xludf.DUMMYFUNCTION("""COMPUTED_VALUE"""),"AGRANI BANK LTD.")</f>
        <v>AGRANI BANK LTD.</v>
      </c>
      <c r="E550" s="2" t="str">
        <f>IFERROR(__xludf.DUMMYFUNCTION("""COMPUTED_VALUE"""),"MISSION MOOR")</f>
        <v>MISSION MOOR</v>
      </c>
      <c r="F550" s="4">
        <f>IFERROR(__xludf.DUMMYFUNCTION("""COMPUTED_VALUE"""),5.0)</f>
        <v>5</v>
      </c>
      <c r="G550" s="5">
        <f>IFERROR(__xludf.DUMMYFUNCTION("""COMPUTED_VALUE"""),1.0520059E7)</f>
        <v>10520059</v>
      </c>
    </row>
    <row r="551">
      <c r="A551" s="3">
        <f>IFERROR(__xludf.DUMMYFUNCTION("""COMPUTED_VALUE"""),752.0)</f>
        <v>752</v>
      </c>
      <c r="B551" s="2" t="str">
        <f>IFERROR(__xludf.DUMMYFUNCTION("""COMPUTED_VALUE"""),"LALMONIRHAT")</f>
        <v>LALMONIRHAT</v>
      </c>
      <c r="C551" s="4">
        <f>IFERROR(__xludf.DUMMYFUNCTION("""COMPUTED_VALUE"""),10.0)</f>
        <v>10</v>
      </c>
      <c r="D551" s="2" t="str">
        <f>IFERROR(__xludf.DUMMYFUNCTION("""COMPUTED_VALUE"""),"AGRANI BANK LTD.")</f>
        <v>AGRANI BANK LTD.</v>
      </c>
      <c r="E551" s="2" t="str">
        <f>IFERROR(__xludf.DUMMYFUNCTION("""COMPUTED_VALUE"""),"LALMONIRHAT")</f>
        <v>LALMONIRHAT</v>
      </c>
      <c r="F551" s="4">
        <f>IFERROR(__xludf.DUMMYFUNCTION("""COMPUTED_VALUE"""),46.0)</f>
        <v>46</v>
      </c>
      <c r="G551" s="5">
        <f>IFERROR(__xludf.DUMMYFUNCTION("""COMPUTED_VALUE"""),1.0520462E7)</f>
        <v>10520462</v>
      </c>
    </row>
    <row r="552">
      <c r="A552" s="3">
        <f>IFERROR(__xludf.DUMMYFUNCTION("""COMPUTED_VALUE"""),354.0)</f>
        <v>354</v>
      </c>
      <c r="B552" s="2" t="str">
        <f>IFERROR(__xludf.DUMMYFUNCTION("""COMPUTED_VALUE"""),"MADARIPUR")</f>
        <v>MADARIPUR</v>
      </c>
      <c r="C552" s="4">
        <f>IFERROR(__xludf.DUMMYFUNCTION("""COMPUTED_VALUE"""),10.0)</f>
        <v>10</v>
      </c>
      <c r="D552" s="2" t="str">
        <f>IFERROR(__xludf.DUMMYFUNCTION("""COMPUTED_VALUE"""),"AGRANI BANK LTD.")</f>
        <v>AGRANI BANK LTD.</v>
      </c>
      <c r="E552" s="2" t="str">
        <f>IFERROR(__xludf.DUMMYFUNCTION("""COMPUTED_VALUE"""),"BARHAMGANJ")</f>
        <v>BARHAMGANJ</v>
      </c>
      <c r="F552" s="4">
        <f>IFERROR(__xludf.DUMMYFUNCTION("""COMPUTED_VALUE"""),7.0)</f>
        <v>7</v>
      </c>
      <c r="G552" s="5">
        <f>IFERROR(__xludf.DUMMYFUNCTION("""COMPUTED_VALUE"""),1.0540071E7)</f>
        <v>10540071</v>
      </c>
    </row>
    <row r="553">
      <c r="A553" s="3">
        <f>IFERROR(__xludf.DUMMYFUNCTION("""COMPUTED_VALUE"""),354.0)</f>
        <v>354</v>
      </c>
      <c r="B553" s="2" t="str">
        <f>IFERROR(__xludf.DUMMYFUNCTION("""COMPUTED_VALUE"""),"MADARIPUR")</f>
        <v>MADARIPUR</v>
      </c>
      <c r="C553" s="4">
        <f>IFERROR(__xludf.DUMMYFUNCTION("""COMPUTED_VALUE"""),10.0)</f>
        <v>10</v>
      </c>
      <c r="D553" s="2" t="str">
        <f>IFERROR(__xludf.DUMMYFUNCTION("""COMPUTED_VALUE"""),"AGRANI BANK LTD.")</f>
        <v>AGRANI BANK LTD.</v>
      </c>
      <c r="E553" s="2" t="str">
        <f>IFERROR(__xludf.DUMMYFUNCTION("""COMPUTED_VALUE"""),"DIKRIR CHOR HAT")</f>
        <v>DIKRIR CHOR HAT</v>
      </c>
      <c r="F553" s="4">
        <f>IFERROR(__xludf.DUMMYFUNCTION("""COMPUTED_VALUE"""),8.0)</f>
        <v>8</v>
      </c>
      <c r="G553" s="5">
        <f>IFERROR(__xludf.DUMMYFUNCTION("""COMPUTED_VALUE"""),1.0540084E7)</f>
        <v>10540084</v>
      </c>
    </row>
    <row r="554">
      <c r="A554" s="3">
        <f>IFERROR(__xludf.DUMMYFUNCTION("""COMPUTED_VALUE"""),354.0)</f>
        <v>354</v>
      </c>
      <c r="B554" s="2" t="str">
        <f>IFERROR(__xludf.DUMMYFUNCTION("""COMPUTED_VALUE"""),"MADARIPUR")</f>
        <v>MADARIPUR</v>
      </c>
      <c r="C554" s="4">
        <f>IFERROR(__xludf.DUMMYFUNCTION("""COMPUTED_VALUE"""),10.0)</f>
        <v>10</v>
      </c>
      <c r="D554" s="2" t="str">
        <f>IFERROR(__xludf.DUMMYFUNCTION("""COMPUTED_VALUE"""),"AGRANI BANK LTD.")</f>
        <v>AGRANI BANK LTD.</v>
      </c>
      <c r="E554" s="2" t="str">
        <f>IFERROR(__xludf.DUMMYFUNCTION("""COMPUTED_VALUE"""),"KALKINI")</f>
        <v>KALKINI</v>
      </c>
      <c r="F554" s="4">
        <f>IFERROR(__xludf.DUMMYFUNCTION("""COMPUTED_VALUE"""),28.0)</f>
        <v>28</v>
      </c>
      <c r="G554" s="5">
        <f>IFERROR(__xludf.DUMMYFUNCTION("""COMPUTED_VALUE"""),1.0540284E7)</f>
        <v>10540284</v>
      </c>
    </row>
    <row r="555">
      <c r="A555" s="3">
        <f>IFERROR(__xludf.DUMMYFUNCTION("""COMPUTED_VALUE"""),354.0)</f>
        <v>354</v>
      </c>
      <c r="B555" s="2" t="str">
        <f>IFERROR(__xludf.DUMMYFUNCTION("""COMPUTED_VALUE"""),"MADARIPUR")</f>
        <v>MADARIPUR</v>
      </c>
      <c r="C555" s="4">
        <f>IFERROR(__xludf.DUMMYFUNCTION("""COMPUTED_VALUE"""),10.0)</f>
        <v>10</v>
      </c>
      <c r="D555" s="2" t="str">
        <f>IFERROR(__xludf.DUMMYFUNCTION("""COMPUTED_VALUE"""),"AGRANI BANK LTD.")</f>
        <v>AGRANI BANK LTD.</v>
      </c>
      <c r="E555" s="2" t="str">
        <f>IFERROR(__xludf.DUMMYFUNCTION("""COMPUTED_VALUE"""),"MADARIPUR")</f>
        <v>MADARIPUR</v>
      </c>
      <c r="F555" s="4">
        <f>IFERROR(__xludf.DUMMYFUNCTION("""COMPUTED_VALUE"""),40.0)</f>
        <v>40</v>
      </c>
      <c r="G555" s="5">
        <f>IFERROR(__xludf.DUMMYFUNCTION("""COMPUTED_VALUE"""),1.05404E7)</f>
        <v>10540400</v>
      </c>
    </row>
    <row r="556">
      <c r="A556" s="3">
        <f>IFERROR(__xludf.DUMMYFUNCTION("""COMPUTED_VALUE"""),354.0)</f>
        <v>354</v>
      </c>
      <c r="B556" s="2" t="str">
        <f>IFERROR(__xludf.DUMMYFUNCTION("""COMPUTED_VALUE"""),"MADARIPUR")</f>
        <v>MADARIPUR</v>
      </c>
      <c r="C556" s="4">
        <f>IFERROR(__xludf.DUMMYFUNCTION("""COMPUTED_VALUE"""),10.0)</f>
        <v>10</v>
      </c>
      <c r="D556" s="2" t="str">
        <f>IFERROR(__xludf.DUMMYFUNCTION("""COMPUTED_VALUE"""),"AGRANI BANK LTD.")</f>
        <v>AGRANI BANK LTD.</v>
      </c>
      <c r="E556" s="2" t="str">
        <f>IFERROR(__xludf.DUMMYFUNCTION("""COMPUTED_VALUE"""),"NEW MARKET")</f>
        <v>NEW MARKET</v>
      </c>
      <c r="F556" s="4">
        <f>IFERROR(__xludf.DUMMYFUNCTION("""COMPUTED_VALUE"""),58.0)</f>
        <v>58</v>
      </c>
      <c r="G556" s="5">
        <f>IFERROR(__xludf.DUMMYFUNCTION("""COMPUTED_VALUE"""),1.0540589E7)</f>
        <v>10540589</v>
      </c>
    </row>
    <row r="557">
      <c r="A557" s="3">
        <f>IFERROR(__xludf.DUMMYFUNCTION("""COMPUTED_VALUE"""),354.0)</f>
        <v>354</v>
      </c>
      <c r="B557" s="2" t="str">
        <f>IFERROR(__xludf.DUMMYFUNCTION("""COMPUTED_VALUE"""),"MADARIPUR")</f>
        <v>MADARIPUR</v>
      </c>
      <c r="C557" s="4">
        <f>IFERROR(__xludf.DUMMYFUNCTION("""COMPUTED_VALUE"""),10.0)</f>
        <v>10</v>
      </c>
      <c r="D557" s="2" t="str">
        <f>IFERROR(__xludf.DUMMYFUNCTION("""COMPUTED_VALUE"""),"AGRANI BANK LTD.")</f>
        <v>AGRANI BANK LTD.</v>
      </c>
      <c r="E557" s="2" t="str">
        <f>IFERROR(__xludf.DUMMYFUNCTION("""COMPUTED_VALUE"""),"TAKERHAT")</f>
        <v>TAKERHAT</v>
      </c>
      <c r="F557" s="4">
        <f>IFERROR(__xludf.DUMMYFUNCTION("""COMPUTED_VALUE"""),76.0)</f>
        <v>76</v>
      </c>
      <c r="G557" s="5">
        <f>IFERROR(__xludf.DUMMYFUNCTION("""COMPUTED_VALUE"""),1.0540763E7)</f>
        <v>10540763</v>
      </c>
    </row>
    <row r="558">
      <c r="A558" s="3">
        <f>IFERROR(__xludf.DUMMYFUNCTION("""COMPUTED_VALUE"""),455.0)</f>
        <v>455</v>
      </c>
      <c r="B558" s="2" t="str">
        <f>IFERROR(__xludf.DUMMYFUNCTION("""COMPUTED_VALUE"""),"MAGURA")</f>
        <v>MAGURA</v>
      </c>
      <c r="C558" s="4">
        <f>IFERROR(__xludf.DUMMYFUNCTION("""COMPUTED_VALUE"""),10.0)</f>
        <v>10</v>
      </c>
      <c r="D558" s="2" t="str">
        <f>IFERROR(__xludf.DUMMYFUNCTION("""COMPUTED_VALUE"""),"AGRANI BANK LTD.")</f>
        <v>AGRANI BANK LTD.</v>
      </c>
      <c r="E558" s="2" t="str">
        <f>IFERROR(__xludf.DUMMYFUNCTION("""COMPUTED_VALUE"""),"ARPARA")</f>
        <v>ARPARA</v>
      </c>
      <c r="F558" s="4">
        <f>IFERROR(__xludf.DUMMYFUNCTION("""COMPUTED_VALUE"""),13.0)</f>
        <v>13</v>
      </c>
      <c r="G558" s="5">
        <f>IFERROR(__xludf.DUMMYFUNCTION("""COMPUTED_VALUE"""),1.0550137E7)</f>
        <v>10550137</v>
      </c>
    </row>
    <row r="559">
      <c r="A559" s="3">
        <f>IFERROR(__xludf.DUMMYFUNCTION("""COMPUTED_VALUE"""),455.0)</f>
        <v>455</v>
      </c>
      <c r="B559" s="2" t="str">
        <f>IFERROR(__xludf.DUMMYFUNCTION("""COMPUTED_VALUE"""),"MAGURA")</f>
        <v>MAGURA</v>
      </c>
      <c r="C559" s="4">
        <f>IFERROR(__xludf.DUMMYFUNCTION("""COMPUTED_VALUE"""),10.0)</f>
        <v>10</v>
      </c>
      <c r="D559" s="2" t="str">
        <f>IFERROR(__xludf.DUMMYFUNCTION("""COMPUTED_VALUE"""),"AGRANI BANK LTD.")</f>
        <v>AGRANI BANK LTD.</v>
      </c>
      <c r="E559" s="2" t="str">
        <f>IFERROR(__xludf.DUMMYFUNCTION("""COMPUTED_VALUE"""),"BEROIL PALITA")</f>
        <v>BEROIL PALITA</v>
      </c>
      <c r="F559" s="4">
        <f>IFERROR(__xludf.DUMMYFUNCTION("""COMPUTED_VALUE"""),16.0)</f>
        <v>16</v>
      </c>
      <c r="G559" s="5">
        <f>IFERROR(__xludf.DUMMYFUNCTION("""COMPUTED_VALUE"""),1.0550166E7)</f>
        <v>10550166</v>
      </c>
    </row>
    <row r="560">
      <c r="A560" s="3">
        <f>IFERROR(__xludf.DUMMYFUNCTION("""COMPUTED_VALUE"""),455.0)</f>
        <v>455</v>
      </c>
      <c r="B560" s="2" t="str">
        <f>IFERROR(__xludf.DUMMYFUNCTION("""COMPUTED_VALUE"""),"MAGURA")</f>
        <v>MAGURA</v>
      </c>
      <c r="C560" s="4">
        <f>IFERROR(__xludf.DUMMYFUNCTION("""COMPUTED_VALUE"""),10.0)</f>
        <v>10</v>
      </c>
      <c r="D560" s="2" t="str">
        <f>IFERROR(__xludf.DUMMYFUNCTION("""COMPUTED_VALUE"""),"AGRANI BANK LTD.")</f>
        <v>AGRANI BANK LTD.</v>
      </c>
      <c r="E560" s="2" t="str">
        <f>IFERROR(__xludf.DUMMYFUNCTION("""COMPUTED_VALUE"""),"HAJIPUR")</f>
        <v>HAJIPUR</v>
      </c>
      <c r="F560" s="4">
        <f>IFERROR(__xludf.DUMMYFUNCTION("""COMPUTED_VALUE"""),37.0)</f>
        <v>37</v>
      </c>
      <c r="G560" s="5">
        <f>IFERROR(__xludf.DUMMYFUNCTION("""COMPUTED_VALUE"""),1.0550379E7)</f>
        <v>10550379</v>
      </c>
    </row>
    <row r="561">
      <c r="A561" s="3">
        <f>IFERROR(__xludf.DUMMYFUNCTION("""COMPUTED_VALUE"""),455.0)</f>
        <v>455</v>
      </c>
      <c r="B561" s="2" t="str">
        <f>IFERROR(__xludf.DUMMYFUNCTION("""COMPUTED_VALUE"""),"MAGURA")</f>
        <v>MAGURA</v>
      </c>
      <c r="C561" s="4">
        <f>IFERROR(__xludf.DUMMYFUNCTION("""COMPUTED_VALUE"""),10.0)</f>
        <v>10</v>
      </c>
      <c r="D561" s="2" t="str">
        <f>IFERROR(__xludf.DUMMYFUNCTION("""COMPUTED_VALUE"""),"AGRANI BANK LTD.")</f>
        <v>AGRANI BANK LTD.</v>
      </c>
      <c r="E561" s="2" t="str">
        <f>IFERROR(__xludf.DUMMYFUNCTION("""COMPUTED_VALUE"""),"ICHHAKHADA")</f>
        <v>ICHHAKHADA</v>
      </c>
      <c r="F561" s="4">
        <f>IFERROR(__xludf.DUMMYFUNCTION("""COMPUTED_VALUE"""),40.0)</f>
        <v>40</v>
      </c>
      <c r="G561" s="5">
        <f>IFERROR(__xludf.DUMMYFUNCTION("""COMPUTED_VALUE"""),1.0550403E7)</f>
        <v>10550403</v>
      </c>
    </row>
    <row r="562">
      <c r="A562" s="3">
        <f>IFERROR(__xludf.DUMMYFUNCTION("""COMPUTED_VALUE"""),455.0)</f>
        <v>455</v>
      </c>
      <c r="B562" s="2" t="str">
        <f>IFERROR(__xludf.DUMMYFUNCTION("""COMPUTED_VALUE"""),"MAGURA")</f>
        <v>MAGURA</v>
      </c>
      <c r="C562" s="4">
        <f>IFERROR(__xludf.DUMMYFUNCTION("""COMPUTED_VALUE"""),10.0)</f>
        <v>10</v>
      </c>
      <c r="D562" s="2" t="str">
        <f>IFERROR(__xludf.DUMMYFUNCTION("""COMPUTED_VALUE"""),"AGRANI BANK LTD.")</f>
        <v>AGRANI BANK LTD.</v>
      </c>
      <c r="E562" s="2" t="str">
        <f>IFERROR(__xludf.DUMMYFUNCTION("""COMPUTED_VALUE"""),"MAGURA")</f>
        <v>MAGURA</v>
      </c>
      <c r="F562" s="4">
        <f>IFERROR(__xludf.DUMMYFUNCTION("""COMPUTED_VALUE"""),55.0)</f>
        <v>55</v>
      </c>
      <c r="G562" s="5">
        <f>IFERROR(__xludf.DUMMYFUNCTION("""COMPUTED_VALUE"""),1.0550553E7)</f>
        <v>10550553</v>
      </c>
    </row>
    <row r="563">
      <c r="A563" s="3">
        <f>IFERROR(__xludf.DUMMYFUNCTION("""COMPUTED_VALUE"""),455.0)</f>
        <v>455</v>
      </c>
      <c r="B563" s="2" t="str">
        <f>IFERROR(__xludf.DUMMYFUNCTION("""COMPUTED_VALUE"""),"MAGURA")</f>
        <v>MAGURA</v>
      </c>
      <c r="C563" s="4">
        <f>IFERROR(__xludf.DUMMYFUNCTION("""COMPUTED_VALUE"""),10.0)</f>
        <v>10</v>
      </c>
      <c r="D563" s="2" t="str">
        <f>IFERROR(__xludf.DUMMYFUNCTION("""COMPUTED_VALUE"""),"AGRANI BANK LTD.")</f>
        <v>AGRANI BANK LTD.</v>
      </c>
      <c r="E563" s="2" t="str">
        <f>IFERROR(__xludf.DUMMYFUNCTION("""COMPUTED_VALUE"""),"MOHAMMADPUR")</f>
        <v>MOHAMMADPUR</v>
      </c>
      <c r="F563" s="4">
        <f>IFERROR(__xludf.DUMMYFUNCTION("""COMPUTED_VALUE"""),61.0)</f>
        <v>61</v>
      </c>
      <c r="G563" s="5">
        <f>IFERROR(__xludf.DUMMYFUNCTION("""COMPUTED_VALUE"""),1.0550616E7)</f>
        <v>10550616</v>
      </c>
    </row>
    <row r="564">
      <c r="A564" s="3">
        <f>IFERROR(__xludf.DUMMYFUNCTION("""COMPUTED_VALUE"""),455.0)</f>
        <v>455</v>
      </c>
      <c r="B564" s="2" t="str">
        <f>IFERROR(__xludf.DUMMYFUNCTION("""COMPUTED_VALUE"""),"MAGURA")</f>
        <v>MAGURA</v>
      </c>
      <c r="C564" s="4">
        <f>IFERROR(__xludf.DUMMYFUNCTION("""COMPUTED_VALUE"""),10.0)</f>
        <v>10</v>
      </c>
      <c r="D564" s="2" t="str">
        <f>IFERROR(__xludf.DUMMYFUNCTION("""COMPUTED_VALUE"""),"AGRANI BANK LTD.")</f>
        <v>AGRANI BANK LTD.</v>
      </c>
      <c r="E564" s="2" t="str">
        <f>IFERROR(__xludf.DUMMYFUNCTION("""COMPUTED_VALUE"""),"SREEPUR")</f>
        <v>SREEPUR</v>
      </c>
      <c r="F564" s="4">
        <f>IFERROR(__xludf.DUMMYFUNCTION("""COMPUTED_VALUE"""),97.0)</f>
        <v>97</v>
      </c>
      <c r="G564" s="5">
        <f>IFERROR(__xludf.DUMMYFUNCTION("""COMPUTED_VALUE"""),1.0550979E7)</f>
        <v>10550979</v>
      </c>
    </row>
    <row r="565">
      <c r="A565" s="3">
        <f>IFERROR(__xludf.DUMMYFUNCTION("""COMPUTED_VALUE"""),455.0)</f>
        <v>455</v>
      </c>
      <c r="B565" s="2" t="str">
        <f>IFERROR(__xludf.DUMMYFUNCTION("""COMPUTED_VALUE"""),"MAGURA")</f>
        <v>MAGURA</v>
      </c>
      <c r="C565" s="4">
        <f>IFERROR(__xludf.DUMMYFUNCTION("""COMPUTED_VALUE"""),10.0)</f>
        <v>10</v>
      </c>
      <c r="D565" s="2" t="str">
        <f>IFERROR(__xludf.DUMMYFUNCTION("""COMPUTED_VALUE"""),"AGRANI BANK LTD.")</f>
        <v>AGRANI BANK LTD.</v>
      </c>
      <c r="E565" s="2" t="str">
        <f>IFERROR(__xludf.DUMMYFUNCTION("""COMPUTED_VALUE"""),"VAINAR MOAR")</f>
        <v>VAINAR MOAR</v>
      </c>
      <c r="F565" s="4">
        <f>IFERROR(__xludf.DUMMYFUNCTION("""COMPUTED_VALUE"""),100.0)</f>
        <v>100</v>
      </c>
      <c r="G565" s="5">
        <f>IFERROR(__xludf.DUMMYFUNCTION("""COMPUTED_VALUE"""),1.0551002E7)</f>
        <v>10551002</v>
      </c>
    </row>
    <row r="566">
      <c r="A566" s="3">
        <f>IFERROR(__xludf.DUMMYFUNCTION("""COMPUTED_VALUE"""),156.0)</f>
        <v>156</v>
      </c>
      <c r="B566" s="2" t="str">
        <f>IFERROR(__xludf.DUMMYFUNCTION("""COMPUTED_VALUE"""),"MANIKGANJ")</f>
        <v>MANIKGANJ</v>
      </c>
      <c r="C566" s="4">
        <f>IFERROR(__xludf.DUMMYFUNCTION("""COMPUTED_VALUE"""),10.0)</f>
        <v>10</v>
      </c>
      <c r="D566" s="2" t="str">
        <f>IFERROR(__xludf.DUMMYFUNCTION("""COMPUTED_VALUE"""),"AGRANI BANK LTD.")</f>
        <v>AGRANI BANK LTD.</v>
      </c>
      <c r="E566" s="2" t="str">
        <f>IFERROR(__xludf.DUMMYFUNCTION("""COMPUTED_VALUE"""),"ARICHAGHAT")</f>
        <v>ARICHAGHAT</v>
      </c>
      <c r="F566" s="4">
        <f>IFERROR(__xludf.DUMMYFUNCTION("""COMPUTED_VALUE"""),4.0)</f>
        <v>4</v>
      </c>
      <c r="G566" s="5">
        <f>IFERROR(__xludf.DUMMYFUNCTION("""COMPUTED_VALUE"""),1.0560048E7)</f>
        <v>10560048</v>
      </c>
    </row>
    <row r="567">
      <c r="A567" s="3">
        <f>IFERROR(__xludf.DUMMYFUNCTION("""COMPUTED_VALUE"""),156.0)</f>
        <v>156</v>
      </c>
      <c r="B567" s="2" t="str">
        <f>IFERROR(__xludf.DUMMYFUNCTION("""COMPUTED_VALUE"""),"MANIKGANJ")</f>
        <v>MANIKGANJ</v>
      </c>
      <c r="C567" s="4">
        <f>IFERROR(__xludf.DUMMYFUNCTION("""COMPUTED_VALUE"""),10.0)</f>
        <v>10</v>
      </c>
      <c r="D567" s="2" t="str">
        <f>IFERROR(__xludf.DUMMYFUNCTION("""COMPUTED_VALUE"""),"AGRANI BANK LTD.")</f>
        <v>AGRANI BANK LTD.</v>
      </c>
      <c r="E567" s="2" t="str">
        <f>IFERROR(__xludf.DUMMYFUNCTION("""COMPUTED_VALUE"""),"BANGLADESH HAT")</f>
        <v>BANGLADESH HAT</v>
      </c>
      <c r="F567" s="4">
        <f>IFERROR(__xludf.DUMMYFUNCTION("""COMPUTED_VALUE"""),6.0)</f>
        <v>6</v>
      </c>
      <c r="G567" s="5">
        <f>IFERROR(__xludf.DUMMYFUNCTION("""COMPUTED_VALUE"""),1.0560064E7)</f>
        <v>10560064</v>
      </c>
    </row>
    <row r="568">
      <c r="A568" s="3">
        <f>IFERROR(__xludf.DUMMYFUNCTION("""COMPUTED_VALUE"""),156.0)</f>
        <v>156</v>
      </c>
      <c r="B568" s="2" t="str">
        <f>IFERROR(__xludf.DUMMYFUNCTION("""COMPUTED_VALUE"""),"MANIKGANJ")</f>
        <v>MANIKGANJ</v>
      </c>
      <c r="C568" s="4">
        <f>IFERROR(__xludf.DUMMYFUNCTION("""COMPUTED_VALUE"""),10.0)</f>
        <v>10</v>
      </c>
      <c r="D568" s="2" t="str">
        <f>IFERROR(__xludf.DUMMYFUNCTION("""COMPUTED_VALUE"""),"AGRANI BANK LTD.")</f>
        <v>AGRANI BANK LTD.</v>
      </c>
      <c r="E568" s="2" t="str">
        <f>IFERROR(__xludf.DUMMYFUNCTION("""COMPUTED_VALUE"""),"BOYRA")</f>
        <v>BOYRA</v>
      </c>
      <c r="F568" s="4">
        <f>IFERROR(__xludf.DUMMYFUNCTION("""COMPUTED_VALUE"""),16.0)</f>
        <v>16</v>
      </c>
      <c r="G568" s="5">
        <f>IFERROR(__xludf.DUMMYFUNCTION("""COMPUTED_VALUE"""),1.0560169E7)</f>
        <v>10560169</v>
      </c>
    </row>
    <row r="569">
      <c r="A569" s="3">
        <f>IFERROR(__xludf.DUMMYFUNCTION("""COMPUTED_VALUE"""),156.0)</f>
        <v>156</v>
      </c>
      <c r="B569" s="2" t="str">
        <f>IFERROR(__xludf.DUMMYFUNCTION("""COMPUTED_VALUE"""),"MANIKGANJ")</f>
        <v>MANIKGANJ</v>
      </c>
      <c r="C569" s="4">
        <f>IFERROR(__xludf.DUMMYFUNCTION("""COMPUTED_VALUE"""),10.0)</f>
        <v>10</v>
      </c>
      <c r="D569" s="2" t="str">
        <f>IFERROR(__xludf.DUMMYFUNCTION("""COMPUTED_VALUE"""),"AGRANI BANK LTD.")</f>
        <v>AGRANI BANK LTD.</v>
      </c>
      <c r="E569" s="2" t="str">
        <f>IFERROR(__xludf.DUMMYFUNCTION("""COMPUTED_VALUE"""),"CHARIGRAM")</f>
        <v>CHARIGRAM</v>
      </c>
      <c r="F569" s="4">
        <f>IFERROR(__xludf.DUMMYFUNCTION("""COMPUTED_VALUE"""),22.0)</f>
        <v>22</v>
      </c>
      <c r="G569" s="5">
        <f>IFERROR(__xludf.DUMMYFUNCTION("""COMPUTED_VALUE"""),1.0560222E7)</f>
        <v>10560222</v>
      </c>
    </row>
    <row r="570">
      <c r="A570" s="3">
        <f>IFERROR(__xludf.DUMMYFUNCTION("""COMPUTED_VALUE"""),156.0)</f>
        <v>156</v>
      </c>
      <c r="B570" s="2" t="str">
        <f>IFERROR(__xludf.DUMMYFUNCTION("""COMPUTED_VALUE"""),"MANIKGANJ")</f>
        <v>MANIKGANJ</v>
      </c>
      <c r="C570" s="4">
        <f>IFERROR(__xludf.DUMMYFUNCTION("""COMPUTED_VALUE"""),10.0)</f>
        <v>10</v>
      </c>
      <c r="D570" s="2" t="str">
        <f>IFERROR(__xludf.DUMMYFUNCTION("""COMPUTED_VALUE"""),"AGRANI BANK LTD.")</f>
        <v>AGRANI BANK LTD.</v>
      </c>
      <c r="E570" s="2" t="str">
        <f>IFERROR(__xludf.DUMMYFUNCTION("""COMPUTED_VALUE"""),"DHALLAH")</f>
        <v>DHALLAH</v>
      </c>
      <c r="F570" s="4">
        <f>IFERROR(__xludf.DUMMYFUNCTION("""COMPUTED_VALUE"""),31.0)</f>
        <v>31</v>
      </c>
      <c r="G570" s="5">
        <f>IFERROR(__xludf.DUMMYFUNCTION("""COMPUTED_VALUE"""),1.0560314E7)</f>
        <v>10560314</v>
      </c>
    </row>
    <row r="571">
      <c r="A571" s="3">
        <f>IFERROR(__xludf.DUMMYFUNCTION("""COMPUTED_VALUE"""),156.0)</f>
        <v>156</v>
      </c>
      <c r="B571" s="2" t="str">
        <f>IFERROR(__xludf.DUMMYFUNCTION("""COMPUTED_VALUE"""),"MANIKGANJ")</f>
        <v>MANIKGANJ</v>
      </c>
      <c r="C571" s="4">
        <f>IFERROR(__xludf.DUMMYFUNCTION("""COMPUTED_VALUE"""),10.0)</f>
        <v>10</v>
      </c>
      <c r="D571" s="2" t="str">
        <f>IFERROR(__xludf.DUMMYFUNCTION("""COMPUTED_VALUE"""),"AGRANI BANK LTD.")</f>
        <v>AGRANI BANK LTD.</v>
      </c>
      <c r="E571" s="2" t="str">
        <f>IFERROR(__xludf.DUMMYFUNCTION("""COMPUTED_VALUE"""),"JANNA")</f>
        <v>JANNA</v>
      </c>
      <c r="F571" s="4">
        <f>IFERROR(__xludf.DUMMYFUNCTION("""COMPUTED_VALUE"""),49.0)</f>
        <v>49</v>
      </c>
      <c r="G571" s="5">
        <f>IFERROR(__xludf.DUMMYFUNCTION("""COMPUTED_VALUE"""),1.0560493E7)</f>
        <v>10560493</v>
      </c>
    </row>
    <row r="572">
      <c r="A572" s="3">
        <f>IFERROR(__xludf.DUMMYFUNCTION("""COMPUTED_VALUE"""),156.0)</f>
        <v>156</v>
      </c>
      <c r="B572" s="2" t="str">
        <f>IFERROR(__xludf.DUMMYFUNCTION("""COMPUTED_VALUE"""),"MANIKGANJ")</f>
        <v>MANIKGANJ</v>
      </c>
      <c r="C572" s="4">
        <f>IFERROR(__xludf.DUMMYFUNCTION("""COMPUTED_VALUE"""),10.0)</f>
        <v>10</v>
      </c>
      <c r="D572" s="2" t="str">
        <f>IFERROR(__xludf.DUMMYFUNCTION("""COMPUTED_VALUE"""),"AGRANI BANK LTD.")</f>
        <v>AGRANI BANK LTD.</v>
      </c>
      <c r="E572" s="2" t="str">
        <f>IFERROR(__xludf.DUMMYFUNCTION("""COMPUTED_VALUE"""),"JHITKA BAZAR")</f>
        <v>JHITKA BAZAR</v>
      </c>
      <c r="F572" s="4">
        <f>IFERROR(__xludf.DUMMYFUNCTION("""COMPUTED_VALUE"""),55.0)</f>
        <v>55</v>
      </c>
      <c r="G572" s="5">
        <f>IFERROR(__xludf.DUMMYFUNCTION("""COMPUTED_VALUE"""),1.0560556E7)</f>
        <v>10560556</v>
      </c>
    </row>
    <row r="573">
      <c r="A573" s="3">
        <f>IFERROR(__xludf.DUMMYFUNCTION("""COMPUTED_VALUE"""),156.0)</f>
        <v>156</v>
      </c>
      <c r="B573" s="2" t="str">
        <f>IFERROR(__xludf.DUMMYFUNCTION("""COMPUTED_VALUE"""),"MANIKGANJ")</f>
        <v>MANIKGANJ</v>
      </c>
      <c r="C573" s="4">
        <f>IFERROR(__xludf.DUMMYFUNCTION("""COMPUTED_VALUE"""),10.0)</f>
        <v>10</v>
      </c>
      <c r="D573" s="2" t="str">
        <f>IFERROR(__xludf.DUMMYFUNCTION("""COMPUTED_VALUE"""),"AGRANI BANK LTD.")</f>
        <v>AGRANI BANK LTD.</v>
      </c>
      <c r="E573" s="2" t="str">
        <f>IFERROR(__xludf.DUMMYFUNCTION("""COMPUTED_VALUE"""),"KRISHNAPUR")</f>
        <v>KRISHNAPUR</v>
      </c>
      <c r="F573" s="4">
        <f>IFERROR(__xludf.DUMMYFUNCTION("""COMPUTED_VALUE"""),58.0)</f>
        <v>58</v>
      </c>
      <c r="G573" s="5">
        <f>IFERROR(__xludf.DUMMYFUNCTION("""COMPUTED_VALUE"""),1.0560585E7)</f>
        <v>10560585</v>
      </c>
    </row>
    <row r="574">
      <c r="A574" s="3">
        <f>IFERROR(__xludf.DUMMYFUNCTION("""COMPUTED_VALUE"""),156.0)</f>
        <v>156</v>
      </c>
      <c r="B574" s="2" t="str">
        <f>IFERROR(__xludf.DUMMYFUNCTION("""COMPUTED_VALUE"""),"MANIKGANJ")</f>
        <v>MANIKGANJ</v>
      </c>
      <c r="C574" s="4">
        <f>IFERROR(__xludf.DUMMYFUNCTION("""COMPUTED_VALUE"""),10.0)</f>
        <v>10</v>
      </c>
      <c r="D574" s="2" t="str">
        <f>IFERROR(__xludf.DUMMYFUNCTION("""COMPUTED_VALUE"""),"AGRANI BANK LTD.")</f>
        <v>AGRANI BANK LTD.</v>
      </c>
      <c r="E574" s="2" t="str">
        <f>IFERROR(__xludf.DUMMYFUNCTION("""COMPUTED_VALUE"""),"MANIKGANJ")</f>
        <v>MANIKGANJ</v>
      </c>
      <c r="F574" s="4">
        <f>IFERROR(__xludf.DUMMYFUNCTION("""COMPUTED_VALUE"""),61.0)</f>
        <v>61</v>
      </c>
      <c r="G574" s="5">
        <f>IFERROR(__xludf.DUMMYFUNCTION("""COMPUTED_VALUE"""),1.0560619E7)</f>
        <v>10560619</v>
      </c>
    </row>
    <row r="575">
      <c r="A575" s="3">
        <f>IFERROR(__xludf.DUMMYFUNCTION("""COMPUTED_VALUE"""),156.0)</f>
        <v>156</v>
      </c>
      <c r="B575" s="2" t="str">
        <f>IFERROR(__xludf.DUMMYFUNCTION("""COMPUTED_VALUE"""),"MANIKGANJ")</f>
        <v>MANIKGANJ</v>
      </c>
      <c r="C575" s="4">
        <f>IFERROR(__xludf.DUMMYFUNCTION("""COMPUTED_VALUE"""),10.0)</f>
        <v>10</v>
      </c>
      <c r="D575" s="2" t="str">
        <f>IFERROR(__xludf.DUMMYFUNCTION("""COMPUTED_VALUE"""),"AGRANI BANK LTD.")</f>
        <v>AGRANI BANK LTD.</v>
      </c>
      <c r="E575" s="2" t="str">
        <f>IFERROR(__xludf.DUMMYFUNCTION("""COMPUTED_VALUE"""),"MANIKNAGAR")</f>
        <v>MANIKNAGAR</v>
      </c>
      <c r="F575" s="4">
        <f>IFERROR(__xludf.DUMMYFUNCTION("""COMPUTED_VALUE"""),67.0)</f>
        <v>67</v>
      </c>
      <c r="G575" s="5">
        <f>IFERROR(__xludf.DUMMYFUNCTION("""COMPUTED_VALUE"""),1.0560677E7)</f>
        <v>10560677</v>
      </c>
    </row>
    <row r="576">
      <c r="A576" s="3">
        <f>IFERROR(__xludf.DUMMYFUNCTION("""COMPUTED_VALUE"""),156.0)</f>
        <v>156</v>
      </c>
      <c r="B576" s="2" t="str">
        <f>IFERROR(__xludf.DUMMYFUNCTION("""COMPUTED_VALUE"""),"MANIKGANJ")</f>
        <v>MANIKGANJ</v>
      </c>
      <c r="C576" s="4">
        <f>IFERROR(__xludf.DUMMYFUNCTION("""COMPUTED_VALUE"""),10.0)</f>
        <v>10</v>
      </c>
      <c r="D576" s="2" t="str">
        <f>IFERROR(__xludf.DUMMYFUNCTION("""COMPUTED_VALUE"""),"AGRANI BANK LTD.")</f>
        <v>AGRANI BANK LTD.</v>
      </c>
      <c r="E576" s="2" t="str">
        <f>IFERROR(__xludf.DUMMYFUNCTION("""COMPUTED_VALUE"""),"SINGAIR")</f>
        <v>SINGAIR</v>
      </c>
      <c r="F576" s="4">
        <f>IFERROR(__xludf.DUMMYFUNCTION("""COMPUTED_VALUE"""),82.0)</f>
        <v>82</v>
      </c>
      <c r="G576" s="5">
        <f>IFERROR(__xludf.DUMMYFUNCTION("""COMPUTED_VALUE"""),1.0560822E7)</f>
        <v>10560822</v>
      </c>
    </row>
    <row r="577">
      <c r="A577" s="3">
        <f>IFERROR(__xludf.DUMMYFUNCTION("""COMPUTED_VALUE"""),156.0)</f>
        <v>156</v>
      </c>
      <c r="B577" s="2" t="str">
        <f>IFERROR(__xludf.DUMMYFUNCTION("""COMPUTED_VALUE"""),"MANIKGANJ")</f>
        <v>MANIKGANJ</v>
      </c>
      <c r="C577" s="4">
        <f>IFERROR(__xludf.DUMMYFUNCTION("""COMPUTED_VALUE"""),10.0)</f>
        <v>10</v>
      </c>
      <c r="D577" s="2" t="str">
        <f>IFERROR(__xludf.DUMMYFUNCTION("""COMPUTED_VALUE"""),"AGRANI BANK LTD.")</f>
        <v>AGRANI BANK LTD.</v>
      </c>
      <c r="E577" s="2" t="str">
        <f>IFERROR(__xludf.DUMMYFUNCTION("""COMPUTED_VALUE"""),"WIRELESS GATE")</f>
        <v>WIRELESS GATE</v>
      </c>
      <c r="F577" s="4">
        <f>IFERROR(__xludf.DUMMYFUNCTION("""COMPUTED_VALUE"""),88.0)</f>
        <v>88</v>
      </c>
      <c r="G577" s="5">
        <f>IFERROR(__xludf.DUMMYFUNCTION("""COMPUTED_VALUE"""),1.056088E7)</f>
        <v>10560880</v>
      </c>
    </row>
    <row r="578">
      <c r="A578" s="3">
        <f>IFERROR(__xludf.DUMMYFUNCTION("""COMPUTED_VALUE"""),457.0)</f>
        <v>457</v>
      </c>
      <c r="B578" s="2" t="str">
        <f>IFERROR(__xludf.DUMMYFUNCTION("""COMPUTED_VALUE"""),"MEHERPUR")</f>
        <v>MEHERPUR</v>
      </c>
      <c r="C578" s="4">
        <f>IFERROR(__xludf.DUMMYFUNCTION("""COMPUTED_VALUE"""),10.0)</f>
        <v>10</v>
      </c>
      <c r="D578" s="2" t="str">
        <f>IFERROR(__xludf.DUMMYFUNCTION("""COMPUTED_VALUE"""),"AGRANI BANK LTD.")</f>
        <v>AGRANI BANK LTD.</v>
      </c>
      <c r="E578" s="2" t="str">
        <f>IFERROR(__xludf.DUMMYFUNCTION("""COMPUTED_VALUE"""),"BAMONPARA")</f>
        <v>BAMONPARA</v>
      </c>
      <c r="F578" s="4">
        <f>IFERROR(__xludf.DUMMYFUNCTION("""COMPUTED_VALUE"""),7.0)</f>
        <v>7</v>
      </c>
      <c r="G578" s="5">
        <f>IFERROR(__xludf.DUMMYFUNCTION("""COMPUTED_VALUE"""),1.057007E7)</f>
        <v>10570070</v>
      </c>
    </row>
    <row r="579">
      <c r="A579" s="3">
        <f>IFERROR(__xludf.DUMMYFUNCTION("""COMPUTED_VALUE"""),457.0)</f>
        <v>457</v>
      </c>
      <c r="B579" s="2" t="str">
        <f>IFERROR(__xludf.DUMMYFUNCTION("""COMPUTED_VALUE"""),"MEHERPUR")</f>
        <v>MEHERPUR</v>
      </c>
      <c r="C579" s="4">
        <f>IFERROR(__xludf.DUMMYFUNCTION("""COMPUTED_VALUE"""),10.0)</f>
        <v>10</v>
      </c>
      <c r="D579" s="2" t="str">
        <f>IFERROR(__xludf.DUMMYFUNCTION("""COMPUTED_VALUE"""),"AGRANI BANK LTD.")</f>
        <v>AGRANI BANK LTD.</v>
      </c>
      <c r="E579" s="2" t="str">
        <f>IFERROR(__xludf.DUMMYFUNCTION("""COMPUTED_VALUE"""),"BAOT")</f>
        <v>BAOT</v>
      </c>
      <c r="F579" s="4">
        <f>IFERROR(__xludf.DUMMYFUNCTION("""COMPUTED_VALUE"""),13.0)</f>
        <v>13</v>
      </c>
      <c r="G579" s="5">
        <f>IFERROR(__xludf.DUMMYFUNCTION("""COMPUTED_VALUE"""),1.0570133E7)</f>
        <v>10570133</v>
      </c>
    </row>
    <row r="580">
      <c r="A580" s="3">
        <f>IFERROR(__xludf.DUMMYFUNCTION("""COMPUTED_VALUE"""),457.0)</f>
        <v>457</v>
      </c>
      <c r="B580" s="2" t="str">
        <f>IFERROR(__xludf.DUMMYFUNCTION("""COMPUTED_VALUE"""),"MEHERPUR")</f>
        <v>MEHERPUR</v>
      </c>
      <c r="C580" s="4">
        <f>IFERROR(__xludf.DUMMYFUNCTION("""COMPUTED_VALUE"""),10.0)</f>
        <v>10</v>
      </c>
      <c r="D580" s="2" t="str">
        <f>IFERROR(__xludf.DUMMYFUNCTION("""COMPUTED_VALUE"""),"AGRANI BANK LTD.")</f>
        <v>AGRANI BANK LTD.</v>
      </c>
      <c r="E580" s="2" t="str">
        <f>IFERROR(__xludf.DUMMYFUNCTION("""COMPUTED_VALUE"""),"GANGNI")</f>
        <v>GANGNI</v>
      </c>
      <c r="F580" s="4">
        <f>IFERROR(__xludf.DUMMYFUNCTION("""COMPUTED_VALUE"""),22.0)</f>
        <v>22</v>
      </c>
      <c r="G580" s="5">
        <f>IFERROR(__xludf.DUMMYFUNCTION("""COMPUTED_VALUE"""),1.0570225E7)</f>
        <v>10570225</v>
      </c>
    </row>
    <row r="581">
      <c r="A581" s="3">
        <f>IFERROR(__xludf.DUMMYFUNCTION("""COMPUTED_VALUE"""),457.0)</f>
        <v>457</v>
      </c>
      <c r="B581" s="2" t="str">
        <f>IFERROR(__xludf.DUMMYFUNCTION("""COMPUTED_VALUE"""),"MEHERPUR")</f>
        <v>MEHERPUR</v>
      </c>
      <c r="C581" s="4">
        <f>IFERROR(__xludf.DUMMYFUNCTION("""COMPUTED_VALUE"""),10.0)</f>
        <v>10</v>
      </c>
      <c r="D581" s="2" t="str">
        <f>IFERROR(__xludf.DUMMYFUNCTION("""COMPUTED_VALUE"""),"AGRANI BANK LTD.")</f>
        <v>AGRANI BANK LTD.</v>
      </c>
      <c r="E581" s="2" t="str">
        <f>IFERROR(__xludf.DUMMYFUNCTION("""COMPUTED_VALUE"""),"MEHERPUR")</f>
        <v>MEHERPUR</v>
      </c>
      <c r="F581" s="4">
        <f>IFERROR(__xludf.DUMMYFUNCTION("""COMPUTED_VALUE"""),37.0)</f>
        <v>37</v>
      </c>
      <c r="G581" s="5">
        <f>IFERROR(__xludf.DUMMYFUNCTION("""COMPUTED_VALUE"""),1.0570375E7)</f>
        <v>10570375</v>
      </c>
    </row>
    <row r="582">
      <c r="A582" s="3">
        <f>IFERROR(__xludf.DUMMYFUNCTION("""COMPUTED_VALUE"""),457.0)</f>
        <v>457</v>
      </c>
      <c r="B582" s="2" t="str">
        <f>IFERROR(__xludf.DUMMYFUNCTION("""COMPUTED_VALUE"""),"MEHERPUR")</f>
        <v>MEHERPUR</v>
      </c>
      <c r="C582" s="4">
        <f>IFERROR(__xludf.DUMMYFUNCTION("""COMPUTED_VALUE"""),10.0)</f>
        <v>10</v>
      </c>
      <c r="D582" s="2" t="str">
        <f>IFERROR(__xludf.DUMMYFUNCTION("""COMPUTED_VALUE"""),"AGRANI BANK LTD.")</f>
        <v>AGRANI BANK LTD.</v>
      </c>
      <c r="E582" s="2" t="str">
        <f>IFERROR(__xludf.DUMMYFUNCTION("""COMPUTED_VALUE"""),"MUJIB NAGAR")</f>
        <v>MUJIB NAGAR</v>
      </c>
      <c r="F582" s="4">
        <f>IFERROR(__xludf.DUMMYFUNCTION("""COMPUTED_VALUE"""),46.0)</f>
        <v>46</v>
      </c>
      <c r="G582" s="5">
        <f>IFERROR(__xludf.DUMMYFUNCTION("""COMPUTED_VALUE"""),1.0570467E7)</f>
        <v>10570467</v>
      </c>
    </row>
    <row r="583">
      <c r="A583" s="3">
        <f>IFERROR(__xludf.DUMMYFUNCTION("""COMPUTED_VALUE"""),858.0)</f>
        <v>858</v>
      </c>
      <c r="B583" s="2" t="str">
        <f>IFERROR(__xludf.DUMMYFUNCTION("""COMPUTED_VALUE"""),"MOULVI BAZAR")</f>
        <v>MOULVI BAZAR</v>
      </c>
      <c r="C583" s="4">
        <f>IFERROR(__xludf.DUMMYFUNCTION("""COMPUTED_VALUE"""),10.0)</f>
        <v>10</v>
      </c>
      <c r="D583" s="2" t="str">
        <f>IFERROR(__xludf.DUMMYFUNCTION("""COMPUTED_VALUE"""),"AGRANI BANK LTD.")</f>
        <v>AGRANI BANK LTD.</v>
      </c>
      <c r="E583" s="2" t="str">
        <f>IFERROR(__xludf.DUMMYFUNCTION("""COMPUTED_VALUE"""),"BHUKSHIMOIL")</f>
        <v>BHUKSHIMOIL</v>
      </c>
      <c r="F583" s="4">
        <f>IFERROR(__xludf.DUMMYFUNCTION("""COMPUTED_VALUE"""),22.0)</f>
        <v>22</v>
      </c>
      <c r="G583" s="5">
        <f>IFERROR(__xludf.DUMMYFUNCTION("""COMPUTED_VALUE"""),1.0580228E7)</f>
        <v>10580228</v>
      </c>
    </row>
    <row r="584">
      <c r="A584" s="3">
        <f>IFERROR(__xludf.DUMMYFUNCTION("""COMPUTED_VALUE"""),858.0)</f>
        <v>858</v>
      </c>
      <c r="B584" s="2" t="str">
        <f>IFERROR(__xludf.DUMMYFUNCTION("""COMPUTED_VALUE"""),"MOULVI BAZAR")</f>
        <v>MOULVI BAZAR</v>
      </c>
      <c r="C584" s="4">
        <f>IFERROR(__xludf.DUMMYFUNCTION("""COMPUTED_VALUE"""),10.0)</f>
        <v>10</v>
      </c>
      <c r="D584" s="2" t="str">
        <f>IFERROR(__xludf.DUMMYFUNCTION("""COMPUTED_VALUE"""),"AGRANI BANK LTD.")</f>
        <v>AGRANI BANK LTD.</v>
      </c>
      <c r="E584" s="2" t="str">
        <f>IFERROR(__xludf.DUMMYFUNCTION("""COMPUTED_VALUE"""),"FULTALA BAZAR")</f>
        <v>FULTALA BAZAR</v>
      </c>
      <c r="F584" s="4">
        <f>IFERROR(__xludf.DUMMYFUNCTION("""COMPUTED_VALUE"""),55.0)</f>
        <v>55</v>
      </c>
      <c r="G584" s="5">
        <f>IFERROR(__xludf.DUMMYFUNCTION("""COMPUTED_VALUE"""),1.0580552E7)</f>
        <v>10580552</v>
      </c>
    </row>
    <row r="585">
      <c r="A585" s="3">
        <f>IFERROR(__xludf.DUMMYFUNCTION("""COMPUTED_VALUE"""),858.0)</f>
        <v>858</v>
      </c>
      <c r="B585" s="2" t="str">
        <f>IFERROR(__xludf.DUMMYFUNCTION("""COMPUTED_VALUE"""),"MOULVI BAZAR")</f>
        <v>MOULVI BAZAR</v>
      </c>
      <c r="C585" s="4">
        <f>IFERROR(__xludf.DUMMYFUNCTION("""COMPUTED_VALUE"""),10.0)</f>
        <v>10</v>
      </c>
      <c r="D585" s="2" t="str">
        <f>IFERROR(__xludf.DUMMYFUNCTION("""COMPUTED_VALUE"""),"AGRANI BANK LTD.")</f>
        <v>AGRANI BANK LTD.</v>
      </c>
      <c r="E585" s="2" t="str">
        <f>IFERROR(__xludf.DUMMYFUNCTION("""COMPUTED_VALUE"""),"GIAS NAGAR")</f>
        <v>GIAS NAGAR</v>
      </c>
      <c r="F585" s="4">
        <f>IFERROR(__xludf.DUMMYFUNCTION("""COMPUTED_VALUE"""),58.0)</f>
        <v>58</v>
      </c>
      <c r="G585" s="5">
        <f>IFERROR(__xludf.DUMMYFUNCTION("""COMPUTED_VALUE"""),1.0580581E7)</f>
        <v>10580581</v>
      </c>
    </row>
    <row r="586">
      <c r="A586" s="3">
        <f>IFERROR(__xludf.DUMMYFUNCTION("""COMPUTED_VALUE"""),858.0)</f>
        <v>858</v>
      </c>
      <c r="B586" s="2" t="str">
        <f>IFERROR(__xludf.DUMMYFUNCTION("""COMPUTED_VALUE"""),"MOULVI BAZAR")</f>
        <v>MOULVI BAZAR</v>
      </c>
      <c r="C586" s="4">
        <f>IFERROR(__xludf.DUMMYFUNCTION("""COMPUTED_VALUE"""),10.0)</f>
        <v>10</v>
      </c>
      <c r="D586" s="2" t="str">
        <f>IFERROR(__xludf.DUMMYFUNCTION("""COMPUTED_VALUE"""),"AGRANI BANK LTD.")</f>
        <v>AGRANI BANK LTD.</v>
      </c>
      <c r="E586" s="2" t="str">
        <f>IFERROR(__xludf.DUMMYFUNCTION("""COMPUTED_VALUE"""),"KARMADAH")</f>
        <v>KARMADAH</v>
      </c>
      <c r="F586" s="4">
        <f>IFERROR(__xludf.DUMMYFUNCTION("""COMPUTED_VALUE"""),82.0)</f>
        <v>82</v>
      </c>
      <c r="G586" s="5">
        <f>IFERROR(__xludf.DUMMYFUNCTION("""COMPUTED_VALUE"""),1.0580828E7)</f>
        <v>10580828</v>
      </c>
    </row>
    <row r="587">
      <c r="A587" s="3">
        <f>IFERROR(__xludf.DUMMYFUNCTION("""COMPUTED_VALUE"""),858.0)</f>
        <v>858</v>
      </c>
      <c r="B587" s="2" t="str">
        <f>IFERROR(__xludf.DUMMYFUNCTION("""COMPUTED_VALUE"""),"MOULVI BAZAR")</f>
        <v>MOULVI BAZAR</v>
      </c>
      <c r="C587" s="4">
        <f>IFERROR(__xludf.DUMMYFUNCTION("""COMPUTED_VALUE"""),10.0)</f>
        <v>10</v>
      </c>
      <c r="D587" s="2" t="str">
        <f>IFERROR(__xludf.DUMMYFUNCTION("""COMPUTED_VALUE"""),"AGRANI BANK LTD.")</f>
        <v>AGRANI BANK LTD.</v>
      </c>
      <c r="E587" s="2" t="str">
        <f>IFERROR(__xludf.DUMMYFUNCTION("""COMPUTED_VALUE"""),"KATARKONA")</f>
        <v>KATARKONA</v>
      </c>
      <c r="F587" s="4">
        <f>IFERROR(__xludf.DUMMYFUNCTION("""COMPUTED_VALUE"""),85.0)</f>
        <v>85</v>
      </c>
      <c r="G587" s="5">
        <f>IFERROR(__xludf.DUMMYFUNCTION("""COMPUTED_VALUE"""),1.0580857E7)</f>
        <v>10580857</v>
      </c>
    </row>
    <row r="588">
      <c r="A588" s="3">
        <f>IFERROR(__xludf.DUMMYFUNCTION("""COMPUTED_VALUE"""),858.0)</f>
        <v>858</v>
      </c>
      <c r="B588" s="2" t="str">
        <f>IFERROR(__xludf.DUMMYFUNCTION("""COMPUTED_VALUE"""),"MOULVI BAZAR")</f>
        <v>MOULVI BAZAR</v>
      </c>
      <c r="C588" s="4">
        <f>IFERROR(__xludf.DUMMYFUNCTION("""COMPUTED_VALUE"""),10.0)</f>
        <v>10</v>
      </c>
      <c r="D588" s="2" t="str">
        <f>IFERROR(__xludf.DUMMYFUNCTION("""COMPUTED_VALUE"""),"AGRANI BANK LTD.")</f>
        <v>AGRANI BANK LTD.</v>
      </c>
      <c r="E588" s="2" t="str">
        <f>IFERROR(__xludf.DUMMYFUNCTION("""COMPUTED_VALUE"""),"KULAURA")</f>
        <v>KULAURA</v>
      </c>
      <c r="F588" s="4">
        <f>IFERROR(__xludf.DUMMYFUNCTION("""COMPUTED_VALUE"""),94.0)</f>
        <v>94</v>
      </c>
      <c r="G588" s="5">
        <f>IFERROR(__xludf.DUMMYFUNCTION("""COMPUTED_VALUE"""),1.0580949E7)</f>
        <v>10580949</v>
      </c>
    </row>
    <row r="589">
      <c r="A589" s="3">
        <f>IFERROR(__xludf.DUMMYFUNCTION("""COMPUTED_VALUE"""),858.0)</f>
        <v>858</v>
      </c>
      <c r="B589" s="2" t="str">
        <f>IFERROR(__xludf.DUMMYFUNCTION("""COMPUTED_VALUE"""),"MOULVI BAZAR")</f>
        <v>MOULVI BAZAR</v>
      </c>
      <c r="C589" s="4">
        <f>IFERROR(__xludf.DUMMYFUNCTION("""COMPUTED_VALUE"""),10.0)</f>
        <v>10</v>
      </c>
      <c r="D589" s="2" t="str">
        <f>IFERROR(__xludf.DUMMYFUNCTION("""COMPUTED_VALUE"""),"AGRANI BANK LTD.")</f>
        <v>AGRANI BANK LTD.</v>
      </c>
      <c r="E589" s="2" t="str">
        <f>IFERROR(__xludf.DUMMYFUNCTION("""COMPUTED_VALUE"""),"MADHABPUR BAZAR")</f>
        <v>MADHABPUR BAZAR</v>
      </c>
      <c r="F589" s="4">
        <f>IFERROR(__xludf.DUMMYFUNCTION("""COMPUTED_VALUE"""),100.0)</f>
        <v>100</v>
      </c>
      <c r="G589" s="5">
        <f>IFERROR(__xludf.DUMMYFUNCTION("""COMPUTED_VALUE"""),1.0581001E7)</f>
        <v>10581001</v>
      </c>
    </row>
    <row r="590">
      <c r="A590" s="3">
        <f>IFERROR(__xludf.DUMMYFUNCTION("""COMPUTED_VALUE"""),858.0)</f>
        <v>858</v>
      </c>
      <c r="B590" s="2" t="str">
        <f>IFERROR(__xludf.DUMMYFUNCTION("""COMPUTED_VALUE"""),"MOULVI BAZAR")</f>
        <v>MOULVI BAZAR</v>
      </c>
      <c r="C590" s="4">
        <f>IFERROR(__xludf.DUMMYFUNCTION("""COMPUTED_VALUE"""),10.0)</f>
        <v>10</v>
      </c>
      <c r="D590" s="2" t="str">
        <f>IFERROR(__xludf.DUMMYFUNCTION("""COMPUTED_VALUE"""),"AGRANI BANK LTD.")</f>
        <v>AGRANI BANK LTD.</v>
      </c>
      <c r="E590" s="2" t="str">
        <f>IFERROR(__xludf.DUMMYFUNCTION("""COMPUTED_VALUE"""),"MOSTAFAPUR")</f>
        <v>MOSTAFAPUR</v>
      </c>
      <c r="F590" s="4">
        <f>IFERROR(__xludf.DUMMYFUNCTION("""COMPUTED_VALUE"""),115.0)</f>
        <v>115</v>
      </c>
      <c r="G590" s="5">
        <f>IFERROR(__xludf.DUMMYFUNCTION("""COMPUTED_VALUE"""),1.0581151E7)</f>
        <v>10581151</v>
      </c>
    </row>
    <row r="591">
      <c r="A591" s="3">
        <f>IFERROR(__xludf.DUMMYFUNCTION("""COMPUTED_VALUE"""),858.0)</f>
        <v>858</v>
      </c>
      <c r="B591" s="2" t="str">
        <f>IFERROR(__xludf.DUMMYFUNCTION("""COMPUTED_VALUE"""),"MOULVI BAZAR")</f>
        <v>MOULVI BAZAR</v>
      </c>
      <c r="C591" s="4">
        <f>IFERROR(__xludf.DUMMYFUNCTION("""COMPUTED_VALUE"""),10.0)</f>
        <v>10</v>
      </c>
      <c r="D591" s="2" t="str">
        <f>IFERROR(__xludf.DUMMYFUNCTION("""COMPUTED_VALUE"""),"AGRANI BANK LTD.")</f>
        <v>AGRANI BANK LTD.</v>
      </c>
      <c r="E591" s="2" t="str">
        <f>IFERROR(__xludf.DUMMYFUNCTION("""COMPUTED_VALUE"""),"MOULAVI BAZAR")</f>
        <v>MOULAVI BAZAR</v>
      </c>
      <c r="F591" s="4">
        <f>IFERROR(__xludf.DUMMYFUNCTION("""COMPUTED_VALUE"""),118.0)</f>
        <v>118</v>
      </c>
      <c r="G591" s="5">
        <f>IFERROR(__xludf.DUMMYFUNCTION("""COMPUTED_VALUE"""),1.058118E7)</f>
        <v>10581180</v>
      </c>
    </row>
    <row r="592">
      <c r="A592" s="3">
        <f>IFERROR(__xludf.DUMMYFUNCTION("""COMPUTED_VALUE"""),858.0)</f>
        <v>858</v>
      </c>
      <c r="B592" s="2" t="str">
        <f>IFERROR(__xludf.DUMMYFUNCTION("""COMPUTED_VALUE"""),"MOULVI BAZAR")</f>
        <v>MOULVI BAZAR</v>
      </c>
      <c r="C592" s="4">
        <f>IFERROR(__xludf.DUMMYFUNCTION("""COMPUTED_VALUE"""),10.0)</f>
        <v>10</v>
      </c>
      <c r="D592" s="2" t="str">
        <f>IFERROR(__xludf.DUMMYFUNCTION("""COMPUTED_VALUE"""),"AGRANI BANK LTD.")</f>
        <v>AGRANI BANK LTD.</v>
      </c>
      <c r="E592" s="2" t="str">
        <f>IFERROR(__xludf.DUMMYFUNCTION("""COMPUTED_VALUE"""),"MUNSHI BAZAR")</f>
        <v>MUNSHI BAZAR</v>
      </c>
      <c r="F592" s="4">
        <f>IFERROR(__xludf.DUMMYFUNCTION("""COMPUTED_VALUE"""),124.0)</f>
        <v>124</v>
      </c>
      <c r="G592" s="5">
        <f>IFERROR(__xludf.DUMMYFUNCTION("""COMPUTED_VALUE"""),1.0581243E7)</f>
        <v>10581243</v>
      </c>
    </row>
    <row r="593">
      <c r="A593" s="3">
        <f>IFERROR(__xludf.DUMMYFUNCTION("""COMPUTED_VALUE"""),858.0)</f>
        <v>858</v>
      </c>
      <c r="B593" s="2" t="str">
        <f>IFERROR(__xludf.DUMMYFUNCTION("""COMPUTED_VALUE"""),"MOULVI BAZAR")</f>
        <v>MOULVI BAZAR</v>
      </c>
      <c r="C593" s="4">
        <f>IFERROR(__xludf.DUMMYFUNCTION("""COMPUTED_VALUE"""),10.0)</f>
        <v>10</v>
      </c>
      <c r="D593" s="2" t="str">
        <f>IFERROR(__xludf.DUMMYFUNCTION("""COMPUTED_VALUE"""),"AGRANI BANK LTD.")</f>
        <v>AGRANI BANK LTD.</v>
      </c>
      <c r="E593" s="2" t="str">
        <f>IFERROR(__xludf.DUMMYFUNCTION("""COMPUTED_VALUE"""),"RABIR BAZAR")</f>
        <v>RABIR BAZAR</v>
      </c>
      <c r="F593" s="4">
        <f>IFERROR(__xludf.DUMMYFUNCTION("""COMPUTED_VALUE"""),136.0)</f>
        <v>136</v>
      </c>
      <c r="G593" s="5">
        <f>IFERROR(__xludf.DUMMYFUNCTION("""COMPUTED_VALUE"""),1.0581364E7)</f>
        <v>10581364</v>
      </c>
    </row>
    <row r="594">
      <c r="A594" s="3">
        <f>IFERROR(__xludf.DUMMYFUNCTION("""COMPUTED_VALUE"""),858.0)</f>
        <v>858</v>
      </c>
      <c r="B594" s="2" t="str">
        <f>IFERROR(__xludf.DUMMYFUNCTION("""COMPUTED_VALUE"""),"MOULVI BAZAR")</f>
        <v>MOULVI BAZAR</v>
      </c>
      <c r="C594" s="4">
        <f>IFERROR(__xludf.DUMMYFUNCTION("""COMPUTED_VALUE"""),10.0)</f>
        <v>10</v>
      </c>
      <c r="D594" s="2" t="str">
        <f>IFERROR(__xludf.DUMMYFUNCTION("""COMPUTED_VALUE"""),"AGRANI BANK LTD.")</f>
        <v>AGRANI BANK LTD.</v>
      </c>
      <c r="E594" s="2" t="str">
        <f>IFERROR(__xludf.DUMMYFUNCTION("""COMPUTED_VALUE"""),"SINDUR KHAN BAZAR")</f>
        <v>SINDUR KHAN BAZAR</v>
      </c>
      <c r="F594" s="4">
        <f>IFERROR(__xludf.DUMMYFUNCTION("""COMPUTED_VALUE"""),169.0)</f>
        <v>169</v>
      </c>
      <c r="G594" s="5">
        <f>IFERROR(__xludf.DUMMYFUNCTION("""COMPUTED_VALUE"""),1.0581698E7)</f>
        <v>10581698</v>
      </c>
    </row>
    <row r="595">
      <c r="A595" s="3">
        <f>IFERROR(__xludf.DUMMYFUNCTION("""COMPUTED_VALUE"""),858.0)</f>
        <v>858</v>
      </c>
      <c r="B595" s="2" t="str">
        <f>IFERROR(__xludf.DUMMYFUNCTION("""COMPUTED_VALUE"""),"MOULVI BAZAR")</f>
        <v>MOULVI BAZAR</v>
      </c>
      <c r="C595" s="4">
        <f>IFERROR(__xludf.DUMMYFUNCTION("""COMPUTED_VALUE"""),10.0)</f>
        <v>10</v>
      </c>
      <c r="D595" s="2" t="str">
        <f>IFERROR(__xludf.DUMMYFUNCTION("""COMPUTED_VALUE"""),"AGRANI BANK LTD.")</f>
        <v>AGRANI BANK LTD.</v>
      </c>
      <c r="E595" s="2" t="str">
        <f>IFERROR(__xludf.DUMMYFUNCTION("""COMPUTED_VALUE"""),"SREE MANGAL")</f>
        <v>SREE MANGAL</v>
      </c>
      <c r="F595" s="4">
        <f>IFERROR(__xludf.DUMMYFUNCTION("""COMPUTED_VALUE"""),172.0)</f>
        <v>172</v>
      </c>
      <c r="G595" s="5">
        <f>IFERROR(__xludf.DUMMYFUNCTION("""COMPUTED_VALUE"""),1.0581722E7)</f>
        <v>10581722</v>
      </c>
    </row>
    <row r="596">
      <c r="A596" s="3">
        <f>IFERROR(__xludf.DUMMYFUNCTION("""COMPUTED_VALUE"""),159.0)</f>
        <v>159</v>
      </c>
      <c r="B596" s="2" t="str">
        <f>IFERROR(__xludf.DUMMYFUNCTION("""COMPUTED_VALUE"""),"MUNSHIGANJ")</f>
        <v>MUNSHIGANJ</v>
      </c>
      <c r="C596" s="4">
        <f>IFERROR(__xludf.DUMMYFUNCTION("""COMPUTED_VALUE"""),10.0)</f>
        <v>10</v>
      </c>
      <c r="D596" s="2" t="str">
        <f>IFERROR(__xludf.DUMMYFUNCTION("""COMPUTED_VALUE"""),"AGRANI BANK LTD.")</f>
        <v>AGRANI BANK LTD.</v>
      </c>
      <c r="E596" s="2" t="str">
        <f>IFERROR(__xludf.DUMMYFUNCTION("""COMPUTED_VALUE"""),"BALIGAON BAZAR")</f>
        <v>BALIGAON BAZAR</v>
      </c>
      <c r="F596" s="4">
        <f>IFERROR(__xludf.DUMMYFUNCTION("""COMPUTED_VALUE"""),13.0)</f>
        <v>13</v>
      </c>
      <c r="G596" s="5">
        <f>IFERROR(__xludf.DUMMYFUNCTION("""COMPUTED_VALUE"""),1.0590139E7)</f>
        <v>10590139</v>
      </c>
    </row>
    <row r="597">
      <c r="A597" s="3">
        <f>IFERROR(__xludf.DUMMYFUNCTION("""COMPUTED_VALUE"""),159.0)</f>
        <v>159</v>
      </c>
      <c r="B597" s="2" t="str">
        <f>IFERROR(__xludf.DUMMYFUNCTION("""COMPUTED_VALUE"""),"MUNSHIGANJ")</f>
        <v>MUNSHIGANJ</v>
      </c>
      <c r="C597" s="4">
        <f>IFERROR(__xludf.DUMMYFUNCTION("""COMPUTED_VALUE"""),10.0)</f>
        <v>10</v>
      </c>
      <c r="D597" s="2" t="str">
        <f>IFERROR(__xludf.DUMMYFUNCTION("""COMPUTED_VALUE"""),"AGRANI BANK LTD.")</f>
        <v>AGRANI BANK LTD.</v>
      </c>
      <c r="E597" s="2" t="str">
        <f>IFERROR(__xludf.DUMMYFUNCTION("""COMPUTED_VALUE"""),"DIGHIRPAR")</f>
        <v>DIGHIRPAR</v>
      </c>
      <c r="F597" s="4">
        <f>IFERROR(__xludf.DUMMYFUNCTION("""COMPUTED_VALUE"""),43.0)</f>
        <v>43</v>
      </c>
      <c r="G597" s="5">
        <f>IFERROR(__xludf.DUMMYFUNCTION("""COMPUTED_VALUE"""),1.0590434E7)</f>
        <v>10590434</v>
      </c>
    </row>
    <row r="598">
      <c r="A598" s="3">
        <f>IFERROR(__xludf.DUMMYFUNCTION("""COMPUTED_VALUE"""),159.0)</f>
        <v>159</v>
      </c>
      <c r="B598" s="2" t="str">
        <f>IFERROR(__xludf.DUMMYFUNCTION("""COMPUTED_VALUE"""),"MUNSHIGANJ")</f>
        <v>MUNSHIGANJ</v>
      </c>
      <c r="C598" s="4">
        <f>IFERROR(__xludf.DUMMYFUNCTION("""COMPUTED_VALUE"""),10.0)</f>
        <v>10</v>
      </c>
      <c r="D598" s="2" t="str">
        <f>IFERROR(__xludf.DUMMYFUNCTION("""COMPUTED_VALUE"""),"AGRANI BANK LTD.")</f>
        <v>AGRANI BANK LTD.</v>
      </c>
      <c r="E598" s="2" t="str">
        <f>IFERROR(__xludf.DUMMYFUNCTION("""COMPUTED_VALUE"""),"HASAIL BAZAR")</f>
        <v>HASAIL BAZAR</v>
      </c>
      <c r="F598" s="4">
        <f>IFERROR(__xludf.DUMMYFUNCTION("""COMPUTED_VALUE"""),55.0)</f>
        <v>55</v>
      </c>
      <c r="G598" s="5">
        <f>IFERROR(__xludf.DUMMYFUNCTION("""COMPUTED_VALUE"""),1.0590555E7)</f>
        <v>10590555</v>
      </c>
    </row>
    <row r="599">
      <c r="A599" s="3">
        <f>IFERROR(__xludf.DUMMYFUNCTION("""COMPUTED_VALUE"""),159.0)</f>
        <v>159</v>
      </c>
      <c r="B599" s="2" t="str">
        <f>IFERROR(__xludf.DUMMYFUNCTION("""COMPUTED_VALUE"""),"MUNSHIGANJ")</f>
        <v>MUNSHIGANJ</v>
      </c>
      <c r="C599" s="4">
        <f>IFERROR(__xludf.DUMMYFUNCTION("""COMPUTED_VALUE"""),10.0)</f>
        <v>10</v>
      </c>
      <c r="D599" s="2" t="str">
        <f>IFERROR(__xludf.DUMMYFUNCTION("""COMPUTED_VALUE"""),"AGRANI BANK LTD.")</f>
        <v>AGRANI BANK LTD.</v>
      </c>
      <c r="E599" s="2" t="str">
        <f>IFERROR(__xludf.DUMMYFUNCTION("""COMPUTED_VALUE"""),"HASHARA BAZAR")</f>
        <v>HASHARA BAZAR</v>
      </c>
      <c r="F599" s="4">
        <f>IFERROR(__xludf.DUMMYFUNCTION("""COMPUTED_VALUE"""),61.0)</f>
        <v>61</v>
      </c>
      <c r="G599" s="5">
        <f>IFERROR(__xludf.DUMMYFUNCTION("""COMPUTED_VALUE"""),1.0590618E7)</f>
        <v>10590618</v>
      </c>
    </row>
    <row r="600">
      <c r="A600" s="3">
        <f>IFERROR(__xludf.DUMMYFUNCTION("""COMPUTED_VALUE"""),159.0)</f>
        <v>159</v>
      </c>
      <c r="B600" s="2" t="str">
        <f>IFERROR(__xludf.DUMMYFUNCTION("""COMPUTED_VALUE"""),"MUNSHIGANJ")</f>
        <v>MUNSHIGANJ</v>
      </c>
      <c r="C600" s="4">
        <f>IFERROR(__xludf.DUMMYFUNCTION("""COMPUTED_VALUE"""),10.0)</f>
        <v>10</v>
      </c>
      <c r="D600" s="2" t="str">
        <f>IFERROR(__xludf.DUMMYFUNCTION("""COMPUTED_VALUE"""),"AGRANI BANK LTD.")</f>
        <v>AGRANI BANK LTD.</v>
      </c>
      <c r="E600" s="2" t="str">
        <f>IFERROR(__xludf.DUMMYFUNCTION("""COMPUTED_VALUE"""),"HOSSAINDI BAZAR")</f>
        <v>HOSSAINDI BAZAR</v>
      </c>
      <c r="F600" s="4">
        <f>IFERROR(__xludf.DUMMYFUNCTION("""COMPUTED_VALUE"""),64.0)</f>
        <v>64</v>
      </c>
      <c r="G600" s="5">
        <f>IFERROR(__xludf.DUMMYFUNCTION("""COMPUTED_VALUE"""),1.0590647E7)</f>
        <v>10590647</v>
      </c>
    </row>
    <row r="601">
      <c r="A601" s="3">
        <f>IFERROR(__xludf.DUMMYFUNCTION("""COMPUTED_VALUE"""),159.0)</f>
        <v>159</v>
      </c>
      <c r="B601" s="2" t="str">
        <f>IFERROR(__xludf.DUMMYFUNCTION("""COMPUTED_VALUE"""),"MUNSHIGANJ")</f>
        <v>MUNSHIGANJ</v>
      </c>
      <c r="C601" s="4">
        <f>IFERROR(__xludf.DUMMYFUNCTION("""COMPUTED_VALUE"""),10.0)</f>
        <v>10</v>
      </c>
      <c r="D601" s="2" t="str">
        <f>IFERROR(__xludf.DUMMYFUNCTION("""COMPUTED_VALUE"""),"AGRANI BANK LTD.")</f>
        <v>AGRANI BANK LTD.</v>
      </c>
      <c r="E601" s="2" t="str">
        <f>IFERROR(__xludf.DUMMYFUNCTION("""COMPUTED_VALUE"""),"KALMA")</f>
        <v>KALMA</v>
      </c>
      <c r="F601" s="4">
        <f>IFERROR(__xludf.DUMMYFUNCTION("""COMPUTED_VALUE"""),70.0)</f>
        <v>70</v>
      </c>
      <c r="G601" s="5">
        <f>IFERROR(__xludf.DUMMYFUNCTION("""COMPUTED_VALUE"""),1.05907E7)</f>
        <v>10590700</v>
      </c>
    </row>
    <row r="602">
      <c r="A602" s="3">
        <f>IFERROR(__xludf.DUMMYFUNCTION("""COMPUTED_VALUE"""),159.0)</f>
        <v>159</v>
      </c>
      <c r="B602" s="2" t="str">
        <f>IFERROR(__xludf.DUMMYFUNCTION("""COMPUTED_VALUE"""),"MUNSHIGANJ")</f>
        <v>MUNSHIGANJ</v>
      </c>
      <c r="C602" s="4">
        <f>IFERROR(__xludf.DUMMYFUNCTION("""COMPUTED_VALUE"""),10.0)</f>
        <v>10</v>
      </c>
      <c r="D602" s="2" t="str">
        <f>IFERROR(__xludf.DUMMYFUNCTION("""COMPUTED_VALUE"""),"AGRANI BANK LTD.")</f>
        <v>AGRANI BANK LTD.</v>
      </c>
      <c r="E602" s="2" t="str">
        <f>IFERROR(__xludf.DUMMYFUNCTION("""COMPUTED_VALUE"""),"KOLAPARA BAZAR")</f>
        <v>KOLAPARA BAZAR</v>
      </c>
      <c r="F602" s="4">
        <f>IFERROR(__xludf.DUMMYFUNCTION("""COMPUTED_VALUE"""),82.0)</f>
        <v>82</v>
      </c>
      <c r="G602" s="5">
        <f>IFERROR(__xludf.DUMMYFUNCTION("""COMPUTED_VALUE"""),1.0590821E7)</f>
        <v>10590821</v>
      </c>
    </row>
    <row r="603">
      <c r="A603" s="3">
        <f>IFERROR(__xludf.DUMMYFUNCTION("""COMPUTED_VALUE"""),159.0)</f>
        <v>159</v>
      </c>
      <c r="B603" s="2" t="str">
        <f>IFERROR(__xludf.DUMMYFUNCTION("""COMPUTED_VALUE"""),"MUNSHIGANJ")</f>
        <v>MUNSHIGANJ</v>
      </c>
      <c r="C603" s="4">
        <f>IFERROR(__xludf.DUMMYFUNCTION("""COMPUTED_VALUE"""),10.0)</f>
        <v>10</v>
      </c>
      <c r="D603" s="2" t="str">
        <f>IFERROR(__xludf.DUMMYFUNCTION("""COMPUTED_VALUE"""),"AGRANI BANK LTD.")</f>
        <v>AGRANI BANK LTD.</v>
      </c>
      <c r="E603" s="2" t="str">
        <f>IFERROR(__xludf.DUMMYFUNCTION("""COMPUTED_VALUE"""),"MIRKADIM")</f>
        <v>MIRKADIM</v>
      </c>
      <c r="F603" s="4">
        <f>IFERROR(__xludf.DUMMYFUNCTION("""COMPUTED_VALUE"""),97.0)</f>
        <v>97</v>
      </c>
      <c r="G603" s="5">
        <f>IFERROR(__xludf.DUMMYFUNCTION("""COMPUTED_VALUE"""),1.0590971E7)</f>
        <v>10590971</v>
      </c>
    </row>
    <row r="604">
      <c r="A604" s="3">
        <f>IFERROR(__xludf.DUMMYFUNCTION("""COMPUTED_VALUE"""),159.0)</f>
        <v>159</v>
      </c>
      <c r="B604" s="2" t="str">
        <f>IFERROR(__xludf.DUMMYFUNCTION("""COMPUTED_VALUE"""),"MUNSHIGANJ")</f>
        <v>MUNSHIGANJ</v>
      </c>
      <c r="C604" s="4">
        <f>IFERROR(__xludf.DUMMYFUNCTION("""COMPUTED_VALUE"""),10.0)</f>
        <v>10</v>
      </c>
      <c r="D604" s="2" t="str">
        <f>IFERROR(__xludf.DUMMYFUNCTION("""COMPUTED_VALUE"""),"AGRANI BANK LTD.")</f>
        <v>AGRANI BANK LTD.</v>
      </c>
      <c r="E604" s="2" t="str">
        <f>IFERROR(__xludf.DUMMYFUNCTION("""COMPUTED_VALUE"""),"MUKTARPUR")</f>
        <v>MUKTARPUR</v>
      </c>
      <c r="F604" s="4">
        <f>IFERROR(__xludf.DUMMYFUNCTION("""COMPUTED_VALUE"""),100.0)</f>
        <v>100</v>
      </c>
      <c r="G604" s="5">
        <f>IFERROR(__xludf.DUMMYFUNCTION("""COMPUTED_VALUE"""),1.0591004E7)</f>
        <v>10591004</v>
      </c>
    </row>
    <row r="605">
      <c r="A605" s="3">
        <f>IFERROR(__xludf.DUMMYFUNCTION("""COMPUTED_VALUE"""),159.0)</f>
        <v>159</v>
      </c>
      <c r="B605" s="2" t="str">
        <f>IFERROR(__xludf.DUMMYFUNCTION("""COMPUTED_VALUE"""),"MUNSHIGANJ")</f>
        <v>MUNSHIGANJ</v>
      </c>
      <c r="C605" s="4">
        <f>IFERROR(__xludf.DUMMYFUNCTION("""COMPUTED_VALUE"""),10.0)</f>
        <v>10</v>
      </c>
      <c r="D605" s="2" t="str">
        <f>IFERROR(__xludf.DUMMYFUNCTION("""COMPUTED_VALUE"""),"AGRANI BANK LTD.")</f>
        <v>AGRANI BANK LTD.</v>
      </c>
      <c r="E605" s="2" t="str">
        <f>IFERROR(__xludf.DUMMYFUNCTION("""COMPUTED_VALUE"""),"MUNSHIGANJ")</f>
        <v>MUNSHIGANJ</v>
      </c>
      <c r="F605" s="4">
        <f>IFERROR(__xludf.DUMMYFUNCTION("""COMPUTED_VALUE"""),103.0)</f>
        <v>103</v>
      </c>
      <c r="G605" s="5">
        <f>IFERROR(__xludf.DUMMYFUNCTION("""COMPUTED_VALUE"""),1.0591033E7)</f>
        <v>10591033</v>
      </c>
    </row>
    <row r="606">
      <c r="A606" s="3">
        <f>IFERROR(__xludf.DUMMYFUNCTION("""COMPUTED_VALUE"""),159.0)</f>
        <v>159</v>
      </c>
      <c r="B606" s="2" t="str">
        <f>IFERROR(__xludf.DUMMYFUNCTION("""COMPUTED_VALUE"""),"MUNSHIGANJ")</f>
        <v>MUNSHIGANJ</v>
      </c>
      <c r="C606" s="4">
        <f>IFERROR(__xludf.DUMMYFUNCTION("""COMPUTED_VALUE"""),10.0)</f>
        <v>10</v>
      </c>
      <c r="D606" s="2" t="str">
        <f>IFERROR(__xludf.DUMMYFUNCTION("""COMPUTED_VALUE"""),"AGRANI BANK LTD.")</f>
        <v>AGRANI BANK LTD.</v>
      </c>
      <c r="E606" s="2" t="str">
        <f>IFERROR(__xludf.DUMMYFUNCTION("""COMPUTED_VALUE"""),"MUNSHIRHAT")</f>
        <v>MUNSHIRHAT</v>
      </c>
      <c r="F606" s="4">
        <f>IFERROR(__xludf.DUMMYFUNCTION("""COMPUTED_VALUE"""),106.0)</f>
        <v>106</v>
      </c>
      <c r="G606" s="5">
        <f>IFERROR(__xludf.DUMMYFUNCTION("""COMPUTED_VALUE"""),1.0591062E7)</f>
        <v>10591062</v>
      </c>
    </row>
    <row r="607">
      <c r="A607" s="3">
        <f>IFERROR(__xludf.DUMMYFUNCTION("""COMPUTED_VALUE"""),159.0)</f>
        <v>159</v>
      </c>
      <c r="B607" s="2" t="str">
        <f>IFERROR(__xludf.DUMMYFUNCTION("""COMPUTED_VALUE"""),"MUNSHIGANJ")</f>
        <v>MUNSHIGANJ</v>
      </c>
      <c r="C607" s="4">
        <f>IFERROR(__xludf.DUMMYFUNCTION("""COMPUTED_VALUE"""),10.0)</f>
        <v>10</v>
      </c>
      <c r="D607" s="2" t="str">
        <f>IFERROR(__xludf.DUMMYFUNCTION("""COMPUTED_VALUE"""),"AGRANI BANK LTD.")</f>
        <v>AGRANI BANK LTD.</v>
      </c>
      <c r="E607" s="2" t="str">
        <f>IFERROR(__xludf.DUMMYFUNCTION("""COMPUTED_VALUE"""),"RAMGOPALPUR")</f>
        <v>RAMGOPALPUR</v>
      </c>
      <c r="F607" s="4">
        <f>IFERROR(__xludf.DUMMYFUNCTION("""COMPUTED_VALUE"""),115.0)</f>
        <v>115</v>
      </c>
      <c r="G607" s="5">
        <f>IFERROR(__xludf.DUMMYFUNCTION("""COMPUTED_VALUE"""),1.0591154E7)</f>
        <v>10591154</v>
      </c>
    </row>
    <row r="608">
      <c r="A608" s="3">
        <f>IFERROR(__xludf.DUMMYFUNCTION("""COMPUTED_VALUE"""),159.0)</f>
        <v>159</v>
      </c>
      <c r="B608" s="2" t="str">
        <f>IFERROR(__xludf.DUMMYFUNCTION("""COMPUTED_VALUE"""),"MUNSHIGANJ")</f>
        <v>MUNSHIGANJ</v>
      </c>
      <c r="C608" s="4">
        <f>IFERROR(__xludf.DUMMYFUNCTION("""COMPUTED_VALUE"""),10.0)</f>
        <v>10</v>
      </c>
      <c r="D608" s="2" t="str">
        <f>IFERROR(__xludf.DUMMYFUNCTION("""COMPUTED_VALUE"""),"AGRANI BANK LTD.")</f>
        <v>AGRANI BANK LTD.</v>
      </c>
      <c r="E608" s="2" t="str">
        <f>IFERROR(__xludf.DUMMYFUNCTION("""COMPUTED_VALUE"""),"SIMPARA")</f>
        <v>SIMPARA</v>
      </c>
      <c r="F608" s="4">
        <f>IFERROR(__xludf.DUMMYFUNCTION("""COMPUTED_VALUE"""),136.0)</f>
        <v>136</v>
      </c>
      <c r="G608" s="5">
        <f>IFERROR(__xludf.DUMMYFUNCTION("""COMPUTED_VALUE"""),1.0591367E7)</f>
        <v>10591367</v>
      </c>
    </row>
    <row r="609">
      <c r="A609" s="3">
        <f>IFERROR(__xludf.DUMMYFUNCTION("""COMPUTED_VALUE"""),159.0)</f>
        <v>159</v>
      </c>
      <c r="B609" s="2" t="str">
        <f>IFERROR(__xludf.DUMMYFUNCTION("""COMPUTED_VALUE"""),"MUNSHIGANJ")</f>
        <v>MUNSHIGANJ</v>
      </c>
      <c r="C609" s="4">
        <f>IFERROR(__xludf.DUMMYFUNCTION("""COMPUTED_VALUE"""),10.0)</f>
        <v>10</v>
      </c>
      <c r="D609" s="2" t="str">
        <f>IFERROR(__xludf.DUMMYFUNCTION("""COMPUTED_VALUE"""),"AGRANI BANK LTD.")</f>
        <v>AGRANI BANK LTD.</v>
      </c>
      <c r="E609" s="2" t="str">
        <f>IFERROR(__xludf.DUMMYFUNCTION("""COMPUTED_VALUE"""),"SREENAGAR")</f>
        <v>SREENAGAR</v>
      </c>
      <c r="F609" s="3">
        <f>IFERROR(__xludf.DUMMYFUNCTION("""COMPUTED_VALUE"""),142.0)</f>
        <v>142</v>
      </c>
      <c r="G609" s="5">
        <f>IFERROR(__xludf.DUMMYFUNCTION("""COMPUTED_VALUE"""),1.059142E7)</f>
        <v>10591420</v>
      </c>
    </row>
    <row r="610">
      <c r="A610" s="3">
        <f>IFERROR(__xludf.DUMMYFUNCTION("""COMPUTED_VALUE"""),161.0)</f>
        <v>161</v>
      </c>
      <c r="B610" s="2" t="str">
        <f>IFERROR(__xludf.DUMMYFUNCTION("""COMPUTED_VALUE"""),"MYMENSINGH")</f>
        <v>MYMENSINGH</v>
      </c>
      <c r="C610" s="4">
        <f>IFERROR(__xludf.DUMMYFUNCTION("""COMPUTED_VALUE"""),10.0)</f>
        <v>10</v>
      </c>
      <c r="D610" s="2" t="str">
        <f>IFERROR(__xludf.DUMMYFUNCTION("""COMPUTED_VALUE"""),"AGRANI BANK LTD.")</f>
        <v>AGRANI BANK LTD.</v>
      </c>
      <c r="E610" s="2" t="str">
        <f>IFERROR(__xludf.DUMMYFUNCTION("""COMPUTED_VALUE"""),"PAGLA BAZAR")</f>
        <v>PAGLA BAZAR</v>
      </c>
      <c r="F610" s="3">
        <f>IFERROR(__xludf.DUMMYFUNCTION("""COMPUTED_VALUE"""),6.0)</f>
        <v>6</v>
      </c>
      <c r="G610" s="5">
        <f>IFERROR(__xludf.DUMMYFUNCTION("""COMPUTED_VALUE"""),1.0610064E7)</f>
        <v>10610064</v>
      </c>
    </row>
    <row r="611">
      <c r="A611" s="3">
        <f>IFERROR(__xludf.DUMMYFUNCTION("""COMPUTED_VALUE"""),161.0)</f>
        <v>161</v>
      </c>
      <c r="B611" s="2" t="str">
        <f>IFERROR(__xludf.DUMMYFUNCTION("""COMPUTED_VALUE"""),"MYMENSINGH")</f>
        <v>MYMENSINGH</v>
      </c>
      <c r="C611" s="4">
        <f>IFERROR(__xludf.DUMMYFUNCTION("""COMPUTED_VALUE"""),10.0)</f>
        <v>10</v>
      </c>
      <c r="D611" s="2" t="str">
        <f>IFERROR(__xludf.DUMMYFUNCTION("""COMPUTED_VALUE"""),"AGRANI BANK LTD.")</f>
        <v>AGRANI BANK LTD.</v>
      </c>
      <c r="E611" s="2" t="str">
        <f>IFERROR(__xludf.DUMMYFUNCTION("""COMPUTED_VALUE"""),"ATHAROBARI")</f>
        <v>ATHAROBARI</v>
      </c>
      <c r="F611" s="3">
        <f>IFERROR(__xludf.DUMMYFUNCTION("""COMPUTED_VALUE"""),13.0)</f>
        <v>13</v>
      </c>
      <c r="G611" s="5">
        <f>IFERROR(__xludf.DUMMYFUNCTION("""COMPUTED_VALUE"""),1.061013E7)</f>
        <v>10610130</v>
      </c>
    </row>
    <row r="612">
      <c r="A612" s="3">
        <f>IFERROR(__xludf.DUMMYFUNCTION("""COMPUTED_VALUE"""),161.0)</f>
        <v>161</v>
      </c>
      <c r="B612" s="2" t="str">
        <f>IFERROR(__xludf.DUMMYFUNCTION("""COMPUTED_VALUE"""),"MYMENSINGH")</f>
        <v>MYMENSINGH</v>
      </c>
      <c r="C612" s="4">
        <f>IFERROR(__xludf.DUMMYFUNCTION("""COMPUTED_VALUE"""),10.0)</f>
        <v>10</v>
      </c>
      <c r="D612" s="2" t="str">
        <f>IFERROR(__xludf.DUMMYFUNCTION("""COMPUTED_VALUE"""),"AGRANI BANK LTD.")</f>
        <v>AGRANI BANK LTD.</v>
      </c>
      <c r="E612" s="2" t="str">
        <f>IFERROR(__xludf.DUMMYFUNCTION("""COMPUTED_VALUE"""),"BHAITKANDI")</f>
        <v>BHAITKANDI</v>
      </c>
      <c r="F612" s="3">
        <f>IFERROR(__xludf.DUMMYFUNCTION("""COMPUTED_VALUE"""),28.0)</f>
        <v>28</v>
      </c>
      <c r="G612" s="5">
        <f>IFERROR(__xludf.DUMMYFUNCTION("""COMPUTED_VALUE"""),1.061028E7)</f>
        <v>10610280</v>
      </c>
    </row>
    <row r="613">
      <c r="A613" s="3">
        <f>IFERROR(__xludf.DUMMYFUNCTION("""COMPUTED_VALUE"""),161.0)</f>
        <v>161</v>
      </c>
      <c r="B613" s="2" t="str">
        <f>IFERROR(__xludf.DUMMYFUNCTION("""COMPUTED_VALUE"""),"MYMENSINGH")</f>
        <v>MYMENSINGH</v>
      </c>
      <c r="C613" s="4">
        <f>IFERROR(__xludf.DUMMYFUNCTION("""COMPUTED_VALUE"""),10.0)</f>
        <v>10</v>
      </c>
      <c r="D613" s="2" t="str">
        <f>IFERROR(__xludf.DUMMYFUNCTION("""COMPUTED_VALUE"""),"AGRANI BANK LTD.")</f>
        <v>AGRANI BANK LTD.</v>
      </c>
      <c r="E613" s="2" t="str">
        <f>IFERROR(__xludf.DUMMYFUNCTION("""COMPUTED_VALUE"""),"BHALUKA")</f>
        <v>BHALUKA</v>
      </c>
      <c r="F613" s="3">
        <f>IFERROR(__xludf.DUMMYFUNCTION("""COMPUTED_VALUE"""),31.0)</f>
        <v>31</v>
      </c>
      <c r="G613" s="5">
        <f>IFERROR(__xludf.DUMMYFUNCTION("""COMPUTED_VALUE"""),1.0610314E7)</f>
        <v>10610314</v>
      </c>
    </row>
    <row r="614">
      <c r="A614" s="3">
        <f>IFERROR(__xludf.DUMMYFUNCTION("""COMPUTED_VALUE"""),161.0)</f>
        <v>161</v>
      </c>
      <c r="B614" s="2" t="str">
        <f>IFERROR(__xludf.DUMMYFUNCTION("""COMPUTED_VALUE"""),"MYMENSINGH")</f>
        <v>MYMENSINGH</v>
      </c>
      <c r="C614" s="4">
        <f>IFERROR(__xludf.DUMMYFUNCTION("""COMPUTED_VALUE"""),10.0)</f>
        <v>10</v>
      </c>
      <c r="D614" s="2" t="str">
        <f>IFERROR(__xludf.DUMMYFUNCTION("""COMPUTED_VALUE"""),"AGRANI BANK LTD.")</f>
        <v>AGRANI BANK LTD.</v>
      </c>
      <c r="E614" s="2" t="str">
        <f>IFERROR(__xludf.DUMMYFUNCTION("""COMPUTED_VALUE"""),"BIDYAGANJ BAZAR")</f>
        <v>BIDYAGANJ BAZAR</v>
      </c>
      <c r="F614" s="3">
        <f>IFERROR(__xludf.DUMMYFUNCTION("""COMPUTED_VALUE"""),33.0)</f>
        <v>33</v>
      </c>
      <c r="G614" s="5">
        <f>IFERROR(__xludf.DUMMYFUNCTION("""COMPUTED_VALUE"""),1.061033E7)</f>
        <v>10610330</v>
      </c>
    </row>
    <row r="615">
      <c r="A615" s="3">
        <f>IFERROR(__xludf.DUMMYFUNCTION("""COMPUTED_VALUE"""),161.0)</f>
        <v>161</v>
      </c>
      <c r="B615" s="2" t="str">
        <f>IFERROR(__xludf.DUMMYFUNCTION("""COMPUTED_VALUE"""),"MYMENSINGH")</f>
        <v>MYMENSINGH</v>
      </c>
      <c r="C615" s="4">
        <f>IFERROR(__xludf.DUMMYFUNCTION("""COMPUTED_VALUE"""),10.0)</f>
        <v>10</v>
      </c>
      <c r="D615" s="2" t="str">
        <f>IFERROR(__xludf.DUMMYFUNCTION("""COMPUTED_VALUE"""),"AGRANI BANK LTD.")</f>
        <v>AGRANI BANK LTD.</v>
      </c>
      <c r="E615" s="2" t="str">
        <f>IFERROR(__xludf.DUMMYFUNCTION("""COMPUTED_VALUE"""),"C.K. GHOSH ROAD")</f>
        <v>C.K. GHOSH ROAD</v>
      </c>
      <c r="F615" s="3">
        <f>IFERROR(__xludf.DUMMYFUNCTION("""COMPUTED_VALUE"""),40.0)</f>
        <v>40</v>
      </c>
      <c r="G615" s="5">
        <f>IFERROR(__xludf.DUMMYFUNCTION("""COMPUTED_VALUE"""),1.0610406E7)</f>
        <v>10610406</v>
      </c>
    </row>
    <row r="616">
      <c r="A616" s="3">
        <f>IFERROR(__xludf.DUMMYFUNCTION("""COMPUTED_VALUE"""),161.0)</f>
        <v>161</v>
      </c>
      <c r="B616" s="2" t="str">
        <f>IFERROR(__xludf.DUMMYFUNCTION("""COMPUTED_VALUE"""),"MYMENSINGH")</f>
        <v>MYMENSINGH</v>
      </c>
      <c r="C616" s="4">
        <f>IFERROR(__xludf.DUMMYFUNCTION("""COMPUTED_VALUE"""),10.0)</f>
        <v>10</v>
      </c>
      <c r="D616" s="2" t="str">
        <f>IFERROR(__xludf.DUMMYFUNCTION("""COMPUTED_VALUE"""),"AGRANI BANK LTD.")</f>
        <v>AGRANI BANK LTD.</v>
      </c>
      <c r="E616" s="2" t="str">
        <f>IFERROR(__xludf.DUMMYFUNCTION("""COMPUTED_VALUE"""),"CHHOTO BAZAR")</f>
        <v>CHHOTO BAZAR</v>
      </c>
      <c r="F616" s="3">
        <f>IFERROR(__xludf.DUMMYFUNCTION("""COMPUTED_VALUE"""),58.0)</f>
        <v>58</v>
      </c>
      <c r="G616" s="5">
        <f>IFERROR(__xludf.DUMMYFUNCTION("""COMPUTED_VALUE"""),1.0610585E7)</f>
        <v>10610585</v>
      </c>
    </row>
    <row r="617">
      <c r="A617" s="3">
        <f>IFERROR(__xludf.DUMMYFUNCTION("""COMPUTED_VALUE"""),161.0)</f>
        <v>161</v>
      </c>
      <c r="B617" s="2" t="str">
        <f>IFERROR(__xludf.DUMMYFUNCTION("""COMPUTED_VALUE"""),"MYMENSINGH")</f>
        <v>MYMENSINGH</v>
      </c>
      <c r="C617" s="4">
        <f>IFERROR(__xludf.DUMMYFUNCTION("""COMPUTED_VALUE"""),10.0)</f>
        <v>10</v>
      </c>
      <c r="D617" s="2" t="str">
        <f>IFERROR(__xludf.DUMMYFUNCTION("""COMPUTED_VALUE"""),"AGRANI BANK LTD.")</f>
        <v>AGRANI BANK LTD.</v>
      </c>
      <c r="E617" s="2" t="str">
        <f>IFERROR(__xludf.DUMMYFUNCTION("""COMPUTED_VALUE"""),"DHARA BAZAR")</f>
        <v>DHARA BAZAR</v>
      </c>
      <c r="F617" s="3">
        <f>IFERROR(__xludf.DUMMYFUNCTION("""COMPUTED_VALUE"""),82.0)</f>
        <v>82</v>
      </c>
      <c r="G617" s="5">
        <f>IFERROR(__xludf.DUMMYFUNCTION("""COMPUTED_VALUE"""),1.0610822E7)</f>
        <v>10610822</v>
      </c>
    </row>
    <row r="618">
      <c r="A618" s="3">
        <f>IFERROR(__xludf.DUMMYFUNCTION("""COMPUTED_VALUE"""),161.0)</f>
        <v>161</v>
      </c>
      <c r="B618" s="2" t="str">
        <f>IFERROR(__xludf.DUMMYFUNCTION("""COMPUTED_VALUE"""),"MYMENSINGH")</f>
        <v>MYMENSINGH</v>
      </c>
      <c r="C618" s="4">
        <f>IFERROR(__xludf.DUMMYFUNCTION("""COMPUTED_VALUE"""),10.0)</f>
        <v>10</v>
      </c>
      <c r="D618" s="2" t="str">
        <f>IFERROR(__xludf.DUMMYFUNCTION("""COMPUTED_VALUE"""),"AGRANI BANK LTD.")</f>
        <v>AGRANI BANK LTD.</v>
      </c>
      <c r="E618" s="2" t="str">
        <f>IFERROR(__xludf.DUMMYFUNCTION("""COMPUTED_VALUE"""),"FULPUR")</f>
        <v>FULPUR</v>
      </c>
      <c r="F618" s="3">
        <f>IFERROR(__xludf.DUMMYFUNCTION("""COMPUTED_VALUE"""),97.0)</f>
        <v>97</v>
      </c>
      <c r="G618" s="5">
        <f>IFERROR(__xludf.DUMMYFUNCTION("""COMPUTED_VALUE"""),1.0610972E7)</f>
        <v>10610972</v>
      </c>
    </row>
    <row r="619">
      <c r="A619" s="3">
        <f>IFERROR(__xludf.DUMMYFUNCTION("""COMPUTED_VALUE"""),161.0)</f>
        <v>161</v>
      </c>
      <c r="B619" s="2" t="str">
        <f>IFERROR(__xludf.DUMMYFUNCTION("""COMPUTED_VALUE"""),"MYMENSINGH")</f>
        <v>MYMENSINGH</v>
      </c>
      <c r="C619" s="4">
        <f>IFERROR(__xludf.DUMMYFUNCTION("""COMPUTED_VALUE"""),10.0)</f>
        <v>10</v>
      </c>
      <c r="D619" s="2" t="str">
        <f>IFERROR(__xludf.DUMMYFUNCTION("""COMPUTED_VALUE"""),"AGRANI BANK LTD.")</f>
        <v>AGRANI BANK LTD.</v>
      </c>
      <c r="E619" s="2" t="str">
        <f>IFERROR(__xludf.DUMMYFUNCTION("""COMPUTED_VALUE"""),"GAFFARGAON")</f>
        <v>GAFFARGAON</v>
      </c>
      <c r="F619" s="3">
        <f>IFERROR(__xludf.DUMMYFUNCTION("""COMPUTED_VALUE"""),100.0)</f>
        <v>100</v>
      </c>
      <c r="G619" s="5">
        <f>IFERROR(__xludf.DUMMYFUNCTION("""COMPUTED_VALUE"""),1.0611005E7)</f>
        <v>10611005</v>
      </c>
    </row>
    <row r="620">
      <c r="A620" s="3">
        <f>IFERROR(__xludf.DUMMYFUNCTION("""COMPUTED_VALUE"""),161.0)</f>
        <v>161</v>
      </c>
      <c r="B620" s="2" t="str">
        <f>IFERROR(__xludf.DUMMYFUNCTION("""COMPUTED_VALUE"""),"MYMENSINGH")</f>
        <v>MYMENSINGH</v>
      </c>
      <c r="C620" s="4">
        <f>IFERROR(__xludf.DUMMYFUNCTION("""COMPUTED_VALUE"""),10.0)</f>
        <v>10</v>
      </c>
      <c r="D620" s="2" t="str">
        <f>IFERROR(__xludf.DUMMYFUNCTION("""COMPUTED_VALUE"""),"AGRANI BANK LTD.")</f>
        <v>AGRANI BANK LTD.</v>
      </c>
      <c r="E620" s="2" t="str">
        <f>IFERROR(__xludf.DUMMYFUNCTION("""COMPUTED_VALUE"""),"GIRLS CADET COLLEGE")</f>
        <v>GIRLS CADET COLLEGE</v>
      </c>
      <c r="F620" s="3">
        <f>IFERROR(__xludf.DUMMYFUNCTION("""COMPUTED_VALUE"""),103.0)</f>
        <v>103</v>
      </c>
      <c r="G620" s="5">
        <f>IFERROR(__xludf.DUMMYFUNCTION("""COMPUTED_VALUE"""),1.0611034E7)</f>
        <v>10611034</v>
      </c>
    </row>
    <row r="621">
      <c r="A621" s="3">
        <f>IFERROR(__xludf.DUMMYFUNCTION("""COMPUTED_VALUE"""),161.0)</f>
        <v>161</v>
      </c>
      <c r="B621" s="2" t="str">
        <f>IFERROR(__xludf.DUMMYFUNCTION("""COMPUTED_VALUE"""),"MYMENSINGH")</f>
        <v>MYMENSINGH</v>
      </c>
      <c r="C621" s="4">
        <f>IFERROR(__xludf.DUMMYFUNCTION("""COMPUTED_VALUE"""),10.0)</f>
        <v>10</v>
      </c>
      <c r="D621" s="2" t="str">
        <f>IFERROR(__xludf.DUMMYFUNCTION("""COMPUTED_VALUE"""),"AGRANI BANK LTD.")</f>
        <v>AGRANI BANK LTD.</v>
      </c>
      <c r="E621" s="2" t="str">
        <f>IFERROR(__xludf.DUMMYFUNCTION("""COMPUTED_VALUE"""),"ISHWARGANJ")</f>
        <v>ISHWARGANJ</v>
      </c>
      <c r="F621" s="3">
        <f>IFERROR(__xludf.DUMMYFUNCTION("""COMPUTED_VALUE"""),118.0)</f>
        <v>118</v>
      </c>
      <c r="G621" s="5">
        <f>IFERROR(__xludf.DUMMYFUNCTION("""COMPUTED_VALUE"""),1.0611184E7)</f>
        <v>10611184</v>
      </c>
    </row>
    <row r="622">
      <c r="A622" s="3">
        <f>IFERROR(__xludf.DUMMYFUNCTION("""COMPUTED_VALUE"""),161.0)</f>
        <v>161</v>
      </c>
      <c r="B622" s="2" t="str">
        <f>IFERROR(__xludf.DUMMYFUNCTION("""COMPUTED_VALUE"""),"MYMENSINGH")</f>
        <v>MYMENSINGH</v>
      </c>
      <c r="C622" s="4">
        <f>IFERROR(__xludf.DUMMYFUNCTION("""COMPUTED_VALUE"""),10.0)</f>
        <v>10</v>
      </c>
      <c r="D622" s="2" t="str">
        <f>IFERROR(__xludf.DUMMYFUNCTION("""COMPUTED_VALUE"""),"AGRANI BANK LTD.")</f>
        <v>AGRANI BANK LTD.</v>
      </c>
      <c r="E622" s="2" t="str">
        <f>IFERROR(__xludf.DUMMYFUNCTION("""COMPUTED_VALUE"""),"KALIGANJ BAZAR")</f>
        <v>KALIGANJ BAZAR</v>
      </c>
      <c r="F622" s="3">
        <f>IFERROR(__xludf.DUMMYFUNCTION("""COMPUTED_VALUE"""),124.0)</f>
        <v>124</v>
      </c>
      <c r="G622" s="5">
        <f>IFERROR(__xludf.DUMMYFUNCTION("""COMPUTED_VALUE"""),1.0611247E7)</f>
        <v>10611247</v>
      </c>
    </row>
    <row r="623">
      <c r="A623" s="3">
        <f>IFERROR(__xludf.DUMMYFUNCTION("""COMPUTED_VALUE"""),161.0)</f>
        <v>161</v>
      </c>
      <c r="B623" s="2" t="str">
        <f>IFERROR(__xludf.DUMMYFUNCTION("""COMPUTED_VALUE"""),"MYMENSINGH")</f>
        <v>MYMENSINGH</v>
      </c>
      <c r="C623" s="4">
        <f>IFERROR(__xludf.DUMMYFUNCTION("""COMPUTED_VALUE"""),10.0)</f>
        <v>10</v>
      </c>
      <c r="D623" s="2" t="str">
        <f>IFERROR(__xludf.DUMMYFUNCTION("""COMPUTED_VALUE"""),"AGRANI BANK LTD.")</f>
        <v>AGRANI BANK LTD.</v>
      </c>
      <c r="E623" s="2" t="str">
        <f>IFERROR(__xludf.DUMMYFUNCTION("""COMPUTED_VALUE"""),"KASHIGANJ")</f>
        <v>KASHIGANJ</v>
      </c>
      <c r="F623" s="3">
        <f>IFERROR(__xludf.DUMMYFUNCTION("""COMPUTED_VALUE"""),130.0)</f>
        <v>130</v>
      </c>
      <c r="G623" s="5">
        <f>IFERROR(__xludf.DUMMYFUNCTION("""COMPUTED_VALUE"""),1.06113E7)</f>
        <v>10611300</v>
      </c>
    </row>
    <row r="624">
      <c r="A624" s="3">
        <f>IFERROR(__xludf.DUMMYFUNCTION("""COMPUTED_VALUE"""),161.0)</f>
        <v>161</v>
      </c>
      <c r="B624" s="2" t="str">
        <f>IFERROR(__xludf.DUMMYFUNCTION("""COMPUTED_VALUE"""),"MYMENSINGH")</f>
        <v>MYMENSINGH</v>
      </c>
      <c r="C624" s="4">
        <f>IFERROR(__xludf.DUMMYFUNCTION("""COMPUTED_VALUE"""),10.0)</f>
        <v>10</v>
      </c>
      <c r="D624" s="2" t="str">
        <f>IFERROR(__xludf.DUMMYFUNCTION("""COMPUTED_VALUE"""),"AGRANI BANK LTD.")</f>
        <v>AGRANI BANK LTD.</v>
      </c>
      <c r="E624" s="2" t="str">
        <f>IFERROR(__xludf.DUMMYFUNCTION("""COMPUTED_VALUE"""),"MECHUA BAZAR")</f>
        <v>MECHUA BAZAR</v>
      </c>
      <c r="F624" s="3">
        <f>IFERROR(__xludf.DUMMYFUNCTION("""COMPUTED_VALUE"""),160.0)</f>
        <v>160</v>
      </c>
      <c r="G624" s="5">
        <f>IFERROR(__xludf.DUMMYFUNCTION("""COMPUTED_VALUE"""),1.0611605E7)</f>
        <v>10611605</v>
      </c>
    </row>
    <row r="625">
      <c r="A625" s="3">
        <f>IFERROR(__xludf.DUMMYFUNCTION("""COMPUTED_VALUE"""),161.0)</f>
        <v>161</v>
      </c>
      <c r="B625" s="2" t="str">
        <f>IFERROR(__xludf.DUMMYFUNCTION("""COMPUTED_VALUE"""),"MYMENSINGH")</f>
        <v>MYMENSINGH</v>
      </c>
      <c r="C625" s="4">
        <f>IFERROR(__xludf.DUMMYFUNCTION("""COMPUTED_VALUE"""),10.0)</f>
        <v>10</v>
      </c>
      <c r="D625" s="2" t="str">
        <f>IFERROR(__xludf.DUMMYFUNCTION("""COMPUTED_VALUE"""),"AGRANI BANK LTD.")</f>
        <v>AGRANI BANK LTD.</v>
      </c>
      <c r="E625" s="2" t="str">
        <f>IFERROR(__xludf.DUMMYFUNCTION("""COMPUTED_VALUE"""),"MEDICAL COLLAGE")</f>
        <v>MEDICAL COLLAGE</v>
      </c>
      <c r="F625" s="3">
        <f>IFERROR(__xludf.DUMMYFUNCTION("""COMPUTED_VALUE"""),163.0)</f>
        <v>163</v>
      </c>
      <c r="G625" s="5">
        <f>IFERROR(__xludf.DUMMYFUNCTION("""COMPUTED_VALUE"""),1.0611634E7)</f>
        <v>10611634</v>
      </c>
    </row>
    <row r="626">
      <c r="A626" s="3">
        <f>IFERROR(__xludf.DUMMYFUNCTION("""COMPUTED_VALUE"""),161.0)</f>
        <v>161</v>
      </c>
      <c r="B626" s="2" t="str">
        <f>IFERROR(__xludf.DUMMYFUNCTION("""COMPUTED_VALUE"""),"MYMENSINGH")</f>
        <v>MYMENSINGH</v>
      </c>
      <c r="C626" s="4">
        <f>IFERROR(__xludf.DUMMYFUNCTION("""COMPUTED_VALUE"""),10.0)</f>
        <v>10</v>
      </c>
      <c r="D626" s="2" t="str">
        <f>IFERROR(__xludf.DUMMYFUNCTION("""COMPUTED_VALUE"""),"AGRANI BANK LTD.")</f>
        <v>AGRANI BANK LTD.</v>
      </c>
      <c r="E626" s="2" t="str">
        <f>IFERROR(__xludf.DUMMYFUNCTION("""COMPUTED_VALUE"""),"MUKTAGACHA")</f>
        <v>MUKTAGACHA</v>
      </c>
      <c r="F626" s="3">
        <f>IFERROR(__xludf.DUMMYFUNCTION("""COMPUTED_VALUE"""),169.0)</f>
        <v>169</v>
      </c>
      <c r="G626" s="5">
        <f>IFERROR(__xludf.DUMMYFUNCTION("""COMPUTED_VALUE"""),1.0611692E7)</f>
        <v>10611692</v>
      </c>
    </row>
    <row r="627">
      <c r="A627" s="3">
        <f>IFERROR(__xludf.DUMMYFUNCTION("""COMPUTED_VALUE"""),161.0)</f>
        <v>161</v>
      </c>
      <c r="B627" s="2" t="str">
        <f>IFERROR(__xludf.DUMMYFUNCTION("""COMPUTED_VALUE"""),"MYMENSINGH")</f>
        <v>MYMENSINGH</v>
      </c>
      <c r="C627" s="4">
        <f>IFERROR(__xludf.DUMMYFUNCTION("""COMPUTED_VALUE"""),10.0)</f>
        <v>10</v>
      </c>
      <c r="D627" s="2" t="str">
        <f>IFERROR(__xludf.DUMMYFUNCTION("""COMPUTED_VALUE"""),"AGRANI BANK LTD.")</f>
        <v>AGRANI BANK LTD.</v>
      </c>
      <c r="E627" s="2" t="str">
        <f>IFERROR(__xludf.DUMMYFUNCTION("""COMPUTED_VALUE"""),"MYMENSINGH")</f>
        <v>MYMENSINGH</v>
      </c>
      <c r="F627" s="3">
        <f>IFERROR(__xludf.DUMMYFUNCTION("""COMPUTED_VALUE"""),175.0)</f>
        <v>175</v>
      </c>
      <c r="G627" s="5">
        <f>IFERROR(__xludf.DUMMYFUNCTION("""COMPUTED_VALUE"""),1.0611755E7)</f>
        <v>10611755</v>
      </c>
    </row>
    <row r="628">
      <c r="A628" s="3">
        <f>IFERROR(__xludf.DUMMYFUNCTION("""COMPUTED_VALUE"""),161.0)</f>
        <v>161</v>
      </c>
      <c r="B628" s="2" t="str">
        <f>IFERROR(__xludf.DUMMYFUNCTION("""COMPUTED_VALUE"""),"MYMENSINGH")</f>
        <v>MYMENSINGH</v>
      </c>
      <c r="C628" s="4">
        <f>IFERROR(__xludf.DUMMYFUNCTION("""COMPUTED_VALUE"""),10.0)</f>
        <v>10</v>
      </c>
      <c r="D628" s="2" t="str">
        <f>IFERROR(__xludf.DUMMYFUNCTION("""COMPUTED_VALUE"""),"AGRANI BANK LTD.")</f>
        <v>AGRANI BANK LTD.</v>
      </c>
      <c r="E628" s="2" t="str">
        <f>IFERROR(__xludf.DUMMYFUNCTION("""COMPUTED_VALUE"""),"TRISHAL")</f>
        <v>TRISHAL</v>
      </c>
      <c r="F628" s="3">
        <f>IFERROR(__xludf.DUMMYFUNCTION("""COMPUTED_VALUE"""),235.0)</f>
        <v>235</v>
      </c>
      <c r="G628" s="5">
        <f>IFERROR(__xludf.DUMMYFUNCTION("""COMPUTED_VALUE"""),1.0612354E7)</f>
        <v>10612354</v>
      </c>
    </row>
    <row r="629">
      <c r="A629" s="3">
        <f>IFERROR(__xludf.DUMMYFUNCTION("""COMPUTED_VALUE"""),564.0)</f>
        <v>564</v>
      </c>
      <c r="B629" s="2" t="str">
        <f>IFERROR(__xludf.DUMMYFUNCTION("""COMPUTED_VALUE"""),"NAOGAON")</f>
        <v>NAOGAON</v>
      </c>
      <c r="C629" s="4">
        <f>IFERROR(__xludf.DUMMYFUNCTION("""COMPUTED_VALUE"""),10.0)</f>
        <v>10</v>
      </c>
      <c r="D629" s="2" t="str">
        <f>IFERROR(__xludf.DUMMYFUNCTION("""COMPUTED_VALUE"""),"AGRANI BANK LTD.")</f>
        <v>AGRANI BANK LTD.</v>
      </c>
      <c r="E629" s="2" t="str">
        <f>IFERROR(__xludf.DUMMYFUNCTION("""COMPUTED_VALUE"""),"AHSANGANJ")</f>
        <v>AHSANGANJ</v>
      </c>
      <c r="F629" s="3">
        <f>IFERROR(__xludf.DUMMYFUNCTION("""COMPUTED_VALUE"""),10.0)</f>
        <v>10</v>
      </c>
      <c r="G629" s="5">
        <f>IFERROR(__xludf.DUMMYFUNCTION("""COMPUTED_VALUE"""),1.06401E7)</f>
        <v>10640100</v>
      </c>
    </row>
    <row r="630">
      <c r="A630" s="3">
        <f>IFERROR(__xludf.DUMMYFUNCTION("""COMPUTED_VALUE"""),564.0)</f>
        <v>564</v>
      </c>
      <c r="B630" s="2" t="str">
        <f>IFERROR(__xludf.DUMMYFUNCTION("""COMPUTED_VALUE"""),"NAOGAON")</f>
        <v>NAOGAON</v>
      </c>
      <c r="C630" s="4">
        <f>IFERROR(__xludf.DUMMYFUNCTION("""COMPUTED_VALUE"""),10.0)</f>
        <v>10</v>
      </c>
      <c r="D630" s="2" t="str">
        <f>IFERROR(__xludf.DUMMYFUNCTION("""COMPUTED_VALUE"""),"AGRANI BANK LTD.")</f>
        <v>AGRANI BANK LTD.</v>
      </c>
      <c r="E630" s="2" t="str">
        <f>IFERROR(__xludf.DUMMYFUNCTION("""COMPUTED_VALUE"""),"AI-HAI")</f>
        <v>AI-HAI</v>
      </c>
      <c r="F630" s="3">
        <f>IFERROR(__xludf.DUMMYFUNCTION("""COMPUTED_VALUE"""),13.0)</f>
        <v>13</v>
      </c>
      <c r="G630" s="5">
        <f>IFERROR(__xludf.DUMMYFUNCTION("""COMPUTED_VALUE"""),1.0640139E7)</f>
        <v>10640139</v>
      </c>
    </row>
    <row r="631">
      <c r="A631" s="3">
        <f>IFERROR(__xludf.DUMMYFUNCTION("""COMPUTED_VALUE"""),564.0)</f>
        <v>564</v>
      </c>
      <c r="B631" s="2" t="str">
        <f>IFERROR(__xludf.DUMMYFUNCTION("""COMPUTED_VALUE"""),"NAOGAON")</f>
        <v>NAOGAON</v>
      </c>
      <c r="C631" s="4">
        <f>IFERROR(__xludf.DUMMYFUNCTION("""COMPUTED_VALUE"""),10.0)</f>
        <v>10</v>
      </c>
      <c r="D631" s="2" t="str">
        <f>IFERROR(__xludf.DUMMYFUNCTION("""COMPUTED_VALUE"""),"AGRANI BANK LTD.")</f>
        <v>AGRANI BANK LTD.</v>
      </c>
      <c r="E631" s="2" t="str">
        <f>IFERROR(__xludf.DUMMYFUNCTION("""COMPUTED_VALUE"""),"BOALIA")</f>
        <v>BOALIA</v>
      </c>
      <c r="F631" s="3">
        <f>IFERROR(__xludf.DUMMYFUNCTION("""COMPUTED_VALUE"""),40.0)</f>
        <v>40</v>
      </c>
      <c r="G631" s="5">
        <f>IFERROR(__xludf.DUMMYFUNCTION("""COMPUTED_VALUE"""),1.0640405E7)</f>
        <v>10640405</v>
      </c>
    </row>
    <row r="632">
      <c r="A632" s="3">
        <f>IFERROR(__xludf.DUMMYFUNCTION("""COMPUTED_VALUE"""),564.0)</f>
        <v>564</v>
      </c>
      <c r="B632" s="2" t="str">
        <f>IFERROR(__xludf.DUMMYFUNCTION("""COMPUTED_VALUE"""),"NAOGAON")</f>
        <v>NAOGAON</v>
      </c>
      <c r="C632" s="4">
        <f>IFERROR(__xludf.DUMMYFUNCTION("""COMPUTED_VALUE"""),10.0)</f>
        <v>10</v>
      </c>
      <c r="D632" s="2" t="str">
        <f>IFERROR(__xludf.DUMMYFUNCTION("""COMPUTED_VALUE"""),"AGRANI BANK LTD.")</f>
        <v>AGRANI BANK LTD.</v>
      </c>
      <c r="E632" s="2" t="str">
        <f>IFERROR(__xludf.DUMMYFUNCTION("""COMPUTED_VALUE"""),"BUS STAND")</f>
        <v>BUS STAND</v>
      </c>
      <c r="F632" s="3">
        <f>IFERROR(__xludf.DUMMYFUNCTION("""COMPUTED_VALUE"""),43.0)</f>
        <v>43</v>
      </c>
      <c r="G632" s="5">
        <f>IFERROR(__xludf.DUMMYFUNCTION("""COMPUTED_VALUE"""),1.0640434E7)</f>
        <v>10640434</v>
      </c>
    </row>
    <row r="633">
      <c r="A633" s="3">
        <f>IFERROR(__xludf.DUMMYFUNCTION("""COMPUTED_VALUE"""),564.0)</f>
        <v>564</v>
      </c>
      <c r="B633" s="2" t="str">
        <f>IFERROR(__xludf.DUMMYFUNCTION("""COMPUTED_VALUE"""),"NAOGAON")</f>
        <v>NAOGAON</v>
      </c>
      <c r="C633" s="4">
        <f>IFERROR(__xludf.DUMMYFUNCTION("""COMPUTED_VALUE"""),10.0)</f>
        <v>10</v>
      </c>
      <c r="D633" s="2" t="str">
        <f>IFERROR(__xludf.DUMMYFUNCTION("""COMPUTED_VALUE"""),"AGRANI BANK LTD.")</f>
        <v>AGRANI BANK LTD.</v>
      </c>
      <c r="E633" s="2" t="str">
        <f>IFERROR(__xludf.DUMMYFUNCTION("""COMPUTED_VALUE"""),"KASHAB")</f>
        <v>KASHAB</v>
      </c>
      <c r="F633" s="3">
        <f>IFERROR(__xludf.DUMMYFUNCTION("""COMPUTED_VALUE"""),79.0)</f>
        <v>79</v>
      </c>
      <c r="G633" s="5">
        <f>IFERROR(__xludf.DUMMYFUNCTION("""COMPUTED_VALUE"""),1.0640797E7)</f>
        <v>10640797</v>
      </c>
    </row>
    <row r="634">
      <c r="A634" s="3">
        <f>IFERROR(__xludf.DUMMYFUNCTION("""COMPUTED_VALUE"""),564.0)</f>
        <v>564</v>
      </c>
      <c r="B634" s="2" t="str">
        <f>IFERROR(__xludf.DUMMYFUNCTION("""COMPUTED_VALUE"""),"NAOGAON")</f>
        <v>NAOGAON</v>
      </c>
      <c r="C634" s="4">
        <f>IFERROR(__xludf.DUMMYFUNCTION("""COMPUTED_VALUE"""),10.0)</f>
        <v>10</v>
      </c>
      <c r="D634" s="2" t="str">
        <f>IFERROR(__xludf.DUMMYFUNCTION("""COMPUTED_VALUE"""),"AGRANI BANK LTD.")</f>
        <v>AGRANI BANK LTD.</v>
      </c>
      <c r="E634" s="2" t="str">
        <f>IFERROR(__xludf.DUMMYFUNCTION("""COMPUTED_VALUE"""),"MAINAMHAT")</f>
        <v>MAINAMHAT</v>
      </c>
      <c r="F634" s="3">
        <f>IFERROR(__xludf.DUMMYFUNCTION("""COMPUTED_VALUE"""),97.0)</f>
        <v>97</v>
      </c>
      <c r="G634" s="5">
        <f>IFERROR(__xludf.DUMMYFUNCTION("""COMPUTED_VALUE"""),1.0640971E7)</f>
        <v>10640971</v>
      </c>
    </row>
    <row r="635">
      <c r="A635" s="3">
        <f>IFERROR(__xludf.DUMMYFUNCTION("""COMPUTED_VALUE"""),564.0)</f>
        <v>564</v>
      </c>
      <c r="B635" s="2" t="str">
        <f>IFERROR(__xludf.DUMMYFUNCTION("""COMPUTED_VALUE"""),"NAOGAON")</f>
        <v>NAOGAON</v>
      </c>
      <c r="C635" s="4">
        <f>IFERROR(__xludf.DUMMYFUNCTION("""COMPUTED_VALUE"""),10.0)</f>
        <v>10</v>
      </c>
      <c r="D635" s="2" t="str">
        <f>IFERROR(__xludf.DUMMYFUNCTION("""COMPUTED_VALUE"""),"AGRANI BANK LTD.")</f>
        <v>AGRANI BANK LTD.</v>
      </c>
      <c r="E635" s="2" t="str">
        <f>IFERROR(__xludf.DUMMYFUNCTION("""COMPUTED_VALUE"""),"MATAZEE HAT")</f>
        <v>MATAZEE HAT</v>
      </c>
      <c r="F635" s="3">
        <f>IFERROR(__xludf.DUMMYFUNCTION("""COMPUTED_VALUE"""),106.0)</f>
        <v>106</v>
      </c>
      <c r="G635" s="5">
        <f>IFERROR(__xludf.DUMMYFUNCTION("""COMPUTED_VALUE"""),1.0641062E7)</f>
        <v>10641062</v>
      </c>
    </row>
    <row r="636">
      <c r="A636" s="3">
        <f>IFERROR(__xludf.DUMMYFUNCTION("""COMPUTED_VALUE"""),564.0)</f>
        <v>564</v>
      </c>
      <c r="B636" s="2" t="str">
        <f>IFERROR(__xludf.DUMMYFUNCTION("""COMPUTED_VALUE"""),"NAOGAON")</f>
        <v>NAOGAON</v>
      </c>
      <c r="C636" s="4">
        <f>IFERROR(__xludf.DUMMYFUNCTION("""COMPUTED_VALUE"""),10.0)</f>
        <v>10</v>
      </c>
      <c r="D636" s="2" t="str">
        <f>IFERROR(__xludf.DUMMYFUNCTION("""COMPUTED_VALUE"""),"AGRANI BANK LTD.")</f>
        <v>AGRANI BANK LTD.</v>
      </c>
      <c r="E636" s="2" t="str">
        <f>IFERROR(__xludf.DUMMYFUNCTION("""COMPUTED_VALUE"""),"NAOGAON")</f>
        <v>NAOGAON</v>
      </c>
      <c r="F636" s="3">
        <f>IFERROR(__xludf.DUMMYFUNCTION("""COMPUTED_VALUE"""),118.0)</f>
        <v>118</v>
      </c>
      <c r="G636" s="5">
        <f>IFERROR(__xludf.DUMMYFUNCTION("""COMPUTED_VALUE"""),1.0641183E7)</f>
        <v>10641183</v>
      </c>
    </row>
    <row r="637">
      <c r="A637" s="3">
        <f>IFERROR(__xludf.DUMMYFUNCTION("""COMPUTED_VALUE"""),564.0)</f>
        <v>564</v>
      </c>
      <c r="B637" s="2" t="str">
        <f>IFERROR(__xludf.DUMMYFUNCTION("""COMPUTED_VALUE"""),"NAOGAON")</f>
        <v>NAOGAON</v>
      </c>
      <c r="C637" s="4">
        <f>IFERROR(__xludf.DUMMYFUNCTION("""COMPUTED_VALUE"""),10.0)</f>
        <v>10</v>
      </c>
      <c r="D637" s="2" t="str">
        <f>IFERROR(__xludf.DUMMYFUNCTION("""COMPUTED_VALUE"""),"AGRANI BANK LTD.")</f>
        <v>AGRANI BANK LTD.</v>
      </c>
      <c r="E637" s="2" t="str">
        <f>IFERROR(__xludf.DUMMYFUNCTION("""COMPUTED_VALUE"""),"NITHPUR")</f>
        <v>NITHPUR</v>
      </c>
      <c r="F637" s="3">
        <f>IFERROR(__xludf.DUMMYFUNCTION("""COMPUTED_VALUE"""),133.0)</f>
        <v>133</v>
      </c>
      <c r="G637" s="5">
        <f>IFERROR(__xludf.DUMMYFUNCTION("""COMPUTED_VALUE"""),1.0641338E7)</f>
        <v>10641338</v>
      </c>
    </row>
    <row r="638">
      <c r="A638" s="3">
        <f>IFERROR(__xludf.DUMMYFUNCTION("""COMPUTED_VALUE"""),564.0)</f>
        <v>564</v>
      </c>
      <c r="B638" s="2" t="str">
        <f>IFERROR(__xludf.DUMMYFUNCTION("""COMPUTED_VALUE"""),"NAOGAON")</f>
        <v>NAOGAON</v>
      </c>
      <c r="C638" s="4">
        <f>IFERROR(__xludf.DUMMYFUNCTION("""COMPUTED_VALUE"""),10.0)</f>
        <v>10</v>
      </c>
      <c r="D638" s="2" t="str">
        <f>IFERROR(__xludf.DUMMYFUNCTION("""COMPUTED_VALUE"""),"AGRANI BANK LTD.")</f>
        <v>AGRANI BANK LTD.</v>
      </c>
      <c r="E638" s="2" t="str">
        <f>IFERROR(__xludf.DUMMYFUNCTION("""COMPUTED_VALUE"""),"PATNITALA")</f>
        <v>PATNITALA</v>
      </c>
      <c r="F638" s="3">
        <f>IFERROR(__xludf.DUMMYFUNCTION("""COMPUTED_VALUE"""),145.0)</f>
        <v>145</v>
      </c>
      <c r="G638" s="5">
        <f>IFERROR(__xludf.DUMMYFUNCTION("""COMPUTED_VALUE"""),1.0641459E7)</f>
        <v>10641459</v>
      </c>
    </row>
    <row r="639">
      <c r="A639" s="3">
        <f>IFERROR(__xludf.DUMMYFUNCTION("""COMPUTED_VALUE"""),564.0)</f>
        <v>564</v>
      </c>
      <c r="B639" s="2" t="str">
        <f>IFERROR(__xludf.DUMMYFUNCTION("""COMPUTED_VALUE"""),"NAOGAON")</f>
        <v>NAOGAON</v>
      </c>
      <c r="C639" s="4">
        <f>IFERROR(__xludf.DUMMYFUNCTION("""COMPUTED_VALUE"""),10.0)</f>
        <v>10</v>
      </c>
      <c r="D639" s="2" t="str">
        <f>IFERROR(__xludf.DUMMYFUNCTION("""COMPUTED_VALUE"""),"AGRANI BANK LTD.")</f>
        <v>AGRANI BANK LTD.</v>
      </c>
      <c r="E639" s="2" t="str">
        <f>IFERROR(__xludf.DUMMYFUNCTION("""COMPUTED_VALUE"""),"PORSHA")</f>
        <v>PORSHA</v>
      </c>
      <c r="F639" s="3">
        <f>IFERROR(__xludf.DUMMYFUNCTION("""COMPUTED_VALUE"""),151.0)</f>
        <v>151</v>
      </c>
      <c r="G639" s="5">
        <f>IFERROR(__xludf.DUMMYFUNCTION("""COMPUTED_VALUE"""),1.0641512E7)</f>
        <v>10641512</v>
      </c>
    </row>
    <row r="640">
      <c r="A640" s="3">
        <f>IFERROR(__xludf.DUMMYFUNCTION("""COMPUTED_VALUE"""),564.0)</f>
        <v>564</v>
      </c>
      <c r="B640" s="2" t="str">
        <f>IFERROR(__xludf.DUMMYFUNCTION("""COMPUTED_VALUE"""),"NAOGAON")</f>
        <v>NAOGAON</v>
      </c>
      <c r="C640" s="4">
        <f>IFERROR(__xludf.DUMMYFUNCTION("""COMPUTED_VALUE"""),10.0)</f>
        <v>10</v>
      </c>
      <c r="D640" s="2" t="str">
        <f>IFERROR(__xludf.DUMMYFUNCTION("""COMPUTED_VALUE"""),"AGRANI BANK LTD.")</f>
        <v>AGRANI BANK LTD.</v>
      </c>
      <c r="E640" s="2" t="str">
        <f>IFERROR(__xludf.DUMMYFUNCTION("""COMPUTED_VALUE"""),"SAPAHAR")</f>
        <v>SAPAHAR</v>
      </c>
      <c r="F640" s="3">
        <f>IFERROR(__xludf.DUMMYFUNCTION("""COMPUTED_VALUE"""),175.0)</f>
        <v>175</v>
      </c>
      <c r="G640" s="5">
        <f>IFERROR(__xludf.DUMMYFUNCTION("""COMPUTED_VALUE"""),1.0641754E7)</f>
        <v>10641754</v>
      </c>
    </row>
    <row r="641">
      <c r="A641" s="3">
        <f>IFERROR(__xludf.DUMMYFUNCTION("""COMPUTED_VALUE"""),465.0)</f>
        <v>465</v>
      </c>
      <c r="B641" s="2" t="str">
        <f>IFERROR(__xludf.DUMMYFUNCTION("""COMPUTED_VALUE"""),"NARAIL")</f>
        <v>NARAIL</v>
      </c>
      <c r="C641" s="4">
        <f>IFERROR(__xludf.DUMMYFUNCTION("""COMPUTED_VALUE"""),10.0)</f>
        <v>10</v>
      </c>
      <c r="D641" s="2" t="str">
        <f>IFERROR(__xludf.DUMMYFUNCTION("""COMPUTED_VALUE"""),"AGRANI BANK LTD.")</f>
        <v>AGRANI BANK LTD.</v>
      </c>
      <c r="E641" s="2" t="str">
        <f>IFERROR(__xludf.DUMMYFUNCTION("""COMPUTED_VALUE"""),"ARENDA")</f>
        <v>ARENDA</v>
      </c>
      <c r="F641" s="3">
        <f>IFERROR(__xludf.DUMMYFUNCTION("""COMPUTED_VALUE"""),4.0)</f>
        <v>4</v>
      </c>
      <c r="G641" s="5">
        <f>IFERROR(__xludf.DUMMYFUNCTION("""COMPUTED_VALUE"""),1.065004E7)</f>
        <v>10650040</v>
      </c>
    </row>
    <row r="642">
      <c r="A642" s="3">
        <f>IFERROR(__xludf.DUMMYFUNCTION("""COMPUTED_VALUE"""),465.0)</f>
        <v>465</v>
      </c>
      <c r="B642" s="2" t="str">
        <f>IFERROR(__xludf.DUMMYFUNCTION("""COMPUTED_VALUE"""),"NARAIL")</f>
        <v>NARAIL</v>
      </c>
      <c r="C642" s="4">
        <f>IFERROR(__xludf.DUMMYFUNCTION("""COMPUTED_VALUE"""),10.0)</f>
        <v>10</v>
      </c>
      <c r="D642" s="2" t="str">
        <f>IFERROR(__xludf.DUMMYFUNCTION("""COMPUTED_VALUE"""),"AGRANI BANK LTD.")</f>
        <v>AGRANI BANK LTD.</v>
      </c>
      <c r="E642" s="2" t="str">
        <f>IFERROR(__xludf.DUMMYFUNCTION("""COMPUTED_VALUE"""),"AURIA")</f>
        <v>AURIA</v>
      </c>
      <c r="F642" s="3">
        <f>IFERROR(__xludf.DUMMYFUNCTION("""COMPUTED_VALUE"""),7.0)</f>
        <v>7</v>
      </c>
      <c r="G642" s="5">
        <f>IFERROR(__xludf.DUMMYFUNCTION("""COMPUTED_VALUE"""),1.0650079E7)</f>
        <v>10650079</v>
      </c>
    </row>
    <row r="643">
      <c r="A643" s="3">
        <f>IFERROR(__xludf.DUMMYFUNCTION("""COMPUTED_VALUE"""),465.0)</f>
        <v>465</v>
      </c>
      <c r="B643" s="2" t="str">
        <f>IFERROR(__xludf.DUMMYFUNCTION("""COMPUTED_VALUE"""),"NARAIL")</f>
        <v>NARAIL</v>
      </c>
      <c r="C643" s="4">
        <f>IFERROR(__xludf.DUMMYFUNCTION("""COMPUTED_VALUE"""),10.0)</f>
        <v>10</v>
      </c>
      <c r="D643" s="2" t="str">
        <f>IFERROR(__xludf.DUMMYFUNCTION("""COMPUTED_VALUE"""),"AGRANI BANK LTD.")</f>
        <v>AGRANI BANK LTD.</v>
      </c>
      <c r="E643" s="2" t="str">
        <f>IFERROR(__xludf.DUMMYFUNCTION("""COMPUTED_VALUE"""),"GAZIRHAT")</f>
        <v>GAZIRHAT</v>
      </c>
      <c r="F643" s="3">
        <f>IFERROR(__xludf.DUMMYFUNCTION("""COMPUTED_VALUE"""),19.0)</f>
        <v>19</v>
      </c>
      <c r="G643" s="5">
        <f>IFERROR(__xludf.DUMMYFUNCTION("""COMPUTED_VALUE"""),1.065019E7)</f>
        <v>10650190</v>
      </c>
    </row>
    <row r="644">
      <c r="A644" s="3">
        <f>IFERROR(__xludf.DUMMYFUNCTION("""COMPUTED_VALUE"""),465.0)</f>
        <v>465</v>
      </c>
      <c r="B644" s="2" t="str">
        <f>IFERROR(__xludf.DUMMYFUNCTION("""COMPUTED_VALUE"""),"NARAIL")</f>
        <v>NARAIL</v>
      </c>
      <c r="C644" s="4">
        <f>IFERROR(__xludf.DUMMYFUNCTION("""COMPUTED_VALUE"""),10.0)</f>
        <v>10</v>
      </c>
      <c r="D644" s="2" t="str">
        <f>IFERROR(__xludf.DUMMYFUNCTION("""COMPUTED_VALUE"""),"AGRANI BANK LTD.")</f>
        <v>AGRANI BANK LTD.</v>
      </c>
      <c r="E644" s="2" t="str">
        <f>IFERROR(__xludf.DUMMYFUNCTION("""COMPUTED_VALUE"""),"JOGANIA")</f>
        <v>JOGANIA</v>
      </c>
      <c r="F644" s="3">
        <f>IFERROR(__xludf.DUMMYFUNCTION("""COMPUTED_VALUE"""),28.0)</f>
        <v>28</v>
      </c>
      <c r="G644" s="5">
        <f>IFERROR(__xludf.DUMMYFUNCTION("""COMPUTED_VALUE"""),1.0650282E7)</f>
        <v>10650282</v>
      </c>
    </row>
    <row r="645">
      <c r="A645" s="3">
        <f>IFERROR(__xludf.DUMMYFUNCTION("""COMPUTED_VALUE"""),465.0)</f>
        <v>465</v>
      </c>
      <c r="B645" s="2" t="str">
        <f>IFERROR(__xludf.DUMMYFUNCTION("""COMPUTED_VALUE"""),"NARAIL")</f>
        <v>NARAIL</v>
      </c>
      <c r="C645" s="4">
        <f>IFERROR(__xludf.DUMMYFUNCTION("""COMPUTED_VALUE"""),10.0)</f>
        <v>10</v>
      </c>
      <c r="D645" s="2" t="str">
        <f>IFERROR(__xludf.DUMMYFUNCTION("""COMPUTED_VALUE"""),"AGRANI BANK LTD.")</f>
        <v>AGRANI BANK LTD.</v>
      </c>
      <c r="E645" s="2" t="str">
        <f>IFERROR(__xludf.DUMMYFUNCTION("""COMPUTED_VALUE"""),"KALABARIA")</f>
        <v>KALABARIA</v>
      </c>
      <c r="F645" s="3">
        <f>IFERROR(__xludf.DUMMYFUNCTION("""COMPUTED_VALUE"""),31.0)</f>
        <v>31</v>
      </c>
      <c r="G645" s="5">
        <f>IFERROR(__xludf.DUMMYFUNCTION("""COMPUTED_VALUE"""),1.0650316E7)</f>
        <v>10650316</v>
      </c>
    </row>
    <row r="646">
      <c r="A646" s="3">
        <f>IFERROR(__xludf.DUMMYFUNCTION("""COMPUTED_VALUE"""),465.0)</f>
        <v>465</v>
      </c>
      <c r="B646" s="2" t="str">
        <f>IFERROR(__xludf.DUMMYFUNCTION("""COMPUTED_VALUE"""),"NARAIL")</f>
        <v>NARAIL</v>
      </c>
      <c r="C646" s="4">
        <f>IFERROR(__xludf.DUMMYFUNCTION("""COMPUTED_VALUE"""),10.0)</f>
        <v>10</v>
      </c>
      <c r="D646" s="2" t="str">
        <f>IFERROR(__xludf.DUMMYFUNCTION("""COMPUTED_VALUE"""),"AGRANI BANK LTD.")</f>
        <v>AGRANI BANK LTD.</v>
      </c>
      <c r="E646" s="2" t="str">
        <f>IFERROR(__xludf.DUMMYFUNCTION("""COMPUTED_VALUE"""),"KALIA")</f>
        <v>KALIA</v>
      </c>
      <c r="F646" s="3">
        <f>IFERROR(__xludf.DUMMYFUNCTION("""COMPUTED_VALUE"""),34.0)</f>
        <v>34</v>
      </c>
      <c r="G646" s="5">
        <f>IFERROR(__xludf.DUMMYFUNCTION("""COMPUTED_VALUE"""),1.0650345E7)</f>
        <v>10650345</v>
      </c>
    </row>
    <row r="647">
      <c r="A647" s="3">
        <f>IFERROR(__xludf.DUMMYFUNCTION("""COMPUTED_VALUE"""),465.0)</f>
        <v>465</v>
      </c>
      <c r="B647" s="2" t="str">
        <f>IFERROR(__xludf.DUMMYFUNCTION("""COMPUTED_VALUE"""),"NARAIL")</f>
        <v>NARAIL</v>
      </c>
      <c r="C647" s="4">
        <f>IFERROR(__xludf.DUMMYFUNCTION("""COMPUTED_VALUE"""),10.0)</f>
        <v>10</v>
      </c>
      <c r="D647" s="2" t="str">
        <f>IFERROR(__xludf.DUMMYFUNCTION("""COMPUTED_VALUE"""),"AGRANI BANK LTD.")</f>
        <v>AGRANI BANK LTD.</v>
      </c>
      <c r="E647" s="2" t="str">
        <f>IFERROR(__xludf.DUMMYFUNCTION("""COMPUTED_VALUE"""),"LOHAGARA")</f>
        <v>LOHAGARA</v>
      </c>
      <c r="F647" s="3">
        <f>IFERROR(__xludf.DUMMYFUNCTION("""COMPUTED_VALUE"""),46.0)</f>
        <v>46</v>
      </c>
      <c r="G647" s="5">
        <f>IFERROR(__xludf.DUMMYFUNCTION("""COMPUTED_VALUE"""),1.0650466E7)</f>
        <v>10650466</v>
      </c>
    </row>
    <row r="648">
      <c r="A648" s="3">
        <f>IFERROR(__xludf.DUMMYFUNCTION("""COMPUTED_VALUE"""),465.0)</f>
        <v>465</v>
      </c>
      <c r="B648" s="2" t="str">
        <f>IFERROR(__xludf.DUMMYFUNCTION("""COMPUTED_VALUE"""),"NARAIL")</f>
        <v>NARAIL</v>
      </c>
      <c r="C648" s="4">
        <f>IFERROR(__xludf.DUMMYFUNCTION("""COMPUTED_VALUE"""),10.0)</f>
        <v>10</v>
      </c>
      <c r="D648" s="2" t="str">
        <f>IFERROR(__xludf.DUMMYFUNCTION("""COMPUTED_VALUE"""),"AGRANI BANK LTD.")</f>
        <v>AGRANI BANK LTD.</v>
      </c>
      <c r="E648" s="2" t="str">
        <f>IFERROR(__xludf.DUMMYFUNCTION("""COMPUTED_VALUE"""),"NARAIL")</f>
        <v>NARAIL</v>
      </c>
      <c r="F648" s="3">
        <f>IFERROR(__xludf.DUMMYFUNCTION("""COMPUTED_VALUE"""),64.0)</f>
        <v>64</v>
      </c>
      <c r="G648" s="5">
        <f>IFERROR(__xludf.DUMMYFUNCTION("""COMPUTED_VALUE"""),1.065064E7)</f>
        <v>10650640</v>
      </c>
    </row>
    <row r="649">
      <c r="A649" s="3">
        <f>IFERROR(__xludf.DUMMYFUNCTION("""COMPUTED_VALUE"""),465.0)</f>
        <v>465</v>
      </c>
      <c r="B649" s="2" t="str">
        <f>IFERROR(__xludf.DUMMYFUNCTION("""COMPUTED_VALUE"""),"NARAIL")</f>
        <v>NARAIL</v>
      </c>
      <c r="C649" s="4">
        <f>IFERROR(__xludf.DUMMYFUNCTION("""COMPUTED_VALUE"""),10.0)</f>
        <v>10</v>
      </c>
      <c r="D649" s="2" t="str">
        <f>IFERROR(__xludf.DUMMYFUNCTION("""COMPUTED_VALUE"""),"AGRANI BANK LTD.")</f>
        <v>AGRANI BANK LTD.</v>
      </c>
      <c r="E649" s="2" t="str">
        <f>IFERROR(__xludf.DUMMYFUNCTION("""COMPUTED_VALUE"""),"RATADANGA")</f>
        <v>RATADANGA</v>
      </c>
      <c r="F649" s="3">
        <f>IFERROR(__xludf.DUMMYFUNCTION("""COMPUTED_VALUE"""),70.0)</f>
        <v>70</v>
      </c>
      <c r="G649" s="5">
        <f>IFERROR(__xludf.DUMMYFUNCTION("""COMPUTED_VALUE"""),1.0650703E7)</f>
        <v>10650703</v>
      </c>
    </row>
    <row r="650">
      <c r="A650" s="3">
        <f>IFERROR(__xludf.DUMMYFUNCTION("""COMPUTED_VALUE"""),167.0)</f>
        <v>167</v>
      </c>
      <c r="B650" s="2" t="str">
        <f>IFERROR(__xludf.DUMMYFUNCTION("""COMPUTED_VALUE"""),"NARAYANGANJ")</f>
        <v>NARAYANGANJ</v>
      </c>
      <c r="C650" s="4">
        <f>IFERROR(__xludf.DUMMYFUNCTION("""COMPUTED_VALUE"""),10.0)</f>
        <v>10</v>
      </c>
      <c r="D650" s="2" t="str">
        <f>IFERROR(__xludf.DUMMYFUNCTION("""COMPUTED_VALUE"""),"AGRANI BANK LTD.")</f>
        <v>AGRANI BANK LTD.</v>
      </c>
      <c r="E650" s="2" t="str">
        <f>IFERROR(__xludf.DUMMYFUNCTION("""COMPUTED_VALUE"""),"ARAIHAZAR")</f>
        <v>ARAIHAZAR</v>
      </c>
      <c r="F650" s="3">
        <f>IFERROR(__xludf.DUMMYFUNCTION("""COMPUTED_VALUE"""),4.0)</f>
        <v>4</v>
      </c>
      <c r="G650" s="5">
        <f>IFERROR(__xludf.DUMMYFUNCTION("""COMPUTED_VALUE"""),1.0670046E7)</f>
        <v>10670046</v>
      </c>
    </row>
    <row r="651">
      <c r="A651" s="3">
        <f>IFERROR(__xludf.DUMMYFUNCTION("""COMPUTED_VALUE"""),167.0)</f>
        <v>167</v>
      </c>
      <c r="B651" s="2" t="str">
        <f>IFERROR(__xludf.DUMMYFUNCTION("""COMPUTED_VALUE"""),"NARAYANGANJ")</f>
        <v>NARAYANGANJ</v>
      </c>
      <c r="C651" s="4">
        <f>IFERROR(__xludf.DUMMYFUNCTION("""COMPUTED_VALUE"""),10.0)</f>
        <v>10</v>
      </c>
      <c r="D651" s="2" t="str">
        <f>IFERROR(__xludf.DUMMYFUNCTION("""COMPUTED_VALUE"""),"AGRANI BANK LTD.")</f>
        <v>AGRANI BANK LTD.</v>
      </c>
      <c r="E651" s="2" t="str">
        <f>IFERROR(__xludf.DUMMYFUNCTION("""COMPUTED_VALUE"""),"B.B. ROAD")</f>
        <v>B.B. ROAD</v>
      </c>
      <c r="F651" s="3">
        <f>IFERROR(__xludf.DUMMYFUNCTION("""COMPUTED_VALUE"""),7.0)</f>
        <v>7</v>
      </c>
      <c r="G651" s="5">
        <f>IFERROR(__xludf.DUMMYFUNCTION("""COMPUTED_VALUE"""),1.0670075E7)</f>
        <v>10670075</v>
      </c>
    </row>
    <row r="652">
      <c r="A652" s="3">
        <f>IFERROR(__xludf.DUMMYFUNCTION("""COMPUTED_VALUE"""),167.0)</f>
        <v>167</v>
      </c>
      <c r="B652" s="2" t="str">
        <f>IFERROR(__xludf.DUMMYFUNCTION("""COMPUTED_VALUE"""),"NARAYANGANJ")</f>
        <v>NARAYANGANJ</v>
      </c>
      <c r="C652" s="4">
        <f>IFERROR(__xludf.DUMMYFUNCTION("""COMPUTED_VALUE"""),10.0)</f>
        <v>10</v>
      </c>
      <c r="D652" s="2" t="str">
        <f>IFERROR(__xludf.DUMMYFUNCTION("""COMPUTED_VALUE"""),"AGRANI BANK LTD.")</f>
        <v>AGRANI BANK LTD.</v>
      </c>
      <c r="E652" s="2" t="str">
        <f>IFERROR(__xludf.DUMMYFUNCTION("""COMPUTED_VALUE"""),"B.K. ROAD")</f>
        <v>B.K. ROAD</v>
      </c>
      <c r="F652" s="3">
        <f>IFERROR(__xludf.DUMMYFUNCTION("""COMPUTED_VALUE"""),13.0)</f>
        <v>13</v>
      </c>
      <c r="G652" s="5">
        <f>IFERROR(__xludf.DUMMYFUNCTION("""COMPUTED_VALUE"""),1.0670138E7)</f>
        <v>10670138</v>
      </c>
    </row>
    <row r="653">
      <c r="A653" s="3">
        <f>IFERROR(__xludf.DUMMYFUNCTION("""COMPUTED_VALUE"""),167.0)</f>
        <v>167</v>
      </c>
      <c r="B653" s="2" t="str">
        <f>IFERROR(__xludf.DUMMYFUNCTION("""COMPUTED_VALUE"""),"NARAYANGANJ")</f>
        <v>NARAYANGANJ</v>
      </c>
      <c r="C653" s="4">
        <f>IFERROR(__xludf.DUMMYFUNCTION("""COMPUTED_VALUE"""),10.0)</f>
        <v>10</v>
      </c>
      <c r="D653" s="2" t="str">
        <f>IFERROR(__xludf.DUMMYFUNCTION("""COMPUTED_VALUE"""),"AGRANI BANK LTD.")</f>
        <v>AGRANI BANK LTD.</v>
      </c>
      <c r="E653" s="2" t="str">
        <f>IFERROR(__xludf.DUMMYFUNCTION("""COMPUTED_VALUE"""),"COURT ROAD")</f>
        <v>COURT ROAD</v>
      </c>
      <c r="F653" s="3">
        <f>IFERROR(__xludf.DUMMYFUNCTION("""COMPUTED_VALUE"""),25.0)</f>
        <v>25</v>
      </c>
      <c r="G653" s="5">
        <f>IFERROR(__xludf.DUMMYFUNCTION("""COMPUTED_VALUE"""),1.0670259E7)</f>
        <v>10670259</v>
      </c>
    </row>
    <row r="654">
      <c r="A654" s="3">
        <f>IFERROR(__xludf.DUMMYFUNCTION("""COMPUTED_VALUE"""),167.0)</f>
        <v>167</v>
      </c>
      <c r="B654" s="2" t="str">
        <f>IFERROR(__xludf.DUMMYFUNCTION("""COMPUTED_VALUE"""),"NARAYANGANJ")</f>
        <v>NARAYANGANJ</v>
      </c>
      <c r="C654" s="4">
        <f>IFERROR(__xludf.DUMMYFUNCTION("""COMPUTED_VALUE"""),10.0)</f>
        <v>10</v>
      </c>
      <c r="D654" s="2" t="str">
        <f>IFERROR(__xludf.DUMMYFUNCTION("""COMPUTED_VALUE"""),"AGRANI BANK LTD.")</f>
        <v>AGRANI BANK LTD.</v>
      </c>
      <c r="E654" s="2" t="str">
        <f>IFERROR(__xludf.DUMMYFUNCTION("""COMPUTED_VALUE"""),"DEMRA")</f>
        <v>DEMRA</v>
      </c>
      <c r="F654" s="3">
        <f>IFERROR(__xludf.DUMMYFUNCTION("""COMPUTED_VALUE"""),31.0)</f>
        <v>31</v>
      </c>
      <c r="G654" s="5">
        <f>IFERROR(__xludf.DUMMYFUNCTION("""COMPUTED_VALUE"""),1.0670312E7)</f>
        <v>10670312</v>
      </c>
    </row>
    <row r="655">
      <c r="A655" s="3">
        <f>IFERROR(__xludf.DUMMYFUNCTION("""COMPUTED_VALUE"""),167.0)</f>
        <v>167</v>
      </c>
      <c r="B655" s="2" t="str">
        <f>IFERROR(__xludf.DUMMYFUNCTION("""COMPUTED_VALUE"""),"NARAYANGANJ")</f>
        <v>NARAYANGANJ</v>
      </c>
      <c r="C655" s="4">
        <f>IFERROR(__xludf.DUMMYFUNCTION("""COMPUTED_VALUE"""),10.0)</f>
        <v>10</v>
      </c>
      <c r="D655" s="2" t="str">
        <f>IFERROR(__xludf.DUMMYFUNCTION("""COMPUTED_VALUE"""),"AGRANI BANK LTD.")</f>
        <v>AGRANI BANK LTD.</v>
      </c>
      <c r="E655" s="2" t="str">
        <f>IFERROR(__xludf.DUMMYFUNCTION("""COMPUTED_VALUE"""),"KALIR BAZAR")</f>
        <v>KALIR BAZAR</v>
      </c>
      <c r="F655" s="3">
        <f>IFERROR(__xludf.DUMMYFUNCTION("""COMPUTED_VALUE"""),73.0)</f>
        <v>73</v>
      </c>
      <c r="G655" s="5">
        <f>IFERROR(__xludf.DUMMYFUNCTION("""COMPUTED_VALUE"""),1.0670738E7)</f>
        <v>10670738</v>
      </c>
    </row>
    <row r="656">
      <c r="A656" s="3">
        <f>IFERROR(__xludf.DUMMYFUNCTION("""COMPUTED_VALUE"""),167.0)</f>
        <v>167</v>
      </c>
      <c r="B656" s="2" t="str">
        <f>IFERROR(__xludf.DUMMYFUNCTION("""COMPUTED_VALUE"""),"NARAYANGANJ")</f>
        <v>NARAYANGANJ</v>
      </c>
      <c r="C656" s="4">
        <f>IFERROR(__xludf.DUMMYFUNCTION("""COMPUTED_VALUE"""),10.0)</f>
        <v>10</v>
      </c>
      <c r="D656" s="2" t="str">
        <f>IFERROR(__xludf.DUMMYFUNCTION("""COMPUTED_VALUE"""),"AGRANI BANK LTD.")</f>
        <v>AGRANI BANK LTD.</v>
      </c>
      <c r="E656" s="2" t="str">
        <f>IFERROR(__xludf.DUMMYFUNCTION("""COMPUTED_VALUE"""),"KANCHAN")</f>
        <v>KANCHAN</v>
      </c>
      <c r="F656" s="3">
        <f>IFERROR(__xludf.DUMMYFUNCTION("""COMPUTED_VALUE"""),79.0)</f>
        <v>79</v>
      </c>
      <c r="G656" s="5">
        <f>IFERROR(__xludf.DUMMYFUNCTION("""COMPUTED_VALUE"""),1.0670796E7)</f>
        <v>10670796</v>
      </c>
    </row>
    <row r="657">
      <c r="A657" s="3">
        <f>IFERROR(__xludf.DUMMYFUNCTION("""COMPUTED_VALUE"""),167.0)</f>
        <v>167</v>
      </c>
      <c r="B657" s="2" t="str">
        <f>IFERROR(__xludf.DUMMYFUNCTION("""COMPUTED_VALUE"""),"NARAYANGANJ")</f>
        <v>NARAYANGANJ</v>
      </c>
      <c r="C657" s="4">
        <f>IFERROR(__xludf.DUMMYFUNCTION("""COMPUTED_VALUE"""),10.0)</f>
        <v>10</v>
      </c>
      <c r="D657" s="2" t="str">
        <f>IFERROR(__xludf.DUMMYFUNCTION("""COMPUTED_VALUE"""),"AGRANI BANK LTD.")</f>
        <v>AGRANI BANK LTD.</v>
      </c>
      <c r="E657" s="2" t="str">
        <f>IFERROR(__xludf.DUMMYFUNCTION("""COMPUTED_VALUE"""),"MIRJUMLA ROAD")</f>
        <v>MIRJUMLA ROAD</v>
      </c>
      <c r="F657" s="3">
        <f>IFERROR(__xludf.DUMMYFUNCTION("""COMPUTED_VALUE"""),103.0)</f>
        <v>103</v>
      </c>
      <c r="G657" s="5">
        <f>IFERROR(__xludf.DUMMYFUNCTION("""COMPUTED_VALUE"""),1.0671032E7)</f>
        <v>10671032</v>
      </c>
    </row>
    <row r="658">
      <c r="A658" s="3">
        <f>IFERROR(__xludf.DUMMYFUNCTION("""COMPUTED_VALUE"""),167.0)</f>
        <v>167</v>
      </c>
      <c r="B658" s="2" t="str">
        <f>IFERROR(__xludf.DUMMYFUNCTION("""COMPUTED_VALUE"""),"NARAYANGANJ")</f>
        <v>NARAYANGANJ</v>
      </c>
      <c r="C658" s="4">
        <f>IFERROR(__xludf.DUMMYFUNCTION("""COMPUTED_VALUE"""),10.0)</f>
        <v>10</v>
      </c>
      <c r="D658" s="2" t="str">
        <f>IFERROR(__xludf.DUMMYFUNCTION("""COMPUTED_VALUE"""),"AGRANI BANK LTD.")</f>
        <v>AGRANI BANK LTD.</v>
      </c>
      <c r="E658" s="2" t="str">
        <f>IFERROR(__xludf.DUMMYFUNCTION("""COMPUTED_VALUE"""),"SHASTAPUR")</f>
        <v>SHASTAPUR</v>
      </c>
      <c r="F658" s="3">
        <f>IFERROR(__xludf.DUMMYFUNCTION("""COMPUTED_VALUE"""),154.0)</f>
        <v>154</v>
      </c>
      <c r="G658" s="5">
        <f>IFERROR(__xludf.DUMMYFUNCTION("""COMPUTED_VALUE"""),1.067154E7)</f>
        <v>10671540</v>
      </c>
    </row>
    <row r="659">
      <c r="A659" s="3">
        <f>IFERROR(__xludf.DUMMYFUNCTION("""COMPUTED_VALUE"""),167.0)</f>
        <v>167</v>
      </c>
      <c r="B659" s="2" t="str">
        <f>IFERROR(__xludf.DUMMYFUNCTION("""COMPUTED_VALUE"""),"NARAYANGANJ")</f>
        <v>NARAYANGANJ</v>
      </c>
      <c r="C659" s="4">
        <f>IFERROR(__xludf.DUMMYFUNCTION("""COMPUTED_VALUE"""),10.0)</f>
        <v>10</v>
      </c>
      <c r="D659" s="2" t="str">
        <f>IFERROR(__xludf.DUMMYFUNCTION("""COMPUTED_VALUE"""),"AGRANI BANK LTD.")</f>
        <v>AGRANI BANK LTD.</v>
      </c>
      <c r="E659" s="2" t="str">
        <f>IFERROR(__xludf.DUMMYFUNCTION("""COMPUTED_VALUE"""),"SIDDIRGONJ POWER STATION")</f>
        <v>SIDDIRGONJ POWER STATION</v>
      </c>
      <c r="F659" s="3">
        <f>IFERROR(__xludf.DUMMYFUNCTION("""COMPUTED_VALUE"""),163.0)</f>
        <v>163</v>
      </c>
      <c r="G659" s="5">
        <f>IFERROR(__xludf.DUMMYFUNCTION("""COMPUTED_VALUE"""),1.0671632E7)</f>
        <v>10671632</v>
      </c>
    </row>
    <row r="660">
      <c r="A660" s="3">
        <f>IFERROR(__xludf.DUMMYFUNCTION("""COMPUTED_VALUE"""),167.0)</f>
        <v>167</v>
      </c>
      <c r="B660" s="2" t="str">
        <f>IFERROR(__xludf.DUMMYFUNCTION("""COMPUTED_VALUE"""),"NARAYANGANJ")</f>
        <v>NARAYANGANJ</v>
      </c>
      <c r="C660" s="4">
        <f>IFERROR(__xludf.DUMMYFUNCTION("""COMPUTED_VALUE"""),10.0)</f>
        <v>10</v>
      </c>
      <c r="D660" s="2" t="str">
        <f>IFERROR(__xludf.DUMMYFUNCTION("""COMPUTED_VALUE"""),"AGRANI BANK LTD.")</f>
        <v>AGRANI BANK LTD.</v>
      </c>
      <c r="E660" s="2" t="str">
        <f>IFERROR(__xludf.DUMMYFUNCTION("""COMPUTED_VALUE"""),"SONARGAON")</f>
        <v>SONARGAON</v>
      </c>
      <c r="F660" s="3">
        <f>IFERROR(__xludf.DUMMYFUNCTION("""COMPUTED_VALUE"""),169.0)</f>
        <v>169</v>
      </c>
      <c r="G660" s="5">
        <f>IFERROR(__xludf.DUMMYFUNCTION("""COMPUTED_VALUE"""),1.067169E7)</f>
        <v>10671690</v>
      </c>
    </row>
    <row r="661">
      <c r="A661" s="3">
        <f>IFERROR(__xludf.DUMMYFUNCTION("""COMPUTED_VALUE"""),167.0)</f>
        <v>167</v>
      </c>
      <c r="B661" s="2" t="str">
        <f>IFERROR(__xludf.DUMMYFUNCTION("""COMPUTED_VALUE"""),"NARAYANGANJ")</f>
        <v>NARAYANGANJ</v>
      </c>
      <c r="C661" s="4">
        <f>IFERROR(__xludf.DUMMYFUNCTION("""COMPUTED_VALUE"""),10.0)</f>
        <v>10</v>
      </c>
      <c r="D661" s="2" t="str">
        <f>IFERROR(__xludf.DUMMYFUNCTION("""COMPUTED_VALUE"""),"AGRANI BANK LTD.")</f>
        <v>AGRANI BANK LTD.</v>
      </c>
      <c r="E661" s="2" t="str">
        <f>IFERROR(__xludf.DUMMYFUNCTION("""COMPUTED_VALUE"""),"TAN BAZAR")</f>
        <v>TAN BAZAR</v>
      </c>
      <c r="F661" s="3">
        <f>IFERROR(__xludf.DUMMYFUNCTION("""COMPUTED_VALUE"""),175.0)</f>
        <v>175</v>
      </c>
      <c r="G661" s="5">
        <f>IFERROR(__xludf.DUMMYFUNCTION("""COMPUTED_VALUE"""),1.0671753E7)</f>
        <v>10671753</v>
      </c>
    </row>
    <row r="662">
      <c r="A662" s="3">
        <f>IFERROR(__xludf.DUMMYFUNCTION("""COMPUTED_VALUE"""),168.0)</f>
        <v>168</v>
      </c>
      <c r="B662" s="2" t="str">
        <f>IFERROR(__xludf.DUMMYFUNCTION("""COMPUTED_VALUE"""),"NARSHINGDI")</f>
        <v>NARSHINGDI</v>
      </c>
      <c r="C662" s="4">
        <f>IFERROR(__xludf.DUMMYFUNCTION("""COMPUTED_VALUE"""),10.0)</f>
        <v>10</v>
      </c>
      <c r="D662" s="2" t="str">
        <f>IFERROR(__xludf.DUMMYFUNCTION("""COMPUTED_VALUE"""),"AGRANI BANK LTD.")</f>
        <v>AGRANI BANK LTD.</v>
      </c>
      <c r="E662" s="2" t="str">
        <f>IFERROR(__xludf.DUMMYFUNCTION("""COMPUTED_VALUE"""),"AMIRGANJ")</f>
        <v>AMIRGANJ</v>
      </c>
      <c r="F662" s="3">
        <f>IFERROR(__xludf.DUMMYFUNCTION("""COMPUTED_VALUE"""),4.0)</f>
        <v>4</v>
      </c>
      <c r="G662" s="5">
        <f>IFERROR(__xludf.DUMMYFUNCTION("""COMPUTED_VALUE"""),1.0680049E7)</f>
        <v>10680049</v>
      </c>
    </row>
    <row r="663">
      <c r="A663" s="3">
        <f>IFERROR(__xludf.DUMMYFUNCTION("""COMPUTED_VALUE"""),168.0)</f>
        <v>168</v>
      </c>
      <c r="B663" s="2" t="str">
        <f>IFERROR(__xludf.DUMMYFUNCTION("""COMPUTED_VALUE"""),"NARSHINGDI")</f>
        <v>NARSHINGDI</v>
      </c>
      <c r="C663" s="4">
        <f>IFERROR(__xludf.DUMMYFUNCTION("""COMPUTED_VALUE"""),10.0)</f>
        <v>10</v>
      </c>
      <c r="D663" s="2" t="str">
        <f>IFERROR(__xludf.DUMMYFUNCTION("""COMPUTED_VALUE"""),"AGRANI BANK LTD.")</f>
        <v>AGRANI BANK LTD.</v>
      </c>
      <c r="E663" s="2" t="str">
        <f>IFERROR(__xludf.DUMMYFUNCTION("""COMPUTED_VALUE"""),"BABURHAT")</f>
        <v>BABURHAT</v>
      </c>
      <c r="F663" s="3">
        <f>IFERROR(__xludf.DUMMYFUNCTION("""COMPUTED_VALUE"""),10.0)</f>
        <v>10</v>
      </c>
      <c r="G663" s="5">
        <f>IFERROR(__xludf.DUMMYFUNCTION("""COMPUTED_VALUE"""),1.0680102E7)</f>
        <v>10680102</v>
      </c>
    </row>
    <row r="664">
      <c r="A664" s="3">
        <f>IFERROR(__xludf.DUMMYFUNCTION("""COMPUTED_VALUE"""),168.0)</f>
        <v>168</v>
      </c>
      <c r="B664" s="2" t="str">
        <f>IFERROR(__xludf.DUMMYFUNCTION("""COMPUTED_VALUE"""),"NARSHINGDI")</f>
        <v>NARSHINGDI</v>
      </c>
      <c r="C664" s="4">
        <f>IFERROR(__xludf.DUMMYFUNCTION("""COMPUTED_VALUE"""),10.0)</f>
        <v>10</v>
      </c>
      <c r="D664" s="2" t="str">
        <f>IFERROR(__xludf.DUMMYFUNCTION("""COMPUTED_VALUE"""),"AGRANI BANK LTD.")</f>
        <v>AGRANI BANK LTD.</v>
      </c>
      <c r="E664" s="2" t="str">
        <f>IFERROR(__xludf.DUMMYFUNCTION("""COMPUTED_VALUE"""),"C &amp; B BAZAR")</f>
        <v>C &amp; B BAZAR</v>
      </c>
      <c r="F664" s="3">
        <f>IFERROR(__xludf.DUMMYFUNCTION("""COMPUTED_VALUE"""),12.0)</f>
        <v>12</v>
      </c>
      <c r="G664" s="5">
        <f>IFERROR(__xludf.DUMMYFUNCTION("""COMPUTED_VALUE"""),1.0680128E7)</f>
        <v>10680128</v>
      </c>
    </row>
    <row r="665">
      <c r="A665" s="3">
        <f>IFERROR(__xludf.DUMMYFUNCTION("""COMPUTED_VALUE"""),168.0)</f>
        <v>168</v>
      </c>
      <c r="B665" s="2" t="str">
        <f>IFERROR(__xludf.DUMMYFUNCTION("""COMPUTED_VALUE"""),"NARSHINGDI")</f>
        <v>NARSHINGDI</v>
      </c>
      <c r="C665" s="4">
        <f>IFERROR(__xludf.DUMMYFUNCTION("""COMPUTED_VALUE"""),10.0)</f>
        <v>10</v>
      </c>
      <c r="D665" s="2" t="str">
        <f>IFERROR(__xludf.DUMMYFUNCTION("""COMPUTED_VALUE"""),"AGRANI BANK LTD.")</f>
        <v>AGRANI BANK LTD.</v>
      </c>
      <c r="E665" s="2" t="str">
        <f>IFERROR(__xludf.DUMMYFUNCTION("""COMPUTED_VALUE"""),"CHALAKCHAR")</f>
        <v>CHALAKCHAR</v>
      </c>
      <c r="F665" s="4">
        <f>IFERROR(__xludf.DUMMYFUNCTION("""COMPUTED_VALUE"""),31.0)</f>
        <v>31</v>
      </c>
      <c r="G665" s="5">
        <f>IFERROR(__xludf.DUMMYFUNCTION("""COMPUTED_VALUE"""),1.0680315E7)</f>
        <v>10680315</v>
      </c>
    </row>
    <row r="666">
      <c r="A666" s="3">
        <f>IFERROR(__xludf.DUMMYFUNCTION("""COMPUTED_VALUE"""),168.0)</f>
        <v>168</v>
      </c>
      <c r="B666" s="2" t="str">
        <f>IFERROR(__xludf.DUMMYFUNCTION("""COMPUTED_VALUE"""),"NARSHINGDI")</f>
        <v>NARSHINGDI</v>
      </c>
      <c r="C666" s="4">
        <f>IFERROR(__xludf.DUMMYFUNCTION("""COMPUTED_VALUE"""),10.0)</f>
        <v>10</v>
      </c>
      <c r="D666" s="2" t="str">
        <f>IFERROR(__xludf.DUMMYFUNCTION("""COMPUTED_VALUE"""),"AGRANI BANK LTD.")</f>
        <v>AGRANI BANK LTD.</v>
      </c>
      <c r="E666" s="2" t="str">
        <f>IFERROR(__xludf.DUMMYFUNCTION("""COMPUTED_VALUE"""),"MONOHARDI")</f>
        <v>MONOHARDI</v>
      </c>
      <c r="F666" s="4">
        <f>IFERROR(__xludf.DUMMYFUNCTION("""COMPUTED_VALUE"""),73.0)</f>
        <v>73</v>
      </c>
      <c r="G666" s="5">
        <f>IFERROR(__xludf.DUMMYFUNCTION("""COMPUTED_VALUE"""),1.0680731E7)</f>
        <v>10680731</v>
      </c>
    </row>
    <row r="667">
      <c r="A667" s="3">
        <f>IFERROR(__xludf.DUMMYFUNCTION("""COMPUTED_VALUE"""),168.0)</f>
        <v>168</v>
      </c>
      <c r="B667" s="2" t="str">
        <f>IFERROR(__xludf.DUMMYFUNCTION("""COMPUTED_VALUE"""),"NARSHINGDI")</f>
        <v>NARSHINGDI</v>
      </c>
      <c r="C667" s="4">
        <f>IFERROR(__xludf.DUMMYFUNCTION("""COMPUTED_VALUE"""),10.0)</f>
        <v>10</v>
      </c>
      <c r="D667" s="2" t="str">
        <f>IFERROR(__xludf.DUMMYFUNCTION("""COMPUTED_VALUE"""),"AGRANI BANK LTD.")</f>
        <v>AGRANI BANK LTD.</v>
      </c>
      <c r="E667" s="2" t="str">
        <f>IFERROR(__xludf.DUMMYFUNCTION("""COMPUTED_VALUE"""),"MUSAPUR BAZAR")</f>
        <v>MUSAPUR BAZAR</v>
      </c>
      <c r="F667" s="4">
        <f>IFERROR(__xludf.DUMMYFUNCTION("""COMPUTED_VALUE"""),79.0)</f>
        <v>79</v>
      </c>
      <c r="G667" s="5">
        <f>IFERROR(__xludf.DUMMYFUNCTION("""COMPUTED_VALUE"""),1.0680799E7)</f>
        <v>10680799</v>
      </c>
    </row>
    <row r="668">
      <c r="A668" s="3">
        <f>IFERROR(__xludf.DUMMYFUNCTION("""COMPUTED_VALUE"""),168.0)</f>
        <v>168</v>
      </c>
      <c r="B668" s="2" t="str">
        <f>IFERROR(__xludf.DUMMYFUNCTION("""COMPUTED_VALUE"""),"NARSHINGDI")</f>
        <v>NARSHINGDI</v>
      </c>
      <c r="C668" s="4">
        <f>IFERROR(__xludf.DUMMYFUNCTION("""COMPUTED_VALUE"""),10.0)</f>
        <v>10</v>
      </c>
      <c r="D668" s="2" t="str">
        <f>IFERROR(__xludf.DUMMYFUNCTION("""COMPUTED_VALUE"""),"AGRANI BANK LTD.")</f>
        <v>AGRANI BANK LTD.</v>
      </c>
      <c r="E668" s="2" t="str">
        <f>IFERROR(__xludf.DUMMYFUNCTION("""COMPUTED_VALUE"""),"NARSHINGDI")</f>
        <v>NARSHINGDI</v>
      </c>
      <c r="F668" s="4">
        <f>IFERROR(__xludf.DUMMYFUNCTION("""COMPUTED_VALUE"""),85.0)</f>
        <v>85</v>
      </c>
      <c r="G668" s="5">
        <f>IFERROR(__xludf.DUMMYFUNCTION("""COMPUTED_VALUE"""),1.0680852E7)</f>
        <v>10680852</v>
      </c>
    </row>
    <row r="669">
      <c r="A669" s="3">
        <f>IFERROR(__xludf.DUMMYFUNCTION("""COMPUTED_VALUE"""),168.0)</f>
        <v>168</v>
      </c>
      <c r="B669" s="2" t="str">
        <f>IFERROR(__xludf.DUMMYFUNCTION("""COMPUTED_VALUE"""),"NARSHINGDI")</f>
        <v>NARSHINGDI</v>
      </c>
      <c r="C669" s="4">
        <f>IFERROR(__xludf.DUMMYFUNCTION("""COMPUTED_VALUE"""),10.0)</f>
        <v>10</v>
      </c>
      <c r="D669" s="2" t="str">
        <f>IFERROR(__xludf.DUMMYFUNCTION("""COMPUTED_VALUE"""),"AGRANI BANK LTD.")</f>
        <v>AGRANI BANK LTD.</v>
      </c>
      <c r="E669" s="2" t="str">
        <f>IFERROR(__xludf.DUMMYFUNCTION("""COMPUTED_VALUE"""),"PALASH BAZAR")</f>
        <v>PALASH BAZAR</v>
      </c>
      <c r="F669" s="4">
        <f>IFERROR(__xludf.DUMMYFUNCTION("""COMPUTED_VALUE"""),94.0)</f>
        <v>94</v>
      </c>
      <c r="G669" s="5">
        <f>IFERROR(__xludf.DUMMYFUNCTION("""COMPUTED_VALUE"""),1.0680944E7)</f>
        <v>10680944</v>
      </c>
    </row>
    <row r="670">
      <c r="A670" s="3">
        <f>IFERROR(__xludf.DUMMYFUNCTION("""COMPUTED_VALUE"""),168.0)</f>
        <v>168</v>
      </c>
      <c r="B670" s="2" t="str">
        <f>IFERROR(__xludf.DUMMYFUNCTION("""COMPUTED_VALUE"""),"NARSHINGDI")</f>
        <v>NARSHINGDI</v>
      </c>
      <c r="C670" s="4">
        <f>IFERROR(__xludf.DUMMYFUNCTION("""COMPUTED_VALUE"""),10.0)</f>
        <v>10</v>
      </c>
      <c r="D670" s="2" t="str">
        <f>IFERROR(__xludf.DUMMYFUNCTION("""COMPUTED_VALUE"""),"AGRANI BANK LTD.")</f>
        <v>AGRANI BANK LTD.</v>
      </c>
      <c r="E670" s="2" t="str">
        <f>IFERROR(__xludf.DUMMYFUNCTION("""COMPUTED_VALUE"""),"RADHAGANJ")</f>
        <v>RADHAGANJ</v>
      </c>
      <c r="F670" s="4">
        <f>IFERROR(__xludf.DUMMYFUNCTION("""COMPUTED_VALUE"""),106.0)</f>
        <v>106</v>
      </c>
      <c r="G670" s="5">
        <f>IFERROR(__xludf.DUMMYFUNCTION("""COMPUTED_VALUE"""),1.0681064E7)</f>
        <v>10681064</v>
      </c>
    </row>
    <row r="671">
      <c r="A671" s="3">
        <f>IFERROR(__xludf.DUMMYFUNCTION("""COMPUTED_VALUE"""),168.0)</f>
        <v>168</v>
      </c>
      <c r="B671" s="2" t="str">
        <f>IFERROR(__xludf.DUMMYFUNCTION("""COMPUTED_VALUE"""),"NARSHINGDI")</f>
        <v>NARSHINGDI</v>
      </c>
      <c r="C671" s="4">
        <f>IFERROR(__xludf.DUMMYFUNCTION("""COMPUTED_VALUE"""),10.0)</f>
        <v>10</v>
      </c>
      <c r="D671" s="2" t="str">
        <f>IFERROR(__xludf.DUMMYFUNCTION("""COMPUTED_VALUE"""),"AGRANI BANK LTD.")</f>
        <v>AGRANI BANK LTD.</v>
      </c>
      <c r="E671" s="2" t="str">
        <f>IFERROR(__xludf.DUMMYFUNCTION("""COMPUTED_VALUE"""),"SHIBPUR")</f>
        <v>SHIBPUR</v>
      </c>
      <c r="F671" s="4">
        <f>IFERROR(__xludf.DUMMYFUNCTION("""COMPUTED_VALUE"""),130.0)</f>
        <v>130</v>
      </c>
      <c r="G671" s="5">
        <f>IFERROR(__xludf.DUMMYFUNCTION("""COMPUTED_VALUE"""),1.0681301E7)</f>
        <v>10681301</v>
      </c>
    </row>
    <row r="672">
      <c r="A672" s="3">
        <f>IFERROR(__xludf.DUMMYFUNCTION("""COMPUTED_VALUE"""),168.0)</f>
        <v>168</v>
      </c>
      <c r="B672" s="2" t="str">
        <f>IFERROR(__xludf.DUMMYFUNCTION("""COMPUTED_VALUE"""),"NARSHINGDI")</f>
        <v>NARSHINGDI</v>
      </c>
      <c r="C672" s="4">
        <f>IFERROR(__xludf.DUMMYFUNCTION("""COMPUTED_VALUE"""),10.0)</f>
        <v>10</v>
      </c>
      <c r="D672" s="2" t="str">
        <f>IFERROR(__xludf.DUMMYFUNCTION("""COMPUTED_VALUE"""),"AGRANI BANK LTD.")</f>
        <v>AGRANI BANK LTD.</v>
      </c>
      <c r="E672" s="2" t="str">
        <f>IFERROR(__xludf.DUMMYFUNCTION("""COMPUTED_VALUE"""),"STATION ROAD")</f>
        <v>STATION ROAD</v>
      </c>
      <c r="F672" s="4">
        <f>IFERROR(__xludf.DUMMYFUNCTION("""COMPUTED_VALUE"""),136.0)</f>
        <v>136</v>
      </c>
      <c r="G672" s="5">
        <f>IFERROR(__xludf.DUMMYFUNCTION("""COMPUTED_VALUE"""),1.0681369E7)</f>
        <v>10681369</v>
      </c>
    </row>
    <row r="673">
      <c r="A673" s="3">
        <f>IFERROR(__xludf.DUMMYFUNCTION("""COMPUTED_VALUE"""),569.0)</f>
        <v>569</v>
      </c>
      <c r="B673" s="2" t="str">
        <f>IFERROR(__xludf.DUMMYFUNCTION("""COMPUTED_VALUE"""),"NATORE")</f>
        <v>NATORE</v>
      </c>
      <c r="C673" s="4">
        <f>IFERROR(__xludf.DUMMYFUNCTION("""COMPUTED_VALUE"""),10.0)</f>
        <v>10</v>
      </c>
      <c r="D673" s="2" t="str">
        <f>IFERROR(__xludf.DUMMYFUNCTION("""COMPUTED_VALUE"""),"AGRANI BANK LTD.")</f>
        <v>AGRANI BANK LTD.</v>
      </c>
      <c r="E673" s="2" t="str">
        <f>IFERROR(__xludf.DUMMYFUNCTION("""COMPUTED_VALUE"""),"STATION ROAD")</f>
        <v>STATION ROAD</v>
      </c>
      <c r="F673" s="4">
        <f>IFERROR(__xludf.DUMMYFUNCTION("""COMPUTED_VALUE"""),11.0)</f>
        <v>11</v>
      </c>
      <c r="G673" s="5">
        <f>IFERROR(__xludf.DUMMYFUNCTION("""COMPUTED_VALUE"""),1.0690118E7)</f>
        <v>10690118</v>
      </c>
    </row>
    <row r="674">
      <c r="A674" s="3">
        <f>IFERROR(__xludf.DUMMYFUNCTION("""COMPUTED_VALUE"""),569.0)</f>
        <v>569</v>
      </c>
      <c r="B674" s="2" t="str">
        <f>IFERROR(__xludf.DUMMYFUNCTION("""COMPUTED_VALUE"""),"NATORE")</f>
        <v>NATORE</v>
      </c>
      <c r="C674" s="4">
        <f>IFERROR(__xludf.DUMMYFUNCTION("""COMPUTED_VALUE"""),10.0)</f>
        <v>10</v>
      </c>
      <c r="D674" s="2" t="str">
        <f>IFERROR(__xludf.DUMMYFUNCTION("""COMPUTED_VALUE"""),"AGRANI BANK LTD.")</f>
        <v>AGRANI BANK LTD.</v>
      </c>
      <c r="E674" s="2" t="str">
        <f>IFERROR(__xludf.DUMMYFUNCTION("""COMPUTED_VALUE"""),"BAGATIPARA")</f>
        <v>BAGATIPARA</v>
      </c>
      <c r="F674" s="4">
        <f>IFERROR(__xludf.DUMMYFUNCTION("""COMPUTED_VALUE"""),13.0)</f>
        <v>13</v>
      </c>
      <c r="G674" s="5">
        <f>IFERROR(__xludf.DUMMYFUNCTION("""COMPUTED_VALUE"""),1.0690134E7)</f>
        <v>10690134</v>
      </c>
    </row>
    <row r="675">
      <c r="A675" s="3">
        <f>IFERROR(__xludf.DUMMYFUNCTION("""COMPUTED_VALUE"""),569.0)</f>
        <v>569</v>
      </c>
      <c r="B675" s="2" t="str">
        <f>IFERROR(__xludf.DUMMYFUNCTION("""COMPUTED_VALUE"""),"NATORE")</f>
        <v>NATORE</v>
      </c>
      <c r="C675" s="4">
        <f>IFERROR(__xludf.DUMMYFUNCTION("""COMPUTED_VALUE"""),10.0)</f>
        <v>10</v>
      </c>
      <c r="D675" s="2" t="str">
        <f>IFERROR(__xludf.DUMMYFUNCTION("""COMPUTED_VALUE"""),"AGRANI BANK LTD.")</f>
        <v>AGRANI BANK LTD.</v>
      </c>
      <c r="E675" s="2" t="str">
        <f>IFERROR(__xludf.DUMMYFUNCTION("""COMPUTED_VALUE"""),"CHANCHAKOIR")</f>
        <v>CHANCHAKOIR</v>
      </c>
      <c r="F675" s="4">
        <f>IFERROR(__xludf.DUMMYFUNCTION("""COMPUTED_VALUE"""),31.0)</f>
        <v>31</v>
      </c>
      <c r="G675" s="5">
        <f>IFERROR(__xludf.DUMMYFUNCTION("""COMPUTED_VALUE"""),1.0690318E7)</f>
        <v>10690318</v>
      </c>
    </row>
    <row r="676">
      <c r="A676" s="3">
        <f>IFERROR(__xludf.DUMMYFUNCTION("""COMPUTED_VALUE"""),569.0)</f>
        <v>569</v>
      </c>
      <c r="B676" s="2" t="str">
        <f>IFERROR(__xludf.DUMMYFUNCTION("""COMPUTED_VALUE"""),"NATORE")</f>
        <v>NATORE</v>
      </c>
      <c r="C676" s="4">
        <f>IFERROR(__xludf.DUMMYFUNCTION("""COMPUTED_VALUE"""),10.0)</f>
        <v>10</v>
      </c>
      <c r="D676" s="2" t="str">
        <f>IFERROR(__xludf.DUMMYFUNCTION("""COMPUTED_VALUE"""),"AGRANI BANK LTD.")</f>
        <v>AGRANI BANK LTD.</v>
      </c>
      <c r="E676" s="2" t="str">
        <f>IFERROR(__xludf.DUMMYFUNCTION("""COMPUTED_VALUE"""),"GOPALPUR")</f>
        <v>GOPALPUR</v>
      </c>
      <c r="F676" s="4">
        <f>IFERROR(__xludf.DUMMYFUNCTION("""COMPUTED_VALUE"""),49.0)</f>
        <v>49</v>
      </c>
      <c r="G676" s="5">
        <f>IFERROR(__xludf.DUMMYFUNCTION("""COMPUTED_VALUE"""),1.0690497E7)</f>
        <v>10690497</v>
      </c>
    </row>
    <row r="677">
      <c r="A677" s="3">
        <f>IFERROR(__xludf.DUMMYFUNCTION("""COMPUTED_VALUE"""),569.0)</f>
        <v>569</v>
      </c>
      <c r="B677" s="2" t="str">
        <f>IFERROR(__xludf.DUMMYFUNCTION("""COMPUTED_VALUE"""),"NATORE")</f>
        <v>NATORE</v>
      </c>
      <c r="C677" s="4">
        <f>IFERROR(__xludf.DUMMYFUNCTION("""COMPUTED_VALUE"""),10.0)</f>
        <v>10</v>
      </c>
      <c r="D677" s="2" t="str">
        <f>IFERROR(__xludf.DUMMYFUNCTION("""COMPUTED_VALUE"""),"AGRANI BANK LTD.")</f>
        <v>AGRANI BANK LTD.</v>
      </c>
      <c r="E677" s="2" t="str">
        <f>IFERROR(__xludf.DUMMYFUNCTION("""COMPUTED_VALUE"""),"HALSHA")</f>
        <v>HALSHA</v>
      </c>
      <c r="F677" s="4">
        <f>IFERROR(__xludf.DUMMYFUNCTION("""COMPUTED_VALUE"""),58.0)</f>
        <v>58</v>
      </c>
      <c r="G677" s="5">
        <f>IFERROR(__xludf.DUMMYFUNCTION("""COMPUTED_VALUE"""),1.0690589E7)</f>
        <v>10690589</v>
      </c>
    </row>
    <row r="678">
      <c r="A678" s="3">
        <f>IFERROR(__xludf.DUMMYFUNCTION("""COMPUTED_VALUE"""),569.0)</f>
        <v>569</v>
      </c>
      <c r="B678" s="2" t="str">
        <f>IFERROR(__xludf.DUMMYFUNCTION("""COMPUTED_VALUE"""),"NATORE")</f>
        <v>NATORE</v>
      </c>
      <c r="C678" s="4">
        <f>IFERROR(__xludf.DUMMYFUNCTION("""COMPUTED_VALUE"""),10.0)</f>
        <v>10</v>
      </c>
      <c r="D678" s="2" t="str">
        <f>IFERROR(__xludf.DUMMYFUNCTION("""COMPUTED_VALUE"""),"AGRANI BANK LTD.")</f>
        <v>AGRANI BANK LTD.</v>
      </c>
      <c r="E678" s="2" t="str">
        <f>IFERROR(__xludf.DUMMYFUNCTION("""COMPUTED_VALUE"""),"LAXMIKOL")</f>
        <v>LAXMIKOL</v>
      </c>
      <c r="F678" s="4">
        <f>IFERROR(__xludf.DUMMYFUNCTION("""COMPUTED_VALUE"""),94.0)</f>
        <v>94</v>
      </c>
      <c r="G678" s="5">
        <f>IFERROR(__xludf.DUMMYFUNCTION("""COMPUTED_VALUE"""),1.0690947E7)</f>
        <v>10690947</v>
      </c>
    </row>
    <row r="679">
      <c r="A679" s="3">
        <f>IFERROR(__xludf.DUMMYFUNCTION("""COMPUTED_VALUE"""),569.0)</f>
        <v>569</v>
      </c>
      <c r="B679" s="2" t="str">
        <f>IFERROR(__xludf.DUMMYFUNCTION("""COMPUTED_VALUE"""),"NATORE")</f>
        <v>NATORE</v>
      </c>
      <c r="C679" s="4">
        <f>IFERROR(__xludf.DUMMYFUNCTION("""COMPUTED_VALUE"""),10.0)</f>
        <v>10</v>
      </c>
      <c r="D679" s="2" t="str">
        <f>IFERROR(__xludf.DUMMYFUNCTION("""COMPUTED_VALUE"""),"AGRANI BANK LTD.")</f>
        <v>AGRANI BANK LTD.</v>
      </c>
      <c r="E679" s="2" t="str">
        <f>IFERROR(__xludf.DUMMYFUNCTION("""COMPUTED_VALUE"""),"LOKMANPUR BAZAR")</f>
        <v>LOKMANPUR BAZAR</v>
      </c>
      <c r="F679" s="4">
        <f>IFERROR(__xludf.DUMMYFUNCTION("""COMPUTED_VALUE"""),95.0)</f>
        <v>95</v>
      </c>
      <c r="G679" s="5">
        <f>IFERROR(__xludf.DUMMYFUNCTION("""COMPUTED_VALUE"""),1.069095E7)</f>
        <v>10690950</v>
      </c>
    </row>
    <row r="680">
      <c r="A680" s="3">
        <f>IFERROR(__xludf.DUMMYFUNCTION("""COMPUTED_VALUE"""),569.0)</f>
        <v>569</v>
      </c>
      <c r="B680" s="2" t="str">
        <f>IFERROR(__xludf.DUMMYFUNCTION("""COMPUTED_VALUE"""),"NATORE")</f>
        <v>NATORE</v>
      </c>
      <c r="C680" s="4">
        <f>IFERROR(__xludf.DUMMYFUNCTION("""COMPUTED_VALUE"""),10.0)</f>
        <v>10</v>
      </c>
      <c r="D680" s="2" t="str">
        <f>IFERROR(__xludf.DUMMYFUNCTION("""COMPUTED_VALUE"""),"AGRANI BANK LTD.")</f>
        <v>AGRANI BANK LTD.</v>
      </c>
      <c r="E680" s="2" t="str">
        <f>IFERROR(__xludf.DUMMYFUNCTION("""COMPUTED_VALUE"""),"N.B. SUGAR MILLS")</f>
        <v>N.B. SUGAR MILLS</v>
      </c>
      <c r="F680" s="4">
        <f>IFERROR(__xludf.DUMMYFUNCTION("""COMPUTED_VALUE"""),103.0)</f>
        <v>103</v>
      </c>
      <c r="G680" s="5">
        <f>IFERROR(__xludf.DUMMYFUNCTION("""COMPUTED_VALUE"""),1.0691038E7)</f>
        <v>10691038</v>
      </c>
    </row>
    <row r="681">
      <c r="A681" s="3">
        <f>IFERROR(__xludf.DUMMYFUNCTION("""COMPUTED_VALUE"""),569.0)</f>
        <v>569</v>
      </c>
      <c r="B681" s="2" t="str">
        <f>IFERROR(__xludf.DUMMYFUNCTION("""COMPUTED_VALUE"""),"NATORE")</f>
        <v>NATORE</v>
      </c>
      <c r="C681" s="4">
        <f>IFERROR(__xludf.DUMMYFUNCTION("""COMPUTED_VALUE"""),10.0)</f>
        <v>10</v>
      </c>
      <c r="D681" s="2" t="str">
        <f>IFERROR(__xludf.DUMMYFUNCTION("""COMPUTED_VALUE"""),"AGRANI BANK LTD.")</f>
        <v>AGRANI BANK LTD.</v>
      </c>
      <c r="E681" s="2" t="str">
        <f>IFERROR(__xludf.DUMMYFUNCTION("""COMPUTED_VALUE"""),"NATORE")</f>
        <v>NATORE</v>
      </c>
      <c r="F681" s="4">
        <f>IFERROR(__xludf.DUMMYFUNCTION("""COMPUTED_VALUE"""),109.0)</f>
        <v>109</v>
      </c>
      <c r="G681" s="5">
        <f>IFERROR(__xludf.DUMMYFUNCTION("""COMPUTED_VALUE"""),1.0691096E7)</f>
        <v>10691096</v>
      </c>
    </row>
    <row r="682">
      <c r="A682" s="3">
        <f>IFERROR(__xludf.DUMMYFUNCTION("""COMPUTED_VALUE"""),569.0)</f>
        <v>569</v>
      </c>
      <c r="B682" s="2" t="str">
        <f>IFERROR(__xludf.DUMMYFUNCTION("""COMPUTED_VALUE"""),"NATORE")</f>
        <v>NATORE</v>
      </c>
      <c r="C682" s="4">
        <f>IFERROR(__xludf.DUMMYFUNCTION("""COMPUTED_VALUE"""),10.0)</f>
        <v>10</v>
      </c>
      <c r="D682" s="2" t="str">
        <f>IFERROR(__xludf.DUMMYFUNCTION("""COMPUTED_VALUE"""),"AGRANI BANK LTD.")</f>
        <v>AGRANI BANK LTD.</v>
      </c>
      <c r="E682" s="2" t="str">
        <f>IFERROR(__xludf.DUMMYFUNCTION("""COMPUTED_VALUE"""),"NATORE SUGAR MILLS")</f>
        <v>NATORE SUGAR MILLS</v>
      </c>
      <c r="F682" s="4">
        <f>IFERROR(__xludf.DUMMYFUNCTION("""COMPUTED_VALUE"""),115.0)</f>
        <v>115</v>
      </c>
      <c r="G682" s="5">
        <f>IFERROR(__xludf.DUMMYFUNCTION("""COMPUTED_VALUE"""),1.0691159E7)</f>
        <v>10691159</v>
      </c>
    </row>
    <row r="683">
      <c r="A683" s="3">
        <f>IFERROR(__xludf.DUMMYFUNCTION("""COMPUTED_VALUE"""),569.0)</f>
        <v>569</v>
      </c>
      <c r="B683" s="2" t="str">
        <f>IFERROR(__xludf.DUMMYFUNCTION("""COMPUTED_VALUE"""),"NATORE")</f>
        <v>NATORE</v>
      </c>
      <c r="C683" s="4">
        <f>IFERROR(__xludf.DUMMYFUNCTION("""COMPUTED_VALUE"""),10.0)</f>
        <v>10</v>
      </c>
      <c r="D683" s="2" t="str">
        <f>IFERROR(__xludf.DUMMYFUNCTION("""COMPUTED_VALUE"""),"AGRANI BANK LTD.")</f>
        <v>AGRANI BANK LTD.</v>
      </c>
      <c r="E683" s="2" t="str">
        <f>IFERROR(__xludf.DUMMYFUNCTION("""COMPUTED_VALUE"""),"NAZIRPUR")</f>
        <v>NAZIRPUR</v>
      </c>
      <c r="F683" s="4">
        <f>IFERROR(__xludf.DUMMYFUNCTION("""COMPUTED_VALUE"""),121.0)</f>
        <v>121</v>
      </c>
      <c r="G683" s="5">
        <f>IFERROR(__xludf.DUMMYFUNCTION("""COMPUTED_VALUE"""),1.0691212E7)</f>
        <v>10691212</v>
      </c>
    </row>
    <row r="684">
      <c r="A684" s="3">
        <f>IFERROR(__xludf.DUMMYFUNCTION("""COMPUTED_VALUE"""),569.0)</f>
        <v>569</v>
      </c>
      <c r="B684" s="2" t="str">
        <f>IFERROR(__xludf.DUMMYFUNCTION("""COMPUTED_VALUE"""),"NATORE")</f>
        <v>NATORE</v>
      </c>
      <c r="C684" s="4">
        <f>IFERROR(__xludf.DUMMYFUNCTION("""COMPUTED_VALUE"""),10.0)</f>
        <v>10</v>
      </c>
      <c r="D684" s="2" t="str">
        <f>IFERROR(__xludf.DUMMYFUNCTION("""COMPUTED_VALUE"""),"AGRANI BANK LTD.")</f>
        <v>AGRANI BANK LTD.</v>
      </c>
      <c r="E684" s="2" t="str">
        <f>IFERROR(__xludf.DUMMYFUNCTION("""COMPUTED_VALUE"""),"QUADIRABAD CANTT")</f>
        <v>QUADIRABAD CANTT</v>
      </c>
      <c r="F684" s="4">
        <f>IFERROR(__xludf.DUMMYFUNCTION("""COMPUTED_VALUE"""),136.0)</f>
        <v>136</v>
      </c>
      <c r="G684" s="5">
        <f>IFERROR(__xludf.DUMMYFUNCTION("""COMPUTED_VALUE"""),1.0691362E7)</f>
        <v>10691362</v>
      </c>
    </row>
    <row r="685">
      <c r="A685" s="3">
        <f>IFERROR(__xludf.DUMMYFUNCTION("""COMPUTED_VALUE"""),569.0)</f>
        <v>569</v>
      </c>
      <c r="B685" s="2" t="str">
        <f>IFERROR(__xludf.DUMMYFUNCTION("""COMPUTED_VALUE"""),"NATORE")</f>
        <v>NATORE</v>
      </c>
      <c r="C685" s="4">
        <f>IFERROR(__xludf.DUMMYFUNCTION("""COMPUTED_VALUE"""),10.0)</f>
        <v>10</v>
      </c>
      <c r="D685" s="2" t="str">
        <f>IFERROR(__xludf.DUMMYFUNCTION("""COMPUTED_VALUE"""),"AGRANI BANK LTD.")</f>
        <v>AGRANI BANK LTD.</v>
      </c>
      <c r="E685" s="2" t="str">
        <f>IFERROR(__xludf.DUMMYFUNCTION("""COMPUTED_VALUE"""),"RAJAPUR HAT")</f>
        <v>RAJAPUR HAT</v>
      </c>
      <c r="F685" s="4">
        <f>IFERROR(__xludf.DUMMYFUNCTION("""COMPUTED_VALUE"""),142.0)</f>
        <v>142</v>
      </c>
      <c r="G685" s="5">
        <f>IFERROR(__xludf.DUMMYFUNCTION("""COMPUTED_VALUE"""),1.0691425E7)</f>
        <v>10691425</v>
      </c>
    </row>
    <row r="686">
      <c r="A686" s="3">
        <f>IFERROR(__xludf.DUMMYFUNCTION("""COMPUTED_VALUE"""),569.0)</f>
        <v>569</v>
      </c>
      <c r="B686" s="2" t="str">
        <f>IFERROR(__xludf.DUMMYFUNCTION("""COMPUTED_VALUE"""),"NATORE")</f>
        <v>NATORE</v>
      </c>
      <c r="C686" s="4">
        <f>IFERROR(__xludf.DUMMYFUNCTION("""COMPUTED_VALUE"""),10.0)</f>
        <v>10</v>
      </c>
      <c r="D686" s="2" t="str">
        <f>IFERROR(__xludf.DUMMYFUNCTION("""COMPUTED_VALUE"""),"AGRANI BANK LTD.")</f>
        <v>AGRANI BANK LTD.</v>
      </c>
      <c r="E686" s="2" t="str">
        <f>IFERROR(__xludf.DUMMYFUNCTION("""COMPUTED_VALUE"""),"SINGRA")</f>
        <v>SINGRA</v>
      </c>
      <c r="F686" s="4">
        <f>IFERROR(__xludf.DUMMYFUNCTION("""COMPUTED_VALUE"""),148.0)</f>
        <v>148</v>
      </c>
      <c r="G686" s="5">
        <f>IFERROR(__xludf.DUMMYFUNCTION("""COMPUTED_VALUE"""),1.0691483E7)</f>
        <v>10691483</v>
      </c>
    </row>
    <row r="687">
      <c r="A687" s="3">
        <f>IFERROR(__xludf.DUMMYFUNCTION("""COMPUTED_VALUE"""),570.0)</f>
        <v>570</v>
      </c>
      <c r="B687" s="2" t="str">
        <f>IFERROR(__xludf.DUMMYFUNCTION("""COMPUTED_VALUE"""),"NAWABGANJ")</f>
        <v>NAWABGANJ</v>
      </c>
      <c r="C687" s="4">
        <f>IFERROR(__xludf.DUMMYFUNCTION("""COMPUTED_VALUE"""),10.0)</f>
        <v>10</v>
      </c>
      <c r="D687" s="2" t="str">
        <f>IFERROR(__xludf.DUMMYFUNCTION("""COMPUTED_VALUE"""),"AGRANI BANK LTD.")</f>
        <v>AGRANI BANK LTD.</v>
      </c>
      <c r="E687" s="2" t="str">
        <f>IFERROR(__xludf.DUMMYFUNCTION("""COMPUTED_VALUE"""),"AMNURA")</f>
        <v>AMNURA</v>
      </c>
      <c r="F687" s="4">
        <f>IFERROR(__xludf.DUMMYFUNCTION("""COMPUTED_VALUE"""),4.0)</f>
        <v>4</v>
      </c>
      <c r="G687" s="5">
        <f>IFERROR(__xludf.DUMMYFUNCTION("""COMPUTED_VALUE"""),1.070004E7)</f>
        <v>10700040</v>
      </c>
    </row>
    <row r="688">
      <c r="A688" s="3">
        <f>IFERROR(__xludf.DUMMYFUNCTION("""COMPUTED_VALUE"""),570.0)</f>
        <v>570</v>
      </c>
      <c r="B688" s="2" t="str">
        <f>IFERROR(__xludf.DUMMYFUNCTION("""COMPUTED_VALUE"""),"NAWABGANJ")</f>
        <v>NAWABGANJ</v>
      </c>
      <c r="C688" s="4">
        <f>IFERROR(__xludf.DUMMYFUNCTION("""COMPUTED_VALUE"""),10.0)</f>
        <v>10</v>
      </c>
      <c r="D688" s="2" t="str">
        <f>IFERROR(__xludf.DUMMYFUNCTION("""COMPUTED_VALUE"""),"AGRANI BANK LTD.")</f>
        <v>AGRANI BANK LTD.</v>
      </c>
      <c r="E688" s="2" t="str">
        <f>IFERROR(__xludf.DUMMYFUNCTION("""COMPUTED_VALUE"""),"BAROGHORIA")</f>
        <v>BAROGHORIA</v>
      </c>
      <c r="F688" s="4">
        <f>IFERROR(__xludf.DUMMYFUNCTION("""COMPUTED_VALUE"""),13.0)</f>
        <v>13</v>
      </c>
      <c r="G688" s="5">
        <f>IFERROR(__xludf.DUMMYFUNCTION("""COMPUTED_VALUE"""),1.0700132E7)</f>
        <v>10700132</v>
      </c>
    </row>
    <row r="689">
      <c r="A689" s="3">
        <f>IFERROR(__xludf.DUMMYFUNCTION("""COMPUTED_VALUE"""),570.0)</f>
        <v>570</v>
      </c>
      <c r="B689" s="2" t="str">
        <f>IFERROR(__xludf.DUMMYFUNCTION("""COMPUTED_VALUE"""),"NAWABGANJ")</f>
        <v>NAWABGANJ</v>
      </c>
      <c r="C689" s="4">
        <f>IFERROR(__xludf.DUMMYFUNCTION("""COMPUTED_VALUE"""),10.0)</f>
        <v>10</v>
      </c>
      <c r="D689" s="2" t="str">
        <f>IFERROR(__xludf.DUMMYFUNCTION("""COMPUTED_VALUE"""),"AGRANI BANK LTD.")</f>
        <v>AGRANI BANK LTD.</v>
      </c>
      <c r="E689" s="2" t="str">
        <f>IFERROR(__xludf.DUMMYFUNCTION("""COMPUTED_VALUE"""),"BINODPUR")</f>
        <v>BINODPUR</v>
      </c>
      <c r="F689" s="4">
        <f>IFERROR(__xludf.DUMMYFUNCTION("""COMPUTED_VALUE"""),19.0)</f>
        <v>19</v>
      </c>
      <c r="G689" s="5">
        <f>IFERROR(__xludf.DUMMYFUNCTION("""COMPUTED_VALUE"""),1.070019E7)</f>
        <v>10700190</v>
      </c>
    </row>
    <row r="690">
      <c r="A690" s="3">
        <f>IFERROR(__xludf.DUMMYFUNCTION("""COMPUTED_VALUE"""),570.0)</f>
        <v>570</v>
      </c>
      <c r="B690" s="2" t="str">
        <f>IFERROR(__xludf.DUMMYFUNCTION("""COMPUTED_VALUE"""),"NAWABGANJ")</f>
        <v>NAWABGANJ</v>
      </c>
      <c r="C690" s="4">
        <f>IFERROR(__xludf.DUMMYFUNCTION("""COMPUTED_VALUE"""),10.0)</f>
        <v>10</v>
      </c>
      <c r="D690" s="2" t="str">
        <f>IFERROR(__xludf.DUMMYFUNCTION("""COMPUTED_VALUE"""),"AGRANI BANK LTD.")</f>
        <v>AGRANI BANK LTD.</v>
      </c>
      <c r="E690" s="2" t="str">
        <f>IFERROR(__xludf.DUMMYFUNCTION("""COMPUTED_VALUE"""),"CHAPAI NAWABGANJ")</f>
        <v>CHAPAI NAWABGANJ</v>
      </c>
      <c r="F690" s="4">
        <f>IFERROR(__xludf.DUMMYFUNCTION("""COMPUTED_VALUE"""),25.0)</f>
        <v>25</v>
      </c>
      <c r="G690" s="5">
        <f>IFERROR(__xludf.DUMMYFUNCTION("""COMPUTED_VALUE"""),1.0700253E7)</f>
        <v>10700253</v>
      </c>
    </row>
    <row r="691">
      <c r="A691" s="3">
        <f>IFERROR(__xludf.DUMMYFUNCTION("""COMPUTED_VALUE"""),570.0)</f>
        <v>570</v>
      </c>
      <c r="B691" s="2" t="str">
        <f>IFERROR(__xludf.DUMMYFUNCTION("""COMPUTED_VALUE"""),"NAWABGANJ")</f>
        <v>NAWABGANJ</v>
      </c>
      <c r="C691" s="4">
        <f>IFERROR(__xludf.DUMMYFUNCTION("""COMPUTED_VALUE"""),10.0)</f>
        <v>10</v>
      </c>
      <c r="D691" s="2" t="str">
        <f>IFERROR(__xludf.DUMMYFUNCTION("""COMPUTED_VALUE"""),"AGRANI BANK LTD.")</f>
        <v>AGRANI BANK LTD.</v>
      </c>
      <c r="E691" s="2" t="str">
        <f>IFERROR(__xludf.DUMMYFUNCTION("""COMPUTED_VALUE"""),"CHOWDALA")</f>
        <v>CHOWDALA</v>
      </c>
      <c r="F691" s="4">
        <f>IFERROR(__xludf.DUMMYFUNCTION("""COMPUTED_VALUE"""),34.0)</f>
        <v>34</v>
      </c>
      <c r="G691" s="5">
        <f>IFERROR(__xludf.DUMMYFUNCTION("""COMPUTED_VALUE"""),1.0700345E7)</f>
        <v>10700345</v>
      </c>
    </row>
    <row r="692">
      <c r="A692" s="3">
        <f>IFERROR(__xludf.DUMMYFUNCTION("""COMPUTED_VALUE"""),570.0)</f>
        <v>570</v>
      </c>
      <c r="B692" s="2" t="str">
        <f>IFERROR(__xludf.DUMMYFUNCTION("""COMPUTED_VALUE"""),"NAWABGANJ")</f>
        <v>NAWABGANJ</v>
      </c>
      <c r="C692" s="4">
        <f>IFERROR(__xludf.DUMMYFUNCTION("""COMPUTED_VALUE"""),10.0)</f>
        <v>10</v>
      </c>
      <c r="D692" s="2" t="str">
        <f>IFERROR(__xludf.DUMMYFUNCTION("""COMPUTED_VALUE"""),"AGRANI BANK LTD.")</f>
        <v>AGRANI BANK LTD.</v>
      </c>
      <c r="E692" s="2" t="str">
        <f>IFERROR(__xludf.DUMMYFUNCTION("""COMPUTED_VALUE"""),"GOBRATALA")</f>
        <v>GOBRATALA</v>
      </c>
      <c r="F692" s="4">
        <f>IFERROR(__xludf.DUMMYFUNCTION("""COMPUTED_VALUE"""),40.0)</f>
        <v>40</v>
      </c>
      <c r="G692" s="5">
        <f>IFERROR(__xludf.DUMMYFUNCTION("""COMPUTED_VALUE"""),1.0700408E7)</f>
        <v>10700408</v>
      </c>
    </row>
    <row r="693">
      <c r="A693" s="3">
        <f>IFERROR(__xludf.DUMMYFUNCTION("""COMPUTED_VALUE"""),570.0)</f>
        <v>570</v>
      </c>
      <c r="B693" s="2" t="str">
        <f>IFERROR(__xludf.DUMMYFUNCTION("""COMPUTED_VALUE"""),"NAWABGANJ")</f>
        <v>NAWABGANJ</v>
      </c>
      <c r="C693" s="4">
        <f>IFERROR(__xludf.DUMMYFUNCTION("""COMPUTED_VALUE"""),10.0)</f>
        <v>10</v>
      </c>
      <c r="D693" s="2" t="str">
        <f>IFERROR(__xludf.DUMMYFUNCTION("""COMPUTED_VALUE"""),"AGRANI BANK LTD.")</f>
        <v>AGRANI BANK LTD.</v>
      </c>
      <c r="E693" s="2" t="str">
        <f>IFERROR(__xludf.DUMMYFUNCTION("""COMPUTED_VALUE"""),"KHAMAR")</f>
        <v>KHAMAR</v>
      </c>
      <c r="F693" s="4">
        <f>IFERROR(__xludf.DUMMYFUNCTION("""COMPUTED_VALUE"""),55.0)</f>
        <v>55</v>
      </c>
      <c r="G693" s="5">
        <f>IFERROR(__xludf.DUMMYFUNCTION("""COMPUTED_VALUE"""),1.0700558E7)</f>
        <v>10700558</v>
      </c>
    </row>
    <row r="694">
      <c r="A694" s="3">
        <f>IFERROR(__xludf.DUMMYFUNCTION("""COMPUTED_VALUE"""),570.0)</f>
        <v>570</v>
      </c>
      <c r="B694" s="2" t="str">
        <f>IFERROR(__xludf.DUMMYFUNCTION("""COMPUTED_VALUE"""),"NAWABGANJ")</f>
        <v>NAWABGANJ</v>
      </c>
      <c r="C694" s="4">
        <f>IFERROR(__xludf.DUMMYFUNCTION("""COMPUTED_VALUE"""),10.0)</f>
        <v>10</v>
      </c>
      <c r="D694" s="2" t="str">
        <f>IFERROR(__xludf.DUMMYFUNCTION("""COMPUTED_VALUE"""),"AGRANI BANK LTD.")</f>
        <v>AGRANI BANK LTD.</v>
      </c>
      <c r="E694" s="2" t="str">
        <f>IFERROR(__xludf.DUMMYFUNCTION("""COMPUTED_VALUE"""),"MOBARAKPUR")</f>
        <v>MOBARAKPUR</v>
      </c>
      <c r="F694" s="4">
        <f>IFERROR(__xludf.DUMMYFUNCTION("""COMPUTED_VALUE"""),61.0)</f>
        <v>61</v>
      </c>
      <c r="G694" s="5">
        <f>IFERROR(__xludf.DUMMYFUNCTION("""COMPUTED_VALUE"""),1.0700611E7)</f>
        <v>10700611</v>
      </c>
    </row>
    <row r="695">
      <c r="A695" s="3">
        <f>IFERROR(__xludf.DUMMYFUNCTION("""COMPUTED_VALUE"""),570.0)</f>
        <v>570</v>
      </c>
      <c r="B695" s="2" t="str">
        <f>IFERROR(__xludf.DUMMYFUNCTION("""COMPUTED_VALUE"""),"NAWABGANJ")</f>
        <v>NAWABGANJ</v>
      </c>
      <c r="C695" s="4">
        <f>IFERROR(__xludf.DUMMYFUNCTION("""COMPUTED_VALUE"""),10.0)</f>
        <v>10</v>
      </c>
      <c r="D695" s="2" t="str">
        <f>IFERROR(__xludf.DUMMYFUNCTION("""COMPUTED_VALUE"""),"AGRANI BANK LTD.")</f>
        <v>AGRANI BANK LTD.</v>
      </c>
      <c r="E695" s="2" t="str">
        <f>IFERROR(__xludf.DUMMYFUNCTION("""COMPUTED_VALUE"""),"MONAKASHA")</f>
        <v>MONAKASHA</v>
      </c>
      <c r="F695" s="4">
        <f>IFERROR(__xludf.DUMMYFUNCTION("""COMPUTED_VALUE"""),70.0)</f>
        <v>70</v>
      </c>
      <c r="G695" s="5">
        <f>IFERROR(__xludf.DUMMYFUNCTION("""COMPUTED_VALUE"""),1.0700703E7)</f>
        <v>10700703</v>
      </c>
    </row>
    <row r="696">
      <c r="A696" s="3">
        <f>IFERROR(__xludf.DUMMYFUNCTION("""COMPUTED_VALUE"""),570.0)</f>
        <v>570</v>
      </c>
      <c r="B696" s="2" t="str">
        <f>IFERROR(__xludf.DUMMYFUNCTION("""COMPUTED_VALUE"""),"NAWABGANJ")</f>
        <v>NAWABGANJ</v>
      </c>
      <c r="C696" s="4">
        <f>IFERROR(__xludf.DUMMYFUNCTION("""COMPUTED_VALUE"""),10.0)</f>
        <v>10</v>
      </c>
      <c r="D696" s="2" t="str">
        <f>IFERROR(__xludf.DUMMYFUNCTION("""COMPUTED_VALUE"""),"AGRANI BANK LTD.")</f>
        <v>AGRANI BANK LTD.</v>
      </c>
      <c r="E696" s="2" t="str">
        <f>IFERROR(__xludf.DUMMYFUNCTION("""COMPUTED_VALUE"""),"RAJARAMPUR")</f>
        <v>RAJARAMPUR</v>
      </c>
      <c r="F696" s="4">
        <f>IFERROR(__xludf.DUMMYFUNCTION("""COMPUTED_VALUE"""),82.0)</f>
        <v>82</v>
      </c>
      <c r="G696" s="5">
        <f>IFERROR(__xludf.DUMMYFUNCTION("""COMPUTED_VALUE"""),1.0700824E7)</f>
        <v>10700824</v>
      </c>
    </row>
    <row r="697">
      <c r="A697" s="3">
        <f>IFERROR(__xludf.DUMMYFUNCTION("""COMPUTED_VALUE"""),570.0)</f>
        <v>570</v>
      </c>
      <c r="B697" s="2" t="str">
        <f>IFERROR(__xludf.DUMMYFUNCTION("""COMPUTED_VALUE"""),"NAWABGANJ")</f>
        <v>NAWABGANJ</v>
      </c>
      <c r="C697" s="4">
        <f>IFERROR(__xludf.DUMMYFUNCTION("""COMPUTED_VALUE"""),10.0)</f>
        <v>10</v>
      </c>
      <c r="D697" s="2" t="str">
        <f>IFERROR(__xludf.DUMMYFUNCTION("""COMPUTED_VALUE"""),"AGRANI BANK LTD.")</f>
        <v>AGRANI BANK LTD.</v>
      </c>
      <c r="E697" s="2" t="str">
        <f>IFERROR(__xludf.DUMMYFUNCTION("""COMPUTED_VALUE"""),"ROHANPUR")</f>
        <v>ROHANPUR</v>
      </c>
      <c r="F697" s="4">
        <f>IFERROR(__xludf.DUMMYFUNCTION("""COMPUTED_VALUE"""),88.0)</f>
        <v>88</v>
      </c>
      <c r="G697" s="5">
        <f>IFERROR(__xludf.DUMMYFUNCTION("""COMPUTED_VALUE"""),1.0700882E7)</f>
        <v>10700882</v>
      </c>
    </row>
    <row r="698">
      <c r="A698" s="3">
        <f>IFERROR(__xludf.DUMMYFUNCTION("""COMPUTED_VALUE"""),570.0)</f>
        <v>570</v>
      </c>
      <c r="B698" s="2" t="str">
        <f>IFERROR(__xludf.DUMMYFUNCTION("""COMPUTED_VALUE"""),"NAWABGANJ")</f>
        <v>NAWABGANJ</v>
      </c>
      <c r="C698" s="4">
        <f>IFERROR(__xludf.DUMMYFUNCTION("""COMPUTED_VALUE"""),10.0)</f>
        <v>10</v>
      </c>
      <c r="D698" s="2" t="str">
        <f>IFERROR(__xludf.DUMMYFUNCTION("""COMPUTED_VALUE"""),"AGRANI BANK LTD.")</f>
        <v>AGRANI BANK LTD.</v>
      </c>
      <c r="E698" s="2" t="str">
        <f>IFERROR(__xludf.DUMMYFUNCTION("""COMPUTED_VALUE"""),"SADARGHAT")</f>
        <v>SADARGHAT</v>
      </c>
      <c r="F698" s="4">
        <f>IFERROR(__xludf.DUMMYFUNCTION("""COMPUTED_VALUE"""),91.0)</f>
        <v>91</v>
      </c>
      <c r="G698" s="5">
        <f>IFERROR(__xludf.DUMMYFUNCTION("""COMPUTED_VALUE"""),1.0700916E7)</f>
        <v>10700916</v>
      </c>
    </row>
    <row r="699">
      <c r="A699" s="3">
        <f>IFERROR(__xludf.DUMMYFUNCTION("""COMPUTED_VALUE"""),570.0)</f>
        <v>570</v>
      </c>
      <c r="B699" s="2" t="str">
        <f>IFERROR(__xludf.DUMMYFUNCTION("""COMPUTED_VALUE"""),"NAWABGANJ")</f>
        <v>NAWABGANJ</v>
      </c>
      <c r="C699" s="4">
        <f>IFERROR(__xludf.DUMMYFUNCTION("""COMPUTED_VALUE"""),10.0)</f>
        <v>10</v>
      </c>
      <c r="D699" s="2" t="str">
        <f>IFERROR(__xludf.DUMMYFUNCTION("""COMPUTED_VALUE"""),"AGRANI BANK LTD.")</f>
        <v>AGRANI BANK LTD.</v>
      </c>
      <c r="E699" s="2" t="str">
        <f>IFERROR(__xludf.DUMMYFUNCTION("""COMPUTED_VALUE"""),"SHIBGANJ")</f>
        <v>SHIBGANJ</v>
      </c>
      <c r="F699" s="4">
        <f>IFERROR(__xludf.DUMMYFUNCTION("""COMPUTED_VALUE"""),94.0)</f>
        <v>94</v>
      </c>
      <c r="G699" s="5">
        <f>IFERROR(__xludf.DUMMYFUNCTION("""COMPUTED_VALUE"""),1.0700945E7)</f>
        <v>10700945</v>
      </c>
    </row>
    <row r="700">
      <c r="A700" s="3">
        <f>IFERROR(__xludf.DUMMYFUNCTION("""COMPUTED_VALUE"""),172.0)</f>
        <v>172</v>
      </c>
      <c r="B700" s="2" t="str">
        <f>IFERROR(__xludf.DUMMYFUNCTION("""COMPUTED_VALUE"""),"NETROKONA")</f>
        <v>NETROKONA</v>
      </c>
      <c r="C700" s="4">
        <f>IFERROR(__xludf.DUMMYFUNCTION("""COMPUTED_VALUE"""),10.0)</f>
        <v>10</v>
      </c>
      <c r="D700" s="2" t="str">
        <f>IFERROR(__xludf.DUMMYFUNCTION("""COMPUTED_VALUE"""),"AGRANI BANK LTD.")</f>
        <v>AGRANI BANK LTD.</v>
      </c>
      <c r="E700" s="2" t="str">
        <f>IFERROR(__xludf.DUMMYFUNCTION("""COMPUTED_VALUE"""),"BARAHATTA")</f>
        <v>BARAHATTA</v>
      </c>
      <c r="F700" s="4">
        <f>IFERROR(__xludf.DUMMYFUNCTION("""COMPUTED_VALUE"""),7.0)</f>
        <v>7</v>
      </c>
      <c r="G700" s="5">
        <f>IFERROR(__xludf.DUMMYFUNCTION("""COMPUTED_VALUE"""),1.0720075E7)</f>
        <v>10720075</v>
      </c>
    </row>
    <row r="701">
      <c r="A701" s="3">
        <f>IFERROR(__xludf.DUMMYFUNCTION("""COMPUTED_VALUE"""),172.0)</f>
        <v>172</v>
      </c>
      <c r="B701" s="2" t="str">
        <f>IFERROR(__xludf.DUMMYFUNCTION("""COMPUTED_VALUE"""),"NETROKONA")</f>
        <v>NETROKONA</v>
      </c>
      <c r="C701" s="4">
        <f>IFERROR(__xludf.DUMMYFUNCTION("""COMPUTED_VALUE"""),10.0)</f>
        <v>10</v>
      </c>
      <c r="D701" s="2" t="str">
        <f>IFERROR(__xludf.DUMMYFUNCTION("""COMPUTED_VALUE"""),"AGRANI BANK LTD.")</f>
        <v>AGRANI BANK LTD.</v>
      </c>
      <c r="E701" s="2" t="str">
        <f>IFERROR(__xludf.DUMMYFUNCTION("""COMPUTED_VALUE"""),"BIRISHIRI")</f>
        <v>BIRISHIRI</v>
      </c>
      <c r="F701" s="4">
        <f>IFERROR(__xludf.DUMMYFUNCTION("""COMPUTED_VALUE"""),10.0)</f>
        <v>10</v>
      </c>
      <c r="G701" s="5">
        <f>IFERROR(__xludf.DUMMYFUNCTION("""COMPUTED_VALUE"""),1.0720109E7)</f>
        <v>10720109</v>
      </c>
    </row>
    <row r="702">
      <c r="A702" s="3">
        <f>IFERROR(__xludf.DUMMYFUNCTION("""COMPUTED_VALUE"""),172.0)</f>
        <v>172</v>
      </c>
      <c r="B702" s="2" t="str">
        <f>IFERROR(__xludf.DUMMYFUNCTION("""COMPUTED_VALUE"""),"NETROKONA")</f>
        <v>NETROKONA</v>
      </c>
      <c r="C702" s="4">
        <f>IFERROR(__xludf.DUMMYFUNCTION("""COMPUTED_VALUE"""),10.0)</f>
        <v>10</v>
      </c>
      <c r="D702" s="2" t="str">
        <f>IFERROR(__xludf.DUMMYFUNCTION("""COMPUTED_VALUE"""),"AGRANI BANK LTD.")</f>
        <v>AGRANI BANK LTD.</v>
      </c>
      <c r="E702" s="2" t="str">
        <f>IFERROR(__xludf.DUMMYFUNCTION("""COMPUTED_VALUE"""),"DURGAPUR")</f>
        <v>DURGAPUR</v>
      </c>
      <c r="F702" s="4">
        <f>IFERROR(__xludf.DUMMYFUNCTION("""COMPUTED_VALUE"""),19.0)</f>
        <v>19</v>
      </c>
      <c r="G702" s="5">
        <f>IFERROR(__xludf.DUMMYFUNCTION("""COMPUTED_VALUE"""),1.0720196E7)</f>
        <v>10720196</v>
      </c>
    </row>
    <row r="703">
      <c r="A703" s="3">
        <f>IFERROR(__xludf.DUMMYFUNCTION("""COMPUTED_VALUE"""),172.0)</f>
        <v>172</v>
      </c>
      <c r="B703" s="2" t="str">
        <f>IFERROR(__xludf.DUMMYFUNCTION("""COMPUTED_VALUE"""),"NETROKONA")</f>
        <v>NETROKONA</v>
      </c>
      <c r="C703" s="4">
        <f>IFERROR(__xludf.DUMMYFUNCTION("""COMPUTED_VALUE"""),10.0)</f>
        <v>10</v>
      </c>
      <c r="D703" s="2" t="str">
        <f>IFERROR(__xludf.DUMMYFUNCTION("""COMPUTED_VALUE"""),"AGRANI BANK LTD.")</f>
        <v>AGRANI BANK LTD.</v>
      </c>
      <c r="E703" s="2" t="str">
        <f>IFERROR(__xludf.DUMMYFUNCTION("""COMPUTED_VALUE"""),"FAKIRER BAZAR")</f>
        <v>FAKIRER BAZAR</v>
      </c>
      <c r="F703" s="4">
        <f>IFERROR(__xludf.DUMMYFUNCTION("""COMPUTED_VALUE"""),22.0)</f>
        <v>22</v>
      </c>
      <c r="G703" s="5">
        <f>IFERROR(__xludf.DUMMYFUNCTION("""COMPUTED_VALUE"""),1.072022E7)</f>
        <v>10720220</v>
      </c>
    </row>
    <row r="704">
      <c r="A704" s="3">
        <f>IFERROR(__xludf.DUMMYFUNCTION("""COMPUTED_VALUE"""),172.0)</f>
        <v>172</v>
      </c>
      <c r="B704" s="2" t="str">
        <f>IFERROR(__xludf.DUMMYFUNCTION("""COMPUTED_VALUE"""),"NETROKONA")</f>
        <v>NETROKONA</v>
      </c>
      <c r="C704" s="4">
        <f>IFERROR(__xludf.DUMMYFUNCTION("""COMPUTED_VALUE"""),10.0)</f>
        <v>10</v>
      </c>
      <c r="D704" s="2" t="str">
        <f>IFERROR(__xludf.DUMMYFUNCTION("""COMPUTED_VALUE"""),"AGRANI BANK LTD.")</f>
        <v>AGRANI BANK LTD.</v>
      </c>
      <c r="E704" s="2" t="str">
        <f>IFERROR(__xludf.DUMMYFUNCTION("""COMPUTED_VALUE"""),"JHAN ZAIL")</f>
        <v>JHAN ZAIL</v>
      </c>
      <c r="F704" s="4">
        <f>IFERROR(__xludf.DUMMYFUNCTION("""COMPUTED_VALUE"""),34.0)</f>
        <v>34</v>
      </c>
      <c r="G704" s="5">
        <f>IFERROR(__xludf.DUMMYFUNCTION("""COMPUTED_VALUE"""),1.0720341E7)</f>
        <v>10720341</v>
      </c>
    </row>
    <row r="705">
      <c r="A705" s="3">
        <f>IFERROR(__xludf.DUMMYFUNCTION("""COMPUTED_VALUE"""),172.0)</f>
        <v>172</v>
      </c>
      <c r="B705" s="2" t="str">
        <f>IFERROR(__xludf.DUMMYFUNCTION("""COMPUTED_VALUE"""),"NETROKONA")</f>
        <v>NETROKONA</v>
      </c>
      <c r="C705" s="4">
        <f>IFERROR(__xludf.DUMMYFUNCTION("""COMPUTED_VALUE"""),10.0)</f>
        <v>10</v>
      </c>
      <c r="D705" s="2" t="str">
        <f>IFERROR(__xludf.DUMMYFUNCTION("""COMPUTED_VALUE"""),"AGRANI BANK LTD.")</f>
        <v>AGRANI BANK LTD.</v>
      </c>
      <c r="E705" s="2" t="str">
        <f>IFERROR(__xludf.DUMMYFUNCTION("""COMPUTED_VALUE"""),"KENDUA")</f>
        <v>KENDUA</v>
      </c>
      <c r="F705" s="4">
        <f>IFERROR(__xludf.DUMMYFUNCTION("""COMPUTED_VALUE"""),46.0)</f>
        <v>46</v>
      </c>
      <c r="G705" s="5">
        <f>IFERROR(__xludf.DUMMYFUNCTION("""COMPUTED_VALUE"""),1.0720462E7)</f>
        <v>10720462</v>
      </c>
    </row>
    <row r="706">
      <c r="A706" s="3">
        <f>IFERROR(__xludf.DUMMYFUNCTION("""COMPUTED_VALUE"""),172.0)</f>
        <v>172</v>
      </c>
      <c r="B706" s="2" t="str">
        <f>IFERROR(__xludf.DUMMYFUNCTION("""COMPUTED_VALUE"""),"NETROKONA")</f>
        <v>NETROKONA</v>
      </c>
      <c r="C706" s="4">
        <f>IFERROR(__xludf.DUMMYFUNCTION("""COMPUTED_VALUE"""),10.0)</f>
        <v>10</v>
      </c>
      <c r="D706" s="2" t="str">
        <f>IFERROR(__xludf.DUMMYFUNCTION("""COMPUTED_VALUE"""),"AGRANI BANK LTD.")</f>
        <v>AGRANI BANK LTD.</v>
      </c>
      <c r="E706" s="2" t="str">
        <f>IFERROR(__xludf.DUMMYFUNCTION("""COMPUTED_VALUE"""),"MAHANGANJ")</f>
        <v>MAHANGANJ</v>
      </c>
      <c r="F706" s="4">
        <f>IFERROR(__xludf.DUMMYFUNCTION("""COMPUTED_VALUE"""),67.0)</f>
        <v>67</v>
      </c>
      <c r="G706" s="5">
        <f>IFERROR(__xludf.DUMMYFUNCTION("""COMPUTED_VALUE"""),1.0720675E7)</f>
        <v>10720675</v>
      </c>
    </row>
    <row r="707">
      <c r="A707" s="3">
        <f>IFERROR(__xludf.DUMMYFUNCTION("""COMPUTED_VALUE"""),172.0)</f>
        <v>172</v>
      </c>
      <c r="B707" s="2" t="str">
        <f>IFERROR(__xludf.DUMMYFUNCTION("""COMPUTED_VALUE"""),"NETROKONA")</f>
        <v>NETROKONA</v>
      </c>
      <c r="C707" s="4">
        <f>IFERROR(__xludf.DUMMYFUNCTION("""COMPUTED_VALUE"""),10.0)</f>
        <v>10</v>
      </c>
      <c r="D707" s="2" t="str">
        <f>IFERROR(__xludf.DUMMYFUNCTION("""COMPUTED_VALUE"""),"AGRANI BANK LTD.")</f>
        <v>AGRANI BANK LTD.</v>
      </c>
      <c r="E707" s="2" t="str">
        <f>IFERROR(__xludf.DUMMYFUNCTION("""COMPUTED_VALUE"""),"NETROKONA")</f>
        <v>NETROKONA</v>
      </c>
      <c r="F707" s="4">
        <f>IFERROR(__xludf.DUMMYFUNCTION("""COMPUTED_VALUE"""),73.0)</f>
        <v>73</v>
      </c>
      <c r="G707" s="5">
        <f>IFERROR(__xludf.DUMMYFUNCTION("""COMPUTED_VALUE"""),1.0720738E7)</f>
        <v>10720738</v>
      </c>
    </row>
    <row r="708">
      <c r="A708" s="3">
        <f>IFERROR(__xludf.DUMMYFUNCTION("""COMPUTED_VALUE"""),172.0)</f>
        <v>172</v>
      </c>
      <c r="B708" s="2" t="str">
        <f>IFERROR(__xludf.DUMMYFUNCTION("""COMPUTED_VALUE"""),"NETROKONA")</f>
        <v>NETROKONA</v>
      </c>
      <c r="C708" s="4">
        <f>IFERROR(__xludf.DUMMYFUNCTION("""COMPUTED_VALUE"""),10.0)</f>
        <v>10</v>
      </c>
      <c r="D708" s="2" t="str">
        <f>IFERROR(__xludf.DUMMYFUNCTION("""COMPUTED_VALUE"""),"AGRANI BANK LTD.")</f>
        <v>AGRANI BANK LTD.</v>
      </c>
      <c r="E708" s="2" t="str">
        <f>IFERROR(__xludf.DUMMYFUNCTION("""COMPUTED_VALUE"""),"PURBADHALA")</f>
        <v>PURBADHALA</v>
      </c>
      <c r="F708" s="4">
        <f>IFERROR(__xludf.DUMMYFUNCTION("""COMPUTED_VALUE"""),79.0)</f>
        <v>79</v>
      </c>
      <c r="G708" s="5">
        <f>IFERROR(__xludf.DUMMYFUNCTION("""COMPUTED_VALUE"""),1.0720796E7)</f>
        <v>10720796</v>
      </c>
    </row>
    <row r="709">
      <c r="A709" s="3">
        <f>IFERROR(__xludf.DUMMYFUNCTION("""COMPUTED_VALUE"""),172.0)</f>
        <v>172</v>
      </c>
      <c r="B709" s="2" t="str">
        <f>IFERROR(__xludf.DUMMYFUNCTION("""COMPUTED_VALUE"""),"NETROKONA")</f>
        <v>NETROKONA</v>
      </c>
      <c r="C709" s="4">
        <f>IFERROR(__xludf.DUMMYFUNCTION("""COMPUTED_VALUE"""),10.0)</f>
        <v>10</v>
      </c>
      <c r="D709" s="2" t="str">
        <f>IFERROR(__xludf.DUMMYFUNCTION("""COMPUTED_VALUE"""),"AGRANI BANK LTD.")</f>
        <v>AGRANI BANK LTD.</v>
      </c>
      <c r="E709" s="2" t="str">
        <f>IFERROR(__xludf.DUMMYFUNCTION("""COMPUTED_VALUE"""),"RUPGANJ BAZAR")</f>
        <v>RUPGANJ BAZAR</v>
      </c>
      <c r="F709" s="4">
        <f>IFERROR(__xludf.DUMMYFUNCTION("""COMPUTED_VALUE"""),85.0)</f>
        <v>85</v>
      </c>
      <c r="G709" s="5">
        <f>IFERROR(__xludf.DUMMYFUNCTION("""COMPUTED_VALUE"""),1.0720859E7)</f>
        <v>10720859</v>
      </c>
    </row>
    <row r="710">
      <c r="A710" s="3">
        <f>IFERROR(__xludf.DUMMYFUNCTION("""COMPUTED_VALUE"""),172.0)</f>
        <v>172</v>
      </c>
      <c r="B710" s="2" t="str">
        <f>IFERROR(__xludf.DUMMYFUNCTION("""COMPUTED_VALUE"""),"NETROKONA")</f>
        <v>NETROKONA</v>
      </c>
      <c r="C710" s="4">
        <f>IFERROR(__xludf.DUMMYFUNCTION("""COMPUTED_VALUE"""),10.0)</f>
        <v>10</v>
      </c>
      <c r="D710" s="2" t="str">
        <f>IFERROR(__xludf.DUMMYFUNCTION("""COMPUTED_VALUE"""),"AGRANI BANK LTD.")</f>
        <v>AGRANI BANK LTD.</v>
      </c>
      <c r="E710" s="2" t="str">
        <f>IFERROR(__xludf.DUMMYFUNCTION("""COMPUTED_VALUE"""),"TIOSHRI BAZAR")</f>
        <v>TIOSHRI BAZAR</v>
      </c>
      <c r="F710" s="4">
        <f>IFERROR(__xludf.DUMMYFUNCTION("""COMPUTED_VALUE"""),106.0)</f>
        <v>106</v>
      </c>
      <c r="G710" s="5">
        <f>IFERROR(__xludf.DUMMYFUNCTION("""COMPUTED_VALUE"""),1.0721061E7)</f>
        <v>10721061</v>
      </c>
    </row>
    <row r="711">
      <c r="A711" s="3">
        <f>IFERROR(__xludf.DUMMYFUNCTION("""COMPUTED_VALUE"""),773.0)</f>
        <v>773</v>
      </c>
      <c r="B711" s="2" t="str">
        <f>IFERROR(__xludf.DUMMYFUNCTION("""COMPUTED_VALUE"""),"NILPHAMARI")</f>
        <v>NILPHAMARI</v>
      </c>
      <c r="C711" s="4">
        <f>IFERROR(__xludf.DUMMYFUNCTION("""COMPUTED_VALUE"""),10.0)</f>
        <v>10</v>
      </c>
      <c r="D711" s="2" t="str">
        <f>IFERROR(__xludf.DUMMYFUNCTION("""COMPUTED_VALUE"""),"AGRANI BANK LTD.")</f>
        <v>AGRANI BANK LTD.</v>
      </c>
      <c r="E711" s="2" t="str">
        <f>IFERROR(__xludf.DUMMYFUNCTION("""COMPUTED_VALUE"""),"KACHUKATA")</f>
        <v>KACHUKATA</v>
      </c>
      <c r="F711" s="4">
        <f>IFERROR(__xludf.DUMMYFUNCTION("""COMPUTED_VALUE"""),49.0)</f>
        <v>49</v>
      </c>
      <c r="G711" s="5">
        <f>IFERROR(__xludf.DUMMYFUNCTION("""COMPUTED_VALUE"""),1.0730494E7)</f>
        <v>10730494</v>
      </c>
    </row>
    <row r="712">
      <c r="A712" s="3">
        <f>IFERROR(__xludf.DUMMYFUNCTION("""COMPUTED_VALUE"""),773.0)</f>
        <v>773</v>
      </c>
      <c r="B712" s="2" t="str">
        <f>IFERROR(__xludf.DUMMYFUNCTION("""COMPUTED_VALUE"""),"NILPHAMARI")</f>
        <v>NILPHAMARI</v>
      </c>
      <c r="C712" s="4">
        <f>IFERROR(__xludf.DUMMYFUNCTION("""COMPUTED_VALUE"""),10.0)</f>
        <v>10</v>
      </c>
      <c r="D712" s="2" t="str">
        <f>IFERROR(__xludf.DUMMYFUNCTION("""COMPUTED_VALUE"""),"AGRANI BANK LTD.")</f>
        <v>AGRANI BANK LTD.</v>
      </c>
      <c r="E712" s="2" t="str">
        <f>IFERROR(__xludf.DUMMYFUNCTION("""COMPUTED_VALUE"""),"NILPHAMARI")</f>
        <v>NILPHAMARI</v>
      </c>
      <c r="F712" s="4">
        <f>IFERROR(__xludf.DUMMYFUNCTION("""COMPUTED_VALUE"""),73.0)</f>
        <v>73</v>
      </c>
      <c r="G712" s="5">
        <f>IFERROR(__xludf.DUMMYFUNCTION("""COMPUTED_VALUE"""),1.0730731E7)</f>
        <v>10730731</v>
      </c>
    </row>
    <row r="713">
      <c r="A713" s="3">
        <f>IFERROR(__xludf.DUMMYFUNCTION("""COMPUTED_VALUE"""),773.0)</f>
        <v>773</v>
      </c>
      <c r="B713" s="2" t="str">
        <f>IFERROR(__xludf.DUMMYFUNCTION("""COMPUTED_VALUE"""),"NILPHAMARI")</f>
        <v>NILPHAMARI</v>
      </c>
      <c r="C713" s="4">
        <f>IFERROR(__xludf.DUMMYFUNCTION("""COMPUTED_VALUE"""),10.0)</f>
        <v>10</v>
      </c>
      <c r="D713" s="2" t="str">
        <f>IFERROR(__xludf.DUMMYFUNCTION("""COMPUTED_VALUE"""),"AGRANI BANK LTD.")</f>
        <v>AGRANI BANK LTD.</v>
      </c>
      <c r="E713" s="2" t="str">
        <f>IFERROR(__xludf.DUMMYFUNCTION("""COMPUTED_VALUE"""),"SAYEDPUR")</f>
        <v>SAYEDPUR</v>
      </c>
      <c r="F713" s="4">
        <f>IFERROR(__xludf.DUMMYFUNCTION("""COMPUTED_VALUE"""),79.0)</f>
        <v>79</v>
      </c>
      <c r="G713" s="5">
        <f>IFERROR(__xludf.DUMMYFUNCTION("""COMPUTED_VALUE"""),1.0730799E7)</f>
        <v>10730799</v>
      </c>
    </row>
    <row r="714">
      <c r="A714" s="3">
        <f>IFERROR(__xludf.DUMMYFUNCTION("""COMPUTED_VALUE"""),773.0)</f>
        <v>773</v>
      </c>
      <c r="B714" s="2" t="str">
        <f>IFERROR(__xludf.DUMMYFUNCTION("""COMPUTED_VALUE"""),"NILPHAMARI")</f>
        <v>NILPHAMARI</v>
      </c>
      <c r="C714" s="4">
        <f>IFERROR(__xludf.DUMMYFUNCTION("""COMPUTED_VALUE"""),10.0)</f>
        <v>10</v>
      </c>
      <c r="D714" s="2" t="str">
        <f>IFERROR(__xludf.DUMMYFUNCTION("""COMPUTED_VALUE"""),"AGRANI BANK LTD.")</f>
        <v>AGRANI BANK LTD.</v>
      </c>
      <c r="E714" s="2" t="str">
        <f>IFERROR(__xludf.DUMMYFUNCTION("""COMPUTED_VALUE"""),"SAYEDPUR CANTONMENT")</f>
        <v>SAYEDPUR CANTONMENT</v>
      </c>
      <c r="F714" s="4">
        <f>IFERROR(__xludf.DUMMYFUNCTION("""COMPUTED_VALUE"""),82.0)</f>
        <v>82</v>
      </c>
      <c r="G714" s="5">
        <f>IFERROR(__xludf.DUMMYFUNCTION("""COMPUTED_VALUE"""),1.0730823E7)</f>
        <v>10730823</v>
      </c>
    </row>
    <row r="715">
      <c r="A715" s="3">
        <f>IFERROR(__xludf.DUMMYFUNCTION("""COMPUTED_VALUE"""),275.0)</f>
        <v>275</v>
      </c>
      <c r="B715" s="2" t="str">
        <f>IFERROR(__xludf.DUMMYFUNCTION("""COMPUTED_VALUE"""),"NOAKHALI")</f>
        <v>NOAKHALI</v>
      </c>
      <c r="C715" s="4">
        <f>IFERROR(__xludf.DUMMYFUNCTION("""COMPUTED_VALUE"""),10.0)</f>
        <v>10</v>
      </c>
      <c r="D715" s="2" t="str">
        <f>IFERROR(__xludf.DUMMYFUNCTION("""COMPUTED_VALUE"""),"AGRANI BANK LTD.")</f>
        <v>AGRANI BANK LTD.</v>
      </c>
      <c r="E715" s="2" t="str">
        <f>IFERROR(__xludf.DUMMYFUNCTION("""COMPUTED_VALUE"""),"BADALKOT")</f>
        <v>BADALKOT</v>
      </c>
      <c r="F715" s="4">
        <f>IFERROR(__xludf.DUMMYFUNCTION("""COMPUTED_VALUE"""),13.0)</f>
        <v>13</v>
      </c>
      <c r="G715" s="5">
        <f>IFERROR(__xludf.DUMMYFUNCTION("""COMPUTED_VALUE"""),1.0750137E7)</f>
        <v>10750137</v>
      </c>
    </row>
    <row r="716">
      <c r="A716" s="3">
        <f>IFERROR(__xludf.DUMMYFUNCTION("""COMPUTED_VALUE"""),275.0)</f>
        <v>275</v>
      </c>
      <c r="B716" s="2" t="str">
        <f>IFERROR(__xludf.DUMMYFUNCTION("""COMPUTED_VALUE"""),"NOAKHALI")</f>
        <v>NOAKHALI</v>
      </c>
      <c r="C716" s="4">
        <f>IFERROR(__xludf.DUMMYFUNCTION("""COMPUTED_VALUE"""),10.0)</f>
        <v>10</v>
      </c>
      <c r="D716" s="2" t="str">
        <f>IFERROR(__xludf.DUMMYFUNCTION("""COMPUTED_VALUE"""),"AGRANI BANK LTD.")</f>
        <v>AGRANI BANK LTD.</v>
      </c>
      <c r="E716" s="2" t="str">
        <f>IFERROR(__xludf.DUMMYFUNCTION("""COMPUTED_VALUE"""),"BADAMTALI")</f>
        <v>BADAMTALI</v>
      </c>
      <c r="F716" s="4">
        <f>IFERROR(__xludf.DUMMYFUNCTION("""COMPUTED_VALUE"""),16.0)</f>
        <v>16</v>
      </c>
      <c r="G716" s="5">
        <f>IFERROR(__xludf.DUMMYFUNCTION("""COMPUTED_VALUE"""),1.0750166E7)</f>
        <v>10750166</v>
      </c>
    </row>
    <row r="717">
      <c r="A717" s="3">
        <f>IFERROR(__xludf.DUMMYFUNCTION("""COMPUTED_VALUE"""),275.0)</f>
        <v>275</v>
      </c>
      <c r="B717" s="2" t="str">
        <f>IFERROR(__xludf.DUMMYFUNCTION("""COMPUTED_VALUE"""),"NOAKHALI")</f>
        <v>NOAKHALI</v>
      </c>
      <c r="C717" s="4">
        <f>IFERROR(__xludf.DUMMYFUNCTION("""COMPUTED_VALUE"""),10.0)</f>
        <v>10</v>
      </c>
      <c r="D717" s="2" t="str">
        <f>IFERROR(__xludf.DUMMYFUNCTION("""COMPUTED_VALUE"""),"AGRANI BANK LTD.")</f>
        <v>AGRANI BANK LTD.</v>
      </c>
      <c r="E717" s="2" t="str">
        <f>IFERROR(__xludf.DUMMYFUNCTION("""COMPUTED_VALUE"""),"BASHURHAT")</f>
        <v>BASHURHAT</v>
      </c>
      <c r="F717" s="4">
        <f>IFERROR(__xludf.DUMMYFUNCTION("""COMPUTED_VALUE"""),25.0)</f>
        <v>25</v>
      </c>
      <c r="G717" s="5">
        <f>IFERROR(__xludf.DUMMYFUNCTION("""COMPUTED_VALUE"""),1.0750258E7)</f>
        <v>10750258</v>
      </c>
    </row>
    <row r="718">
      <c r="A718" s="3">
        <f>IFERROR(__xludf.DUMMYFUNCTION("""COMPUTED_VALUE"""),275.0)</f>
        <v>275</v>
      </c>
      <c r="B718" s="2" t="str">
        <f>IFERROR(__xludf.DUMMYFUNCTION("""COMPUTED_VALUE"""),"NOAKHALI")</f>
        <v>NOAKHALI</v>
      </c>
      <c r="C718" s="4">
        <f>IFERROR(__xludf.DUMMYFUNCTION("""COMPUTED_VALUE"""),10.0)</f>
        <v>10</v>
      </c>
      <c r="D718" s="2" t="str">
        <f>IFERROR(__xludf.DUMMYFUNCTION("""COMPUTED_VALUE"""),"AGRANI BANK LTD.")</f>
        <v>AGRANI BANK LTD.</v>
      </c>
      <c r="E718" s="2" t="str">
        <f>IFERROR(__xludf.DUMMYFUNCTION("""COMPUTED_VALUE"""),"BAZRA BAZAR")</f>
        <v>BAZRA BAZAR</v>
      </c>
      <c r="F718" s="4">
        <f>IFERROR(__xludf.DUMMYFUNCTION("""COMPUTED_VALUE"""),31.0)</f>
        <v>31</v>
      </c>
      <c r="G718" s="5">
        <f>IFERROR(__xludf.DUMMYFUNCTION("""COMPUTED_VALUE"""),1.0750311E7)</f>
        <v>10750311</v>
      </c>
    </row>
    <row r="719">
      <c r="A719" s="3">
        <f>IFERROR(__xludf.DUMMYFUNCTION("""COMPUTED_VALUE"""),275.0)</f>
        <v>275</v>
      </c>
      <c r="B719" s="2" t="str">
        <f>IFERROR(__xludf.DUMMYFUNCTION("""COMPUTED_VALUE"""),"NOAKHALI")</f>
        <v>NOAKHALI</v>
      </c>
      <c r="C719" s="4">
        <f>IFERROR(__xludf.DUMMYFUNCTION("""COMPUTED_VALUE"""),10.0)</f>
        <v>10</v>
      </c>
      <c r="D719" s="2" t="str">
        <f>IFERROR(__xludf.DUMMYFUNCTION("""COMPUTED_VALUE"""),"AGRANI BANK LTD.")</f>
        <v>AGRANI BANK LTD.</v>
      </c>
      <c r="E719" s="2" t="str">
        <f>IFERROR(__xludf.DUMMYFUNCTION("""COMPUTED_VALUE"""),"BROJERGAON")</f>
        <v>BROJERGAON</v>
      </c>
      <c r="F719" s="4">
        <f>IFERROR(__xludf.DUMMYFUNCTION("""COMPUTED_VALUE"""),37.0)</f>
        <v>37</v>
      </c>
      <c r="G719" s="5">
        <f>IFERROR(__xludf.DUMMYFUNCTION("""COMPUTED_VALUE"""),1.0750379E7)</f>
        <v>10750379</v>
      </c>
    </row>
    <row r="720">
      <c r="A720" s="3">
        <f>IFERROR(__xludf.DUMMYFUNCTION("""COMPUTED_VALUE"""),275.0)</f>
        <v>275</v>
      </c>
      <c r="B720" s="2" t="str">
        <f>IFERROR(__xludf.DUMMYFUNCTION("""COMPUTED_VALUE"""),"NOAKHALI")</f>
        <v>NOAKHALI</v>
      </c>
      <c r="C720" s="4">
        <f>IFERROR(__xludf.DUMMYFUNCTION("""COMPUTED_VALUE"""),10.0)</f>
        <v>10</v>
      </c>
      <c r="D720" s="2" t="str">
        <f>IFERROR(__xludf.DUMMYFUNCTION("""COMPUTED_VALUE"""),"AGRANI BANK LTD.")</f>
        <v>AGRANI BANK LTD.</v>
      </c>
      <c r="E720" s="2" t="str">
        <f>IFERROR(__xludf.DUMMYFUNCTION("""COMPUTED_VALUE"""),"CHANDRAGONJ")</f>
        <v>CHANDRAGONJ</v>
      </c>
      <c r="F720" s="4">
        <f>IFERROR(__xludf.DUMMYFUNCTION("""COMPUTED_VALUE"""),40.0)</f>
        <v>40</v>
      </c>
      <c r="G720" s="5">
        <f>IFERROR(__xludf.DUMMYFUNCTION("""COMPUTED_VALUE"""),1.0750403E7)</f>
        <v>10750403</v>
      </c>
    </row>
    <row r="721">
      <c r="A721" s="3">
        <f>IFERROR(__xludf.DUMMYFUNCTION("""COMPUTED_VALUE"""),275.0)</f>
        <v>275</v>
      </c>
      <c r="B721" s="2" t="str">
        <f>IFERROR(__xludf.DUMMYFUNCTION("""COMPUTED_VALUE"""),"NOAKHALI")</f>
        <v>NOAKHALI</v>
      </c>
      <c r="C721" s="4">
        <f>IFERROR(__xludf.DUMMYFUNCTION("""COMPUTED_VALUE"""),10.0)</f>
        <v>10</v>
      </c>
      <c r="D721" s="2" t="str">
        <f>IFERROR(__xludf.DUMMYFUNCTION("""COMPUTED_VALUE"""),"AGRANI BANK LTD.")</f>
        <v>AGRANI BANK LTD.</v>
      </c>
      <c r="E721" s="2" t="str">
        <f>IFERROR(__xludf.DUMMYFUNCTION("""COMPUTED_VALUE"""),"CHATKHIL")</f>
        <v>CHATKHIL</v>
      </c>
      <c r="F721" s="4">
        <f>IFERROR(__xludf.DUMMYFUNCTION("""COMPUTED_VALUE"""),58.0)</f>
        <v>58</v>
      </c>
      <c r="G721" s="5">
        <f>IFERROR(__xludf.DUMMYFUNCTION("""COMPUTED_VALUE"""),1.0750582E7)</f>
        <v>10750582</v>
      </c>
    </row>
    <row r="722">
      <c r="A722" s="3">
        <f>IFERROR(__xludf.DUMMYFUNCTION("""COMPUTED_VALUE"""),275.0)</f>
        <v>275</v>
      </c>
      <c r="B722" s="2" t="str">
        <f>IFERROR(__xludf.DUMMYFUNCTION("""COMPUTED_VALUE"""),"NOAKHALI")</f>
        <v>NOAKHALI</v>
      </c>
      <c r="C722" s="4">
        <f>IFERROR(__xludf.DUMMYFUNCTION("""COMPUTED_VALUE"""),10.0)</f>
        <v>10</v>
      </c>
      <c r="D722" s="2" t="str">
        <f>IFERROR(__xludf.DUMMYFUNCTION("""COMPUTED_VALUE"""),"AGRANI BANK LTD.")</f>
        <v>AGRANI BANK LTD.</v>
      </c>
      <c r="E722" s="2" t="str">
        <f>IFERROR(__xludf.DUMMYFUNCTION("""COMPUTED_VALUE"""),"CHOUMOHANI")</f>
        <v>CHOUMOHANI</v>
      </c>
      <c r="F722" s="4">
        <f>IFERROR(__xludf.DUMMYFUNCTION("""COMPUTED_VALUE"""),67.0)</f>
        <v>67</v>
      </c>
      <c r="G722" s="5">
        <f>IFERROR(__xludf.DUMMYFUNCTION("""COMPUTED_VALUE"""),1.0750674E7)</f>
        <v>10750674</v>
      </c>
    </row>
    <row r="723">
      <c r="A723" s="3">
        <f>IFERROR(__xludf.DUMMYFUNCTION("""COMPUTED_VALUE"""),275.0)</f>
        <v>275</v>
      </c>
      <c r="B723" s="2" t="str">
        <f>IFERROR(__xludf.DUMMYFUNCTION("""COMPUTED_VALUE"""),"NOAKHALI")</f>
        <v>NOAKHALI</v>
      </c>
      <c r="C723" s="4">
        <f>IFERROR(__xludf.DUMMYFUNCTION("""COMPUTED_VALUE"""),10.0)</f>
        <v>10</v>
      </c>
      <c r="D723" s="2" t="str">
        <f>IFERROR(__xludf.DUMMYFUNCTION("""COMPUTED_VALUE"""),"AGRANI BANK LTD.")</f>
        <v>AGRANI BANK LTD.</v>
      </c>
      <c r="E723" s="2" t="str">
        <f>IFERROR(__xludf.DUMMYFUNCTION("""COMPUTED_VALUE"""),"DASHGHORIA")</f>
        <v>DASHGHORIA</v>
      </c>
      <c r="F723" s="4">
        <f>IFERROR(__xludf.DUMMYFUNCTION("""COMPUTED_VALUE"""),76.0)</f>
        <v>76</v>
      </c>
      <c r="G723" s="5">
        <f>IFERROR(__xludf.DUMMYFUNCTION("""COMPUTED_VALUE"""),1.0750766E7)</f>
        <v>10750766</v>
      </c>
    </row>
    <row r="724">
      <c r="A724" s="3">
        <f>IFERROR(__xludf.DUMMYFUNCTION("""COMPUTED_VALUE"""),275.0)</f>
        <v>275</v>
      </c>
      <c r="B724" s="2" t="str">
        <f>IFERROR(__xludf.DUMMYFUNCTION("""COMPUTED_VALUE"""),"NOAKHALI")</f>
        <v>NOAKHALI</v>
      </c>
      <c r="C724" s="4">
        <f>IFERROR(__xludf.DUMMYFUNCTION("""COMPUTED_VALUE"""),10.0)</f>
        <v>10</v>
      </c>
      <c r="D724" s="2" t="str">
        <f>IFERROR(__xludf.DUMMYFUNCTION("""COMPUTED_VALUE"""),"AGRANI BANK LTD.")</f>
        <v>AGRANI BANK LTD.</v>
      </c>
      <c r="E724" s="2" t="str">
        <f>IFERROR(__xludf.DUMMYFUNCTION("""COMPUTED_VALUE"""),"DATTERHAT")</f>
        <v>DATTERHAT</v>
      </c>
      <c r="F724" s="4">
        <f>IFERROR(__xludf.DUMMYFUNCTION("""COMPUTED_VALUE"""),79.0)</f>
        <v>79</v>
      </c>
      <c r="G724" s="5">
        <f>IFERROR(__xludf.DUMMYFUNCTION("""COMPUTED_VALUE"""),1.0750795E7)</f>
        <v>10750795</v>
      </c>
    </row>
    <row r="725">
      <c r="A725" s="3">
        <f>IFERROR(__xludf.DUMMYFUNCTION("""COMPUTED_VALUE"""),275.0)</f>
        <v>275</v>
      </c>
      <c r="B725" s="2" t="str">
        <f>IFERROR(__xludf.DUMMYFUNCTION("""COMPUTED_VALUE"""),"NOAKHALI")</f>
        <v>NOAKHALI</v>
      </c>
      <c r="C725" s="4">
        <f>IFERROR(__xludf.DUMMYFUNCTION("""COMPUTED_VALUE"""),10.0)</f>
        <v>10</v>
      </c>
      <c r="D725" s="2" t="str">
        <f>IFERROR(__xludf.DUMMYFUNCTION("""COMPUTED_VALUE"""),"AGRANI BANK LTD.")</f>
        <v>AGRANI BANK LTD.</v>
      </c>
      <c r="E725" s="2" t="str">
        <f>IFERROR(__xludf.DUMMYFUNCTION("""COMPUTED_VALUE"""),"DELTAGATE")</f>
        <v>DELTAGATE</v>
      </c>
      <c r="F725" s="4">
        <f>IFERROR(__xludf.DUMMYFUNCTION("""COMPUTED_VALUE"""),85.0)</f>
        <v>85</v>
      </c>
      <c r="G725" s="5">
        <f>IFERROR(__xludf.DUMMYFUNCTION("""COMPUTED_VALUE"""),1.0750858E7)</f>
        <v>10750858</v>
      </c>
    </row>
    <row r="726">
      <c r="A726" s="3">
        <f>IFERROR(__xludf.DUMMYFUNCTION("""COMPUTED_VALUE"""),275.0)</f>
        <v>275</v>
      </c>
      <c r="B726" s="2" t="str">
        <f>IFERROR(__xludf.DUMMYFUNCTION("""COMPUTED_VALUE"""),"NOAKHALI")</f>
        <v>NOAKHALI</v>
      </c>
      <c r="C726" s="4">
        <f>IFERROR(__xludf.DUMMYFUNCTION("""COMPUTED_VALUE"""),10.0)</f>
        <v>10</v>
      </c>
      <c r="D726" s="2" t="str">
        <f>IFERROR(__xludf.DUMMYFUNCTION("""COMPUTED_VALUE"""),"AGRANI BANK LTD.")</f>
        <v>AGRANI BANK LTD.</v>
      </c>
      <c r="E726" s="2" t="str">
        <f>IFERROR(__xludf.DUMMYFUNCTION("""COMPUTED_VALUE"""),"GOPALPUR")</f>
        <v>GOPALPUR</v>
      </c>
      <c r="F726" s="4">
        <f>IFERROR(__xludf.DUMMYFUNCTION("""COMPUTED_VALUE"""),100.0)</f>
        <v>100</v>
      </c>
      <c r="G726" s="5">
        <f>IFERROR(__xludf.DUMMYFUNCTION("""COMPUTED_VALUE"""),1.0751002E7)</f>
        <v>10751002</v>
      </c>
    </row>
    <row r="727">
      <c r="A727" s="3">
        <f>IFERROR(__xludf.DUMMYFUNCTION("""COMPUTED_VALUE"""),275.0)</f>
        <v>275</v>
      </c>
      <c r="B727" s="2" t="str">
        <f>IFERROR(__xludf.DUMMYFUNCTION("""COMPUTED_VALUE"""),"NOAKHALI")</f>
        <v>NOAKHALI</v>
      </c>
      <c r="C727" s="4">
        <f>IFERROR(__xludf.DUMMYFUNCTION("""COMPUTED_VALUE"""),10.0)</f>
        <v>10</v>
      </c>
      <c r="D727" s="2" t="str">
        <f>IFERROR(__xludf.DUMMYFUNCTION("""COMPUTED_VALUE"""),"AGRANI BANK LTD.")</f>
        <v>AGRANI BANK LTD.</v>
      </c>
      <c r="E727" s="2" t="str">
        <f>IFERROR(__xludf.DUMMYFUNCTION("""COMPUTED_VALUE"""),"HATIYA")</f>
        <v>HATIYA</v>
      </c>
      <c r="F727" s="4">
        <f>IFERROR(__xludf.DUMMYFUNCTION("""COMPUTED_VALUE"""),103.0)</f>
        <v>103</v>
      </c>
      <c r="G727" s="5">
        <f>IFERROR(__xludf.DUMMYFUNCTION("""COMPUTED_VALUE"""),1.0751031E7)</f>
        <v>10751031</v>
      </c>
    </row>
    <row r="728">
      <c r="A728" s="3">
        <f>IFERROR(__xludf.DUMMYFUNCTION("""COMPUTED_VALUE"""),275.0)</f>
        <v>275</v>
      </c>
      <c r="B728" s="2" t="str">
        <f>IFERROR(__xludf.DUMMYFUNCTION("""COMPUTED_VALUE"""),"NOAKHALI")</f>
        <v>NOAKHALI</v>
      </c>
      <c r="C728" s="4">
        <f>IFERROR(__xludf.DUMMYFUNCTION("""COMPUTED_VALUE"""),10.0)</f>
        <v>10</v>
      </c>
      <c r="D728" s="2" t="str">
        <f>IFERROR(__xludf.DUMMYFUNCTION("""COMPUTED_VALUE"""),"AGRANI BANK LTD.")</f>
        <v>AGRANI BANK LTD.</v>
      </c>
      <c r="E728" s="2" t="str">
        <f>IFERROR(__xludf.DUMMYFUNCTION("""COMPUTED_VALUE"""),"JOYAG")</f>
        <v>JOYAG</v>
      </c>
      <c r="F728" s="4">
        <f>IFERROR(__xludf.DUMMYFUNCTION("""COMPUTED_VALUE"""),118.0)</f>
        <v>118</v>
      </c>
      <c r="G728" s="5">
        <f>IFERROR(__xludf.DUMMYFUNCTION("""COMPUTED_VALUE"""),1.0751181E7)</f>
        <v>10751181</v>
      </c>
    </row>
    <row r="729">
      <c r="A729" s="3">
        <f>IFERROR(__xludf.DUMMYFUNCTION("""COMPUTED_VALUE"""),275.0)</f>
        <v>275</v>
      </c>
      <c r="B729" s="2" t="str">
        <f>IFERROR(__xludf.DUMMYFUNCTION("""COMPUTED_VALUE"""),"NOAKHALI")</f>
        <v>NOAKHALI</v>
      </c>
      <c r="C729" s="4">
        <f>IFERROR(__xludf.DUMMYFUNCTION("""COMPUTED_VALUE"""),10.0)</f>
        <v>10</v>
      </c>
      <c r="D729" s="2" t="str">
        <f>IFERROR(__xludf.DUMMYFUNCTION("""COMPUTED_VALUE"""),"AGRANI BANK LTD.")</f>
        <v>AGRANI BANK LTD.</v>
      </c>
      <c r="E729" s="2" t="str">
        <f>IFERROR(__xludf.DUMMYFUNCTION("""COMPUTED_VALUE"""),"KASHIPUR BAZAR")</f>
        <v>KASHIPUR BAZAR</v>
      </c>
      <c r="F729" s="4">
        <f>IFERROR(__xludf.DUMMYFUNCTION("""COMPUTED_VALUE"""),139.0)</f>
        <v>139</v>
      </c>
      <c r="G729" s="5">
        <f>IFERROR(__xludf.DUMMYFUNCTION("""COMPUTED_VALUE"""),1.0751394E7)</f>
        <v>10751394</v>
      </c>
    </row>
    <row r="730">
      <c r="A730" s="3">
        <f>IFERROR(__xludf.DUMMYFUNCTION("""COMPUTED_VALUE"""),275.0)</f>
        <v>275</v>
      </c>
      <c r="B730" s="2" t="str">
        <f>IFERROR(__xludf.DUMMYFUNCTION("""COMPUTED_VALUE"""),"NOAKHALI")</f>
        <v>NOAKHALI</v>
      </c>
      <c r="C730" s="4">
        <f>IFERROR(__xludf.DUMMYFUNCTION("""COMPUTED_VALUE"""),10.0)</f>
        <v>10</v>
      </c>
      <c r="D730" s="2" t="str">
        <f>IFERROR(__xludf.DUMMYFUNCTION("""COMPUTED_VALUE"""),"AGRANI BANK LTD.")</f>
        <v>AGRANI BANK LTD.</v>
      </c>
      <c r="E730" s="2" t="str">
        <f>IFERROR(__xludf.DUMMYFUNCTION("""COMPUTED_VALUE"""),"KHILPARA BAZAR")</f>
        <v>KHILPARA BAZAR</v>
      </c>
      <c r="F730" s="4">
        <f>IFERROR(__xludf.DUMMYFUNCTION("""COMPUTED_VALUE"""),148.0)</f>
        <v>148</v>
      </c>
      <c r="G730" s="5">
        <f>IFERROR(__xludf.DUMMYFUNCTION("""COMPUTED_VALUE"""),1.0751486E7)</f>
        <v>10751486</v>
      </c>
    </row>
    <row r="731">
      <c r="A731" s="3">
        <f>IFERROR(__xludf.DUMMYFUNCTION("""COMPUTED_VALUE"""),275.0)</f>
        <v>275</v>
      </c>
      <c r="B731" s="2" t="str">
        <f>IFERROR(__xludf.DUMMYFUNCTION("""COMPUTED_VALUE"""),"NOAKHALI")</f>
        <v>NOAKHALI</v>
      </c>
      <c r="C731" s="4">
        <f>IFERROR(__xludf.DUMMYFUNCTION("""COMPUTED_VALUE"""),10.0)</f>
        <v>10</v>
      </c>
      <c r="D731" s="2" t="str">
        <f>IFERROR(__xludf.DUMMYFUNCTION("""COMPUTED_VALUE"""),"AGRANI BANK LTD.")</f>
        <v>AGRANI BANK LTD.</v>
      </c>
      <c r="E731" s="2" t="str">
        <f>IFERROR(__xludf.DUMMYFUNCTION("""COMPUTED_VALUE"""),"MAIJDEE COURT")</f>
        <v>MAIJDEE COURT</v>
      </c>
      <c r="F731" s="4">
        <f>IFERROR(__xludf.DUMMYFUNCTION("""COMPUTED_VALUE"""),157.0)</f>
        <v>157</v>
      </c>
      <c r="G731" s="5">
        <f>IFERROR(__xludf.DUMMYFUNCTION("""COMPUTED_VALUE"""),1.0751578E7)</f>
        <v>10751578</v>
      </c>
    </row>
    <row r="732">
      <c r="A732" s="3">
        <f>IFERROR(__xludf.DUMMYFUNCTION("""COMPUTED_VALUE"""),275.0)</f>
        <v>275</v>
      </c>
      <c r="B732" s="2" t="str">
        <f>IFERROR(__xludf.DUMMYFUNCTION("""COMPUTED_VALUE"""),"NOAKHALI")</f>
        <v>NOAKHALI</v>
      </c>
      <c r="C732" s="4">
        <f>IFERROR(__xludf.DUMMYFUNCTION("""COMPUTED_VALUE"""),10.0)</f>
        <v>10</v>
      </c>
      <c r="D732" s="2" t="str">
        <f>IFERROR(__xludf.DUMMYFUNCTION("""COMPUTED_VALUE"""),"AGRANI BANK LTD.")</f>
        <v>AGRANI BANK LTD.</v>
      </c>
      <c r="E732" s="2" t="str">
        <f>IFERROR(__xludf.DUMMYFUNCTION("""COMPUTED_VALUE"""),"MIRGANJ BAZAR")</f>
        <v>MIRGANJ BAZAR</v>
      </c>
      <c r="F732" s="4">
        <f>IFERROR(__xludf.DUMMYFUNCTION("""COMPUTED_VALUE"""),163.0)</f>
        <v>163</v>
      </c>
      <c r="G732" s="5">
        <f>IFERROR(__xludf.DUMMYFUNCTION("""COMPUTED_VALUE"""),1.0751631E7)</f>
        <v>10751631</v>
      </c>
    </row>
    <row r="733">
      <c r="A733" s="3">
        <f>IFERROR(__xludf.DUMMYFUNCTION("""COMPUTED_VALUE"""),275.0)</f>
        <v>275</v>
      </c>
      <c r="B733" s="2" t="str">
        <f>IFERROR(__xludf.DUMMYFUNCTION("""COMPUTED_VALUE"""),"NOAKHALI")</f>
        <v>NOAKHALI</v>
      </c>
      <c r="C733" s="4">
        <f>IFERROR(__xludf.DUMMYFUNCTION("""COMPUTED_VALUE"""),10.0)</f>
        <v>10</v>
      </c>
      <c r="D733" s="2" t="str">
        <f>IFERROR(__xludf.DUMMYFUNCTION("""COMPUTED_VALUE"""),"AGRANI BANK LTD.")</f>
        <v>AGRANI BANK LTD.</v>
      </c>
      <c r="E733" s="2" t="str">
        <f>IFERROR(__xludf.DUMMYFUNCTION("""COMPUTED_VALUE"""),"NADANA BAZAR")</f>
        <v>NADANA BAZAR</v>
      </c>
      <c r="F733" s="4">
        <f>IFERROR(__xludf.DUMMYFUNCTION("""COMPUTED_VALUE"""),166.0)</f>
        <v>166</v>
      </c>
      <c r="G733" s="5">
        <f>IFERROR(__xludf.DUMMYFUNCTION("""COMPUTED_VALUE"""),1.075166E7)</f>
        <v>10751660</v>
      </c>
    </row>
    <row r="734">
      <c r="A734" s="3">
        <f>IFERROR(__xludf.DUMMYFUNCTION("""COMPUTED_VALUE"""),275.0)</f>
        <v>275</v>
      </c>
      <c r="B734" s="2" t="str">
        <f>IFERROR(__xludf.DUMMYFUNCTION("""COMPUTED_VALUE"""),"NOAKHALI")</f>
        <v>NOAKHALI</v>
      </c>
      <c r="C734" s="4">
        <f>IFERROR(__xludf.DUMMYFUNCTION("""COMPUTED_VALUE"""),10.0)</f>
        <v>10</v>
      </c>
      <c r="D734" s="2" t="str">
        <f>IFERROR(__xludf.DUMMYFUNCTION("""COMPUTED_VALUE"""),"AGRANI BANK LTD.")</f>
        <v>AGRANI BANK LTD.</v>
      </c>
      <c r="E734" s="2" t="str">
        <f>IFERROR(__xludf.DUMMYFUNCTION("""COMPUTED_VALUE"""),"SHAHEBER HAT")</f>
        <v>SHAHEBER HAT</v>
      </c>
      <c r="F734" s="4">
        <f>IFERROR(__xludf.DUMMYFUNCTION("""COMPUTED_VALUE"""),217.0)</f>
        <v>217</v>
      </c>
      <c r="G734" s="5">
        <f>IFERROR(__xludf.DUMMYFUNCTION("""COMPUTED_VALUE"""),1.0752177E7)</f>
        <v>10752177</v>
      </c>
    </row>
    <row r="735">
      <c r="A735" s="3">
        <f>IFERROR(__xludf.DUMMYFUNCTION("""COMPUTED_VALUE"""),275.0)</f>
        <v>275</v>
      </c>
      <c r="B735" s="2" t="str">
        <f>IFERROR(__xludf.DUMMYFUNCTION("""COMPUTED_VALUE"""),"NOAKHALI")</f>
        <v>NOAKHALI</v>
      </c>
      <c r="C735" s="4">
        <f>IFERROR(__xludf.DUMMYFUNCTION("""COMPUTED_VALUE"""),10.0)</f>
        <v>10</v>
      </c>
      <c r="D735" s="2" t="str">
        <f>IFERROR(__xludf.DUMMYFUNCTION("""COMPUTED_VALUE"""),"AGRANI BANK LTD.")</f>
        <v>AGRANI BANK LTD.</v>
      </c>
      <c r="E735" s="2" t="str">
        <f>IFERROR(__xludf.DUMMYFUNCTION("""COMPUTED_VALUE"""),"SOAMPARA")</f>
        <v>SOAMPARA</v>
      </c>
      <c r="F735" s="4">
        <f>IFERROR(__xludf.DUMMYFUNCTION("""COMPUTED_VALUE"""),220.0)</f>
        <v>220</v>
      </c>
      <c r="G735" s="5">
        <f>IFERROR(__xludf.DUMMYFUNCTION("""COMPUTED_VALUE"""),1.0752201E7)</f>
        <v>10752201</v>
      </c>
    </row>
    <row r="736">
      <c r="A736" s="3">
        <f>IFERROR(__xludf.DUMMYFUNCTION("""COMPUTED_VALUE"""),275.0)</f>
        <v>275</v>
      </c>
      <c r="B736" s="2" t="str">
        <f>IFERROR(__xludf.DUMMYFUNCTION("""COMPUTED_VALUE"""),"NOAKHALI")</f>
        <v>NOAKHALI</v>
      </c>
      <c r="C736" s="4">
        <f>IFERROR(__xludf.DUMMYFUNCTION("""COMPUTED_VALUE"""),10.0)</f>
        <v>10</v>
      </c>
      <c r="D736" s="2" t="str">
        <f>IFERROR(__xludf.DUMMYFUNCTION("""COMPUTED_VALUE"""),"AGRANI BANK LTD.")</f>
        <v>AGRANI BANK LTD.</v>
      </c>
      <c r="E736" s="2" t="str">
        <f>IFERROR(__xludf.DUMMYFUNCTION("""COMPUTED_VALUE"""),"SONAIMURI")</f>
        <v>SONAIMURI</v>
      </c>
      <c r="F736" s="4">
        <f>IFERROR(__xludf.DUMMYFUNCTION("""COMPUTED_VALUE"""),223.0)</f>
        <v>223</v>
      </c>
      <c r="G736" s="5">
        <f>IFERROR(__xludf.DUMMYFUNCTION("""COMPUTED_VALUE"""),1.075223E7)</f>
        <v>10752230</v>
      </c>
    </row>
    <row r="737">
      <c r="A737" s="3">
        <f>IFERROR(__xludf.DUMMYFUNCTION("""COMPUTED_VALUE"""),275.0)</f>
        <v>275</v>
      </c>
      <c r="B737" s="2" t="str">
        <f>IFERROR(__xludf.DUMMYFUNCTION("""COMPUTED_VALUE"""),"NOAKHALI")</f>
        <v>NOAKHALI</v>
      </c>
      <c r="C737" s="4">
        <f>IFERROR(__xludf.DUMMYFUNCTION("""COMPUTED_VALUE"""),10.0)</f>
        <v>10</v>
      </c>
      <c r="D737" s="2" t="str">
        <f>IFERROR(__xludf.DUMMYFUNCTION("""COMPUTED_VALUE"""),"AGRANI BANK LTD.")</f>
        <v>AGRANI BANK LTD.</v>
      </c>
      <c r="E737" s="2" t="str">
        <f>IFERROR(__xludf.DUMMYFUNCTION("""COMPUTED_VALUE"""),"ZILLA BOARD")</f>
        <v>ZILLA BOARD</v>
      </c>
      <c r="F737" s="4">
        <f>IFERROR(__xludf.DUMMYFUNCTION("""COMPUTED_VALUE"""),244.0)</f>
        <v>244</v>
      </c>
      <c r="G737" s="5">
        <f>IFERROR(__xludf.DUMMYFUNCTION("""COMPUTED_VALUE"""),1.0752443E7)</f>
        <v>10752443</v>
      </c>
    </row>
    <row r="738">
      <c r="A738" s="3">
        <f>IFERROR(__xludf.DUMMYFUNCTION("""COMPUTED_VALUE"""),576.0)</f>
        <v>576</v>
      </c>
      <c r="B738" s="2" t="str">
        <f>IFERROR(__xludf.DUMMYFUNCTION("""COMPUTED_VALUE"""),"PABNA")</f>
        <v>PABNA</v>
      </c>
      <c r="C738" s="4">
        <f>IFERROR(__xludf.DUMMYFUNCTION("""COMPUTED_VALUE"""),10.0)</f>
        <v>10</v>
      </c>
      <c r="D738" s="2" t="str">
        <f>IFERROR(__xludf.DUMMYFUNCTION("""COMPUTED_VALUE"""),"AGRANI BANK LTD.")</f>
        <v>AGRANI BANK LTD.</v>
      </c>
      <c r="E738" s="2" t="str">
        <f>IFERROR(__xludf.DUMMYFUNCTION("""COMPUTED_VALUE"""),"A. HAMID ROAD")</f>
        <v>A. HAMID ROAD</v>
      </c>
      <c r="F738" s="4">
        <f>IFERROR(__xludf.DUMMYFUNCTION("""COMPUTED_VALUE"""),4.0)</f>
        <v>4</v>
      </c>
      <c r="G738" s="5">
        <f>IFERROR(__xludf.DUMMYFUNCTION("""COMPUTED_VALUE"""),1.0760048E7)</f>
        <v>10760048</v>
      </c>
    </row>
    <row r="739">
      <c r="A739" s="3">
        <f>IFERROR(__xludf.DUMMYFUNCTION("""COMPUTED_VALUE"""),576.0)</f>
        <v>576</v>
      </c>
      <c r="B739" s="2" t="str">
        <f>IFERROR(__xludf.DUMMYFUNCTION("""COMPUTED_VALUE"""),"PABNA")</f>
        <v>PABNA</v>
      </c>
      <c r="C739" s="4">
        <f>IFERROR(__xludf.DUMMYFUNCTION("""COMPUTED_VALUE"""),10.0)</f>
        <v>10</v>
      </c>
      <c r="D739" s="2" t="str">
        <f>IFERROR(__xludf.DUMMYFUNCTION("""COMPUTED_VALUE"""),"AGRANI BANK LTD.")</f>
        <v>AGRANI BANK LTD.</v>
      </c>
      <c r="E739" s="2" t="str">
        <f>IFERROR(__xludf.DUMMYFUNCTION("""COMPUTED_VALUE"""),"TRIMOHONI")</f>
        <v>TRIMOHONI</v>
      </c>
      <c r="F739" s="4">
        <f>IFERROR(__xludf.DUMMYFUNCTION("""COMPUTED_VALUE"""),6.0)</f>
        <v>6</v>
      </c>
      <c r="G739" s="5">
        <f>IFERROR(__xludf.DUMMYFUNCTION("""COMPUTED_VALUE"""),1.0760064E7)</f>
        <v>10760064</v>
      </c>
    </row>
    <row r="740">
      <c r="A740" s="3">
        <f>IFERROR(__xludf.DUMMYFUNCTION("""COMPUTED_VALUE"""),576.0)</f>
        <v>576</v>
      </c>
      <c r="B740" s="2" t="str">
        <f>IFERROR(__xludf.DUMMYFUNCTION("""COMPUTED_VALUE"""),"PABNA")</f>
        <v>PABNA</v>
      </c>
      <c r="C740" s="4">
        <f>IFERROR(__xludf.DUMMYFUNCTION("""COMPUTED_VALUE"""),10.0)</f>
        <v>10</v>
      </c>
      <c r="D740" s="2" t="str">
        <f>IFERROR(__xludf.DUMMYFUNCTION("""COMPUTED_VALUE"""),"AGRANI BANK LTD.")</f>
        <v>AGRANI BANK LTD.</v>
      </c>
      <c r="E740" s="2" t="str">
        <f>IFERROR(__xludf.DUMMYFUNCTION("""COMPUTED_VALUE"""),"SATBARIA BAZAR")</f>
        <v>SATBARIA BAZAR</v>
      </c>
      <c r="F740" s="4">
        <f>IFERROR(__xludf.DUMMYFUNCTION("""COMPUTED_VALUE"""),8.0)</f>
        <v>8</v>
      </c>
      <c r="G740" s="5">
        <f>IFERROR(__xludf.DUMMYFUNCTION("""COMPUTED_VALUE"""),1.076008E7)</f>
        <v>10760080</v>
      </c>
    </row>
    <row r="741">
      <c r="A741" s="3">
        <f>IFERROR(__xludf.DUMMYFUNCTION("""COMPUTED_VALUE"""),576.0)</f>
        <v>576</v>
      </c>
      <c r="B741" s="2" t="str">
        <f>IFERROR(__xludf.DUMMYFUNCTION("""COMPUTED_VALUE"""),"PABNA")</f>
        <v>PABNA</v>
      </c>
      <c r="C741" s="4">
        <f>IFERROR(__xludf.DUMMYFUNCTION("""COMPUTED_VALUE"""),10.0)</f>
        <v>10</v>
      </c>
      <c r="D741" s="2" t="str">
        <f>IFERROR(__xludf.DUMMYFUNCTION("""COMPUTED_VALUE"""),"AGRANI BANK LTD.")</f>
        <v>AGRANI BANK LTD.</v>
      </c>
      <c r="E741" s="2" t="str">
        <f>IFERROR(__xludf.DUMMYFUNCTION("""COMPUTED_VALUE"""),"CHAIKOLA BAZAR")</f>
        <v>CHAIKOLA BAZAR</v>
      </c>
      <c r="F741" s="4">
        <f>IFERROR(__xludf.DUMMYFUNCTION("""COMPUTED_VALUE"""),11.0)</f>
        <v>11</v>
      </c>
      <c r="G741" s="5">
        <f>IFERROR(__xludf.DUMMYFUNCTION("""COMPUTED_VALUE"""),1.0760114E7)</f>
        <v>10760114</v>
      </c>
    </row>
    <row r="742">
      <c r="A742" s="3">
        <f>IFERROR(__xludf.DUMMYFUNCTION("""COMPUTED_VALUE"""),576.0)</f>
        <v>576</v>
      </c>
      <c r="B742" s="2" t="str">
        <f>IFERROR(__xludf.DUMMYFUNCTION("""COMPUTED_VALUE"""),"PABNA")</f>
        <v>PABNA</v>
      </c>
      <c r="C742" s="4">
        <f>IFERROR(__xludf.DUMMYFUNCTION("""COMPUTED_VALUE"""),10.0)</f>
        <v>10</v>
      </c>
      <c r="D742" s="2" t="str">
        <f>IFERROR(__xludf.DUMMYFUNCTION("""COMPUTED_VALUE"""),"AGRANI BANK LTD.")</f>
        <v>AGRANI BANK LTD.</v>
      </c>
      <c r="E742" s="2" t="str">
        <f>IFERROR(__xludf.DUMMYFUNCTION("""COMPUTED_VALUE"""),"ATAIKULA")</f>
        <v>ATAIKULA</v>
      </c>
      <c r="F742" s="4">
        <f>IFERROR(__xludf.DUMMYFUNCTION("""COMPUTED_VALUE"""),22.0)</f>
        <v>22</v>
      </c>
      <c r="G742" s="5">
        <f>IFERROR(__xludf.DUMMYFUNCTION("""COMPUTED_VALUE"""),1.0760222E7)</f>
        <v>10760222</v>
      </c>
    </row>
    <row r="743">
      <c r="A743" s="3">
        <f>IFERROR(__xludf.DUMMYFUNCTION("""COMPUTED_VALUE"""),576.0)</f>
        <v>576</v>
      </c>
      <c r="B743" s="2" t="str">
        <f>IFERROR(__xludf.DUMMYFUNCTION("""COMPUTED_VALUE"""),"PABNA")</f>
        <v>PABNA</v>
      </c>
      <c r="C743" s="4">
        <f>IFERROR(__xludf.DUMMYFUNCTION("""COMPUTED_VALUE"""),10.0)</f>
        <v>10</v>
      </c>
      <c r="D743" s="2" t="str">
        <f>IFERROR(__xludf.DUMMYFUNCTION("""COMPUTED_VALUE"""),"AGRANI BANK LTD.")</f>
        <v>AGRANI BANK LTD.</v>
      </c>
      <c r="E743" s="2" t="str">
        <f>IFERROR(__xludf.DUMMYFUNCTION("""COMPUTED_VALUE"""),"ATGHORIA")</f>
        <v>ATGHORIA</v>
      </c>
      <c r="F743" s="4">
        <f>IFERROR(__xludf.DUMMYFUNCTION("""COMPUTED_VALUE"""),25.0)</f>
        <v>25</v>
      </c>
      <c r="G743" s="5">
        <f>IFERROR(__xludf.DUMMYFUNCTION("""COMPUTED_VALUE"""),1.0760251E7)</f>
        <v>10760251</v>
      </c>
    </row>
    <row r="744">
      <c r="A744" s="3">
        <f>IFERROR(__xludf.DUMMYFUNCTION("""COMPUTED_VALUE"""),576.0)</f>
        <v>576</v>
      </c>
      <c r="B744" s="2" t="str">
        <f>IFERROR(__xludf.DUMMYFUNCTION("""COMPUTED_VALUE"""),"PABNA")</f>
        <v>PABNA</v>
      </c>
      <c r="C744" s="4">
        <f>IFERROR(__xludf.DUMMYFUNCTION("""COMPUTED_VALUE"""),10.0)</f>
        <v>10</v>
      </c>
      <c r="D744" s="2" t="str">
        <f>IFERROR(__xludf.DUMMYFUNCTION("""COMPUTED_VALUE"""),"AGRANI BANK LTD.")</f>
        <v>AGRANI BANK LTD.</v>
      </c>
      <c r="E744" s="2" t="str">
        <f>IFERROR(__xludf.DUMMYFUNCTION("""COMPUTED_VALUE"""),"BANAGRAM")</f>
        <v>BANAGRAM</v>
      </c>
      <c r="F744" s="4">
        <f>IFERROR(__xludf.DUMMYFUNCTION("""COMPUTED_VALUE"""),40.0)</f>
        <v>40</v>
      </c>
      <c r="G744" s="5">
        <f>IFERROR(__xludf.DUMMYFUNCTION("""COMPUTED_VALUE"""),1.0760406E7)</f>
        <v>10760406</v>
      </c>
    </row>
    <row r="745">
      <c r="A745" s="3">
        <f>IFERROR(__xludf.DUMMYFUNCTION("""COMPUTED_VALUE"""),576.0)</f>
        <v>576</v>
      </c>
      <c r="B745" s="2" t="str">
        <f>IFERROR(__xludf.DUMMYFUNCTION("""COMPUTED_VALUE"""),"PABNA")</f>
        <v>PABNA</v>
      </c>
      <c r="C745" s="4">
        <f>IFERROR(__xludf.DUMMYFUNCTION("""COMPUTED_VALUE"""),10.0)</f>
        <v>10</v>
      </c>
      <c r="D745" s="2" t="str">
        <f>IFERROR(__xludf.DUMMYFUNCTION("""COMPUTED_VALUE"""),"AGRANI BANK LTD.")</f>
        <v>AGRANI BANK LTD.</v>
      </c>
      <c r="E745" s="2" t="str">
        <f>IFERROR(__xludf.DUMMYFUNCTION("""COMPUTED_VALUE"""),"BORAL BRIDGE")</f>
        <v>BORAL BRIDGE</v>
      </c>
      <c r="F745" s="4">
        <f>IFERROR(__xludf.DUMMYFUNCTION("""COMPUTED_VALUE"""),61.0)</f>
        <v>61</v>
      </c>
      <c r="G745" s="5">
        <f>IFERROR(__xludf.DUMMYFUNCTION("""COMPUTED_VALUE"""),1.0760619E7)</f>
        <v>10760619</v>
      </c>
    </row>
    <row r="746">
      <c r="A746" s="3">
        <f>IFERROR(__xludf.DUMMYFUNCTION("""COMPUTED_VALUE"""),576.0)</f>
        <v>576</v>
      </c>
      <c r="B746" s="2" t="str">
        <f>IFERROR(__xludf.DUMMYFUNCTION("""COMPUTED_VALUE"""),"PABNA")</f>
        <v>PABNA</v>
      </c>
      <c r="C746" s="4">
        <f>IFERROR(__xludf.DUMMYFUNCTION("""COMPUTED_VALUE"""),10.0)</f>
        <v>10</v>
      </c>
      <c r="D746" s="2" t="str">
        <f>IFERROR(__xludf.DUMMYFUNCTION("""COMPUTED_VALUE"""),"AGRANI BANK LTD.")</f>
        <v>AGRANI BANK LTD.</v>
      </c>
      <c r="E746" s="2" t="str">
        <f>IFERROR(__xludf.DUMMYFUNCTION("""COMPUTED_VALUE"""),"COLLEGE GATE")</f>
        <v>COLLEGE GATE</v>
      </c>
      <c r="F746" s="4">
        <f>IFERROR(__xludf.DUMMYFUNCTION("""COMPUTED_VALUE"""),70.0)</f>
        <v>70</v>
      </c>
      <c r="G746" s="5">
        <f>IFERROR(__xludf.DUMMYFUNCTION("""COMPUTED_VALUE"""),1.0760701E7)</f>
        <v>10760701</v>
      </c>
    </row>
    <row r="747">
      <c r="A747" s="3">
        <f>IFERROR(__xludf.DUMMYFUNCTION("""COMPUTED_VALUE"""),576.0)</f>
        <v>576</v>
      </c>
      <c r="B747" s="2" t="str">
        <f>IFERROR(__xludf.DUMMYFUNCTION("""COMPUTED_VALUE"""),"PABNA")</f>
        <v>PABNA</v>
      </c>
      <c r="C747" s="4">
        <f>IFERROR(__xludf.DUMMYFUNCTION("""COMPUTED_VALUE"""),10.0)</f>
        <v>10</v>
      </c>
      <c r="D747" s="2" t="str">
        <f>IFERROR(__xludf.DUMMYFUNCTION("""COMPUTED_VALUE"""),"AGRANI BANK LTD.")</f>
        <v>AGRANI BANK LTD.</v>
      </c>
      <c r="E747" s="2" t="str">
        <f>IFERROR(__xludf.DUMMYFUNCTION("""COMPUTED_VALUE"""),"COURT ROAD")</f>
        <v>COURT ROAD</v>
      </c>
      <c r="F747" s="4">
        <f>IFERROR(__xludf.DUMMYFUNCTION("""COMPUTED_VALUE"""),73.0)</f>
        <v>73</v>
      </c>
      <c r="G747" s="5">
        <f>IFERROR(__xludf.DUMMYFUNCTION("""COMPUTED_VALUE"""),1.076073E7)</f>
        <v>10760730</v>
      </c>
    </row>
    <row r="748">
      <c r="A748" s="3">
        <f>IFERROR(__xludf.DUMMYFUNCTION("""COMPUTED_VALUE"""),576.0)</f>
        <v>576</v>
      </c>
      <c r="B748" s="2" t="str">
        <f>IFERROR(__xludf.DUMMYFUNCTION("""COMPUTED_VALUE"""),"PABNA")</f>
        <v>PABNA</v>
      </c>
      <c r="C748" s="4">
        <f>IFERROR(__xludf.DUMMYFUNCTION("""COMPUTED_VALUE"""),10.0)</f>
        <v>10</v>
      </c>
      <c r="D748" s="2" t="str">
        <f>IFERROR(__xludf.DUMMYFUNCTION("""COMPUTED_VALUE"""),"AGRANI BANK LTD.")</f>
        <v>AGRANI BANK LTD.</v>
      </c>
      <c r="E748" s="2" t="str">
        <f>IFERROR(__xludf.DUMMYFUNCTION("""COMPUTED_VALUE"""),"DUBLIA BAZAR")</f>
        <v>DUBLIA BAZAR</v>
      </c>
      <c r="F748" s="4">
        <f>IFERROR(__xludf.DUMMYFUNCTION("""COMPUTED_VALUE"""),94.0)</f>
        <v>94</v>
      </c>
      <c r="G748" s="5">
        <f>IFERROR(__xludf.DUMMYFUNCTION("""COMPUTED_VALUE"""),1.0760943E7)</f>
        <v>10760943</v>
      </c>
    </row>
    <row r="749">
      <c r="A749" s="3">
        <f>IFERROR(__xludf.DUMMYFUNCTION("""COMPUTED_VALUE"""),576.0)</f>
        <v>576</v>
      </c>
      <c r="B749" s="2" t="str">
        <f>IFERROR(__xludf.DUMMYFUNCTION("""COMPUTED_VALUE"""),"PABNA")</f>
        <v>PABNA</v>
      </c>
      <c r="C749" s="4">
        <f>IFERROR(__xludf.DUMMYFUNCTION("""COMPUTED_VALUE"""),10.0)</f>
        <v>10</v>
      </c>
      <c r="D749" s="2" t="str">
        <f>IFERROR(__xludf.DUMMYFUNCTION("""COMPUTED_VALUE"""),"AGRANI BANK LTD.")</f>
        <v>AGRANI BANK LTD.</v>
      </c>
      <c r="E749" s="2" t="str">
        <f>IFERROR(__xludf.DUMMYFUNCTION("""COMPUTED_VALUE"""),"H.M.M. ROAD")</f>
        <v>H.M.M. ROAD</v>
      </c>
      <c r="F749" s="4">
        <f>IFERROR(__xludf.DUMMYFUNCTION("""COMPUTED_VALUE"""),112.0)</f>
        <v>112</v>
      </c>
      <c r="G749" s="5">
        <f>IFERROR(__xludf.DUMMYFUNCTION("""COMPUTED_VALUE"""),1.0761126E7)</f>
        <v>10761126</v>
      </c>
    </row>
    <row r="750">
      <c r="A750" s="3">
        <f>IFERROR(__xludf.DUMMYFUNCTION("""COMPUTED_VALUE"""),576.0)</f>
        <v>576</v>
      </c>
      <c r="B750" s="2" t="str">
        <f>IFERROR(__xludf.DUMMYFUNCTION("""COMPUTED_VALUE"""),"PABNA")</f>
        <v>PABNA</v>
      </c>
      <c r="C750" s="4">
        <f>IFERROR(__xludf.DUMMYFUNCTION("""COMPUTED_VALUE"""),10.0)</f>
        <v>10</v>
      </c>
      <c r="D750" s="2" t="str">
        <f>IFERROR(__xludf.DUMMYFUNCTION("""COMPUTED_VALUE"""),"AGRANI BANK LTD.")</f>
        <v>AGRANI BANK LTD.</v>
      </c>
      <c r="E750" s="2" t="str">
        <f>IFERROR(__xludf.DUMMYFUNCTION("""COMPUTED_VALUE"""),"ISHWARDI")</f>
        <v>ISHWARDI</v>
      </c>
      <c r="F750" s="4">
        <f>IFERROR(__xludf.DUMMYFUNCTION("""COMPUTED_VALUE"""),121.0)</f>
        <v>121</v>
      </c>
      <c r="G750" s="5">
        <f>IFERROR(__xludf.DUMMYFUNCTION("""COMPUTED_VALUE"""),1.0761218E7)</f>
        <v>10761218</v>
      </c>
    </row>
    <row r="751">
      <c r="A751" s="3">
        <f>IFERROR(__xludf.DUMMYFUNCTION("""COMPUTED_VALUE"""),576.0)</f>
        <v>576</v>
      </c>
      <c r="B751" s="2" t="str">
        <f>IFERROR(__xludf.DUMMYFUNCTION("""COMPUTED_VALUE"""),"PABNA")</f>
        <v>PABNA</v>
      </c>
      <c r="C751" s="4">
        <f>IFERROR(__xludf.DUMMYFUNCTION("""COMPUTED_VALUE"""),10.0)</f>
        <v>10</v>
      </c>
      <c r="D751" s="2" t="str">
        <f>IFERROR(__xludf.DUMMYFUNCTION("""COMPUTED_VALUE"""),"AGRANI BANK LTD.")</f>
        <v>AGRANI BANK LTD.</v>
      </c>
      <c r="E751" s="2" t="str">
        <f>IFERROR(__xludf.DUMMYFUNCTION("""COMPUTED_VALUE"""),"MIRZAPUR HAT")</f>
        <v>MIRZAPUR HAT</v>
      </c>
      <c r="F751" s="4">
        <f>IFERROR(__xludf.DUMMYFUNCTION("""COMPUTED_VALUE"""),154.0)</f>
        <v>154</v>
      </c>
      <c r="G751" s="5">
        <f>IFERROR(__xludf.DUMMYFUNCTION("""COMPUTED_VALUE"""),1.0761542E7)</f>
        <v>10761542</v>
      </c>
    </row>
    <row r="752">
      <c r="A752" s="3">
        <f>IFERROR(__xludf.DUMMYFUNCTION("""COMPUTED_VALUE"""),576.0)</f>
        <v>576</v>
      </c>
      <c r="B752" s="2" t="str">
        <f>IFERROR(__xludf.DUMMYFUNCTION("""COMPUTED_VALUE"""),"PABNA")</f>
        <v>PABNA</v>
      </c>
      <c r="C752" s="4">
        <f>IFERROR(__xludf.DUMMYFUNCTION("""COMPUTED_VALUE"""),10.0)</f>
        <v>10</v>
      </c>
      <c r="D752" s="2" t="str">
        <f>IFERROR(__xludf.DUMMYFUNCTION("""COMPUTED_VALUE"""),"AGRANI BANK LTD.")</f>
        <v>AGRANI BANK LTD.</v>
      </c>
      <c r="E752" s="2" t="str">
        <f>IFERROR(__xludf.DUMMYFUNCTION("""COMPUTED_VALUE"""),"MULADULI")</f>
        <v>MULADULI</v>
      </c>
      <c r="F752" s="4">
        <f>IFERROR(__xludf.DUMMYFUNCTION("""COMPUTED_VALUE"""),157.0)</f>
        <v>157</v>
      </c>
      <c r="G752" s="5">
        <f>IFERROR(__xludf.DUMMYFUNCTION("""COMPUTED_VALUE"""),1.0761571E7)</f>
        <v>10761571</v>
      </c>
    </row>
    <row r="753">
      <c r="A753" s="3">
        <f>IFERROR(__xludf.DUMMYFUNCTION("""COMPUTED_VALUE"""),576.0)</f>
        <v>576</v>
      </c>
      <c r="B753" s="2" t="str">
        <f>IFERROR(__xludf.DUMMYFUNCTION("""COMPUTED_VALUE"""),"PABNA")</f>
        <v>PABNA</v>
      </c>
      <c r="C753" s="4">
        <f>IFERROR(__xludf.DUMMYFUNCTION("""COMPUTED_VALUE"""),10.0)</f>
        <v>10</v>
      </c>
      <c r="D753" s="2" t="str">
        <f>IFERROR(__xludf.DUMMYFUNCTION("""COMPUTED_VALUE"""),"AGRANI BANK LTD.")</f>
        <v>AGRANI BANK LTD.</v>
      </c>
      <c r="E753" s="2" t="str">
        <f>IFERROR(__xludf.DUMMYFUNCTION("""COMPUTED_VALUE"""),"NALKHOLA BAZAR")</f>
        <v>NALKHOLA BAZAR</v>
      </c>
      <c r="F753" s="4">
        <f>IFERROR(__xludf.DUMMYFUNCTION("""COMPUTED_VALUE"""),166.0)</f>
        <v>166</v>
      </c>
      <c r="G753" s="5">
        <f>IFERROR(__xludf.DUMMYFUNCTION("""COMPUTED_VALUE"""),1.0761663E7)</f>
        <v>10761663</v>
      </c>
    </row>
    <row r="754">
      <c r="A754" s="3">
        <f>IFERROR(__xludf.DUMMYFUNCTION("""COMPUTED_VALUE"""),576.0)</f>
        <v>576</v>
      </c>
      <c r="B754" s="2" t="str">
        <f>IFERROR(__xludf.DUMMYFUNCTION("""COMPUTED_VALUE"""),"PABNA")</f>
        <v>PABNA</v>
      </c>
      <c r="C754" s="4">
        <f>IFERROR(__xludf.DUMMYFUNCTION("""COMPUTED_VALUE"""),10.0)</f>
        <v>10</v>
      </c>
      <c r="D754" s="2" t="str">
        <f>IFERROR(__xludf.DUMMYFUNCTION("""COMPUTED_VALUE"""),"AGRANI BANK LTD.")</f>
        <v>AGRANI BANK LTD.</v>
      </c>
      <c r="E754" s="2" t="str">
        <f>IFERROR(__xludf.DUMMYFUNCTION("""COMPUTED_VALUE"""),"NARIKELPARA")</f>
        <v>NARIKELPARA</v>
      </c>
      <c r="F754" s="4">
        <f>IFERROR(__xludf.DUMMYFUNCTION("""COMPUTED_VALUE"""),169.0)</f>
        <v>169</v>
      </c>
      <c r="G754" s="5">
        <f>IFERROR(__xludf.DUMMYFUNCTION("""COMPUTED_VALUE"""),1.0761692E7)</f>
        <v>10761692</v>
      </c>
    </row>
    <row r="755">
      <c r="A755" s="3">
        <f>IFERROR(__xludf.DUMMYFUNCTION("""COMPUTED_VALUE"""),576.0)</f>
        <v>576</v>
      </c>
      <c r="B755" s="2" t="str">
        <f>IFERROR(__xludf.DUMMYFUNCTION("""COMPUTED_VALUE"""),"PABNA")</f>
        <v>PABNA</v>
      </c>
      <c r="C755" s="4">
        <f>IFERROR(__xludf.DUMMYFUNCTION("""COMPUTED_VALUE"""),10.0)</f>
        <v>10</v>
      </c>
      <c r="D755" s="2" t="str">
        <f>IFERROR(__xludf.DUMMYFUNCTION("""COMPUTED_VALUE"""),"AGRANI BANK LTD.")</f>
        <v>AGRANI BANK LTD.</v>
      </c>
      <c r="E755" s="2" t="str">
        <f>IFERROR(__xludf.DUMMYFUNCTION("""COMPUTED_VALUE"""),"NAZIRGANJ")</f>
        <v>NAZIRGANJ</v>
      </c>
      <c r="F755" s="4">
        <f>IFERROR(__xludf.DUMMYFUNCTION("""COMPUTED_VALUE"""),172.0)</f>
        <v>172</v>
      </c>
      <c r="G755" s="5">
        <f>IFERROR(__xludf.DUMMYFUNCTION("""COMPUTED_VALUE"""),1.0761726E7)</f>
        <v>10761726</v>
      </c>
    </row>
    <row r="756">
      <c r="A756" s="3">
        <f>IFERROR(__xludf.DUMMYFUNCTION("""COMPUTED_VALUE"""),576.0)</f>
        <v>576</v>
      </c>
      <c r="B756" s="2" t="str">
        <f>IFERROR(__xludf.DUMMYFUNCTION("""COMPUTED_VALUE"""),"PABNA")</f>
        <v>PABNA</v>
      </c>
      <c r="C756" s="4">
        <f>IFERROR(__xludf.DUMMYFUNCTION("""COMPUTED_VALUE"""),10.0)</f>
        <v>10</v>
      </c>
      <c r="D756" s="2" t="str">
        <f>IFERROR(__xludf.DUMMYFUNCTION("""COMPUTED_VALUE"""),"AGRANI BANK LTD.")</f>
        <v>AGRANI BANK LTD.</v>
      </c>
      <c r="E756" s="2" t="str">
        <f>IFERROR(__xludf.DUMMYFUNCTION("""COMPUTED_VALUE"""),"PAKSEY")</f>
        <v>PAKSEY</v>
      </c>
      <c r="F756" s="4">
        <f>IFERROR(__xludf.DUMMYFUNCTION("""COMPUTED_VALUE"""),190.0)</f>
        <v>190</v>
      </c>
      <c r="G756" s="5">
        <f>IFERROR(__xludf.DUMMYFUNCTION("""COMPUTED_VALUE"""),1.07619E7)</f>
        <v>10761900</v>
      </c>
    </row>
    <row r="757">
      <c r="A757" s="3">
        <f>IFERROR(__xludf.DUMMYFUNCTION("""COMPUTED_VALUE"""),576.0)</f>
        <v>576</v>
      </c>
      <c r="B757" s="2" t="str">
        <f>IFERROR(__xludf.DUMMYFUNCTION("""COMPUTED_VALUE"""),"PABNA")</f>
        <v>PABNA</v>
      </c>
      <c r="C757" s="4">
        <f>IFERROR(__xludf.DUMMYFUNCTION("""COMPUTED_VALUE"""),10.0)</f>
        <v>10</v>
      </c>
      <c r="D757" s="2" t="str">
        <f>IFERROR(__xludf.DUMMYFUNCTION("""COMPUTED_VALUE"""),"AGRANI BANK LTD.")</f>
        <v>AGRANI BANK LTD.</v>
      </c>
      <c r="E757" s="2" t="str">
        <f>IFERROR(__xludf.DUMMYFUNCTION("""COMPUTED_VALUE"""),"PUSHPAPARAHAT")</f>
        <v>PUSHPAPARAHAT</v>
      </c>
      <c r="F757" s="4">
        <f>IFERROR(__xludf.DUMMYFUNCTION("""COMPUTED_VALUE"""),193.0)</f>
        <v>193</v>
      </c>
      <c r="G757" s="5">
        <f>IFERROR(__xludf.DUMMYFUNCTION("""COMPUTED_VALUE"""),1.0761939E7)</f>
        <v>10761939</v>
      </c>
    </row>
    <row r="758">
      <c r="A758" s="3">
        <f>IFERROR(__xludf.DUMMYFUNCTION("""COMPUTED_VALUE"""),576.0)</f>
        <v>576</v>
      </c>
      <c r="B758" s="2" t="str">
        <f>IFERROR(__xludf.DUMMYFUNCTION("""COMPUTED_VALUE"""),"PABNA")</f>
        <v>PABNA</v>
      </c>
      <c r="C758" s="4">
        <f>IFERROR(__xludf.DUMMYFUNCTION("""COMPUTED_VALUE"""),10.0)</f>
        <v>10</v>
      </c>
      <c r="D758" s="2" t="str">
        <f>IFERROR(__xludf.DUMMYFUNCTION("""COMPUTED_VALUE"""),"AGRANI BANK LTD.")</f>
        <v>AGRANI BANK LTD.</v>
      </c>
      <c r="E758" s="2" t="str">
        <f>IFERROR(__xludf.DUMMYFUNCTION("""COMPUTED_VALUE"""),"RAIL BAZAR")</f>
        <v>RAIL BAZAR</v>
      </c>
      <c r="F758" s="4">
        <f>IFERROR(__xludf.DUMMYFUNCTION("""COMPUTED_VALUE"""),196.0)</f>
        <v>196</v>
      </c>
      <c r="G758" s="5">
        <f>IFERROR(__xludf.DUMMYFUNCTION("""COMPUTED_VALUE"""),1.0761968E7)</f>
        <v>10761968</v>
      </c>
    </row>
    <row r="759">
      <c r="A759" s="3">
        <f>IFERROR(__xludf.DUMMYFUNCTION("""COMPUTED_VALUE"""),576.0)</f>
        <v>576</v>
      </c>
      <c r="B759" s="2" t="str">
        <f>IFERROR(__xludf.DUMMYFUNCTION("""COMPUTED_VALUE"""),"PABNA")</f>
        <v>PABNA</v>
      </c>
      <c r="C759" s="4">
        <f>IFERROR(__xludf.DUMMYFUNCTION("""COMPUTED_VALUE"""),10.0)</f>
        <v>10</v>
      </c>
      <c r="D759" s="2" t="str">
        <f>IFERROR(__xludf.DUMMYFUNCTION("""COMPUTED_VALUE"""),"AGRANI BANK LTD.")</f>
        <v>AGRANI BANK LTD.</v>
      </c>
      <c r="E759" s="2" t="str">
        <f>IFERROR(__xludf.DUMMYFUNCTION("""COMPUTED_VALUE"""),"RAKSHERHAT")</f>
        <v>RAKSHERHAT</v>
      </c>
      <c r="F759" s="4">
        <f>IFERROR(__xludf.DUMMYFUNCTION("""COMPUTED_VALUE"""),199.0)</f>
        <v>199</v>
      </c>
      <c r="G759" s="5">
        <f>IFERROR(__xludf.DUMMYFUNCTION("""COMPUTED_VALUE"""),1.0761997E7)</f>
        <v>10761997</v>
      </c>
    </row>
    <row r="760">
      <c r="A760" s="3">
        <f>IFERROR(__xludf.DUMMYFUNCTION("""COMPUTED_VALUE"""),576.0)</f>
        <v>576</v>
      </c>
      <c r="B760" s="2" t="str">
        <f>IFERROR(__xludf.DUMMYFUNCTION("""COMPUTED_VALUE"""),"PABNA")</f>
        <v>PABNA</v>
      </c>
      <c r="C760" s="4">
        <f>IFERROR(__xludf.DUMMYFUNCTION("""COMPUTED_VALUE"""),10.0)</f>
        <v>10</v>
      </c>
      <c r="D760" s="2" t="str">
        <f>IFERROR(__xludf.DUMMYFUNCTION("""COMPUTED_VALUE"""),"AGRANI BANK LTD.")</f>
        <v>AGRANI BANK LTD.</v>
      </c>
      <c r="E760" s="2" t="str">
        <f>IFERROR(__xludf.DUMMYFUNCTION("""COMPUTED_VALUE"""),"RUPPUR")</f>
        <v>RUPPUR</v>
      </c>
      <c r="F760" s="4">
        <f>IFERROR(__xludf.DUMMYFUNCTION("""COMPUTED_VALUE"""),202.0)</f>
        <v>202</v>
      </c>
      <c r="G760" s="5">
        <f>IFERROR(__xludf.DUMMYFUNCTION("""COMPUTED_VALUE"""),1.076202E7)</f>
        <v>10762020</v>
      </c>
    </row>
    <row r="761">
      <c r="A761" s="3">
        <f>IFERROR(__xludf.DUMMYFUNCTION("""COMPUTED_VALUE"""),576.0)</f>
        <v>576</v>
      </c>
      <c r="B761" s="2" t="str">
        <f>IFERROR(__xludf.DUMMYFUNCTION("""COMPUTED_VALUE"""),"PABNA")</f>
        <v>PABNA</v>
      </c>
      <c r="C761" s="4">
        <f>IFERROR(__xludf.DUMMYFUNCTION("""COMPUTED_VALUE"""),10.0)</f>
        <v>10</v>
      </c>
      <c r="D761" s="2" t="str">
        <f>IFERROR(__xludf.DUMMYFUNCTION("""COMPUTED_VALUE"""),"AGRANI BANK LTD.")</f>
        <v>AGRANI BANK LTD.</v>
      </c>
      <c r="E761" s="2" t="str">
        <f>IFERROR(__xludf.DUMMYFUNCTION("""COMPUTED_VALUE"""),"SHIBRAMPUR")</f>
        <v>SHIBRAMPUR</v>
      </c>
      <c r="F761" s="4">
        <f>IFERROR(__xludf.DUMMYFUNCTION("""COMPUTED_VALUE"""),217.0)</f>
        <v>217</v>
      </c>
      <c r="G761" s="5">
        <f>IFERROR(__xludf.DUMMYFUNCTION("""COMPUTED_VALUE"""),1.076217E7)</f>
        <v>10762170</v>
      </c>
    </row>
    <row r="762">
      <c r="A762" s="3">
        <f>IFERROR(__xludf.DUMMYFUNCTION("""COMPUTED_VALUE"""),576.0)</f>
        <v>576</v>
      </c>
      <c r="B762" s="2" t="str">
        <f>IFERROR(__xludf.DUMMYFUNCTION("""COMPUTED_VALUE"""),"PABNA")</f>
        <v>PABNA</v>
      </c>
      <c r="C762" s="4">
        <f>IFERROR(__xludf.DUMMYFUNCTION("""COMPUTED_VALUE"""),10.0)</f>
        <v>10</v>
      </c>
      <c r="D762" s="2" t="str">
        <f>IFERROR(__xludf.DUMMYFUNCTION("""COMPUTED_VALUE"""),"AGRANI BANK LTD.")</f>
        <v>AGRANI BANK LTD.</v>
      </c>
      <c r="E762" s="2" t="str">
        <f>IFERROR(__xludf.DUMMYFUNCTION("""COMPUTED_VALUE"""),"SHYAMGANJ HAT")</f>
        <v>SHYAMGANJ HAT</v>
      </c>
      <c r="F762" s="4">
        <f>IFERROR(__xludf.DUMMYFUNCTION("""COMPUTED_VALUE"""),220.0)</f>
        <v>220</v>
      </c>
      <c r="G762" s="5">
        <f>IFERROR(__xludf.DUMMYFUNCTION("""COMPUTED_VALUE"""),1.0762204E7)</f>
        <v>10762204</v>
      </c>
    </row>
    <row r="763">
      <c r="A763" s="3">
        <f>IFERROR(__xludf.DUMMYFUNCTION("""COMPUTED_VALUE"""),576.0)</f>
        <v>576</v>
      </c>
      <c r="B763" s="2" t="str">
        <f>IFERROR(__xludf.DUMMYFUNCTION("""COMPUTED_VALUE"""),"PABNA")</f>
        <v>PABNA</v>
      </c>
      <c r="C763" s="4">
        <f>IFERROR(__xludf.DUMMYFUNCTION("""COMPUTED_VALUE"""),10.0)</f>
        <v>10</v>
      </c>
      <c r="D763" s="2" t="str">
        <f>IFERROR(__xludf.DUMMYFUNCTION("""COMPUTED_VALUE"""),"AGRANI BANK LTD.")</f>
        <v>AGRANI BANK LTD.</v>
      </c>
      <c r="E763" s="2" t="str">
        <f>IFERROR(__xludf.DUMMYFUNCTION("""COMPUTED_VALUE"""),"SUJANAGAR")</f>
        <v>SUJANAGAR</v>
      </c>
      <c r="F763" s="4">
        <f>IFERROR(__xludf.DUMMYFUNCTION("""COMPUTED_VALUE"""),226.0)</f>
        <v>226</v>
      </c>
      <c r="G763" s="5">
        <f>IFERROR(__xludf.DUMMYFUNCTION("""COMPUTED_VALUE"""),1.0762262E7)</f>
        <v>10762262</v>
      </c>
    </row>
    <row r="764">
      <c r="A764" s="3">
        <f>IFERROR(__xludf.DUMMYFUNCTION("""COMPUTED_VALUE"""),777.0)</f>
        <v>777</v>
      </c>
      <c r="B764" s="2" t="str">
        <f>IFERROR(__xludf.DUMMYFUNCTION("""COMPUTED_VALUE"""),"PANCHAGARH")</f>
        <v>PANCHAGARH</v>
      </c>
      <c r="C764" s="4">
        <f>IFERROR(__xludf.DUMMYFUNCTION("""COMPUTED_VALUE"""),10.0)</f>
        <v>10</v>
      </c>
      <c r="D764" s="2" t="str">
        <f>IFERROR(__xludf.DUMMYFUNCTION("""COMPUTED_VALUE"""),"AGRANI BANK LTD.")</f>
        <v>AGRANI BANK LTD.</v>
      </c>
      <c r="E764" s="2" t="str">
        <f>IFERROR(__xludf.DUMMYFUNCTION("""COMPUTED_VALUE"""),"CHAKLAHAT")</f>
        <v>CHAKLAHAT</v>
      </c>
      <c r="F764" s="4">
        <f>IFERROR(__xludf.DUMMYFUNCTION("""COMPUTED_VALUE"""),16.0)</f>
        <v>16</v>
      </c>
      <c r="G764" s="5">
        <f>IFERROR(__xludf.DUMMYFUNCTION("""COMPUTED_VALUE"""),1.0770162E7)</f>
        <v>10770162</v>
      </c>
    </row>
    <row r="765">
      <c r="A765" s="3">
        <f>IFERROR(__xludf.DUMMYFUNCTION("""COMPUTED_VALUE"""),777.0)</f>
        <v>777</v>
      </c>
      <c r="B765" s="2" t="str">
        <f>IFERROR(__xludf.DUMMYFUNCTION("""COMPUTED_VALUE"""),"PANCHAGARH")</f>
        <v>PANCHAGARH</v>
      </c>
      <c r="C765" s="4">
        <f>IFERROR(__xludf.DUMMYFUNCTION("""COMPUTED_VALUE"""),10.0)</f>
        <v>10</v>
      </c>
      <c r="D765" s="2" t="str">
        <f>IFERROR(__xludf.DUMMYFUNCTION("""COMPUTED_VALUE"""),"AGRANI BANK LTD.")</f>
        <v>AGRANI BANK LTD.</v>
      </c>
      <c r="E765" s="2" t="str">
        <f>IFERROR(__xludf.DUMMYFUNCTION("""COMPUTED_VALUE"""),"JAGADAL HAT")</f>
        <v>JAGADAL HAT</v>
      </c>
      <c r="F765" s="4">
        <f>IFERROR(__xludf.DUMMYFUNCTION("""COMPUTED_VALUE"""),34.0)</f>
        <v>34</v>
      </c>
      <c r="G765" s="5">
        <f>IFERROR(__xludf.DUMMYFUNCTION("""COMPUTED_VALUE"""),1.0770346E7)</f>
        <v>10770346</v>
      </c>
    </row>
    <row r="766">
      <c r="A766" s="3">
        <f>IFERROR(__xludf.DUMMYFUNCTION("""COMPUTED_VALUE"""),777.0)</f>
        <v>777</v>
      </c>
      <c r="B766" s="2" t="str">
        <f>IFERROR(__xludf.DUMMYFUNCTION("""COMPUTED_VALUE"""),"PANCHAGARH")</f>
        <v>PANCHAGARH</v>
      </c>
      <c r="C766" s="4">
        <f>IFERROR(__xludf.DUMMYFUNCTION("""COMPUTED_VALUE"""),10.0)</f>
        <v>10</v>
      </c>
      <c r="D766" s="2" t="str">
        <f>IFERROR(__xludf.DUMMYFUNCTION("""COMPUTED_VALUE"""),"AGRANI BANK LTD.")</f>
        <v>AGRANI BANK LTD.</v>
      </c>
      <c r="E766" s="2" t="str">
        <f>IFERROR(__xludf.DUMMYFUNCTION("""COMPUTED_VALUE"""),"MIRZAPUR")</f>
        <v>MIRZAPUR</v>
      </c>
      <c r="F766" s="4">
        <f>IFERROR(__xludf.DUMMYFUNCTION("""COMPUTED_VALUE"""),52.0)</f>
        <v>52</v>
      </c>
      <c r="G766" s="5">
        <f>IFERROR(__xludf.DUMMYFUNCTION("""COMPUTED_VALUE"""),1.077052E7)</f>
        <v>10770520</v>
      </c>
    </row>
    <row r="767">
      <c r="A767" s="3">
        <f>IFERROR(__xludf.DUMMYFUNCTION("""COMPUTED_VALUE"""),777.0)</f>
        <v>777</v>
      </c>
      <c r="B767" s="2" t="str">
        <f>IFERROR(__xludf.DUMMYFUNCTION("""COMPUTED_VALUE"""),"PANCHAGARH")</f>
        <v>PANCHAGARH</v>
      </c>
      <c r="C767" s="4">
        <f>IFERROR(__xludf.DUMMYFUNCTION("""COMPUTED_VALUE"""),10.0)</f>
        <v>10</v>
      </c>
      <c r="D767" s="2" t="str">
        <f>IFERROR(__xludf.DUMMYFUNCTION("""COMPUTED_VALUE"""),"AGRANI BANK LTD.")</f>
        <v>AGRANI BANK LTD.</v>
      </c>
      <c r="E767" s="2" t="str">
        <f>IFERROR(__xludf.DUMMYFUNCTION("""COMPUTED_VALUE"""),"PANCHAGARH")</f>
        <v>PANCHAGARH</v>
      </c>
      <c r="F767" s="4">
        <f>IFERROR(__xludf.DUMMYFUNCTION("""COMPUTED_VALUE"""),55.0)</f>
        <v>55</v>
      </c>
      <c r="G767" s="5">
        <f>IFERROR(__xludf.DUMMYFUNCTION("""COMPUTED_VALUE"""),1.0770559E7)</f>
        <v>10770559</v>
      </c>
    </row>
    <row r="768">
      <c r="A768" s="3">
        <f>IFERROR(__xludf.DUMMYFUNCTION("""COMPUTED_VALUE"""),777.0)</f>
        <v>777</v>
      </c>
      <c r="B768" s="2" t="str">
        <f>IFERROR(__xludf.DUMMYFUNCTION("""COMPUTED_VALUE"""),"PANCHAGARH")</f>
        <v>PANCHAGARH</v>
      </c>
      <c r="C768" s="4">
        <f>IFERROR(__xludf.DUMMYFUNCTION("""COMPUTED_VALUE"""),10.0)</f>
        <v>10</v>
      </c>
      <c r="D768" s="2" t="str">
        <f>IFERROR(__xludf.DUMMYFUNCTION("""COMPUTED_VALUE"""),"AGRANI BANK LTD.")</f>
        <v>AGRANI BANK LTD.</v>
      </c>
      <c r="E768" s="2" t="str">
        <f>IFERROR(__xludf.DUMMYFUNCTION("""COMPUTED_VALUE"""),"SHALBAHAN HAT")</f>
        <v>SHALBAHAN HAT</v>
      </c>
      <c r="F768" s="4">
        <f>IFERROR(__xludf.DUMMYFUNCTION("""COMPUTED_VALUE"""),61.0)</f>
        <v>61</v>
      </c>
      <c r="G768" s="5">
        <f>IFERROR(__xludf.DUMMYFUNCTION("""COMPUTED_VALUE"""),1.0770612E7)</f>
        <v>10770612</v>
      </c>
    </row>
    <row r="769">
      <c r="A769" s="3">
        <f>IFERROR(__xludf.DUMMYFUNCTION("""COMPUTED_VALUE"""),777.0)</f>
        <v>777</v>
      </c>
      <c r="B769" s="2" t="str">
        <f>IFERROR(__xludf.DUMMYFUNCTION("""COMPUTED_VALUE"""),"PANCHAGARH")</f>
        <v>PANCHAGARH</v>
      </c>
      <c r="C769" s="4">
        <f>IFERROR(__xludf.DUMMYFUNCTION("""COMPUTED_VALUE"""),10.0)</f>
        <v>10</v>
      </c>
      <c r="D769" s="2" t="str">
        <f>IFERROR(__xludf.DUMMYFUNCTION("""COMPUTED_VALUE"""),"AGRANI BANK LTD.")</f>
        <v>AGRANI BANK LTD.</v>
      </c>
      <c r="E769" s="2" t="str">
        <f>IFERROR(__xludf.DUMMYFUNCTION("""COMPUTED_VALUE"""),"TUNIR HAT")</f>
        <v>TUNIR HAT</v>
      </c>
      <c r="F769" s="4">
        <f>IFERROR(__xludf.DUMMYFUNCTION("""COMPUTED_VALUE"""),76.0)</f>
        <v>76</v>
      </c>
      <c r="G769" s="5">
        <f>IFERROR(__xludf.DUMMYFUNCTION("""COMPUTED_VALUE"""),1.0770762E7)</f>
        <v>10770762</v>
      </c>
    </row>
    <row r="770">
      <c r="A770" s="3">
        <f>IFERROR(__xludf.DUMMYFUNCTION("""COMPUTED_VALUE"""),378.0)</f>
        <v>378</v>
      </c>
      <c r="B770" s="2" t="str">
        <f>IFERROR(__xludf.DUMMYFUNCTION("""COMPUTED_VALUE"""),"PATUAKHALI")</f>
        <v>PATUAKHALI</v>
      </c>
      <c r="C770" s="4">
        <f>IFERROR(__xludf.DUMMYFUNCTION("""COMPUTED_VALUE"""),10.0)</f>
        <v>10</v>
      </c>
      <c r="D770" s="2" t="str">
        <f>IFERROR(__xludf.DUMMYFUNCTION("""COMPUTED_VALUE"""),"AGRANI BANK LTD.")</f>
        <v>AGRANI BANK LTD.</v>
      </c>
      <c r="E770" s="2" t="str">
        <f>IFERROR(__xludf.DUMMYFUNCTION("""COMPUTED_VALUE"""),"BAUPHAL")</f>
        <v>BAUPHAL</v>
      </c>
      <c r="F770" s="4">
        <f>IFERROR(__xludf.DUMMYFUNCTION("""COMPUTED_VALUE"""),19.0)</f>
        <v>19</v>
      </c>
      <c r="G770" s="5">
        <f>IFERROR(__xludf.DUMMYFUNCTION("""COMPUTED_VALUE"""),1.0780194E7)</f>
        <v>10780194</v>
      </c>
    </row>
    <row r="771">
      <c r="A771" s="3">
        <f>IFERROR(__xludf.DUMMYFUNCTION("""COMPUTED_VALUE"""),378.0)</f>
        <v>378</v>
      </c>
      <c r="B771" s="2" t="str">
        <f>IFERROR(__xludf.DUMMYFUNCTION("""COMPUTED_VALUE"""),"PATUAKHALI")</f>
        <v>PATUAKHALI</v>
      </c>
      <c r="C771" s="4">
        <f>IFERROR(__xludf.DUMMYFUNCTION("""COMPUTED_VALUE"""),10.0)</f>
        <v>10</v>
      </c>
      <c r="D771" s="2" t="str">
        <f>IFERROR(__xludf.DUMMYFUNCTION("""COMPUTED_VALUE"""),"AGRANI BANK LTD.")</f>
        <v>AGRANI BANK LTD.</v>
      </c>
      <c r="E771" s="2" t="str">
        <f>IFERROR(__xludf.DUMMYFUNCTION("""COMPUTED_VALUE"""),"DASHMINA")</f>
        <v>DASHMINA</v>
      </c>
      <c r="F771" s="4">
        <f>IFERROR(__xludf.DUMMYFUNCTION("""COMPUTED_VALUE"""),34.0)</f>
        <v>34</v>
      </c>
      <c r="G771" s="5">
        <f>IFERROR(__xludf.DUMMYFUNCTION("""COMPUTED_VALUE"""),1.0780349E7)</f>
        <v>10780349</v>
      </c>
    </row>
    <row r="772">
      <c r="A772" s="3">
        <f>IFERROR(__xludf.DUMMYFUNCTION("""COMPUTED_VALUE"""),378.0)</f>
        <v>378</v>
      </c>
      <c r="B772" s="2" t="str">
        <f>IFERROR(__xludf.DUMMYFUNCTION("""COMPUTED_VALUE"""),"PATUAKHALI")</f>
        <v>PATUAKHALI</v>
      </c>
      <c r="C772" s="4">
        <f>IFERROR(__xludf.DUMMYFUNCTION("""COMPUTED_VALUE"""),10.0)</f>
        <v>10</v>
      </c>
      <c r="D772" s="2" t="str">
        <f>IFERROR(__xludf.DUMMYFUNCTION("""COMPUTED_VALUE"""),"AGRANI BANK LTD.")</f>
        <v>AGRANI BANK LTD.</v>
      </c>
      <c r="E772" s="2" t="str">
        <f>IFERROR(__xludf.DUMMYFUNCTION("""COMPUTED_VALUE"""),"GALACHIPA")</f>
        <v>GALACHIPA</v>
      </c>
      <c r="F772" s="4">
        <f>IFERROR(__xludf.DUMMYFUNCTION("""COMPUTED_VALUE"""),49.0)</f>
        <v>49</v>
      </c>
      <c r="G772" s="5">
        <f>IFERROR(__xludf.DUMMYFUNCTION("""COMPUTED_VALUE"""),1.0780499E7)</f>
        <v>10780499</v>
      </c>
    </row>
    <row r="773">
      <c r="A773" s="3">
        <f>IFERROR(__xludf.DUMMYFUNCTION("""COMPUTED_VALUE"""),378.0)</f>
        <v>378</v>
      </c>
      <c r="B773" s="2" t="str">
        <f>IFERROR(__xludf.DUMMYFUNCTION("""COMPUTED_VALUE"""),"PATUAKHALI")</f>
        <v>PATUAKHALI</v>
      </c>
      <c r="C773" s="4">
        <f>IFERROR(__xludf.DUMMYFUNCTION("""COMPUTED_VALUE"""),10.0)</f>
        <v>10</v>
      </c>
      <c r="D773" s="2" t="str">
        <f>IFERROR(__xludf.DUMMYFUNCTION("""COMPUTED_VALUE"""),"AGRANI BANK LTD.")</f>
        <v>AGRANI BANK LTD.</v>
      </c>
      <c r="E773" s="2" t="str">
        <f>IFERROR(__xludf.DUMMYFUNCTION("""COMPUTED_VALUE"""),"KANAKDIA")</f>
        <v>KANAKDIA</v>
      </c>
      <c r="F773" s="4">
        <f>IFERROR(__xludf.DUMMYFUNCTION("""COMPUTED_VALUE"""),64.0)</f>
        <v>64</v>
      </c>
      <c r="G773" s="5">
        <f>IFERROR(__xludf.DUMMYFUNCTION("""COMPUTED_VALUE"""),1.0780644E7)</f>
        <v>10780644</v>
      </c>
    </row>
    <row r="774">
      <c r="A774" s="3">
        <f>IFERROR(__xludf.DUMMYFUNCTION("""COMPUTED_VALUE"""),378.0)</f>
        <v>378</v>
      </c>
      <c r="B774" s="2" t="str">
        <f>IFERROR(__xludf.DUMMYFUNCTION("""COMPUTED_VALUE"""),"PATUAKHALI")</f>
        <v>PATUAKHALI</v>
      </c>
      <c r="C774" s="4">
        <f>IFERROR(__xludf.DUMMYFUNCTION("""COMPUTED_VALUE"""),10.0)</f>
        <v>10</v>
      </c>
      <c r="D774" s="2" t="str">
        <f>IFERROR(__xludf.DUMMYFUNCTION("""COMPUTED_VALUE"""),"AGRANI BANK LTD.")</f>
        <v>AGRANI BANK LTD.</v>
      </c>
      <c r="E774" s="2" t="str">
        <f>IFERROR(__xludf.DUMMYFUNCTION("""COMPUTED_VALUE"""),"KHEPUPARA")</f>
        <v>KHEPUPARA</v>
      </c>
      <c r="F774" s="4">
        <f>IFERROR(__xludf.DUMMYFUNCTION("""COMPUTED_VALUE"""),76.0)</f>
        <v>76</v>
      </c>
      <c r="G774" s="5">
        <f>IFERROR(__xludf.DUMMYFUNCTION("""COMPUTED_VALUE"""),1.0780765E7)</f>
        <v>10780765</v>
      </c>
    </row>
    <row r="775">
      <c r="A775" s="3">
        <f>IFERROR(__xludf.DUMMYFUNCTION("""COMPUTED_VALUE"""),378.0)</f>
        <v>378</v>
      </c>
      <c r="B775" s="2" t="str">
        <f>IFERROR(__xludf.DUMMYFUNCTION("""COMPUTED_VALUE"""),"PATUAKHALI")</f>
        <v>PATUAKHALI</v>
      </c>
      <c r="C775" s="4">
        <f>IFERROR(__xludf.DUMMYFUNCTION("""COMPUTED_VALUE"""),10.0)</f>
        <v>10</v>
      </c>
      <c r="D775" s="2" t="str">
        <f>IFERROR(__xludf.DUMMYFUNCTION("""COMPUTED_VALUE"""),"AGRANI BANK LTD.")</f>
        <v>AGRANI BANK LTD.</v>
      </c>
      <c r="E775" s="2" t="str">
        <f>IFERROR(__xludf.DUMMYFUNCTION("""COMPUTED_VALUE"""),"KOAKATA")</f>
        <v>KOAKATA</v>
      </c>
      <c r="F775" s="4">
        <f>IFERROR(__xludf.DUMMYFUNCTION("""COMPUTED_VALUE"""),79.0)</f>
        <v>79</v>
      </c>
      <c r="G775" s="5">
        <f>IFERROR(__xludf.DUMMYFUNCTION("""COMPUTED_VALUE"""),1.0780794E7)</f>
        <v>10780794</v>
      </c>
    </row>
    <row r="776">
      <c r="A776" s="3">
        <f>IFERROR(__xludf.DUMMYFUNCTION("""COMPUTED_VALUE"""),378.0)</f>
        <v>378</v>
      </c>
      <c r="B776" s="2" t="str">
        <f>IFERROR(__xludf.DUMMYFUNCTION("""COMPUTED_VALUE"""),"PATUAKHALI")</f>
        <v>PATUAKHALI</v>
      </c>
      <c r="C776" s="4">
        <f>IFERROR(__xludf.DUMMYFUNCTION("""COMPUTED_VALUE"""),10.0)</f>
        <v>10</v>
      </c>
      <c r="D776" s="2" t="str">
        <f>IFERROR(__xludf.DUMMYFUNCTION("""COMPUTED_VALUE"""),"AGRANI BANK LTD.")</f>
        <v>AGRANI BANK LTD.</v>
      </c>
      <c r="E776" s="2" t="str">
        <f>IFERROR(__xludf.DUMMYFUNCTION("""COMPUTED_VALUE"""),"MIRZAGANJ")</f>
        <v>MIRZAGANJ</v>
      </c>
      <c r="F776" s="4">
        <f>IFERROR(__xludf.DUMMYFUNCTION("""COMPUTED_VALUE"""),82.0)</f>
        <v>82</v>
      </c>
      <c r="G776" s="5">
        <f>IFERROR(__xludf.DUMMYFUNCTION("""COMPUTED_VALUE"""),1.0780828E7)</f>
        <v>10780828</v>
      </c>
    </row>
    <row r="777">
      <c r="A777" s="3">
        <f>IFERROR(__xludf.DUMMYFUNCTION("""COMPUTED_VALUE"""),378.0)</f>
        <v>378</v>
      </c>
      <c r="B777" s="2" t="str">
        <f>IFERROR(__xludf.DUMMYFUNCTION("""COMPUTED_VALUE"""),"PATUAKHALI")</f>
        <v>PATUAKHALI</v>
      </c>
      <c r="C777" s="4">
        <f>IFERROR(__xludf.DUMMYFUNCTION("""COMPUTED_VALUE"""),10.0)</f>
        <v>10</v>
      </c>
      <c r="D777" s="2" t="str">
        <f>IFERROR(__xludf.DUMMYFUNCTION("""COMPUTED_VALUE"""),"AGRANI BANK LTD.")</f>
        <v>AGRANI BANK LTD.</v>
      </c>
      <c r="E777" s="2" t="str">
        <f>IFERROR(__xludf.DUMMYFUNCTION("""COMPUTED_VALUE"""),"NUTUN BAZAR")</f>
        <v>NUTUN BAZAR</v>
      </c>
      <c r="F777" s="3">
        <f>IFERROR(__xludf.DUMMYFUNCTION("""COMPUTED_VALUE"""),100.0)</f>
        <v>100</v>
      </c>
      <c r="G777" s="5">
        <f>IFERROR(__xludf.DUMMYFUNCTION("""COMPUTED_VALUE"""),1.0781001E7)</f>
        <v>10781001</v>
      </c>
    </row>
    <row r="778">
      <c r="A778" s="3">
        <f>IFERROR(__xludf.DUMMYFUNCTION("""COMPUTED_VALUE"""),378.0)</f>
        <v>378</v>
      </c>
      <c r="B778" s="2" t="str">
        <f>IFERROR(__xludf.DUMMYFUNCTION("""COMPUTED_VALUE"""),"PATUAKHALI")</f>
        <v>PATUAKHALI</v>
      </c>
      <c r="C778" s="4">
        <f>IFERROR(__xludf.DUMMYFUNCTION("""COMPUTED_VALUE"""),10.0)</f>
        <v>10</v>
      </c>
      <c r="D778" s="2" t="str">
        <f>IFERROR(__xludf.DUMMYFUNCTION("""COMPUTED_VALUE"""),"AGRANI BANK LTD.")</f>
        <v>AGRANI BANK LTD.</v>
      </c>
      <c r="E778" s="2" t="str">
        <f>IFERROR(__xludf.DUMMYFUNCTION("""COMPUTED_VALUE"""),"PANGASIA")</f>
        <v>PANGASIA</v>
      </c>
      <c r="F778" s="3">
        <f>IFERROR(__xludf.DUMMYFUNCTION("""COMPUTED_VALUE"""),103.0)</f>
        <v>103</v>
      </c>
      <c r="G778" s="5">
        <f>IFERROR(__xludf.DUMMYFUNCTION("""COMPUTED_VALUE"""),1.078103E7)</f>
        <v>10781030</v>
      </c>
    </row>
    <row r="779">
      <c r="A779" s="3">
        <f>IFERROR(__xludf.DUMMYFUNCTION("""COMPUTED_VALUE"""),378.0)</f>
        <v>378</v>
      </c>
      <c r="B779" s="2" t="str">
        <f>IFERROR(__xludf.DUMMYFUNCTION("""COMPUTED_VALUE"""),"PATUAKHALI")</f>
        <v>PATUAKHALI</v>
      </c>
      <c r="C779" s="4">
        <f>IFERROR(__xludf.DUMMYFUNCTION("""COMPUTED_VALUE"""),10.0)</f>
        <v>10</v>
      </c>
      <c r="D779" s="2" t="str">
        <f>IFERROR(__xludf.DUMMYFUNCTION("""COMPUTED_VALUE"""),"AGRANI BANK LTD.")</f>
        <v>AGRANI BANK LTD.</v>
      </c>
      <c r="E779" s="2" t="str">
        <f>IFERROR(__xludf.DUMMYFUNCTION("""COMPUTED_VALUE"""),"NEW MARKET")</f>
        <v>NEW MARKET</v>
      </c>
      <c r="F779" s="3">
        <f>IFERROR(__xludf.DUMMYFUNCTION("""COMPUTED_VALUE"""),118.0)</f>
        <v>118</v>
      </c>
      <c r="G779" s="5">
        <f>IFERROR(__xludf.DUMMYFUNCTION("""COMPUTED_VALUE"""),1.078118E7)</f>
        <v>10781180</v>
      </c>
    </row>
    <row r="780">
      <c r="A780" s="3">
        <f>IFERROR(__xludf.DUMMYFUNCTION("""COMPUTED_VALUE"""),378.0)</f>
        <v>378</v>
      </c>
      <c r="B780" s="2" t="str">
        <f>IFERROR(__xludf.DUMMYFUNCTION("""COMPUTED_VALUE"""),"PATUAKHALI")</f>
        <v>PATUAKHALI</v>
      </c>
      <c r="C780" s="4">
        <f>IFERROR(__xludf.DUMMYFUNCTION("""COMPUTED_VALUE"""),10.0)</f>
        <v>10</v>
      </c>
      <c r="D780" s="2" t="str">
        <f>IFERROR(__xludf.DUMMYFUNCTION("""COMPUTED_VALUE"""),"AGRANI BANK LTD.")</f>
        <v>AGRANI BANK LTD.</v>
      </c>
      <c r="E780" s="2" t="str">
        <f>IFERROR(__xludf.DUMMYFUNCTION("""COMPUTED_VALUE"""),"PURAN BAZAR")</f>
        <v>PURAN BAZAR</v>
      </c>
      <c r="F780" s="3">
        <f>IFERROR(__xludf.DUMMYFUNCTION("""COMPUTED_VALUE"""),124.0)</f>
        <v>124</v>
      </c>
      <c r="G780" s="5">
        <f>IFERROR(__xludf.DUMMYFUNCTION("""COMPUTED_VALUE"""),1.0781243E7)</f>
        <v>10781243</v>
      </c>
    </row>
    <row r="781">
      <c r="A781" s="3">
        <f>IFERROR(__xludf.DUMMYFUNCTION("""COMPUTED_VALUE"""),378.0)</f>
        <v>378</v>
      </c>
      <c r="B781" s="2" t="str">
        <f>IFERROR(__xludf.DUMMYFUNCTION("""COMPUTED_VALUE"""),"PATUAKHALI")</f>
        <v>PATUAKHALI</v>
      </c>
      <c r="C781" s="4">
        <f>IFERROR(__xludf.DUMMYFUNCTION("""COMPUTED_VALUE"""),10.0)</f>
        <v>10</v>
      </c>
      <c r="D781" s="2" t="str">
        <f>IFERROR(__xludf.DUMMYFUNCTION("""COMPUTED_VALUE"""),"AGRANI BANK LTD.")</f>
        <v>AGRANI BANK LTD.</v>
      </c>
      <c r="E781" s="2" t="str">
        <f>IFERROR(__xludf.DUMMYFUNCTION("""COMPUTED_VALUE"""),"TEGACHIA")</f>
        <v>TEGACHIA</v>
      </c>
      <c r="F781" s="3">
        <f>IFERROR(__xludf.DUMMYFUNCTION("""COMPUTED_VALUE"""),130.0)</f>
        <v>130</v>
      </c>
      <c r="G781" s="5">
        <f>IFERROR(__xludf.DUMMYFUNCTION("""COMPUTED_VALUE"""),1.0781306E7)</f>
        <v>10781306</v>
      </c>
    </row>
    <row r="782">
      <c r="A782" s="3">
        <f>IFERROR(__xludf.DUMMYFUNCTION("""COMPUTED_VALUE"""),379.0)</f>
        <v>379</v>
      </c>
      <c r="B782" s="2" t="str">
        <f>IFERROR(__xludf.DUMMYFUNCTION("""COMPUTED_VALUE"""),"PIROJPUR")</f>
        <v>PIROJPUR</v>
      </c>
      <c r="C782" s="4">
        <f>IFERROR(__xludf.DUMMYFUNCTION("""COMPUTED_VALUE"""),10.0)</f>
        <v>10</v>
      </c>
      <c r="D782" s="2" t="str">
        <f>IFERROR(__xludf.DUMMYFUNCTION("""COMPUTED_VALUE"""),"AGRANI BANK LTD.")</f>
        <v>AGRANI BANK LTD.</v>
      </c>
      <c r="E782" s="2" t="str">
        <f>IFERROR(__xludf.DUMMYFUNCTION("""COMPUTED_VALUE"""),"BHANDARIA")</f>
        <v>BHANDARIA</v>
      </c>
      <c r="F782" s="3">
        <f>IFERROR(__xludf.DUMMYFUNCTION("""COMPUTED_VALUE"""),13.0)</f>
        <v>13</v>
      </c>
      <c r="G782" s="5">
        <f>IFERROR(__xludf.DUMMYFUNCTION("""COMPUTED_VALUE"""),1.0790139E7)</f>
        <v>10790139</v>
      </c>
    </row>
    <row r="783">
      <c r="A783" s="3">
        <f>IFERROR(__xludf.DUMMYFUNCTION("""COMPUTED_VALUE"""),379.0)</f>
        <v>379</v>
      </c>
      <c r="B783" s="2" t="str">
        <f>IFERROR(__xludf.DUMMYFUNCTION("""COMPUTED_VALUE"""),"PIROJPUR")</f>
        <v>PIROJPUR</v>
      </c>
      <c r="C783" s="4">
        <f>IFERROR(__xludf.DUMMYFUNCTION("""COMPUTED_VALUE"""),10.0)</f>
        <v>10</v>
      </c>
      <c r="D783" s="2" t="str">
        <f>IFERROR(__xludf.DUMMYFUNCTION("""COMPUTED_VALUE"""),"AGRANI BANK LTD.")</f>
        <v>AGRANI BANK LTD.</v>
      </c>
      <c r="E783" s="2" t="str">
        <f>IFERROR(__xludf.DUMMYFUNCTION("""COMPUTED_VALUE"""),"KAWKHALI")</f>
        <v>KAWKHALI</v>
      </c>
      <c r="F783" s="3">
        <f>IFERROR(__xludf.DUMMYFUNCTION("""COMPUTED_VALUE"""),43.0)</f>
        <v>43</v>
      </c>
      <c r="G783" s="5">
        <f>IFERROR(__xludf.DUMMYFUNCTION("""COMPUTED_VALUE"""),1.0790434E7)</f>
        <v>10790434</v>
      </c>
    </row>
    <row r="784">
      <c r="A784" s="3">
        <f>IFERROR(__xludf.DUMMYFUNCTION("""COMPUTED_VALUE"""),379.0)</f>
        <v>379</v>
      </c>
      <c r="B784" s="2" t="str">
        <f>IFERROR(__xludf.DUMMYFUNCTION("""COMPUTED_VALUE"""),"PIROJPUR")</f>
        <v>PIROJPUR</v>
      </c>
      <c r="C784" s="4">
        <f>IFERROR(__xludf.DUMMYFUNCTION("""COMPUTED_VALUE"""),10.0)</f>
        <v>10</v>
      </c>
      <c r="D784" s="2" t="str">
        <f>IFERROR(__xludf.DUMMYFUNCTION("""COMPUTED_VALUE"""),"AGRANI BANK LTD.")</f>
        <v>AGRANI BANK LTD.</v>
      </c>
      <c r="E784" s="2" t="str">
        <f>IFERROR(__xludf.DUMMYFUNCTION("""COMPUTED_VALUE"""),"MATHBARIA")</f>
        <v>MATHBARIA</v>
      </c>
      <c r="F784" s="3">
        <f>IFERROR(__xludf.DUMMYFUNCTION("""COMPUTED_VALUE"""),52.0)</f>
        <v>52</v>
      </c>
      <c r="G784" s="5">
        <f>IFERROR(__xludf.DUMMYFUNCTION("""COMPUTED_VALUE"""),1.0790526E7)</f>
        <v>10790526</v>
      </c>
    </row>
    <row r="785">
      <c r="A785" s="3">
        <f>IFERROR(__xludf.DUMMYFUNCTION("""COMPUTED_VALUE"""),379.0)</f>
        <v>379</v>
      </c>
      <c r="B785" s="2" t="str">
        <f>IFERROR(__xludf.DUMMYFUNCTION("""COMPUTED_VALUE"""),"PIROJPUR")</f>
        <v>PIROJPUR</v>
      </c>
      <c r="C785" s="4">
        <f>IFERROR(__xludf.DUMMYFUNCTION("""COMPUTED_VALUE"""),10.0)</f>
        <v>10</v>
      </c>
      <c r="D785" s="2" t="str">
        <f>IFERROR(__xludf.DUMMYFUNCTION("""COMPUTED_VALUE"""),"AGRANI BANK LTD.")</f>
        <v>AGRANI BANK LTD.</v>
      </c>
      <c r="E785" s="2" t="str">
        <f>IFERROR(__xludf.DUMMYFUNCTION("""COMPUTED_VALUE"""),"MIRUKHALI")</f>
        <v>MIRUKHALI</v>
      </c>
      <c r="F785" s="3">
        <f>IFERROR(__xludf.DUMMYFUNCTION("""COMPUTED_VALUE"""),64.0)</f>
        <v>64</v>
      </c>
      <c r="G785" s="5">
        <f>IFERROR(__xludf.DUMMYFUNCTION("""COMPUTED_VALUE"""),1.0790647E7)</f>
        <v>10790647</v>
      </c>
    </row>
    <row r="786">
      <c r="A786" s="3">
        <f>IFERROR(__xludf.DUMMYFUNCTION("""COMPUTED_VALUE"""),379.0)</f>
        <v>379</v>
      </c>
      <c r="B786" s="2" t="str">
        <f>IFERROR(__xludf.DUMMYFUNCTION("""COMPUTED_VALUE"""),"PIROJPUR")</f>
        <v>PIROJPUR</v>
      </c>
      <c r="C786" s="4">
        <f>IFERROR(__xludf.DUMMYFUNCTION("""COMPUTED_VALUE"""),10.0)</f>
        <v>10</v>
      </c>
      <c r="D786" s="2" t="str">
        <f>IFERROR(__xludf.DUMMYFUNCTION("""COMPUTED_VALUE"""),"AGRANI BANK LTD.")</f>
        <v>AGRANI BANK LTD.</v>
      </c>
      <c r="E786" s="2" t="str">
        <f>IFERROR(__xludf.DUMMYFUNCTION("""COMPUTED_VALUE"""),"PARERHAT")</f>
        <v>PARERHAT</v>
      </c>
      <c r="F786" s="3">
        <f>IFERROR(__xludf.DUMMYFUNCTION("""COMPUTED_VALUE"""),73.0)</f>
        <v>73</v>
      </c>
      <c r="G786" s="5">
        <f>IFERROR(__xludf.DUMMYFUNCTION("""COMPUTED_VALUE"""),1.0790739E7)</f>
        <v>10790739</v>
      </c>
    </row>
    <row r="787">
      <c r="A787" s="3">
        <f>IFERROR(__xludf.DUMMYFUNCTION("""COMPUTED_VALUE"""),379.0)</f>
        <v>379</v>
      </c>
      <c r="B787" s="2" t="str">
        <f>IFERROR(__xludf.DUMMYFUNCTION("""COMPUTED_VALUE"""),"PIROJPUR")</f>
        <v>PIROJPUR</v>
      </c>
      <c r="C787" s="4">
        <f>IFERROR(__xludf.DUMMYFUNCTION("""COMPUTED_VALUE"""),10.0)</f>
        <v>10</v>
      </c>
      <c r="D787" s="2" t="str">
        <f>IFERROR(__xludf.DUMMYFUNCTION("""COMPUTED_VALUE"""),"AGRANI BANK LTD.")</f>
        <v>AGRANI BANK LTD.</v>
      </c>
      <c r="E787" s="2" t="str">
        <f>IFERROR(__xludf.DUMMYFUNCTION("""COMPUTED_VALUE"""),"PIROJPUR MAIN ROAD")</f>
        <v>PIROJPUR MAIN ROAD</v>
      </c>
      <c r="F787" s="3">
        <f>IFERROR(__xludf.DUMMYFUNCTION("""COMPUTED_VALUE"""),79.0)</f>
        <v>79</v>
      </c>
      <c r="G787" s="5">
        <f>IFERROR(__xludf.DUMMYFUNCTION("""COMPUTED_VALUE"""),1.0790797E7)</f>
        <v>10790797</v>
      </c>
    </row>
    <row r="788">
      <c r="A788" s="3">
        <f>IFERROR(__xludf.DUMMYFUNCTION("""COMPUTED_VALUE"""),379.0)</f>
        <v>379</v>
      </c>
      <c r="B788" s="2" t="str">
        <f>IFERROR(__xludf.DUMMYFUNCTION("""COMPUTED_VALUE"""),"PIROJPUR")</f>
        <v>PIROJPUR</v>
      </c>
      <c r="C788" s="4">
        <f>IFERROR(__xludf.DUMMYFUNCTION("""COMPUTED_VALUE"""),10.0)</f>
        <v>10</v>
      </c>
      <c r="D788" s="2" t="str">
        <f>IFERROR(__xludf.DUMMYFUNCTION("""COMPUTED_VALUE"""),"AGRANI BANK LTD.")</f>
        <v>AGRANI BANK LTD.</v>
      </c>
      <c r="E788" s="2" t="str">
        <f>IFERROR(__xludf.DUMMYFUNCTION("""COMPUTED_VALUE"""),"PIROJPUR(ZILLA PARISHAD)")</f>
        <v>PIROJPUR(ZILLA PARISHAD)</v>
      </c>
      <c r="F788" s="3">
        <f>IFERROR(__xludf.DUMMYFUNCTION("""COMPUTED_VALUE"""),82.0)</f>
        <v>82</v>
      </c>
      <c r="G788" s="5">
        <f>IFERROR(__xludf.DUMMYFUNCTION("""COMPUTED_VALUE"""),1.0790821E7)</f>
        <v>10790821</v>
      </c>
    </row>
    <row r="789">
      <c r="A789" s="3">
        <f>IFERROR(__xludf.DUMMYFUNCTION("""COMPUTED_VALUE"""),581.0)</f>
        <v>581</v>
      </c>
      <c r="B789" s="2" t="str">
        <f>IFERROR(__xludf.DUMMYFUNCTION("""COMPUTED_VALUE"""),"RAJSHAHI")</f>
        <v>RAJSHAHI</v>
      </c>
      <c r="C789" s="4">
        <f>IFERROR(__xludf.DUMMYFUNCTION("""COMPUTED_VALUE"""),10.0)</f>
        <v>10</v>
      </c>
      <c r="D789" s="2" t="str">
        <f>IFERROR(__xludf.DUMMYFUNCTION("""COMPUTED_VALUE"""),"AGRANI BANK LTD.")</f>
        <v>AGRANI BANK LTD.</v>
      </c>
      <c r="E789" s="2" t="str">
        <f>IFERROR(__xludf.DUMMYFUNCTION("""COMPUTED_VALUE"""),"COURT BAZAR")</f>
        <v>COURT BAZAR</v>
      </c>
      <c r="F789" s="3">
        <f>IFERROR(__xludf.DUMMYFUNCTION("""COMPUTED_VALUE"""),5.0)</f>
        <v>5</v>
      </c>
      <c r="G789" s="5">
        <f>IFERROR(__xludf.DUMMYFUNCTION("""COMPUTED_VALUE"""),1.0810051E7)</f>
        <v>10810051</v>
      </c>
    </row>
    <row r="790">
      <c r="A790" s="3">
        <f>IFERROR(__xludf.DUMMYFUNCTION("""COMPUTED_VALUE"""),581.0)</f>
        <v>581</v>
      </c>
      <c r="B790" s="2" t="str">
        <f>IFERROR(__xludf.DUMMYFUNCTION("""COMPUTED_VALUE"""),"RAJSHAHI")</f>
        <v>RAJSHAHI</v>
      </c>
      <c r="C790" s="4">
        <f>IFERROR(__xludf.DUMMYFUNCTION("""COMPUTED_VALUE"""),10.0)</f>
        <v>10</v>
      </c>
      <c r="D790" s="2" t="str">
        <f>IFERROR(__xludf.DUMMYFUNCTION("""COMPUTED_VALUE"""),"AGRANI BANK LTD.")</f>
        <v>AGRANI BANK LTD.</v>
      </c>
      <c r="E790" s="2" t="str">
        <f>IFERROR(__xludf.DUMMYFUNCTION("""COMPUTED_VALUE"""),"RDA BHABAN")</f>
        <v>RDA BHABAN</v>
      </c>
      <c r="F790" s="3">
        <f>IFERROR(__xludf.DUMMYFUNCTION("""COMPUTED_VALUE"""),8.0)</f>
        <v>8</v>
      </c>
      <c r="G790" s="5">
        <f>IFERROR(__xludf.DUMMYFUNCTION("""COMPUTED_VALUE"""),1.081008E7)</f>
        <v>10810080</v>
      </c>
    </row>
    <row r="791">
      <c r="A791" s="3">
        <f>IFERROR(__xludf.DUMMYFUNCTION("""COMPUTED_VALUE"""),581.0)</f>
        <v>581</v>
      </c>
      <c r="B791" s="2" t="str">
        <f>IFERROR(__xludf.DUMMYFUNCTION("""COMPUTED_VALUE"""),"RAJSHAHI")</f>
        <v>RAJSHAHI</v>
      </c>
      <c r="C791" s="4">
        <f>IFERROR(__xludf.DUMMYFUNCTION("""COMPUTED_VALUE"""),10.0)</f>
        <v>10</v>
      </c>
      <c r="D791" s="2" t="str">
        <f>IFERROR(__xludf.DUMMYFUNCTION("""COMPUTED_VALUE"""),"AGRANI BANK LTD.")</f>
        <v>AGRANI BANK LTD.</v>
      </c>
      <c r="E791" s="2" t="str">
        <f>IFERROR(__xludf.DUMMYFUNCTION("""COMPUTED_VALUE"""),"BAJU BAGHA")</f>
        <v>BAJU BAGHA</v>
      </c>
      <c r="F791" s="3">
        <f>IFERROR(__xludf.DUMMYFUNCTION("""COMPUTED_VALUE"""),13.0)</f>
        <v>13</v>
      </c>
      <c r="G791" s="5">
        <f>IFERROR(__xludf.DUMMYFUNCTION("""COMPUTED_VALUE"""),1.081013E7)</f>
        <v>10810130</v>
      </c>
    </row>
    <row r="792">
      <c r="A792" s="3">
        <f>IFERROR(__xludf.DUMMYFUNCTION("""COMPUTED_VALUE"""),581.0)</f>
        <v>581</v>
      </c>
      <c r="B792" s="2" t="str">
        <f>IFERROR(__xludf.DUMMYFUNCTION("""COMPUTED_VALUE"""),"RAJSHAHI")</f>
        <v>RAJSHAHI</v>
      </c>
      <c r="C792" s="4">
        <f>IFERROR(__xludf.DUMMYFUNCTION("""COMPUTED_VALUE"""),10.0)</f>
        <v>10</v>
      </c>
      <c r="D792" s="2" t="str">
        <f>IFERROR(__xludf.DUMMYFUNCTION("""COMPUTED_VALUE"""),"AGRANI BANK LTD.")</f>
        <v>AGRANI BANK LTD.</v>
      </c>
      <c r="E792" s="2" t="str">
        <f>IFERROR(__xludf.DUMMYFUNCTION("""COMPUTED_VALUE"""),"BALIAGHATA")</f>
        <v>BALIAGHATA</v>
      </c>
      <c r="F792" s="3">
        <f>IFERROR(__xludf.DUMMYFUNCTION("""COMPUTED_VALUE"""),16.0)</f>
        <v>16</v>
      </c>
      <c r="G792" s="5">
        <f>IFERROR(__xludf.DUMMYFUNCTION("""COMPUTED_VALUE"""),1.0810169E7)</f>
        <v>10810169</v>
      </c>
    </row>
    <row r="793">
      <c r="A793" s="3">
        <f>IFERROR(__xludf.DUMMYFUNCTION("""COMPUTED_VALUE"""),581.0)</f>
        <v>581</v>
      </c>
      <c r="B793" s="2" t="str">
        <f>IFERROR(__xludf.DUMMYFUNCTION("""COMPUTED_VALUE"""),"RAJSHAHI")</f>
        <v>RAJSHAHI</v>
      </c>
      <c r="C793" s="4">
        <f>IFERROR(__xludf.DUMMYFUNCTION("""COMPUTED_VALUE"""),10.0)</f>
        <v>10</v>
      </c>
      <c r="D793" s="2" t="str">
        <f>IFERROR(__xludf.DUMMYFUNCTION("""COMPUTED_VALUE"""),"AGRANI BANK LTD.")</f>
        <v>AGRANI BANK LTD.</v>
      </c>
      <c r="E793" s="2" t="str">
        <f>IFERROR(__xludf.DUMMYFUNCTION("""COMPUTED_VALUE"""),"BANESHAR BAZAR")</f>
        <v>BANESHAR BAZAR</v>
      </c>
      <c r="F793" s="3">
        <f>IFERROR(__xludf.DUMMYFUNCTION("""COMPUTED_VALUE"""),19.0)</f>
        <v>19</v>
      </c>
      <c r="G793" s="5">
        <f>IFERROR(__xludf.DUMMYFUNCTION("""COMPUTED_VALUE"""),1.0810198E7)</f>
        <v>10810198</v>
      </c>
    </row>
    <row r="794">
      <c r="A794" s="3">
        <f>IFERROR(__xludf.DUMMYFUNCTION("""COMPUTED_VALUE"""),581.0)</f>
        <v>581</v>
      </c>
      <c r="B794" s="2" t="str">
        <f>IFERROR(__xludf.DUMMYFUNCTION("""COMPUTED_VALUE"""),"RAJSHAHI")</f>
        <v>RAJSHAHI</v>
      </c>
      <c r="C794" s="4">
        <f>IFERROR(__xludf.DUMMYFUNCTION("""COMPUTED_VALUE"""),10.0)</f>
        <v>10</v>
      </c>
      <c r="D794" s="2" t="str">
        <f>IFERROR(__xludf.DUMMYFUNCTION("""COMPUTED_VALUE"""),"AGRANI BANK LTD.")</f>
        <v>AGRANI BANK LTD.</v>
      </c>
      <c r="E794" s="2" t="str">
        <f>IFERROR(__xludf.DUMMYFUNCTION("""COMPUTED_VALUE"""),"CHARGHAT")</f>
        <v>CHARGHAT</v>
      </c>
      <c r="F794" s="3">
        <f>IFERROR(__xludf.DUMMYFUNCTION("""COMPUTED_VALUE"""),40.0)</f>
        <v>40</v>
      </c>
      <c r="G794" s="5">
        <f>IFERROR(__xludf.DUMMYFUNCTION("""COMPUTED_VALUE"""),1.0810406E7)</f>
        <v>10810406</v>
      </c>
    </row>
    <row r="795">
      <c r="A795" s="3">
        <f>IFERROR(__xludf.DUMMYFUNCTION("""COMPUTED_VALUE"""),581.0)</f>
        <v>581</v>
      </c>
      <c r="B795" s="2" t="str">
        <f>IFERROR(__xludf.DUMMYFUNCTION("""COMPUTED_VALUE"""),"RAJSHAHI")</f>
        <v>RAJSHAHI</v>
      </c>
      <c r="C795" s="4">
        <f>IFERROR(__xludf.DUMMYFUNCTION("""COMPUTED_VALUE"""),10.0)</f>
        <v>10</v>
      </c>
      <c r="D795" s="2" t="str">
        <f>IFERROR(__xludf.DUMMYFUNCTION("""COMPUTED_VALUE"""),"AGRANI BANK LTD.")</f>
        <v>AGRANI BANK LTD.</v>
      </c>
      <c r="E795" s="2" t="str">
        <f>IFERROR(__xludf.DUMMYFUNCTION("""COMPUTED_VALUE"""),"HARIAN")</f>
        <v>HARIAN</v>
      </c>
      <c r="F795" s="3">
        <f>IFERROR(__xludf.DUMMYFUNCTION("""COMPUTED_VALUE"""),76.0)</f>
        <v>76</v>
      </c>
      <c r="G795" s="5">
        <f>IFERROR(__xludf.DUMMYFUNCTION("""COMPUTED_VALUE"""),1.0810769E7)</f>
        <v>10810769</v>
      </c>
    </row>
    <row r="796">
      <c r="A796" s="3">
        <f>IFERROR(__xludf.DUMMYFUNCTION("""COMPUTED_VALUE"""),581.0)</f>
        <v>581</v>
      </c>
      <c r="B796" s="2" t="str">
        <f>IFERROR(__xludf.DUMMYFUNCTION("""COMPUTED_VALUE"""),"RAJSHAHI")</f>
        <v>RAJSHAHI</v>
      </c>
      <c r="C796" s="4">
        <f>IFERROR(__xludf.DUMMYFUNCTION("""COMPUTED_VALUE"""),10.0)</f>
        <v>10</v>
      </c>
      <c r="D796" s="2" t="str">
        <f>IFERROR(__xludf.DUMMYFUNCTION("""COMPUTED_VALUE"""),"AGRANI BANK LTD.")</f>
        <v>AGRANI BANK LTD.</v>
      </c>
      <c r="E796" s="2" t="str">
        <f>IFERROR(__xludf.DUMMYFUNCTION("""COMPUTED_VALUE"""),"LAXMIPUR")</f>
        <v>LAXMIPUR</v>
      </c>
      <c r="F796" s="3">
        <f>IFERROR(__xludf.DUMMYFUNCTION("""COMPUTED_VALUE"""),118.0)</f>
        <v>118</v>
      </c>
      <c r="G796" s="5">
        <f>IFERROR(__xludf.DUMMYFUNCTION("""COMPUTED_VALUE"""),1.0811184E7)</f>
        <v>10811184</v>
      </c>
    </row>
    <row r="797">
      <c r="A797" s="3">
        <f>IFERROR(__xludf.DUMMYFUNCTION("""COMPUTED_VALUE"""),581.0)</f>
        <v>581</v>
      </c>
      <c r="B797" s="2" t="str">
        <f>IFERROR(__xludf.DUMMYFUNCTION("""COMPUTED_VALUE"""),"RAJSHAHI")</f>
        <v>RAJSHAHI</v>
      </c>
      <c r="C797" s="4">
        <f>IFERROR(__xludf.DUMMYFUNCTION("""COMPUTED_VALUE"""),10.0)</f>
        <v>10</v>
      </c>
      <c r="D797" s="2" t="str">
        <f>IFERROR(__xludf.DUMMYFUNCTION("""COMPUTED_VALUE"""),"AGRANI BANK LTD.")</f>
        <v>AGRANI BANK LTD.</v>
      </c>
      <c r="E797" s="2" t="str">
        <f>IFERROR(__xludf.DUMMYFUNCTION("""COMPUTED_VALUE"""),"MADRASHA MARKET")</f>
        <v>MADRASHA MARKET</v>
      </c>
      <c r="F797" s="3">
        <f>IFERROR(__xludf.DUMMYFUNCTION("""COMPUTED_VALUE"""),124.0)</f>
        <v>124</v>
      </c>
      <c r="G797" s="5">
        <f>IFERROR(__xludf.DUMMYFUNCTION("""COMPUTED_VALUE"""),1.0811247E7)</f>
        <v>10811247</v>
      </c>
    </row>
    <row r="798">
      <c r="A798" s="3">
        <f>IFERROR(__xludf.DUMMYFUNCTION("""COMPUTED_VALUE"""),581.0)</f>
        <v>581</v>
      </c>
      <c r="B798" s="2" t="str">
        <f>IFERROR(__xludf.DUMMYFUNCTION("""COMPUTED_VALUE"""),"RAJSHAHI")</f>
        <v>RAJSHAHI</v>
      </c>
      <c r="C798" s="4">
        <f>IFERROR(__xludf.DUMMYFUNCTION("""COMPUTED_VALUE"""),10.0)</f>
        <v>10</v>
      </c>
      <c r="D798" s="2" t="str">
        <f>IFERROR(__xludf.DUMMYFUNCTION("""COMPUTED_VALUE"""),"AGRANI BANK LTD.")</f>
        <v>AGRANI BANK LTD.</v>
      </c>
      <c r="E798" s="2" t="str">
        <f>IFERROR(__xludf.DUMMYFUNCTION("""COMPUTED_VALUE"""),"MALOPARA")</f>
        <v>MALOPARA</v>
      </c>
      <c r="F798" s="3">
        <f>IFERROR(__xludf.DUMMYFUNCTION("""COMPUTED_VALUE"""),127.0)</f>
        <v>127</v>
      </c>
      <c r="G798" s="5">
        <f>IFERROR(__xludf.DUMMYFUNCTION("""COMPUTED_VALUE"""),1.0811276E7)</f>
        <v>10811276</v>
      </c>
    </row>
    <row r="799">
      <c r="A799" s="3">
        <f>IFERROR(__xludf.DUMMYFUNCTION("""COMPUTED_VALUE"""),581.0)</f>
        <v>581</v>
      </c>
      <c r="B799" s="2" t="str">
        <f>IFERROR(__xludf.DUMMYFUNCTION("""COMPUTED_VALUE"""),"RAJSHAHI")</f>
        <v>RAJSHAHI</v>
      </c>
      <c r="C799" s="4">
        <f>IFERROR(__xludf.DUMMYFUNCTION("""COMPUTED_VALUE"""),10.0)</f>
        <v>10</v>
      </c>
      <c r="D799" s="2" t="str">
        <f>IFERROR(__xludf.DUMMYFUNCTION("""COMPUTED_VALUE"""),"AGRANI BANK LTD.")</f>
        <v>AGRANI BANK LTD.</v>
      </c>
      <c r="E799" s="2" t="str">
        <f>IFERROR(__xludf.DUMMYFUNCTION("""COMPUTED_VALUE"""),"NAWHATA")</f>
        <v>NAWHATA</v>
      </c>
      <c r="F799" s="3">
        <f>IFERROR(__xludf.DUMMYFUNCTION("""COMPUTED_VALUE"""),160.0)</f>
        <v>160</v>
      </c>
      <c r="G799" s="5">
        <f>IFERROR(__xludf.DUMMYFUNCTION("""COMPUTED_VALUE"""),1.0811605E7)</f>
        <v>10811605</v>
      </c>
    </row>
    <row r="800">
      <c r="A800" s="3">
        <f>IFERROR(__xludf.DUMMYFUNCTION("""COMPUTED_VALUE"""),581.0)</f>
        <v>581</v>
      </c>
      <c r="B800" s="2" t="str">
        <f>IFERROR(__xludf.DUMMYFUNCTION("""COMPUTED_VALUE"""),"RAJSHAHI")</f>
        <v>RAJSHAHI</v>
      </c>
      <c r="C800" s="4">
        <f>IFERROR(__xludf.DUMMYFUNCTION("""COMPUTED_VALUE"""),10.0)</f>
        <v>10</v>
      </c>
      <c r="D800" s="2" t="str">
        <f>IFERROR(__xludf.DUMMYFUNCTION("""COMPUTED_VALUE"""),"AGRANI BANK LTD.")</f>
        <v>AGRANI BANK LTD.</v>
      </c>
      <c r="E800" s="2" t="str">
        <f>IFERROR(__xludf.DUMMYFUNCTION("""COMPUTED_VALUE"""),"NEW MARKET")</f>
        <v>NEW MARKET</v>
      </c>
      <c r="F800" s="3">
        <f>IFERROR(__xludf.DUMMYFUNCTION("""COMPUTED_VALUE"""),163.0)</f>
        <v>163</v>
      </c>
      <c r="G800" s="5">
        <f>IFERROR(__xludf.DUMMYFUNCTION("""COMPUTED_VALUE"""),1.0811634E7)</f>
        <v>10811634</v>
      </c>
    </row>
    <row r="801">
      <c r="A801" s="3">
        <f>IFERROR(__xludf.DUMMYFUNCTION("""COMPUTED_VALUE"""),581.0)</f>
        <v>581</v>
      </c>
      <c r="B801" s="2" t="str">
        <f>IFERROR(__xludf.DUMMYFUNCTION("""COMPUTED_VALUE"""),"RAJSHAHI")</f>
        <v>RAJSHAHI</v>
      </c>
      <c r="C801" s="4">
        <f>IFERROR(__xludf.DUMMYFUNCTION("""COMPUTED_VALUE"""),10.0)</f>
        <v>10</v>
      </c>
      <c r="D801" s="2" t="str">
        <f>IFERROR(__xludf.DUMMYFUNCTION("""COMPUTED_VALUE"""),"AGRANI BANK LTD.")</f>
        <v>AGRANI BANK LTD.</v>
      </c>
      <c r="E801" s="2" t="str">
        <f>IFERROR(__xludf.DUMMYFUNCTION("""COMPUTED_VALUE"""),"PUTHIA")</f>
        <v>PUTHIA</v>
      </c>
      <c r="F801" s="3">
        <f>IFERROR(__xludf.DUMMYFUNCTION("""COMPUTED_VALUE"""),184.0)</f>
        <v>184</v>
      </c>
      <c r="G801" s="5">
        <f>IFERROR(__xludf.DUMMYFUNCTION("""COMPUTED_VALUE"""),1.0811847E7)</f>
        <v>10811847</v>
      </c>
    </row>
    <row r="802">
      <c r="A802" s="3">
        <f>IFERROR(__xludf.DUMMYFUNCTION("""COMPUTED_VALUE"""),581.0)</f>
        <v>581</v>
      </c>
      <c r="B802" s="2" t="str">
        <f>IFERROR(__xludf.DUMMYFUNCTION("""COMPUTED_VALUE"""),"RAJSHAHI")</f>
        <v>RAJSHAHI</v>
      </c>
      <c r="C802" s="4">
        <f>IFERROR(__xludf.DUMMYFUNCTION("""COMPUTED_VALUE"""),10.0)</f>
        <v>10</v>
      </c>
      <c r="D802" s="2" t="str">
        <f>IFERROR(__xludf.DUMMYFUNCTION("""COMPUTED_VALUE"""),"AGRANI BANK LTD.")</f>
        <v>AGRANI BANK LTD.</v>
      </c>
      <c r="E802" s="2" t="str">
        <f>IFERROR(__xludf.DUMMYFUNCTION("""COMPUTED_VALUE"""),"RAIGHATI")</f>
        <v>RAIGHATI</v>
      </c>
      <c r="F802" s="3">
        <f>IFERROR(__xludf.DUMMYFUNCTION("""COMPUTED_VALUE"""),187.0)</f>
        <v>187</v>
      </c>
      <c r="G802" s="5">
        <f>IFERROR(__xludf.DUMMYFUNCTION("""COMPUTED_VALUE"""),1.0811876E7)</f>
        <v>10811876</v>
      </c>
    </row>
    <row r="803">
      <c r="A803" s="3">
        <f>IFERROR(__xludf.DUMMYFUNCTION("""COMPUTED_VALUE"""),581.0)</f>
        <v>581</v>
      </c>
      <c r="B803" s="2" t="str">
        <f>IFERROR(__xludf.DUMMYFUNCTION("""COMPUTED_VALUE"""),"RAJSHAHI")</f>
        <v>RAJSHAHI</v>
      </c>
      <c r="C803" s="4">
        <f>IFERROR(__xludf.DUMMYFUNCTION("""COMPUTED_VALUE"""),10.0)</f>
        <v>10</v>
      </c>
      <c r="D803" s="2" t="str">
        <f>IFERROR(__xludf.DUMMYFUNCTION("""COMPUTED_VALUE"""),"AGRANI BANK LTD.")</f>
        <v>AGRANI BANK LTD.</v>
      </c>
      <c r="E803" s="2" t="str">
        <f>IFERROR(__xludf.DUMMYFUNCTION("""COMPUTED_VALUE"""),"RAJSHAHI CANTONMENT")</f>
        <v>RAJSHAHI CANTONMENT</v>
      </c>
      <c r="F803" s="3">
        <f>IFERROR(__xludf.DUMMYFUNCTION("""COMPUTED_VALUE"""),199.0)</f>
        <v>199</v>
      </c>
      <c r="G803" s="5">
        <f>IFERROR(__xludf.DUMMYFUNCTION("""COMPUTED_VALUE"""),1.0811997E7)</f>
        <v>10811997</v>
      </c>
    </row>
    <row r="804">
      <c r="A804" s="3">
        <f>IFERROR(__xludf.DUMMYFUNCTION("""COMPUTED_VALUE"""),581.0)</f>
        <v>581</v>
      </c>
      <c r="B804" s="2" t="str">
        <f>IFERROR(__xludf.DUMMYFUNCTION("""COMPUTED_VALUE"""),"RAJSHAHI")</f>
        <v>RAJSHAHI</v>
      </c>
      <c r="C804" s="4">
        <f>IFERROR(__xludf.DUMMYFUNCTION("""COMPUTED_VALUE"""),10.0)</f>
        <v>10</v>
      </c>
      <c r="D804" s="2" t="str">
        <f>IFERROR(__xludf.DUMMYFUNCTION("""COMPUTED_VALUE"""),"AGRANI BANK LTD.")</f>
        <v>AGRANI BANK LTD.</v>
      </c>
      <c r="E804" s="2" t="str">
        <f>IFERROR(__xludf.DUMMYFUNCTION("""COMPUTED_VALUE"""),"RAJSHAHI UNIVERSITY")</f>
        <v>RAJSHAHI UNIVERSITY</v>
      </c>
      <c r="F804" s="3">
        <f>IFERROR(__xludf.DUMMYFUNCTION("""COMPUTED_VALUE"""),211.0)</f>
        <v>211</v>
      </c>
      <c r="G804" s="5">
        <f>IFERROR(__xludf.DUMMYFUNCTION("""COMPUTED_VALUE"""),1.0812112E7)</f>
        <v>10812112</v>
      </c>
    </row>
    <row r="805">
      <c r="A805" s="3">
        <f>IFERROR(__xludf.DUMMYFUNCTION("""COMPUTED_VALUE"""),581.0)</f>
        <v>581</v>
      </c>
      <c r="B805" s="2" t="str">
        <f>IFERROR(__xludf.DUMMYFUNCTION("""COMPUTED_VALUE"""),"RAJSHAHI")</f>
        <v>RAJSHAHI</v>
      </c>
      <c r="C805" s="4">
        <f>IFERROR(__xludf.DUMMYFUNCTION("""COMPUTED_VALUE"""),10.0)</f>
        <v>10</v>
      </c>
      <c r="D805" s="2" t="str">
        <f>IFERROR(__xludf.DUMMYFUNCTION("""COMPUTED_VALUE"""),"AGRANI BANK LTD.")</f>
        <v>AGRANI BANK LTD.</v>
      </c>
      <c r="E805" s="2" t="str">
        <f>IFERROR(__xludf.DUMMYFUNCTION("""COMPUTED_VALUE"""),"SHAHEB BAZAR")</f>
        <v>SHAHEB BAZAR</v>
      </c>
      <c r="F805" s="3">
        <f>IFERROR(__xludf.DUMMYFUNCTION("""COMPUTED_VALUE"""),226.0)</f>
        <v>226</v>
      </c>
      <c r="G805" s="5">
        <f>IFERROR(__xludf.DUMMYFUNCTION("""COMPUTED_VALUE"""),1.0812262E7)</f>
        <v>10812262</v>
      </c>
    </row>
    <row r="806">
      <c r="A806" s="3">
        <f>IFERROR(__xludf.DUMMYFUNCTION("""COMPUTED_VALUE"""),581.0)</f>
        <v>581</v>
      </c>
      <c r="B806" s="2" t="str">
        <f>IFERROR(__xludf.DUMMYFUNCTION("""COMPUTED_VALUE"""),"RAJSHAHI")</f>
        <v>RAJSHAHI</v>
      </c>
      <c r="C806" s="4">
        <f>IFERROR(__xludf.DUMMYFUNCTION("""COMPUTED_VALUE"""),10.0)</f>
        <v>10</v>
      </c>
      <c r="D806" s="2" t="str">
        <f>IFERROR(__xludf.DUMMYFUNCTION("""COMPUTED_VALUE"""),"AGRANI BANK LTD.")</f>
        <v>AGRANI BANK LTD.</v>
      </c>
      <c r="E806" s="2" t="str">
        <f>IFERROR(__xludf.DUMMYFUNCTION("""COMPUTED_VALUE"""),"TALAIMARI")</f>
        <v>TALAIMARI</v>
      </c>
      <c r="F806" s="3">
        <f>IFERROR(__xludf.DUMMYFUNCTION("""COMPUTED_VALUE"""),235.0)</f>
        <v>235</v>
      </c>
      <c r="G806" s="5">
        <f>IFERROR(__xludf.DUMMYFUNCTION("""COMPUTED_VALUE"""),1.0812354E7)</f>
        <v>10812354</v>
      </c>
    </row>
    <row r="807">
      <c r="A807" s="3">
        <f>IFERROR(__xludf.DUMMYFUNCTION("""COMPUTED_VALUE"""),581.0)</f>
        <v>581</v>
      </c>
      <c r="B807" s="2" t="str">
        <f>IFERROR(__xludf.DUMMYFUNCTION("""COMPUTED_VALUE"""),"RAJSHAHI")</f>
        <v>RAJSHAHI</v>
      </c>
      <c r="C807" s="4">
        <f>IFERROR(__xludf.DUMMYFUNCTION("""COMPUTED_VALUE"""),10.0)</f>
        <v>10</v>
      </c>
      <c r="D807" s="2" t="str">
        <f>IFERROR(__xludf.DUMMYFUNCTION("""COMPUTED_VALUE"""),"AGRANI BANK LTD.")</f>
        <v>AGRANI BANK LTD.</v>
      </c>
      <c r="E807" s="2" t="str">
        <f>IFERROR(__xludf.DUMMYFUNCTION("""COMPUTED_VALUE"""),"WAPDA IRRIGATION")</f>
        <v>WAPDA IRRIGATION</v>
      </c>
      <c r="F807" s="3">
        <f>IFERROR(__xludf.DUMMYFUNCTION("""COMPUTED_VALUE"""),241.0)</f>
        <v>241</v>
      </c>
      <c r="G807" s="5">
        <f>IFERROR(__xludf.DUMMYFUNCTION("""COMPUTED_VALUE"""),1.0812417E7)</f>
        <v>10812417</v>
      </c>
    </row>
    <row r="808">
      <c r="A808" s="3">
        <f>IFERROR(__xludf.DUMMYFUNCTION("""COMPUTED_VALUE"""),382.0)</f>
        <v>382</v>
      </c>
      <c r="B808" s="2" t="str">
        <f>IFERROR(__xludf.DUMMYFUNCTION("""COMPUTED_VALUE"""),"RAJBARI")</f>
        <v>RAJBARI</v>
      </c>
      <c r="C808" s="4">
        <f>IFERROR(__xludf.DUMMYFUNCTION("""COMPUTED_VALUE"""),10.0)</f>
        <v>10</v>
      </c>
      <c r="D808" s="2" t="str">
        <f>IFERROR(__xludf.DUMMYFUNCTION("""COMPUTED_VALUE"""),"AGRANI BANK LTD.")</f>
        <v>AGRANI BANK LTD.</v>
      </c>
      <c r="E808" s="2" t="str">
        <f>IFERROR(__xludf.DUMMYFUNCTION("""COMPUTED_VALUE"""),"AHLADIPUR")</f>
        <v>AHLADIPUR</v>
      </c>
      <c r="F808" s="3">
        <f>IFERROR(__xludf.DUMMYFUNCTION("""COMPUTED_VALUE"""),4.0)</f>
        <v>4</v>
      </c>
      <c r="G808" s="5">
        <f>IFERROR(__xludf.DUMMYFUNCTION("""COMPUTED_VALUE"""),1.0820041E7)</f>
        <v>10820041</v>
      </c>
    </row>
    <row r="809">
      <c r="A809" s="3">
        <f>IFERROR(__xludf.DUMMYFUNCTION("""COMPUTED_VALUE"""),382.0)</f>
        <v>382</v>
      </c>
      <c r="B809" s="2" t="str">
        <f>IFERROR(__xludf.DUMMYFUNCTION("""COMPUTED_VALUE"""),"RAJBARI")</f>
        <v>RAJBARI</v>
      </c>
      <c r="C809" s="4">
        <f>IFERROR(__xludf.DUMMYFUNCTION("""COMPUTED_VALUE"""),10.0)</f>
        <v>10</v>
      </c>
      <c r="D809" s="2" t="str">
        <f>IFERROR(__xludf.DUMMYFUNCTION("""COMPUTED_VALUE"""),"AGRANI BANK LTD.")</f>
        <v>AGRANI BANK LTD.</v>
      </c>
      <c r="E809" s="2" t="str">
        <f>IFERROR(__xludf.DUMMYFUNCTION("""COMPUTED_VALUE"""),"KALUKHALI")</f>
        <v>KALUKHALI</v>
      </c>
      <c r="F809" s="3">
        <f>IFERROR(__xludf.DUMMYFUNCTION("""COMPUTED_VALUE"""),37.0)</f>
        <v>37</v>
      </c>
      <c r="G809" s="5">
        <f>IFERROR(__xludf.DUMMYFUNCTION("""COMPUTED_VALUE"""),1.0820375E7)</f>
        <v>10820375</v>
      </c>
    </row>
    <row r="810">
      <c r="A810" s="3">
        <f>IFERROR(__xludf.DUMMYFUNCTION("""COMPUTED_VALUE"""),382.0)</f>
        <v>382</v>
      </c>
      <c r="B810" s="2" t="str">
        <f>IFERROR(__xludf.DUMMYFUNCTION("""COMPUTED_VALUE"""),"RAJBARI")</f>
        <v>RAJBARI</v>
      </c>
      <c r="C810" s="4">
        <f>IFERROR(__xludf.DUMMYFUNCTION("""COMPUTED_VALUE"""),10.0)</f>
        <v>10</v>
      </c>
      <c r="D810" s="2" t="str">
        <f>IFERROR(__xludf.DUMMYFUNCTION("""COMPUTED_VALUE"""),"AGRANI BANK LTD.")</f>
        <v>AGRANI BANK LTD.</v>
      </c>
      <c r="E810" s="2" t="str">
        <f>IFERROR(__xludf.DUMMYFUNCTION("""COMPUTED_VALUE"""),"NALIA-JAMALPUR")</f>
        <v>NALIA-JAMALPUR</v>
      </c>
      <c r="F810" s="3">
        <f>IFERROR(__xludf.DUMMYFUNCTION("""COMPUTED_VALUE"""),55.0)</f>
        <v>55</v>
      </c>
      <c r="G810" s="5">
        <f>IFERROR(__xludf.DUMMYFUNCTION("""COMPUTED_VALUE"""),1.0820559E7)</f>
        <v>10820559</v>
      </c>
    </row>
    <row r="811">
      <c r="A811" s="3">
        <f>IFERROR(__xludf.DUMMYFUNCTION("""COMPUTED_VALUE"""),382.0)</f>
        <v>382</v>
      </c>
      <c r="B811" s="2" t="str">
        <f>IFERROR(__xludf.DUMMYFUNCTION("""COMPUTED_VALUE"""),"RAJBARI")</f>
        <v>RAJBARI</v>
      </c>
      <c r="C811" s="4">
        <f>IFERROR(__xludf.DUMMYFUNCTION("""COMPUTED_VALUE"""),10.0)</f>
        <v>10</v>
      </c>
      <c r="D811" s="2" t="str">
        <f>IFERROR(__xludf.DUMMYFUNCTION("""COMPUTED_VALUE"""),"AGRANI BANK LTD.")</f>
        <v>AGRANI BANK LTD.</v>
      </c>
      <c r="E811" s="2" t="str">
        <f>IFERROR(__xludf.DUMMYFUNCTION("""COMPUTED_VALUE"""),"PANGSHA")</f>
        <v>PANGSHA</v>
      </c>
      <c r="F811" s="3">
        <f>IFERROR(__xludf.DUMMYFUNCTION("""COMPUTED_VALUE"""),67.0)</f>
        <v>67</v>
      </c>
      <c r="G811" s="5">
        <f>IFERROR(__xludf.DUMMYFUNCTION("""COMPUTED_VALUE"""),1.082067E7)</f>
        <v>10820670</v>
      </c>
    </row>
    <row r="812">
      <c r="A812" s="3">
        <f>IFERROR(__xludf.DUMMYFUNCTION("""COMPUTED_VALUE"""),382.0)</f>
        <v>382</v>
      </c>
      <c r="B812" s="2" t="str">
        <f>IFERROR(__xludf.DUMMYFUNCTION("""COMPUTED_VALUE"""),"RAJBARI")</f>
        <v>RAJBARI</v>
      </c>
      <c r="C812" s="4">
        <f>IFERROR(__xludf.DUMMYFUNCTION("""COMPUTED_VALUE"""),10.0)</f>
        <v>10</v>
      </c>
      <c r="D812" s="2" t="str">
        <f>IFERROR(__xludf.DUMMYFUNCTION("""COMPUTED_VALUE"""),"AGRANI BANK LTD.")</f>
        <v>AGRANI BANK LTD.</v>
      </c>
      <c r="E812" s="2" t="str">
        <f>IFERROR(__xludf.DUMMYFUNCTION("""COMPUTED_VALUE"""),"RAJBARI")</f>
        <v>RAJBARI</v>
      </c>
      <c r="F812" s="3">
        <f>IFERROR(__xludf.DUMMYFUNCTION("""COMPUTED_VALUE"""),73.0)</f>
        <v>73</v>
      </c>
      <c r="G812" s="5">
        <f>IFERROR(__xludf.DUMMYFUNCTION("""COMPUTED_VALUE"""),1.0820733E7)</f>
        <v>10820733</v>
      </c>
    </row>
    <row r="813">
      <c r="A813" s="3">
        <f>IFERROR(__xludf.DUMMYFUNCTION("""COMPUTED_VALUE"""),284.0)</f>
        <v>284</v>
      </c>
      <c r="B813" s="2" t="str">
        <f>IFERROR(__xludf.DUMMYFUNCTION("""COMPUTED_VALUE"""),"RANGAMATI")</f>
        <v>RANGAMATI</v>
      </c>
      <c r="C813" s="4">
        <f>IFERROR(__xludf.DUMMYFUNCTION("""COMPUTED_VALUE"""),10.0)</f>
        <v>10</v>
      </c>
      <c r="D813" s="2" t="str">
        <f>IFERROR(__xludf.DUMMYFUNCTION("""COMPUTED_VALUE"""),"AGRANI BANK LTD.")</f>
        <v>AGRANI BANK LTD.</v>
      </c>
      <c r="E813" s="2" t="str">
        <f>IFERROR(__xludf.DUMMYFUNCTION("""COMPUTED_VALUE"""),"BANARUPA")</f>
        <v>BANARUPA</v>
      </c>
      <c r="F813" s="3">
        <f>IFERROR(__xludf.DUMMYFUNCTION("""COMPUTED_VALUE"""),7.0)</f>
        <v>7</v>
      </c>
      <c r="G813" s="5">
        <f>IFERROR(__xludf.DUMMYFUNCTION("""COMPUTED_VALUE"""),1.0840076E7)</f>
        <v>10840076</v>
      </c>
    </row>
    <row r="814">
      <c r="A814" s="3">
        <f>IFERROR(__xludf.DUMMYFUNCTION("""COMPUTED_VALUE"""),284.0)</f>
        <v>284</v>
      </c>
      <c r="B814" s="2" t="str">
        <f>IFERROR(__xludf.DUMMYFUNCTION("""COMPUTED_VALUE"""),"RANGAMATI")</f>
        <v>RANGAMATI</v>
      </c>
      <c r="C814" s="4">
        <f>IFERROR(__xludf.DUMMYFUNCTION("""COMPUTED_VALUE"""),10.0)</f>
        <v>10</v>
      </c>
      <c r="D814" s="2" t="str">
        <f>IFERROR(__xludf.DUMMYFUNCTION("""COMPUTED_VALUE"""),"AGRANI BANK LTD.")</f>
        <v>AGRANI BANK LTD.</v>
      </c>
      <c r="E814" s="2" t="str">
        <f>IFERROR(__xludf.DUMMYFUNCTION("""COMPUTED_VALUE"""),"CHANDRAGHONA")</f>
        <v>CHANDRAGHONA</v>
      </c>
      <c r="F814" s="3">
        <f>IFERROR(__xludf.DUMMYFUNCTION("""COMPUTED_VALUE"""),19.0)</f>
        <v>19</v>
      </c>
      <c r="G814" s="5">
        <f>IFERROR(__xludf.DUMMYFUNCTION("""COMPUTED_VALUE"""),1.0840197E7)</f>
        <v>10840197</v>
      </c>
    </row>
    <row r="815">
      <c r="A815" s="3">
        <f>IFERROR(__xludf.DUMMYFUNCTION("""COMPUTED_VALUE"""),284.0)</f>
        <v>284</v>
      </c>
      <c r="B815" s="2" t="str">
        <f>IFERROR(__xludf.DUMMYFUNCTION("""COMPUTED_VALUE"""),"RANGAMATI")</f>
        <v>RANGAMATI</v>
      </c>
      <c r="C815" s="4">
        <f>IFERROR(__xludf.DUMMYFUNCTION("""COMPUTED_VALUE"""),10.0)</f>
        <v>10</v>
      </c>
      <c r="D815" s="2" t="str">
        <f>IFERROR(__xludf.DUMMYFUNCTION("""COMPUTED_VALUE"""),"AGRANI BANK LTD.")</f>
        <v>AGRANI BANK LTD.</v>
      </c>
      <c r="E815" s="2" t="str">
        <f>IFERROR(__xludf.DUMMYFUNCTION("""COMPUTED_VALUE"""),"KAPTAI")</f>
        <v>KAPTAI</v>
      </c>
      <c r="F815" s="3">
        <f>IFERROR(__xludf.DUMMYFUNCTION("""COMPUTED_VALUE"""),28.0)</f>
        <v>28</v>
      </c>
      <c r="G815" s="5">
        <f>IFERROR(__xludf.DUMMYFUNCTION("""COMPUTED_VALUE"""),1.0840289E7)</f>
        <v>10840289</v>
      </c>
    </row>
    <row r="816">
      <c r="A816" s="3">
        <f>IFERROR(__xludf.DUMMYFUNCTION("""COMPUTED_VALUE"""),284.0)</f>
        <v>284</v>
      </c>
      <c r="B816" s="2" t="str">
        <f>IFERROR(__xludf.DUMMYFUNCTION("""COMPUTED_VALUE"""),"RANGAMATI")</f>
        <v>RANGAMATI</v>
      </c>
      <c r="C816" s="4">
        <f>IFERROR(__xludf.DUMMYFUNCTION("""COMPUTED_VALUE"""),10.0)</f>
        <v>10</v>
      </c>
      <c r="D816" s="2" t="str">
        <f>IFERROR(__xludf.DUMMYFUNCTION("""COMPUTED_VALUE"""),"AGRANI BANK LTD.")</f>
        <v>AGRANI BANK LTD.</v>
      </c>
      <c r="E816" s="2" t="str">
        <f>IFERROR(__xludf.DUMMYFUNCTION("""COMPUTED_VALUE"""),"RANGAMATI")</f>
        <v>RANGAMATI</v>
      </c>
      <c r="F816" s="3">
        <f>IFERROR(__xludf.DUMMYFUNCTION("""COMPUTED_VALUE"""),52.0)</f>
        <v>52</v>
      </c>
      <c r="G816" s="5">
        <f>IFERROR(__xludf.DUMMYFUNCTION("""COMPUTED_VALUE"""),1.0840526E7)</f>
        <v>10840526</v>
      </c>
    </row>
    <row r="817">
      <c r="A817" s="3">
        <f>IFERROR(__xludf.DUMMYFUNCTION("""COMPUTED_VALUE"""),785.0)</f>
        <v>785</v>
      </c>
      <c r="B817" s="2" t="str">
        <f>IFERROR(__xludf.DUMMYFUNCTION("""COMPUTED_VALUE"""),"RANGPUR")</f>
        <v>RANGPUR</v>
      </c>
      <c r="C817" s="4">
        <f>IFERROR(__xludf.DUMMYFUNCTION("""COMPUTED_VALUE"""),10.0)</f>
        <v>10</v>
      </c>
      <c r="D817" s="2" t="str">
        <f>IFERROR(__xludf.DUMMYFUNCTION("""COMPUTED_VALUE"""),"AGRANI BANK LTD.")</f>
        <v>AGRANI BANK LTD.</v>
      </c>
      <c r="E817" s="2" t="str">
        <f>IFERROR(__xludf.DUMMYFUNCTION("""COMPUTED_VALUE"""),"ALAM NAGAR")</f>
        <v>ALAM NAGAR</v>
      </c>
      <c r="F817" s="3">
        <f>IFERROR(__xludf.DUMMYFUNCTION("""COMPUTED_VALUE"""),4.0)</f>
        <v>4</v>
      </c>
      <c r="G817" s="5">
        <f>IFERROR(__xludf.DUMMYFUNCTION("""COMPUTED_VALUE"""),1.085004E7)</f>
        <v>10850040</v>
      </c>
    </row>
    <row r="818">
      <c r="A818" s="3">
        <f>IFERROR(__xludf.DUMMYFUNCTION("""COMPUTED_VALUE"""),785.0)</f>
        <v>785</v>
      </c>
      <c r="B818" s="2" t="str">
        <f>IFERROR(__xludf.DUMMYFUNCTION("""COMPUTED_VALUE"""),"RANGPUR")</f>
        <v>RANGPUR</v>
      </c>
      <c r="C818" s="4">
        <f>IFERROR(__xludf.DUMMYFUNCTION("""COMPUTED_VALUE"""),10.0)</f>
        <v>10</v>
      </c>
      <c r="D818" s="2" t="str">
        <f>IFERROR(__xludf.DUMMYFUNCTION("""COMPUTED_VALUE"""),"AGRANI BANK LTD.")</f>
        <v>AGRANI BANK LTD.</v>
      </c>
      <c r="E818" s="2" t="str">
        <f>IFERROR(__xludf.DUMMYFUNCTION("""COMPUTED_VALUE"""),"BADARGANJ")</f>
        <v>BADARGANJ</v>
      </c>
      <c r="F818" s="3">
        <f>IFERROR(__xludf.DUMMYFUNCTION("""COMPUTED_VALUE"""),10.0)</f>
        <v>10</v>
      </c>
      <c r="G818" s="5">
        <f>IFERROR(__xludf.DUMMYFUNCTION("""COMPUTED_VALUE"""),1.0850103E7)</f>
        <v>10850103</v>
      </c>
    </row>
    <row r="819">
      <c r="A819" s="3">
        <f>IFERROR(__xludf.DUMMYFUNCTION("""COMPUTED_VALUE"""),785.0)</f>
        <v>785</v>
      </c>
      <c r="B819" s="2" t="str">
        <f>IFERROR(__xludf.DUMMYFUNCTION("""COMPUTED_VALUE"""),"RANGPUR")</f>
        <v>RANGPUR</v>
      </c>
      <c r="C819" s="4">
        <f>IFERROR(__xludf.DUMMYFUNCTION("""COMPUTED_VALUE"""),10.0)</f>
        <v>10</v>
      </c>
      <c r="D819" s="2" t="str">
        <f>IFERROR(__xludf.DUMMYFUNCTION("""COMPUTED_VALUE"""),"AGRANI BANK LTD.")</f>
        <v>AGRANI BANK LTD.</v>
      </c>
      <c r="E819" s="2" t="str">
        <f>IFERROR(__xludf.DUMMYFUNCTION("""COMPUTED_VALUE"""),"CADET COLLEGE")</f>
        <v>CADET COLLEGE</v>
      </c>
      <c r="F819" s="3">
        <f>IFERROR(__xludf.DUMMYFUNCTION("""COMPUTED_VALUE"""),31.0)</f>
        <v>31</v>
      </c>
      <c r="G819" s="5">
        <f>IFERROR(__xludf.DUMMYFUNCTION("""COMPUTED_VALUE"""),1.0850316E7)</f>
        <v>10850316</v>
      </c>
    </row>
    <row r="820">
      <c r="A820" s="3">
        <f>IFERROR(__xludf.DUMMYFUNCTION("""COMPUTED_VALUE"""),785.0)</f>
        <v>785</v>
      </c>
      <c r="B820" s="2" t="str">
        <f>IFERROR(__xludf.DUMMYFUNCTION("""COMPUTED_VALUE"""),"RANGPUR")</f>
        <v>RANGPUR</v>
      </c>
      <c r="C820" s="4">
        <f>IFERROR(__xludf.DUMMYFUNCTION("""COMPUTED_VALUE"""),10.0)</f>
        <v>10</v>
      </c>
      <c r="D820" s="2" t="str">
        <f>IFERROR(__xludf.DUMMYFUNCTION("""COMPUTED_VALUE"""),"AGRANI BANK LTD.")</f>
        <v>AGRANI BANK LTD.</v>
      </c>
      <c r="E820" s="2" t="str">
        <f>IFERROR(__xludf.DUMMYFUNCTION("""COMPUTED_VALUE"""),"CENTRAL ROAD")</f>
        <v>CENTRAL ROAD</v>
      </c>
      <c r="F820" s="3">
        <f>IFERROR(__xludf.DUMMYFUNCTION("""COMPUTED_VALUE"""),34.0)</f>
        <v>34</v>
      </c>
      <c r="G820" s="5">
        <f>IFERROR(__xludf.DUMMYFUNCTION("""COMPUTED_VALUE"""),1.0850345E7)</f>
        <v>10850345</v>
      </c>
    </row>
    <row r="821">
      <c r="A821" s="3">
        <f>IFERROR(__xludf.DUMMYFUNCTION("""COMPUTED_VALUE"""),785.0)</f>
        <v>785</v>
      </c>
      <c r="B821" s="2" t="str">
        <f>IFERROR(__xludf.DUMMYFUNCTION("""COMPUTED_VALUE"""),"RANGPUR")</f>
        <v>RANGPUR</v>
      </c>
      <c r="C821" s="4">
        <f>IFERROR(__xludf.DUMMYFUNCTION("""COMPUTED_VALUE"""),10.0)</f>
        <v>10</v>
      </c>
      <c r="D821" s="2" t="str">
        <f>IFERROR(__xludf.DUMMYFUNCTION("""COMPUTED_VALUE"""),"AGRANI BANK LTD.")</f>
        <v>AGRANI BANK LTD.</v>
      </c>
      <c r="E821" s="2" t="str">
        <f>IFERROR(__xludf.DUMMYFUNCTION("""COMPUTED_VALUE"""),"MEDICAL COLLEGE")</f>
        <v>MEDICAL COLLEGE</v>
      </c>
      <c r="F821" s="3">
        <f>IFERROR(__xludf.DUMMYFUNCTION("""COMPUTED_VALUE"""),103.0)</f>
        <v>103</v>
      </c>
      <c r="G821" s="5">
        <f>IFERROR(__xludf.DUMMYFUNCTION("""COMPUTED_VALUE"""),1.0851036E7)</f>
        <v>10851036</v>
      </c>
    </row>
    <row r="822">
      <c r="A822" s="3">
        <f>IFERROR(__xludf.DUMMYFUNCTION("""COMPUTED_VALUE"""),785.0)</f>
        <v>785</v>
      </c>
      <c r="B822" s="2" t="str">
        <f>IFERROR(__xludf.DUMMYFUNCTION("""COMPUTED_VALUE"""),"RANGPUR")</f>
        <v>RANGPUR</v>
      </c>
      <c r="C822" s="4">
        <f>IFERROR(__xludf.DUMMYFUNCTION("""COMPUTED_VALUE"""),10.0)</f>
        <v>10</v>
      </c>
      <c r="D822" s="2" t="str">
        <f>IFERROR(__xludf.DUMMYFUNCTION("""COMPUTED_VALUE"""),"AGRANI BANK LTD.")</f>
        <v>AGRANI BANK LTD.</v>
      </c>
      <c r="E822" s="2" t="str">
        <f>IFERROR(__xludf.DUMMYFUNCTION("""COMPUTED_VALUE"""),"NEKMAMUDHAT")</f>
        <v>NEKMAMUDHAT</v>
      </c>
      <c r="F822" s="3">
        <f>IFERROR(__xludf.DUMMYFUNCTION("""COMPUTED_VALUE"""),118.0)</f>
        <v>118</v>
      </c>
      <c r="G822" s="5">
        <f>IFERROR(__xludf.DUMMYFUNCTION("""COMPUTED_VALUE"""),1.0851186E7)</f>
        <v>10851186</v>
      </c>
    </row>
    <row r="823">
      <c r="A823" s="3">
        <f>IFERROR(__xludf.DUMMYFUNCTION("""COMPUTED_VALUE"""),785.0)</f>
        <v>785</v>
      </c>
      <c r="B823" s="2" t="str">
        <f>IFERROR(__xludf.DUMMYFUNCTION("""COMPUTED_VALUE"""),"RANGPUR")</f>
        <v>RANGPUR</v>
      </c>
      <c r="C823" s="4">
        <f>IFERROR(__xludf.DUMMYFUNCTION("""COMPUTED_VALUE"""),10.0)</f>
        <v>10</v>
      </c>
      <c r="D823" s="2" t="str">
        <f>IFERROR(__xludf.DUMMYFUNCTION("""COMPUTED_VALUE"""),"AGRANI BANK LTD.")</f>
        <v>AGRANI BANK LTD.</v>
      </c>
      <c r="E823" s="2" t="str">
        <f>IFERROR(__xludf.DUMMYFUNCTION("""COMPUTED_VALUE"""),"PAWTANAHAT")</f>
        <v>PAWTANAHAT</v>
      </c>
      <c r="F823" s="3">
        <f>IFERROR(__xludf.DUMMYFUNCTION("""COMPUTED_VALUE"""),130.0)</f>
        <v>130</v>
      </c>
      <c r="G823" s="5">
        <f>IFERROR(__xludf.DUMMYFUNCTION("""COMPUTED_VALUE"""),1.0851302E7)</f>
        <v>10851302</v>
      </c>
    </row>
    <row r="824">
      <c r="A824" s="3">
        <f>IFERROR(__xludf.DUMMYFUNCTION("""COMPUTED_VALUE"""),785.0)</f>
        <v>785</v>
      </c>
      <c r="B824" s="2" t="str">
        <f>IFERROR(__xludf.DUMMYFUNCTION("""COMPUTED_VALUE"""),"RANGPUR")</f>
        <v>RANGPUR</v>
      </c>
      <c r="C824" s="4">
        <f>IFERROR(__xludf.DUMMYFUNCTION("""COMPUTED_VALUE"""),10.0)</f>
        <v>10</v>
      </c>
      <c r="D824" s="2" t="str">
        <f>IFERROR(__xludf.DUMMYFUNCTION("""COMPUTED_VALUE"""),"AGRANI BANK LTD.")</f>
        <v>AGRANI BANK LTD.</v>
      </c>
      <c r="E824" s="2" t="str">
        <f>IFERROR(__xludf.DUMMYFUNCTION("""COMPUTED_VALUE"""),"PIRGACHA")</f>
        <v>PIRGACHA</v>
      </c>
      <c r="F824" s="3">
        <f>IFERROR(__xludf.DUMMYFUNCTION("""COMPUTED_VALUE"""),133.0)</f>
        <v>133</v>
      </c>
      <c r="G824" s="5">
        <f>IFERROR(__xludf.DUMMYFUNCTION("""COMPUTED_VALUE"""),1.0851331E7)</f>
        <v>10851331</v>
      </c>
    </row>
    <row r="825">
      <c r="A825" s="3">
        <f>IFERROR(__xludf.DUMMYFUNCTION("""COMPUTED_VALUE"""),785.0)</f>
        <v>785</v>
      </c>
      <c r="B825" s="2" t="str">
        <f>IFERROR(__xludf.DUMMYFUNCTION("""COMPUTED_VALUE"""),"RANGPUR")</f>
        <v>RANGPUR</v>
      </c>
      <c r="C825" s="4">
        <f>IFERROR(__xludf.DUMMYFUNCTION("""COMPUTED_VALUE"""),10.0)</f>
        <v>10</v>
      </c>
      <c r="D825" s="2" t="str">
        <f>IFERROR(__xludf.DUMMYFUNCTION("""COMPUTED_VALUE"""),"AGRANI BANK LTD.")</f>
        <v>AGRANI BANK LTD.</v>
      </c>
      <c r="E825" s="2" t="str">
        <f>IFERROR(__xludf.DUMMYFUNCTION("""COMPUTED_VALUE"""),"RANGPUR")</f>
        <v>RANGPUR</v>
      </c>
      <c r="F825" s="3">
        <f>IFERROR(__xludf.DUMMYFUNCTION("""COMPUTED_VALUE"""),145.0)</f>
        <v>145</v>
      </c>
      <c r="G825" s="5">
        <f>IFERROR(__xludf.DUMMYFUNCTION("""COMPUTED_VALUE"""),1.0851452E7)</f>
        <v>10851452</v>
      </c>
    </row>
    <row r="826">
      <c r="A826" s="3">
        <f>IFERROR(__xludf.DUMMYFUNCTION("""COMPUTED_VALUE"""),785.0)</f>
        <v>785</v>
      </c>
      <c r="B826" s="2" t="str">
        <f>IFERROR(__xludf.DUMMYFUNCTION("""COMPUTED_VALUE"""),"RANGPUR")</f>
        <v>RANGPUR</v>
      </c>
      <c r="C826" s="4">
        <f>IFERROR(__xludf.DUMMYFUNCTION("""COMPUTED_VALUE"""),10.0)</f>
        <v>10</v>
      </c>
      <c r="D826" s="2" t="str">
        <f>IFERROR(__xludf.DUMMYFUNCTION("""COMPUTED_VALUE"""),"AGRANI BANK LTD.")</f>
        <v>AGRANI BANK LTD.</v>
      </c>
      <c r="E826" s="2" t="str">
        <f>IFERROR(__xludf.DUMMYFUNCTION("""COMPUTED_VALUE"""),"SHAKER HAT")</f>
        <v>SHAKER HAT</v>
      </c>
      <c r="F826" s="3">
        <f>IFERROR(__xludf.DUMMYFUNCTION("""COMPUTED_VALUE"""),166.0)</f>
        <v>166</v>
      </c>
      <c r="G826" s="5">
        <f>IFERROR(__xludf.DUMMYFUNCTION("""COMPUTED_VALUE"""),1.0851665E7)</f>
        <v>10851665</v>
      </c>
    </row>
    <row r="827">
      <c r="A827" s="3">
        <f>IFERROR(__xludf.DUMMYFUNCTION("""COMPUTED_VALUE"""),785.0)</f>
        <v>785</v>
      </c>
      <c r="B827" s="2" t="str">
        <f>IFERROR(__xludf.DUMMYFUNCTION("""COMPUTED_VALUE"""),"RANGPUR")</f>
        <v>RANGPUR</v>
      </c>
      <c r="C827" s="4">
        <f>IFERROR(__xludf.DUMMYFUNCTION("""COMPUTED_VALUE"""),10.0)</f>
        <v>10</v>
      </c>
      <c r="D827" s="2" t="str">
        <f>IFERROR(__xludf.DUMMYFUNCTION("""COMPUTED_VALUE"""),"AGRANI BANK LTD.")</f>
        <v>AGRANI BANK LTD.</v>
      </c>
      <c r="E827" s="2" t="str">
        <f>IFERROR(__xludf.DUMMYFUNCTION("""COMPUTED_VALUE"""),"SHANERHAT")</f>
        <v>SHANERHAT</v>
      </c>
      <c r="F827" s="3">
        <f>IFERROR(__xludf.DUMMYFUNCTION("""COMPUTED_VALUE"""),172.0)</f>
        <v>172</v>
      </c>
      <c r="G827" s="5">
        <f>IFERROR(__xludf.DUMMYFUNCTION("""COMPUTED_VALUE"""),1.0851728E7)</f>
        <v>10851728</v>
      </c>
    </row>
    <row r="828">
      <c r="A828" s="3">
        <f>IFERROR(__xludf.DUMMYFUNCTION("""COMPUTED_VALUE"""),785.0)</f>
        <v>785</v>
      </c>
      <c r="B828" s="2" t="str">
        <f>IFERROR(__xludf.DUMMYFUNCTION("""COMPUTED_VALUE"""),"RANGPUR")</f>
        <v>RANGPUR</v>
      </c>
      <c r="C828" s="4">
        <f>IFERROR(__xludf.DUMMYFUNCTION("""COMPUTED_VALUE"""),10.0)</f>
        <v>10</v>
      </c>
      <c r="D828" s="2" t="str">
        <f>IFERROR(__xludf.DUMMYFUNCTION("""COMPUTED_VALUE"""),"AGRANI BANK LTD.")</f>
        <v>AGRANI BANK LTD.</v>
      </c>
      <c r="E828" s="2" t="str">
        <f>IFERROR(__xludf.DUMMYFUNCTION("""COMPUTED_VALUE"""),"TARAGANJ")</f>
        <v>TARAGANJ</v>
      </c>
      <c r="F828" s="3">
        <f>IFERROR(__xludf.DUMMYFUNCTION("""COMPUTED_VALUE"""),193.0)</f>
        <v>193</v>
      </c>
      <c r="G828" s="5">
        <f>IFERROR(__xludf.DUMMYFUNCTION("""COMPUTED_VALUE"""),1.0851931E7)</f>
        <v>10851931</v>
      </c>
    </row>
    <row r="829">
      <c r="A829" s="3">
        <f>IFERROR(__xludf.DUMMYFUNCTION("""COMPUTED_VALUE"""),386.0)</f>
        <v>386</v>
      </c>
      <c r="B829" s="2" t="str">
        <f>IFERROR(__xludf.DUMMYFUNCTION("""COMPUTED_VALUE"""),"SHARIATPUR")</f>
        <v>SHARIATPUR</v>
      </c>
      <c r="C829" s="4">
        <f>IFERROR(__xludf.DUMMYFUNCTION("""COMPUTED_VALUE"""),10.0)</f>
        <v>10</v>
      </c>
      <c r="D829" s="2" t="str">
        <f>IFERROR(__xludf.DUMMYFUNCTION("""COMPUTED_VALUE"""),"AGRANI BANK LTD.")</f>
        <v>AGRANI BANK LTD.</v>
      </c>
      <c r="E829" s="2" t="str">
        <f>IFERROR(__xludf.DUMMYFUNCTION("""COMPUTED_VALUE"""),"DAMUDYA")</f>
        <v>DAMUDYA</v>
      </c>
      <c r="F829" s="3">
        <f>IFERROR(__xludf.DUMMYFUNCTION("""COMPUTED_VALUE"""),19.0)</f>
        <v>19</v>
      </c>
      <c r="G829" s="5">
        <f>IFERROR(__xludf.DUMMYFUNCTION("""COMPUTED_VALUE"""),1.0860193E7)</f>
        <v>10860193</v>
      </c>
    </row>
    <row r="830">
      <c r="A830" s="3">
        <f>IFERROR(__xludf.DUMMYFUNCTION("""COMPUTED_VALUE"""),386.0)</f>
        <v>386</v>
      </c>
      <c r="B830" s="2" t="str">
        <f>IFERROR(__xludf.DUMMYFUNCTION("""COMPUTED_VALUE"""),"SHARIATPUR")</f>
        <v>SHARIATPUR</v>
      </c>
      <c r="C830" s="4">
        <f>IFERROR(__xludf.DUMMYFUNCTION("""COMPUTED_VALUE"""),10.0)</f>
        <v>10</v>
      </c>
      <c r="D830" s="2" t="str">
        <f>IFERROR(__xludf.DUMMYFUNCTION("""COMPUTED_VALUE"""),"AGRANI BANK LTD.")</f>
        <v>AGRANI BANK LTD.</v>
      </c>
      <c r="E830" s="2" t="str">
        <f>IFERROR(__xludf.DUMMYFUNCTION("""COMPUTED_VALUE"""),"MULFATGANJ")</f>
        <v>MULFATGANJ</v>
      </c>
      <c r="F830" s="3">
        <f>IFERROR(__xludf.DUMMYFUNCTION("""COMPUTED_VALUE"""),52.0)</f>
        <v>52</v>
      </c>
      <c r="G830" s="5">
        <f>IFERROR(__xludf.DUMMYFUNCTION("""COMPUTED_VALUE"""),1.0860522E7)</f>
        <v>10860522</v>
      </c>
    </row>
    <row r="831">
      <c r="A831" s="3">
        <f>IFERROR(__xludf.DUMMYFUNCTION("""COMPUTED_VALUE"""),386.0)</f>
        <v>386</v>
      </c>
      <c r="B831" s="2" t="str">
        <f>IFERROR(__xludf.DUMMYFUNCTION("""COMPUTED_VALUE"""),"SHARIATPUR")</f>
        <v>SHARIATPUR</v>
      </c>
      <c r="C831" s="4">
        <f>IFERROR(__xludf.DUMMYFUNCTION("""COMPUTED_VALUE"""),10.0)</f>
        <v>10</v>
      </c>
      <c r="D831" s="2" t="str">
        <f>IFERROR(__xludf.DUMMYFUNCTION("""COMPUTED_VALUE"""),"AGRANI BANK LTD.")</f>
        <v>AGRANI BANK LTD.</v>
      </c>
      <c r="E831" s="2" t="str">
        <f>IFERROR(__xludf.DUMMYFUNCTION("""COMPUTED_VALUE"""),"NARIA")</f>
        <v>NARIA</v>
      </c>
      <c r="F831" s="3">
        <f>IFERROR(__xludf.DUMMYFUNCTION("""COMPUTED_VALUE"""),58.0)</f>
        <v>58</v>
      </c>
      <c r="G831" s="5">
        <f>IFERROR(__xludf.DUMMYFUNCTION("""COMPUTED_VALUE"""),1.086058E7)</f>
        <v>10860580</v>
      </c>
    </row>
    <row r="832">
      <c r="A832" s="3">
        <f>IFERROR(__xludf.DUMMYFUNCTION("""COMPUTED_VALUE"""),386.0)</f>
        <v>386</v>
      </c>
      <c r="B832" s="2" t="str">
        <f>IFERROR(__xludf.DUMMYFUNCTION("""COMPUTED_VALUE"""),"SHARIATPUR")</f>
        <v>SHARIATPUR</v>
      </c>
      <c r="C832" s="4">
        <f>IFERROR(__xludf.DUMMYFUNCTION("""COMPUTED_VALUE"""),10.0)</f>
        <v>10</v>
      </c>
      <c r="D832" s="2" t="str">
        <f>IFERROR(__xludf.DUMMYFUNCTION("""COMPUTED_VALUE"""),"AGRANI BANK LTD.")</f>
        <v>AGRANI BANK LTD.</v>
      </c>
      <c r="E832" s="2" t="str">
        <f>IFERROR(__xludf.DUMMYFUNCTION("""COMPUTED_VALUE"""),"SHARIATPUR")</f>
        <v>SHARIATPUR</v>
      </c>
      <c r="F832" s="3">
        <f>IFERROR(__xludf.DUMMYFUNCTION("""COMPUTED_VALUE"""),67.0)</f>
        <v>67</v>
      </c>
      <c r="G832" s="5">
        <f>IFERROR(__xludf.DUMMYFUNCTION("""COMPUTED_VALUE"""),1.0860672E7)</f>
        <v>10860672</v>
      </c>
    </row>
    <row r="833">
      <c r="A833" s="3">
        <f>IFERROR(__xludf.DUMMYFUNCTION("""COMPUTED_VALUE"""),386.0)</f>
        <v>386</v>
      </c>
      <c r="B833" s="2" t="str">
        <f>IFERROR(__xludf.DUMMYFUNCTION("""COMPUTED_VALUE"""),"SHARIATPUR")</f>
        <v>SHARIATPUR</v>
      </c>
      <c r="C833" s="4">
        <f>IFERROR(__xludf.DUMMYFUNCTION("""COMPUTED_VALUE"""),10.0)</f>
        <v>10</v>
      </c>
      <c r="D833" s="2" t="str">
        <f>IFERROR(__xludf.DUMMYFUNCTION("""COMPUTED_VALUE"""),"AGRANI BANK LTD.")</f>
        <v>AGRANI BANK LTD.</v>
      </c>
      <c r="E833" s="2" t="str">
        <f>IFERROR(__xludf.DUMMYFUNCTION("""COMPUTED_VALUE"""),"ZAJIRA")</f>
        <v>ZAJIRA</v>
      </c>
      <c r="F833" s="4">
        <f>IFERROR(__xludf.DUMMYFUNCTION("""COMPUTED_VALUE"""),70.0)</f>
        <v>70</v>
      </c>
      <c r="G833" s="5">
        <f>IFERROR(__xludf.DUMMYFUNCTION("""COMPUTED_VALUE"""),1.0860706E7)</f>
        <v>10860706</v>
      </c>
    </row>
    <row r="834">
      <c r="A834" s="3">
        <f>IFERROR(__xludf.DUMMYFUNCTION("""COMPUTED_VALUE"""),487.0)</f>
        <v>487</v>
      </c>
      <c r="B834" s="2" t="str">
        <f>IFERROR(__xludf.DUMMYFUNCTION("""COMPUTED_VALUE"""),"SATKHIRA")</f>
        <v>SATKHIRA</v>
      </c>
      <c r="C834" s="4">
        <f>IFERROR(__xludf.DUMMYFUNCTION("""COMPUTED_VALUE"""),10.0)</f>
        <v>10</v>
      </c>
      <c r="D834" s="2" t="str">
        <f>IFERROR(__xludf.DUMMYFUNCTION("""COMPUTED_VALUE"""),"AGRANI BANK LTD.")</f>
        <v>AGRANI BANK LTD.</v>
      </c>
      <c r="E834" s="2" t="str">
        <f>IFERROR(__xludf.DUMMYFUNCTION("""COMPUTED_VALUE"""),"BANGSHIPUR  BUS STAND")</f>
        <v>BANGSHIPUR  BUS STAND</v>
      </c>
      <c r="F834" s="4">
        <f>IFERROR(__xludf.DUMMYFUNCTION("""COMPUTED_VALUE"""),16.0)</f>
        <v>16</v>
      </c>
      <c r="G834" s="5">
        <f>IFERROR(__xludf.DUMMYFUNCTION("""COMPUTED_VALUE"""),1.0870167E7)</f>
        <v>10870167</v>
      </c>
    </row>
    <row r="835">
      <c r="A835" s="3">
        <f>IFERROR(__xludf.DUMMYFUNCTION("""COMPUTED_VALUE"""),487.0)</f>
        <v>487</v>
      </c>
      <c r="B835" s="2" t="str">
        <f>IFERROR(__xludf.DUMMYFUNCTION("""COMPUTED_VALUE"""),"SATKHIRA")</f>
        <v>SATKHIRA</v>
      </c>
      <c r="C835" s="4">
        <f>IFERROR(__xludf.DUMMYFUNCTION("""COMPUTED_VALUE"""),10.0)</f>
        <v>10</v>
      </c>
      <c r="D835" s="2" t="str">
        <f>IFERROR(__xludf.DUMMYFUNCTION("""COMPUTED_VALUE"""),"AGRANI BANK LTD.")</f>
        <v>AGRANI BANK LTD.</v>
      </c>
      <c r="E835" s="2" t="str">
        <f>IFERROR(__xludf.DUMMYFUNCTION("""COMPUTED_VALUE"""),"BHETKHALI")</f>
        <v>BHETKHALI</v>
      </c>
      <c r="F835" s="4">
        <f>IFERROR(__xludf.DUMMYFUNCTION("""COMPUTED_VALUE"""),25.0)</f>
        <v>25</v>
      </c>
      <c r="G835" s="5">
        <f>IFERROR(__xludf.DUMMYFUNCTION("""COMPUTED_VALUE"""),1.0870259E7)</f>
        <v>10870259</v>
      </c>
    </row>
    <row r="836">
      <c r="A836" s="3">
        <f>IFERROR(__xludf.DUMMYFUNCTION("""COMPUTED_VALUE"""),487.0)</f>
        <v>487</v>
      </c>
      <c r="B836" s="2" t="str">
        <f>IFERROR(__xludf.DUMMYFUNCTION("""COMPUTED_VALUE"""),"SATKHIRA")</f>
        <v>SATKHIRA</v>
      </c>
      <c r="C836" s="4">
        <f>IFERROR(__xludf.DUMMYFUNCTION("""COMPUTED_VALUE"""),10.0)</f>
        <v>10</v>
      </c>
      <c r="D836" s="2" t="str">
        <f>IFERROR(__xludf.DUMMYFUNCTION("""COMPUTED_VALUE"""),"AGRANI BANK LTD.")</f>
        <v>AGRANI BANK LTD.</v>
      </c>
      <c r="E836" s="2" t="str">
        <f>IFERROR(__xludf.DUMMYFUNCTION("""COMPUTED_VALUE"""),"DEBHATA")</f>
        <v>DEBHATA</v>
      </c>
      <c r="F836" s="4">
        <f>IFERROR(__xludf.DUMMYFUNCTION("""COMPUTED_VALUE"""),37.0)</f>
        <v>37</v>
      </c>
      <c r="G836" s="5">
        <f>IFERROR(__xludf.DUMMYFUNCTION("""COMPUTED_VALUE"""),1.087037E7)</f>
        <v>10870370</v>
      </c>
    </row>
    <row r="837">
      <c r="A837" s="3">
        <f>IFERROR(__xludf.DUMMYFUNCTION("""COMPUTED_VALUE"""),487.0)</f>
        <v>487</v>
      </c>
      <c r="B837" s="2" t="str">
        <f>IFERROR(__xludf.DUMMYFUNCTION("""COMPUTED_VALUE"""),"SATKHIRA")</f>
        <v>SATKHIRA</v>
      </c>
      <c r="C837" s="4">
        <f>IFERROR(__xludf.DUMMYFUNCTION("""COMPUTED_VALUE"""),10.0)</f>
        <v>10</v>
      </c>
      <c r="D837" s="2" t="str">
        <f>IFERROR(__xludf.DUMMYFUNCTION("""COMPUTED_VALUE"""),"AGRANI BANK LTD.")</f>
        <v>AGRANI BANK LTD.</v>
      </c>
      <c r="E837" s="2" t="str">
        <f>IFERROR(__xludf.DUMMYFUNCTION("""COMPUTED_VALUE"""),"GAZIRHAT")</f>
        <v>GAZIRHAT</v>
      </c>
      <c r="F837" s="4">
        <f>IFERROR(__xludf.DUMMYFUNCTION("""COMPUTED_VALUE"""),43.0)</f>
        <v>43</v>
      </c>
      <c r="G837" s="5">
        <f>IFERROR(__xludf.DUMMYFUNCTION("""COMPUTED_VALUE"""),1.0870433E7)</f>
        <v>10870433</v>
      </c>
    </row>
    <row r="838">
      <c r="A838" s="3">
        <f>IFERROR(__xludf.DUMMYFUNCTION("""COMPUTED_VALUE"""),487.0)</f>
        <v>487</v>
      </c>
      <c r="B838" s="2" t="str">
        <f>IFERROR(__xludf.DUMMYFUNCTION("""COMPUTED_VALUE"""),"SATKHIRA")</f>
        <v>SATKHIRA</v>
      </c>
      <c r="C838" s="4">
        <f>IFERROR(__xludf.DUMMYFUNCTION("""COMPUTED_VALUE"""),10.0)</f>
        <v>10</v>
      </c>
      <c r="D838" s="2" t="str">
        <f>IFERROR(__xludf.DUMMYFUNCTION("""COMPUTED_VALUE"""),"AGRANI BANK LTD.")</f>
        <v>AGRANI BANK LTD.</v>
      </c>
      <c r="E838" s="2" t="str">
        <f>IFERROR(__xludf.DUMMYFUNCTION("""COMPUTED_VALUE"""),"MOUTALA")</f>
        <v>MOUTALA</v>
      </c>
      <c r="F838" s="4">
        <f>IFERROR(__xludf.DUMMYFUNCTION("""COMPUTED_VALUE"""),85.0)</f>
        <v>85</v>
      </c>
      <c r="G838" s="5">
        <f>IFERROR(__xludf.DUMMYFUNCTION("""COMPUTED_VALUE"""),1.0870859E7)</f>
        <v>10870859</v>
      </c>
    </row>
    <row r="839">
      <c r="A839" s="3">
        <f>IFERROR(__xludf.DUMMYFUNCTION("""COMPUTED_VALUE"""),487.0)</f>
        <v>487</v>
      </c>
      <c r="B839" s="2" t="str">
        <f>IFERROR(__xludf.DUMMYFUNCTION("""COMPUTED_VALUE"""),"SATKHIRA")</f>
        <v>SATKHIRA</v>
      </c>
      <c r="C839" s="4">
        <f>IFERROR(__xludf.DUMMYFUNCTION("""COMPUTED_VALUE"""),10.0)</f>
        <v>10</v>
      </c>
      <c r="D839" s="2" t="str">
        <f>IFERROR(__xludf.DUMMYFUNCTION("""COMPUTED_VALUE"""),"AGRANI BANK LTD.")</f>
        <v>AGRANI BANK LTD.</v>
      </c>
      <c r="E839" s="2" t="str">
        <f>IFERROR(__xludf.DUMMYFUNCTION("""COMPUTED_VALUE"""),"MUNSHIGANJ BAZAR")</f>
        <v>MUNSHIGANJ BAZAR</v>
      </c>
      <c r="F839" s="4">
        <f>IFERROR(__xludf.DUMMYFUNCTION("""COMPUTED_VALUE"""),88.0)</f>
        <v>88</v>
      </c>
      <c r="G839" s="5">
        <f>IFERROR(__xludf.DUMMYFUNCTION("""COMPUTED_VALUE"""),1.0870888E7)</f>
        <v>10870888</v>
      </c>
    </row>
    <row r="840">
      <c r="A840" s="3">
        <f>IFERROR(__xludf.DUMMYFUNCTION("""COMPUTED_VALUE"""),487.0)</f>
        <v>487</v>
      </c>
      <c r="B840" s="2" t="str">
        <f>IFERROR(__xludf.DUMMYFUNCTION("""COMPUTED_VALUE"""),"SATKHIRA")</f>
        <v>SATKHIRA</v>
      </c>
      <c r="C840" s="4">
        <f>IFERROR(__xludf.DUMMYFUNCTION("""COMPUTED_VALUE"""),10.0)</f>
        <v>10</v>
      </c>
      <c r="D840" s="2" t="str">
        <f>IFERROR(__xludf.DUMMYFUNCTION("""COMPUTED_VALUE"""),"AGRANI BANK LTD.")</f>
        <v>AGRANI BANK LTD.</v>
      </c>
      <c r="E840" s="2" t="str">
        <f>IFERROR(__xludf.DUMMYFUNCTION("""COMPUTED_VALUE"""),"PATKELGHATA")</f>
        <v>PATKELGHATA</v>
      </c>
      <c r="F840" s="4">
        <f>IFERROR(__xludf.DUMMYFUNCTION("""COMPUTED_VALUE"""),103.0)</f>
        <v>103</v>
      </c>
      <c r="G840" s="5">
        <f>IFERROR(__xludf.DUMMYFUNCTION("""COMPUTED_VALUE"""),1.0871032E7)</f>
        <v>10871032</v>
      </c>
    </row>
    <row r="841">
      <c r="A841" s="3">
        <f>IFERROR(__xludf.DUMMYFUNCTION("""COMPUTED_VALUE"""),487.0)</f>
        <v>487</v>
      </c>
      <c r="B841" s="2" t="str">
        <f>IFERROR(__xludf.DUMMYFUNCTION("""COMPUTED_VALUE"""),"SATKHIRA")</f>
        <v>SATKHIRA</v>
      </c>
      <c r="C841" s="4">
        <f>IFERROR(__xludf.DUMMYFUNCTION("""COMPUTED_VALUE"""),10.0)</f>
        <v>10</v>
      </c>
      <c r="D841" s="2" t="str">
        <f>IFERROR(__xludf.DUMMYFUNCTION("""COMPUTED_VALUE"""),"AGRANI BANK LTD.")</f>
        <v>AGRANI BANK LTD.</v>
      </c>
      <c r="E841" s="2" t="str">
        <f>IFERROR(__xludf.DUMMYFUNCTION("""COMPUTED_VALUE"""),"SATKHIRA")</f>
        <v>SATKHIRA</v>
      </c>
      <c r="F841" s="4">
        <f>IFERROR(__xludf.DUMMYFUNCTION("""COMPUTED_VALUE"""),109.0)</f>
        <v>109</v>
      </c>
      <c r="G841" s="5">
        <f>IFERROR(__xludf.DUMMYFUNCTION("""COMPUTED_VALUE"""),1.087109E7)</f>
        <v>10871090</v>
      </c>
    </row>
    <row r="842">
      <c r="A842" s="3">
        <f>IFERROR(__xludf.DUMMYFUNCTION("""COMPUTED_VALUE"""),487.0)</f>
        <v>487</v>
      </c>
      <c r="B842" s="2" t="str">
        <f>IFERROR(__xludf.DUMMYFUNCTION("""COMPUTED_VALUE"""),"SATKHIRA")</f>
        <v>SATKHIRA</v>
      </c>
      <c r="C842" s="4">
        <f>IFERROR(__xludf.DUMMYFUNCTION("""COMPUTED_VALUE"""),10.0)</f>
        <v>10</v>
      </c>
      <c r="D842" s="2" t="str">
        <f>IFERROR(__xludf.DUMMYFUNCTION("""COMPUTED_VALUE"""),"AGRANI BANK LTD.")</f>
        <v>AGRANI BANK LTD.</v>
      </c>
      <c r="E842" s="2" t="str">
        <f>IFERROR(__xludf.DUMMYFUNCTION("""COMPUTED_VALUE"""),"SHYAM NAGAR")</f>
        <v>SHYAM NAGAR</v>
      </c>
      <c r="F842" s="4">
        <f>IFERROR(__xludf.DUMMYFUNCTION("""COMPUTED_VALUE"""),121.0)</f>
        <v>121</v>
      </c>
      <c r="G842" s="5">
        <f>IFERROR(__xludf.DUMMYFUNCTION("""COMPUTED_VALUE"""),1.0871216E7)</f>
        <v>10871216</v>
      </c>
    </row>
    <row r="843">
      <c r="A843" s="3">
        <f>IFERROR(__xludf.DUMMYFUNCTION("""COMPUTED_VALUE"""),487.0)</f>
        <v>487</v>
      </c>
      <c r="B843" s="2" t="str">
        <f>IFERROR(__xludf.DUMMYFUNCTION("""COMPUTED_VALUE"""),"SATKHIRA")</f>
        <v>SATKHIRA</v>
      </c>
      <c r="C843" s="4">
        <f>IFERROR(__xludf.DUMMYFUNCTION("""COMPUTED_VALUE"""),10.0)</f>
        <v>10</v>
      </c>
      <c r="D843" s="2" t="str">
        <f>IFERROR(__xludf.DUMMYFUNCTION("""COMPUTED_VALUE"""),"AGRANI BANK LTD.")</f>
        <v>AGRANI BANK LTD.</v>
      </c>
      <c r="E843" s="2" t="str">
        <f>IFERROR(__xludf.DUMMYFUNCTION("""COMPUTED_VALUE"""),"NOOR NAGAR")</f>
        <v>NOOR NAGAR</v>
      </c>
      <c r="F843" s="4">
        <f>IFERROR(__xludf.DUMMYFUNCTION("""COMPUTED_VALUE"""),203.0)</f>
        <v>203</v>
      </c>
      <c r="G843" s="5">
        <f>IFERROR(__xludf.DUMMYFUNCTION("""COMPUTED_VALUE"""),1.0872031E7)</f>
        <v>10872031</v>
      </c>
    </row>
    <row r="844">
      <c r="A844" s="3">
        <f>IFERROR(__xludf.DUMMYFUNCTION("""COMPUTED_VALUE"""),688.0)</f>
        <v>688</v>
      </c>
      <c r="B844" s="2" t="str">
        <f>IFERROR(__xludf.DUMMYFUNCTION("""COMPUTED_VALUE"""),"SIRAJGANJ")</f>
        <v>SIRAJGANJ</v>
      </c>
      <c r="C844" s="4">
        <f>IFERROR(__xludf.DUMMYFUNCTION("""COMPUTED_VALUE"""),10.0)</f>
        <v>10</v>
      </c>
      <c r="D844" s="2" t="str">
        <f>IFERROR(__xludf.DUMMYFUNCTION("""COMPUTED_VALUE"""),"AGRANI BANK LTD.")</f>
        <v>AGRANI BANK LTD.</v>
      </c>
      <c r="E844" s="2" t="str">
        <f>IFERROR(__xludf.DUMMYFUNCTION("""COMPUTED_VALUE"""),"BAHULI")</f>
        <v>BAHULI</v>
      </c>
      <c r="F844" s="4">
        <f>IFERROR(__xludf.DUMMYFUNCTION("""COMPUTED_VALUE"""),16.0)</f>
        <v>16</v>
      </c>
      <c r="G844" s="5">
        <f>IFERROR(__xludf.DUMMYFUNCTION("""COMPUTED_VALUE"""),1.088016E7)</f>
        <v>10880160</v>
      </c>
    </row>
    <row r="845">
      <c r="A845" s="3">
        <f>IFERROR(__xludf.DUMMYFUNCTION("""COMPUTED_VALUE"""),688.0)</f>
        <v>688</v>
      </c>
      <c r="B845" s="2" t="str">
        <f>IFERROR(__xludf.DUMMYFUNCTION("""COMPUTED_VALUE"""),"SIRAJGANJ")</f>
        <v>SIRAJGANJ</v>
      </c>
      <c r="C845" s="4">
        <f>IFERROR(__xludf.DUMMYFUNCTION("""COMPUTED_VALUE"""),10.0)</f>
        <v>10</v>
      </c>
      <c r="D845" s="2" t="str">
        <f>IFERROR(__xludf.DUMMYFUNCTION("""COMPUTED_VALUE"""),"AGRANI BANK LTD.")</f>
        <v>AGRANI BANK LTD.</v>
      </c>
      <c r="E845" s="2" t="str">
        <f>IFERROR(__xludf.DUMMYFUNCTION("""COMPUTED_VALUE"""),"BELTAIL")</f>
        <v>BELTAIL</v>
      </c>
      <c r="F845" s="4">
        <f>IFERROR(__xludf.DUMMYFUNCTION("""COMPUTED_VALUE"""),25.0)</f>
        <v>25</v>
      </c>
      <c r="G845" s="5">
        <f>IFERROR(__xludf.DUMMYFUNCTION("""COMPUTED_VALUE"""),1.0880252E7)</f>
        <v>10880252</v>
      </c>
    </row>
    <row r="846">
      <c r="A846" s="3">
        <f>IFERROR(__xludf.DUMMYFUNCTION("""COMPUTED_VALUE"""),688.0)</f>
        <v>688</v>
      </c>
      <c r="B846" s="2" t="str">
        <f>IFERROR(__xludf.DUMMYFUNCTION("""COMPUTED_VALUE"""),"SIRAJGANJ")</f>
        <v>SIRAJGANJ</v>
      </c>
      <c r="C846" s="4">
        <f>IFERROR(__xludf.DUMMYFUNCTION("""COMPUTED_VALUE"""),10.0)</f>
        <v>10</v>
      </c>
      <c r="D846" s="2" t="str">
        <f>IFERROR(__xludf.DUMMYFUNCTION("""COMPUTED_VALUE"""),"AGRANI BANK LTD.")</f>
        <v>AGRANI BANK LTD.</v>
      </c>
      <c r="E846" s="2" t="str">
        <f>IFERROR(__xludf.DUMMYFUNCTION("""COMPUTED_VALUE"""),"BRAHMAGACHA")</f>
        <v>BRAHMAGACHA</v>
      </c>
      <c r="F846" s="4">
        <f>IFERROR(__xludf.DUMMYFUNCTION("""COMPUTED_VALUE"""),37.0)</f>
        <v>37</v>
      </c>
      <c r="G846" s="5">
        <f>IFERROR(__xludf.DUMMYFUNCTION("""COMPUTED_VALUE"""),1.0880373E7)</f>
        <v>10880373</v>
      </c>
    </row>
    <row r="847">
      <c r="A847" s="3">
        <f>IFERROR(__xludf.DUMMYFUNCTION("""COMPUTED_VALUE"""),688.0)</f>
        <v>688</v>
      </c>
      <c r="B847" s="2" t="str">
        <f>IFERROR(__xludf.DUMMYFUNCTION("""COMPUTED_VALUE"""),"SIRAJGANJ")</f>
        <v>SIRAJGANJ</v>
      </c>
      <c r="C847" s="4">
        <f>IFERROR(__xludf.DUMMYFUNCTION("""COMPUTED_VALUE"""),10.0)</f>
        <v>10</v>
      </c>
      <c r="D847" s="2" t="str">
        <f>IFERROR(__xludf.DUMMYFUNCTION("""COMPUTED_VALUE"""),"AGRANI BANK LTD.")</f>
        <v>AGRANI BANK LTD.</v>
      </c>
      <c r="E847" s="2" t="str">
        <f>IFERROR(__xludf.DUMMYFUNCTION("""COMPUTED_VALUE"""),"CHANDAIKONA")</f>
        <v>CHANDAIKONA</v>
      </c>
      <c r="F847" s="4">
        <f>IFERROR(__xludf.DUMMYFUNCTION("""COMPUTED_VALUE"""),43.0)</f>
        <v>43</v>
      </c>
      <c r="G847" s="5">
        <f>IFERROR(__xludf.DUMMYFUNCTION("""COMPUTED_VALUE"""),1.0880436E7)</f>
        <v>10880436</v>
      </c>
    </row>
    <row r="848">
      <c r="A848" s="3">
        <f>IFERROR(__xludf.DUMMYFUNCTION("""COMPUTED_VALUE"""),688.0)</f>
        <v>688</v>
      </c>
      <c r="B848" s="2" t="str">
        <f>IFERROR(__xludf.DUMMYFUNCTION("""COMPUTED_VALUE"""),"SIRAJGANJ")</f>
        <v>SIRAJGANJ</v>
      </c>
      <c r="C848" s="4">
        <f>IFERROR(__xludf.DUMMYFUNCTION("""COMPUTED_VALUE"""),10.0)</f>
        <v>10</v>
      </c>
      <c r="D848" s="2" t="str">
        <f>IFERROR(__xludf.DUMMYFUNCTION("""COMPUTED_VALUE"""),"AGRANI BANK LTD.")</f>
        <v>AGRANI BANK LTD.</v>
      </c>
      <c r="E848" s="2" t="str">
        <f>IFERROR(__xludf.DUMMYFUNCTION("""COMPUTED_VALUE"""),"DHUBIL")</f>
        <v>DHUBIL</v>
      </c>
      <c r="F848" s="4">
        <f>IFERROR(__xludf.DUMMYFUNCTION("""COMPUTED_VALUE"""),73.0)</f>
        <v>73</v>
      </c>
      <c r="G848" s="5">
        <f>IFERROR(__xludf.DUMMYFUNCTION("""COMPUTED_VALUE"""),1.0880731E7)</f>
        <v>10880731</v>
      </c>
    </row>
    <row r="849">
      <c r="A849" s="3">
        <f>IFERROR(__xludf.DUMMYFUNCTION("""COMPUTED_VALUE"""),688.0)</f>
        <v>688</v>
      </c>
      <c r="B849" s="2" t="str">
        <f>IFERROR(__xludf.DUMMYFUNCTION("""COMPUTED_VALUE"""),"SIRAJGANJ")</f>
        <v>SIRAJGANJ</v>
      </c>
      <c r="C849" s="4">
        <f>IFERROR(__xludf.DUMMYFUNCTION("""COMPUTED_VALUE"""),10.0)</f>
        <v>10</v>
      </c>
      <c r="D849" s="2" t="str">
        <f>IFERROR(__xludf.DUMMYFUNCTION("""COMPUTED_VALUE"""),"AGRANI BANK LTD.")</f>
        <v>AGRANI BANK LTD.</v>
      </c>
      <c r="E849" s="2" t="str">
        <f>IFERROR(__xludf.DUMMYFUNCTION("""COMPUTED_VALUE"""),"ENAYETPUR")</f>
        <v>ENAYETPUR</v>
      </c>
      <c r="F849" s="4">
        <f>IFERROR(__xludf.DUMMYFUNCTION("""COMPUTED_VALUE"""),82.0)</f>
        <v>82</v>
      </c>
      <c r="G849" s="5">
        <f>IFERROR(__xludf.DUMMYFUNCTION("""COMPUTED_VALUE"""),1.0880823E7)</f>
        <v>10880823</v>
      </c>
    </row>
    <row r="850">
      <c r="A850" s="3">
        <f>IFERROR(__xludf.DUMMYFUNCTION("""COMPUTED_VALUE"""),688.0)</f>
        <v>688</v>
      </c>
      <c r="B850" s="2" t="str">
        <f>IFERROR(__xludf.DUMMYFUNCTION("""COMPUTED_VALUE"""),"SIRAJGANJ")</f>
        <v>SIRAJGANJ</v>
      </c>
      <c r="C850" s="4">
        <f>IFERROR(__xludf.DUMMYFUNCTION("""COMPUTED_VALUE"""),10.0)</f>
        <v>10</v>
      </c>
      <c r="D850" s="2" t="str">
        <f>IFERROR(__xludf.DUMMYFUNCTION("""COMPUTED_VALUE"""),"AGRANI BANK LTD.")</f>
        <v>AGRANI BANK LTD.</v>
      </c>
      <c r="E850" s="2" t="str">
        <f>IFERROR(__xludf.DUMMYFUNCTION("""COMPUTED_VALUE"""),"GHURKA")</f>
        <v>GHURKA</v>
      </c>
      <c r="F850" s="4">
        <f>IFERROR(__xludf.DUMMYFUNCTION("""COMPUTED_VALUE"""),88.0)</f>
        <v>88</v>
      </c>
      <c r="G850" s="5">
        <f>IFERROR(__xludf.DUMMYFUNCTION("""COMPUTED_VALUE"""),1.0880881E7)</f>
        <v>10880881</v>
      </c>
    </row>
    <row r="851">
      <c r="A851" s="3">
        <f>IFERROR(__xludf.DUMMYFUNCTION("""COMPUTED_VALUE"""),688.0)</f>
        <v>688</v>
      </c>
      <c r="B851" s="2" t="str">
        <f>IFERROR(__xludf.DUMMYFUNCTION("""COMPUTED_VALUE"""),"SIRAJGANJ")</f>
        <v>SIRAJGANJ</v>
      </c>
      <c r="C851" s="4">
        <f>IFERROR(__xludf.DUMMYFUNCTION("""COMPUTED_VALUE"""),10.0)</f>
        <v>10</v>
      </c>
      <c r="D851" s="2" t="str">
        <f>IFERROR(__xludf.DUMMYFUNCTION("""COMPUTED_VALUE"""),"AGRANI BANK LTD.")</f>
        <v>AGRANI BANK LTD.</v>
      </c>
      <c r="E851" s="2" t="str">
        <f>IFERROR(__xludf.DUMMYFUNCTION("""COMPUTED_VALUE"""),"KALI BARI ROAD")</f>
        <v>KALI BARI ROAD</v>
      </c>
      <c r="F851" s="4">
        <f>IFERROR(__xludf.DUMMYFUNCTION("""COMPUTED_VALUE"""),100.0)</f>
        <v>100</v>
      </c>
      <c r="G851" s="5">
        <f>IFERROR(__xludf.DUMMYFUNCTION("""COMPUTED_VALUE"""),1.0881006E7)</f>
        <v>10881006</v>
      </c>
    </row>
    <row r="852">
      <c r="A852" s="3">
        <f>IFERROR(__xludf.DUMMYFUNCTION("""COMPUTED_VALUE"""),688.0)</f>
        <v>688</v>
      </c>
      <c r="B852" s="2" t="str">
        <f>IFERROR(__xludf.DUMMYFUNCTION("""COMPUTED_VALUE"""),"SIRAJGANJ")</f>
        <v>SIRAJGANJ</v>
      </c>
      <c r="C852" s="4">
        <f>IFERROR(__xludf.DUMMYFUNCTION("""COMPUTED_VALUE"""),10.0)</f>
        <v>10</v>
      </c>
      <c r="D852" s="2" t="str">
        <f>IFERROR(__xludf.DUMMYFUNCTION("""COMPUTED_VALUE"""),"AGRANI BANK LTD.")</f>
        <v>AGRANI BANK LTD.</v>
      </c>
      <c r="E852" s="2" t="str">
        <f>IFERROR(__xludf.DUMMYFUNCTION("""COMPUTED_VALUE"""),"KHIDRAMATIA")</f>
        <v>KHIDRAMATIA</v>
      </c>
      <c r="F852" s="4">
        <f>IFERROR(__xludf.DUMMYFUNCTION("""COMPUTED_VALUE"""),121.0)</f>
        <v>121</v>
      </c>
      <c r="G852" s="5">
        <f>IFERROR(__xludf.DUMMYFUNCTION("""COMPUTED_VALUE"""),1.0881219E7)</f>
        <v>10881219</v>
      </c>
    </row>
    <row r="853">
      <c r="A853" s="3">
        <f>IFERROR(__xludf.DUMMYFUNCTION("""COMPUTED_VALUE"""),688.0)</f>
        <v>688</v>
      </c>
      <c r="B853" s="2" t="str">
        <f>IFERROR(__xludf.DUMMYFUNCTION("""COMPUTED_VALUE"""),"SIRAJGANJ")</f>
        <v>SIRAJGANJ</v>
      </c>
      <c r="C853" s="4">
        <f>IFERROR(__xludf.DUMMYFUNCTION("""COMPUTED_VALUE"""),10.0)</f>
        <v>10</v>
      </c>
      <c r="D853" s="2" t="str">
        <f>IFERROR(__xludf.DUMMYFUNCTION("""COMPUTED_VALUE"""),"AGRANI BANK LTD.")</f>
        <v>AGRANI BANK LTD.</v>
      </c>
      <c r="E853" s="2" t="str">
        <f>IFERROR(__xludf.DUMMYFUNCTION("""COMPUTED_VALUE"""),"NEW MARKET")</f>
        <v>NEW MARKET</v>
      </c>
      <c r="F853" s="4">
        <f>IFERROR(__xludf.DUMMYFUNCTION("""COMPUTED_VALUE"""),145.0)</f>
        <v>145</v>
      </c>
      <c r="G853" s="5">
        <f>IFERROR(__xludf.DUMMYFUNCTION("""COMPUTED_VALUE"""),1.0881451E7)</f>
        <v>10881451</v>
      </c>
    </row>
    <row r="854">
      <c r="A854" s="3">
        <f>IFERROR(__xludf.DUMMYFUNCTION("""COMPUTED_VALUE"""),688.0)</f>
        <v>688</v>
      </c>
      <c r="B854" s="2" t="str">
        <f>IFERROR(__xludf.DUMMYFUNCTION("""COMPUTED_VALUE"""),"SIRAJGANJ")</f>
        <v>SIRAJGANJ</v>
      </c>
      <c r="C854" s="4">
        <f>IFERROR(__xludf.DUMMYFUNCTION("""COMPUTED_VALUE"""),10.0)</f>
        <v>10</v>
      </c>
      <c r="D854" s="2" t="str">
        <f>IFERROR(__xludf.DUMMYFUNCTION("""COMPUTED_VALUE"""),"AGRANI BANK LTD.")</f>
        <v>AGRANI BANK LTD.</v>
      </c>
      <c r="E854" s="2" t="str">
        <f>IFERROR(__xludf.DUMMYFUNCTION("""COMPUTED_VALUE"""),"NIMGACHI")</f>
        <v>NIMGACHI</v>
      </c>
      <c r="F854" s="4">
        <f>IFERROR(__xludf.DUMMYFUNCTION("""COMPUTED_VALUE"""),151.0)</f>
        <v>151</v>
      </c>
      <c r="G854" s="5">
        <f>IFERROR(__xludf.DUMMYFUNCTION("""COMPUTED_VALUE"""),1.0881514E7)</f>
        <v>10881514</v>
      </c>
    </row>
    <row r="855">
      <c r="A855" s="3">
        <f>IFERROR(__xludf.DUMMYFUNCTION("""COMPUTED_VALUE"""),688.0)</f>
        <v>688</v>
      </c>
      <c r="B855" s="2" t="str">
        <f>IFERROR(__xludf.DUMMYFUNCTION("""COMPUTED_VALUE"""),"SIRAJGANJ")</f>
        <v>SIRAJGANJ</v>
      </c>
      <c r="C855" s="4">
        <f>IFERROR(__xludf.DUMMYFUNCTION("""COMPUTED_VALUE"""),10.0)</f>
        <v>10</v>
      </c>
      <c r="D855" s="2" t="str">
        <f>IFERROR(__xludf.DUMMYFUNCTION("""COMPUTED_VALUE"""),"AGRANI BANK LTD.")</f>
        <v>AGRANI BANK LTD.</v>
      </c>
      <c r="E855" s="2" t="str">
        <f>IFERROR(__xludf.DUMMYFUNCTION("""COMPUTED_VALUE"""),"PANGASHI HAT")</f>
        <v>PANGASHI HAT</v>
      </c>
      <c r="F855" s="4">
        <f>IFERROR(__xludf.DUMMYFUNCTION("""COMPUTED_VALUE"""),157.0)</f>
        <v>157</v>
      </c>
      <c r="G855" s="5">
        <f>IFERROR(__xludf.DUMMYFUNCTION("""COMPUTED_VALUE"""),1.0881572E7)</f>
        <v>10881572</v>
      </c>
    </row>
    <row r="856">
      <c r="A856" s="3">
        <f>IFERROR(__xludf.DUMMYFUNCTION("""COMPUTED_VALUE"""),688.0)</f>
        <v>688</v>
      </c>
      <c r="B856" s="2" t="str">
        <f>IFERROR(__xludf.DUMMYFUNCTION("""COMPUTED_VALUE"""),"SIRAJGANJ")</f>
        <v>SIRAJGANJ</v>
      </c>
      <c r="C856" s="4">
        <f>IFERROR(__xludf.DUMMYFUNCTION("""COMPUTED_VALUE"""),10.0)</f>
        <v>10</v>
      </c>
      <c r="D856" s="2" t="str">
        <f>IFERROR(__xludf.DUMMYFUNCTION("""COMPUTED_VALUE"""),"AGRANI BANK LTD.")</f>
        <v>AGRANI BANK LTD.</v>
      </c>
      <c r="E856" s="2" t="str">
        <f>IFERROR(__xludf.DUMMYFUNCTION("""COMPUTED_VALUE"""),"PORJONA VATPARA")</f>
        <v>PORJONA VATPARA</v>
      </c>
      <c r="F856" s="4">
        <f>IFERROR(__xludf.DUMMYFUNCTION("""COMPUTED_VALUE"""),160.0)</f>
        <v>160</v>
      </c>
      <c r="G856" s="5">
        <f>IFERROR(__xludf.DUMMYFUNCTION("""COMPUTED_VALUE"""),1.0881606E7)</f>
        <v>10881606</v>
      </c>
    </row>
    <row r="857">
      <c r="A857" s="3">
        <f>IFERROR(__xludf.DUMMYFUNCTION("""COMPUTED_VALUE"""),688.0)</f>
        <v>688</v>
      </c>
      <c r="B857" s="2" t="str">
        <f>IFERROR(__xludf.DUMMYFUNCTION("""COMPUTED_VALUE"""),"SIRAJGANJ")</f>
        <v>SIRAJGANJ</v>
      </c>
      <c r="C857" s="4">
        <f>IFERROR(__xludf.DUMMYFUNCTION("""COMPUTED_VALUE"""),10.0)</f>
        <v>10</v>
      </c>
      <c r="D857" s="2" t="str">
        <f>IFERROR(__xludf.DUMMYFUNCTION("""COMPUTED_VALUE"""),"AGRANI BANK LTD.")</f>
        <v>AGRANI BANK LTD.</v>
      </c>
      <c r="E857" s="2" t="str">
        <f>IFERROR(__xludf.DUMMYFUNCTION("""COMPUTED_VALUE"""),"RAIGANJ")</f>
        <v>RAIGANJ</v>
      </c>
      <c r="F857" s="4">
        <f>IFERROR(__xludf.DUMMYFUNCTION("""COMPUTED_VALUE"""),169.0)</f>
        <v>169</v>
      </c>
      <c r="G857" s="5">
        <f>IFERROR(__xludf.DUMMYFUNCTION("""COMPUTED_VALUE"""),1.0881693E7)</f>
        <v>10881693</v>
      </c>
    </row>
    <row r="858">
      <c r="A858" s="3">
        <f>IFERROR(__xludf.DUMMYFUNCTION("""COMPUTED_VALUE"""),688.0)</f>
        <v>688</v>
      </c>
      <c r="B858" s="2" t="str">
        <f>IFERROR(__xludf.DUMMYFUNCTION("""COMPUTED_VALUE"""),"SIRAJGANJ")</f>
        <v>SIRAJGANJ</v>
      </c>
      <c r="C858" s="4">
        <f>IFERROR(__xludf.DUMMYFUNCTION("""COMPUTED_VALUE"""),10.0)</f>
        <v>10</v>
      </c>
      <c r="D858" s="2" t="str">
        <f>IFERROR(__xludf.DUMMYFUNCTION("""COMPUTED_VALUE"""),"AGRANI BANK LTD.")</f>
        <v>AGRANI BANK LTD.</v>
      </c>
      <c r="E858" s="2" t="str">
        <f>IFERROR(__xludf.DUMMYFUNCTION("""COMPUTED_VALUE"""),"S.S. ROAD")</f>
        <v>S.S. ROAD</v>
      </c>
      <c r="F858" s="4">
        <f>IFERROR(__xludf.DUMMYFUNCTION("""COMPUTED_VALUE"""),178.0)</f>
        <v>178</v>
      </c>
      <c r="G858" s="5">
        <f>IFERROR(__xludf.DUMMYFUNCTION("""COMPUTED_VALUE"""),1.0881785E7)</f>
        <v>10881785</v>
      </c>
    </row>
    <row r="859">
      <c r="A859" s="3">
        <f>IFERROR(__xludf.DUMMYFUNCTION("""COMPUTED_VALUE"""),688.0)</f>
        <v>688</v>
      </c>
      <c r="B859" s="2" t="str">
        <f>IFERROR(__xludf.DUMMYFUNCTION("""COMPUTED_VALUE"""),"SIRAJGANJ")</f>
        <v>SIRAJGANJ</v>
      </c>
      <c r="C859" s="4">
        <f>IFERROR(__xludf.DUMMYFUNCTION("""COMPUTED_VALUE"""),10.0)</f>
        <v>10</v>
      </c>
      <c r="D859" s="2" t="str">
        <f>IFERROR(__xludf.DUMMYFUNCTION("""COMPUTED_VALUE"""),"AGRANI BANK LTD.")</f>
        <v>AGRANI BANK LTD.</v>
      </c>
      <c r="E859" s="2" t="str">
        <f>IFERROR(__xludf.DUMMYFUNCTION("""COMPUTED_VALUE"""),"SHAHJADPUR")</f>
        <v>SHAHJADPUR</v>
      </c>
      <c r="F859" s="4">
        <f>IFERROR(__xludf.DUMMYFUNCTION("""COMPUTED_VALUE"""),190.0)</f>
        <v>190</v>
      </c>
      <c r="G859" s="5">
        <f>IFERROR(__xludf.DUMMYFUNCTION("""COMPUTED_VALUE"""),1.0881901E7)</f>
        <v>10881901</v>
      </c>
    </row>
    <row r="860">
      <c r="A860" s="3">
        <f>IFERROR(__xludf.DUMMYFUNCTION("""COMPUTED_VALUE"""),688.0)</f>
        <v>688</v>
      </c>
      <c r="B860" s="2" t="str">
        <f>IFERROR(__xludf.DUMMYFUNCTION("""COMPUTED_VALUE"""),"SIRAJGANJ")</f>
        <v>SIRAJGANJ</v>
      </c>
      <c r="C860" s="4">
        <f>IFERROR(__xludf.DUMMYFUNCTION("""COMPUTED_VALUE"""),10.0)</f>
        <v>10</v>
      </c>
      <c r="D860" s="2" t="str">
        <f>IFERROR(__xludf.DUMMYFUNCTION("""COMPUTED_VALUE"""),"AGRANI BANK LTD.")</f>
        <v>AGRANI BANK LTD.</v>
      </c>
      <c r="E860" s="2" t="str">
        <f>IFERROR(__xludf.DUMMYFUNCTION("""COMPUTED_VALUE"""),"SHOMESHPUR")</f>
        <v>SHOMESHPUR</v>
      </c>
      <c r="F860" s="4">
        <f>IFERROR(__xludf.DUMMYFUNCTION("""COMPUTED_VALUE"""),199.0)</f>
        <v>199</v>
      </c>
      <c r="G860" s="5">
        <f>IFERROR(__xludf.DUMMYFUNCTION("""COMPUTED_VALUE"""),1.0881998E7)</f>
        <v>10881998</v>
      </c>
    </row>
    <row r="861">
      <c r="A861" s="3">
        <f>IFERROR(__xludf.DUMMYFUNCTION("""COMPUTED_VALUE"""),688.0)</f>
        <v>688</v>
      </c>
      <c r="B861" s="2" t="str">
        <f>IFERROR(__xludf.DUMMYFUNCTION("""COMPUTED_VALUE"""),"SIRAJGANJ")</f>
        <v>SIRAJGANJ</v>
      </c>
      <c r="C861" s="4">
        <f>IFERROR(__xludf.DUMMYFUNCTION("""COMPUTED_VALUE"""),10.0)</f>
        <v>10</v>
      </c>
      <c r="D861" s="2" t="str">
        <f>IFERROR(__xludf.DUMMYFUNCTION("""COMPUTED_VALUE"""),"AGRANI BANK LTD.")</f>
        <v>AGRANI BANK LTD.</v>
      </c>
      <c r="E861" s="2" t="str">
        <f>IFERROR(__xludf.DUMMYFUNCTION("""COMPUTED_VALUE"""),"STATION ROAD")</f>
        <v>STATION ROAD</v>
      </c>
      <c r="F861" s="4">
        <f>IFERROR(__xludf.DUMMYFUNCTION("""COMPUTED_VALUE"""),205.0)</f>
        <v>205</v>
      </c>
      <c r="G861" s="5">
        <f>IFERROR(__xludf.DUMMYFUNCTION("""COMPUTED_VALUE"""),1.088205E7)</f>
        <v>10882050</v>
      </c>
    </row>
    <row r="862">
      <c r="A862" s="3">
        <f>IFERROR(__xludf.DUMMYFUNCTION("""COMPUTED_VALUE"""),688.0)</f>
        <v>688</v>
      </c>
      <c r="B862" s="2" t="str">
        <f>IFERROR(__xludf.DUMMYFUNCTION("""COMPUTED_VALUE"""),"SIRAJGANJ")</f>
        <v>SIRAJGANJ</v>
      </c>
      <c r="C862" s="4">
        <f>IFERROR(__xludf.DUMMYFUNCTION("""COMPUTED_VALUE"""),10.0)</f>
        <v>10</v>
      </c>
      <c r="D862" s="2" t="str">
        <f>IFERROR(__xludf.DUMMYFUNCTION("""COMPUTED_VALUE"""),"AGRANI BANK LTD.")</f>
        <v>AGRANI BANK LTD.</v>
      </c>
      <c r="E862" s="2" t="str">
        <f>IFERROR(__xludf.DUMMYFUNCTION("""COMPUTED_VALUE"""),"TALGACHI BAZAR")</f>
        <v>TALGACHI BAZAR</v>
      </c>
      <c r="F862" s="4">
        <f>IFERROR(__xludf.DUMMYFUNCTION("""COMPUTED_VALUE"""),211.0)</f>
        <v>211</v>
      </c>
      <c r="G862" s="5">
        <f>IFERROR(__xludf.DUMMYFUNCTION("""COMPUTED_VALUE"""),1.0882113E7)</f>
        <v>10882113</v>
      </c>
    </row>
    <row r="863">
      <c r="A863" s="3">
        <f>IFERROR(__xludf.DUMMYFUNCTION("""COMPUTED_VALUE"""),688.0)</f>
        <v>688</v>
      </c>
      <c r="B863" s="2" t="str">
        <f>IFERROR(__xludf.DUMMYFUNCTION("""COMPUTED_VALUE"""),"SIRAJGANJ")</f>
        <v>SIRAJGANJ</v>
      </c>
      <c r="C863" s="4">
        <f>IFERROR(__xludf.DUMMYFUNCTION("""COMPUTED_VALUE"""),10.0)</f>
        <v>10</v>
      </c>
      <c r="D863" s="2" t="str">
        <f>IFERROR(__xludf.DUMMYFUNCTION("""COMPUTED_VALUE"""),"AGRANI BANK LTD.")</f>
        <v>AGRANI BANK LTD.</v>
      </c>
      <c r="E863" s="2" t="str">
        <f>IFERROR(__xludf.DUMMYFUNCTION("""COMPUTED_VALUE"""),"ULLAPARA")</f>
        <v>ULLAPARA</v>
      </c>
      <c r="F863" s="4">
        <f>IFERROR(__xludf.DUMMYFUNCTION("""COMPUTED_VALUE"""),223.0)</f>
        <v>223</v>
      </c>
      <c r="G863" s="5">
        <f>IFERROR(__xludf.DUMMYFUNCTION("""COMPUTED_VALUE"""),1.0882234E7)</f>
        <v>10882234</v>
      </c>
    </row>
    <row r="864">
      <c r="A864" s="3">
        <f>IFERROR(__xludf.DUMMYFUNCTION("""COMPUTED_VALUE"""),189.0)</f>
        <v>189</v>
      </c>
      <c r="B864" s="2" t="str">
        <f>IFERROR(__xludf.DUMMYFUNCTION("""COMPUTED_VALUE"""),"SHERPUR")</f>
        <v>SHERPUR</v>
      </c>
      <c r="C864" s="4">
        <f>IFERROR(__xludf.DUMMYFUNCTION("""COMPUTED_VALUE"""),10.0)</f>
        <v>10</v>
      </c>
      <c r="D864" s="2" t="str">
        <f>IFERROR(__xludf.DUMMYFUNCTION("""COMPUTED_VALUE"""),"AGRANI BANK LTD.")</f>
        <v>AGRANI BANK LTD.</v>
      </c>
      <c r="E864" s="2" t="str">
        <f>IFERROR(__xludf.DUMMYFUNCTION("""COMPUTED_VALUE"""),"VIMGANJ BAZAR")</f>
        <v>VIMGANJ BAZAR</v>
      </c>
      <c r="F864" s="4">
        <f>IFERROR(__xludf.DUMMYFUNCTION("""COMPUTED_VALUE"""),5.0)</f>
        <v>5</v>
      </c>
      <c r="G864" s="5">
        <f>IFERROR(__xludf.DUMMYFUNCTION("""COMPUTED_VALUE"""),1.0890055E7)</f>
        <v>10890055</v>
      </c>
    </row>
    <row r="865">
      <c r="A865" s="3">
        <f>IFERROR(__xludf.DUMMYFUNCTION("""COMPUTED_VALUE"""),189.0)</f>
        <v>189</v>
      </c>
      <c r="B865" s="2" t="str">
        <f>IFERROR(__xludf.DUMMYFUNCTION("""COMPUTED_VALUE"""),"SHERPUR")</f>
        <v>SHERPUR</v>
      </c>
      <c r="C865" s="4">
        <f>IFERROR(__xludf.DUMMYFUNCTION("""COMPUTED_VALUE"""),10.0)</f>
        <v>10</v>
      </c>
      <c r="D865" s="2" t="str">
        <f>IFERROR(__xludf.DUMMYFUNCTION("""COMPUTED_VALUE"""),"AGRANI BANK LTD.")</f>
        <v>AGRANI BANK LTD.</v>
      </c>
      <c r="E865" s="2" t="str">
        <f>IFERROR(__xludf.DUMMYFUNCTION("""COMPUTED_VALUE"""),"KAKORKANDI")</f>
        <v>KAKORKANDI</v>
      </c>
      <c r="F865" s="4">
        <f>IFERROR(__xludf.DUMMYFUNCTION("""COMPUTED_VALUE"""),19.0)</f>
        <v>19</v>
      </c>
      <c r="G865" s="5">
        <f>IFERROR(__xludf.DUMMYFUNCTION("""COMPUTED_VALUE"""),1.0890192E7)</f>
        <v>10890192</v>
      </c>
    </row>
    <row r="866">
      <c r="A866" s="3">
        <f>IFERROR(__xludf.DUMMYFUNCTION("""COMPUTED_VALUE"""),189.0)</f>
        <v>189</v>
      </c>
      <c r="B866" s="2" t="str">
        <f>IFERROR(__xludf.DUMMYFUNCTION("""COMPUTED_VALUE"""),"SHERPUR")</f>
        <v>SHERPUR</v>
      </c>
      <c r="C866" s="4">
        <f>IFERROR(__xludf.DUMMYFUNCTION("""COMPUTED_VALUE"""),10.0)</f>
        <v>10</v>
      </c>
      <c r="D866" s="2" t="str">
        <f>IFERROR(__xludf.DUMMYFUNCTION("""COMPUTED_VALUE"""),"AGRANI BANK LTD.")</f>
        <v>AGRANI BANK LTD.</v>
      </c>
      <c r="E866" s="2" t="str">
        <f>IFERROR(__xludf.DUMMYFUNCTION("""COMPUTED_VALUE"""),"NALITABARI")</f>
        <v>NALITABARI</v>
      </c>
      <c r="F866" s="4">
        <f>IFERROR(__xludf.DUMMYFUNCTION("""COMPUTED_VALUE"""),34.0)</f>
        <v>34</v>
      </c>
      <c r="G866" s="5">
        <f>IFERROR(__xludf.DUMMYFUNCTION("""COMPUTED_VALUE"""),1.0890347E7)</f>
        <v>10890347</v>
      </c>
    </row>
    <row r="867">
      <c r="A867" s="3">
        <f>IFERROR(__xludf.DUMMYFUNCTION("""COMPUTED_VALUE"""),189.0)</f>
        <v>189</v>
      </c>
      <c r="B867" s="2" t="str">
        <f>IFERROR(__xludf.DUMMYFUNCTION("""COMPUTED_VALUE"""),"SHERPUR")</f>
        <v>SHERPUR</v>
      </c>
      <c r="C867" s="4">
        <f>IFERROR(__xludf.DUMMYFUNCTION("""COMPUTED_VALUE"""),10.0)</f>
        <v>10</v>
      </c>
      <c r="D867" s="2" t="str">
        <f>IFERROR(__xludf.DUMMYFUNCTION("""COMPUTED_VALUE"""),"AGRANI BANK LTD.")</f>
        <v>AGRANI BANK LTD.</v>
      </c>
      <c r="E867" s="2" t="str">
        <f>IFERROR(__xludf.DUMMYFUNCTION("""COMPUTED_VALUE"""),"NANDIR BAZAR")</f>
        <v>NANDIR BAZAR</v>
      </c>
      <c r="F867" s="4">
        <f>IFERROR(__xludf.DUMMYFUNCTION("""COMPUTED_VALUE"""),40.0)</f>
        <v>40</v>
      </c>
      <c r="G867" s="5">
        <f>IFERROR(__xludf.DUMMYFUNCTION("""COMPUTED_VALUE"""),1.08904E7)</f>
        <v>10890400</v>
      </c>
    </row>
    <row r="868">
      <c r="A868" s="3">
        <f>IFERROR(__xludf.DUMMYFUNCTION("""COMPUTED_VALUE"""),189.0)</f>
        <v>189</v>
      </c>
      <c r="B868" s="2" t="str">
        <f>IFERROR(__xludf.DUMMYFUNCTION("""COMPUTED_VALUE"""),"SHERPUR")</f>
        <v>SHERPUR</v>
      </c>
      <c r="C868" s="4">
        <f>IFERROR(__xludf.DUMMYFUNCTION("""COMPUTED_VALUE"""),10.0)</f>
        <v>10</v>
      </c>
      <c r="D868" s="2" t="str">
        <f>IFERROR(__xludf.DUMMYFUNCTION("""COMPUTED_VALUE"""),"AGRANI BANK LTD.")</f>
        <v>AGRANI BANK LTD.</v>
      </c>
      <c r="E868" s="2" t="str">
        <f>IFERROR(__xludf.DUMMYFUNCTION("""COMPUTED_VALUE"""),"NANNI BAZAR")</f>
        <v>NANNI BAZAR</v>
      </c>
      <c r="F868" s="4">
        <f>IFERROR(__xludf.DUMMYFUNCTION("""COMPUTED_VALUE"""),43.0)</f>
        <v>43</v>
      </c>
      <c r="G868" s="5">
        <f>IFERROR(__xludf.DUMMYFUNCTION("""COMPUTED_VALUE"""),1.0890439E7)</f>
        <v>10890439</v>
      </c>
    </row>
    <row r="869">
      <c r="A869" s="3">
        <f>IFERROR(__xludf.DUMMYFUNCTION("""COMPUTED_VALUE"""),189.0)</f>
        <v>189</v>
      </c>
      <c r="B869" s="2" t="str">
        <f>IFERROR(__xludf.DUMMYFUNCTION("""COMPUTED_VALUE"""),"SHERPUR")</f>
        <v>SHERPUR</v>
      </c>
      <c r="C869" s="4">
        <f>IFERROR(__xludf.DUMMYFUNCTION("""COMPUTED_VALUE"""),10.0)</f>
        <v>10</v>
      </c>
      <c r="D869" s="2" t="str">
        <f>IFERROR(__xludf.DUMMYFUNCTION("""COMPUTED_VALUE"""),"AGRANI BANK LTD.")</f>
        <v>AGRANI BANK LTD.</v>
      </c>
      <c r="E869" s="2" t="str">
        <f>IFERROR(__xludf.DUMMYFUNCTION("""COMPUTED_VALUE"""),"SHERPUR")</f>
        <v>SHERPUR</v>
      </c>
      <c r="F869" s="4">
        <f>IFERROR(__xludf.DUMMYFUNCTION("""COMPUTED_VALUE"""),55.0)</f>
        <v>55</v>
      </c>
      <c r="G869" s="5">
        <f>IFERROR(__xludf.DUMMYFUNCTION("""COMPUTED_VALUE"""),1.089055E7)</f>
        <v>10890550</v>
      </c>
    </row>
    <row r="870">
      <c r="A870" s="3">
        <f>IFERROR(__xludf.DUMMYFUNCTION("""COMPUTED_VALUE"""),189.0)</f>
        <v>189</v>
      </c>
      <c r="B870" s="2" t="str">
        <f>IFERROR(__xludf.DUMMYFUNCTION("""COMPUTED_VALUE"""),"SHERPUR")</f>
        <v>SHERPUR</v>
      </c>
      <c r="C870" s="4">
        <f>IFERROR(__xludf.DUMMYFUNCTION("""COMPUTED_VALUE"""),10.0)</f>
        <v>10</v>
      </c>
      <c r="D870" s="2" t="str">
        <f>IFERROR(__xludf.DUMMYFUNCTION("""COMPUTED_VALUE"""),"AGRANI BANK LTD.")</f>
        <v>AGRANI BANK LTD.</v>
      </c>
      <c r="E870" s="2" t="str">
        <f>IFERROR(__xludf.DUMMYFUNCTION("""COMPUTED_VALUE"""),"SREEBORDI")</f>
        <v>SREEBORDI</v>
      </c>
      <c r="F870" s="4">
        <f>IFERROR(__xludf.DUMMYFUNCTION("""COMPUTED_VALUE"""),64.0)</f>
        <v>64</v>
      </c>
      <c r="G870" s="5">
        <f>IFERROR(__xludf.DUMMYFUNCTION("""COMPUTED_VALUE"""),1.0890642E7)</f>
        <v>10890642</v>
      </c>
    </row>
    <row r="871">
      <c r="A871" s="3">
        <f>IFERROR(__xludf.DUMMYFUNCTION("""COMPUTED_VALUE"""),189.0)</f>
        <v>189</v>
      </c>
      <c r="B871" s="2" t="str">
        <f>IFERROR(__xludf.DUMMYFUNCTION("""COMPUTED_VALUE"""),"SHERPUR")</f>
        <v>SHERPUR</v>
      </c>
      <c r="C871" s="4">
        <f>IFERROR(__xludf.DUMMYFUNCTION("""COMPUTED_VALUE"""),10.0)</f>
        <v>10</v>
      </c>
      <c r="D871" s="2" t="str">
        <f>IFERROR(__xludf.DUMMYFUNCTION("""COMPUTED_VALUE"""),"AGRANI BANK LTD.")</f>
        <v>AGRANI BANK LTD.</v>
      </c>
      <c r="E871" s="2" t="str">
        <f>IFERROR(__xludf.DUMMYFUNCTION("""COMPUTED_VALUE"""),"TINANDIR BAZAR")</f>
        <v>TINANDIR BAZAR</v>
      </c>
      <c r="F871" s="4">
        <f>IFERROR(__xludf.DUMMYFUNCTION("""COMPUTED_VALUE"""),70.0)</f>
        <v>70</v>
      </c>
      <c r="G871" s="5">
        <f>IFERROR(__xludf.DUMMYFUNCTION("""COMPUTED_VALUE"""),1.0890705E7)</f>
        <v>10890705</v>
      </c>
    </row>
    <row r="872">
      <c r="A872" s="3">
        <f>IFERROR(__xludf.DUMMYFUNCTION("""COMPUTED_VALUE"""),890.0)</f>
        <v>890</v>
      </c>
      <c r="B872" s="2" t="str">
        <f>IFERROR(__xludf.DUMMYFUNCTION("""COMPUTED_VALUE"""),"SUNAMGANJ")</f>
        <v>SUNAMGANJ</v>
      </c>
      <c r="C872" s="4">
        <f>IFERROR(__xludf.DUMMYFUNCTION("""COMPUTED_VALUE"""),10.0)</f>
        <v>10</v>
      </c>
      <c r="D872" s="2" t="str">
        <f>IFERROR(__xludf.DUMMYFUNCTION("""COMPUTED_VALUE"""),"AGRANI BANK LTD.")</f>
        <v>AGRANI BANK LTD.</v>
      </c>
      <c r="E872" s="2" t="str">
        <f>IFERROR(__xludf.DUMMYFUNCTION("""COMPUTED_VALUE"""),"AMBARI BAZAR")</f>
        <v>AMBARI BAZAR</v>
      </c>
      <c r="F872" s="4">
        <f>IFERROR(__xludf.DUMMYFUNCTION("""COMPUTED_VALUE"""),4.0)</f>
        <v>4</v>
      </c>
      <c r="G872" s="5">
        <f>IFERROR(__xludf.DUMMYFUNCTION("""COMPUTED_VALUE"""),1.090004E7)</f>
        <v>10900040</v>
      </c>
    </row>
    <row r="873">
      <c r="A873" s="3">
        <f>IFERROR(__xludf.DUMMYFUNCTION("""COMPUTED_VALUE"""),890.0)</f>
        <v>890</v>
      </c>
      <c r="B873" s="2" t="str">
        <f>IFERROR(__xludf.DUMMYFUNCTION("""COMPUTED_VALUE"""),"SUNAMGANJ")</f>
        <v>SUNAMGANJ</v>
      </c>
      <c r="C873" s="4">
        <f>IFERROR(__xludf.DUMMYFUNCTION("""COMPUTED_VALUE"""),10.0)</f>
        <v>10</v>
      </c>
      <c r="D873" s="2" t="str">
        <f>IFERROR(__xludf.DUMMYFUNCTION("""COMPUTED_VALUE"""),"AGRANI BANK LTD.")</f>
        <v>AGRANI BANK LTD.</v>
      </c>
      <c r="E873" s="2" t="str">
        <f>IFERROR(__xludf.DUMMYFUNCTION("""COMPUTED_VALUE"""),"CHHATAK")</f>
        <v>CHHATAK</v>
      </c>
      <c r="F873" s="4">
        <f>IFERROR(__xludf.DUMMYFUNCTION("""COMPUTED_VALUE"""),22.0)</f>
        <v>22</v>
      </c>
      <c r="G873" s="5">
        <f>IFERROR(__xludf.DUMMYFUNCTION("""COMPUTED_VALUE"""),1.0900224E7)</f>
        <v>10900224</v>
      </c>
    </row>
    <row r="874">
      <c r="A874" s="3">
        <f>IFERROR(__xludf.DUMMYFUNCTION("""COMPUTED_VALUE"""),890.0)</f>
        <v>890</v>
      </c>
      <c r="B874" s="2" t="str">
        <f>IFERROR(__xludf.DUMMYFUNCTION("""COMPUTED_VALUE"""),"SUNAMGANJ")</f>
        <v>SUNAMGANJ</v>
      </c>
      <c r="C874" s="4">
        <f>IFERROR(__xludf.DUMMYFUNCTION("""COMPUTED_VALUE"""),10.0)</f>
        <v>10</v>
      </c>
      <c r="D874" s="2" t="str">
        <f>IFERROR(__xludf.DUMMYFUNCTION("""COMPUTED_VALUE"""),"AGRANI BANK LTD.")</f>
        <v>AGRANI BANK LTD.</v>
      </c>
      <c r="E874" s="2" t="str">
        <f>IFERROR(__xludf.DUMMYFUNCTION("""COMPUTED_VALUE"""),"DERAI")</f>
        <v>DERAI</v>
      </c>
      <c r="F874" s="4">
        <f>IFERROR(__xludf.DUMMYFUNCTION("""COMPUTED_VALUE"""),25.0)</f>
        <v>25</v>
      </c>
      <c r="G874" s="5">
        <f>IFERROR(__xludf.DUMMYFUNCTION("""COMPUTED_VALUE"""),1.0900253E7)</f>
        <v>10900253</v>
      </c>
    </row>
    <row r="875">
      <c r="A875" s="3">
        <f>IFERROR(__xludf.DUMMYFUNCTION("""COMPUTED_VALUE"""),890.0)</f>
        <v>890</v>
      </c>
      <c r="B875" s="2" t="str">
        <f>IFERROR(__xludf.DUMMYFUNCTION("""COMPUTED_VALUE"""),"SUNAMGANJ")</f>
        <v>SUNAMGANJ</v>
      </c>
      <c r="C875" s="4">
        <f>IFERROR(__xludf.DUMMYFUNCTION("""COMPUTED_VALUE"""),10.0)</f>
        <v>10</v>
      </c>
      <c r="D875" s="2" t="str">
        <f>IFERROR(__xludf.DUMMYFUNCTION("""COMPUTED_VALUE"""),"AGRANI BANK LTD.")</f>
        <v>AGRANI BANK LTD.</v>
      </c>
      <c r="E875" s="2" t="str">
        <f>IFERROR(__xludf.DUMMYFUNCTION("""COMPUTED_VALUE"""),"DOWARA BAZAR")</f>
        <v>DOWARA BAZAR</v>
      </c>
      <c r="F875" s="4">
        <f>IFERROR(__xludf.DUMMYFUNCTION("""COMPUTED_VALUE"""),34.0)</f>
        <v>34</v>
      </c>
      <c r="G875" s="5">
        <f>IFERROR(__xludf.DUMMYFUNCTION("""COMPUTED_VALUE"""),1.0900345E7)</f>
        <v>10900345</v>
      </c>
    </row>
    <row r="876">
      <c r="A876" s="3">
        <f>IFERROR(__xludf.DUMMYFUNCTION("""COMPUTED_VALUE"""),890.0)</f>
        <v>890</v>
      </c>
      <c r="B876" s="2" t="str">
        <f>IFERROR(__xludf.DUMMYFUNCTION("""COMPUTED_VALUE"""),"SUNAMGANJ")</f>
        <v>SUNAMGANJ</v>
      </c>
      <c r="C876" s="4">
        <f>IFERROR(__xludf.DUMMYFUNCTION("""COMPUTED_VALUE"""),10.0)</f>
        <v>10</v>
      </c>
      <c r="D876" s="2" t="str">
        <f>IFERROR(__xludf.DUMMYFUNCTION("""COMPUTED_VALUE"""),"AGRANI BANK LTD.")</f>
        <v>AGRANI BANK LTD.</v>
      </c>
      <c r="E876" s="2" t="str">
        <f>IFERROR(__xludf.DUMMYFUNCTION("""COMPUTED_VALUE"""),"SUNAMGANJ")</f>
        <v>SUNAMGANJ</v>
      </c>
      <c r="F876" s="4">
        <f>IFERROR(__xludf.DUMMYFUNCTION("""COMPUTED_VALUE"""),112.0)</f>
        <v>112</v>
      </c>
      <c r="G876" s="5">
        <f>IFERROR(__xludf.DUMMYFUNCTION("""COMPUTED_VALUE"""),1.0901128E7)</f>
        <v>10901128</v>
      </c>
    </row>
    <row r="877">
      <c r="A877" s="3">
        <f>IFERROR(__xludf.DUMMYFUNCTION("""COMPUTED_VALUE"""),891.0)</f>
        <v>891</v>
      </c>
      <c r="B877" s="2" t="str">
        <f>IFERROR(__xludf.DUMMYFUNCTION("""COMPUTED_VALUE"""),"SYLHET")</f>
        <v>SYLHET</v>
      </c>
      <c r="C877" s="4">
        <f>IFERROR(__xludf.DUMMYFUNCTION("""COMPUTED_VALUE"""),10.0)</f>
        <v>10</v>
      </c>
      <c r="D877" s="2" t="str">
        <f>IFERROR(__xludf.DUMMYFUNCTION("""COMPUTED_VALUE"""),"AGRANI BANK LTD.")</f>
        <v>AGRANI BANK LTD.</v>
      </c>
      <c r="E877" s="2" t="str">
        <f>IFERROR(__xludf.DUMMYFUNCTION("""COMPUTED_VALUE"""),"AMBARKHANA")</f>
        <v>AMBARKHANA</v>
      </c>
      <c r="F877" s="4">
        <f>IFERROR(__xludf.DUMMYFUNCTION("""COMPUTED_VALUE"""),4.0)</f>
        <v>4</v>
      </c>
      <c r="G877" s="5">
        <f>IFERROR(__xludf.DUMMYFUNCTION("""COMPUTED_VALUE"""),1.0910043E7)</f>
        <v>10910043</v>
      </c>
    </row>
    <row r="878">
      <c r="A878" s="3">
        <f>IFERROR(__xludf.DUMMYFUNCTION("""COMPUTED_VALUE"""),891.0)</f>
        <v>891</v>
      </c>
      <c r="B878" s="2" t="str">
        <f>IFERROR(__xludf.DUMMYFUNCTION("""COMPUTED_VALUE"""),"SYLHET")</f>
        <v>SYLHET</v>
      </c>
      <c r="C878" s="4">
        <f>IFERROR(__xludf.DUMMYFUNCTION("""COMPUTED_VALUE"""),10.0)</f>
        <v>10</v>
      </c>
      <c r="D878" s="2" t="str">
        <f>IFERROR(__xludf.DUMMYFUNCTION("""COMPUTED_VALUE"""),"AGRANI BANK LTD.")</f>
        <v>AGRANI BANK LTD.</v>
      </c>
      <c r="E878" s="2" t="str">
        <f>IFERROR(__xludf.DUMMYFUNCTION("""COMPUTED_VALUE"""),"BAIRAGIR BAZAR")</f>
        <v>BAIRAGIR BAZAR</v>
      </c>
      <c r="F878" s="4">
        <f>IFERROR(__xludf.DUMMYFUNCTION("""COMPUTED_VALUE"""),13.0)</f>
        <v>13</v>
      </c>
      <c r="G878" s="5">
        <f>IFERROR(__xludf.DUMMYFUNCTION("""COMPUTED_VALUE"""),1.0910135E7)</f>
        <v>10910135</v>
      </c>
    </row>
    <row r="879">
      <c r="A879" s="3">
        <f>IFERROR(__xludf.DUMMYFUNCTION("""COMPUTED_VALUE"""),891.0)</f>
        <v>891</v>
      </c>
      <c r="B879" s="2" t="str">
        <f>IFERROR(__xludf.DUMMYFUNCTION("""COMPUTED_VALUE"""),"SYLHET")</f>
        <v>SYLHET</v>
      </c>
      <c r="C879" s="4">
        <f>IFERROR(__xludf.DUMMYFUNCTION("""COMPUTED_VALUE"""),10.0)</f>
        <v>10</v>
      </c>
      <c r="D879" s="2" t="str">
        <f>IFERROR(__xludf.DUMMYFUNCTION("""COMPUTED_VALUE"""),"AGRANI BANK LTD.")</f>
        <v>AGRANI BANK LTD.</v>
      </c>
      <c r="E879" s="2" t="str">
        <f>IFERROR(__xludf.DUMMYFUNCTION("""COMPUTED_VALUE"""),"BALAGANJ")</f>
        <v>BALAGANJ</v>
      </c>
      <c r="F879" s="4">
        <f>IFERROR(__xludf.DUMMYFUNCTION("""COMPUTED_VALUE"""),16.0)</f>
        <v>16</v>
      </c>
      <c r="G879" s="5">
        <f>IFERROR(__xludf.DUMMYFUNCTION("""COMPUTED_VALUE"""),1.0910164E7)</f>
        <v>10910164</v>
      </c>
    </row>
    <row r="880">
      <c r="A880" s="3">
        <f>IFERROR(__xludf.DUMMYFUNCTION("""COMPUTED_VALUE"""),891.0)</f>
        <v>891</v>
      </c>
      <c r="B880" s="2" t="str">
        <f>IFERROR(__xludf.DUMMYFUNCTION("""COMPUTED_VALUE"""),"SYLHET")</f>
        <v>SYLHET</v>
      </c>
      <c r="C880" s="4">
        <f>IFERROR(__xludf.DUMMYFUNCTION("""COMPUTED_VALUE"""),10.0)</f>
        <v>10</v>
      </c>
      <c r="D880" s="2" t="str">
        <f>IFERROR(__xludf.DUMMYFUNCTION("""COMPUTED_VALUE"""),"AGRANI BANK LTD.")</f>
        <v>AGRANI BANK LTD.</v>
      </c>
      <c r="E880" s="2" t="str">
        <f>IFERROR(__xludf.DUMMYFUNCTION("""COMPUTED_VALUE"""),"TAMABIL")</f>
        <v>TAMABIL</v>
      </c>
      <c r="F880" s="4">
        <f>IFERROR(__xludf.DUMMYFUNCTION("""COMPUTED_VALUE"""),17.0)</f>
        <v>17</v>
      </c>
      <c r="G880" s="5">
        <f>IFERROR(__xludf.DUMMYFUNCTION("""COMPUTED_VALUE"""),1.0910177E7)</f>
        <v>10910177</v>
      </c>
    </row>
    <row r="881">
      <c r="A881" s="3">
        <f>IFERROR(__xludf.DUMMYFUNCTION("""COMPUTED_VALUE"""),891.0)</f>
        <v>891</v>
      </c>
      <c r="B881" s="2" t="str">
        <f>IFERROR(__xludf.DUMMYFUNCTION("""COMPUTED_VALUE"""),"SYLHET")</f>
        <v>SYLHET</v>
      </c>
      <c r="C881" s="4">
        <f>IFERROR(__xludf.DUMMYFUNCTION("""COMPUTED_VALUE"""),10.0)</f>
        <v>10</v>
      </c>
      <c r="D881" s="2" t="str">
        <f>IFERROR(__xludf.DUMMYFUNCTION("""COMPUTED_VALUE"""),"AGRANI BANK LTD.")</f>
        <v>AGRANI BANK LTD.</v>
      </c>
      <c r="E881" s="2" t="str">
        <f>IFERROR(__xludf.DUMMYFUNCTION("""COMPUTED_VALUE"""),"BANDAR BAZAR")</f>
        <v>BANDAR BAZAR</v>
      </c>
      <c r="F881" s="4">
        <f>IFERROR(__xludf.DUMMYFUNCTION("""COMPUTED_VALUE"""),19.0)</f>
        <v>19</v>
      </c>
      <c r="G881" s="5">
        <f>IFERROR(__xludf.DUMMYFUNCTION("""COMPUTED_VALUE"""),1.0910193E7)</f>
        <v>10910193</v>
      </c>
    </row>
    <row r="882">
      <c r="A882" s="3">
        <f>IFERROR(__xludf.DUMMYFUNCTION("""COMPUTED_VALUE"""),891.0)</f>
        <v>891</v>
      </c>
      <c r="B882" s="2" t="str">
        <f>IFERROR(__xludf.DUMMYFUNCTION("""COMPUTED_VALUE"""),"SYLHET")</f>
        <v>SYLHET</v>
      </c>
      <c r="C882" s="4">
        <f>IFERROR(__xludf.DUMMYFUNCTION("""COMPUTED_VALUE"""),10.0)</f>
        <v>10</v>
      </c>
      <c r="D882" s="2" t="str">
        <f>IFERROR(__xludf.DUMMYFUNCTION("""COMPUTED_VALUE"""),"AGRANI BANK LTD.")</f>
        <v>AGRANI BANK LTD.</v>
      </c>
      <c r="E882" s="2" t="str">
        <f>IFERROR(__xludf.DUMMYFUNCTION("""COMPUTED_VALUE"""),"BEANI BAZAR")</f>
        <v>BEANI BAZAR</v>
      </c>
      <c r="F882" s="4">
        <f>IFERROR(__xludf.DUMMYFUNCTION("""COMPUTED_VALUE"""),31.0)</f>
        <v>31</v>
      </c>
      <c r="G882" s="5">
        <f>IFERROR(__xludf.DUMMYFUNCTION("""COMPUTED_VALUE"""),1.0910319E7)</f>
        <v>10910319</v>
      </c>
    </row>
    <row r="883">
      <c r="A883" s="3">
        <f>IFERROR(__xludf.DUMMYFUNCTION("""COMPUTED_VALUE"""),891.0)</f>
        <v>891</v>
      </c>
      <c r="B883" s="2" t="str">
        <f>IFERROR(__xludf.DUMMYFUNCTION("""COMPUTED_VALUE"""),"SYLHET")</f>
        <v>SYLHET</v>
      </c>
      <c r="C883" s="4">
        <f>IFERROR(__xludf.DUMMYFUNCTION("""COMPUTED_VALUE"""),10.0)</f>
        <v>10</v>
      </c>
      <c r="D883" s="2" t="str">
        <f>IFERROR(__xludf.DUMMYFUNCTION("""COMPUTED_VALUE"""),"AGRANI BANK LTD.")</f>
        <v>AGRANI BANK LTD.</v>
      </c>
      <c r="E883" s="2" t="str">
        <f>IFERROR(__xludf.DUMMYFUNCTION("""COMPUTED_VALUE"""),"BISHWANATH")</f>
        <v>BISHWANATH</v>
      </c>
      <c r="F883" s="4">
        <f>IFERROR(__xludf.DUMMYFUNCTION("""COMPUTED_VALUE"""),43.0)</f>
        <v>43</v>
      </c>
      <c r="G883" s="5">
        <f>IFERROR(__xludf.DUMMYFUNCTION("""COMPUTED_VALUE"""),1.091043E7)</f>
        <v>10910430</v>
      </c>
    </row>
    <row r="884">
      <c r="A884" s="3">
        <f>IFERROR(__xludf.DUMMYFUNCTION("""COMPUTED_VALUE"""),891.0)</f>
        <v>891</v>
      </c>
      <c r="B884" s="2" t="str">
        <f>IFERROR(__xludf.DUMMYFUNCTION("""COMPUTED_VALUE"""),"SYLHET")</f>
        <v>SYLHET</v>
      </c>
      <c r="C884" s="4">
        <f>IFERROR(__xludf.DUMMYFUNCTION("""COMPUTED_VALUE"""),10.0)</f>
        <v>10</v>
      </c>
      <c r="D884" s="2" t="str">
        <f>IFERROR(__xludf.DUMMYFUNCTION("""COMPUTED_VALUE"""),"AGRANI BANK LTD.")</f>
        <v>AGRANI BANK LTD.</v>
      </c>
      <c r="E884" s="2" t="str">
        <f>IFERROR(__xludf.DUMMYFUNCTION("""COMPUTED_VALUE"""),"BOALJURI")</f>
        <v>BOALJURI</v>
      </c>
      <c r="F884" s="4">
        <f>IFERROR(__xludf.DUMMYFUNCTION("""COMPUTED_VALUE"""),49.0)</f>
        <v>49</v>
      </c>
      <c r="G884" s="5">
        <f>IFERROR(__xludf.DUMMYFUNCTION("""COMPUTED_VALUE"""),1.0910498E7)</f>
        <v>10910498</v>
      </c>
    </row>
    <row r="885">
      <c r="A885" s="3">
        <f>IFERROR(__xludf.DUMMYFUNCTION("""COMPUTED_VALUE"""),891.0)</f>
        <v>891</v>
      </c>
      <c r="B885" s="2" t="str">
        <f>IFERROR(__xludf.DUMMYFUNCTION("""COMPUTED_VALUE"""),"SYLHET")</f>
        <v>SYLHET</v>
      </c>
      <c r="C885" s="4">
        <f>IFERROR(__xludf.DUMMYFUNCTION("""COMPUTED_VALUE"""),10.0)</f>
        <v>10</v>
      </c>
      <c r="D885" s="2" t="str">
        <f>IFERROR(__xludf.DUMMYFUNCTION("""COMPUTED_VALUE"""),"AGRANI BANK LTD.")</f>
        <v>AGRANI BANK LTD.</v>
      </c>
      <c r="E885" s="2" t="str">
        <f>IFERROR(__xludf.DUMMYFUNCTION("""COMPUTED_VALUE"""),"CHAGLI BAZAR")</f>
        <v>CHAGLI BAZAR</v>
      </c>
      <c r="F885" s="4">
        <f>IFERROR(__xludf.DUMMYFUNCTION("""COMPUTED_VALUE"""),61.0)</f>
        <v>61</v>
      </c>
      <c r="G885" s="5">
        <f>IFERROR(__xludf.DUMMYFUNCTION("""COMPUTED_VALUE"""),1.0910614E7)</f>
        <v>10910614</v>
      </c>
    </row>
    <row r="886">
      <c r="A886" s="3">
        <f>IFERROR(__xludf.DUMMYFUNCTION("""COMPUTED_VALUE"""),891.0)</f>
        <v>891</v>
      </c>
      <c r="B886" s="2" t="str">
        <f>IFERROR(__xludf.DUMMYFUNCTION("""COMPUTED_VALUE"""),"SYLHET")</f>
        <v>SYLHET</v>
      </c>
      <c r="C886" s="4">
        <f>IFERROR(__xludf.DUMMYFUNCTION("""COMPUTED_VALUE"""),10.0)</f>
        <v>10</v>
      </c>
      <c r="D886" s="2" t="str">
        <f>IFERROR(__xludf.DUMMYFUNCTION("""COMPUTED_VALUE"""),"AGRANI BANK LTD.")</f>
        <v>AGRANI BANK LTD.</v>
      </c>
      <c r="E886" s="2" t="str">
        <f>IFERROR(__xludf.DUMMYFUNCTION("""COMPUTED_VALUE"""),"CHAWK BAZAR")</f>
        <v>CHAWK BAZAR</v>
      </c>
      <c r="F886" s="4">
        <f>IFERROR(__xludf.DUMMYFUNCTION("""COMPUTED_VALUE"""),73.0)</f>
        <v>73</v>
      </c>
      <c r="G886" s="5">
        <f>IFERROR(__xludf.DUMMYFUNCTION("""COMPUTED_VALUE"""),1.0910735E7)</f>
        <v>10910735</v>
      </c>
    </row>
    <row r="887">
      <c r="A887" s="3">
        <f>IFERROR(__xludf.DUMMYFUNCTION("""COMPUTED_VALUE"""),891.0)</f>
        <v>891</v>
      </c>
      <c r="B887" s="2" t="str">
        <f>IFERROR(__xludf.DUMMYFUNCTION("""COMPUTED_VALUE"""),"SYLHET")</f>
        <v>SYLHET</v>
      </c>
      <c r="C887" s="4">
        <f>IFERROR(__xludf.DUMMYFUNCTION("""COMPUTED_VALUE"""),10.0)</f>
        <v>10</v>
      </c>
      <c r="D887" s="2" t="str">
        <f>IFERROR(__xludf.DUMMYFUNCTION("""COMPUTED_VALUE"""),"AGRANI BANK LTD.")</f>
        <v>AGRANI BANK LTD.</v>
      </c>
      <c r="E887" s="2" t="str">
        <f>IFERROR(__xludf.DUMMYFUNCTION("""COMPUTED_VALUE"""),"DEWAL GRAM")</f>
        <v>DEWAL GRAM</v>
      </c>
      <c r="F887" s="4">
        <f>IFERROR(__xludf.DUMMYFUNCTION("""COMPUTED_VALUE"""),124.0)</f>
        <v>124</v>
      </c>
      <c r="G887" s="5">
        <f>IFERROR(__xludf.DUMMYFUNCTION("""COMPUTED_VALUE"""),1.0911242E7)</f>
        <v>10911242</v>
      </c>
    </row>
    <row r="888">
      <c r="A888" s="3">
        <f>IFERROR(__xludf.DUMMYFUNCTION("""COMPUTED_VALUE"""),891.0)</f>
        <v>891</v>
      </c>
      <c r="B888" s="2" t="str">
        <f>IFERROR(__xludf.DUMMYFUNCTION("""COMPUTED_VALUE"""),"SYLHET")</f>
        <v>SYLHET</v>
      </c>
      <c r="C888" s="4">
        <f>IFERROR(__xludf.DUMMYFUNCTION("""COMPUTED_VALUE"""),10.0)</f>
        <v>10</v>
      </c>
      <c r="D888" s="2" t="str">
        <f>IFERROR(__xludf.DUMMYFUNCTION("""COMPUTED_VALUE"""),"AGRANI BANK LTD.")</f>
        <v>AGRANI BANK LTD.</v>
      </c>
      <c r="E888" s="2" t="str">
        <f>IFERROR(__xludf.DUMMYFUNCTION("""COMPUTED_VALUE"""),"DHAKA DAKHIN")</f>
        <v>DHAKA DAKHIN</v>
      </c>
      <c r="F888" s="4">
        <f>IFERROR(__xludf.DUMMYFUNCTION("""COMPUTED_VALUE"""),130.0)</f>
        <v>130</v>
      </c>
      <c r="G888" s="5">
        <f>IFERROR(__xludf.DUMMYFUNCTION("""COMPUTED_VALUE"""),1.0911305E7)</f>
        <v>10911305</v>
      </c>
    </row>
    <row r="889">
      <c r="A889" s="3">
        <f>IFERROR(__xludf.DUMMYFUNCTION("""COMPUTED_VALUE"""),891.0)</f>
        <v>891</v>
      </c>
      <c r="B889" s="2" t="str">
        <f>IFERROR(__xludf.DUMMYFUNCTION("""COMPUTED_VALUE"""),"SYLHET")</f>
        <v>SYLHET</v>
      </c>
      <c r="C889" s="4">
        <f>IFERROR(__xludf.DUMMYFUNCTION("""COMPUTED_VALUE"""),10.0)</f>
        <v>10</v>
      </c>
      <c r="D889" s="2" t="str">
        <f>IFERROR(__xludf.DUMMYFUNCTION("""COMPUTED_VALUE"""),"AGRANI BANK LTD.")</f>
        <v>AGRANI BANK LTD.</v>
      </c>
      <c r="E889" s="2" t="str">
        <f>IFERROR(__xludf.DUMMYFUNCTION("""COMPUTED_VALUE"""),"FENCHUGANJ")</f>
        <v>FENCHUGANJ</v>
      </c>
      <c r="F889" s="3">
        <f>IFERROR(__xludf.DUMMYFUNCTION("""COMPUTED_VALUE"""),136.0)</f>
        <v>136</v>
      </c>
      <c r="G889" s="5">
        <f>IFERROR(__xludf.DUMMYFUNCTION("""COMPUTED_VALUE"""),1.0911363E7)</f>
        <v>10911363</v>
      </c>
    </row>
    <row r="890">
      <c r="A890" s="3">
        <f>IFERROR(__xludf.DUMMYFUNCTION("""COMPUTED_VALUE"""),891.0)</f>
        <v>891</v>
      </c>
      <c r="B890" s="2" t="str">
        <f>IFERROR(__xludf.DUMMYFUNCTION("""COMPUTED_VALUE"""),"SYLHET")</f>
        <v>SYLHET</v>
      </c>
      <c r="C890" s="4">
        <f>IFERROR(__xludf.DUMMYFUNCTION("""COMPUTED_VALUE"""),10.0)</f>
        <v>10</v>
      </c>
      <c r="D890" s="2" t="str">
        <f>IFERROR(__xludf.DUMMYFUNCTION("""COMPUTED_VALUE"""),"AGRANI BANK LTD.")</f>
        <v>AGRANI BANK LTD.</v>
      </c>
      <c r="E890" s="2" t="str">
        <f>IFERROR(__xludf.DUMMYFUNCTION("""COMPUTED_VALUE"""),"GASBARI BAZAR")</f>
        <v>GASBARI BAZAR</v>
      </c>
      <c r="F890" s="3">
        <f>IFERROR(__xludf.DUMMYFUNCTION("""COMPUTED_VALUE"""),151.0)</f>
        <v>151</v>
      </c>
      <c r="G890" s="5">
        <f>IFERROR(__xludf.DUMMYFUNCTION("""COMPUTED_VALUE"""),1.0911518E7)</f>
        <v>10911518</v>
      </c>
    </row>
    <row r="891">
      <c r="A891" s="3">
        <f>IFERROR(__xludf.DUMMYFUNCTION("""COMPUTED_VALUE"""),891.0)</f>
        <v>891</v>
      </c>
      <c r="B891" s="2" t="str">
        <f>IFERROR(__xludf.DUMMYFUNCTION("""COMPUTED_VALUE"""),"SYLHET")</f>
        <v>SYLHET</v>
      </c>
      <c r="C891" s="4">
        <f>IFERROR(__xludf.DUMMYFUNCTION("""COMPUTED_VALUE"""),10.0)</f>
        <v>10</v>
      </c>
      <c r="D891" s="2" t="str">
        <f>IFERROR(__xludf.DUMMYFUNCTION("""COMPUTED_VALUE"""),"AGRANI BANK LTD.")</f>
        <v>AGRANI BANK LTD.</v>
      </c>
      <c r="E891" s="2" t="str">
        <f>IFERROR(__xludf.DUMMYFUNCTION("""COMPUTED_VALUE"""),"GOALA BAZAR")</f>
        <v>GOALA BAZAR</v>
      </c>
      <c r="F891" s="3">
        <f>IFERROR(__xludf.DUMMYFUNCTION("""COMPUTED_VALUE"""),154.0)</f>
        <v>154</v>
      </c>
      <c r="G891" s="5">
        <f>IFERROR(__xludf.DUMMYFUNCTION("""COMPUTED_VALUE"""),1.0911547E7)</f>
        <v>10911547</v>
      </c>
    </row>
    <row r="892">
      <c r="A892" s="3">
        <f>IFERROR(__xludf.DUMMYFUNCTION("""COMPUTED_VALUE"""),891.0)</f>
        <v>891</v>
      </c>
      <c r="B892" s="2" t="str">
        <f>IFERROR(__xludf.DUMMYFUNCTION("""COMPUTED_VALUE"""),"SYLHET")</f>
        <v>SYLHET</v>
      </c>
      <c r="C892" s="4">
        <f>IFERROR(__xludf.DUMMYFUNCTION("""COMPUTED_VALUE"""),10.0)</f>
        <v>10</v>
      </c>
      <c r="D892" s="2" t="str">
        <f>IFERROR(__xludf.DUMMYFUNCTION("""COMPUTED_VALUE"""),"AGRANI BANK LTD.")</f>
        <v>AGRANI BANK LTD.</v>
      </c>
      <c r="E892" s="2" t="str">
        <f>IFERROR(__xludf.DUMMYFUNCTION("""COMPUTED_VALUE"""),"GODOWN BAZAR")</f>
        <v>GODOWN BAZAR</v>
      </c>
      <c r="F892" s="3">
        <f>IFERROR(__xludf.DUMMYFUNCTION("""COMPUTED_VALUE"""),157.0)</f>
        <v>157</v>
      </c>
      <c r="G892" s="5">
        <f>IFERROR(__xludf.DUMMYFUNCTION("""COMPUTED_VALUE"""),1.0911576E7)</f>
        <v>10911576</v>
      </c>
    </row>
    <row r="893">
      <c r="A893" s="3">
        <f>IFERROR(__xludf.DUMMYFUNCTION("""COMPUTED_VALUE"""),891.0)</f>
        <v>891</v>
      </c>
      <c r="B893" s="2" t="str">
        <f>IFERROR(__xludf.DUMMYFUNCTION("""COMPUTED_VALUE"""),"SYLHET")</f>
        <v>SYLHET</v>
      </c>
      <c r="C893" s="4">
        <f>IFERROR(__xludf.DUMMYFUNCTION("""COMPUTED_VALUE"""),10.0)</f>
        <v>10</v>
      </c>
      <c r="D893" s="2" t="str">
        <f>IFERROR(__xludf.DUMMYFUNCTION("""COMPUTED_VALUE"""),"AGRANI BANK LTD.")</f>
        <v>AGRANI BANK LTD.</v>
      </c>
      <c r="E893" s="2" t="str">
        <f>IFERROR(__xludf.DUMMYFUNCTION("""COMPUTED_VALUE"""),"GOLAPGANJ")</f>
        <v>GOLAPGANJ</v>
      </c>
      <c r="F893" s="3">
        <f>IFERROR(__xludf.DUMMYFUNCTION("""COMPUTED_VALUE"""),160.0)</f>
        <v>160</v>
      </c>
      <c r="G893" s="5">
        <f>IFERROR(__xludf.DUMMYFUNCTION("""COMPUTED_VALUE"""),1.09116E7)</f>
        <v>10911600</v>
      </c>
    </row>
    <row r="894">
      <c r="A894" s="3">
        <f>IFERROR(__xludf.DUMMYFUNCTION("""COMPUTED_VALUE"""),891.0)</f>
        <v>891</v>
      </c>
      <c r="B894" s="2" t="str">
        <f>IFERROR(__xludf.DUMMYFUNCTION("""COMPUTED_VALUE"""),"SYLHET")</f>
        <v>SYLHET</v>
      </c>
      <c r="C894" s="4">
        <f>IFERROR(__xludf.DUMMYFUNCTION("""COMPUTED_VALUE"""),10.0)</f>
        <v>10</v>
      </c>
      <c r="D894" s="2" t="str">
        <f>IFERROR(__xludf.DUMMYFUNCTION("""COMPUTED_VALUE"""),"AGRANI BANK LTD.")</f>
        <v>AGRANI BANK LTD.</v>
      </c>
      <c r="E894" s="2" t="str">
        <f>IFERROR(__xludf.DUMMYFUNCTION("""COMPUTED_VALUE"""),"HARIPUR GAS FIELD")</f>
        <v>HARIPUR GAS FIELD</v>
      </c>
      <c r="F894" s="3">
        <f>IFERROR(__xludf.DUMMYFUNCTION("""COMPUTED_VALUE"""),172.0)</f>
        <v>172</v>
      </c>
      <c r="G894" s="5">
        <f>IFERROR(__xludf.DUMMYFUNCTION("""COMPUTED_VALUE"""),1.0911721E7)</f>
        <v>10911721</v>
      </c>
    </row>
    <row r="895">
      <c r="A895" s="3">
        <f>IFERROR(__xludf.DUMMYFUNCTION("""COMPUTED_VALUE"""),891.0)</f>
        <v>891</v>
      </c>
      <c r="B895" s="2" t="str">
        <f>IFERROR(__xludf.DUMMYFUNCTION("""COMPUTED_VALUE"""),"SYLHET")</f>
        <v>SYLHET</v>
      </c>
      <c r="C895" s="4">
        <f>IFERROR(__xludf.DUMMYFUNCTION("""COMPUTED_VALUE"""),10.0)</f>
        <v>10</v>
      </c>
      <c r="D895" s="2" t="str">
        <f>IFERROR(__xludf.DUMMYFUNCTION("""COMPUTED_VALUE"""),"AGRANI BANK LTD.")</f>
        <v>AGRANI BANK LTD.</v>
      </c>
      <c r="E895" s="2" t="str">
        <f>IFERROR(__xludf.DUMMYFUNCTION("""COMPUTED_VALUE"""),"HETIMGANJ")</f>
        <v>HETIMGANJ</v>
      </c>
      <c r="F895" s="3">
        <f>IFERROR(__xludf.DUMMYFUNCTION("""COMPUTED_VALUE"""),175.0)</f>
        <v>175</v>
      </c>
      <c r="G895" s="5">
        <f>IFERROR(__xludf.DUMMYFUNCTION("""COMPUTED_VALUE"""),1.091175E7)</f>
        <v>10911750</v>
      </c>
    </row>
    <row r="896">
      <c r="A896" s="3">
        <f>IFERROR(__xludf.DUMMYFUNCTION("""COMPUTED_VALUE"""),891.0)</f>
        <v>891</v>
      </c>
      <c r="B896" s="2" t="str">
        <f>IFERROR(__xludf.DUMMYFUNCTION("""COMPUTED_VALUE"""),"SYLHET")</f>
        <v>SYLHET</v>
      </c>
      <c r="C896" s="4">
        <f>IFERROR(__xludf.DUMMYFUNCTION("""COMPUTED_VALUE"""),10.0)</f>
        <v>10</v>
      </c>
      <c r="D896" s="2" t="str">
        <f>IFERROR(__xludf.DUMMYFUNCTION("""COMPUTED_VALUE"""),"AGRANI BANK LTD.")</f>
        <v>AGRANI BANK LTD.</v>
      </c>
      <c r="E896" s="2" t="str">
        <f>IFERROR(__xludf.DUMMYFUNCTION("""COMPUTED_VALUE"""),"JALALPUR BAZAR")</f>
        <v>JALALPUR BAZAR</v>
      </c>
      <c r="F896" s="3">
        <f>IFERROR(__xludf.DUMMYFUNCTION("""COMPUTED_VALUE"""),187.0)</f>
        <v>187</v>
      </c>
      <c r="G896" s="5">
        <f>IFERROR(__xludf.DUMMYFUNCTION("""COMPUTED_VALUE"""),1.0911871E7)</f>
        <v>10911871</v>
      </c>
    </row>
    <row r="897">
      <c r="A897" s="3">
        <f>IFERROR(__xludf.DUMMYFUNCTION("""COMPUTED_VALUE"""),891.0)</f>
        <v>891</v>
      </c>
      <c r="B897" s="2" t="str">
        <f>IFERROR(__xludf.DUMMYFUNCTION("""COMPUTED_VALUE"""),"SYLHET")</f>
        <v>SYLHET</v>
      </c>
      <c r="C897" s="4">
        <f>IFERROR(__xludf.DUMMYFUNCTION("""COMPUTED_VALUE"""),10.0)</f>
        <v>10</v>
      </c>
      <c r="D897" s="2" t="str">
        <f>IFERROR(__xludf.DUMMYFUNCTION("""COMPUTED_VALUE"""),"AGRANI BANK LTD.")</f>
        <v>AGRANI BANK LTD.</v>
      </c>
      <c r="E897" s="2" t="str">
        <f>IFERROR(__xludf.DUMMYFUNCTION("""COMPUTED_VALUE"""),"KAKORDI BAZAR")</f>
        <v>KAKORDI BAZAR</v>
      </c>
      <c r="F897" s="3">
        <f>IFERROR(__xludf.DUMMYFUNCTION("""COMPUTED_VALUE"""),193.0)</f>
        <v>193</v>
      </c>
      <c r="G897" s="5">
        <f>IFERROR(__xludf.DUMMYFUNCTION("""COMPUTED_VALUE"""),1.0911934E7)</f>
        <v>10911934</v>
      </c>
    </row>
    <row r="898">
      <c r="A898" s="3">
        <f>IFERROR(__xludf.DUMMYFUNCTION("""COMPUTED_VALUE"""),891.0)</f>
        <v>891</v>
      </c>
      <c r="B898" s="2" t="str">
        <f>IFERROR(__xludf.DUMMYFUNCTION("""COMPUTED_VALUE"""),"SYLHET")</f>
        <v>SYLHET</v>
      </c>
      <c r="C898" s="4">
        <f>IFERROR(__xludf.DUMMYFUNCTION("""COMPUTED_VALUE"""),10.0)</f>
        <v>10</v>
      </c>
      <c r="D898" s="2" t="str">
        <f>IFERROR(__xludf.DUMMYFUNCTION("""COMPUTED_VALUE"""),"AGRANI BANK LTD.")</f>
        <v>AGRANI BANK LTD.</v>
      </c>
      <c r="E898" s="2" t="str">
        <f>IFERROR(__xludf.DUMMYFUNCTION("""COMPUTED_VALUE"""),"KALIGANJ")</f>
        <v>KALIGANJ</v>
      </c>
      <c r="F898" s="3">
        <f>IFERROR(__xludf.DUMMYFUNCTION("""COMPUTED_VALUE"""),199.0)</f>
        <v>199</v>
      </c>
      <c r="G898" s="5">
        <f>IFERROR(__xludf.DUMMYFUNCTION("""COMPUTED_VALUE"""),1.0911992E7)</f>
        <v>10911992</v>
      </c>
    </row>
    <row r="899">
      <c r="A899" s="3">
        <f>IFERROR(__xludf.DUMMYFUNCTION("""COMPUTED_VALUE"""),891.0)</f>
        <v>891</v>
      </c>
      <c r="B899" s="2" t="str">
        <f>IFERROR(__xludf.DUMMYFUNCTION("""COMPUTED_VALUE"""),"SYLHET")</f>
        <v>SYLHET</v>
      </c>
      <c r="C899" s="4">
        <f>IFERROR(__xludf.DUMMYFUNCTION("""COMPUTED_VALUE"""),10.0)</f>
        <v>10</v>
      </c>
      <c r="D899" s="2" t="str">
        <f>IFERROR(__xludf.DUMMYFUNCTION("""COMPUTED_VALUE"""),"AGRANI BANK LTD.")</f>
        <v>AGRANI BANK LTD.</v>
      </c>
      <c r="E899" s="2" t="str">
        <f>IFERROR(__xludf.DUMMYFUNCTION("""COMPUTED_VALUE"""),"KAZIR BAZAR")</f>
        <v>KAZIR BAZAR</v>
      </c>
      <c r="F899" s="3">
        <f>IFERROR(__xludf.DUMMYFUNCTION("""COMPUTED_VALUE"""),214.0)</f>
        <v>214</v>
      </c>
      <c r="G899" s="5">
        <f>IFERROR(__xludf.DUMMYFUNCTION("""COMPUTED_VALUE"""),1.0912146E7)</f>
        <v>10912146</v>
      </c>
    </row>
    <row r="900">
      <c r="A900" s="3">
        <f>IFERROR(__xludf.DUMMYFUNCTION("""COMPUTED_VALUE"""),891.0)</f>
        <v>891</v>
      </c>
      <c r="B900" s="2" t="str">
        <f>IFERROR(__xludf.DUMMYFUNCTION("""COMPUTED_VALUE"""),"SYLHET")</f>
        <v>SYLHET</v>
      </c>
      <c r="C900" s="4">
        <f>IFERROR(__xludf.DUMMYFUNCTION("""COMPUTED_VALUE"""),10.0)</f>
        <v>10</v>
      </c>
      <c r="D900" s="2" t="str">
        <f>IFERROR(__xludf.DUMMYFUNCTION("""COMPUTED_VALUE"""),"AGRANI BANK LTD.")</f>
        <v>AGRANI BANK LTD.</v>
      </c>
      <c r="E900" s="2" t="str">
        <f>IFERROR(__xludf.DUMMYFUNCTION("""COMPUTED_VALUE"""),"KUCHAI")</f>
        <v>KUCHAI</v>
      </c>
      <c r="F900" s="3">
        <f>IFERROR(__xludf.DUMMYFUNCTION("""COMPUTED_VALUE"""),232.0)</f>
        <v>232</v>
      </c>
      <c r="G900" s="5">
        <f>IFERROR(__xludf.DUMMYFUNCTION("""COMPUTED_VALUE"""),1.091232E7)</f>
        <v>10912320</v>
      </c>
    </row>
    <row r="901">
      <c r="A901" s="3">
        <f>IFERROR(__xludf.DUMMYFUNCTION("""COMPUTED_VALUE"""),891.0)</f>
        <v>891</v>
      </c>
      <c r="B901" s="2" t="str">
        <f>IFERROR(__xludf.DUMMYFUNCTION("""COMPUTED_VALUE"""),"SYLHET")</f>
        <v>SYLHET</v>
      </c>
      <c r="C901" s="4">
        <f>IFERROR(__xludf.DUMMYFUNCTION("""COMPUTED_VALUE"""),10.0)</f>
        <v>10</v>
      </c>
      <c r="D901" s="2" t="str">
        <f>IFERROR(__xludf.DUMMYFUNCTION("""COMPUTED_VALUE"""),"AGRANI BANK LTD.")</f>
        <v>AGRANI BANK LTD.</v>
      </c>
      <c r="E901" s="2" t="str">
        <f>IFERROR(__xludf.DUMMYFUNCTION("""COMPUTED_VALUE"""),"LALA BAZAR")</f>
        <v>LALA BAZAR</v>
      </c>
      <c r="F901" s="3">
        <f>IFERROR(__xludf.DUMMYFUNCTION("""COMPUTED_VALUE"""),247.0)</f>
        <v>247</v>
      </c>
      <c r="G901" s="5">
        <f>IFERROR(__xludf.DUMMYFUNCTION("""COMPUTED_VALUE"""),1.091247E7)</f>
        <v>10912470</v>
      </c>
    </row>
    <row r="902">
      <c r="A902" s="3">
        <f>IFERROR(__xludf.DUMMYFUNCTION("""COMPUTED_VALUE"""),891.0)</f>
        <v>891</v>
      </c>
      <c r="B902" s="2" t="str">
        <f>IFERROR(__xludf.DUMMYFUNCTION("""COMPUTED_VALUE"""),"SYLHET")</f>
        <v>SYLHET</v>
      </c>
      <c r="C902" s="4">
        <f>IFERROR(__xludf.DUMMYFUNCTION("""COMPUTED_VALUE"""),10.0)</f>
        <v>10</v>
      </c>
      <c r="D902" s="2" t="str">
        <f>IFERROR(__xludf.DUMMYFUNCTION("""COMPUTED_VALUE"""),"AGRANI BANK LTD.")</f>
        <v>AGRANI BANK LTD.</v>
      </c>
      <c r="E902" s="2" t="str">
        <f>IFERROR(__xludf.DUMMYFUNCTION("""COMPUTED_VALUE"""),"LALDIGHIRPAR")</f>
        <v>LALDIGHIRPAR</v>
      </c>
      <c r="F902" s="3">
        <f>IFERROR(__xludf.DUMMYFUNCTION("""COMPUTED_VALUE"""),250.0)</f>
        <v>250</v>
      </c>
      <c r="G902" s="5">
        <f>IFERROR(__xludf.DUMMYFUNCTION("""COMPUTED_VALUE"""),1.0912504E7)</f>
        <v>10912504</v>
      </c>
    </row>
    <row r="903">
      <c r="A903" s="3">
        <f>IFERROR(__xludf.DUMMYFUNCTION("""COMPUTED_VALUE"""),891.0)</f>
        <v>891</v>
      </c>
      <c r="B903" s="2" t="str">
        <f>IFERROR(__xludf.DUMMYFUNCTION("""COMPUTED_VALUE"""),"SYLHET")</f>
        <v>SYLHET</v>
      </c>
      <c r="C903" s="4">
        <f>IFERROR(__xludf.DUMMYFUNCTION("""COMPUTED_VALUE"""),10.0)</f>
        <v>10</v>
      </c>
      <c r="D903" s="2" t="str">
        <f>IFERROR(__xludf.DUMMYFUNCTION("""COMPUTED_VALUE"""),"AGRANI BANK LTD.")</f>
        <v>AGRANI BANK LTD.</v>
      </c>
      <c r="E903" s="2" t="str">
        <f>IFERROR(__xludf.DUMMYFUNCTION("""COMPUTED_VALUE"""),"MATHIURA(EIDGHA)")</f>
        <v>MATHIURA(EIDGHA)</v>
      </c>
      <c r="F903" s="3">
        <f>IFERROR(__xludf.DUMMYFUNCTION("""COMPUTED_VALUE"""),256.0)</f>
        <v>256</v>
      </c>
      <c r="G903" s="5">
        <f>IFERROR(__xludf.DUMMYFUNCTION("""COMPUTED_VALUE"""),1.0912562E7)</f>
        <v>10912562</v>
      </c>
    </row>
    <row r="904">
      <c r="A904" s="3">
        <f>IFERROR(__xludf.DUMMYFUNCTION("""COMPUTED_VALUE"""),891.0)</f>
        <v>891</v>
      </c>
      <c r="B904" s="2" t="str">
        <f>IFERROR(__xludf.DUMMYFUNCTION("""COMPUTED_VALUE"""),"SYLHET")</f>
        <v>SYLHET</v>
      </c>
      <c r="C904" s="4">
        <f>IFERROR(__xludf.DUMMYFUNCTION("""COMPUTED_VALUE"""),10.0)</f>
        <v>10</v>
      </c>
      <c r="D904" s="2" t="str">
        <f>IFERROR(__xludf.DUMMYFUNCTION("""COMPUTED_VALUE"""),"AGRANI BANK LTD.")</f>
        <v>AGRANI BANK LTD.</v>
      </c>
      <c r="E904" s="2" t="str">
        <f>IFERROR(__xludf.DUMMYFUNCTION("""COMPUTED_VALUE"""),"RADHANAGAR BAZAR")</f>
        <v>RADHANAGAR BAZAR</v>
      </c>
      <c r="F904" s="3">
        <f>IFERROR(__xludf.DUMMYFUNCTION("""COMPUTED_VALUE"""),292.0)</f>
        <v>292</v>
      </c>
      <c r="G904" s="5">
        <f>IFERROR(__xludf.DUMMYFUNCTION("""COMPUTED_VALUE"""),1.091292E7)</f>
        <v>10912920</v>
      </c>
    </row>
    <row r="905">
      <c r="A905" s="3">
        <f>IFERROR(__xludf.DUMMYFUNCTION("""COMPUTED_VALUE"""),891.0)</f>
        <v>891</v>
      </c>
      <c r="B905" s="2" t="str">
        <f>IFERROR(__xludf.DUMMYFUNCTION("""COMPUTED_VALUE"""),"SYLHET")</f>
        <v>SYLHET</v>
      </c>
      <c r="C905" s="4">
        <f>IFERROR(__xludf.DUMMYFUNCTION("""COMPUTED_VALUE"""),10.0)</f>
        <v>10</v>
      </c>
      <c r="D905" s="2" t="str">
        <f>IFERROR(__xludf.DUMMYFUNCTION("""COMPUTED_VALUE"""),"AGRANI BANK LTD.")</f>
        <v>AGRANI BANK LTD.</v>
      </c>
      <c r="E905" s="2" t="str">
        <f>IFERROR(__xludf.DUMMYFUNCTION("""COMPUTED_VALUE"""),"RAMDHA BAZAR")</f>
        <v>RAMDHA BAZAR</v>
      </c>
      <c r="F905" s="3">
        <f>IFERROR(__xludf.DUMMYFUNCTION("""COMPUTED_VALUE"""),298.0)</f>
        <v>298</v>
      </c>
      <c r="G905" s="5">
        <f>IFERROR(__xludf.DUMMYFUNCTION("""COMPUTED_VALUE"""),1.0912988E7)</f>
        <v>10912988</v>
      </c>
    </row>
    <row r="906">
      <c r="A906" s="3">
        <f>IFERROR(__xludf.DUMMYFUNCTION("""COMPUTED_VALUE"""),891.0)</f>
        <v>891</v>
      </c>
      <c r="B906" s="2" t="str">
        <f>IFERROR(__xludf.DUMMYFUNCTION("""COMPUTED_VALUE"""),"SYLHET")</f>
        <v>SYLHET</v>
      </c>
      <c r="C906" s="4">
        <f>IFERROR(__xludf.DUMMYFUNCTION("""COMPUTED_VALUE"""),10.0)</f>
        <v>10</v>
      </c>
      <c r="D906" s="2" t="str">
        <f>IFERROR(__xludf.DUMMYFUNCTION("""COMPUTED_VALUE"""),"AGRANI BANK LTD.")</f>
        <v>AGRANI BANK LTD.</v>
      </c>
      <c r="E906" s="2" t="str">
        <f>IFERROR(__xludf.DUMMYFUNCTION("""COMPUTED_VALUE"""),"SALUTIKAR BAZAR")</f>
        <v>SALUTIKAR BAZAR</v>
      </c>
      <c r="F906" s="3">
        <f>IFERROR(__xludf.DUMMYFUNCTION("""COMPUTED_VALUE"""),313.0)</f>
        <v>313</v>
      </c>
      <c r="G906" s="5">
        <f>IFERROR(__xludf.DUMMYFUNCTION("""COMPUTED_VALUE"""),1.0913132E7)</f>
        <v>10913132</v>
      </c>
    </row>
    <row r="907">
      <c r="A907" s="3">
        <f>IFERROR(__xludf.DUMMYFUNCTION("""COMPUTED_VALUE"""),891.0)</f>
        <v>891</v>
      </c>
      <c r="B907" s="2" t="str">
        <f>IFERROR(__xludf.DUMMYFUNCTION("""COMPUTED_VALUE"""),"SYLHET")</f>
        <v>SYLHET</v>
      </c>
      <c r="C907" s="4">
        <f>IFERROR(__xludf.DUMMYFUNCTION("""COMPUTED_VALUE"""),10.0)</f>
        <v>10</v>
      </c>
      <c r="D907" s="2" t="str">
        <f>IFERROR(__xludf.DUMMYFUNCTION("""COMPUTED_VALUE"""),"AGRANI BANK LTD.")</f>
        <v>AGRANI BANK LTD.</v>
      </c>
      <c r="E907" s="2" t="str">
        <f>IFERROR(__xludf.DUMMYFUNCTION("""COMPUTED_VALUE"""),"SARAKAR BAZAR")</f>
        <v>SARAKAR BAZAR</v>
      </c>
      <c r="F907" s="3">
        <f>IFERROR(__xludf.DUMMYFUNCTION("""COMPUTED_VALUE"""),316.0)</f>
        <v>316</v>
      </c>
      <c r="G907" s="5">
        <f>IFERROR(__xludf.DUMMYFUNCTION("""COMPUTED_VALUE"""),1.0913161E7)</f>
        <v>10913161</v>
      </c>
    </row>
    <row r="908">
      <c r="A908" s="3">
        <f>IFERROR(__xludf.DUMMYFUNCTION("""COMPUTED_VALUE"""),891.0)</f>
        <v>891</v>
      </c>
      <c r="B908" s="2" t="str">
        <f>IFERROR(__xludf.DUMMYFUNCTION("""COMPUTED_VALUE"""),"SYLHET")</f>
        <v>SYLHET</v>
      </c>
      <c r="C908" s="4">
        <f>IFERROR(__xludf.DUMMYFUNCTION("""COMPUTED_VALUE"""),10.0)</f>
        <v>10</v>
      </c>
      <c r="D908" s="2" t="str">
        <f>IFERROR(__xludf.DUMMYFUNCTION("""COMPUTED_VALUE"""),"AGRANI BANK LTD.")</f>
        <v>AGRANI BANK LTD.</v>
      </c>
      <c r="E908" s="2" t="str">
        <f>IFERROR(__xludf.DUMMYFUNCTION("""COMPUTED_VALUE"""),"SHIBGANJ")</f>
        <v>SHIBGANJ</v>
      </c>
      <c r="F908" s="3">
        <f>IFERROR(__xludf.DUMMYFUNCTION("""COMPUTED_VALUE"""),340.0)</f>
        <v>340</v>
      </c>
      <c r="G908" s="5">
        <f>IFERROR(__xludf.DUMMYFUNCTION("""COMPUTED_VALUE"""),1.0913408E7)</f>
        <v>10913408</v>
      </c>
    </row>
    <row r="909">
      <c r="A909" s="3">
        <f>IFERROR(__xludf.DUMMYFUNCTION("""COMPUTED_VALUE"""),891.0)</f>
        <v>891</v>
      </c>
      <c r="B909" s="2" t="str">
        <f>IFERROR(__xludf.DUMMYFUNCTION("""COMPUTED_VALUE"""),"SYLHET")</f>
        <v>SYLHET</v>
      </c>
      <c r="C909" s="4">
        <f>IFERROR(__xludf.DUMMYFUNCTION("""COMPUTED_VALUE"""),10.0)</f>
        <v>10</v>
      </c>
      <c r="D909" s="2" t="str">
        <f>IFERROR(__xludf.DUMMYFUNCTION("""COMPUTED_VALUE"""),"AGRANI BANK LTD.")</f>
        <v>AGRANI BANK LTD.</v>
      </c>
      <c r="E909" s="2" t="str">
        <f>IFERROR(__xludf.DUMMYFUNCTION("""COMPUTED_VALUE"""),"STATION ROAD")</f>
        <v>STATION ROAD</v>
      </c>
      <c r="F909" s="3">
        <f>IFERROR(__xludf.DUMMYFUNCTION("""COMPUTED_VALUE"""),346.0)</f>
        <v>346</v>
      </c>
      <c r="G909" s="5">
        <f>IFERROR(__xludf.DUMMYFUNCTION("""COMPUTED_VALUE"""),1.0913466E7)</f>
        <v>10913466</v>
      </c>
    </row>
    <row r="910">
      <c r="A910" s="3">
        <f>IFERROR(__xludf.DUMMYFUNCTION("""COMPUTED_VALUE"""),891.0)</f>
        <v>891</v>
      </c>
      <c r="B910" s="2" t="str">
        <f>IFERROR(__xludf.DUMMYFUNCTION("""COMPUTED_VALUE"""),"SYLHET")</f>
        <v>SYLHET</v>
      </c>
      <c r="C910" s="4">
        <f>IFERROR(__xludf.DUMMYFUNCTION("""COMPUTED_VALUE"""),10.0)</f>
        <v>10</v>
      </c>
      <c r="D910" s="2" t="str">
        <f>IFERROR(__xludf.DUMMYFUNCTION("""COMPUTED_VALUE"""),"AGRANI BANK LTD.")</f>
        <v>AGRANI BANK LTD.</v>
      </c>
      <c r="E910" s="2" t="str">
        <f>IFERROR(__xludf.DUMMYFUNCTION("""COMPUTED_VALUE"""),"SUBID BAZAR")</f>
        <v>SUBID BAZAR</v>
      </c>
      <c r="F910" s="3">
        <f>IFERROR(__xludf.DUMMYFUNCTION("""COMPUTED_VALUE"""),349.0)</f>
        <v>349</v>
      </c>
      <c r="G910" s="5">
        <f>IFERROR(__xludf.DUMMYFUNCTION("""COMPUTED_VALUE"""),1.0913495E7)</f>
        <v>10913495</v>
      </c>
    </row>
    <row r="911">
      <c r="A911" s="3">
        <f>IFERROR(__xludf.DUMMYFUNCTION("""COMPUTED_VALUE"""),891.0)</f>
        <v>891</v>
      </c>
      <c r="B911" s="2" t="str">
        <f>IFERROR(__xludf.DUMMYFUNCTION("""COMPUTED_VALUE"""),"SYLHET")</f>
        <v>SYLHET</v>
      </c>
      <c r="C911" s="4">
        <f>IFERROR(__xludf.DUMMYFUNCTION("""COMPUTED_VALUE"""),10.0)</f>
        <v>10</v>
      </c>
      <c r="D911" s="2" t="str">
        <f>IFERROR(__xludf.DUMMYFUNCTION("""COMPUTED_VALUE"""),"AGRANI BANK LTD.")</f>
        <v>AGRANI BANK LTD.</v>
      </c>
      <c r="E911" s="2" t="str">
        <f>IFERROR(__xludf.DUMMYFUNCTION("""COMPUTED_VALUE"""),"UMARPUR BAZAR")</f>
        <v>UMARPUR BAZAR</v>
      </c>
      <c r="F911" s="3">
        <f>IFERROR(__xludf.DUMMYFUNCTION("""COMPUTED_VALUE"""),400.0)</f>
        <v>400</v>
      </c>
      <c r="G911" s="5">
        <f>IFERROR(__xludf.DUMMYFUNCTION("""COMPUTED_VALUE"""),1.0914007E7)</f>
        <v>10914007</v>
      </c>
    </row>
    <row r="912">
      <c r="A912" s="3">
        <f>IFERROR(__xludf.DUMMYFUNCTION("""COMPUTED_VALUE"""),891.0)</f>
        <v>891</v>
      </c>
      <c r="B912" s="2" t="str">
        <f>IFERROR(__xludf.DUMMYFUNCTION("""COMPUTED_VALUE"""),"SYLHET")</f>
        <v>SYLHET</v>
      </c>
      <c r="C912" s="4">
        <f>IFERROR(__xludf.DUMMYFUNCTION("""COMPUTED_VALUE"""),10.0)</f>
        <v>10</v>
      </c>
      <c r="D912" s="2" t="str">
        <f>IFERROR(__xludf.DUMMYFUNCTION("""COMPUTED_VALUE"""),"AGRANI BANK LTD.")</f>
        <v>AGRANI BANK LTD.</v>
      </c>
      <c r="E912" s="2" t="str">
        <f>IFERROR(__xludf.DUMMYFUNCTION("""COMPUTED_VALUE"""),"ZINDA BAZAR")</f>
        <v>ZINDA BAZAR</v>
      </c>
      <c r="F912" s="3">
        <f>IFERROR(__xludf.DUMMYFUNCTION("""COMPUTED_VALUE"""),415.0)</f>
        <v>415</v>
      </c>
      <c r="G912" s="5">
        <f>IFERROR(__xludf.DUMMYFUNCTION("""COMPUTED_VALUE"""),1.0914157E7)</f>
        <v>10914157</v>
      </c>
    </row>
    <row r="913">
      <c r="A913" s="3">
        <f>IFERROR(__xludf.DUMMYFUNCTION("""COMPUTED_VALUE"""),193.0)</f>
        <v>193</v>
      </c>
      <c r="B913" s="2" t="str">
        <f>IFERROR(__xludf.DUMMYFUNCTION("""COMPUTED_VALUE"""),"TANGAIL")</f>
        <v>TANGAIL</v>
      </c>
      <c r="C913" s="4">
        <f>IFERROR(__xludf.DUMMYFUNCTION("""COMPUTED_VALUE"""),10.0)</f>
        <v>10</v>
      </c>
      <c r="D913" s="2" t="str">
        <f>IFERROR(__xludf.DUMMYFUNCTION("""COMPUTED_VALUE"""),"AGRANI BANK LTD.")</f>
        <v>AGRANI BANK LTD.</v>
      </c>
      <c r="E913" s="2" t="str">
        <f>IFERROR(__xludf.DUMMYFUNCTION("""COMPUTED_VALUE"""),"AISHARA")</f>
        <v>AISHARA</v>
      </c>
      <c r="F913" s="3">
        <f>IFERROR(__xludf.DUMMYFUNCTION("""COMPUTED_VALUE"""),4.0)</f>
        <v>4</v>
      </c>
      <c r="G913" s="5">
        <f>IFERROR(__xludf.DUMMYFUNCTION("""COMPUTED_VALUE"""),1.0930049E7)</f>
        <v>10930049</v>
      </c>
    </row>
    <row r="914">
      <c r="A914" s="3">
        <f>IFERROR(__xludf.DUMMYFUNCTION("""COMPUTED_VALUE"""),193.0)</f>
        <v>193</v>
      </c>
      <c r="B914" s="2" t="str">
        <f>IFERROR(__xludf.DUMMYFUNCTION("""COMPUTED_VALUE"""),"TANGAIL")</f>
        <v>TANGAIL</v>
      </c>
      <c r="C914" s="4">
        <f>IFERROR(__xludf.DUMMYFUNCTION("""COMPUTED_VALUE"""),10.0)</f>
        <v>10</v>
      </c>
      <c r="D914" s="2" t="str">
        <f>IFERROR(__xludf.DUMMYFUNCTION("""COMPUTED_VALUE"""),"AGRANI BANK LTD.")</f>
        <v>AGRANI BANK LTD.</v>
      </c>
      <c r="E914" s="2" t="str">
        <f>IFERROR(__xludf.DUMMYFUNCTION("""COMPUTED_VALUE"""),"CHAPRI BAZAR")</f>
        <v>CHAPRI BAZAR</v>
      </c>
      <c r="F914" s="3">
        <f>IFERROR(__xludf.DUMMYFUNCTION("""COMPUTED_VALUE"""),6.0)</f>
        <v>6</v>
      </c>
      <c r="G914" s="5">
        <f>IFERROR(__xludf.DUMMYFUNCTION("""COMPUTED_VALUE"""),1.0930065E7)</f>
        <v>10930065</v>
      </c>
    </row>
    <row r="915">
      <c r="A915" s="3">
        <f>IFERROR(__xludf.DUMMYFUNCTION("""COMPUTED_VALUE"""),193.0)</f>
        <v>193</v>
      </c>
      <c r="B915" s="2" t="str">
        <f>IFERROR(__xludf.DUMMYFUNCTION("""COMPUTED_VALUE"""),"TANGAIL")</f>
        <v>TANGAIL</v>
      </c>
      <c r="C915" s="4">
        <f>IFERROR(__xludf.DUMMYFUNCTION("""COMPUTED_VALUE"""),10.0)</f>
        <v>10</v>
      </c>
      <c r="D915" s="2" t="str">
        <f>IFERROR(__xludf.DUMMYFUNCTION("""COMPUTED_VALUE"""),"AGRANI BANK LTD.")</f>
        <v>AGRANI BANK LTD.</v>
      </c>
      <c r="E915" s="2" t="str">
        <f>IFERROR(__xludf.DUMMYFUNCTION("""COMPUTED_VALUE"""),"BASAIL")</f>
        <v>BASAIL</v>
      </c>
      <c r="F915" s="3">
        <f>IFERROR(__xludf.DUMMYFUNCTION("""COMPUTED_VALUE"""),37.0)</f>
        <v>37</v>
      </c>
      <c r="G915" s="5">
        <f>IFERROR(__xludf.DUMMYFUNCTION("""COMPUTED_VALUE"""),1.0930373E7)</f>
        <v>10930373</v>
      </c>
    </row>
    <row r="916">
      <c r="A916" s="3">
        <f>IFERROR(__xludf.DUMMYFUNCTION("""COMPUTED_VALUE"""),193.0)</f>
        <v>193</v>
      </c>
      <c r="B916" s="2" t="str">
        <f>IFERROR(__xludf.DUMMYFUNCTION("""COMPUTED_VALUE"""),"TANGAIL")</f>
        <v>TANGAIL</v>
      </c>
      <c r="C916" s="4">
        <f>IFERROR(__xludf.DUMMYFUNCTION("""COMPUTED_VALUE"""),10.0)</f>
        <v>10</v>
      </c>
      <c r="D916" s="2" t="str">
        <f>IFERROR(__xludf.DUMMYFUNCTION("""COMPUTED_VALUE"""),"AGRANI BANK LTD.")</f>
        <v>AGRANI BANK LTD.</v>
      </c>
      <c r="E916" s="2" t="str">
        <f>IFERROR(__xludf.DUMMYFUNCTION("""COMPUTED_VALUE"""),"BHUANPUR")</f>
        <v>BHUANPUR</v>
      </c>
      <c r="F916" s="3">
        <f>IFERROR(__xludf.DUMMYFUNCTION("""COMPUTED_VALUE"""),46.0)</f>
        <v>46</v>
      </c>
      <c r="G916" s="5">
        <f>IFERROR(__xludf.DUMMYFUNCTION("""COMPUTED_VALUE"""),1.0930465E7)</f>
        <v>10930465</v>
      </c>
    </row>
    <row r="917">
      <c r="A917" s="3">
        <f>IFERROR(__xludf.DUMMYFUNCTION("""COMPUTED_VALUE"""),193.0)</f>
        <v>193</v>
      </c>
      <c r="B917" s="2" t="str">
        <f>IFERROR(__xludf.DUMMYFUNCTION("""COMPUTED_VALUE"""),"TANGAIL")</f>
        <v>TANGAIL</v>
      </c>
      <c r="C917" s="4">
        <f>IFERROR(__xludf.DUMMYFUNCTION("""COMPUTED_VALUE"""),10.0)</f>
        <v>10</v>
      </c>
      <c r="D917" s="2" t="str">
        <f>IFERROR(__xludf.DUMMYFUNCTION("""COMPUTED_VALUE"""),"AGRANI BANK LTD.")</f>
        <v>AGRANI BANK LTD.</v>
      </c>
      <c r="E917" s="2" t="str">
        <f>IFERROR(__xludf.DUMMYFUNCTION("""COMPUTED_VALUE"""),"DHUBURIA")</f>
        <v>DHUBURIA</v>
      </c>
      <c r="F917" s="3">
        <f>IFERROR(__xludf.DUMMYFUNCTION("""COMPUTED_VALUE"""),73.0)</f>
        <v>73</v>
      </c>
      <c r="G917" s="5">
        <f>IFERROR(__xludf.DUMMYFUNCTION("""COMPUTED_VALUE"""),1.0930731E7)</f>
        <v>10930731</v>
      </c>
    </row>
    <row r="918">
      <c r="A918" s="3">
        <f>IFERROR(__xludf.DUMMYFUNCTION("""COMPUTED_VALUE"""),193.0)</f>
        <v>193</v>
      </c>
      <c r="B918" s="2" t="str">
        <f>IFERROR(__xludf.DUMMYFUNCTION("""COMPUTED_VALUE"""),"TANGAIL")</f>
        <v>TANGAIL</v>
      </c>
      <c r="C918" s="4">
        <f>IFERROR(__xludf.DUMMYFUNCTION("""COMPUTED_VALUE"""),10.0)</f>
        <v>10</v>
      </c>
      <c r="D918" s="2" t="str">
        <f>IFERROR(__xludf.DUMMYFUNCTION("""COMPUTED_VALUE"""),"AGRANI BANK LTD.")</f>
        <v>AGRANI BANK LTD.</v>
      </c>
      <c r="E918" s="2" t="str">
        <f>IFERROR(__xludf.DUMMYFUNCTION("""COMPUTED_VALUE"""),"GHATAIL")</f>
        <v>GHATAIL</v>
      </c>
      <c r="F918" s="3">
        <f>IFERROR(__xludf.DUMMYFUNCTION("""COMPUTED_VALUE"""),91.0)</f>
        <v>91</v>
      </c>
      <c r="G918" s="5">
        <f>IFERROR(__xludf.DUMMYFUNCTION("""COMPUTED_VALUE"""),1.0930915E7)</f>
        <v>10930915</v>
      </c>
    </row>
    <row r="919">
      <c r="A919" s="3">
        <f>IFERROR(__xludf.DUMMYFUNCTION("""COMPUTED_VALUE"""),193.0)</f>
        <v>193</v>
      </c>
      <c r="B919" s="2" t="str">
        <f>IFERROR(__xludf.DUMMYFUNCTION("""COMPUTED_VALUE"""),"TANGAIL")</f>
        <v>TANGAIL</v>
      </c>
      <c r="C919" s="4">
        <f>IFERROR(__xludf.DUMMYFUNCTION("""COMPUTED_VALUE"""),10.0)</f>
        <v>10</v>
      </c>
      <c r="D919" s="2" t="str">
        <f>IFERROR(__xludf.DUMMYFUNCTION("""COMPUTED_VALUE"""),"AGRANI BANK LTD.")</f>
        <v>AGRANI BANK LTD.</v>
      </c>
      <c r="E919" s="2" t="str">
        <f>IFERROR(__xludf.DUMMYFUNCTION("""COMPUTED_VALUE"""),"GOPALPUR")</f>
        <v>GOPALPUR</v>
      </c>
      <c r="F919" s="3">
        <f>IFERROR(__xludf.DUMMYFUNCTION("""COMPUTED_VALUE"""),100.0)</f>
        <v>100</v>
      </c>
      <c r="G919" s="5">
        <f>IFERROR(__xludf.DUMMYFUNCTION("""COMPUTED_VALUE"""),1.0931006E7)</f>
        <v>10931006</v>
      </c>
    </row>
    <row r="920">
      <c r="A920" s="3">
        <f>IFERROR(__xludf.DUMMYFUNCTION("""COMPUTED_VALUE"""),193.0)</f>
        <v>193</v>
      </c>
      <c r="B920" s="2" t="str">
        <f>IFERROR(__xludf.DUMMYFUNCTION("""COMPUTED_VALUE"""),"TANGAIL")</f>
        <v>TANGAIL</v>
      </c>
      <c r="C920" s="4">
        <f>IFERROR(__xludf.DUMMYFUNCTION("""COMPUTED_VALUE"""),10.0)</f>
        <v>10</v>
      </c>
      <c r="D920" s="2" t="str">
        <f>IFERROR(__xludf.DUMMYFUNCTION("""COMPUTED_VALUE"""),"AGRANI BANK LTD.")</f>
        <v>AGRANI BANK LTD.</v>
      </c>
      <c r="E920" s="2" t="str">
        <f>IFERROR(__xludf.DUMMYFUNCTION("""COMPUTED_VALUE"""),"HEMNAGAR")</f>
        <v>HEMNAGAR</v>
      </c>
      <c r="F920" s="3">
        <f>IFERROR(__xludf.DUMMYFUNCTION("""COMPUTED_VALUE"""),115.0)</f>
        <v>115</v>
      </c>
      <c r="G920" s="5">
        <f>IFERROR(__xludf.DUMMYFUNCTION("""COMPUTED_VALUE"""),1.0931156E7)</f>
        <v>10931156</v>
      </c>
    </row>
    <row r="921">
      <c r="A921" s="3">
        <f>IFERROR(__xludf.DUMMYFUNCTION("""COMPUTED_VALUE"""),193.0)</f>
        <v>193</v>
      </c>
      <c r="B921" s="2" t="str">
        <f>IFERROR(__xludf.DUMMYFUNCTION("""COMPUTED_VALUE"""),"TANGAIL")</f>
        <v>TANGAIL</v>
      </c>
      <c r="C921" s="4">
        <f>IFERROR(__xludf.DUMMYFUNCTION("""COMPUTED_VALUE"""),10.0)</f>
        <v>10</v>
      </c>
      <c r="D921" s="2" t="str">
        <f>IFERROR(__xludf.DUMMYFUNCTION("""COMPUTED_VALUE"""),"AGRANI BANK LTD.")</f>
        <v>AGRANI BANK LTD.</v>
      </c>
      <c r="E921" s="2" t="str">
        <f>IFERROR(__xludf.DUMMYFUNCTION("""COMPUTED_VALUE"""),"JAMURKI")</f>
        <v>JAMURKI</v>
      </c>
      <c r="F921" s="3">
        <f>IFERROR(__xludf.DUMMYFUNCTION("""COMPUTED_VALUE"""),118.0)</f>
        <v>118</v>
      </c>
      <c r="G921" s="5">
        <f>IFERROR(__xludf.DUMMYFUNCTION("""COMPUTED_VALUE"""),1.0931185E7)</f>
        <v>10931185</v>
      </c>
    </row>
    <row r="922">
      <c r="A922" s="3">
        <f>IFERROR(__xludf.DUMMYFUNCTION("""COMPUTED_VALUE"""),193.0)</f>
        <v>193</v>
      </c>
      <c r="B922" s="2" t="str">
        <f>IFERROR(__xludf.DUMMYFUNCTION("""COMPUTED_VALUE"""),"TANGAIL")</f>
        <v>TANGAIL</v>
      </c>
      <c r="C922" s="4">
        <f>IFERROR(__xludf.DUMMYFUNCTION("""COMPUTED_VALUE"""),10.0)</f>
        <v>10</v>
      </c>
      <c r="D922" s="2" t="str">
        <f>IFERROR(__xludf.DUMMYFUNCTION("""COMPUTED_VALUE"""),"AGRANI BANK LTD.")</f>
        <v>AGRANI BANK LTD.</v>
      </c>
      <c r="E922" s="2" t="str">
        <f>IFERROR(__xludf.DUMMYFUNCTION("""COMPUTED_VALUE"""),"KANCHANPUR")</f>
        <v>KANCHANPUR</v>
      </c>
      <c r="F922" s="3">
        <f>IFERROR(__xludf.DUMMYFUNCTION("""COMPUTED_VALUE"""),133.0)</f>
        <v>133</v>
      </c>
      <c r="G922" s="5">
        <f>IFERROR(__xludf.DUMMYFUNCTION("""COMPUTED_VALUE"""),1.093133E7)</f>
        <v>10931330</v>
      </c>
    </row>
    <row r="923">
      <c r="A923" s="3">
        <f>IFERROR(__xludf.DUMMYFUNCTION("""COMPUTED_VALUE"""),193.0)</f>
        <v>193</v>
      </c>
      <c r="B923" s="2" t="str">
        <f>IFERROR(__xludf.DUMMYFUNCTION("""COMPUTED_VALUE"""),"TANGAIL")</f>
        <v>TANGAIL</v>
      </c>
      <c r="C923" s="4">
        <f>IFERROR(__xludf.DUMMYFUNCTION("""COMPUTED_VALUE"""),10.0)</f>
        <v>10</v>
      </c>
      <c r="D923" s="2" t="str">
        <f>IFERROR(__xludf.DUMMYFUNCTION("""COMPUTED_VALUE"""),"AGRANI BANK LTD.")</f>
        <v>AGRANI BANK LTD.</v>
      </c>
      <c r="E923" s="2" t="str">
        <f>IFERROR(__xludf.DUMMYFUNCTION("""COMPUTED_VALUE"""),"KARATIA")</f>
        <v>KARATIA</v>
      </c>
      <c r="F923" s="3">
        <f>IFERROR(__xludf.DUMMYFUNCTION("""COMPUTED_VALUE"""),136.0)</f>
        <v>136</v>
      </c>
      <c r="G923" s="5">
        <f>IFERROR(__xludf.DUMMYFUNCTION("""COMPUTED_VALUE"""),1.0931369E7)</f>
        <v>10931369</v>
      </c>
    </row>
    <row r="924">
      <c r="A924" s="3">
        <f>IFERROR(__xludf.DUMMYFUNCTION("""COMPUTED_VALUE"""),193.0)</f>
        <v>193</v>
      </c>
      <c r="B924" s="2" t="str">
        <f>IFERROR(__xludf.DUMMYFUNCTION("""COMPUTED_VALUE"""),"TANGAIL")</f>
        <v>TANGAIL</v>
      </c>
      <c r="C924" s="4">
        <f>IFERROR(__xludf.DUMMYFUNCTION("""COMPUTED_VALUE"""),10.0)</f>
        <v>10</v>
      </c>
      <c r="D924" s="2" t="str">
        <f>IFERROR(__xludf.DUMMYFUNCTION("""COMPUTED_VALUE"""),"AGRANI BANK LTD.")</f>
        <v>AGRANI BANK LTD.</v>
      </c>
      <c r="E924" s="2" t="str">
        <f>IFERROR(__xludf.DUMMYFUNCTION("""COMPUTED_VALUE"""),"KAWALJANI")</f>
        <v>KAWALJANI</v>
      </c>
      <c r="F924" s="3">
        <f>IFERROR(__xludf.DUMMYFUNCTION("""COMPUTED_VALUE"""),139.0)</f>
        <v>139</v>
      </c>
      <c r="G924" s="5">
        <f>IFERROR(__xludf.DUMMYFUNCTION("""COMPUTED_VALUE"""),1.0931398E7)</f>
        <v>10931398</v>
      </c>
    </row>
    <row r="925">
      <c r="A925" s="3">
        <f>IFERROR(__xludf.DUMMYFUNCTION("""COMPUTED_VALUE"""),193.0)</f>
        <v>193</v>
      </c>
      <c r="B925" s="2" t="str">
        <f>IFERROR(__xludf.DUMMYFUNCTION("""COMPUTED_VALUE"""),"TANGAIL")</f>
        <v>TANGAIL</v>
      </c>
      <c r="C925" s="4">
        <f>IFERROR(__xludf.DUMMYFUNCTION("""COMPUTED_VALUE"""),10.0)</f>
        <v>10</v>
      </c>
      <c r="D925" s="2" t="str">
        <f>IFERROR(__xludf.DUMMYFUNCTION("""COMPUTED_VALUE"""),"AGRANI BANK LTD.")</f>
        <v>AGRANI BANK LTD.</v>
      </c>
      <c r="E925" s="2" t="str">
        <f>IFERROR(__xludf.DUMMYFUNCTION("""COMPUTED_VALUE"""),"MADHUPUR")</f>
        <v>MADHUPUR</v>
      </c>
      <c r="F925" s="3">
        <f>IFERROR(__xludf.DUMMYFUNCTION("""COMPUTED_VALUE"""),148.0)</f>
        <v>148</v>
      </c>
      <c r="G925" s="5">
        <f>IFERROR(__xludf.DUMMYFUNCTION("""COMPUTED_VALUE"""),1.093148E7)</f>
        <v>10931480</v>
      </c>
    </row>
    <row r="926">
      <c r="A926" s="3">
        <f>IFERROR(__xludf.DUMMYFUNCTION("""COMPUTED_VALUE"""),193.0)</f>
        <v>193</v>
      </c>
      <c r="B926" s="2" t="str">
        <f>IFERROR(__xludf.DUMMYFUNCTION("""COMPUTED_VALUE"""),"TANGAIL")</f>
        <v>TANGAIL</v>
      </c>
      <c r="C926" s="4">
        <f>IFERROR(__xludf.DUMMYFUNCTION("""COMPUTED_VALUE"""),10.0)</f>
        <v>10</v>
      </c>
      <c r="D926" s="2" t="str">
        <f>IFERROR(__xludf.DUMMYFUNCTION("""COMPUTED_VALUE"""),"AGRANI BANK LTD.")</f>
        <v>AGRANI BANK LTD.</v>
      </c>
      <c r="E926" s="2" t="str">
        <f>IFERROR(__xludf.DUMMYFUNCTION("""COMPUTED_VALUE"""),"MIRZAPUR")</f>
        <v>MIRZAPUR</v>
      </c>
      <c r="F926" s="3">
        <f>IFERROR(__xludf.DUMMYFUNCTION("""COMPUTED_VALUE"""),151.0)</f>
        <v>151</v>
      </c>
      <c r="G926" s="5">
        <f>IFERROR(__xludf.DUMMYFUNCTION("""COMPUTED_VALUE"""),1.0931514E7)</f>
        <v>10931514</v>
      </c>
    </row>
    <row r="927">
      <c r="A927" s="3">
        <f>IFERROR(__xludf.DUMMYFUNCTION("""COMPUTED_VALUE"""),193.0)</f>
        <v>193</v>
      </c>
      <c r="B927" s="2" t="str">
        <f>IFERROR(__xludf.DUMMYFUNCTION("""COMPUTED_VALUE"""),"TANGAIL")</f>
        <v>TANGAIL</v>
      </c>
      <c r="C927" s="4">
        <f>IFERROR(__xludf.DUMMYFUNCTION("""COMPUTED_VALUE"""),10.0)</f>
        <v>10</v>
      </c>
      <c r="D927" s="2" t="str">
        <f>IFERROR(__xludf.DUMMYFUNCTION("""COMPUTED_VALUE"""),"AGRANI BANK LTD.")</f>
        <v>AGRANI BANK LTD.</v>
      </c>
      <c r="E927" s="2" t="str">
        <f>IFERROR(__xludf.DUMMYFUNCTION("""COMPUTED_VALUE"""),"MIRZAPUR CADET COLLEGE")</f>
        <v>MIRZAPUR CADET COLLEGE</v>
      </c>
      <c r="F927" s="3">
        <f>IFERROR(__xludf.DUMMYFUNCTION("""COMPUTED_VALUE"""),154.0)</f>
        <v>154</v>
      </c>
      <c r="G927" s="5">
        <f>IFERROR(__xludf.DUMMYFUNCTION("""COMPUTED_VALUE"""),1.0931543E7)</f>
        <v>10931543</v>
      </c>
    </row>
    <row r="928">
      <c r="A928" s="3">
        <f>IFERROR(__xludf.DUMMYFUNCTION("""COMPUTED_VALUE"""),193.0)</f>
        <v>193</v>
      </c>
      <c r="B928" s="2" t="str">
        <f>IFERROR(__xludf.DUMMYFUNCTION("""COMPUTED_VALUE"""),"TANGAIL")</f>
        <v>TANGAIL</v>
      </c>
      <c r="C928" s="4">
        <f>IFERROR(__xludf.DUMMYFUNCTION("""COMPUTED_VALUE"""),10.0)</f>
        <v>10</v>
      </c>
      <c r="D928" s="2" t="str">
        <f>IFERROR(__xludf.DUMMYFUNCTION("""COMPUTED_VALUE"""),"AGRANI BANK LTD.")</f>
        <v>AGRANI BANK LTD.</v>
      </c>
      <c r="E928" s="2" t="str">
        <f>IFERROR(__xludf.DUMMYFUNCTION("""COMPUTED_VALUE"""),"MOHERA")</f>
        <v>MOHERA</v>
      </c>
      <c r="F928" s="3">
        <f>IFERROR(__xludf.DUMMYFUNCTION("""COMPUTED_VALUE"""),163.0)</f>
        <v>163</v>
      </c>
      <c r="G928" s="5">
        <f>IFERROR(__xludf.DUMMYFUNCTION("""COMPUTED_VALUE"""),1.0931635E7)</f>
        <v>10931635</v>
      </c>
    </row>
    <row r="929">
      <c r="A929" s="3">
        <f>IFERROR(__xludf.DUMMYFUNCTION("""COMPUTED_VALUE"""),193.0)</f>
        <v>193</v>
      </c>
      <c r="B929" s="2" t="str">
        <f>IFERROR(__xludf.DUMMYFUNCTION("""COMPUTED_VALUE"""),"TANGAIL")</f>
        <v>TANGAIL</v>
      </c>
      <c r="C929" s="4">
        <f>IFERROR(__xludf.DUMMYFUNCTION("""COMPUTED_VALUE"""),10.0)</f>
        <v>10</v>
      </c>
      <c r="D929" s="2" t="str">
        <f>IFERROR(__xludf.DUMMYFUNCTION("""COMPUTED_VALUE"""),"AGRANI BANK LTD.")</f>
        <v>AGRANI BANK LTD.</v>
      </c>
      <c r="E929" s="2" t="str">
        <f>IFERROR(__xludf.DUMMYFUNCTION("""COMPUTED_VALUE"""),"MYMENSINGH ROAD")</f>
        <v>MYMENSINGH ROAD</v>
      </c>
      <c r="F929" s="3">
        <f>IFERROR(__xludf.DUMMYFUNCTION("""COMPUTED_VALUE"""),166.0)</f>
        <v>166</v>
      </c>
      <c r="G929" s="5">
        <f>IFERROR(__xludf.DUMMYFUNCTION("""COMPUTED_VALUE"""),1.0931664E7)</f>
        <v>10931664</v>
      </c>
    </row>
    <row r="930">
      <c r="A930" s="3">
        <f>IFERROR(__xludf.DUMMYFUNCTION("""COMPUTED_VALUE"""),193.0)</f>
        <v>193</v>
      </c>
      <c r="B930" s="2" t="str">
        <f>IFERROR(__xludf.DUMMYFUNCTION("""COMPUTED_VALUE"""),"TANGAIL")</f>
        <v>TANGAIL</v>
      </c>
      <c r="C930" s="4">
        <f>IFERROR(__xludf.DUMMYFUNCTION("""COMPUTED_VALUE"""),10.0)</f>
        <v>10</v>
      </c>
      <c r="D930" s="2" t="str">
        <f>IFERROR(__xludf.DUMMYFUNCTION("""COMPUTED_VALUE"""),"AGRANI BANK LTD.")</f>
        <v>AGRANI BANK LTD.</v>
      </c>
      <c r="E930" s="2" t="str">
        <f>IFERROR(__xludf.DUMMYFUNCTION("""COMPUTED_VALUE"""),"NAGARPUR")</f>
        <v>NAGARPUR</v>
      </c>
      <c r="F930" s="3">
        <f>IFERROR(__xludf.DUMMYFUNCTION("""COMPUTED_VALUE"""),169.0)</f>
        <v>169</v>
      </c>
      <c r="G930" s="5">
        <f>IFERROR(__xludf.DUMMYFUNCTION("""COMPUTED_VALUE"""),1.0931693E7)</f>
        <v>10931693</v>
      </c>
    </row>
    <row r="931">
      <c r="A931" s="3">
        <f>IFERROR(__xludf.DUMMYFUNCTION("""COMPUTED_VALUE"""),193.0)</f>
        <v>193</v>
      </c>
      <c r="B931" s="2" t="str">
        <f>IFERROR(__xludf.DUMMYFUNCTION("""COMPUTED_VALUE"""),"TANGAIL")</f>
        <v>TANGAIL</v>
      </c>
      <c r="C931" s="4">
        <f>IFERROR(__xludf.DUMMYFUNCTION("""COMPUTED_VALUE"""),10.0)</f>
        <v>10</v>
      </c>
      <c r="D931" s="2" t="str">
        <f>IFERROR(__xludf.DUMMYFUNCTION("""COMPUTED_VALUE"""),"AGRANI BANK LTD.")</f>
        <v>AGRANI BANK LTD.</v>
      </c>
      <c r="E931" s="2" t="str">
        <f>IFERROR(__xludf.DUMMYFUNCTION("""COMPUTED_VALUE"""),"NALUA BAZAR")</f>
        <v>NALUA BAZAR</v>
      </c>
      <c r="F931" s="3">
        <f>IFERROR(__xludf.DUMMYFUNCTION("""COMPUTED_VALUE"""),172.0)</f>
        <v>172</v>
      </c>
      <c r="G931" s="5">
        <f>IFERROR(__xludf.DUMMYFUNCTION("""COMPUTED_VALUE"""),1.0931727E7)</f>
        <v>10931727</v>
      </c>
    </row>
    <row r="932">
      <c r="A932" s="3">
        <f>IFERROR(__xludf.DUMMYFUNCTION("""COMPUTED_VALUE"""),193.0)</f>
        <v>193</v>
      </c>
      <c r="B932" s="2" t="str">
        <f>IFERROR(__xludf.DUMMYFUNCTION("""COMPUTED_VALUE"""),"TANGAIL")</f>
        <v>TANGAIL</v>
      </c>
      <c r="C932" s="4">
        <f>IFERROR(__xludf.DUMMYFUNCTION("""COMPUTED_VALUE"""),10.0)</f>
        <v>10</v>
      </c>
      <c r="D932" s="2" t="str">
        <f>IFERROR(__xludf.DUMMYFUNCTION("""COMPUTED_VALUE"""),"AGRANI BANK LTD.")</f>
        <v>AGRANI BANK LTD.</v>
      </c>
      <c r="E932" s="2" t="str">
        <f>IFERROR(__xludf.DUMMYFUNCTION("""COMPUTED_VALUE"""),"SALIMABAD")</f>
        <v>SALIMABAD</v>
      </c>
      <c r="F932" s="3">
        <f>IFERROR(__xludf.DUMMYFUNCTION("""COMPUTED_VALUE"""),214.0)</f>
        <v>214</v>
      </c>
      <c r="G932" s="5">
        <f>IFERROR(__xludf.DUMMYFUNCTION("""COMPUTED_VALUE"""),1.0932142E7)</f>
        <v>10932142</v>
      </c>
    </row>
    <row r="933">
      <c r="A933" s="3">
        <f>IFERROR(__xludf.DUMMYFUNCTION("""COMPUTED_VALUE"""),193.0)</f>
        <v>193</v>
      </c>
      <c r="B933" s="2" t="str">
        <f>IFERROR(__xludf.DUMMYFUNCTION("""COMPUTED_VALUE"""),"TANGAIL")</f>
        <v>TANGAIL</v>
      </c>
      <c r="C933" s="4">
        <f>IFERROR(__xludf.DUMMYFUNCTION("""COMPUTED_VALUE"""),10.0)</f>
        <v>10</v>
      </c>
      <c r="D933" s="2" t="str">
        <f>IFERROR(__xludf.DUMMYFUNCTION("""COMPUTED_VALUE"""),"AGRANI BANK LTD.")</f>
        <v>AGRANI BANK LTD.</v>
      </c>
      <c r="E933" s="2" t="str">
        <f>IFERROR(__xludf.DUMMYFUNCTION("""COMPUTED_VALUE"""),"SHAKHIPUR")</f>
        <v>SHAKHIPUR</v>
      </c>
      <c r="F933" s="3">
        <f>IFERROR(__xludf.DUMMYFUNCTION("""COMPUTED_VALUE"""),220.0)</f>
        <v>220</v>
      </c>
      <c r="G933" s="5">
        <f>IFERROR(__xludf.DUMMYFUNCTION("""COMPUTED_VALUE"""),1.0932205E7)</f>
        <v>10932205</v>
      </c>
    </row>
    <row r="934">
      <c r="A934" s="3">
        <f>IFERROR(__xludf.DUMMYFUNCTION("""COMPUTED_VALUE"""),193.0)</f>
        <v>193</v>
      </c>
      <c r="B934" s="2" t="str">
        <f>IFERROR(__xludf.DUMMYFUNCTION("""COMPUTED_VALUE"""),"TANGAIL")</f>
        <v>TANGAIL</v>
      </c>
      <c r="C934" s="4">
        <f>IFERROR(__xludf.DUMMYFUNCTION("""COMPUTED_VALUE"""),10.0)</f>
        <v>10</v>
      </c>
      <c r="D934" s="2" t="str">
        <f>IFERROR(__xludf.DUMMYFUNCTION("""COMPUTED_VALUE"""),"AGRANI BANK LTD.")</f>
        <v>AGRANI BANK LTD.</v>
      </c>
      <c r="E934" s="2" t="str">
        <f>IFERROR(__xludf.DUMMYFUNCTION("""COMPUTED_VALUE"""),"SURUZ BAZAR")</f>
        <v>SURUZ BAZAR</v>
      </c>
      <c r="F934" s="3">
        <f>IFERROR(__xludf.DUMMYFUNCTION("""COMPUTED_VALUE"""),226.0)</f>
        <v>226</v>
      </c>
      <c r="G934" s="5">
        <f>IFERROR(__xludf.DUMMYFUNCTION("""COMPUTED_VALUE"""),1.0932263E7)</f>
        <v>10932263</v>
      </c>
    </row>
    <row r="935">
      <c r="A935" s="3">
        <f>IFERROR(__xludf.DUMMYFUNCTION("""COMPUTED_VALUE"""),193.0)</f>
        <v>193</v>
      </c>
      <c r="B935" s="2" t="str">
        <f>IFERROR(__xludf.DUMMYFUNCTION("""COMPUTED_VALUE"""),"TANGAIL")</f>
        <v>TANGAIL</v>
      </c>
      <c r="C935" s="4">
        <f>IFERROR(__xludf.DUMMYFUNCTION("""COMPUTED_VALUE"""),10.0)</f>
        <v>10</v>
      </c>
      <c r="D935" s="2" t="str">
        <f>IFERROR(__xludf.DUMMYFUNCTION("""COMPUTED_VALUE"""),"AGRANI BANK LTD.")</f>
        <v>AGRANI BANK LTD.</v>
      </c>
      <c r="E935" s="2" t="str">
        <f>IFERROR(__xludf.DUMMYFUNCTION("""COMPUTED_VALUE"""),"TANGAIL")</f>
        <v>TANGAIL</v>
      </c>
      <c r="F935" s="3">
        <f>IFERROR(__xludf.DUMMYFUNCTION("""COMPUTED_VALUE"""),229.0)</f>
        <v>229</v>
      </c>
      <c r="G935" s="5">
        <f>IFERROR(__xludf.DUMMYFUNCTION("""COMPUTED_VALUE"""),1.0932292E7)</f>
        <v>10932292</v>
      </c>
    </row>
    <row r="936">
      <c r="A936" s="3">
        <f>IFERROR(__xludf.DUMMYFUNCTION("""COMPUTED_VALUE"""),193.0)</f>
        <v>193</v>
      </c>
      <c r="B936" s="2" t="str">
        <f>IFERROR(__xludf.DUMMYFUNCTION("""COMPUTED_VALUE"""),"TANGAIL")</f>
        <v>TANGAIL</v>
      </c>
      <c r="C936" s="4">
        <f>IFERROR(__xludf.DUMMYFUNCTION("""COMPUTED_VALUE"""),10.0)</f>
        <v>10</v>
      </c>
      <c r="D936" s="2" t="str">
        <f>IFERROR(__xludf.DUMMYFUNCTION("""COMPUTED_VALUE"""),"AGRANI BANK LTD.")</f>
        <v>AGRANI BANK LTD.</v>
      </c>
      <c r="E936" s="2" t="str">
        <f>IFERROR(__xludf.DUMMYFUNCTION("""COMPUTED_VALUE"""),"WARSHI")</f>
        <v>WARSHI</v>
      </c>
      <c r="F936" s="3">
        <f>IFERROR(__xludf.DUMMYFUNCTION("""COMPUTED_VALUE"""),241.0)</f>
        <v>241</v>
      </c>
      <c r="G936" s="5">
        <f>IFERROR(__xludf.DUMMYFUNCTION("""COMPUTED_VALUE"""),1.0932418E7)</f>
        <v>10932418</v>
      </c>
    </row>
    <row r="937">
      <c r="A937" s="3">
        <f>IFERROR(__xludf.DUMMYFUNCTION("""COMPUTED_VALUE"""),794.0)</f>
        <v>794</v>
      </c>
      <c r="B937" s="2" t="str">
        <f>IFERROR(__xludf.DUMMYFUNCTION("""COMPUTED_VALUE"""),"THAKURGAON")</f>
        <v>THAKURGAON</v>
      </c>
      <c r="C937" s="4">
        <f>IFERROR(__xludf.DUMMYFUNCTION("""COMPUTED_VALUE"""),10.0)</f>
        <v>10</v>
      </c>
      <c r="D937" s="2" t="str">
        <f>IFERROR(__xludf.DUMMYFUNCTION("""COMPUTED_VALUE"""),"AGRANI BANK LTD.")</f>
        <v>AGRANI BANK LTD.</v>
      </c>
      <c r="E937" s="2" t="str">
        <f>IFERROR(__xludf.DUMMYFUNCTION("""COMPUTED_VALUE"""),"BEGUNBARI")</f>
        <v>BEGUNBARI</v>
      </c>
      <c r="F937" s="3">
        <f>IFERROR(__xludf.DUMMYFUNCTION("""COMPUTED_VALUE"""),13.0)</f>
        <v>13</v>
      </c>
      <c r="G937" s="5">
        <f>IFERROR(__xludf.DUMMYFUNCTION("""COMPUTED_VALUE"""),1.0940134E7)</f>
        <v>10940134</v>
      </c>
    </row>
    <row r="938">
      <c r="A938" s="3">
        <f>IFERROR(__xludf.DUMMYFUNCTION("""COMPUTED_VALUE"""),794.0)</f>
        <v>794</v>
      </c>
      <c r="B938" s="2" t="str">
        <f>IFERROR(__xludf.DUMMYFUNCTION("""COMPUTED_VALUE"""),"THAKURGAON")</f>
        <v>THAKURGAON</v>
      </c>
      <c r="C938" s="4">
        <f>IFERROR(__xludf.DUMMYFUNCTION("""COMPUTED_VALUE"""),10.0)</f>
        <v>10</v>
      </c>
      <c r="D938" s="2" t="str">
        <f>IFERROR(__xludf.DUMMYFUNCTION("""COMPUTED_VALUE"""),"AGRANI BANK LTD.")</f>
        <v>AGRANI BANK LTD.</v>
      </c>
      <c r="E938" s="2" t="str">
        <f>IFERROR(__xludf.DUMMYFUNCTION("""COMPUTED_VALUE"""),"HARIPUR")</f>
        <v>HARIPUR</v>
      </c>
      <c r="F938" s="3">
        <f>IFERROR(__xludf.DUMMYFUNCTION("""COMPUTED_VALUE"""),46.0)</f>
        <v>46</v>
      </c>
      <c r="G938" s="5">
        <f>IFERROR(__xludf.DUMMYFUNCTION("""COMPUTED_VALUE"""),1.0940468E7)</f>
        <v>10940468</v>
      </c>
    </row>
    <row r="939">
      <c r="A939" s="3">
        <f>IFERROR(__xludf.DUMMYFUNCTION("""COMPUTED_VALUE"""),794.0)</f>
        <v>794</v>
      </c>
      <c r="B939" s="2" t="str">
        <f>IFERROR(__xludf.DUMMYFUNCTION("""COMPUTED_VALUE"""),"THAKURGAON")</f>
        <v>THAKURGAON</v>
      </c>
      <c r="C939" s="4">
        <f>IFERROR(__xludf.DUMMYFUNCTION("""COMPUTED_VALUE"""),10.0)</f>
        <v>10</v>
      </c>
      <c r="D939" s="2" t="str">
        <f>IFERROR(__xludf.DUMMYFUNCTION("""COMPUTED_VALUE"""),"AGRANI BANK LTD.")</f>
        <v>AGRANI BANK LTD.</v>
      </c>
      <c r="E939" s="2" t="str">
        <f>IFERROR(__xludf.DUMMYFUNCTION("""COMPUTED_VALUE"""),"MUNSHIR HAT")</f>
        <v>MUNSHIR HAT</v>
      </c>
      <c r="F939" s="3">
        <f>IFERROR(__xludf.DUMMYFUNCTION("""COMPUTED_VALUE"""),67.0)</f>
        <v>67</v>
      </c>
      <c r="G939" s="5">
        <f>IFERROR(__xludf.DUMMYFUNCTION("""COMPUTED_VALUE"""),1.0940671E7)</f>
        <v>10940671</v>
      </c>
    </row>
    <row r="940">
      <c r="A940" s="3">
        <f>IFERROR(__xludf.DUMMYFUNCTION("""COMPUTED_VALUE"""),794.0)</f>
        <v>794</v>
      </c>
      <c r="B940" s="2" t="str">
        <f>IFERROR(__xludf.DUMMYFUNCTION("""COMPUTED_VALUE"""),"THAKURGAON")</f>
        <v>THAKURGAON</v>
      </c>
      <c r="C940" s="4">
        <f>IFERROR(__xludf.DUMMYFUNCTION("""COMPUTED_VALUE"""),10.0)</f>
        <v>10</v>
      </c>
      <c r="D940" s="2" t="str">
        <f>IFERROR(__xludf.DUMMYFUNCTION("""COMPUTED_VALUE"""),"AGRANI BANK LTD.")</f>
        <v>AGRANI BANK LTD.</v>
      </c>
      <c r="E940" s="2" t="str">
        <f>IFERROR(__xludf.DUMMYFUNCTION("""COMPUTED_VALUE"""),"THAKURGAON")</f>
        <v>THAKURGAON</v>
      </c>
      <c r="F940" s="3">
        <f>IFERROR(__xludf.DUMMYFUNCTION("""COMPUTED_VALUE"""),97.0)</f>
        <v>97</v>
      </c>
      <c r="G940" s="5">
        <f>IFERROR(__xludf.DUMMYFUNCTION("""COMPUTED_VALUE"""),1.0940976E7)</f>
        <v>10940976</v>
      </c>
    </row>
    <row r="941">
      <c r="A941" s="3">
        <f>IFERROR(__xludf.DUMMYFUNCTION("""COMPUTED_VALUE"""),401.0)</f>
        <v>401</v>
      </c>
      <c r="B941" s="2" t="str">
        <f>IFERROR(__xludf.DUMMYFUNCTION("""COMPUTED_VALUE"""),"BAGERHAT")</f>
        <v>BAGERHAT</v>
      </c>
      <c r="C941" s="4">
        <f>IFERROR(__xludf.DUMMYFUNCTION("""COMPUTED_VALUE"""),15.0)</f>
        <v>15</v>
      </c>
      <c r="D941" s="2" t="str">
        <f>IFERROR(__xludf.DUMMYFUNCTION("""COMPUTED_VALUE"""),"AL-ARAFAH ISLAMI BANK LTD.")</f>
        <v>AL-ARAFAH ISLAMI BANK LTD.</v>
      </c>
      <c r="E941" s="2" t="str">
        <f>IFERROR(__xludf.DUMMYFUNCTION("""COMPUTED_VALUE"""),"MONGLA")</f>
        <v>MONGLA</v>
      </c>
      <c r="F941" s="3">
        <f>IFERROR(__xludf.DUMMYFUNCTION("""COMPUTED_VALUE"""),94.0)</f>
        <v>94</v>
      </c>
      <c r="G941" s="5">
        <f>IFERROR(__xludf.DUMMYFUNCTION("""COMPUTED_VALUE"""),1.5010948E7)</f>
        <v>15010948</v>
      </c>
    </row>
    <row r="942">
      <c r="A942" s="3">
        <f>IFERROR(__xludf.DUMMYFUNCTION("""COMPUTED_VALUE"""),401.0)</f>
        <v>401</v>
      </c>
      <c r="B942" s="2" t="str">
        <f>IFERROR(__xludf.DUMMYFUNCTION("""COMPUTED_VALUE"""),"BAGERHAT")</f>
        <v>BAGERHAT</v>
      </c>
      <c r="C942" s="4">
        <f>IFERROR(__xludf.DUMMYFUNCTION("""COMPUTED_VALUE"""),15.0)</f>
        <v>15</v>
      </c>
      <c r="D942" s="2" t="str">
        <f>IFERROR(__xludf.DUMMYFUNCTION("""COMPUTED_VALUE"""),"AL-ARAFAH ISLAMI BANK LTD.")</f>
        <v>AL-ARAFAH ISLAMI BANK LTD.</v>
      </c>
      <c r="E942" s="2" t="str">
        <f>IFERROR(__xludf.DUMMYFUNCTION("""COMPUTED_VALUE"""),"MORELGANJ")</f>
        <v>MORELGANJ</v>
      </c>
      <c r="F942" s="3">
        <f>IFERROR(__xludf.DUMMYFUNCTION("""COMPUTED_VALUE"""),103.0)</f>
        <v>103</v>
      </c>
      <c r="G942" s="5">
        <f>IFERROR(__xludf.DUMMYFUNCTION("""COMPUTED_VALUE"""),1.5011039E7)</f>
        <v>15011039</v>
      </c>
    </row>
    <row r="943">
      <c r="A943" s="3">
        <f>IFERROR(__xludf.DUMMYFUNCTION("""COMPUTED_VALUE"""),304.0)</f>
        <v>304</v>
      </c>
      <c r="B943" s="2" t="str">
        <f>IFERROR(__xludf.DUMMYFUNCTION("""COMPUTED_VALUE"""),"BARGUNA")</f>
        <v>BARGUNA</v>
      </c>
      <c r="C943" s="4">
        <f>IFERROR(__xludf.DUMMYFUNCTION("""COMPUTED_VALUE"""),15.0)</f>
        <v>15</v>
      </c>
      <c r="D943" s="2" t="str">
        <f>IFERROR(__xludf.DUMMYFUNCTION("""COMPUTED_VALUE"""),"AL-ARAFAH ISLAMI BANK LTD.")</f>
        <v>AL-ARAFAH ISLAMI BANK LTD.</v>
      </c>
      <c r="E943" s="2" t="str">
        <f>IFERROR(__xludf.DUMMYFUNCTION("""COMPUTED_VALUE"""),"BARGUNA")</f>
        <v>BARGUNA</v>
      </c>
      <c r="F943" s="3">
        <f>IFERROR(__xludf.DUMMYFUNCTION("""COMPUTED_VALUE"""),13.0)</f>
        <v>13</v>
      </c>
      <c r="G943" s="5">
        <f>IFERROR(__xludf.DUMMYFUNCTION("""COMPUTED_VALUE"""),1.5040134E7)</f>
        <v>15040134</v>
      </c>
    </row>
    <row r="944">
      <c r="A944" s="3">
        <f>IFERROR(__xludf.DUMMYFUNCTION("""COMPUTED_VALUE"""),306.0)</f>
        <v>306</v>
      </c>
      <c r="B944" s="2" t="str">
        <f>IFERROR(__xludf.DUMMYFUNCTION("""COMPUTED_VALUE"""),"BARISHAL")</f>
        <v>BARISHAL</v>
      </c>
      <c r="C944" s="4">
        <f>IFERROR(__xludf.DUMMYFUNCTION("""COMPUTED_VALUE"""),15.0)</f>
        <v>15</v>
      </c>
      <c r="D944" s="2" t="str">
        <f>IFERROR(__xludf.DUMMYFUNCTION("""COMPUTED_VALUE"""),"AL-ARAFAH ISLAMI BANK LTD.")</f>
        <v>AL-ARAFAH ISLAMI BANK LTD.</v>
      </c>
      <c r="E944" s="2" t="str">
        <f>IFERROR(__xludf.DUMMYFUNCTION("""COMPUTED_VALUE"""),"BANARI PARA")</f>
        <v>BANARI PARA</v>
      </c>
      <c r="F944" s="3">
        <f>IFERROR(__xludf.DUMMYFUNCTION("""COMPUTED_VALUE"""),25.0)</f>
        <v>25</v>
      </c>
      <c r="G944" s="5">
        <f>IFERROR(__xludf.DUMMYFUNCTION("""COMPUTED_VALUE"""),1.5060251E7)</f>
        <v>15060251</v>
      </c>
    </row>
    <row r="945">
      <c r="A945" s="3">
        <f>IFERROR(__xludf.DUMMYFUNCTION("""COMPUTED_VALUE"""),306.0)</f>
        <v>306</v>
      </c>
      <c r="B945" s="2" t="str">
        <f>IFERROR(__xludf.DUMMYFUNCTION("""COMPUTED_VALUE"""),"BARISHAL")</f>
        <v>BARISHAL</v>
      </c>
      <c r="C945" s="4">
        <f>IFERROR(__xludf.DUMMYFUNCTION("""COMPUTED_VALUE"""),15.0)</f>
        <v>15</v>
      </c>
      <c r="D945" s="2" t="str">
        <f>IFERROR(__xludf.DUMMYFUNCTION("""COMPUTED_VALUE"""),"AL-ARAFAH ISLAMI BANK LTD.")</f>
        <v>AL-ARAFAH ISLAMI BANK LTD.</v>
      </c>
      <c r="E945" s="2" t="str">
        <f>IFERROR(__xludf.DUMMYFUNCTION("""COMPUTED_VALUE"""),"BARISAL")</f>
        <v>BARISAL</v>
      </c>
      <c r="F945" s="4">
        <f>IFERROR(__xludf.DUMMYFUNCTION("""COMPUTED_VALUE"""),28.0)</f>
        <v>28</v>
      </c>
      <c r="G945" s="5">
        <f>IFERROR(__xludf.DUMMYFUNCTION("""COMPUTED_VALUE"""),1.506028E7)</f>
        <v>15060280</v>
      </c>
    </row>
    <row r="946">
      <c r="A946" s="3">
        <f>IFERROR(__xludf.DUMMYFUNCTION("""COMPUTED_VALUE"""),309.0)</f>
        <v>309</v>
      </c>
      <c r="B946" s="2" t="str">
        <f>IFERROR(__xludf.DUMMYFUNCTION("""COMPUTED_VALUE"""),"BHOLA")</f>
        <v>BHOLA</v>
      </c>
      <c r="C946" s="4">
        <f>IFERROR(__xludf.DUMMYFUNCTION("""COMPUTED_VALUE"""),15.0)</f>
        <v>15</v>
      </c>
      <c r="D946" s="2" t="str">
        <f>IFERROR(__xludf.DUMMYFUNCTION("""COMPUTED_VALUE"""),"AL-ARAFAH ISLAMI BANK LTD.")</f>
        <v>AL-ARAFAH ISLAMI BANK LTD.</v>
      </c>
      <c r="E946" s="2" t="str">
        <f>IFERROR(__xludf.DUMMYFUNCTION("""COMPUTED_VALUE"""),"BHOLA")</f>
        <v>BHOLA</v>
      </c>
      <c r="F946" s="4">
        <f>IFERROR(__xludf.DUMMYFUNCTION("""COMPUTED_VALUE"""),10.0)</f>
        <v>10</v>
      </c>
      <c r="G946" s="5">
        <f>IFERROR(__xludf.DUMMYFUNCTION("""COMPUTED_VALUE"""),1.50901E7)</f>
        <v>15090100</v>
      </c>
    </row>
    <row r="947">
      <c r="A947" s="3">
        <f>IFERROR(__xludf.DUMMYFUNCTION("""COMPUTED_VALUE"""),610.0)</f>
        <v>610</v>
      </c>
      <c r="B947" s="2" t="str">
        <f>IFERROR(__xludf.DUMMYFUNCTION("""COMPUTED_VALUE"""),"BOGRA")</f>
        <v>BOGRA</v>
      </c>
      <c r="C947" s="4">
        <f>IFERROR(__xludf.DUMMYFUNCTION("""COMPUTED_VALUE"""),15.0)</f>
        <v>15</v>
      </c>
      <c r="D947" s="2" t="str">
        <f>IFERROR(__xludf.DUMMYFUNCTION("""COMPUTED_VALUE"""),"AL-ARAFAH ISLAMI BANK LTD.")</f>
        <v>AL-ARAFAH ISLAMI BANK LTD.</v>
      </c>
      <c r="E947" s="2" t="str">
        <f>IFERROR(__xludf.DUMMYFUNCTION("""COMPUTED_VALUE"""),"BOGRA")</f>
        <v>BOGRA</v>
      </c>
      <c r="F947" s="4">
        <f>IFERROR(__xludf.DUMMYFUNCTION("""COMPUTED_VALUE"""),37.0)</f>
        <v>37</v>
      </c>
      <c r="G947" s="5">
        <f>IFERROR(__xludf.DUMMYFUNCTION("""COMPUTED_VALUE"""),1.5100379E7)</f>
        <v>15100379</v>
      </c>
    </row>
    <row r="948">
      <c r="A948" s="3">
        <f>IFERROR(__xludf.DUMMYFUNCTION("""COMPUTED_VALUE"""),610.0)</f>
        <v>610</v>
      </c>
      <c r="B948" s="2" t="str">
        <f>IFERROR(__xludf.DUMMYFUNCTION("""COMPUTED_VALUE"""),"BOGRA")</f>
        <v>BOGRA</v>
      </c>
      <c r="C948" s="4">
        <f>IFERROR(__xludf.DUMMYFUNCTION("""COMPUTED_VALUE"""),15.0)</f>
        <v>15</v>
      </c>
      <c r="D948" s="2" t="str">
        <f>IFERROR(__xludf.DUMMYFUNCTION("""COMPUTED_VALUE"""),"AL-ARAFAH ISLAMI BANK LTD.")</f>
        <v>AL-ARAFAH ISLAMI BANK LTD.</v>
      </c>
      <c r="E948" s="2" t="str">
        <f>IFERROR(__xludf.DUMMYFUNCTION("""COMPUTED_VALUE"""),"SHERPUR")</f>
        <v>SHERPUR</v>
      </c>
      <c r="F948" s="4">
        <f>IFERROR(__xludf.DUMMYFUNCTION("""COMPUTED_VALUE"""),274.0)</f>
        <v>274</v>
      </c>
      <c r="G948" s="5">
        <f>IFERROR(__xludf.DUMMYFUNCTION("""COMPUTED_VALUE"""),1.5102748E7)</f>
        <v>15102748</v>
      </c>
    </row>
    <row r="949">
      <c r="A949" s="3">
        <f>IFERROR(__xludf.DUMMYFUNCTION("""COMPUTED_VALUE"""),112.0)</f>
        <v>112</v>
      </c>
      <c r="B949" s="2" t="str">
        <f>IFERROR(__xludf.DUMMYFUNCTION("""COMPUTED_VALUE"""),"BRAHMANBARIA")</f>
        <v>BRAHMANBARIA</v>
      </c>
      <c r="C949" s="4">
        <f>IFERROR(__xludf.DUMMYFUNCTION("""COMPUTED_VALUE"""),15.0)</f>
        <v>15</v>
      </c>
      <c r="D949" s="2" t="str">
        <f>IFERROR(__xludf.DUMMYFUNCTION("""COMPUTED_VALUE"""),"AL-ARAFAH ISLAMI BANK LTD.")</f>
        <v>AL-ARAFAH ISLAMI BANK LTD.</v>
      </c>
      <c r="E949" s="2" t="str">
        <f>IFERROR(__xludf.DUMMYFUNCTION("""COMPUTED_VALUE"""),"AKHAURA SME")</f>
        <v>AKHAURA SME</v>
      </c>
      <c r="F949" s="4">
        <f>IFERROR(__xludf.DUMMYFUNCTION("""COMPUTED_VALUE"""),5.0)</f>
        <v>5</v>
      </c>
      <c r="G949" s="5">
        <f>IFERROR(__xludf.DUMMYFUNCTION("""COMPUTED_VALUE"""),1.5120054E7)</f>
        <v>15120054</v>
      </c>
    </row>
    <row r="950">
      <c r="A950" s="3">
        <f>IFERROR(__xludf.DUMMYFUNCTION("""COMPUTED_VALUE"""),112.0)</f>
        <v>112</v>
      </c>
      <c r="B950" s="2" t="str">
        <f>IFERROR(__xludf.DUMMYFUNCTION("""COMPUTED_VALUE"""),"BRAHMANBARIA")</f>
        <v>BRAHMANBARIA</v>
      </c>
      <c r="C950" s="4">
        <f>IFERROR(__xludf.DUMMYFUNCTION("""COMPUTED_VALUE"""),15.0)</f>
        <v>15</v>
      </c>
      <c r="D950" s="2" t="str">
        <f>IFERROR(__xludf.DUMMYFUNCTION("""COMPUTED_VALUE"""),"AL-ARAFAH ISLAMI BANK LTD.")</f>
        <v>AL-ARAFAH ISLAMI BANK LTD.</v>
      </c>
      <c r="E950" s="2" t="str">
        <f>IFERROR(__xludf.DUMMYFUNCTION("""COMPUTED_VALUE"""),"ASHUGANJ")</f>
        <v>ASHUGANJ</v>
      </c>
      <c r="F950" s="4">
        <f>IFERROR(__xludf.DUMMYFUNCTION("""COMPUTED_VALUE"""),10.0)</f>
        <v>10</v>
      </c>
      <c r="G950" s="5">
        <f>IFERROR(__xludf.DUMMYFUNCTION("""COMPUTED_VALUE"""),1.5120104E7)</f>
        <v>15120104</v>
      </c>
    </row>
    <row r="951">
      <c r="A951" s="3">
        <f>IFERROR(__xludf.DUMMYFUNCTION("""COMPUTED_VALUE"""),112.0)</f>
        <v>112</v>
      </c>
      <c r="B951" s="2" t="str">
        <f>IFERROR(__xludf.DUMMYFUNCTION("""COMPUTED_VALUE"""),"BRAHMANBARIA")</f>
        <v>BRAHMANBARIA</v>
      </c>
      <c r="C951" s="4">
        <f>IFERROR(__xludf.DUMMYFUNCTION("""COMPUTED_VALUE"""),15.0)</f>
        <v>15</v>
      </c>
      <c r="D951" s="2" t="str">
        <f>IFERROR(__xludf.DUMMYFUNCTION("""COMPUTED_VALUE"""),"AL-ARAFAH ISLAMI BANK LTD.")</f>
        <v>AL-ARAFAH ISLAMI BANK LTD.</v>
      </c>
      <c r="E951" s="2" t="str">
        <f>IFERROR(__xludf.DUMMYFUNCTION("""COMPUTED_VALUE"""),"BRAHMANBARIA")</f>
        <v>BRAHMANBARIA</v>
      </c>
      <c r="F951" s="4">
        <f>IFERROR(__xludf.DUMMYFUNCTION("""COMPUTED_VALUE"""),43.0)</f>
        <v>43</v>
      </c>
      <c r="G951" s="5">
        <f>IFERROR(__xludf.DUMMYFUNCTION("""COMPUTED_VALUE"""),1.5120438E7)</f>
        <v>15120438</v>
      </c>
    </row>
    <row r="952">
      <c r="A952" s="3">
        <f>IFERROR(__xludf.DUMMYFUNCTION("""COMPUTED_VALUE"""),112.0)</f>
        <v>112</v>
      </c>
      <c r="B952" s="2" t="str">
        <f>IFERROR(__xludf.DUMMYFUNCTION("""COMPUTED_VALUE"""),"BRAHMANBARIA")</f>
        <v>BRAHMANBARIA</v>
      </c>
      <c r="C952" s="4">
        <f>IFERROR(__xludf.DUMMYFUNCTION("""COMPUTED_VALUE"""),15.0)</f>
        <v>15</v>
      </c>
      <c r="D952" s="2" t="str">
        <f>IFERROR(__xludf.DUMMYFUNCTION("""COMPUTED_VALUE"""),"AL-ARAFAH ISLAMI BANK LTD.")</f>
        <v>AL-ARAFAH ISLAMI BANK LTD.</v>
      </c>
      <c r="E952" s="2" t="str">
        <f>IFERROR(__xludf.DUMMYFUNCTION("""COMPUTED_VALUE"""),"KUTI BAZAR")</f>
        <v>KUTI BAZAR</v>
      </c>
      <c r="F952" s="4">
        <f>IFERROR(__xludf.DUMMYFUNCTION("""COMPUTED_VALUE"""),109.0)</f>
        <v>109</v>
      </c>
      <c r="G952" s="5">
        <f>IFERROR(__xludf.DUMMYFUNCTION("""COMPUTED_VALUE"""),1.5121095E7)</f>
        <v>15121095</v>
      </c>
    </row>
    <row r="953">
      <c r="A953" s="3">
        <f>IFERROR(__xludf.DUMMYFUNCTION("""COMPUTED_VALUE"""),112.0)</f>
        <v>112</v>
      </c>
      <c r="B953" s="2" t="str">
        <f>IFERROR(__xludf.DUMMYFUNCTION("""COMPUTED_VALUE"""),"BRAHMANBARIA")</f>
        <v>BRAHMANBARIA</v>
      </c>
      <c r="C953" s="4">
        <f>IFERROR(__xludf.DUMMYFUNCTION("""COMPUTED_VALUE"""),15.0)</f>
        <v>15</v>
      </c>
      <c r="D953" s="2" t="str">
        <f>IFERROR(__xludf.DUMMYFUNCTION("""COMPUTED_VALUE"""),"AL-ARAFAH ISLAMI BANK LTD.")</f>
        <v>AL-ARAFAH ISLAMI BANK LTD.</v>
      </c>
      <c r="E953" s="2" t="str">
        <f>IFERROR(__xludf.DUMMYFUNCTION("""COMPUTED_VALUE"""),"NABINAGAR")</f>
        <v>NABINAGAR</v>
      </c>
      <c r="F953" s="4">
        <f>IFERROR(__xludf.DUMMYFUNCTION("""COMPUTED_VALUE"""),136.0)</f>
        <v>136</v>
      </c>
      <c r="G953" s="5">
        <f>IFERROR(__xludf.DUMMYFUNCTION("""COMPUTED_VALUE"""),1.5121361E7)</f>
        <v>15121361</v>
      </c>
    </row>
    <row r="954">
      <c r="A954" s="3">
        <f>IFERROR(__xludf.DUMMYFUNCTION("""COMPUTED_VALUE"""),112.0)</f>
        <v>112</v>
      </c>
      <c r="B954" s="2" t="str">
        <f>IFERROR(__xludf.DUMMYFUNCTION("""COMPUTED_VALUE"""),"BRAHMANBARIA")</f>
        <v>BRAHMANBARIA</v>
      </c>
      <c r="C954" s="4">
        <f>IFERROR(__xludf.DUMMYFUNCTION("""COMPUTED_VALUE"""),15.0)</f>
        <v>15</v>
      </c>
      <c r="D954" s="2" t="str">
        <f>IFERROR(__xludf.DUMMYFUNCTION("""COMPUTED_VALUE"""),"AL-ARAFAH ISLAMI BANK LTD.")</f>
        <v>AL-ARAFAH ISLAMI BANK LTD.</v>
      </c>
      <c r="E954" s="2" t="str">
        <f>IFERROR(__xludf.DUMMYFUNCTION("""COMPUTED_VALUE"""),"TANTAR BAZAR")</f>
        <v>TANTAR BAZAR</v>
      </c>
      <c r="F954" s="4">
        <f>IFERROR(__xludf.DUMMYFUNCTION("""COMPUTED_VALUE"""),187.0)</f>
        <v>187</v>
      </c>
      <c r="G954" s="5">
        <f>IFERROR(__xludf.DUMMYFUNCTION("""COMPUTED_VALUE"""),1.5121879E7)</f>
        <v>15121879</v>
      </c>
    </row>
    <row r="955">
      <c r="A955" s="3">
        <f>IFERROR(__xludf.DUMMYFUNCTION("""COMPUTED_VALUE"""),113.0)</f>
        <v>113</v>
      </c>
      <c r="B955" s="2" t="str">
        <f>IFERROR(__xludf.DUMMYFUNCTION("""COMPUTED_VALUE"""),"CHANDPUR")</f>
        <v>CHANDPUR</v>
      </c>
      <c r="C955" s="4">
        <f>IFERROR(__xludf.DUMMYFUNCTION("""COMPUTED_VALUE"""),15.0)</f>
        <v>15</v>
      </c>
      <c r="D955" s="2" t="str">
        <f>IFERROR(__xludf.DUMMYFUNCTION("""COMPUTED_VALUE"""),"AL-ARAFAH ISLAMI BANK LTD.")</f>
        <v>AL-ARAFAH ISLAMI BANK LTD.</v>
      </c>
      <c r="E955" s="2" t="str">
        <f>IFERROR(__xludf.DUMMYFUNCTION("""COMPUTED_VALUE"""),"HAJIGANJ")</f>
        <v>HAJIGANJ</v>
      </c>
      <c r="F955" s="4">
        <f>IFERROR(__xludf.DUMMYFUNCTION("""COMPUTED_VALUE"""),88.0)</f>
        <v>88</v>
      </c>
      <c r="G955" s="5">
        <f>IFERROR(__xludf.DUMMYFUNCTION("""COMPUTED_VALUE"""),1.5130886E7)</f>
        <v>15130886</v>
      </c>
    </row>
    <row r="956">
      <c r="A956" s="3">
        <f>IFERROR(__xludf.DUMMYFUNCTION("""COMPUTED_VALUE"""),113.0)</f>
        <v>113</v>
      </c>
      <c r="B956" s="2" t="str">
        <f>IFERROR(__xludf.DUMMYFUNCTION("""COMPUTED_VALUE"""),"CHANDPUR")</f>
        <v>CHANDPUR</v>
      </c>
      <c r="C956" s="4">
        <f>IFERROR(__xludf.DUMMYFUNCTION("""COMPUTED_VALUE"""),15.0)</f>
        <v>15</v>
      </c>
      <c r="D956" s="2" t="str">
        <f>IFERROR(__xludf.DUMMYFUNCTION("""COMPUTED_VALUE"""),"AL-ARAFAH ISLAMI BANK LTD.")</f>
        <v>AL-ARAFAH ISLAMI BANK LTD.</v>
      </c>
      <c r="E956" s="2" t="str">
        <f>IFERROR(__xludf.DUMMYFUNCTION("""COMPUTED_VALUE"""),"RAHIMANAGAR")</f>
        <v>RAHIMANAGAR</v>
      </c>
      <c r="F956" s="4">
        <f>IFERROR(__xludf.DUMMYFUNCTION("""COMPUTED_VALUE"""),169.0)</f>
        <v>169</v>
      </c>
      <c r="G956" s="5">
        <f>IFERROR(__xludf.DUMMYFUNCTION("""COMPUTED_VALUE"""),1.5131698E7)</f>
        <v>15131698</v>
      </c>
    </row>
    <row r="957">
      <c r="A957" s="3">
        <f>IFERROR(__xludf.DUMMYFUNCTION("""COMPUTED_VALUE"""),215.0)</f>
        <v>215</v>
      </c>
      <c r="B957" s="2" t="str">
        <f>IFERROR(__xludf.DUMMYFUNCTION("""COMPUTED_VALUE"""),"CHITTAGONG")</f>
        <v>CHITTAGONG</v>
      </c>
      <c r="C957" s="4">
        <f>IFERROR(__xludf.DUMMYFUNCTION("""COMPUTED_VALUE"""),15.0)</f>
        <v>15</v>
      </c>
      <c r="D957" s="2" t="str">
        <f>IFERROR(__xludf.DUMMYFUNCTION("""COMPUTED_VALUE"""),"AL-ARAFAH ISLAMI BANK LTD.")</f>
        <v>AL-ARAFAH ISLAMI BANK LTD.</v>
      </c>
      <c r="E957" s="2" t="str">
        <f>IFERROR(__xludf.DUMMYFUNCTION("""COMPUTED_VALUE"""),"AGRABAD")</f>
        <v>AGRABAD</v>
      </c>
      <c r="F957" s="4">
        <f>IFERROR(__xludf.DUMMYFUNCTION("""COMPUTED_VALUE"""),13.0)</f>
        <v>13</v>
      </c>
      <c r="G957" s="5">
        <f>IFERROR(__xludf.DUMMYFUNCTION("""COMPUTED_VALUE"""),1.5150132E7)</f>
        <v>15150132</v>
      </c>
    </row>
    <row r="958">
      <c r="A958" s="3">
        <f>IFERROR(__xludf.DUMMYFUNCTION("""COMPUTED_VALUE"""),215.0)</f>
        <v>215</v>
      </c>
      <c r="B958" s="2" t="str">
        <f>IFERROR(__xludf.DUMMYFUNCTION("""COMPUTED_VALUE"""),"CHITTAGONG")</f>
        <v>CHITTAGONG</v>
      </c>
      <c r="C958" s="4">
        <f>IFERROR(__xludf.DUMMYFUNCTION("""COMPUTED_VALUE"""),15.0)</f>
        <v>15</v>
      </c>
      <c r="D958" s="2" t="str">
        <f>IFERROR(__xludf.DUMMYFUNCTION("""COMPUTED_VALUE"""),"AL-ARAFAH ISLAMI BANK LTD.")</f>
        <v>AL-ARAFAH ISLAMI BANK LTD.</v>
      </c>
      <c r="E958" s="2" t="str">
        <f>IFERROR(__xludf.DUMMYFUNCTION("""COMPUTED_VALUE"""),"PADUA BAZAR")</f>
        <v>PADUA BAZAR</v>
      </c>
      <c r="F958" s="4">
        <f>IFERROR(__xludf.DUMMYFUNCTION("""COMPUTED_VALUE"""),23.0)</f>
        <v>23</v>
      </c>
      <c r="G958" s="5">
        <f>IFERROR(__xludf.DUMMYFUNCTION("""COMPUTED_VALUE"""),1.5150237E7)</f>
        <v>15150237</v>
      </c>
    </row>
    <row r="959">
      <c r="A959" s="3">
        <f>IFERROR(__xludf.DUMMYFUNCTION("""COMPUTED_VALUE"""),215.0)</f>
        <v>215</v>
      </c>
      <c r="B959" s="2" t="str">
        <f>IFERROR(__xludf.DUMMYFUNCTION("""COMPUTED_VALUE"""),"CHITTAGONG")</f>
        <v>CHITTAGONG</v>
      </c>
      <c r="C959" s="4">
        <f>IFERROR(__xludf.DUMMYFUNCTION("""COMPUTED_VALUE"""),15.0)</f>
        <v>15</v>
      </c>
      <c r="D959" s="2" t="str">
        <f>IFERROR(__xludf.DUMMYFUNCTION("""COMPUTED_VALUE"""),"AL-ARAFAH ISLAMI BANK LTD.")</f>
        <v>AL-ARAFAH ISLAMI BANK LTD.</v>
      </c>
      <c r="E959" s="2" t="str">
        <f>IFERROR(__xludf.DUMMYFUNCTION("""COMPUTED_VALUE"""),"AMAN BAZAR")</f>
        <v>AMAN BAZAR</v>
      </c>
      <c r="F959" s="4">
        <f>IFERROR(__xludf.DUMMYFUNCTION("""COMPUTED_VALUE"""),25.0)</f>
        <v>25</v>
      </c>
      <c r="G959" s="5">
        <f>IFERROR(__xludf.DUMMYFUNCTION("""COMPUTED_VALUE"""),1.5150253E7)</f>
        <v>15150253</v>
      </c>
    </row>
    <row r="960">
      <c r="A960" s="3">
        <f>IFERROR(__xludf.DUMMYFUNCTION("""COMPUTED_VALUE"""),215.0)</f>
        <v>215</v>
      </c>
      <c r="B960" s="2" t="str">
        <f>IFERROR(__xludf.DUMMYFUNCTION("""COMPUTED_VALUE"""),"CHITTAGONG")</f>
        <v>CHITTAGONG</v>
      </c>
      <c r="C960" s="4">
        <f>IFERROR(__xludf.DUMMYFUNCTION("""COMPUTED_VALUE"""),15.0)</f>
        <v>15</v>
      </c>
      <c r="D960" s="2" t="str">
        <f>IFERROR(__xludf.DUMMYFUNCTION("""COMPUTED_VALUE"""),"AL-ARAFAH ISLAMI BANK LTD.")</f>
        <v>AL-ARAFAH ISLAMI BANK LTD.</v>
      </c>
      <c r="E960" s="2" t="str">
        <f>IFERROR(__xludf.DUMMYFUNCTION("""COMPUTED_VALUE"""),"AZADI BAZAR")</f>
        <v>AZADI BAZAR</v>
      </c>
      <c r="F960" s="4">
        <f>IFERROR(__xludf.DUMMYFUNCTION("""COMPUTED_VALUE"""),73.0)</f>
        <v>73</v>
      </c>
      <c r="G960" s="5">
        <f>IFERROR(__xludf.DUMMYFUNCTION("""COMPUTED_VALUE"""),1.5150732E7)</f>
        <v>15150732</v>
      </c>
    </row>
    <row r="961">
      <c r="A961" s="3">
        <f>IFERROR(__xludf.DUMMYFUNCTION("""COMPUTED_VALUE"""),215.0)</f>
        <v>215</v>
      </c>
      <c r="B961" s="2" t="str">
        <f>IFERROR(__xludf.DUMMYFUNCTION("""COMPUTED_VALUE"""),"CHITTAGONG")</f>
        <v>CHITTAGONG</v>
      </c>
      <c r="C961" s="4">
        <f>IFERROR(__xludf.DUMMYFUNCTION("""COMPUTED_VALUE"""),15.0)</f>
        <v>15</v>
      </c>
      <c r="D961" s="2" t="str">
        <f>IFERROR(__xludf.DUMMYFUNCTION("""COMPUTED_VALUE"""),"AL-ARAFAH ISLAMI BANK LTD.")</f>
        <v>AL-ARAFAH ISLAMI BANK LTD.</v>
      </c>
      <c r="E961" s="2" t="str">
        <f>IFERROR(__xludf.DUMMYFUNCTION("""COMPUTED_VALUE"""),"BANDARTILA")</f>
        <v>BANDARTILA</v>
      </c>
      <c r="F961" s="4">
        <f>IFERROR(__xludf.DUMMYFUNCTION("""COMPUTED_VALUE"""),94.0)</f>
        <v>94</v>
      </c>
      <c r="G961" s="5">
        <f>IFERROR(__xludf.DUMMYFUNCTION("""COMPUTED_VALUE"""),1.5150945E7)</f>
        <v>15150945</v>
      </c>
    </row>
    <row r="962">
      <c r="A962" s="3">
        <f>IFERROR(__xludf.DUMMYFUNCTION("""COMPUTED_VALUE"""),215.0)</f>
        <v>215</v>
      </c>
      <c r="B962" s="2" t="str">
        <f>IFERROR(__xludf.DUMMYFUNCTION("""COMPUTED_VALUE"""),"CHITTAGONG")</f>
        <v>CHITTAGONG</v>
      </c>
      <c r="C962" s="4">
        <f>IFERROR(__xludf.DUMMYFUNCTION("""COMPUTED_VALUE"""),15.0)</f>
        <v>15</v>
      </c>
      <c r="D962" s="2" t="str">
        <f>IFERROR(__xludf.DUMMYFUNCTION("""COMPUTED_VALUE"""),"AL-ARAFAH ISLAMI BANK LTD.")</f>
        <v>AL-ARAFAH ISLAMI BANK LTD.</v>
      </c>
      <c r="E962" s="2" t="str">
        <f>IFERROR(__xludf.DUMMYFUNCTION("""COMPUTED_VALUE"""),"BHATIARY")</f>
        <v>BHATIARY</v>
      </c>
      <c r="F962" s="4">
        <f>IFERROR(__xludf.DUMMYFUNCTION("""COMPUTED_VALUE"""),121.0)</f>
        <v>121</v>
      </c>
      <c r="G962" s="5">
        <f>IFERROR(__xludf.DUMMYFUNCTION("""COMPUTED_VALUE"""),1.515121E7)</f>
        <v>15151210</v>
      </c>
    </row>
    <row r="963">
      <c r="A963" s="3">
        <f>IFERROR(__xludf.DUMMYFUNCTION("""COMPUTED_VALUE"""),215.0)</f>
        <v>215</v>
      </c>
      <c r="B963" s="2" t="str">
        <f>IFERROR(__xludf.DUMMYFUNCTION("""COMPUTED_VALUE"""),"CHITTAGONG")</f>
        <v>CHITTAGONG</v>
      </c>
      <c r="C963" s="4">
        <f>IFERROR(__xludf.DUMMYFUNCTION("""COMPUTED_VALUE"""),15.0)</f>
        <v>15</v>
      </c>
      <c r="D963" s="2" t="str">
        <f>IFERROR(__xludf.DUMMYFUNCTION("""COMPUTED_VALUE"""),"AL-ARAFAH ISLAMI BANK LTD.")</f>
        <v>AL-ARAFAH ISLAMI BANK LTD.</v>
      </c>
      <c r="E963" s="2" t="str">
        <f>IFERROR(__xludf.DUMMYFUNCTION("""COMPUTED_VALUE"""),"CHAKBAZAR")</f>
        <v>CHAKBAZAR</v>
      </c>
      <c r="F963" s="4">
        <f>IFERROR(__xludf.DUMMYFUNCTION("""COMPUTED_VALUE"""),172.0)</f>
        <v>172</v>
      </c>
      <c r="G963" s="5">
        <f>IFERROR(__xludf.DUMMYFUNCTION("""COMPUTED_VALUE"""),1.5151728E7)</f>
        <v>15151728</v>
      </c>
    </row>
    <row r="964">
      <c r="A964" s="3">
        <f>IFERROR(__xludf.DUMMYFUNCTION("""COMPUTED_VALUE"""),215.0)</f>
        <v>215</v>
      </c>
      <c r="B964" s="2" t="str">
        <f>IFERROR(__xludf.DUMMYFUNCTION("""COMPUTED_VALUE"""),"CHITTAGONG")</f>
        <v>CHITTAGONG</v>
      </c>
      <c r="C964" s="4">
        <f>IFERROR(__xludf.DUMMYFUNCTION("""COMPUTED_VALUE"""),15.0)</f>
        <v>15</v>
      </c>
      <c r="D964" s="2" t="str">
        <f>IFERROR(__xludf.DUMMYFUNCTION("""COMPUTED_VALUE"""),"AL-ARAFAH ISLAMI BANK LTD.")</f>
        <v>AL-ARAFAH ISLAMI BANK LTD.</v>
      </c>
      <c r="E964" s="2" t="str">
        <f>IFERROR(__xludf.DUMMYFUNCTION("""COMPUTED_VALUE"""),"HALISHAHAR")</f>
        <v>HALISHAHAR</v>
      </c>
      <c r="F964" s="4">
        <f>IFERROR(__xludf.DUMMYFUNCTION("""COMPUTED_VALUE"""),316.0)</f>
        <v>316</v>
      </c>
      <c r="G964" s="5">
        <f>IFERROR(__xludf.DUMMYFUNCTION("""COMPUTED_VALUE"""),1.5153168E7)</f>
        <v>15153168</v>
      </c>
    </row>
    <row r="965">
      <c r="A965" s="3">
        <f>IFERROR(__xludf.DUMMYFUNCTION("""COMPUTED_VALUE"""),215.0)</f>
        <v>215</v>
      </c>
      <c r="B965" s="2" t="str">
        <f>IFERROR(__xludf.DUMMYFUNCTION("""COMPUTED_VALUE"""),"CHITTAGONG")</f>
        <v>CHITTAGONG</v>
      </c>
      <c r="C965" s="4">
        <f>IFERROR(__xludf.DUMMYFUNCTION("""COMPUTED_VALUE"""),15.0)</f>
        <v>15</v>
      </c>
      <c r="D965" s="2" t="str">
        <f>IFERROR(__xludf.DUMMYFUNCTION("""COMPUTED_VALUE"""),"AL-ARAFAH ISLAMI BANK LTD.")</f>
        <v>AL-ARAFAH ISLAMI BANK LTD.</v>
      </c>
      <c r="E965" s="2" t="str">
        <f>IFERROR(__xludf.DUMMYFUNCTION("""COMPUTED_VALUE"""),"HATHAZARI")</f>
        <v>HATHAZARI</v>
      </c>
      <c r="F965" s="4">
        <f>IFERROR(__xludf.DUMMYFUNCTION("""COMPUTED_VALUE"""),322.0)</f>
        <v>322</v>
      </c>
      <c r="G965" s="5">
        <f>IFERROR(__xludf.DUMMYFUNCTION("""COMPUTED_VALUE"""),1.5153221E7)</f>
        <v>15153221</v>
      </c>
    </row>
    <row r="966">
      <c r="A966" s="3">
        <f>IFERROR(__xludf.DUMMYFUNCTION("""COMPUTED_VALUE"""),215.0)</f>
        <v>215</v>
      </c>
      <c r="B966" s="2" t="str">
        <f>IFERROR(__xludf.DUMMYFUNCTION("""COMPUTED_VALUE"""),"CHITTAGONG")</f>
        <v>CHITTAGONG</v>
      </c>
      <c r="C966" s="4">
        <f>IFERROR(__xludf.DUMMYFUNCTION("""COMPUTED_VALUE"""),15.0)</f>
        <v>15</v>
      </c>
      <c r="D966" s="2" t="str">
        <f>IFERROR(__xludf.DUMMYFUNCTION("""COMPUTED_VALUE"""),"AL-ARAFAH ISLAMI BANK LTD.")</f>
        <v>AL-ARAFAH ISLAMI BANK LTD.</v>
      </c>
      <c r="E966" s="2" t="str">
        <f>IFERROR(__xludf.DUMMYFUNCTION("""COMPUTED_VALUE"""),"JUBILEE ROAD")</f>
        <v>JUBILEE ROAD</v>
      </c>
      <c r="F966" s="4">
        <f>IFERROR(__xludf.DUMMYFUNCTION("""COMPUTED_VALUE"""),364.0)</f>
        <v>364</v>
      </c>
      <c r="G966" s="5">
        <f>IFERROR(__xludf.DUMMYFUNCTION("""COMPUTED_VALUE"""),1.5153647E7)</f>
        <v>15153647</v>
      </c>
    </row>
    <row r="967">
      <c r="A967" s="3">
        <f>IFERROR(__xludf.DUMMYFUNCTION("""COMPUTED_VALUE"""),215.0)</f>
        <v>215</v>
      </c>
      <c r="B967" s="2" t="str">
        <f>IFERROR(__xludf.DUMMYFUNCTION("""COMPUTED_VALUE"""),"CHITTAGONG")</f>
        <v>CHITTAGONG</v>
      </c>
      <c r="C967" s="4">
        <f>IFERROR(__xludf.DUMMYFUNCTION("""COMPUTED_VALUE"""),15.0)</f>
        <v>15</v>
      </c>
      <c r="D967" s="2" t="str">
        <f>IFERROR(__xludf.DUMMYFUNCTION("""COMPUTED_VALUE"""),"AL-ARAFAH ISLAMI BANK LTD.")</f>
        <v>AL-ARAFAH ISLAMI BANK LTD.</v>
      </c>
      <c r="E967" s="2" t="str">
        <f>IFERROR(__xludf.DUMMYFUNCTION("""COMPUTED_VALUE"""),"KADAMTALI")</f>
        <v>KADAMTALI</v>
      </c>
      <c r="F967" s="4">
        <f>IFERROR(__xludf.DUMMYFUNCTION("""COMPUTED_VALUE"""),373.0)</f>
        <v>373</v>
      </c>
      <c r="G967" s="5">
        <f>IFERROR(__xludf.DUMMYFUNCTION("""COMPUTED_VALUE"""),1.5153739E7)</f>
        <v>15153739</v>
      </c>
    </row>
    <row r="968">
      <c r="A968" s="3">
        <f>IFERROR(__xludf.DUMMYFUNCTION("""COMPUTED_VALUE"""),215.0)</f>
        <v>215</v>
      </c>
      <c r="B968" s="2" t="str">
        <f>IFERROR(__xludf.DUMMYFUNCTION("""COMPUTED_VALUE"""),"CHITTAGONG")</f>
        <v>CHITTAGONG</v>
      </c>
      <c r="C968" s="4">
        <f>IFERROR(__xludf.DUMMYFUNCTION("""COMPUTED_VALUE"""),15.0)</f>
        <v>15</v>
      </c>
      <c r="D968" s="2" t="str">
        <f>IFERROR(__xludf.DUMMYFUNCTION("""COMPUTED_VALUE"""),"AL-ARAFAH ISLAMI BANK LTD.")</f>
        <v>AL-ARAFAH ISLAMI BANK LTD.</v>
      </c>
      <c r="E968" s="2" t="str">
        <f>IFERROR(__xludf.DUMMYFUNCTION("""COMPUTED_VALUE"""),"KHATUNGANJ")</f>
        <v>KHATUNGANJ</v>
      </c>
      <c r="F968" s="4">
        <f>IFERROR(__xludf.DUMMYFUNCTION("""COMPUTED_VALUE"""),427.0)</f>
        <v>427</v>
      </c>
      <c r="G968" s="5">
        <f>IFERROR(__xludf.DUMMYFUNCTION("""COMPUTED_VALUE"""),1.5154275E7)</f>
        <v>15154275</v>
      </c>
    </row>
    <row r="969">
      <c r="A969" s="3">
        <f>IFERROR(__xludf.DUMMYFUNCTION("""COMPUTED_VALUE"""),215.0)</f>
        <v>215</v>
      </c>
      <c r="B969" s="2" t="str">
        <f>IFERROR(__xludf.DUMMYFUNCTION("""COMPUTED_VALUE"""),"CHITTAGONG")</f>
        <v>CHITTAGONG</v>
      </c>
      <c r="C969" s="4">
        <f>IFERROR(__xludf.DUMMYFUNCTION("""COMPUTED_VALUE"""),15.0)</f>
        <v>15</v>
      </c>
      <c r="D969" s="2" t="str">
        <f>IFERROR(__xludf.DUMMYFUNCTION("""COMPUTED_VALUE"""),"AL-ARAFAH ISLAMI BANK LTD.")</f>
        <v>AL-ARAFAH ISLAMI BANK LTD.</v>
      </c>
      <c r="E969" s="2" t="str">
        <f>IFERROR(__xludf.DUMMYFUNCTION("""COMPUTED_VALUE"""),"MURADPUR")</f>
        <v>MURADPUR</v>
      </c>
      <c r="F969" s="4">
        <f>IFERROR(__xludf.DUMMYFUNCTION("""COMPUTED_VALUE"""),532.0)</f>
        <v>532</v>
      </c>
      <c r="G969" s="5">
        <f>IFERROR(__xludf.DUMMYFUNCTION("""COMPUTED_VALUE"""),1.5155324E7)</f>
        <v>15155324</v>
      </c>
    </row>
    <row r="970">
      <c r="A970" s="3">
        <f>IFERROR(__xludf.DUMMYFUNCTION("""COMPUTED_VALUE"""),215.0)</f>
        <v>215</v>
      </c>
      <c r="B970" s="2" t="str">
        <f>IFERROR(__xludf.DUMMYFUNCTION("""COMPUTED_VALUE"""),"CHITTAGONG")</f>
        <v>CHITTAGONG</v>
      </c>
      <c r="C970" s="4">
        <f>IFERROR(__xludf.DUMMYFUNCTION("""COMPUTED_VALUE"""),15.0)</f>
        <v>15</v>
      </c>
      <c r="D970" s="2" t="str">
        <f>IFERROR(__xludf.DUMMYFUNCTION("""COMPUTED_VALUE"""),"AL-ARAFAH ISLAMI BANK LTD.")</f>
        <v>AL-ARAFAH ISLAMI BANK LTD.</v>
      </c>
      <c r="E970" s="2" t="str">
        <f>IFERROR(__xludf.DUMMYFUNCTION("""COMPUTED_VALUE"""),"O.R. NIZAM ROAD")</f>
        <v>O.R. NIZAM ROAD</v>
      </c>
      <c r="F970" s="4">
        <f>IFERROR(__xludf.DUMMYFUNCTION("""COMPUTED_VALUE"""),580.0)</f>
        <v>580</v>
      </c>
      <c r="G970" s="5">
        <f>IFERROR(__xludf.DUMMYFUNCTION("""COMPUTED_VALUE"""),1.5155803E7)</f>
        <v>15155803</v>
      </c>
    </row>
    <row r="971">
      <c r="A971" s="3">
        <f>IFERROR(__xludf.DUMMYFUNCTION("""COMPUTED_VALUE"""),215.0)</f>
        <v>215</v>
      </c>
      <c r="B971" s="2" t="str">
        <f>IFERROR(__xludf.DUMMYFUNCTION("""COMPUTED_VALUE"""),"CHITTAGONG")</f>
        <v>CHITTAGONG</v>
      </c>
      <c r="C971" s="4">
        <f>IFERROR(__xludf.DUMMYFUNCTION("""COMPUTED_VALUE"""),15.0)</f>
        <v>15</v>
      </c>
      <c r="D971" s="2" t="str">
        <f>IFERROR(__xludf.DUMMYFUNCTION("""COMPUTED_VALUE"""),"AL-ARAFAH ISLAMI BANK LTD.")</f>
        <v>AL-ARAFAH ISLAMI BANK LTD.</v>
      </c>
      <c r="E971" s="2" t="str">
        <f>IFERROR(__xludf.DUMMYFUNCTION("""COMPUTED_VALUE"""),"PATHERHAT")</f>
        <v>PATHERHAT</v>
      </c>
      <c r="F971" s="4">
        <f>IFERROR(__xludf.DUMMYFUNCTION("""COMPUTED_VALUE"""),613.0)</f>
        <v>613</v>
      </c>
      <c r="G971" s="5">
        <f>IFERROR(__xludf.DUMMYFUNCTION("""COMPUTED_VALUE"""),1.5156136E7)</f>
        <v>15156136</v>
      </c>
    </row>
    <row r="972">
      <c r="A972" s="3">
        <f>IFERROR(__xludf.DUMMYFUNCTION("""COMPUTED_VALUE"""),215.0)</f>
        <v>215</v>
      </c>
      <c r="B972" s="2" t="str">
        <f>IFERROR(__xludf.DUMMYFUNCTION("""COMPUTED_VALUE"""),"CHITTAGONG")</f>
        <v>CHITTAGONG</v>
      </c>
      <c r="C972" s="4">
        <f>IFERROR(__xludf.DUMMYFUNCTION("""COMPUTED_VALUE"""),15.0)</f>
        <v>15</v>
      </c>
      <c r="D972" s="2" t="str">
        <f>IFERROR(__xludf.DUMMYFUNCTION("""COMPUTED_VALUE"""),"AL-ARAFAH ISLAMI BANK LTD.")</f>
        <v>AL-ARAFAH ISLAMI BANK LTD.</v>
      </c>
      <c r="E972" s="2" t="str">
        <f>IFERROR(__xludf.DUMMYFUNCTION("""COMPUTED_VALUE"""),"SHIBERHAT")</f>
        <v>SHIBERHAT</v>
      </c>
      <c r="F972" s="4">
        <f>IFERROR(__xludf.DUMMYFUNCTION("""COMPUTED_VALUE"""),730.0)</f>
        <v>730</v>
      </c>
      <c r="G972" s="5">
        <f>IFERROR(__xludf.DUMMYFUNCTION("""COMPUTED_VALUE"""),1.5157306E7)</f>
        <v>15157306</v>
      </c>
    </row>
    <row r="973">
      <c r="A973" s="3">
        <f>IFERROR(__xludf.DUMMYFUNCTION("""COMPUTED_VALUE"""),215.0)</f>
        <v>215</v>
      </c>
      <c r="B973" s="2" t="str">
        <f>IFERROR(__xludf.DUMMYFUNCTION("""COMPUTED_VALUE"""),"CHITTAGONG")</f>
        <v>CHITTAGONG</v>
      </c>
      <c r="C973" s="4">
        <f>IFERROR(__xludf.DUMMYFUNCTION("""COMPUTED_VALUE"""),15.0)</f>
        <v>15</v>
      </c>
      <c r="D973" s="2" t="str">
        <f>IFERROR(__xludf.DUMMYFUNCTION("""COMPUTED_VALUE"""),"AL-ARAFAH ISLAMI BANK LTD.")</f>
        <v>AL-ARAFAH ISLAMI BANK LTD.</v>
      </c>
      <c r="E973" s="2" t="str">
        <f>IFERROR(__xludf.DUMMYFUNCTION("""COMPUTED_VALUE"""),"STATION ROAD")</f>
        <v>STATION ROAD</v>
      </c>
      <c r="F973" s="4">
        <f>IFERROR(__xludf.DUMMYFUNCTION("""COMPUTED_VALUE"""),751.0)</f>
        <v>751</v>
      </c>
      <c r="G973" s="5">
        <f>IFERROR(__xludf.DUMMYFUNCTION("""COMPUTED_VALUE"""),1.5157519E7)</f>
        <v>15157519</v>
      </c>
    </row>
    <row r="974">
      <c r="A974" s="3">
        <f>IFERROR(__xludf.DUMMYFUNCTION("""COMPUTED_VALUE"""),418.0)</f>
        <v>418</v>
      </c>
      <c r="B974" s="2" t="str">
        <f>IFERROR(__xludf.DUMMYFUNCTION("""COMPUTED_VALUE"""),"CHUADANGA")</f>
        <v>CHUADANGA</v>
      </c>
      <c r="C974" s="4">
        <f>IFERROR(__xludf.DUMMYFUNCTION("""COMPUTED_VALUE"""),15.0)</f>
        <v>15</v>
      </c>
      <c r="D974" s="2" t="str">
        <f>IFERROR(__xludf.DUMMYFUNCTION("""COMPUTED_VALUE"""),"AL-ARAFAH ISLAMI BANK LTD.")</f>
        <v>AL-ARAFAH ISLAMI BANK LTD.</v>
      </c>
      <c r="E974" s="2" t="str">
        <f>IFERROR(__xludf.DUMMYFUNCTION("""COMPUTED_VALUE"""),"CHUADANGA")</f>
        <v>CHUADANGA</v>
      </c>
      <c r="F974" s="4">
        <f>IFERROR(__xludf.DUMMYFUNCTION("""COMPUTED_VALUE"""),19.0)</f>
        <v>19</v>
      </c>
      <c r="G974" s="5">
        <f>IFERROR(__xludf.DUMMYFUNCTION("""COMPUTED_VALUE"""),1.5180199E7)</f>
        <v>15180199</v>
      </c>
    </row>
    <row r="975">
      <c r="A975" s="3">
        <f>IFERROR(__xludf.DUMMYFUNCTION("""COMPUTED_VALUE"""),119.0)</f>
        <v>119</v>
      </c>
      <c r="B975" s="2" t="str">
        <f>IFERROR(__xludf.DUMMYFUNCTION("""COMPUTED_VALUE"""),"COMILLA")</f>
        <v>COMILLA</v>
      </c>
      <c r="C975" s="4">
        <f>IFERROR(__xludf.DUMMYFUNCTION("""COMPUTED_VALUE"""),15.0)</f>
        <v>15</v>
      </c>
      <c r="D975" s="2" t="str">
        <f>IFERROR(__xludf.DUMMYFUNCTION("""COMPUTED_VALUE"""),"AL-ARAFAH ISLAMI BANK LTD.")</f>
        <v>AL-ARAFAH ISLAMI BANK LTD.</v>
      </c>
      <c r="E975" s="2" t="str">
        <f>IFERROR(__xludf.DUMMYFUNCTION("""COMPUTED_VALUE"""),"BARURA")</f>
        <v>BARURA</v>
      </c>
      <c r="F975" s="4">
        <f>IFERROR(__xludf.DUMMYFUNCTION("""COMPUTED_VALUE"""),49.0)</f>
        <v>49</v>
      </c>
      <c r="G975" s="5">
        <f>IFERROR(__xludf.DUMMYFUNCTION("""COMPUTED_VALUE"""),1.5190497E7)</f>
        <v>15190497</v>
      </c>
    </row>
    <row r="976">
      <c r="A976" s="3">
        <f>IFERROR(__xludf.DUMMYFUNCTION("""COMPUTED_VALUE"""),119.0)</f>
        <v>119</v>
      </c>
      <c r="B976" s="2" t="str">
        <f>IFERROR(__xludf.DUMMYFUNCTION("""COMPUTED_VALUE"""),"COMILLA")</f>
        <v>COMILLA</v>
      </c>
      <c r="C976" s="4">
        <f>IFERROR(__xludf.DUMMYFUNCTION("""COMPUTED_VALUE"""),15.0)</f>
        <v>15</v>
      </c>
      <c r="D976" s="2" t="str">
        <f>IFERROR(__xludf.DUMMYFUNCTION("""COMPUTED_VALUE"""),"AL-ARAFAH ISLAMI BANK LTD.")</f>
        <v>AL-ARAFAH ISLAMI BANK LTD.</v>
      </c>
      <c r="E976" s="2" t="str">
        <f>IFERROR(__xludf.DUMMYFUNCTION("""COMPUTED_VALUE"""),"COMILLA")</f>
        <v>COMILLA</v>
      </c>
      <c r="F976" s="4">
        <f>IFERROR(__xludf.DUMMYFUNCTION("""COMPUTED_VALUE"""),115.0)</f>
        <v>115</v>
      </c>
      <c r="G976" s="5">
        <f>IFERROR(__xludf.DUMMYFUNCTION("""COMPUTED_VALUE"""),1.5191159E7)</f>
        <v>15191159</v>
      </c>
    </row>
    <row r="977">
      <c r="A977" s="3">
        <f>IFERROR(__xludf.DUMMYFUNCTION("""COMPUTED_VALUE"""),119.0)</f>
        <v>119</v>
      </c>
      <c r="B977" s="2" t="str">
        <f>IFERROR(__xludf.DUMMYFUNCTION("""COMPUTED_VALUE"""),"COMILLA")</f>
        <v>COMILLA</v>
      </c>
      <c r="C977" s="4">
        <f>IFERROR(__xludf.DUMMYFUNCTION("""COMPUTED_VALUE"""),15.0)</f>
        <v>15</v>
      </c>
      <c r="D977" s="2" t="str">
        <f>IFERROR(__xludf.DUMMYFUNCTION("""COMPUTED_VALUE"""),"AL-ARAFAH ISLAMI BANK LTD.")</f>
        <v>AL-ARAFAH ISLAMI BANK LTD.</v>
      </c>
      <c r="E977" s="2" t="str">
        <f>IFERROR(__xludf.DUMMYFUNCTION("""COMPUTED_VALUE"""),"COMPANIGANJ")</f>
        <v>COMPANIGANJ</v>
      </c>
      <c r="F977" s="4">
        <f>IFERROR(__xludf.DUMMYFUNCTION("""COMPUTED_VALUE"""),142.0)</f>
        <v>142</v>
      </c>
      <c r="G977" s="5">
        <f>IFERROR(__xludf.DUMMYFUNCTION("""COMPUTED_VALUE"""),1.5191425E7)</f>
        <v>15191425</v>
      </c>
    </row>
    <row r="978">
      <c r="A978" s="3">
        <f>IFERROR(__xludf.DUMMYFUNCTION("""COMPUTED_VALUE"""),119.0)</f>
        <v>119</v>
      </c>
      <c r="B978" s="2" t="str">
        <f>IFERROR(__xludf.DUMMYFUNCTION("""COMPUTED_VALUE"""),"COMILLA")</f>
        <v>COMILLA</v>
      </c>
      <c r="C978" s="4">
        <f>IFERROR(__xludf.DUMMYFUNCTION("""COMPUTED_VALUE"""),15.0)</f>
        <v>15</v>
      </c>
      <c r="D978" s="2" t="str">
        <f>IFERROR(__xludf.DUMMYFUNCTION("""COMPUTED_VALUE"""),"AL-ARAFAH ISLAMI BANK LTD.")</f>
        <v>AL-ARAFAH ISLAMI BANK LTD.</v>
      </c>
      <c r="E978" s="2" t="str">
        <f>IFERROR(__xludf.DUMMYFUNCTION("""COMPUTED_VALUE"""),"GALLAI")</f>
        <v>GALLAI</v>
      </c>
      <c r="F978" s="4">
        <f>IFERROR(__xludf.DUMMYFUNCTION("""COMPUTED_VALUE"""),202.0)</f>
        <v>202</v>
      </c>
      <c r="G978" s="5">
        <f>IFERROR(__xludf.DUMMYFUNCTION("""COMPUTED_VALUE"""),1.5192024E7)</f>
        <v>15192024</v>
      </c>
    </row>
    <row r="979">
      <c r="A979" s="3">
        <f>IFERROR(__xludf.DUMMYFUNCTION("""COMPUTED_VALUE"""),119.0)</f>
        <v>119</v>
      </c>
      <c r="B979" s="2" t="str">
        <f>IFERROR(__xludf.DUMMYFUNCTION("""COMPUTED_VALUE"""),"COMILLA")</f>
        <v>COMILLA</v>
      </c>
      <c r="C979" s="4">
        <f>IFERROR(__xludf.DUMMYFUNCTION("""COMPUTED_VALUE"""),15.0)</f>
        <v>15</v>
      </c>
      <c r="D979" s="2" t="str">
        <f>IFERROR(__xludf.DUMMYFUNCTION("""COMPUTED_VALUE"""),"AL-ARAFAH ISLAMI BANK LTD.")</f>
        <v>AL-ARAFAH ISLAMI BANK LTD.</v>
      </c>
      <c r="E979" s="2" t="str">
        <f>IFERROR(__xludf.DUMMYFUNCTION("""COMPUTED_VALUE"""),"GOURIPUR")</f>
        <v>GOURIPUR</v>
      </c>
      <c r="F979" s="4">
        <f>IFERROR(__xludf.DUMMYFUNCTION("""COMPUTED_VALUE"""),211.0)</f>
        <v>211</v>
      </c>
      <c r="G979" s="5">
        <f>IFERROR(__xludf.DUMMYFUNCTION("""COMPUTED_VALUE"""),1.5192116E7)</f>
        <v>15192116</v>
      </c>
    </row>
    <row r="980">
      <c r="A980" s="3">
        <f>IFERROR(__xludf.DUMMYFUNCTION("""COMPUTED_VALUE"""),119.0)</f>
        <v>119</v>
      </c>
      <c r="B980" s="2" t="str">
        <f>IFERROR(__xludf.DUMMYFUNCTION("""COMPUTED_VALUE"""),"COMILLA")</f>
        <v>COMILLA</v>
      </c>
      <c r="C980" s="4">
        <f>IFERROR(__xludf.DUMMYFUNCTION("""COMPUTED_VALUE"""),15.0)</f>
        <v>15</v>
      </c>
      <c r="D980" s="2" t="str">
        <f>IFERROR(__xludf.DUMMYFUNCTION("""COMPUTED_VALUE"""),"AL-ARAFAH ISLAMI BANK LTD.")</f>
        <v>AL-ARAFAH ISLAMI BANK LTD.</v>
      </c>
      <c r="E980" s="2" t="str">
        <f>IFERROR(__xludf.DUMMYFUNCTION("""COMPUTED_VALUE"""),"NANGALKOT")</f>
        <v>NANGALKOT</v>
      </c>
      <c r="F980" s="4">
        <f>IFERROR(__xludf.DUMMYFUNCTION("""COMPUTED_VALUE"""),325.0)</f>
        <v>325</v>
      </c>
      <c r="G980" s="5">
        <f>IFERROR(__xludf.DUMMYFUNCTION("""COMPUTED_VALUE"""),1.5193252E7)</f>
        <v>15193252</v>
      </c>
    </row>
    <row r="981">
      <c r="A981" s="3">
        <f>IFERROR(__xludf.DUMMYFUNCTION("""COMPUTED_VALUE"""),222.0)</f>
        <v>222</v>
      </c>
      <c r="B981" s="2" t="str">
        <f>IFERROR(__xludf.DUMMYFUNCTION("""COMPUTED_VALUE"""),"COXS BAZAR")</f>
        <v>COXS BAZAR</v>
      </c>
      <c r="C981" s="4">
        <f>IFERROR(__xludf.DUMMYFUNCTION("""COMPUTED_VALUE"""),15.0)</f>
        <v>15</v>
      </c>
      <c r="D981" s="2" t="str">
        <f>IFERROR(__xludf.DUMMYFUNCTION("""COMPUTED_VALUE"""),"AL-ARAFAH ISLAMI BANK LTD.")</f>
        <v>AL-ARAFAH ISLAMI BANK LTD.</v>
      </c>
      <c r="E981" s="2" t="str">
        <f>IFERROR(__xludf.DUMMYFUNCTION("""COMPUTED_VALUE"""),"COXS BAZAR")</f>
        <v>COXS BAZAR</v>
      </c>
      <c r="F981" s="4">
        <f>IFERROR(__xludf.DUMMYFUNCTION("""COMPUTED_VALUE"""),25.0)</f>
        <v>25</v>
      </c>
      <c r="G981" s="5">
        <f>IFERROR(__xludf.DUMMYFUNCTION("""COMPUTED_VALUE"""),1.5220259E7)</f>
        <v>15220259</v>
      </c>
    </row>
    <row r="982">
      <c r="A982" s="3">
        <f>IFERROR(__xludf.DUMMYFUNCTION("""COMPUTED_VALUE"""),222.0)</f>
        <v>222</v>
      </c>
      <c r="B982" s="2" t="str">
        <f>IFERROR(__xludf.DUMMYFUNCTION("""COMPUTED_VALUE"""),"COXS BAZAR")</f>
        <v>COXS BAZAR</v>
      </c>
      <c r="C982" s="4">
        <f>IFERROR(__xludf.DUMMYFUNCTION("""COMPUTED_VALUE"""),15.0)</f>
        <v>15</v>
      </c>
      <c r="D982" s="2" t="str">
        <f>IFERROR(__xludf.DUMMYFUNCTION("""COMPUTED_VALUE"""),"AL-ARAFAH ISLAMI BANK LTD.")</f>
        <v>AL-ARAFAH ISLAMI BANK LTD.</v>
      </c>
      <c r="E982" s="2" t="str">
        <f>IFERROR(__xludf.DUMMYFUNCTION("""COMPUTED_VALUE"""),"EIDGAON")</f>
        <v>EIDGAON</v>
      </c>
      <c r="F982" s="4">
        <f>IFERROR(__xludf.DUMMYFUNCTION("""COMPUTED_VALUE"""),40.0)</f>
        <v>40</v>
      </c>
      <c r="G982" s="5">
        <f>IFERROR(__xludf.DUMMYFUNCTION("""COMPUTED_VALUE"""),1.5220404E7)</f>
        <v>15220404</v>
      </c>
    </row>
    <row r="983">
      <c r="A983" s="3">
        <f>IFERROR(__xludf.DUMMYFUNCTION("""COMPUTED_VALUE"""),222.0)</f>
        <v>222</v>
      </c>
      <c r="B983" s="2" t="str">
        <f>IFERROR(__xludf.DUMMYFUNCTION("""COMPUTED_VALUE"""),"COXS BAZAR")</f>
        <v>COXS BAZAR</v>
      </c>
      <c r="C983" s="4">
        <f>IFERROR(__xludf.DUMMYFUNCTION("""COMPUTED_VALUE"""),15.0)</f>
        <v>15</v>
      </c>
      <c r="D983" s="2" t="str">
        <f>IFERROR(__xludf.DUMMYFUNCTION("""COMPUTED_VALUE"""),"AL-ARAFAH ISLAMI BANK LTD.")</f>
        <v>AL-ARAFAH ISLAMI BANK LTD.</v>
      </c>
      <c r="E983" s="2" t="str">
        <f>IFERROR(__xludf.DUMMYFUNCTION("""COMPUTED_VALUE"""),"TEKNAF")</f>
        <v>TEKNAF</v>
      </c>
      <c r="F983" s="4">
        <f>IFERROR(__xludf.DUMMYFUNCTION("""COMPUTED_VALUE"""),91.0)</f>
        <v>91</v>
      </c>
      <c r="G983" s="5">
        <f>IFERROR(__xludf.DUMMYFUNCTION("""COMPUTED_VALUE"""),1.5220912E7)</f>
        <v>15220912</v>
      </c>
    </row>
    <row r="984">
      <c r="A984" s="3">
        <f>IFERROR(__xludf.DUMMYFUNCTION("""COMPUTED_VALUE"""),126.0)</f>
        <v>126</v>
      </c>
      <c r="B984" s="2" t="str">
        <f>IFERROR(__xludf.DUMMYFUNCTION("""COMPUTED_VALUE"""),"DHAKA-NORTH")</f>
        <v>DHAKA-NORTH</v>
      </c>
      <c r="C984" s="4">
        <f>IFERROR(__xludf.DUMMYFUNCTION("""COMPUTED_VALUE"""),15.0)</f>
        <v>15</v>
      </c>
      <c r="D984" s="2" t="str">
        <f>IFERROR(__xludf.DUMMYFUNCTION("""COMPUTED_VALUE"""),"AL-ARAFAH ISLAMI BANK LTD.")</f>
        <v>AL-ARAFAH ISLAMI BANK LTD.</v>
      </c>
      <c r="E984" s="2" t="str">
        <f>IFERROR(__xludf.DUMMYFUNCTION("""COMPUTED_VALUE"""),"ABDULLAHPUR SME")</f>
        <v>ABDULLAHPUR SME</v>
      </c>
      <c r="F984" s="4">
        <f>IFERROR(__xludf.DUMMYFUNCTION("""COMPUTED_VALUE"""),5.0)</f>
        <v>5</v>
      </c>
      <c r="G984" s="5">
        <f>IFERROR(__xludf.DUMMYFUNCTION("""COMPUTED_VALUE"""),1.5260051E7)</f>
        <v>15260051</v>
      </c>
    </row>
    <row r="985">
      <c r="A985" s="3">
        <f>IFERROR(__xludf.DUMMYFUNCTION("""COMPUTED_VALUE"""),126.0)</f>
        <v>126</v>
      </c>
      <c r="B985" s="2" t="str">
        <f>IFERROR(__xludf.DUMMYFUNCTION("""COMPUTED_VALUE"""),"DHAKA-NORTH")</f>
        <v>DHAKA-NORTH</v>
      </c>
      <c r="C985" s="4">
        <f>IFERROR(__xludf.DUMMYFUNCTION("""COMPUTED_VALUE"""),15.0)</f>
        <v>15</v>
      </c>
      <c r="D985" s="2" t="str">
        <f>IFERROR(__xludf.DUMMYFUNCTION("""COMPUTED_VALUE"""),"AL-ARAFAH ISLAMI BANK LTD.")</f>
        <v>AL-ARAFAH ISLAMI BANK LTD.</v>
      </c>
      <c r="E985" s="2" t="str">
        <f>IFERROR(__xludf.DUMMYFUNCTION("""COMPUTED_VALUE"""),"SONARGAON JANAPATH ROAD")</f>
        <v>SONARGAON JANAPATH ROAD</v>
      </c>
      <c r="F985" s="4">
        <f>IFERROR(__xludf.DUMMYFUNCTION("""COMPUTED_VALUE"""),8.0)</f>
        <v>8</v>
      </c>
      <c r="G985" s="5">
        <f>IFERROR(__xludf.DUMMYFUNCTION("""COMPUTED_VALUE"""),1.526008E7)</f>
        <v>15260080</v>
      </c>
    </row>
    <row r="986">
      <c r="A986" s="3">
        <f>IFERROR(__xludf.DUMMYFUNCTION("""COMPUTED_VALUE"""),126.0)</f>
        <v>126</v>
      </c>
      <c r="B986" s="2" t="str">
        <f>IFERROR(__xludf.DUMMYFUNCTION("""COMPUTED_VALUE"""),"DHAKA-NORTH")</f>
        <v>DHAKA-NORTH</v>
      </c>
      <c r="C986" s="4">
        <f>IFERROR(__xludf.DUMMYFUNCTION("""COMPUTED_VALUE"""),15.0)</f>
        <v>15</v>
      </c>
      <c r="D986" s="2" t="str">
        <f>IFERROR(__xludf.DUMMYFUNCTION("""COMPUTED_VALUE"""),"AL-ARAFAH ISLAMI BANK LTD.")</f>
        <v>AL-ARAFAH ISLAMI BANK LTD.</v>
      </c>
      <c r="E986" s="2" t="str">
        <f>IFERROR(__xludf.DUMMYFUNCTION("""COMPUTED_VALUE"""),"KATHGORA BAZAR")</f>
        <v>KATHGORA BAZAR</v>
      </c>
      <c r="F986" s="4">
        <f>IFERROR(__xludf.DUMMYFUNCTION("""COMPUTED_VALUE"""),9.0)</f>
        <v>9</v>
      </c>
      <c r="G986" s="5">
        <f>IFERROR(__xludf.DUMMYFUNCTION("""COMPUTED_VALUE"""),1.5260093E7)</f>
        <v>15260093</v>
      </c>
    </row>
    <row r="987">
      <c r="A987" s="3">
        <f>IFERROR(__xludf.DUMMYFUNCTION("""COMPUTED_VALUE"""),126.0)</f>
        <v>126</v>
      </c>
      <c r="B987" s="2" t="str">
        <f>IFERROR(__xludf.DUMMYFUNCTION("""COMPUTED_VALUE"""),"DHAKA-NORTH")</f>
        <v>DHAKA-NORTH</v>
      </c>
      <c r="C987" s="4">
        <f>IFERROR(__xludf.DUMMYFUNCTION("""COMPUTED_VALUE"""),15.0)</f>
        <v>15</v>
      </c>
      <c r="D987" s="2" t="str">
        <f>IFERROR(__xludf.DUMMYFUNCTION("""COMPUTED_VALUE"""),"AL-ARAFAH ISLAMI BANK LTD.")</f>
        <v>AL-ARAFAH ISLAMI BANK LTD.</v>
      </c>
      <c r="E987" s="2" t="str">
        <f>IFERROR(__xludf.DUMMYFUNCTION("""COMPUTED_VALUE"""),"AMIN BAZAR")</f>
        <v>AMIN BAZAR</v>
      </c>
      <c r="F987" s="4">
        <f>IFERROR(__xludf.DUMMYFUNCTION("""COMPUTED_VALUE"""),13.0)</f>
        <v>13</v>
      </c>
      <c r="G987" s="5">
        <f>IFERROR(__xludf.DUMMYFUNCTION("""COMPUTED_VALUE"""),1.526013E7)</f>
        <v>15260130</v>
      </c>
    </row>
    <row r="988">
      <c r="A988" s="3">
        <f>IFERROR(__xludf.DUMMYFUNCTION("""COMPUTED_VALUE"""),126.0)</f>
        <v>126</v>
      </c>
      <c r="B988" s="2" t="str">
        <f>IFERROR(__xludf.DUMMYFUNCTION("""COMPUTED_VALUE"""),"DHAKA-NORTH")</f>
        <v>DHAKA-NORTH</v>
      </c>
      <c r="C988" s="4">
        <f>IFERROR(__xludf.DUMMYFUNCTION("""COMPUTED_VALUE"""),15.0)</f>
        <v>15</v>
      </c>
      <c r="D988" s="2" t="str">
        <f>IFERROR(__xludf.DUMMYFUNCTION("""COMPUTED_VALUE"""),"AL-ARAFAH ISLAMI BANK LTD.")</f>
        <v>AL-ARAFAH ISLAMI BANK LTD.</v>
      </c>
      <c r="E988" s="2" t="str">
        <f>IFERROR(__xludf.DUMMYFUNCTION("""COMPUTED_VALUE"""),"BANANI")</f>
        <v>BANANI</v>
      </c>
      <c r="F988" s="4">
        <f>IFERROR(__xludf.DUMMYFUNCTION("""COMPUTED_VALUE"""),43.0)</f>
        <v>43</v>
      </c>
      <c r="G988" s="5">
        <f>IFERROR(__xludf.DUMMYFUNCTION("""COMPUTED_VALUE"""),1.5260435E7)</f>
        <v>15260435</v>
      </c>
    </row>
    <row r="989">
      <c r="A989" s="3">
        <f>IFERROR(__xludf.DUMMYFUNCTION("""COMPUTED_VALUE"""),126.0)</f>
        <v>126</v>
      </c>
      <c r="B989" s="2" t="str">
        <f>IFERROR(__xludf.DUMMYFUNCTION("""COMPUTED_VALUE"""),"DHAKA-NORTH")</f>
        <v>DHAKA-NORTH</v>
      </c>
      <c r="C989" s="4">
        <f>IFERROR(__xludf.DUMMYFUNCTION("""COMPUTED_VALUE"""),15.0)</f>
        <v>15</v>
      </c>
      <c r="D989" s="2" t="str">
        <f>IFERROR(__xludf.DUMMYFUNCTION("""COMPUTED_VALUE"""),"AL-ARAFAH ISLAMI BANK LTD.")</f>
        <v>AL-ARAFAH ISLAMI BANK LTD.</v>
      </c>
      <c r="E989" s="2" t="str">
        <f>IFERROR(__xludf.DUMMYFUNCTION("""COMPUTED_VALUE"""),"KHILKHET")</f>
        <v>KHILKHET</v>
      </c>
      <c r="F989" s="4">
        <f>IFERROR(__xludf.DUMMYFUNCTION("""COMPUTED_VALUE"""),74.0)</f>
        <v>74</v>
      </c>
      <c r="G989" s="5">
        <f>IFERROR(__xludf.DUMMYFUNCTION("""COMPUTED_VALUE"""),1.5260743E7)</f>
        <v>15260743</v>
      </c>
    </row>
    <row r="990">
      <c r="A990" s="3">
        <f>IFERROR(__xludf.DUMMYFUNCTION("""COMPUTED_VALUE"""),126.0)</f>
        <v>126</v>
      </c>
      <c r="B990" s="2" t="str">
        <f>IFERROR(__xludf.DUMMYFUNCTION("""COMPUTED_VALUE"""),"DHAKA-NORTH")</f>
        <v>DHAKA-NORTH</v>
      </c>
      <c r="C990" s="4">
        <f>IFERROR(__xludf.DUMMYFUNCTION("""COMPUTED_VALUE"""),15.0)</f>
        <v>15</v>
      </c>
      <c r="D990" s="2" t="str">
        <f>IFERROR(__xludf.DUMMYFUNCTION("""COMPUTED_VALUE"""),"AL-ARAFAH ISLAMI BANK LTD.")</f>
        <v>AL-ARAFAH ISLAMI BANK LTD.</v>
      </c>
      <c r="E990" s="2" t="str">
        <f>IFERROR(__xludf.DUMMYFUNCTION("""COMPUTED_VALUE"""),"DAKSHIN KHAN")</f>
        <v>DAKSHIN KHAN</v>
      </c>
      <c r="F990" s="4">
        <f>IFERROR(__xludf.DUMMYFUNCTION("""COMPUTED_VALUE"""),91.0)</f>
        <v>91</v>
      </c>
      <c r="G990" s="5">
        <f>IFERROR(__xludf.DUMMYFUNCTION("""COMPUTED_VALUE"""),1.5260914E7)</f>
        <v>15260914</v>
      </c>
    </row>
    <row r="991">
      <c r="A991" s="3">
        <f>IFERROR(__xludf.DUMMYFUNCTION("""COMPUTED_VALUE"""),126.0)</f>
        <v>126</v>
      </c>
      <c r="B991" s="2" t="str">
        <f>IFERROR(__xludf.DUMMYFUNCTION("""COMPUTED_VALUE"""),"DHAKA-NORTH")</f>
        <v>DHAKA-NORTH</v>
      </c>
      <c r="C991" s="4">
        <f>IFERROR(__xludf.DUMMYFUNCTION("""COMPUTED_VALUE"""),15.0)</f>
        <v>15</v>
      </c>
      <c r="D991" s="2" t="str">
        <f>IFERROR(__xludf.DUMMYFUNCTION("""COMPUTED_VALUE"""),"AL-ARAFAH ISLAMI BANK LTD.")</f>
        <v>AL-ARAFAH ISLAMI BANK LTD.</v>
      </c>
      <c r="E991" s="2" t="str">
        <f>IFERROR(__xludf.DUMMYFUNCTION("""COMPUTED_VALUE"""),"DHANMONDI")</f>
        <v>DHANMONDI</v>
      </c>
      <c r="F991" s="4">
        <f>IFERROR(__xludf.DUMMYFUNCTION("""COMPUTED_VALUE"""),118.0)</f>
        <v>118</v>
      </c>
      <c r="G991" s="5">
        <f>IFERROR(__xludf.DUMMYFUNCTION("""COMPUTED_VALUE"""),1.5261184E7)</f>
        <v>15261184</v>
      </c>
    </row>
    <row r="992">
      <c r="A992" s="3">
        <f>IFERROR(__xludf.DUMMYFUNCTION("""COMPUTED_VALUE"""),126.0)</f>
        <v>126</v>
      </c>
      <c r="B992" s="2" t="str">
        <f>IFERROR(__xludf.DUMMYFUNCTION("""COMPUTED_VALUE"""),"DHAKA-NORTH")</f>
        <v>DHAKA-NORTH</v>
      </c>
      <c r="C992" s="4">
        <f>IFERROR(__xludf.DUMMYFUNCTION("""COMPUTED_VALUE"""),15.0)</f>
        <v>15</v>
      </c>
      <c r="D992" s="2" t="str">
        <f>IFERROR(__xludf.DUMMYFUNCTION("""COMPUTED_VALUE"""),"AL-ARAFAH ISLAMI BANK LTD.")</f>
        <v>AL-ARAFAH ISLAMI BANK LTD.</v>
      </c>
      <c r="E992" s="2" t="str">
        <f>IFERROR(__xludf.DUMMYFUNCTION("""COMPUTED_VALUE"""),"AZAMPUR")</f>
        <v>AZAMPUR</v>
      </c>
      <c r="F992" s="4">
        <f>IFERROR(__xludf.DUMMYFUNCTION("""COMPUTED_VALUE"""),125.0)</f>
        <v>125</v>
      </c>
      <c r="G992" s="5">
        <f>IFERROR(__xludf.DUMMYFUNCTION("""COMPUTED_VALUE"""),1.526125E7)</f>
        <v>15261250</v>
      </c>
    </row>
    <row r="993">
      <c r="A993" s="3">
        <f>IFERROR(__xludf.DUMMYFUNCTION("""COMPUTED_VALUE"""),126.0)</f>
        <v>126</v>
      </c>
      <c r="B993" s="2" t="str">
        <f>IFERROR(__xludf.DUMMYFUNCTION("""COMPUTED_VALUE"""),"DHAKA-NORTH")</f>
        <v>DHAKA-NORTH</v>
      </c>
      <c r="C993" s="4">
        <f>IFERROR(__xludf.DUMMYFUNCTION("""COMPUTED_VALUE"""),15.0)</f>
        <v>15</v>
      </c>
      <c r="D993" s="2" t="str">
        <f>IFERROR(__xludf.DUMMYFUNCTION("""COMPUTED_VALUE"""),"AL-ARAFAH ISLAMI BANK LTD.")</f>
        <v>AL-ARAFAH ISLAMI BANK LTD.</v>
      </c>
      <c r="E993" s="2" t="str">
        <f>IFERROR(__xludf.DUMMYFUNCTION("""COMPUTED_VALUE"""),"GULSHAN")</f>
        <v>GULSHAN</v>
      </c>
      <c r="F993" s="4">
        <f>IFERROR(__xludf.DUMMYFUNCTION("""COMPUTED_VALUE"""),172.0)</f>
        <v>172</v>
      </c>
      <c r="G993" s="5">
        <f>IFERROR(__xludf.DUMMYFUNCTION("""COMPUTED_VALUE"""),1.5261726E7)</f>
        <v>15261726</v>
      </c>
    </row>
    <row r="994">
      <c r="A994" s="3">
        <f>IFERROR(__xludf.DUMMYFUNCTION("""COMPUTED_VALUE"""),126.0)</f>
        <v>126</v>
      </c>
      <c r="B994" s="2" t="str">
        <f>IFERROR(__xludf.DUMMYFUNCTION("""COMPUTED_VALUE"""),"DHAKA-NORTH")</f>
        <v>DHAKA-NORTH</v>
      </c>
      <c r="C994" s="4">
        <f>IFERROR(__xludf.DUMMYFUNCTION("""COMPUTED_VALUE"""),15.0)</f>
        <v>15</v>
      </c>
      <c r="D994" s="2" t="str">
        <f>IFERROR(__xludf.DUMMYFUNCTION("""COMPUTED_VALUE"""),"AL-ARAFAH ISLAMI BANK LTD.")</f>
        <v>AL-ARAFAH ISLAMI BANK LTD.</v>
      </c>
      <c r="E994" s="2" t="str">
        <f>IFERROR(__xludf.DUMMYFUNCTION("""COMPUTED_VALUE"""),"HAZARIBAGH")</f>
        <v>HAZARIBAGH</v>
      </c>
      <c r="F994" s="4">
        <f>IFERROR(__xludf.DUMMYFUNCTION("""COMPUTED_VALUE"""),196.0)</f>
        <v>196</v>
      </c>
      <c r="G994" s="5">
        <f>IFERROR(__xludf.DUMMYFUNCTION("""COMPUTED_VALUE"""),1.5261968E7)</f>
        <v>15261968</v>
      </c>
    </row>
    <row r="995">
      <c r="A995" s="3">
        <f>IFERROR(__xludf.DUMMYFUNCTION("""COMPUTED_VALUE"""),126.0)</f>
        <v>126</v>
      </c>
      <c r="B995" s="2" t="str">
        <f>IFERROR(__xludf.DUMMYFUNCTION("""COMPUTED_VALUE"""),"DHAKA-NORTH")</f>
        <v>DHAKA-NORTH</v>
      </c>
      <c r="C995" s="4">
        <f>IFERROR(__xludf.DUMMYFUNCTION("""COMPUTED_VALUE"""),15.0)</f>
        <v>15</v>
      </c>
      <c r="D995" s="2" t="str">
        <f>IFERROR(__xludf.DUMMYFUNCTION("""COMPUTED_VALUE"""),"AL-ARAFAH ISLAMI BANK LTD.")</f>
        <v>AL-ARAFAH ISLAMI BANK LTD.</v>
      </c>
      <c r="E995" s="2" t="str">
        <f>IFERROR(__xludf.DUMMYFUNCTION("""COMPUTED_VALUE"""),"HEMAYET PUR")</f>
        <v>HEMAYET PUR</v>
      </c>
      <c r="F995" s="4">
        <f>IFERROR(__xludf.DUMMYFUNCTION("""COMPUTED_VALUE"""),205.0)</f>
        <v>205</v>
      </c>
      <c r="G995" s="5">
        <f>IFERROR(__xludf.DUMMYFUNCTION("""COMPUTED_VALUE"""),1.5262059E7)</f>
        <v>15262059</v>
      </c>
    </row>
    <row r="996">
      <c r="A996" s="3">
        <f>IFERROR(__xludf.DUMMYFUNCTION("""COMPUTED_VALUE"""),126.0)</f>
        <v>126</v>
      </c>
      <c r="B996" s="2" t="str">
        <f>IFERROR(__xludf.DUMMYFUNCTION("""COMPUTED_VALUE"""),"DHAKA-NORTH")</f>
        <v>DHAKA-NORTH</v>
      </c>
      <c r="C996" s="4">
        <f>IFERROR(__xludf.DUMMYFUNCTION("""COMPUTED_VALUE"""),15.0)</f>
        <v>15</v>
      </c>
      <c r="D996" s="2" t="str">
        <f>IFERROR(__xludf.DUMMYFUNCTION("""COMPUTED_VALUE"""),"AL-ARAFAH ISLAMI BANK LTD.")</f>
        <v>AL-ARAFAH ISLAMI BANK LTD.</v>
      </c>
      <c r="E996" s="2" t="str">
        <f>IFERROR(__xludf.DUMMYFUNCTION("""COMPUTED_VALUE"""),"KARWAN BAZAR")</f>
        <v>KARWAN BAZAR</v>
      </c>
      <c r="F996" s="4">
        <f>IFERROR(__xludf.DUMMYFUNCTION("""COMPUTED_VALUE"""),253.0)</f>
        <v>253</v>
      </c>
      <c r="G996" s="5">
        <f>IFERROR(__xludf.DUMMYFUNCTION("""COMPUTED_VALUE"""),1.5262538E7)</f>
        <v>15262538</v>
      </c>
    </row>
    <row r="997">
      <c r="A997" s="3">
        <f>IFERROR(__xludf.DUMMYFUNCTION("""COMPUTED_VALUE"""),126.0)</f>
        <v>126</v>
      </c>
      <c r="B997" s="2" t="str">
        <f>IFERROR(__xludf.DUMMYFUNCTION("""COMPUTED_VALUE"""),"DHAKA-NORTH")</f>
        <v>DHAKA-NORTH</v>
      </c>
      <c r="C997" s="4">
        <f>IFERROR(__xludf.DUMMYFUNCTION("""COMPUTED_VALUE"""),15.0)</f>
        <v>15</v>
      </c>
      <c r="D997" s="2" t="str">
        <f>IFERROR(__xludf.DUMMYFUNCTION("""COMPUTED_VALUE"""),"AL-ARAFAH ISLAMI BANK LTD.")</f>
        <v>AL-ARAFAH ISLAMI BANK LTD.</v>
      </c>
      <c r="E997" s="2" t="str">
        <f>IFERROR(__xludf.DUMMYFUNCTION("""COMPUTED_VALUE"""),"MANDA")</f>
        <v>MANDA</v>
      </c>
      <c r="F997" s="4">
        <f>IFERROR(__xludf.DUMMYFUNCTION("""COMPUTED_VALUE"""),287.0)</f>
        <v>287</v>
      </c>
      <c r="G997" s="5">
        <f>IFERROR(__xludf.DUMMYFUNCTION("""COMPUTED_VALUE"""),1.5262875E7)</f>
        <v>15262875</v>
      </c>
    </row>
    <row r="998">
      <c r="A998" s="3">
        <f>IFERROR(__xludf.DUMMYFUNCTION("""COMPUTED_VALUE"""),126.0)</f>
        <v>126</v>
      </c>
      <c r="B998" s="2" t="str">
        <f>IFERROR(__xludf.DUMMYFUNCTION("""COMPUTED_VALUE"""),"DHAKA-NORTH")</f>
        <v>DHAKA-NORTH</v>
      </c>
      <c r="C998" s="4">
        <f>IFERROR(__xludf.DUMMYFUNCTION("""COMPUTED_VALUE"""),15.0)</f>
        <v>15</v>
      </c>
      <c r="D998" s="2" t="str">
        <f>IFERROR(__xludf.DUMMYFUNCTION("""COMPUTED_VALUE"""),"AL-ARAFAH ISLAMI BANK LTD.")</f>
        <v>AL-ARAFAH ISLAMI BANK LTD.</v>
      </c>
      <c r="E998" s="2" t="str">
        <f>IFERROR(__xludf.DUMMYFUNCTION("""COMPUTED_VALUE"""),"MIRPUR")</f>
        <v>MIRPUR</v>
      </c>
      <c r="F998" s="4">
        <f>IFERROR(__xludf.DUMMYFUNCTION("""COMPUTED_VALUE"""),298.0)</f>
        <v>298</v>
      </c>
      <c r="G998" s="5">
        <f>IFERROR(__xludf.DUMMYFUNCTION("""COMPUTED_VALUE"""),1.5262983E7)</f>
        <v>15262983</v>
      </c>
    </row>
    <row r="999">
      <c r="A999" s="3">
        <f>IFERROR(__xludf.DUMMYFUNCTION("""COMPUTED_VALUE"""),126.0)</f>
        <v>126</v>
      </c>
      <c r="B999" s="2" t="str">
        <f>IFERROR(__xludf.DUMMYFUNCTION("""COMPUTED_VALUE"""),"DHAKA-NORTH")</f>
        <v>DHAKA-NORTH</v>
      </c>
      <c r="C999" s="4">
        <f>IFERROR(__xludf.DUMMYFUNCTION("""COMPUTED_VALUE"""),15.0)</f>
        <v>15</v>
      </c>
      <c r="D999" s="2" t="str">
        <f>IFERROR(__xludf.DUMMYFUNCTION("""COMPUTED_VALUE"""),"AL-ARAFAH ISLAMI BANK LTD.")</f>
        <v>AL-ARAFAH ISLAMI BANK LTD.</v>
      </c>
      <c r="E999" s="2" t="str">
        <f>IFERROR(__xludf.DUMMYFUNCTION("""COMPUTED_VALUE"""),"MIRPUR SECTION-10")</f>
        <v>MIRPUR SECTION-10</v>
      </c>
      <c r="F999" s="4">
        <f>IFERROR(__xludf.DUMMYFUNCTION("""COMPUTED_VALUE"""),313.0)</f>
        <v>313</v>
      </c>
      <c r="G999" s="5">
        <f>IFERROR(__xludf.DUMMYFUNCTION("""COMPUTED_VALUE"""),1.5263137E7)</f>
        <v>15263137</v>
      </c>
    </row>
    <row r="1000">
      <c r="A1000" s="3">
        <f>IFERROR(__xludf.DUMMYFUNCTION("""COMPUTED_VALUE"""),126.0)</f>
        <v>126</v>
      </c>
      <c r="B1000" s="2" t="str">
        <f>IFERROR(__xludf.DUMMYFUNCTION("""COMPUTED_VALUE"""),"DHAKA-NORTH")</f>
        <v>DHAKA-NORTH</v>
      </c>
      <c r="C1000" s="4">
        <f>IFERROR(__xludf.DUMMYFUNCTION("""COMPUTED_VALUE"""),15.0)</f>
        <v>15</v>
      </c>
      <c r="D1000" s="2" t="str">
        <f>IFERROR(__xludf.DUMMYFUNCTION("""COMPUTED_VALUE"""),"AL-ARAFAH ISLAMI BANK LTD.")</f>
        <v>AL-ARAFAH ISLAMI BANK LTD.</v>
      </c>
      <c r="E1000" s="2" t="str">
        <f>IFERROR(__xludf.DUMMYFUNCTION("""COMPUTED_VALUE"""),"MOHAKHALI")</f>
        <v>MOHAKHALI</v>
      </c>
      <c r="F1000" s="4">
        <f>IFERROR(__xludf.DUMMYFUNCTION("""COMPUTED_VALUE"""),319.0)</f>
        <v>319</v>
      </c>
      <c r="G1000" s="5">
        <f>IFERROR(__xludf.DUMMYFUNCTION("""COMPUTED_VALUE"""),1.5263195E7)</f>
        <v>15263195</v>
      </c>
    </row>
    <row r="1001">
      <c r="A1001" s="3">
        <f>IFERROR(__xludf.DUMMYFUNCTION("""COMPUTED_VALUE"""),126.0)</f>
        <v>126</v>
      </c>
      <c r="B1001" s="2" t="str">
        <f>IFERROR(__xludf.DUMMYFUNCTION("""COMPUTED_VALUE"""),"DHAKA-NORTH")</f>
        <v>DHAKA-NORTH</v>
      </c>
      <c r="C1001" s="4">
        <f>IFERROR(__xludf.DUMMYFUNCTION("""COMPUTED_VALUE"""),15.0)</f>
        <v>15</v>
      </c>
      <c r="D1001" s="2" t="str">
        <f>IFERROR(__xludf.DUMMYFUNCTION("""COMPUTED_VALUE"""),"AL-ARAFAH ISLAMI BANK LTD.")</f>
        <v>AL-ARAFAH ISLAMI BANK LTD.</v>
      </c>
      <c r="E1001" s="2" t="str">
        <f>IFERROR(__xludf.DUMMYFUNCTION("""COMPUTED_VALUE"""),"MOHAMMADPUR KRISHI MARKET")</f>
        <v>MOHAMMADPUR KRISHI MARKET</v>
      </c>
      <c r="F1001" s="3">
        <f>IFERROR(__xludf.DUMMYFUNCTION("""COMPUTED_VALUE"""),337.0)</f>
        <v>337</v>
      </c>
      <c r="G1001" s="5">
        <f>IFERROR(__xludf.DUMMYFUNCTION("""COMPUTED_VALUE"""),1.5263379E7)</f>
        <v>15263379</v>
      </c>
    </row>
    <row r="1002">
      <c r="A1002" s="3">
        <f>IFERROR(__xludf.DUMMYFUNCTION("""COMPUTED_VALUE"""),126.0)</f>
        <v>126</v>
      </c>
      <c r="B1002" s="2" t="str">
        <f>IFERROR(__xludf.DUMMYFUNCTION("""COMPUTED_VALUE"""),"DHAKA-NORTH")</f>
        <v>DHAKA-NORTH</v>
      </c>
      <c r="C1002" s="4">
        <f>IFERROR(__xludf.DUMMYFUNCTION("""COMPUTED_VALUE"""),15.0)</f>
        <v>15</v>
      </c>
      <c r="D1002" s="2" t="str">
        <f>IFERROR(__xludf.DUMMYFUNCTION("""COMPUTED_VALUE"""),"AL-ARAFAH ISLAMI BANK LTD.")</f>
        <v>AL-ARAFAH ISLAMI BANK LTD.</v>
      </c>
      <c r="E1002" s="2" t="str">
        <f>IFERROR(__xludf.DUMMYFUNCTION("""COMPUTED_VALUE"""),"NATUN BAZAR")</f>
        <v>NATUN BAZAR</v>
      </c>
      <c r="F1002" s="3">
        <f>IFERROR(__xludf.DUMMYFUNCTION("""COMPUTED_VALUE"""),342.0)</f>
        <v>342</v>
      </c>
      <c r="G1002" s="5">
        <f>IFERROR(__xludf.DUMMYFUNCTION("""COMPUTED_VALUE"""),1.5263429E7)</f>
        <v>15263429</v>
      </c>
    </row>
    <row r="1003">
      <c r="A1003" s="3">
        <f>IFERROR(__xludf.DUMMYFUNCTION("""COMPUTED_VALUE"""),126.0)</f>
        <v>126</v>
      </c>
      <c r="B1003" s="2" t="str">
        <f>IFERROR(__xludf.DUMMYFUNCTION("""COMPUTED_VALUE"""),"DHAKA-NORTH")</f>
        <v>DHAKA-NORTH</v>
      </c>
      <c r="C1003" s="4">
        <f>IFERROR(__xludf.DUMMYFUNCTION("""COMPUTED_VALUE"""),15.0)</f>
        <v>15</v>
      </c>
      <c r="D1003" s="2" t="str">
        <f>IFERROR(__xludf.DUMMYFUNCTION("""COMPUTED_VALUE"""),"AL-ARAFAH ISLAMI BANK LTD.")</f>
        <v>AL-ARAFAH ISLAMI BANK LTD.</v>
      </c>
      <c r="E1003" s="2" t="str">
        <f>IFERROR(__xludf.DUMMYFUNCTION("""COMPUTED_VALUE"""),"NEW ELEPHANT ROAD")</f>
        <v>NEW ELEPHANT ROAD</v>
      </c>
      <c r="F1003" s="3">
        <f>IFERROR(__xludf.DUMMYFUNCTION("""COMPUTED_VALUE"""),349.0)</f>
        <v>349</v>
      </c>
      <c r="G1003" s="5">
        <f>IFERROR(__xludf.DUMMYFUNCTION("""COMPUTED_VALUE"""),1.526349E7)</f>
        <v>15263490</v>
      </c>
    </row>
    <row r="1004">
      <c r="A1004" s="3">
        <f>IFERROR(__xludf.DUMMYFUNCTION("""COMPUTED_VALUE"""),126.0)</f>
        <v>126</v>
      </c>
      <c r="B1004" s="2" t="str">
        <f>IFERROR(__xludf.DUMMYFUNCTION("""COMPUTED_VALUE"""),"DHAKA-NORTH")</f>
        <v>DHAKA-NORTH</v>
      </c>
      <c r="C1004" s="4">
        <f>IFERROR(__xludf.DUMMYFUNCTION("""COMPUTED_VALUE"""),15.0)</f>
        <v>15</v>
      </c>
      <c r="D1004" s="2" t="str">
        <f>IFERROR(__xludf.DUMMYFUNCTION("""COMPUTED_VALUE"""),"AL-ARAFAH ISLAMI BANK LTD.")</f>
        <v>AL-ARAFAH ISLAMI BANK LTD.</v>
      </c>
      <c r="E1004" s="2" t="str">
        <f>IFERROR(__xludf.DUMMYFUNCTION("""COMPUTED_VALUE"""),"PALLABI")</f>
        <v>PALLABI</v>
      </c>
      <c r="F1004" s="3">
        <f>IFERROR(__xludf.DUMMYFUNCTION("""COMPUTED_VALUE"""),358.0)</f>
        <v>358</v>
      </c>
      <c r="G1004" s="5">
        <f>IFERROR(__xludf.DUMMYFUNCTION("""COMPUTED_VALUE"""),1.5263582E7)</f>
        <v>15263582</v>
      </c>
    </row>
    <row r="1005">
      <c r="A1005" s="3">
        <f>IFERROR(__xludf.DUMMYFUNCTION("""COMPUTED_VALUE"""),126.0)</f>
        <v>126</v>
      </c>
      <c r="B1005" s="2" t="str">
        <f>IFERROR(__xludf.DUMMYFUNCTION("""COMPUTED_VALUE"""),"DHAKA-NORTH")</f>
        <v>DHAKA-NORTH</v>
      </c>
      <c r="C1005" s="4">
        <f>IFERROR(__xludf.DUMMYFUNCTION("""COMPUTED_VALUE"""),15.0)</f>
        <v>15</v>
      </c>
      <c r="D1005" s="2" t="str">
        <f>IFERROR(__xludf.DUMMYFUNCTION("""COMPUTED_VALUE"""),"AL-ARAFAH ISLAMI BANK LTD.")</f>
        <v>AL-ARAFAH ISLAMI BANK LTD.</v>
      </c>
      <c r="E1005" s="2" t="str">
        <f>IFERROR(__xludf.DUMMYFUNCTION("""COMPUTED_VALUE"""),"PANTHA PATH")</f>
        <v>PANTHA PATH</v>
      </c>
      <c r="F1005" s="3">
        <f>IFERROR(__xludf.DUMMYFUNCTION("""COMPUTED_VALUE"""),361.0)</f>
        <v>361</v>
      </c>
      <c r="G1005" s="5">
        <f>IFERROR(__xludf.DUMMYFUNCTION("""COMPUTED_VALUE"""),1.5263616E7)</f>
        <v>15263616</v>
      </c>
    </row>
    <row r="1006">
      <c r="A1006" s="3">
        <f>IFERROR(__xludf.DUMMYFUNCTION("""COMPUTED_VALUE"""),126.0)</f>
        <v>126</v>
      </c>
      <c r="B1006" s="2" t="str">
        <f>IFERROR(__xludf.DUMMYFUNCTION("""COMPUTED_VALUE"""),"DHAKA-NORTH")</f>
        <v>DHAKA-NORTH</v>
      </c>
      <c r="C1006" s="4">
        <f>IFERROR(__xludf.DUMMYFUNCTION("""COMPUTED_VALUE"""),15.0)</f>
        <v>15</v>
      </c>
      <c r="D1006" s="2" t="str">
        <f>IFERROR(__xludf.DUMMYFUNCTION("""COMPUTED_VALUE"""),"AL-ARAFAH ISLAMI BANK LTD.")</f>
        <v>AL-ARAFAH ISLAMI BANK LTD.</v>
      </c>
      <c r="E1006" s="2" t="str">
        <f>IFERROR(__xludf.DUMMYFUNCTION("""COMPUTED_VALUE"""),"PRAGATI SARANI")</f>
        <v>PRAGATI SARANI</v>
      </c>
      <c r="F1006" s="3">
        <f>IFERROR(__xludf.DUMMYFUNCTION("""COMPUTED_VALUE"""),370.0)</f>
        <v>370</v>
      </c>
      <c r="G1006" s="5">
        <f>IFERROR(__xludf.DUMMYFUNCTION("""COMPUTED_VALUE"""),1.5263708E7)</f>
        <v>15263708</v>
      </c>
    </row>
    <row r="1007">
      <c r="A1007" s="3">
        <f>IFERROR(__xludf.DUMMYFUNCTION("""COMPUTED_VALUE"""),126.0)</f>
        <v>126</v>
      </c>
      <c r="B1007" s="2" t="str">
        <f>IFERROR(__xludf.DUMMYFUNCTION("""COMPUTED_VALUE"""),"DHAKA-NORTH")</f>
        <v>DHAKA-NORTH</v>
      </c>
      <c r="C1007" s="4">
        <f>IFERROR(__xludf.DUMMYFUNCTION("""COMPUTED_VALUE"""),15.0)</f>
        <v>15</v>
      </c>
      <c r="D1007" s="2" t="str">
        <f>IFERROR(__xludf.DUMMYFUNCTION("""COMPUTED_VALUE"""),"AL-ARAFAH ISLAMI BANK LTD.")</f>
        <v>AL-ARAFAH ISLAMI BANK LTD.</v>
      </c>
      <c r="E1007" s="2" t="str">
        <f>IFERROR(__xludf.DUMMYFUNCTION("""COMPUTED_VALUE"""),"RAMPURA")</f>
        <v>RAMPURA</v>
      </c>
      <c r="F1007" s="3">
        <f>IFERROR(__xludf.DUMMYFUNCTION("""COMPUTED_VALUE"""),391.0)</f>
        <v>391</v>
      </c>
      <c r="G1007" s="5">
        <f>IFERROR(__xludf.DUMMYFUNCTION("""COMPUTED_VALUE"""),1.5263911E7)</f>
        <v>15263911</v>
      </c>
    </row>
    <row r="1008">
      <c r="A1008" s="3">
        <f>IFERROR(__xludf.DUMMYFUNCTION("""COMPUTED_VALUE"""),126.0)</f>
        <v>126</v>
      </c>
      <c r="B1008" s="2" t="str">
        <f>IFERROR(__xludf.DUMMYFUNCTION("""COMPUTED_VALUE"""),"DHAKA-NORTH")</f>
        <v>DHAKA-NORTH</v>
      </c>
      <c r="C1008" s="4">
        <f>IFERROR(__xludf.DUMMYFUNCTION("""COMPUTED_VALUE"""),15.0)</f>
        <v>15</v>
      </c>
      <c r="D1008" s="2" t="str">
        <f>IFERROR(__xludf.DUMMYFUNCTION("""COMPUTED_VALUE"""),"AL-ARAFAH ISLAMI BANK LTD.")</f>
        <v>AL-ARAFAH ISLAMI BANK LTD.</v>
      </c>
      <c r="E1008" s="2" t="str">
        <f>IFERROR(__xludf.DUMMYFUNCTION("""COMPUTED_VALUE"""),"SHYAMALI")</f>
        <v>SHYAMALI</v>
      </c>
      <c r="F1008" s="3">
        <f>IFERROR(__xludf.DUMMYFUNCTION("""COMPUTED_VALUE"""),430.0)</f>
        <v>430</v>
      </c>
      <c r="G1008" s="5">
        <f>IFERROR(__xludf.DUMMYFUNCTION("""COMPUTED_VALUE"""),1.5264307E7)</f>
        <v>15264307</v>
      </c>
    </row>
    <row r="1009">
      <c r="A1009" s="3">
        <f>IFERROR(__xludf.DUMMYFUNCTION("""COMPUTED_VALUE"""),126.0)</f>
        <v>126</v>
      </c>
      <c r="B1009" s="2" t="str">
        <f>IFERROR(__xludf.DUMMYFUNCTION("""COMPUTED_VALUE"""),"DHAKA-NORTH")</f>
        <v>DHAKA-NORTH</v>
      </c>
      <c r="C1009" s="4">
        <f>IFERROR(__xludf.DUMMYFUNCTION("""COMPUTED_VALUE"""),15.0)</f>
        <v>15</v>
      </c>
      <c r="D1009" s="2" t="str">
        <f>IFERROR(__xludf.DUMMYFUNCTION("""COMPUTED_VALUE"""),"AL-ARAFAH ISLAMI BANK LTD.")</f>
        <v>AL-ARAFAH ISLAMI BANK LTD.</v>
      </c>
      <c r="E1009" s="2" t="str">
        <f>IFERROR(__xludf.DUMMYFUNCTION("""COMPUTED_VALUE"""),"UTTARA MODEL TOWN")</f>
        <v>UTTARA MODEL TOWN</v>
      </c>
      <c r="F1009" s="3">
        <f>IFERROR(__xludf.DUMMYFUNCTION("""COMPUTED_VALUE"""),469.0)</f>
        <v>469</v>
      </c>
      <c r="G1009" s="5">
        <f>IFERROR(__xludf.DUMMYFUNCTION("""COMPUTED_VALUE"""),1.5264699E7)</f>
        <v>15264699</v>
      </c>
    </row>
    <row r="1010">
      <c r="A1010" s="3">
        <f>IFERROR(__xludf.DUMMYFUNCTION("""COMPUTED_VALUE"""),127.0)</f>
        <v>127</v>
      </c>
      <c r="B1010" s="2" t="str">
        <f>IFERROR(__xludf.DUMMYFUNCTION("""COMPUTED_VALUE"""),"DHAKA-SOUTH")</f>
        <v>DHAKA-SOUTH</v>
      </c>
      <c r="C1010" s="4">
        <f>IFERROR(__xludf.DUMMYFUNCTION("""COMPUTED_VALUE"""),15.0)</f>
        <v>15</v>
      </c>
      <c r="D1010" s="2" t="str">
        <f>IFERROR(__xludf.DUMMYFUNCTION("""COMPUTED_VALUE"""),"AL-ARAFAH ISLAMI BANK LTD.")</f>
        <v>AL-ARAFAH ISLAMI BANK LTD.</v>
      </c>
      <c r="E1010" s="2" t="str">
        <f>IFERROR(__xludf.DUMMYFUNCTION("""COMPUTED_VALUE"""),"TRUNCATION POINT")</f>
        <v>TRUNCATION POINT</v>
      </c>
      <c r="F1010" s="3">
        <f>IFERROR(__xludf.DUMMYFUNCTION("""COMPUTED_VALUE"""),0.0)</f>
        <v>0</v>
      </c>
      <c r="G1010" s="5">
        <f>IFERROR(__xludf.DUMMYFUNCTION("""COMPUTED_VALUE"""),1.5270009E7)</f>
        <v>15270009</v>
      </c>
    </row>
    <row r="1011">
      <c r="A1011" s="3">
        <f>IFERROR(__xludf.DUMMYFUNCTION("""COMPUTED_VALUE"""),127.0)</f>
        <v>127</v>
      </c>
      <c r="B1011" s="2" t="str">
        <f>IFERROR(__xludf.DUMMYFUNCTION("""COMPUTED_VALUE"""),"DHAKA-SOUTH")</f>
        <v>DHAKA-SOUTH</v>
      </c>
      <c r="C1011" s="4">
        <f>IFERROR(__xludf.DUMMYFUNCTION("""COMPUTED_VALUE"""),15.0)</f>
        <v>15</v>
      </c>
      <c r="D1011" s="2" t="str">
        <f>IFERROR(__xludf.DUMMYFUNCTION("""COMPUTED_VALUE"""),"AL-ARAFAH ISLAMI BANK LTD.")</f>
        <v>AL-ARAFAH ISLAMI BANK LTD.</v>
      </c>
      <c r="E1011" s="2" t="str">
        <f>IFERROR(__xludf.DUMMYFUNCTION("""COMPUTED_VALUE"""),"RUHITPUR BAZAR")</f>
        <v>RUHITPUR BAZAR</v>
      </c>
      <c r="F1011" s="3">
        <f>IFERROR(__xludf.DUMMYFUNCTION("""COMPUTED_VALUE"""),5.0)</f>
        <v>5</v>
      </c>
      <c r="G1011" s="5">
        <f>IFERROR(__xludf.DUMMYFUNCTION("""COMPUTED_VALUE"""),1.5270054E7)</f>
        <v>15270054</v>
      </c>
    </row>
    <row r="1012">
      <c r="A1012" s="3">
        <f>IFERROR(__xludf.DUMMYFUNCTION("""COMPUTED_VALUE"""),127.0)</f>
        <v>127</v>
      </c>
      <c r="B1012" s="2" t="str">
        <f>IFERROR(__xludf.DUMMYFUNCTION("""COMPUTED_VALUE"""),"DHAKA-SOUTH")</f>
        <v>DHAKA-SOUTH</v>
      </c>
      <c r="C1012" s="4">
        <f>IFERROR(__xludf.DUMMYFUNCTION("""COMPUTED_VALUE"""),15.0)</f>
        <v>15</v>
      </c>
      <c r="D1012" s="2" t="str">
        <f>IFERROR(__xludf.DUMMYFUNCTION("""COMPUTED_VALUE"""),"AL-ARAFAH ISLAMI BANK LTD.")</f>
        <v>AL-ARAFAH ISLAMI BANK LTD.</v>
      </c>
      <c r="E1012" s="2" t="str">
        <f>IFERROR(__xludf.DUMMYFUNCTION("""COMPUTED_VALUE"""),"ATI BAZAR")</f>
        <v>ATI BAZAR</v>
      </c>
      <c r="F1012" s="3">
        <f>IFERROR(__xludf.DUMMYFUNCTION("""COMPUTED_VALUE"""),34.0)</f>
        <v>34</v>
      </c>
      <c r="G1012" s="5">
        <f>IFERROR(__xludf.DUMMYFUNCTION("""COMPUTED_VALUE"""),1.5270346E7)</f>
        <v>15270346</v>
      </c>
    </row>
    <row r="1013">
      <c r="A1013" s="3">
        <f>IFERROR(__xludf.DUMMYFUNCTION("""COMPUTED_VALUE"""),127.0)</f>
        <v>127</v>
      </c>
      <c r="B1013" s="2" t="str">
        <f>IFERROR(__xludf.DUMMYFUNCTION("""COMPUTED_VALUE"""),"DHAKA-SOUTH")</f>
        <v>DHAKA-SOUTH</v>
      </c>
      <c r="C1013" s="4">
        <f>IFERROR(__xludf.DUMMYFUNCTION("""COMPUTED_VALUE"""),15.0)</f>
        <v>15</v>
      </c>
      <c r="D1013" s="2" t="str">
        <f>IFERROR(__xludf.DUMMYFUNCTION("""COMPUTED_VALUE"""),"AL-ARAFAH ISLAMI BANK LTD.")</f>
        <v>AL-ARAFAH ISLAMI BANK LTD.</v>
      </c>
      <c r="E1013" s="2" t="str">
        <f>IFERROR(__xludf.DUMMYFUNCTION("""COMPUTED_VALUE"""),"CORPORATE")</f>
        <v>CORPORATE</v>
      </c>
      <c r="F1013" s="3">
        <f>IFERROR(__xludf.DUMMYFUNCTION("""COMPUTED_VALUE"""),139.0)</f>
        <v>139</v>
      </c>
      <c r="G1013" s="5">
        <f>IFERROR(__xludf.DUMMYFUNCTION("""COMPUTED_VALUE"""),1.527139E7)</f>
        <v>15271390</v>
      </c>
    </row>
    <row r="1014">
      <c r="A1014" s="3">
        <f>IFERROR(__xludf.DUMMYFUNCTION("""COMPUTED_VALUE"""),127.0)</f>
        <v>127</v>
      </c>
      <c r="B1014" s="2" t="str">
        <f>IFERROR(__xludf.DUMMYFUNCTION("""COMPUTED_VALUE"""),"DHAKA-SOUTH")</f>
        <v>DHAKA-SOUTH</v>
      </c>
      <c r="C1014" s="4">
        <f>IFERROR(__xludf.DUMMYFUNCTION("""COMPUTED_VALUE"""),15.0)</f>
        <v>15</v>
      </c>
      <c r="D1014" s="2" t="str">
        <f>IFERROR(__xludf.DUMMYFUNCTION("""COMPUTED_VALUE"""),"AL-ARAFAH ISLAMI BANK LTD.")</f>
        <v>AL-ARAFAH ISLAMI BANK LTD.</v>
      </c>
      <c r="E1014" s="2" t="str">
        <f>IFERROR(__xludf.DUMMYFUNCTION("""COMPUTED_VALUE"""),"KOLATIA SME")</f>
        <v>KOLATIA SME</v>
      </c>
      <c r="F1014" s="3">
        <f>IFERROR(__xludf.DUMMYFUNCTION("""COMPUTED_VALUE"""),149.0)</f>
        <v>149</v>
      </c>
      <c r="G1014" s="5">
        <f>IFERROR(__xludf.DUMMYFUNCTION("""COMPUTED_VALUE"""),1.5271495E7)</f>
        <v>15271495</v>
      </c>
    </row>
    <row r="1015">
      <c r="A1015" s="3">
        <f>IFERROR(__xludf.DUMMYFUNCTION("""COMPUTED_VALUE"""),127.0)</f>
        <v>127</v>
      </c>
      <c r="B1015" s="2" t="str">
        <f>IFERROR(__xludf.DUMMYFUNCTION("""COMPUTED_VALUE"""),"DHAKA-SOUTH")</f>
        <v>DHAKA-SOUTH</v>
      </c>
      <c r="C1015" s="4">
        <f>IFERROR(__xludf.DUMMYFUNCTION("""COMPUTED_VALUE"""),15.0)</f>
        <v>15</v>
      </c>
      <c r="D1015" s="2" t="str">
        <f>IFERROR(__xludf.DUMMYFUNCTION("""COMPUTED_VALUE"""),"AL-ARAFAH ISLAMI BANK LTD.")</f>
        <v>AL-ARAFAH ISLAMI BANK LTD.</v>
      </c>
      <c r="E1015" s="2" t="str">
        <f>IFERROR(__xludf.DUMMYFUNCTION("""COMPUTED_VALUE"""),"DILKUSHA")</f>
        <v>DILKUSHA</v>
      </c>
      <c r="F1015" s="3">
        <f>IFERROR(__xludf.DUMMYFUNCTION("""COMPUTED_VALUE"""),190.0)</f>
        <v>190</v>
      </c>
      <c r="G1015" s="5">
        <f>IFERROR(__xludf.DUMMYFUNCTION("""COMPUTED_VALUE"""),1.5271903E7)</f>
        <v>15271903</v>
      </c>
    </row>
    <row r="1016">
      <c r="A1016" s="3">
        <f>IFERROR(__xludf.DUMMYFUNCTION("""COMPUTED_VALUE"""),127.0)</f>
        <v>127</v>
      </c>
      <c r="B1016" s="2" t="str">
        <f>IFERROR(__xludf.DUMMYFUNCTION("""COMPUTED_VALUE"""),"DHAKA-SOUTH")</f>
        <v>DHAKA-SOUTH</v>
      </c>
      <c r="C1016" s="4">
        <f>IFERROR(__xludf.DUMMYFUNCTION("""COMPUTED_VALUE"""),15.0)</f>
        <v>15</v>
      </c>
      <c r="D1016" s="2" t="str">
        <f>IFERROR(__xludf.DUMMYFUNCTION("""COMPUTED_VALUE"""),"AL-ARAFAH ISLAMI BANK LTD.")</f>
        <v>AL-ARAFAH ISLAMI BANK LTD.</v>
      </c>
      <c r="E1016" s="2" t="str">
        <f>IFERROR(__xludf.DUMMYFUNCTION("""COMPUTED_VALUE"""),"HEAD OFFICE")</f>
        <v>HEAD OFFICE</v>
      </c>
      <c r="F1016" s="3">
        <f>IFERROR(__xludf.DUMMYFUNCTION("""COMPUTED_VALUE"""),268.0)</f>
        <v>268</v>
      </c>
      <c r="G1016" s="5">
        <f>IFERROR(__xludf.DUMMYFUNCTION("""COMPUTED_VALUE"""),1.5272681E7)</f>
        <v>15272681</v>
      </c>
    </row>
    <row r="1017">
      <c r="A1017" s="3">
        <f>IFERROR(__xludf.DUMMYFUNCTION("""COMPUTED_VALUE"""),127.0)</f>
        <v>127</v>
      </c>
      <c r="B1017" s="2" t="str">
        <f>IFERROR(__xludf.DUMMYFUNCTION("""COMPUTED_VALUE"""),"DHAKA-SOUTH")</f>
        <v>DHAKA-SOUTH</v>
      </c>
      <c r="C1017" s="4">
        <f>IFERROR(__xludf.DUMMYFUNCTION("""COMPUTED_VALUE"""),15.0)</f>
        <v>15</v>
      </c>
      <c r="D1017" s="2" t="str">
        <f>IFERROR(__xludf.DUMMYFUNCTION("""COMPUTED_VALUE"""),"AL-ARAFAH ISLAMI BANK LTD.")</f>
        <v>AL-ARAFAH ISLAMI BANK LTD.</v>
      </c>
      <c r="E1017" s="2" t="str">
        <f>IFERROR(__xludf.DUMMYFUNCTION("""COMPUTED_VALUE"""),"HEAD OFFICE CORPORATE")</f>
        <v>HEAD OFFICE CORPORATE</v>
      </c>
      <c r="F1017" s="3">
        <f>IFERROR(__xludf.DUMMYFUNCTION("""COMPUTED_VALUE"""),269.0)</f>
        <v>269</v>
      </c>
      <c r="G1017" s="5">
        <f>IFERROR(__xludf.DUMMYFUNCTION("""COMPUTED_VALUE"""),1.5272694E7)</f>
        <v>15272694</v>
      </c>
    </row>
    <row r="1018">
      <c r="A1018" s="3">
        <f>IFERROR(__xludf.DUMMYFUNCTION("""COMPUTED_VALUE"""),127.0)</f>
        <v>127</v>
      </c>
      <c r="B1018" s="2" t="str">
        <f>IFERROR(__xludf.DUMMYFUNCTION("""COMPUTED_VALUE"""),"DHAKA-SOUTH")</f>
        <v>DHAKA-SOUTH</v>
      </c>
      <c r="C1018" s="4">
        <f>IFERROR(__xludf.DUMMYFUNCTION("""COMPUTED_VALUE"""),15.0)</f>
        <v>15</v>
      </c>
      <c r="D1018" s="2" t="str">
        <f>IFERROR(__xludf.DUMMYFUNCTION("""COMPUTED_VALUE"""),"AL-ARAFAH ISLAMI BANK LTD.")</f>
        <v>AL-ARAFAH ISLAMI BANK LTD.</v>
      </c>
      <c r="E1018" s="2" t="str">
        <f>IFERROR(__xludf.DUMMYFUNCTION("""COMPUTED_VALUE"""),"ISLAMPUR")</f>
        <v>ISLAMPUR</v>
      </c>
      <c r="F1018" s="3">
        <f>IFERROR(__xludf.DUMMYFUNCTION("""COMPUTED_VALUE"""),298.0)</f>
        <v>298</v>
      </c>
      <c r="G1018" s="5">
        <f>IFERROR(__xludf.DUMMYFUNCTION("""COMPUTED_VALUE"""),1.5272986E7)</f>
        <v>15272986</v>
      </c>
    </row>
    <row r="1019">
      <c r="A1019" s="3">
        <f>IFERROR(__xludf.DUMMYFUNCTION("""COMPUTED_VALUE"""),127.0)</f>
        <v>127</v>
      </c>
      <c r="B1019" s="2" t="str">
        <f>IFERROR(__xludf.DUMMYFUNCTION("""COMPUTED_VALUE"""),"DHAKA-SOUTH")</f>
        <v>DHAKA-SOUTH</v>
      </c>
      <c r="C1019" s="4">
        <f>IFERROR(__xludf.DUMMYFUNCTION("""COMPUTED_VALUE"""),15.0)</f>
        <v>15</v>
      </c>
      <c r="D1019" s="2" t="str">
        <f>IFERROR(__xludf.DUMMYFUNCTION("""COMPUTED_VALUE"""),"AL-ARAFAH ISLAMI BANK LTD.")</f>
        <v>AL-ARAFAH ISLAMI BANK LTD.</v>
      </c>
      <c r="E1019" s="2" t="str">
        <f>IFERROR(__xludf.DUMMYFUNCTION("""COMPUTED_VALUE"""),"JATRABARI")</f>
        <v>JATRABARI</v>
      </c>
      <c r="F1019" s="3">
        <f>IFERROR(__xludf.DUMMYFUNCTION("""COMPUTED_VALUE"""),322.0)</f>
        <v>322</v>
      </c>
      <c r="G1019" s="5">
        <f>IFERROR(__xludf.DUMMYFUNCTION("""COMPUTED_VALUE"""),1.5273222E7)</f>
        <v>15273222</v>
      </c>
    </row>
    <row r="1020">
      <c r="A1020" s="3">
        <f>IFERROR(__xludf.DUMMYFUNCTION("""COMPUTED_VALUE"""),127.0)</f>
        <v>127</v>
      </c>
      <c r="B1020" s="2" t="str">
        <f>IFERROR(__xludf.DUMMYFUNCTION("""COMPUTED_VALUE"""),"DHAKA-SOUTH")</f>
        <v>DHAKA-SOUTH</v>
      </c>
      <c r="C1020" s="4">
        <f>IFERROR(__xludf.DUMMYFUNCTION("""COMPUTED_VALUE"""),15.0)</f>
        <v>15</v>
      </c>
      <c r="D1020" s="2" t="str">
        <f>IFERROR(__xludf.DUMMYFUNCTION("""COMPUTED_VALUE"""),"AL-ARAFAH ISLAMI BANK LTD.")</f>
        <v>AL-ARAFAH ISLAMI BANK LTD.</v>
      </c>
      <c r="E1020" s="2" t="str">
        <f>IFERROR(__xludf.DUMMYFUNCTION("""COMPUTED_VALUE"""),"SOUTH JATRABARI")</f>
        <v>SOUTH JATRABARI</v>
      </c>
      <c r="F1020" s="3">
        <f>IFERROR(__xludf.DUMMYFUNCTION("""COMPUTED_VALUE"""),324.0)</f>
        <v>324</v>
      </c>
      <c r="G1020" s="5">
        <f>IFERROR(__xludf.DUMMYFUNCTION("""COMPUTED_VALUE"""),1.5273248E7)</f>
        <v>15273248</v>
      </c>
    </row>
    <row r="1021">
      <c r="A1021" s="3">
        <f>IFERROR(__xludf.DUMMYFUNCTION("""COMPUTED_VALUE"""),127.0)</f>
        <v>127</v>
      </c>
      <c r="B1021" s="2" t="str">
        <f>IFERROR(__xludf.DUMMYFUNCTION("""COMPUTED_VALUE"""),"DHAKA-SOUTH")</f>
        <v>DHAKA-SOUTH</v>
      </c>
      <c r="C1021" s="4">
        <f>IFERROR(__xludf.DUMMYFUNCTION("""COMPUTED_VALUE"""),15.0)</f>
        <v>15</v>
      </c>
      <c r="D1021" s="2" t="str">
        <f>IFERROR(__xludf.DUMMYFUNCTION("""COMPUTED_VALUE"""),"AL-ARAFAH ISLAMI BANK LTD.")</f>
        <v>AL-ARAFAH ISLAMI BANK LTD.</v>
      </c>
      <c r="E1021" s="2" t="str">
        <f>IFERROR(__xludf.DUMMYFUNCTION("""COMPUTED_VALUE"""),"KALIGANJ")</f>
        <v>KALIGANJ</v>
      </c>
      <c r="F1021" s="3">
        <f>IFERROR(__xludf.DUMMYFUNCTION("""COMPUTED_VALUE"""),346.0)</f>
        <v>346</v>
      </c>
      <c r="G1021" s="5">
        <f>IFERROR(__xludf.DUMMYFUNCTION("""COMPUTED_VALUE"""),1.5273464E7)</f>
        <v>15273464</v>
      </c>
    </row>
    <row r="1022">
      <c r="A1022" s="3">
        <f>IFERROR(__xludf.DUMMYFUNCTION("""COMPUTED_VALUE"""),127.0)</f>
        <v>127</v>
      </c>
      <c r="B1022" s="2" t="str">
        <f>IFERROR(__xludf.DUMMYFUNCTION("""COMPUTED_VALUE"""),"DHAKA-SOUTH")</f>
        <v>DHAKA-SOUTH</v>
      </c>
      <c r="C1022" s="4">
        <f>IFERROR(__xludf.DUMMYFUNCTION("""COMPUTED_VALUE"""),15.0)</f>
        <v>15</v>
      </c>
      <c r="D1022" s="2" t="str">
        <f>IFERROR(__xludf.DUMMYFUNCTION("""COMPUTED_VALUE"""),"AL-ARAFAH ISLAMI BANK LTD.")</f>
        <v>AL-ARAFAH ISLAMI BANK LTD.</v>
      </c>
      <c r="E1022" s="2" t="str">
        <f>IFERROR(__xludf.DUMMYFUNCTION("""COMPUTED_VALUE"""),"KAMRANGIRCHAR")</f>
        <v>KAMRANGIRCHAR</v>
      </c>
      <c r="F1022" s="3">
        <f>IFERROR(__xludf.DUMMYFUNCTION("""COMPUTED_VALUE"""),358.0)</f>
        <v>358</v>
      </c>
      <c r="G1022" s="5">
        <f>IFERROR(__xludf.DUMMYFUNCTION("""COMPUTED_VALUE"""),1.5273585E7)</f>
        <v>15273585</v>
      </c>
    </row>
    <row r="1023">
      <c r="A1023" s="3">
        <f>IFERROR(__xludf.DUMMYFUNCTION("""COMPUTED_VALUE"""),127.0)</f>
        <v>127</v>
      </c>
      <c r="B1023" s="2" t="str">
        <f>IFERROR(__xludf.DUMMYFUNCTION("""COMPUTED_VALUE"""),"DHAKA-SOUTH")</f>
        <v>DHAKA-SOUTH</v>
      </c>
      <c r="C1023" s="4">
        <f>IFERROR(__xludf.DUMMYFUNCTION("""COMPUTED_VALUE"""),15.0)</f>
        <v>15</v>
      </c>
      <c r="D1023" s="2" t="str">
        <f>IFERROR(__xludf.DUMMYFUNCTION("""COMPUTED_VALUE"""),"AL-ARAFAH ISLAMI BANK LTD.")</f>
        <v>AL-ARAFAH ISLAMI BANK LTD.</v>
      </c>
      <c r="E1023" s="2" t="str">
        <f>IFERROR(__xludf.DUMMYFUNCTION("""COMPUTED_VALUE"""),"KERANIGANJ")</f>
        <v>KERANIGANJ</v>
      </c>
      <c r="F1023" s="3">
        <f>IFERROR(__xludf.DUMMYFUNCTION("""COMPUTED_VALUE"""),364.0)</f>
        <v>364</v>
      </c>
      <c r="G1023" s="5">
        <f>IFERROR(__xludf.DUMMYFUNCTION("""COMPUTED_VALUE"""),1.5273648E7)</f>
        <v>15273648</v>
      </c>
    </row>
    <row r="1024">
      <c r="A1024" s="3">
        <f>IFERROR(__xludf.DUMMYFUNCTION("""COMPUTED_VALUE"""),127.0)</f>
        <v>127</v>
      </c>
      <c r="B1024" s="2" t="str">
        <f>IFERROR(__xludf.DUMMYFUNCTION("""COMPUTED_VALUE"""),"DHAKA-SOUTH")</f>
        <v>DHAKA-SOUTH</v>
      </c>
      <c r="C1024" s="4">
        <f>IFERROR(__xludf.DUMMYFUNCTION("""COMPUTED_VALUE"""),15.0)</f>
        <v>15</v>
      </c>
      <c r="D1024" s="2" t="str">
        <f>IFERROR(__xludf.DUMMYFUNCTION("""COMPUTED_VALUE"""),"AL-ARAFAH ISLAMI BANK LTD.")</f>
        <v>AL-ARAFAH ISLAMI BANK LTD.</v>
      </c>
      <c r="E1024" s="2" t="str">
        <f>IFERROR(__xludf.DUMMYFUNCTION("""COMPUTED_VALUE"""),"KONAPARA")</f>
        <v>KONAPARA</v>
      </c>
      <c r="F1024" s="3">
        <f>IFERROR(__xludf.DUMMYFUNCTION("""COMPUTED_VALUE"""),374.0)</f>
        <v>374</v>
      </c>
      <c r="G1024" s="5">
        <f>IFERROR(__xludf.DUMMYFUNCTION("""COMPUTED_VALUE"""),1.5273743E7)</f>
        <v>15273743</v>
      </c>
    </row>
    <row r="1025">
      <c r="A1025" s="3">
        <f>IFERROR(__xludf.DUMMYFUNCTION("""COMPUTED_VALUE"""),127.0)</f>
        <v>127</v>
      </c>
      <c r="B1025" s="2" t="str">
        <f>IFERROR(__xludf.DUMMYFUNCTION("""COMPUTED_VALUE"""),"DHAKA-SOUTH")</f>
        <v>DHAKA-SOUTH</v>
      </c>
      <c r="C1025" s="4">
        <f>IFERROR(__xludf.DUMMYFUNCTION("""COMPUTED_VALUE"""),15.0)</f>
        <v>15</v>
      </c>
      <c r="D1025" s="2" t="str">
        <f>IFERROR(__xludf.DUMMYFUNCTION("""COMPUTED_VALUE"""),"AL-ARAFAH ISLAMI BANK LTD.")</f>
        <v>AL-ARAFAH ISLAMI BANK LTD.</v>
      </c>
      <c r="E1025" s="2" t="str">
        <f>IFERROR(__xludf.DUMMYFUNCTION("""COMPUTED_VALUE"""),"MOTIJHEEL")</f>
        <v>MOTIJHEEL</v>
      </c>
      <c r="F1025" s="3">
        <f>IFERROR(__xludf.DUMMYFUNCTION("""COMPUTED_VALUE"""),424.0)</f>
        <v>424</v>
      </c>
      <c r="G1025" s="5">
        <f>IFERROR(__xludf.DUMMYFUNCTION("""COMPUTED_VALUE"""),1.5274247E7)</f>
        <v>15274247</v>
      </c>
    </row>
    <row r="1026">
      <c r="A1026" s="3">
        <f>IFERROR(__xludf.DUMMYFUNCTION("""COMPUTED_VALUE"""),127.0)</f>
        <v>127</v>
      </c>
      <c r="B1026" s="2" t="str">
        <f>IFERROR(__xludf.DUMMYFUNCTION("""COMPUTED_VALUE"""),"DHAKA-SOUTH")</f>
        <v>DHAKA-SOUTH</v>
      </c>
      <c r="C1026" s="4">
        <f>IFERROR(__xludf.DUMMYFUNCTION("""COMPUTED_VALUE"""),15.0)</f>
        <v>15</v>
      </c>
      <c r="D1026" s="2" t="str">
        <f>IFERROR(__xludf.DUMMYFUNCTION("""COMPUTED_VALUE"""),"AL-ARAFAH ISLAMI BANK LTD.")</f>
        <v>AL-ARAFAH ISLAMI BANK LTD.</v>
      </c>
      <c r="E1026" s="2" t="str">
        <f>IFERROR(__xludf.DUMMYFUNCTION("""COMPUTED_VALUE"""),"MOUCHAK MARKET")</f>
        <v>MOUCHAK MARKET</v>
      </c>
      <c r="F1026" s="3">
        <f>IFERROR(__xludf.DUMMYFUNCTION("""COMPUTED_VALUE"""),439.0)</f>
        <v>439</v>
      </c>
      <c r="G1026" s="5">
        <f>IFERROR(__xludf.DUMMYFUNCTION("""COMPUTED_VALUE"""),1.5274397E7)</f>
        <v>15274397</v>
      </c>
    </row>
    <row r="1027">
      <c r="A1027" s="3">
        <f>IFERROR(__xludf.DUMMYFUNCTION("""COMPUTED_VALUE"""),127.0)</f>
        <v>127</v>
      </c>
      <c r="B1027" s="2" t="str">
        <f>IFERROR(__xludf.DUMMYFUNCTION("""COMPUTED_VALUE"""),"DHAKA-SOUTH")</f>
        <v>DHAKA-SOUTH</v>
      </c>
      <c r="C1027" s="4">
        <f>IFERROR(__xludf.DUMMYFUNCTION("""COMPUTED_VALUE"""),15.0)</f>
        <v>15</v>
      </c>
      <c r="D1027" s="2" t="str">
        <f>IFERROR(__xludf.DUMMYFUNCTION("""COMPUTED_VALUE"""),"AL-ARAFAH ISLAMI BANK LTD.")</f>
        <v>AL-ARAFAH ISLAMI BANK LTD.</v>
      </c>
      <c r="E1027" s="2" t="str">
        <f>IFERROR(__xludf.DUMMYFUNCTION("""COMPUTED_VALUE"""),"MOULVI BAZAR")</f>
        <v>MOULVI BAZAR</v>
      </c>
      <c r="F1027" s="3">
        <f>IFERROR(__xludf.DUMMYFUNCTION("""COMPUTED_VALUE"""),442.0)</f>
        <v>442</v>
      </c>
      <c r="G1027" s="5">
        <f>IFERROR(__xludf.DUMMYFUNCTION("""COMPUTED_VALUE"""),1.5274421E7)</f>
        <v>15274421</v>
      </c>
    </row>
    <row r="1028">
      <c r="A1028" s="3">
        <f>IFERROR(__xludf.DUMMYFUNCTION("""COMPUTED_VALUE"""),127.0)</f>
        <v>127</v>
      </c>
      <c r="B1028" s="2" t="str">
        <f>IFERROR(__xludf.DUMMYFUNCTION("""COMPUTED_VALUE"""),"DHAKA-SOUTH")</f>
        <v>DHAKA-SOUTH</v>
      </c>
      <c r="C1028" s="4">
        <f>IFERROR(__xludf.DUMMYFUNCTION("""COMPUTED_VALUE"""),15.0)</f>
        <v>15</v>
      </c>
      <c r="D1028" s="2" t="str">
        <f>IFERROR(__xludf.DUMMYFUNCTION("""COMPUTED_VALUE"""),"AL-ARAFAH ISLAMI BANK LTD.")</f>
        <v>AL-ARAFAH ISLAMI BANK LTD.</v>
      </c>
      <c r="E1028" s="2" t="str">
        <f>IFERROR(__xludf.DUMMYFUNCTION("""COMPUTED_VALUE"""),"NANDIPARA")</f>
        <v>NANDIPARA</v>
      </c>
      <c r="F1028" s="3">
        <f>IFERROR(__xludf.DUMMYFUNCTION("""COMPUTED_VALUE"""),460.0)</f>
        <v>460</v>
      </c>
      <c r="G1028" s="5">
        <f>IFERROR(__xludf.DUMMYFUNCTION("""COMPUTED_VALUE"""),1.5274605E7)</f>
        <v>15274605</v>
      </c>
    </row>
    <row r="1029">
      <c r="A1029" s="3">
        <f>IFERROR(__xludf.DUMMYFUNCTION("""COMPUTED_VALUE"""),127.0)</f>
        <v>127</v>
      </c>
      <c r="B1029" s="2" t="str">
        <f>IFERROR(__xludf.DUMMYFUNCTION("""COMPUTED_VALUE"""),"DHAKA-SOUTH")</f>
        <v>DHAKA-SOUTH</v>
      </c>
      <c r="C1029" s="4">
        <f>IFERROR(__xludf.DUMMYFUNCTION("""COMPUTED_VALUE"""),15.0)</f>
        <v>15</v>
      </c>
      <c r="D1029" s="2" t="str">
        <f>IFERROR(__xludf.DUMMYFUNCTION("""COMPUTED_VALUE"""),"AL-ARAFAH ISLAMI BANK LTD.")</f>
        <v>AL-ARAFAH ISLAMI BANK LTD.</v>
      </c>
      <c r="E1029" s="2" t="str">
        <f>IFERROR(__xludf.DUMMYFUNCTION("""COMPUTED_VALUE"""),"NAWABPUR")</f>
        <v>NAWABPUR</v>
      </c>
      <c r="F1029" s="3">
        <f>IFERROR(__xludf.DUMMYFUNCTION("""COMPUTED_VALUE"""),472.0)</f>
        <v>472</v>
      </c>
      <c r="G1029" s="5">
        <f>IFERROR(__xludf.DUMMYFUNCTION("""COMPUTED_VALUE"""),1.5274726E7)</f>
        <v>15274726</v>
      </c>
    </row>
    <row r="1030">
      <c r="A1030" s="3">
        <f>IFERROR(__xludf.DUMMYFUNCTION("""COMPUTED_VALUE"""),127.0)</f>
        <v>127</v>
      </c>
      <c r="B1030" s="2" t="str">
        <f>IFERROR(__xludf.DUMMYFUNCTION("""COMPUTED_VALUE"""),"DHAKA-SOUTH")</f>
        <v>DHAKA-SOUTH</v>
      </c>
      <c r="C1030" s="4">
        <f>IFERROR(__xludf.DUMMYFUNCTION("""COMPUTED_VALUE"""),15.0)</f>
        <v>15</v>
      </c>
      <c r="D1030" s="2" t="str">
        <f>IFERROR(__xludf.DUMMYFUNCTION("""COMPUTED_VALUE"""),"AL-ARAFAH ISLAMI BANK LTD.")</f>
        <v>AL-ARAFAH ISLAMI BANK LTD.</v>
      </c>
      <c r="E1030" s="2" t="str">
        <f>IFERROR(__xludf.DUMMYFUNCTION("""COMPUTED_VALUE"""),"NORTH SOUTH ROAD")</f>
        <v>NORTH SOUTH ROAD</v>
      </c>
      <c r="F1030" s="3">
        <f>IFERROR(__xludf.DUMMYFUNCTION("""COMPUTED_VALUE"""),511.0)</f>
        <v>511</v>
      </c>
      <c r="G1030" s="5">
        <f>IFERROR(__xludf.DUMMYFUNCTION("""COMPUTED_VALUE"""),1.5275112E7)</f>
        <v>15275112</v>
      </c>
    </row>
    <row r="1031">
      <c r="A1031" s="3">
        <f>IFERROR(__xludf.DUMMYFUNCTION("""COMPUTED_VALUE"""),127.0)</f>
        <v>127</v>
      </c>
      <c r="B1031" s="2" t="str">
        <f>IFERROR(__xludf.DUMMYFUNCTION("""COMPUTED_VALUE"""),"DHAKA-SOUTH")</f>
        <v>DHAKA-SOUTH</v>
      </c>
      <c r="C1031" s="4">
        <f>IFERROR(__xludf.DUMMYFUNCTION("""COMPUTED_VALUE"""),15.0)</f>
        <v>15</v>
      </c>
      <c r="D1031" s="2" t="str">
        <f>IFERROR(__xludf.DUMMYFUNCTION("""COMPUTED_VALUE"""),"AL-ARAFAH ISLAMI BANK LTD.")</f>
        <v>AL-ARAFAH ISLAMI BANK LTD.</v>
      </c>
      <c r="E1031" s="2" t="str">
        <f>IFERROR(__xludf.DUMMYFUNCTION("""COMPUTED_VALUE"""),"VIP ROAD")</f>
        <v>VIP ROAD</v>
      </c>
      <c r="F1031" s="3">
        <f>IFERROR(__xludf.DUMMYFUNCTION("""COMPUTED_VALUE"""),685.0)</f>
        <v>685</v>
      </c>
      <c r="G1031" s="5">
        <f>IFERROR(__xludf.DUMMYFUNCTION("""COMPUTED_VALUE"""),1.5276858E7)</f>
        <v>15276858</v>
      </c>
    </row>
    <row r="1032">
      <c r="A1032" s="3">
        <f>IFERROR(__xludf.DUMMYFUNCTION("""COMPUTED_VALUE"""),728.0)</f>
        <v>728</v>
      </c>
      <c r="B1032" s="2" t="str">
        <f>IFERROR(__xludf.DUMMYFUNCTION("""COMPUTED_VALUE"""),"DINAJPUR")</f>
        <v>DINAJPUR</v>
      </c>
      <c r="C1032" s="4">
        <f>IFERROR(__xludf.DUMMYFUNCTION("""COMPUTED_VALUE"""),15.0)</f>
        <v>15</v>
      </c>
      <c r="D1032" s="2" t="str">
        <f>IFERROR(__xludf.DUMMYFUNCTION("""COMPUTED_VALUE"""),"AL-ARAFAH ISLAMI BANK LTD.")</f>
        <v>AL-ARAFAH ISLAMI BANK LTD.</v>
      </c>
      <c r="E1032" s="2" t="str">
        <f>IFERROR(__xludf.DUMMYFUNCTION("""COMPUTED_VALUE"""),"DINAJPUR")</f>
        <v>DINAJPUR</v>
      </c>
      <c r="F1032" s="3">
        <f>IFERROR(__xludf.DUMMYFUNCTION("""COMPUTED_VALUE"""),67.0)</f>
        <v>67</v>
      </c>
      <c r="G1032" s="5">
        <f>IFERROR(__xludf.DUMMYFUNCTION("""COMPUTED_VALUE"""),1.5280673E7)</f>
        <v>15280673</v>
      </c>
    </row>
    <row r="1033">
      <c r="A1033" s="3">
        <f>IFERROR(__xludf.DUMMYFUNCTION("""COMPUTED_VALUE"""),329.0)</f>
        <v>329</v>
      </c>
      <c r="B1033" s="2" t="str">
        <f>IFERROR(__xludf.DUMMYFUNCTION("""COMPUTED_VALUE"""),"FARIDPUR")</f>
        <v>FARIDPUR</v>
      </c>
      <c r="C1033" s="4">
        <f>IFERROR(__xludf.DUMMYFUNCTION("""COMPUTED_VALUE"""),15.0)</f>
        <v>15</v>
      </c>
      <c r="D1033" s="2" t="str">
        <f>IFERROR(__xludf.DUMMYFUNCTION("""COMPUTED_VALUE"""),"AL-ARAFAH ISLAMI BANK LTD.")</f>
        <v>AL-ARAFAH ISLAMI BANK LTD.</v>
      </c>
      <c r="E1033" s="2" t="str">
        <f>IFERROR(__xludf.DUMMYFUNCTION("""COMPUTED_VALUE"""),"FARIDPUR")</f>
        <v>FARIDPUR</v>
      </c>
      <c r="F1033" s="3">
        <f>IFERROR(__xludf.DUMMYFUNCTION("""COMPUTED_VALUE"""),52.0)</f>
        <v>52</v>
      </c>
      <c r="G1033" s="5">
        <f>IFERROR(__xludf.DUMMYFUNCTION("""COMPUTED_VALUE"""),1.5290526E7)</f>
        <v>15290526</v>
      </c>
    </row>
    <row r="1034">
      <c r="A1034" s="3">
        <f>IFERROR(__xludf.DUMMYFUNCTION("""COMPUTED_VALUE"""),230.0)</f>
        <v>230</v>
      </c>
      <c r="B1034" s="2" t="str">
        <f>IFERROR(__xludf.DUMMYFUNCTION("""COMPUTED_VALUE"""),"FENI")</f>
        <v>FENI</v>
      </c>
      <c r="C1034" s="4">
        <f>IFERROR(__xludf.DUMMYFUNCTION("""COMPUTED_VALUE"""),15.0)</f>
        <v>15</v>
      </c>
      <c r="D1034" s="2" t="str">
        <f>IFERROR(__xludf.DUMMYFUNCTION("""COMPUTED_VALUE"""),"AL-ARAFAH ISLAMI BANK LTD.")</f>
        <v>AL-ARAFAH ISLAMI BANK LTD.</v>
      </c>
      <c r="E1034" s="2" t="str">
        <f>IFERROR(__xludf.DUMMYFUNCTION("""COMPUTED_VALUE"""),"FENI")</f>
        <v>FENI</v>
      </c>
      <c r="F1034" s="3">
        <f>IFERROR(__xludf.DUMMYFUNCTION("""COMPUTED_VALUE"""),52.0)</f>
        <v>52</v>
      </c>
      <c r="G1034" s="5">
        <f>IFERROR(__xludf.DUMMYFUNCTION("""COMPUTED_VALUE"""),1.5300524E7)</f>
        <v>15300524</v>
      </c>
    </row>
    <row r="1035">
      <c r="A1035" s="3">
        <f>IFERROR(__xludf.DUMMYFUNCTION("""COMPUTED_VALUE"""),632.0)</f>
        <v>632</v>
      </c>
      <c r="B1035" s="2" t="str">
        <f>IFERROR(__xludf.DUMMYFUNCTION("""COMPUTED_VALUE"""),"GAIBANDHA")</f>
        <v>GAIBANDHA</v>
      </c>
      <c r="C1035" s="4">
        <f>IFERROR(__xludf.DUMMYFUNCTION("""COMPUTED_VALUE"""),15.0)</f>
        <v>15</v>
      </c>
      <c r="D1035" s="2" t="str">
        <f>IFERROR(__xludf.DUMMYFUNCTION("""COMPUTED_VALUE"""),"AL-ARAFAH ISLAMI BANK LTD.")</f>
        <v>AL-ARAFAH ISLAMI BANK LTD.</v>
      </c>
      <c r="E1035" s="2" t="str">
        <f>IFERROR(__xludf.DUMMYFUNCTION("""COMPUTED_VALUE"""),"PALASHBARI")</f>
        <v>PALASHBARI</v>
      </c>
      <c r="F1035" s="3">
        <f>IFERROR(__xludf.DUMMYFUNCTION("""COMPUTED_VALUE"""),109.0)</f>
        <v>109</v>
      </c>
      <c r="G1035" s="5">
        <f>IFERROR(__xludf.DUMMYFUNCTION("""COMPUTED_VALUE"""),1.5321095E7)</f>
        <v>15321095</v>
      </c>
    </row>
    <row r="1036">
      <c r="A1036" s="3">
        <f>IFERROR(__xludf.DUMMYFUNCTION("""COMPUTED_VALUE"""),133.0)</f>
        <v>133</v>
      </c>
      <c r="B1036" s="2" t="str">
        <f>IFERROR(__xludf.DUMMYFUNCTION("""COMPUTED_VALUE"""),"GAZIPUR")</f>
        <v>GAZIPUR</v>
      </c>
      <c r="C1036" s="4">
        <f>IFERROR(__xludf.DUMMYFUNCTION("""COMPUTED_VALUE"""),15.0)</f>
        <v>15</v>
      </c>
      <c r="D1036" s="2" t="str">
        <f>IFERROR(__xludf.DUMMYFUNCTION("""COMPUTED_VALUE"""),"AL-ARAFAH ISLAMI BANK LTD.")</f>
        <v>AL-ARAFAH ISLAMI BANK LTD.</v>
      </c>
      <c r="E1036" s="2" t="str">
        <f>IFERROR(__xludf.DUMMYFUNCTION("""COMPUTED_VALUE"""),"BARMI")</f>
        <v>BARMI</v>
      </c>
      <c r="F1036" s="3">
        <f>IFERROR(__xludf.DUMMYFUNCTION("""COMPUTED_VALUE"""),8.0)</f>
        <v>8</v>
      </c>
      <c r="G1036" s="5">
        <f>IFERROR(__xludf.DUMMYFUNCTION("""COMPUTED_VALUE"""),1.5330086E7)</f>
        <v>15330086</v>
      </c>
    </row>
    <row r="1037">
      <c r="A1037" s="3">
        <f>IFERROR(__xludf.DUMMYFUNCTION("""COMPUTED_VALUE"""),133.0)</f>
        <v>133</v>
      </c>
      <c r="B1037" s="2" t="str">
        <f>IFERROR(__xludf.DUMMYFUNCTION("""COMPUTED_VALUE"""),"GAZIPUR")</f>
        <v>GAZIPUR</v>
      </c>
      <c r="C1037" s="4">
        <f>IFERROR(__xludf.DUMMYFUNCTION("""COMPUTED_VALUE"""),15.0)</f>
        <v>15</v>
      </c>
      <c r="D1037" s="2" t="str">
        <f>IFERROR(__xludf.DUMMYFUNCTION("""COMPUTED_VALUE"""),"AL-ARAFAH ISLAMI BANK LTD.")</f>
        <v>AL-ARAFAH ISLAMI BANK LTD.</v>
      </c>
      <c r="E1037" s="2" t="str">
        <f>IFERROR(__xludf.DUMMYFUNCTION("""COMPUTED_VALUE"""),"FULBARI")</f>
        <v>FULBARI</v>
      </c>
      <c r="F1037" s="3">
        <f>IFERROR(__xludf.DUMMYFUNCTION("""COMPUTED_VALUE"""),9.0)</f>
        <v>9</v>
      </c>
      <c r="G1037" s="5">
        <f>IFERROR(__xludf.DUMMYFUNCTION("""COMPUTED_VALUE"""),1.5330099E7)</f>
        <v>15330099</v>
      </c>
    </row>
    <row r="1038">
      <c r="A1038" s="3">
        <f>IFERROR(__xludf.DUMMYFUNCTION("""COMPUTED_VALUE"""),133.0)</f>
        <v>133</v>
      </c>
      <c r="B1038" s="2" t="str">
        <f>IFERROR(__xludf.DUMMYFUNCTION("""COMPUTED_VALUE"""),"GAZIPUR")</f>
        <v>GAZIPUR</v>
      </c>
      <c r="C1038" s="4">
        <f>IFERROR(__xludf.DUMMYFUNCTION("""COMPUTED_VALUE"""),15.0)</f>
        <v>15</v>
      </c>
      <c r="D1038" s="2" t="str">
        <f>IFERROR(__xludf.DUMMYFUNCTION("""COMPUTED_VALUE"""),"AL-ARAFAH ISLAMI BANK LTD.")</f>
        <v>AL-ARAFAH ISLAMI BANK LTD.</v>
      </c>
      <c r="E1038" s="2" t="str">
        <f>IFERROR(__xludf.DUMMYFUNCTION("""COMPUTED_VALUE"""),"GAZIPUR")</f>
        <v>GAZIPUR</v>
      </c>
      <c r="F1038" s="3">
        <f>IFERROR(__xludf.DUMMYFUNCTION("""COMPUTED_VALUE"""),52.0)</f>
        <v>52</v>
      </c>
      <c r="G1038" s="5">
        <f>IFERROR(__xludf.DUMMYFUNCTION("""COMPUTED_VALUE"""),1.5330523E7)</f>
        <v>15330523</v>
      </c>
    </row>
    <row r="1039">
      <c r="A1039" s="3">
        <f>IFERROR(__xludf.DUMMYFUNCTION("""COMPUTED_VALUE"""),133.0)</f>
        <v>133</v>
      </c>
      <c r="B1039" s="2" t="str">
        <f>IFERROR(__xludf.DUMMYFUNCTION("""COMPUTED_VALUE"""),"GAZIPUR")</f>
        <v>GAZIPUR</v>
      </c>
      <c r="C1039" s="4">
        <f>IFERROR(__xludf.DUMMYFUNCTION("""COMPUTED_VALUE"""),15.0)</f>
        <v>15</v>
      </c>
      <c r="D1039" s="2" t="str">
        <f>IFERROR(__xludf.DUMMYFUNCTION("""COMPUTED_VALUE"""),"AL-ARAFAH ISLAMI BANK LTD.")</f>
        <v>AL-ARAFAH ISLAMI BANK LTD.</v>
      </c>
      <c r="E1039" s="2" t="str">
        <f>IFERROR(__xludf.DUMMYFUNCTION("""COMPUTED_VALUE"""),"JOYDEBPUR")</f>
        <v>JOYDEBPUR</v>
      </c>
      <c r="F1039" s="3">
        <f>IFERROR(__xludf.DUMMYFUNCTION("""COMPUTED_VALUE"""),73.0)</f>
        <v>73</v>
      </c>
      <c r="G1039" s="5">
        <f>IFERROR(__xludf.DUMMYFUNCTION("""COMPUTED_VALUE"""),1.5330736E7)</f>
        <v>15330736</v>
      </c>
    </row>
    <row r="1040">
      <c r="A1040" s="3">
        <f>IFERROR(__xludf.DUMMYFUNCTION("""COMPUTED_VALUE"""),133.0)</f>
        <v>133</v>
      </c>
      <c r="B1040" s="2" t="str">
        <f>IFERROR(__xludf.DUMMYFUNCTION("""COMPUTED_VALUE"""),"GAZIPUR")</f>
        <v>GAZIPUR</v>
      </c>
      <c r="C1040" s="4">
        <f>IFERROR(__xludf.DUMMYFUNCTION("""COMPUTED_VALUE"""),15.0)</f>
        <v>15</v>
      </c>
      <c r="D1040" s="2" t="str">
        <f>IFERROR(__xludf.DUMMYFUNCTION("""COMPUTED_VALUE"""),"AL-ARAFAH ISLAMI BANK LTD.")</f>
        <v>AL-ARAFAH ISLAMI BANK LTD.</v>
      </c>
      <c r="E1040" s="2" t="str">
        <f>IFERROR(__xludf.DUMMYFUNCTION("""COMPUTED_VALUE"""),"KALIAKOIR")</f>
        <v>KALIAKOIR</v>
      </c>
      <c r="F1040" s="3">
        <f>IFERROR(__xludf.DUMMYFUNCTION("""COMPUTED_VALUE"""),79.0)</f>
        <v>79</v>
      </c>
      <c r="G1040" s="5">
        <f>IFERROR(__xludf.DUMMYFUNCTION("""COMPUTED_VALUE"""),1.5330794E7)</f>
        <v>15330794</v>
      </c>
    </row>
    <row r="1041">
      <c r="A1041" s="3">
        <f>IFERROR(__xludf.DUMMYFUNCTION("""COMPUTED_VALUE"""),133.0)</f>
        <v>133</v>
      </c>
      <c r="B1041" s="2" t="str">
        <f>IFERROR(__xludf.DUMMYFUNCTION("""COMPUTED_VALUE"""),"GAZIPUR")</f>
        <v>GAZIPUR</v>
      </c>
      <c r="C1041" s="4">
        <f>IFERROR(__xludf.DUMMYFUNCTION("""COMPUTED_VALUE"""),15.0)</f>
        <v>15</v>
      </c>
      <c r="D1041" s="2" t="str">
        <f>IFERROR(__xludf.DUMMYFUNCTION("""COMPUTED_VALUE"""),"AL-ARAFAH ISLAMI BANK LTD.")</f>
        <v>AL-ARAFAH ISLAMI BANK LTD.</v>
      </c>
      <c r="E1041" s="2" t="str">
        <f>IFERROR(__xludf.DUMMYFUNCTION("""COMPUTED_VALUE"""),"KAPASIA")</f>
        <v>KAPASIA</v>
      </c>
      <c r="F1041" s="3">
        <f>IFERROR(__xludf.DUMMYFUNCTION("""COMPUTED_VALUE"""),88.0)</f>
        <v>88</v>
      </c>
      <c r="G1041" s="5">
        <f>IFERROR(__xludf.DUMMYFUNCTION("""COMPUTED_VALUE"""),1.5330886E7)</f>
        <v>15330886</v>
      </c>
    </row>
    <row r="1042">
      <c r="A1042" s="3">
        <f>IFERROR(__xludf.DUMMYFUNCTION("""COMPUTED_VALUE"""),133.0)</f>
        <v>133</v>
      </c>
      <c r="B1042" s="2" t="str">
        <f>IFERROR(__xludf.DUMMYFUNCTION("""COMPUTED_VALUE"""),"GAZIPUR")</f>
        <v>GAZIPUR</v>
      </c>
      <c r="C1042" s="4">
        <f>IFERROR(__xludf.DUMMYFUNCTION("""COMPUTED_VALUE"""),15.0)</f>
        <v>15</v>
      </c>
      <c r="D1042" s="2" t="str">
        <f>IFERROR(__xludf.DUMMYFUNCTION("""COMPUTED_VALUE"""),"AL-ARAFAH ISLAMI BANK LTD.")</f>
        <v>AL-ARAFAH ISLAMI BANK LTD.</v>
      </c>
      <c r="E1042" s="2" t="str">
        <f>IFERROR(__xludf.DUMMYFUNCTION("""COMPUTED_VALUE"""),"TONGI")</f>
        <v>TONGI</v>
      </c>
      <c r="F1042" s="3">
        <f>IFERROR(__xludf.DUMMYFUNCTION("""COMPUTED_VALUE"""),163.0)</f>
        <v>163</v>
      </c>
      <c r="G1042" s="5">
        <f>IFERROR(__xludf.DUMMYFUNCTION("""COMPUTED_VALUE"""),1.533163E7)</f>
        <v>15331630</v>
      </c>
    </row>
    <row r="1043">
      <c r="A1043" s="3">
        <f>IFERROR(__xludf.DUMMYFUNCTION("""COMPUTED_VALUE"""),836.0)</f>
        <v>836</v>
      </c>
      <c r="B1043" s="2" t="str">
        <f>IFERROR(__xludf.DUMMYFUNCTION("""COMPUTED_VALUE"""),"HABIGANJ")</f>
        <v>HABIGANJ</v>
      </c>
      <c r="C1043" s="4">
        <f>IFERROR(__xludf.DUMMYFUNCTION("""COMPUTED_VALUE"""),15.0)</f>
        <v>15</v>
      </c>
      <c r="D1043" s="2" t="str">
        <f>IFERROR(__xludf.DUMMYFUNCTION("""COMPUTED_VALUE"""),"AL-ARAFAH ISLAMI BANK LTD.")</f>
        <v>AL-ARAFAH ISLAMI BANK LTD.</v>
      </c>
      <c r="E1043" s="2" t="str">
        <f>IFERROR(__xludf.DUMMYFUNCTION("""COMPUTED_VALUE"""),"MADHABPUR SME")</f>
        <v>MADHABPUR SME</v>
      </c>
      <c r="F1043" s="3">
        <f>IFERROR(__xludf.DUMMYFUNCTION("""COMPUTED_VALUE"""),89.0)</f>
        <v>89</v>
      </c>
      <c r="G1043" s="5">
        <f>IFERROR(__xludf.DUMMYFUNCTION("""COMPUTED_VALUE"""),1.5360898E7)</f>
        <v>15360898</v>
      </c>
    </row>
    <row r="1044">
      <c r="A1044" s="3">
        <f>IFERROR(__xludf.DUMMYFUNCTION("""COMPUTED_VALUE"""),441.0)</f>
        <v>441</v>
      </c>
      <c r="B1044" s="2" t="str">
        <f>IFERROR(__xludf.DUMMYFUNCTION("""COMPUTED_VALUE"""),"JESSORE")</f>
        <v>JESSORE</v>
      </c>
      <c r="C1044" s="4">
        <f>IFERROR(__xludf.DUMMYFUNCTION("""COMPUTED_VALUE"""),15.0)</f>
        <v>15</v>
      </c>
      <c r="D1044" s="2" t="str">
        <f>IFERROR(__xludf.DUMMYFUNCTION("""COMPUTED_VALUE"""),"AL-ARAFAH ISLAMI BANK LTD.")</f>
        <v>AL-ARAFAH ISLAMI BANK LTD.</v>
      </c>
      <c r="E1044" s="2" t="str">
        <f>IFERROR(__xludf.DUMMYFUNCTION("""COMPUTED_VALUE"""),"BENAPOLE")</f>
        <v>BENAPOLE</v>
      </c>
      <c r="F1044" s="3">
        <f>IFERROR(__xludf.DUMMYFUNCTION("""COMPUTED_VALUE"""),28.0)</f>
        <v>28</v>
      </c>
      <c r="G1044" s="5">
        <f>IFERROR(__xludf.DUMMYFUNCTION("""COMPUTED_VALUE"""),1.5410285E7)</f>
        <v>15410285</v>
      </c>
    </row>
    <row r="1045">
      <c r="A1045" s="3">
        <f>IFERROR(__xludf.DUMMYFUNCTION("""COMPUTED_VALUE"""),441.0)</f>
        <v>441</v>
      </c>
      <c r="B1045" s="2" t="str">
        <f>IFERROR(__xludf.DUMMYFUNCTION("""COMPUTED_VALUE"""),"JESSORE")</f>
        <v>JESSORE</v>
      </c>
      <c r="C1045" s="4">
        <f>IFERROR(__xludf.DUMMYFUNCTION("""COMPUTED_VALUE"""),15.0)</f>
        <v>15</v>
      </c>
      <c r="D1045" s="2" t="str">
        <f>IFERROR(__xludf.DUMMYFUNCTION("""COMPUTED_VALUE"""),"AL-ARAFAH ISLAMI BANK LTD.")</f>
        <v>AL-ARAFAH ISLAMI BANK LTD.</v>
      </c>
      <c r="E1045" s="2" t="str">
        <f>IFERROR(__xludf.DUMMYFUNCTION("""COMPUTED_VALUE"""),"JESSORE")</f>
        <v>JESSORE</v>
      </c>
      <c r="F1045" s="3">
        <f>IFERROR(__xludf.DUMMYFUNCTION("""COMPUTED_VALUE"""),94.0)</f>
        <v>94</v>
      </c>
      <c r="G1045" s="5">
        <f>IFERROR(__xludf.DUMMYFUNCTION("""COMPUTED_VALUE"""),1.5410948E7)</f>
        <v>15410948</v>
      </c>
    </row>
    <row r="1046">
      <c r="A1046" s="3">
        <f>IFERROR(__xludf.DUMMYFUNCTION("""COMPUTED_VALUE"""),441.0)</f>
        <v>441</v>
      </c>
      <c r="B1046" s="2" t="str">
        <f>IFERROR(__xludf.DUMMYFUNCTION("""COMPUTED_VALUE"""),"JESSORE")</f>
        <v>JESSORE</v>
      </c>
      <c r="C1046" s="4">
        <f>IFERROR(__xludf.DUMMYFUNCTION("""COMPUTED_VALUE"""),15.0)</f>
        <v>15</v>
      </c>
      <c r="D1046" s="2" t="str">
        <f>IFERROR(__xludf.DUMMYFUNCTION("""COMPUTED_VALUE"""),"AL-ARAFAH ISLAMI BANK LTD.")</f>
        <v>AL-ARAFAH ISLAMI BANK LTD.</v>
      </c>
      <c r="E1046" s="2" t="str">
        <f>IFERROR(__xludf.DUMMYFUNCTION("""COMPUTED_VALUE"""),"MONIRAMPUR")</f>
        <v>MONIRAMPUR</v>
      </c>
      <c r="F1046" s="3">
        <f>IFERROR(__xludf.DUMMYFUNCTION("""COMPUTED_VALUE"""),151.0)</f>
        <v>151</v>
      </c>
      <c r="G1046" s="5">
        <f>IFERROR(__xludf.DUMMYFUNCTION("""COMPUTED_VALUE"""),1.5411518E7)</f>
        <v>15411518</v>
      </c>
    </row>
    <row r="1047">
      <c r="A1047" s="3">
        <f>IFERROR(__xludf.DUMMYFUNCTION("""COMPUTED_VALUE"""),342.0)</f>
        <v>342</v>
      </c>
      <c r="B1047" s="2" t="str">
        <f>IFERROR(__xludf.DUMMYFUNCTION("""COMPUTED_VALUE"""),"JHALOKATHI")</f>
        <v>JHALOKATHI</v>
      </c>
      <c r="C1047" s="4">
        <f>IFERROR(__xludf.DUMMYFUNCTION("""COMPUTED_VALUE"""),15.0)</f>
        <v>15</v>
      </c>
      <c r="D1047" s="2" t="str">
        <f>IFERROR(__xludf.DUMMYFUNCTION("""COMPUTED_VALUE"""),"AL-ARAFAH ISLAMI BANK LTD.")</f>
        <v>AL-ARAFAH ISLAMI BANK LTD.</v>
      </c>
      <c r="E1047" s="2" t="str">
        <f>IFERROR(__xludf.DUMMYFUNCTION("""COMPUTED_VALUE"""),"JHALOKATI")</f>
        <v>JHALOKATI</v>
      </c>
      <c r="F1047" s="3">
        <f>IFERROR(__xludf.DUMMYFUNCTION("""COMPUTED_VALUE"""),31.0)</f>
        <v>31</v>
      </c>
      <c r="G1047" s="5">
        <f>IFERROR(__xludf.DUMMYFUNCTION("""COMPUTED_VALUE"""),1.5420312E7)</f>
        <v>15420312</v>
      </c>
    </row>
    <row r="1048">
      <c r="A1048" s="3">
        <f>IFERROR(__xludf.DUMMYFUNCTION("""COMPUTED_VALUE"""),447.0)</f>
        <v>447</v>
      </c>
      <c r="B1048" s="2" t="str">
        <f>IFERROR(__xludf.DUMMYFUNCTION("""COMPUTED_VALUE"""),"KHULNA")</f>
        <v>KHULNA</v>
      </c>
      <c r="C1048" s="4">
        <f>IFERROR(__xludf.DUMMYFUNCTION("""COMPUTED_VALUE"""),15.0)</f>
        <v>15</v>
      </c>
      <c r="D1048" s="2" t="str">
        <f>IFERROR(__xludf.DUMMYFUNCTION("""COMPUTED_VALUE"""),"AL-ARAFAH ISLAMI BANK LTD.")</f>
        <v>AL-ARAFAH ISLAMI BANK LTD.</v>
      </c>
      <c r="E1048" s="2" t="str">
        <f>IFERROR(__xludf.DUMMYFUNCTION("""COMPUTED_VALUE"""),"CHUK NAGAR")</f>
        <v>CHUK NAGAR</v>
      </c>
      <c r="F1048" s="3">
        <f>IFERROR(__xludf.DUMMYFUNCTION("""COMPUTED_VALUE"""),55.0)</f>
        <v>55</v>
      </c>
      <c r="G1048" s="5">
        <f>IFERROR(__xludf.DUMMYFUNCTION("""COMPUTED_VALUE"""),1.5470559E7)</f>
        <v>15470559</v>
      </c>
    </row>
    <row r="1049">
      <c r="A1049" s="3">
        <f>IFERROR(__xludf.DUMMYFUNCTION("""COMPUTED_VALUE"""),447.0)</f>
        <v>447</v>
      </c>
      <c r="B1049" s="2" t="str">
        <f>IFERROR(__xludf.DUMMYFUNCTION("""COMPUTED_VALUE"""),"KHULNA")</f>
        <v>KHULNA</v>
      </c>
      <c r="C1049" s="4">
        <f>IFERROR(__xludf.DUMMYFUNCTION("""COMPUTED_VALUE"""),15.0)</f>
        <v>15</v>
      </c>
      <c r="D1049" s="2" t="str">
        <f>IFERROR(__xludf.DUMMYFUNCTION("""COMPUTED_VALUE"""),"AL-ARAFAH ISLAMI BANK LTD.")</f>
        <v>AL-ARAFAH ISLAMI BANK LTD.</v>
      </c>
      <c r="E1049" s="2" t="str">
        <f>IFERROR(__xludf.DUMMYFUNCTION("""COMPUTED_VALUE"""),"GALLAMARI")</f>
        <v>GALLAMARI</v>
      </c>
      <c r="F1049" s="3">
        <f>IFERROR(__xludf.DUMMYFUNCTION("""COMPUTED_VALUE"""),88.0)</f>
        <v>88</v>
      </c>
      <c r="G1049" s="5">
        <f>IFERROR(__xludf.DUMMYFUNCTION("""COMPUTED_VALUE"""),1.5470883E7)</f>
        <v>15470883</v>
      </c>
    </row>
    <row r="1050">
      <c r="A1050" s="3">
        <f>IFERROR(__xludf.DUMMYFUNCTION("""COMPUTED_VALUE"""),447.0)</f>
        <v>447</v>
      </c>
      <c r="B1050" s="2" t="str">
        <f>IFERROR(__xludf.DUMMYFUNCTION("""COMPUTED_VALUE"""),"KHULNA")</f>
        <v>KHULNA</v>
      </c>
      <c r="C1050" s="4">
        <f>IFERROR(__xludf.DUMMYFUNCTION("""COMPUTED_VALUE"""),15.0)</f>
        <v>15</v>
      </c>
      <c r="D1050" s="2" t="str">
        <f>IFERROR(__xludf.DUMMYFUNCTION("""COMPUTED_VALUE"""),"AL-ARAFAH ISLAMI BANK LTD.")</f>
        <v>AL-ARAFAH ISLAMI BANK LTD.</v>
      </c>
      <c r="E1050" s="2" t="str">
        <f>IFERROR(__xludf.DUMMYFUNCTION("""COMPUTED_VALUE"""),"KHULNA")</f>
        <v>KHULNA</v>
      </c>
      <c r="F1050" s="3">
        <f>IFERROR(__xludf.DUMMYFUNCTION("""COMPUTED_VALUE"""),154.0)</f>
        <v>154</v>
      </c>
      <c r="G1050" s="5">
        <f>IFERROR(__xludf.DUMMYFUNCTION("""COMPUTED_VALUE"""),1.5471545E7)</f>
        <v>15471545</v>
      </c>
    </row>
    <row r="1051">
      <c r="A1051" s="3">
        <f>IFERROR(__xludf.DUMMYFUNCTION("""COMPUTED_VALUE"""),148.0)</f>
        <v>148</v>
      </c>
      <c r="B1051" s="2" t="str">
        <f>IFERROR(__xludf.DUMMYFUNCTION("""COMPUTED_VALUE"""),"KISHOREGANJ")</f>
        <v>KISHOREGANJ</v>
      </c>
      <c r="C1051" s="4">
        <f>IFERROR(__xludf.DUMMYFUNCTION("""COMPUTED_VALUE"""),15.0)</f>
        <v>15</v>
      </c>
      <c r="D1051" s="2" t="str">
        <f>IFERROR(__xludf.DUMMYFUNCTION("""COMPUTED_VALUE"""),"AL-ARAFAH ISLAMI BANK LTD.")</f>
        <v>AL-ARAFAH ISLAMI BANK LTD.</v>
      </c>
      <c r="E1051" s="2" t="str">
        <f>IFERROR(__xludf.DUMMYFUNCTION("""COMPUTED_VALUE"""),"VAIRAB")</f>
        <v>VAIRAB</v>
      </c>
      <c r="F1051" s="3">
        <f>IFERROR(__xludf.DUMMYFUNCTION("""COMPUTED_VALUE"""),124.0)</f>
        <v>124</v>
      </c>
      <c r="G1051" s="5">
        <f>IFERROR(__xludf.DUMMYFUNCTION("""COMPUTED_VALUE"""),1.5481243E7)</f>
        <v>15481243</v>
      </c>
    </row>
    <row r="1052">
      <c r="A1052" s="3">
        <f>IFERROR(__xludf.DUMMYFUNCTION("""COMPUTED_VALUE"""),450.0)</f>
        <v>450</v>
      </c>
      <c r="B1052" s="2" t="str">
        <f>IFERROR(__xludf.DUMMYFUNCTION("""COMPUTED_VALUE"""),"KUSHTIA")</f>
        <v>KUSHTIA</v>
      </c>
      <c r="C1052" s="4">
        <f>IFERROR(__xludf.DUMMYFUNCTION("""COMPUTED_VALUE"""),15.0)</f>
        <v>15</v>
      </c>
      <c r="D1052" s="2" t="str">
        <f>IFERROR(__xludf.DUMMYFUNCTION("""COMPUTED_VALUE"""),"AL-ARAFAH ISLAMI BANK LTD.")</f>
        <v>AL-ARAFAH ISLAMI BANK LTD.</v>
      </c>
      <c r="E1052" s="2" t="str">
        <f>IFERROR(__xludf.DUMMYFUNCTION("""COMPUTED_VALUE"""),"KUSHTIA")</f>
        <v>KUSHTIA</v>
      </c>
      <c r="F1052" s="3">
        <f>IFERROR(__xludf.DUMMYFUNCTION("""COMPUTED_VALUE"""),94.0)</f>
        <v>94</v>
      </c>
      <c r="G1052" s="5">
        <f>IFERROR(__xludf.DUMMYFUNCTION("""COMPUTED_VALUE"""),1.550094E7)</f>
        <v>15500940</v>
      </c>
    </row>
    <row r="1053">
      <c r="A1053" s="3">
        <f>IFERROR(__xludf.DUMMYFUNCTION("""COMPUTED_VALUE"""),251.0)</f>
        <v>251</v>
      </c>
      <c r="B1053" s="2" t="str">
        <f>IFERROR(__xludf.DUMMYFUNCTION("""COMPUTED_VALUE"""),"LAKSHMIPUR")</f>
        <v>LAKSHMIPUR</v>
      </c>
      <c r="C1053" s="4">
        <f>IFERROR(__xludf.DUMMYFUNCTION("""COMPUTED_VALUE"""),15.0)</f>
        <v>15</v>
      </c>
      <c r="D1053" s="2" t="str">
        <f>IFERROR(__xludf.DUMMYFUNCTION("""COMPUTED_VALUE"""),"AL-ARAFAH ISLAMI BANK LTD.")</f>
        <v>AL-ARAFAH ISLAMI BANK LTD.</v>
      </c>
      <c r="E1053" s="2" t="str">
        <f>IFERROR(__xludf.DUMMYFUNCTION("""COMPUTED_VALUE"""),"LAKSHMIPUR")</f>
        <v>LAKSHMIPUR</v>
      </c>
      <c r="F1053" s="3">
        <f>IFERROR(__xludf.DUMMYFUNCTION("""COMPUTED_VALUE"""),73.0)</f>
        <v>73</v>
      </c>
      <c r="G1053" s="5">
        <f>IFERROR(__xludf.DUMMYFUNCTION("""COMPUTED_VALUE"""),1.551073E7)</f>
        <v>15510730</v>
      </c>
    </row>
    <row r="1054">
      <c r="A1054" s="3">
        <f>IFERROR(__xludf.DUMMYFUNCTION("""COMPUTED_VALUE"""),354.0)</f>
        <v>354</v>
      </c>
      <c r="B1054" s="2" t="str">
        <f>IFERROR(__xludf.DUMMYFUNCTION("""COMPUTED_VALUE"""),"MADARIPUR")</f>
        <v>MADARIPUR</v>
      </c>
      <c r="C1054" s="4">
        <f>IFERROR(__xludf.DUMMYFUNCTION("""COMPUTED_VALUE"""),15.0)</f>
        <v>15</v>
      </c>
      <c r="D1054" s="2" t="str">
        <f>IFERROR(__xludf.DUMMYFUNCTION("""COMPUTED_VALUE"""),"AL-ARAFAH ISLAMI BANK LTD.")</f>
        <v>AL-ARAFAH ISLAMI BANK LTD.</v>
      </c>
      <c r="E1054" s="2" t="str">
        <f>IFERROR(__xludf.DUMMYFUNCTION("""COMPUTED_VALUE"""),"MOSTAFAPUR")</f>
        <v>MOSTAFAPUR</v>
      </c>
      <c r="F1054" s="3">
        <f>IFERROR(__xludf.DUMMYFUNCTION("""COMPUTED_VALUE"""),55.0)</f>
        <v>55</v>
      </c>
      <c r="G1054" s="5">
        <f>IFERROR(__xludf.DUMMYFUNCTION("""COMPUTED_VALUE"""),1.5540555E7)</f>
        <v>15540555</v>
      </c>
    </row>
    <row r="1055">
      <c r="A1055" s="3">
        <f>IFERROR(__xludf.DUMMYFUNCTION("""COMPUTED_VALUE"""),455.0)</f>
        <v>455</v>
      </c>
      <c r="B1055" s="2" t="str">
        <f>IFERROR(__xludf.DUMMYFUNCTION("""COMPUTED_VALUE"""),"MAGURA")</f>
        <v>MAGURA</v>
      </c>
      <c r="C1055" s="4">
        <f>IFERROR(__xludf.DUMMYFUNCTION("""COMPUTED_VALUE"""),15.0)</f>
        <v>15</v>
      </c>
      <c r="D1055" s="2" t="str">
        <f>IFERROR(__xludf.DUMMYFUNCTION("""COMPUTED_VALUE"""),"AL-ARAFAH ISLAMI BANK LTD.")</f>
        <v>AL-ARAFAH ISLAMI BANK LTD.</v>
      </c>
      <c r="E1055" s="2" t="str">
        <f>IFERROR(__xludf.DUMMYFUNCTION("""COMPUTED_VALUE"""),"MAGURA")</f>
        <v>MAGURA</v>
      </c>
      <c r="F1055" s="3">
        <f>IFERROR(__xludf.DUMMYFUNCTION("""COMPUTED_VALUE"""),55.0)</f>
        <v>55</v>
      </c>
      <c r="G1055" s="5">
        <f>IFERROR(__xludf.DUMMYFUNCTION("""COMPUTED_VALUE"""),1.5550558E7)</f>
        <v>15550558</v>
      </c>
    </row>
    <row r="1056">
      <c r="A1056" s="3">
        <f>IFERROR(__xludf.DUMMYFUNCTION("""COMPUTED_VALUE"""),858.0)</f>
        <v>858</v>
      </c>
      <c r="B1056" s="2" t="str">
        <f>IFERROR(__xludf.DUMMYFUNCTION("""COMPUTED_VALUE"""),"MOULVI BAZAR")</f>
        <v>MOULVI BAZAR</v>
      </c>
      <c r="C1056" s="4">
        <f>IFERROR(__xludf.DUMMYFUNCTION("""COMPUTED_VALUE"""),15.0)</f>
        <v>15</v>
      </c>
      <c r="D1056" s="2" t="str">
        <f>IFERROR(__xludf.DUMMYFUNCTION("""COMPUTED_VALUE"""),"AL-ARAFAH ISLAMI BANK LTD.")</f>
        <v>AL-ARAFAH ISLAMI BANK LTD.</v>
      </c>
      <c r="E1056" s="2" t="str">
        <f>IFERROR(__xludf.DUMMYFUNCTION("""COMPUTED_VALUE"""),"CENTRAL ROAD")</f>
        <v>CENTRAL ROAD</v>
      </c>
      <c r="F1056" s="3">
        <f>IFERROR(__xludf.DUMMYFUNCTION("""COMPUTED_VALUE"""),28.0)</f>
        <v>28</v>
      </c>
      <c r="G1056" s="5">
        <f>IFERROR(__xludf.DUMMYFUNCTION("""COMPUTED_VALUE"""),1.5580281E7)</f>
        <v>15580281</v>
      </c>
    </row>
    <row r="1057">
      <c r="A1057" s="3">
        <f>IFERROR(__xludf.DUMMYFUNCTION("""COMPUTED_VALUE"""),858.0)</f>
        <v>858</v>
      </c>
      <c r="B1057" s="2" t="str">
        <f>IFERROR(__xludf.DUMMYFUNCTION("""COMPUTED_VALUE"""),"MOULVI BAZAR")</f>
        <v>MOULVI BAZAR</v>
      </c>
      <c r="C1057" s="4">
        <f>IFERROR(__xludf.DUMMYFUNCTION("""COMPUTED_VALUE"""),15.0)</f>
        <v>15</v>
      </c>
      <c r="D1057" s="2" t="str">
        <f>IFERROR(__xludf.DUMMYFUNCTION("""COMPUTED_VALUE"""),"AL-ARAFAH ISLAMI BANK LTD.")</f>
        <v>AL-ARAFAH ISLAMI BANK LTD.</v>
      </c>
      <c r="E1057" s="2" t="str">
        <f>IFERROR(__xludf.DUMMYFUNCTION("""COMPUTED_VALUE"""),"RUPASHPUR")</f>
        <v>RUPASHPUR</v>
      </c>
      <c r="F1057" s="3">
        <f>IFERROR(__xludf.DUMMYFUNCTION("""COMPUTED_VALUE"""),142.0)</f>
        <v>142</v>
      </c>
      <c r="G1057" s="5">
        <f>IFERROR(__xludf.DUMMYFUNCTION("""COMPUTED_VALUE"""),1.5581422E7)</f>
        <v>15581422</v>
      </c>
    </row>
    <row r="1058">
      <c r="A1058" s="3">
        <f>IFERROR(__xludf.DUMMYFUNCTION("""COMPUTED_VALUE"""),159.0)</f>
        <v>159</v>
      </c>
      <c r="B1058" s="2" t="str">
        <f>IFERROR(__xludf.DUMMYFUNCTION("""COMPUTED_VALUE"""),"MUNSHIGANJ")</f>
        <v>MUNSHIGANJ</v>
      </c>
      <c r="C1058" s="4">
        <f>IFERROR(__xludf.DUMMYFUNCTION("""COMPUTED_VALUE"""),15.0)</f>
        <v>15</v>
      </c>
      <c r="D1058" s="2" t="str">
        <f>IFERROR(__xludf.DUMMYFUNCTION("""COMPUTED_VALUE"""),"AL-ARAFAH ISLAMI BANK LTD.")</f>
        <v>AL-ARAFAH ISLAMI BANK LTD.</v>
      </c>
      <c r="E1058" s="2" t="str">
        <f>IFERROR(__xludf.DUMMYFUNCTION("""COMPUTED_VALUE"""),"BHAGYAKUL")</f>
        <v>BHAGYAKUL</v>
      </c>
      <c r="F1058" s="3">
        <f>IFERROR(__xludf.DUMMYFUNCTION("""COMPUTED_VALUE"""),31.0)</f>
        <v>31</v>
      </c>
      <c r="G1058" s="5">
        <f>IFERROR(__xludf.DUMMYFUNCTION("""COMPUTED_VALUE"""),1.5590318E7)</f>
        <v>15590318</v>
      </c>
    </row>
    <row r="1059">
      <c r="A1059" s="3">
        <f>IFERROR(__xludf.DUMMYFUNCTION("""COMPUTED_VALUE"""),159.0)</f>
        <v>159</v>
      </c>
      <c r="B1059" s="2" t="str">
        <f>IFERROR(__xludf.DUMMYFUNCTION("""COMPUTED_VALUE"""),"MUNSHIGANJ")</f>
        <v>MUNSHIGANJ</v>
      </c>
      <c r="C1059" s="4">
        <f>IFERROR(__xludf.DUMMYFUNCTION("""COMPUTED_VALUE"""),15.0)</f>
        <v>15</v>
      </c>
      <c r="D1059" s="2" t="str">
        <f>IFERROR(__xludf.DUMMYFUNCTION("""COMPUTED_VALUE"""),"AL-ARAFAH ISLAMI BANK LTD.")</f>
        <v>AL-ARAFAH ISLAMI BANK LTD.</v>
      </c>
      <c r="E1059" s="2" t="str">
        <f>IFERROR(__xludf.DUMMYFUNCTION("""COMPUTED_VALUE"""),"RAMPAL")</f>
        <v>RAMPAL</v>
      </c>
      <c r="F1059" s="3">
        <f>IFERROR(__xludf.DUMMYFUNCTION("""COMPUTED_VALUE"""),117.0)</f>
        <v>117</v>
      </c>
      <c r="G1059" s="5">
        <f>IFERROR(__xludf.DUMMYFUNCTION("""COMPUTED_VALUE"""),1.5591175E7)</f>
        <v>15591175</v>
      </c>
    </row>
    <row r="1060">
      <c r="A1060" s="3">
        <f>IFERROR(__xludf.DUMMYFUNCTION("""COMPUTED_VALUE"""),161.0)</f>
        <v>161</v>
      </c>
      <c r="B1060" s="2" t="str">
        <f>IFERROR(__xludf.DUMMYFUNCTION("""COMPUTED_VALUE"""),"MYMENSINGH")</f>
        <v>MYMENSINGH</v>
      </c>
      <c r="C1060" s="4">
        <f>IFERROR(__xludf.DUMMYFUNCTION("""COMPUTED_VALUE"""),15.0)</f>
        <v>15</v>
      </c>
      <c r="D1060" s="2" t="str">
        <f>IFERROR(__xludf.DUMMYFUNCTION("""COMPUTED_VALUE"""),"AL-ARAFAH ISLAMI BANK LTD.")</f>
        <v>AL-ARAFAH ISLAMI BANK LTD.</v>
      </c>
      <c r="E1060" s="2" t="str">
        <f>IFERROR(__xludf.DUMMYFUNCTION("""COMPUTED_VALUE"""),"MYMENSINGH")</f>
        <v>MYMENSINGH</v>
      </c>
      <c r="F1060" s="3">
        <f>IFERROR(__xludf.DUMMYFUNCTION("""COMPUTED_VALUE"""),175.0)</f>
        <v>175</v>
      </c>
      <c r="G1060" s="5">
        <f>IFERROR(__xludf.DUMMYFUNCTION("""COMPUTED_VALUE"""),1.561175E7)</f>
        <v>15611750</v>
      </c>
    </row>
    <row r="1061">
      <c r="A1061" s="3">
        <f>IFERROR(__xludf.DUMMYFUNCTION("""COMPUTED_VALUE"""),564.0)</f>
        <v>564</v>
      </c>
      <c r="B1061" s="2" t="str">
        <f>IFERROR(__xludf.DUMMYFUNCTION("""COMPUTED_VALUE"""),"NAOGAON")</f>
        <v>NAOGAON</v>
      </c>
      <c r="C1061" s="4">
        <f>IFERROR(__xludf.DUMMYFUNCTION("""COMPUTED_VALUE"""),15.0)</f>
        <v>15</v>
      </c>
      <c r="D1061" s="2" t="str">
        <f>IFERROR(__xludf.DUMMYFUNCTION("""COMPUTED_VALUE"""),"AL-ARAFAH ISLAMI BANK LTD.")</f>
        <v>AL-ARAFAH ISLAMI BANK LTD.</v>
      </c>
      <c r="E1061" s="2" t="str">
        <f>IFERROR(__xludf.DUMMYFUNCTION("""COMPUTED_VALUE"""),"MOHADEBPUR")</f>
        <v>MOHADEBPUR</v>
      </c>
      <c r="F1061" s="3">
        <f>IFERROR(__xludf.DUMMYFUNCTION("""COMPUTED_VALUE"""),109.0)</f>
        <v>109</v>
      </c>
      <c r="G1061" s="5">
        <f>IFERROR(__xludf.DUMMYFUNCTION("""COMPUTED_VALUE"""),1.5641096E7)</f>
        <v>15641096</v>
      </c>
    </row>
    <row r="1062">
      <c r="A1062" s="3">
        <f>IFERROR(__xludf.DUMMYFUNCTION("""COMPUTED_VALUE"""),167.0)</f>
        <v>167</v>
      </c>
      <c r="B1062" s="2" t="str">
        <f>IFERROR(__xludf.DUMMYFUNCTION("""COMPUTED_VALUE"""),"NARAYANGANJ")</f>
        <v>NARAYANGANJ</v>
      </c>
      <c r="C1062" s="4">
        <f>IFERROR(__xludf.DUMMYFUNCTION("""COMPUTED_VALUE"""),15.0)</f>
        <v>15</v>
      </c>
      <c r="D1062" s="2" t="str">
        <f>IFERROR(__xludf.DUMMYFUNCTION("""COMPUTED_VALUE"""),"AL-ARAFAH ISLAMI BANK LTD.")</f>
        <v>AL-ARAFAH ISLAMI BANK LTD.</v>
      </c>
      <c r="E1062" s="2" t="str">
        <f>IFERROR(__xludf.DUMMYFUNCTION("""COMPUTED_VALUE"""),"BANDAR SME")</f>
        <v>BANDAR SME</v>
      </c>
      <c r="F1062" s="3">
        <f>IFERROR(__xludf.DUMMYFUNCTION("""COMPUTED_VALUE"""),17.0)</f>
        <v>17</v>
      </c>
      <c r="G1062" s="5">
        <f>IFERROR(__xludf.DUMMYFUNCTION("""COMPUTED_VALUE"""),1.5670175E7)</f>
        <v>15670175</v>
      </c>
    </row>
    <row r="1063">
      <c r="A1063" s="3">
        <f>IFERROR(__xludf.DUMMYFUNCTION("""COMPUTED_VALUE"""),167.0)</f>
        <v>167</v>
      </c>
      <c r="B1063" s="2" t="str">
        <f>IFERROR(__xludf.DUMMYFUNCTION("""COMPUTED_VALUE"""),"NARAYANGANJ")</f>
        <v>NARAYANGANJ</v>
      </c>
      <c r="C1063" s="4">
        <f>IFERROR(__xludf.DUMMYFUNCTION("""COMPUTED_VALUE"""),15.0)</f>
        <v>15</v>
      </c>
      <c r="D1063" s="2" t="str">
        <f>IFERROR(__xludf.DUMMYFUNCTION("""COMPUTED_VALUE"""),"AL-ARAFAH ISLAMI BANK LTD.")</f>
        <v>AL-ARAFAH ISLAMI BANK LTD.</v>
      </c>
      <c r="E1063" s="2" t="str">
        <f>IFERROR(__xludf.DUMMYFUNCTION("""COMPUTED_VALUE"""),"GOUCHIA")</f>
        <v>GOUCHIA</v>
      </c>
      <c r="F1063" s="3">
        <f>IFERROR(__xludf.DUMMYFUNCTION("""COMPUTED_VALUE"""),21.0)</f>
        <v>21</v>
      </c>
      <c r="G1063" s="5">
        <f>IFERROR(__xludf.DUMMYFUNCTION("""COMPUTED_VALUE"""),1.5670212E7)</f>
        <v>15670212</v>
      </c>
    </row>
    <row r="1064">
      <c r="A1064" s="3">
        <f>IFERROR(__xludf.DUMMYFUNCTION("""COMPUTED_VALUE"""),167.0)</f>
        <v>167</v>
      </c>
      <c r="B1064" s="2" t="str">
        <f>IFERROR(__xludf.DUMMYFUNCTION("""COMPUTED_VALUE"""),"NARAYANGANJ")</f>
        <v>NARAYANGANJ</v>
      </c>
      <c r="C1064" s="4">
        <f>IFERROR(__xludf.DUMMYFUNCTION("""COMPUTED_VALUE"""),15.0)</f>
        <v>15</v>
      </c>
      <c r="D1064" s="2" t="str">
        <f>IFERROR(__xludf.DUMMYFUNCTION("""COMPUTED_VALUE"""),"AL-ARAFAH ISLAMI BANK LTD.")</f>
        <v>AL-ARAFAH ISLAMI BANK LTD.</v>
      </c>
      <c r="E1064" s="2" t="str">
        <f>IFERROR(__xludf.DUMMYFUNCTION("""COMPUTED_VALUE"""),"NARAYANGANJ")</f>
        <v>NARAYANGANJ</v>
      </c>
      <c r="F1064" s="3">
        <f>IFERROR(__xludf.DUMMYFUNCTION("""COMPUTED_VALUE"""),118.0)</f>
        <v>118</v>
      </c>
      <c r="G1064" s="5">
        <f>IFERROR(__xludf.DUMMYFUNCTION("""COMPUTED_VALUE"""),1.5671187E7)</f>
        <v>15671187</v>
      </c>
    </row>
    <row r="1065">
      <c r="A1065" s="3">
        <f>IFERROR(__xludf.DUMMYFUNCTION("""COMPUTED_VALUE"""),167.0)</f>
        <v>167</v>
      </c>
      <c r="B1065" s="2" t="str">
        <f>IFERROR(__xludf.DUMMYFUNCTION("""COMPUTED_VALUE"""),"NARAYANGANJ")</f>
        <v>NARAYANGANJ</v>
      </c>
      <c r="C1065" s="4">
        <f>IFERROR(__xludf.DUMMYFUNCTION("""COMPUTED_VALUE"""),15.0)</f>
        <v>15</v>
      </c>
      <c r="D1065" s="2" t="str">
        <f>IFERROR(__xludf.DUMMYFUNCTION("""COMPUTED_VALUE"""),"AL-ARAFAH ISLAMI BANK LTD.")</f>
        <v>AL-ARAFAH ISLAMI BANK LTD.</v>
      </c>
      <c r="E1065" s="2" t="str">
        <f>IFERROR(__xludf.DUMMYFUNCTION("""COMPUTED_VALUE"""),"NAYAPUR")</f>
        <v>NAYAPUR</v>
      </c>
      <c r="F1065" s="3">
        <f>IFERROR(__xludf.DUMMYFUNCTION("""COMPUTED_VALUE"""),122.0)</f>
        <v>122</v>
      </c>
      <c r="G1065" s="5">
        <f>IFERROR(__xludf.DUMMYFUNCTION("""COMPUTED_VALUE"""),1.5671224E7)</f>
        <v>15671224</v>
      </c>
    </row>
    <row r="1066">
      <c r="A1066" s="3">
        <f>IFERROR(__xludf.DUMMYFUNCTION("""COMPUTED_VALUE"""),167.0)</f>
        <v>167</v>
      </c>
      <c r="B1066" s="2" t="str">
        <f>IFERROR(__xludf.DUMMYFUNCTION("""COMPUTED_VALUE"""),"NARAYANGANJ")</f>
        <v>NARAYANGANJ</v>
      </c>
      <c r="C1066" s="4">
        <f>IFERROR(__xludf.DUMMYFUNCTION("""COMPUTED_VALUE"""),15.0)</f>
        <v>15</v>
      </c>
      <c r="D1066" s="2" t="str">
        <f>IFERROR(__xludf.DUMMYFUNCTION("""COMPUTED_VALUE"""),"AL-ARAFAH ISLAMI BANK LTD.")</f>
        <v>AL-ARAFAH ISLAMI BANK LTD.</v>
      </c>
      <c r="E1066" s="2" t="str">
        <f>IFERROR(__xludf.DUMMYFUNCTION("""COMPUTED_VALUE"""),"PAGLA")</f>
        <v>PAGLA</v>
      </c>
      <c r="F1066" s="3">
        <f>IFERROR(__xludf.DUMMYFUNCTION("""COMPUTED_VALUE"""),130.0)</f>
        <v>130</v>
      </c>
      <c r="G1066" s="5">
        <f>IFERROR(__xludf.DUMMYFUNCTION("""COMPUTED_VALUE"""),1.5671303E7)</f>
        <v>15671303</v>
      </c>
    </row>
    <row r="1067">
      <c r="A1067" s="3">
        <f>IFERROR(__xludf.DUMMYFUNCTION("""COMPUTED_VALUE"""),168.0)</f>
        <v>168</v>
      </c>
      <c r="B1067" s="2" t="str">
        <f>IFERROR(__xludf.DUMMYFUNCTION("""COMPUTED_VALUE"""),"NARSHINGDI")</f>
        <v>NARSHINGDI</v>
      </c>
      <c r="C1067" s="4">
        <f>IFERROR(__xludf.DUMMYFUNCTION("""COMPUTED_VALUE"""),15.0)</f>
        <v>15</v>
      </c>
      <c r="D1067" s="2" t="str">
        <f>IFERROR(__xludf.DUMMYFUNCTION("""COMPUTED_VALUE"""),"AL-ARAFAH ISLAMI BANK LTD.")</f>
        <v>AL-ARAFAH ISLAMI BANK LTD.</v>
      </c>
      <c r="E1067" s="2" t="str">
        <f>IFERROR(__xludf.DUMMYFUNCTION("""COMPUTED_VALUE"""),"MADHABDI")</f>
        <v>MADHABDI</v>
      </c>
      <c r="F1067" s="3">
        <f>IFERROR(__xludf.DUMMYFUNCTION("""COMPUTED_VALUE"""),67.0)</f>
        <v>67</v>
      </c>
      <c r="G1067" s="5">
        <f>IFERROR(__xludf.DUMMYFUNCTION("""COMPUTED_VALUE"""),1.5680673E7)</f>
        <v>15680673</v>
      </c>
    </row>
    <row r="1068">
      <c r="A1068" s="3">
        <f>IFERROR(__xludf.DUMMYFUNCTION("""COMPUTED_VALUE"""),168.0)</f>
        <v>168</v>
      </c>
      <c r="B1068" s="2" t="str">
        <f>IFERROR(__xludf.DUMMYFUNCTION("""COMPUTED_VALUE"""),"NARSHINGDI")</f>
        <v>NARSHINGDI</v>
      </c>
      <c r="C1068" s="4">
        <f>IFERROR(__xludf.DUMMYFUNCTION("""COMPUTED_VALUE"""),15.0)</f>
        <v>15</v>
      </c>
      <c r="D1068" s="2" t="str">
        <f>IFERROR(__xludf.DUMMYFUNCTION("""COMPUTED_VALUE"""),"AL-ARAFAH ISLAMI BANK LTD.")</f>
        <v>AL-ARAFAH ISLAMI BANK LTD.</v>
      </c>
      <c r="E1068" s="2" t="str">
        <f>IFERROR(__xludf.DUMMYFUNCTION("""COMPUTED_VALUE"""),"PANCHDONA SME")</f>
        <v>PANCHDONA SME</v>
      </c>
      <c r="F1068" s="3">
        <f>IFERROR(__xludf.DUMMYFUNCTION("""COMPUTED_VALUE"""),86.0)</f>
        <v>86</v>
      </c>
      <c r="G1068" s="5">
        <f>IFERROR(__xludf.DUMMYFUNCTION("""COMPUTED_VALUE"""),1.568086E7)</f>
        <v>15680860</v>
      </c>
    </row>
    <row r="1069">
      <c r="A1069" s="3">
        <f>IFERROR(__xludf.DUMMYFUNCTION("""COMPUTED_VALUE"""),168.0)</f>
        <v>168</v>
      </c>
      <c r="B1069" s="2" t="str">
        <f>IFERROR(__xludf.DUMMYFUNCTION("""COMPUTED_VALUE"""),"NARSHINGDI")</f>
        <v>NARSHINGDI</v>
      </c>
      <c r="C1069" s="4">
        <f>IFERROR(__xludf.DUMMYFUNCTION("""COMPUTED_VALUE"""),15.0)</f>
        <v>15</v>
      </c>
      <c r="D1069" s="2" t="str">
        <f>IFERROR(__xludf.DUMMYFUNCTION("""COMPUTED_VALUE"""),"AL-ARAFAH ISLAMI BANK LTD.")</f>
        <v>AL-ARAFAH ISLAMI BANK LTD.</v>
      </c>
      <c r="E1069" s="2" t="str">
        <f>IFERROR(__xludf.DUMMYFUNCTION("""COMPUTED_VALUE"""),"VELA NAGAR")</f>
        <v>VELA NAGAR</v>
      </c>
      <c r="F1069" s="3">
        <f>IFERROR(__xludf.DUMMYFUNCTION("""COMPUTED_VALUE"""),139.0)</f>
        <v>139</v>
      </c>
      <c r="G1069" s="5">
        <f>IFERROR(__xludf.DUMMYFUNCTION("""COMPUTED_VALUE"""),1.5681393E7)</f>
        <v>15681393</v>
      </c>
    </row>
    <row r="1070">
      <c r="A1070" s="3">
        <f>IFERROR(__xludf.DUMMYFUNCTION("""COMPUTED_VALUE"""),569.0)</f>
        <v>569</v>
      </c>
      <c r="B1070" s="2" t="str">
        <f>IFERROR(__xludf.DUMMYFUNCTION("""COMPUTED_VALUE"""),"NATORE")</f>
        <v>NATORE</v>
      </c>
      <c r="C1070" s="4">
        <f>IFERROR(__xludf.DUMMYFUNCTION("""COMPUTED_VALUE"""),15.0)</f>
        <v>15</v>
      </c>
      <c r="D1070" s="2" t="str">
        <f>IFERROR(__xludf.DUMMYFUNCTION("""COMPUTED_VALUE"""),"AL-ARAFAH ISLAMI BANK LTD.")</f>
        <v>AL-ARAFAH ISLAMI BANK LTD.</v>
      </c>
      <c r="E1070" s="2" t="str">
        <f>IFERROR(__xludf.DUMMYFUNCTION("""COMPUTED_VALUE"""),"NATORE")</f>
        <v>NATORE</v>
      </c>
      <c r="F1070" s="3">
        <f>IFERROR(__xludf.DUMMYFUNCTION("""COMPUTED_VALUE"""),109.0)</f>
        <v>109</v>
      </c>
      <c r="G1070" s="5">
        <f>IFERROR(__xludf.DUMMYFUNCTION("""COMPUTED_VALUE"""),1.5691091E7)</f>
        <v>15691091</v>
      </c>
    </row>
    <row r="1071">
      <c r="A1071" s="3">
        <f>IFERROR(__xludf.DUMMYFUNCTION("""COMPUTED_VALUE"""),570.0)</f>
        <v>570</v>
      </c>
      <c r="B1071" s="2" t="str">
        <f>IFERROR(__xludf.DUMMYFUNCTION("""COMPUTED_VALUE"""),"NAWABGANJ")</f>
        <v>NAWABGANJ</v>
      </c>
      <c r="C1071" s="4">
        <f>IFERROR(__xludf.DUMMYFUNCTION("""COMPUTED_VALUE"""),15.0)</f>
        <v>15</v>
      </c>
      <c r="D1071" s="2" t="str">
        <f>IFERROR(__xludf.DUMMYFUNCTION("""COMPUTED_VALUE"""),"AL-ARAFAH ISLAMI BANK LTD.")</f>
        <v>AL-ARAFAH ISLAMI BANK LTD.</v>
      </c>
      <c r="E1071" s="2" t="str">
        <f>IFERROR(__xludf.DUMMYFUNCTION("""COMPUTED_VALUE"""),"CHAPAI NAWABGANJ")</f>
        <v>CHAPAI NAWABGANJ</v>
      </c>
      <c r="F1071" s="3">
        <f>IFERROR(__xludf.DUMMYFUNCTION("""COMPUTED_VALUE"""),25.0)</f>
        <v>25</v>
      </c>
      <c r="G1071" s="5">
        <f>IFERROR(__xludf.DUMMYFUNCTION("""COMPUTED_VALUE"""),1.5700258E7)</f>
        <v>15700258</v>
      </c>
    </row>
    <row r="1072">
      <c r="A1072" s="3">
        <f>IFERROR(__xludf.DUMMYFUNCTION("""COMPUTED_VALUE"""),172.0)</f>
        <v>172</v>
      </c>
      <c r="B1072" s="2" t="str">
        <f>IFERROR(__xludf.DUMMYFUNCTION("""COMPUTED_VALUE"""),"NETROKONA")</f>
        <v>NETROKONA</v>
      </c>
      <c r="C1072" s="4">
        <f>IFERROR(__xludf.DUMMYFUNCTION("""COMPUTED_VALUE"""),15.0)</f>
        <v>15</v>
      </c>
      <c r="D1072" s="2" t="str">
        <f>IFERROR(__xludf.DUMMYFUNCTION("""COMPUTED_VALUE"""),"AL-ARAFAH ISLAMI BANK LTD.")</f>
        <v>AL-ARAFAH ISLAMI BANK LTD.</v>
      </c>
      <c r="E1072" s="2" t="str">
        <f>IFERROR(__xludf.DUMMYFUNCTION("""COMPUTED_VALUE"""),"NETROKONA")</f>
        <v>NETROKONA</v>
      </c>
      <c r="F1072" s="3">
        <f>IFERROR(__xludf.DUMMYFUNCTION("""COMPUTED_VALUE"""),73.0)</f>
        <v>73</v>
      </c>
      <c r="G1072" s="5">
        <f>IFERROR(__xludf.DUMMYFUNCTION("""COMPUTED_VALUE"""),1.5720733E7)</f>
        <v>15720733</v>
      </c>
    </row>
    <row r="1073">
      <c r="A1073" s="3">
        <f>IFERROR(__xludf.DUMMYFUNCTION("""COMPUTED_VALUE"""),773.0)</f>
        <v>773</v>
      </c>
      <c r="B1073" s="2" t="str">
        <f>IFERROR(__xludf.DUMMYFUNCTION("""COMPUTED_VALUE"""),"NILPHAMARI")</f>
        <v>NILPHAMARI</v>
      </c>
      <c r="C1073" s="4">
        <f>IFERROR(__xludf.DUMMYFUNCTION("""COMPUTED_VALUE"""),15.0)</f>
        <v>15</v>
      </c>
      <c r="D1073" s="2" t="str">
        <f>IFERROR(__xludf.DUMMYFUNCTION("""COMPUTED_VALUE"""),"AL-ARAFAH ISLAMI BANK LTD.")</f>
        <v>AL-ARAFAH ISLAMI BANK LTD.</v>
      </c>
      <c r="E1073" s="2" t="str">
        <f>IFERROR(__xludf.DUMMYFUNCTION("""COMPUTED_VALUE"""),"SAYEDPUR")</f>
        <v>SAYEDPUR</v>
      </c>
      <c r="F1073" s="3">
        <f>IFERROR(__xludf.DUMMYFUNCTION("""COMPUTED_VALUE"""),79.0)</f>
        <v>79</v>
      </c>
      <c r="G1073" s="5">
        <f>IFERROR(__xludf.DUMMYFUNCTION("""COMPUTED_VALUE"""),1.5730794E7)</f>
        <v>15730794</v>
      </c>
    </row>
    <row r="1074">
      <c r="A1074" s="3">
        <f>IFERROR(__xludf.DUMMYFUNCTION("""COMPUTED_VALUE"""),275.0)</f>
        <v>275</v>
      </c>
      <c r="B1074" s="2" t="str">
        <f>IFERROR(__xludf.DUMMYFUNCTION("""COMPUTED_VALUE"""),"NOAKHALI")</f>
        <v>NOAKHALI</v>
      </c>
      <c r="C1074" s="4">
        <f>IFERROR(__xludf.DUMMYFUNCTION("""COMPUTED_VALUE"""),15.0)</f>
        <v>15</v>
      </c>
      <c r="D1074" s="2" t="str">
        <f>IFERROR(__xludf.DUMMYFUNCTION("""COMPUTED_VALUE"""),"AL-ARAFAH ISLAMI BANK LTD.")</f>
        <v>AL-ARAFAH ISLAMI BANK LTD.</v>
      </c>
      <c r="E1074" s="2" t="str">
        <f>IFERROR(__xludf.DUMMYFUNCTION("""COMPUTED_VALUE"""),"BASHURHAT SME")</f>
        <v>BASHURHAT SME</v>
      </c>
      <c r="F1074" s="3">
        <f>IFERROR(__xludf.DUMMYFUNCTION("""COMPUTED_VALUE"""),26.0)</f>
        <v>26</v>
      </c>
      <c r="G1074" s="5">
        <f>IFERROR(__xludf.DUMMYFUNCTION("""COMPUTED_VALUE"""),1.5750266E7)</f>
        <v>15750266</v>
      </c>
    </row>
    <row r="1075">
      <c r="A1075" s="3">
        <f>IFERROR(__xludf.DUMMYFUNCTION("""COMPUTED_VALUE"""),275.0)</f>
        <v>275</v>
      </c>
      <c r="B1075" s="2" t="str">
        <f>IFERROR(__xludf.DUMMYFUNCTION("""COMPUTED_VALUE"""),"NOAKHALI")</f>
        <v>NOAKHALI</v>
      </c>
      <c r="C1075" s="4">
        <f>IFERROR(__xludf.DUMMYFUNCTION("""COMPUTED_VALUE"""),15.0)</f>
        <v>15</v>
      </c>
      <c r="D1075" s="2" t="str">
        <f>IFERROR(__xludf.DUMMYFUNCTION("""COMPUTED_VALUE"""),"AL-ARAFAH ISLAMI BANK LTD.")</f>
        <v>AL-ARAFAH ISLAMI BANK LTD.</v>
      </c>
      <c r="E1075" s="2" t="str">
        <f>IFERROR(__xludf.DUMMYFUNCTION("""COMPUTED_VALUE"""),"CHOUMOHANI")</f>
        <v>CHOUMOHANI</v>
      </c>
      <c r="F1075" s="3">
        <f>IFERROR(__xludf.DUMMYFUNCTION("""COMPUTED_VALUE"""),67.0)</f>
        <v>67</v>
      </c>
      <c r="G1075" s="5">
        <f>IFERROR(__xludf.DUMMYFUNCTION("""COMPUTED_VALUE"""),1.5750679E7)</f>
        <v>15750679</v>
      </c>
    </row>
    <row r="1076">
      <c r="A1076" s="3">
        <f>IFERROR(__xludf.DUMMYFUNCTION("""COMPUTED_VALUE"""),576.0)</f>
        <v>576</v>
      </c>
      <c r="B1076" s="2" t="str">
        <f>IFERROR(__xludf.DUMMYFUNCTION("""COMPUTED_VALUE"""),"PABNA")</f>
        <v>PABNA</v>
      </c>
      <c r="C1076" s="4">
        <f>IFERROR(__xludf.DUMMYFUNCTION("""COMPUTED_VALUE"""),15.0)</f>
        <v>15</v>
      </c>
      <c r="D1076" s="2" t="str">
        <f>IFERROR(__xludf.DUMMYFUNCTION("""COMPUTED_VALUE"""),"AL-ARAFAH ISLAMI BANK LTD.")</f>
        <v>AL-ARAFAH ISLAMI BANK LTD.</v>
      </c>
      <c r="E1076" s="2" t="str">
        <f>IFERROR(__xludf.DUMMYFUNCTION("""COMPUTED_VALUE"""),"PABNA")</f>
        <v>PABNA</v>
      </c>
      <c r="F1076" s="3">
        <f>IFERROR(__xludf.DUMMYFUNCTION("""COMPUTED_VALUE"""),178.0)</f>
        <v>178</v>
      </c>
      <c r="G1076" s="5">
        <f>IFERROR(__xludf.DUMMYFUNCTION("""COMPUTED_VALUE"""),1.5761789E7)</f>
        <v>15761789</v>
      </c>
    </row>
    <row r="1077">
      <c r="A1077" s="3">
        <f>IFERROR(__xludf.DUMMYFUNCTION("""COMPUTED_VALUE"""),378.0)</f>
        <v>378</v>
      </c>
      <c r="B1077" s="2" t="str">
        <f>IFERROR(__xludf.DUMMYFUNCTION("""COMPUTED_VALUE"""),"PATUAKHALI")</f>
        <v>PATUAKHALI</v>
      </c>
      <c r="C1077" s="4">
        <f>IFERROR(__xludf.DUMMYFUNCTION("""COMPUTED_VALUE"""),15.0)</f>
        <v>15</v>
      </c>
      <c r="D1077" s="2" t="str">
        <f>IFERROR(__xludf.DUMMYFUNCTION("""COMPUTED_VALUE"""),"AL-ARAFAH ISLAMI BANK LTD.")</f>
        <v>AL-ARAFAH ISLAMI BANK LTD.</v>
      </c>
      <c r="E1077" s="2" t="str">
        <f>IFERROR(__xludf.DUMMYFUNCTION("""COMPUTED_VALUE"""),"ALIPUR")</f>
        <v>ALIPUR</v>
      </c>
      <c r="F1077" s="3">
        <f>IFERROR(__xludf.DUMMYFUNCTION("""COMPUTED_VALUE"""),5.0)</f>
        <v>5</v>
      </c>
      <c r="G1077" s="5">
        <f>IFERROR(__xludf.DUMMYFUNCTION("""COMPUTED_VALUE"""),1.5780052E7)</f>
        <v>15780052</v>
      </c>
    </row>
    <row r="1078">
      <c r="A1078" s="3">
        <f>IFERROR(__xludf.DUMMYFUNCTION("""COMPUTED_VALUE"""),378.0)</f>
        <v>378</v>
      </c>
      <c r="B1078" s="2" t="str">
        <f>IFERROR(__xludf.DUMMYFUNCTION("""COMPUTED_VALUE"""),"PATUAKHALI")</f>
        <v>PATUAKHALI</v>
      </c>
      <c r="C1078" s="4">
        <f>IFERROR(__xludf.DUMMYFUNCTION("""COMPUTED_VALUE"""),15.0)</f>
        <v>15</v>
      </c>
      <c r="D1078" s="2" t="str">
        <f>IFERROR(__xludf.DUMMYFUNCTION("""COMPUTED_VALUE"""),"AL-ARAFAH ISLAMI BANK LTD.")</f>
        <v>AL-ARAFAH ISLAMI BANK LTD.</v>
      </c>
      <c r="E1078" s="2" t="str">
        <f>IFERROR(__xludf.DUMMYFUNCTION("""COMPUTED_VALUE"""),"PATUAKHALI")</f>
        <v>PATUAKHALI</v>
      </c>
      <c r="F1078" s="3">
        <f>IFERROR(__xludf.DUMMYFUNCTION("""COMPUTED_VALUE"""),109.0)</f>
        <v>109</v>
      </c>
      <c r="G1078" s="5">
        <f>IFERROR(__xludf.DUMMYFUNCTION("""COMPUTED_VALUE"""),1.5781093E7)</f>
        <v>15781093</v>
      </c>
    </row>
    <row r="1079">
      <c r="A1079" s="3">
        <f>IFERROR(__xludf.DUMMYFUNCTION("""COMPUTED_VALUE"""),379.0)</f>
        <v>379</v>
      </c>
      <c r="B1079" s="2" t="str">
        <f>IFERROR(__xludf.DUMMYFUNCTION("""COMPUTED_VALUE"""),"PIROJPUR")</f>
        <v>PIROJPUR</v>
      </c>
      <c r="C1079" s="4">
        <f>IFERROR(__xludf.DUMMYFUNCTION("""COMPUTED_VALUE"""),15.0)</f>
        <v>15</v>
      </c>
      <c r="D1079" s="2" t="str">
        <f>IFERROR(__xludf.DUMMYFUNCTION("""COMPUTED_VALUE"""),"AL-ARAFAH ISLAMI BANK LTD.")</f>
        <v>AL-ARAFAH ISLAMI BANK LTD.</v>
      </c>
      <c r="E1079" s="2" t="str">
        <f>IFERROR(__xludf.DUMMYFUNCTION("""COMPUTED_VALUE"""),"BHANDARIA")</f>
        <v>BHANDARIA</v>
      </c>
      <c r="F1079" s="3">
        <f>IFERROR(__xludf.DUMMYFUNCTION("""COMPUTED_VALUE"""),13.0)</f>
        <v>13</v>
      </c>
      <c r="G1079" s="5">
        <f>IFERROR(__xludf.DUMMYFUNCTION("""COMPUTED_VALUE"""),1.5790134E7)</f>
        <v>15790134</v>
      </c>
    </row>
    <row r="1080">
      <c r="A1080" s="3">
        <f>IFERROR(__xludf.DUMMYFUNCTION("""COMPUTED_VALUE"""),379.0)</f>
        <v>379</v>
      </c>
      <c r="B1080" s="2" t="str">
        <f>IFERROR(__xludf.DUMMYFUNCTION("""COMPUTED_VALUE"""),"PIROJPUR")</f>
        <v>PIROJPUR</v>
      </c>
      <c r="C1080" s="4">
        <f>IFERROR(__xludf.DUMMYFUNCTION("""COMPUTED_VALUE"""),15.0)</f>
        <v>15</v>
      </c>
      <c r="D1080" s="2" t="str">
        <f>IFERROR(__xludf.DUMMYFUNCTION("""COMPUTED_VALUE"""),"AL-ARAFAH ISLAMI BANK LTD.")</f>
        <v>AL-ARAFAH ISLAMI BANK LTD.</v>
      </c>
      <c r="E1080" s="2" t="str">
        <f>IFERROR(__xludf.DUMMYFUNCTION("""COMPUTED_VALUE"""),"MATHBARIA")</f>
        <v>MATHBARIA</v>
      </c>
      <c r="F1080" s="3">
        <f>IFERROR(__xludf.DUMMYFUNCTION("""COMPUTED_VALUE"""),52.0)</f>
        <v>52</v>
      </c>
      <c r="G1080" s="5">
        <f>IFERROR(__xludf.DUMMYFUNCTION("""COMPUTED_VALUE"""),1.5790521E7)</f>
        <v>15790521</v>
      </c>
    </row>
    <row r="1081">
      <c r="A1081" s="3">
        <f>IFERROR(__xludf.DUMMYFUNCTION("""COMPUTED_VALUE"""),581.0)</f>
        <v>581</v>
      </c>
      <c r="B1081" s="2" t="str">
        <f>IFERROR(__xludf.DUMMYFUNCTION("""COMPUTED_VALUE"""),"RAJSHAHI")</f>
        <v>RAJSHAHI</v>
      </c>
      <c r="C1081" s="4">
        <f>IFERROR(__xludf.DUMMYFUNCTION("""COMPUTED_VALUE"""),15.0)</f>
        <v>15</v>
      </c>
      <c r="D1081" s="2" t="str">
        <f>IFERROR(__xludf.DUMMYFUNCTION("""COMPUTED_VALUE"""),"AL-ARAFAH ISLAMI BANK LTD.")</f>
        <v>AL-ARAFAH ISLAMI BANK LTD.</v>
      </c>
      <c r="E1081" s="2" t="str">
        <f>IFERROR(__xludf.DUMMYFUNCTION("""COMPUTED_VALUE"""),"RAJSHAHI")</f>
        <v>RAJSHAHI</v>
      </c>
      <c r="F1081" s="3">
        <f>IFERROR(__xludf.DUMMYFUNCTION("""COMPUTED_VALUE"""),193.0)</f>
        <v>193</v>
      </c>
      <c r="G1081" s="5">
        <f>IFERROR(__xludf.DUMMYFUNCTION("""COMPUTED_VALUE"""),1.5811934E7)</f>
        <v>15811934</v>
      </c>
    </row>
    <row r="1082">
      <c r="A1082" s="3">
        <f>IFERROR(__xludf.DUMMYFUNCTION("""COMPUTED_VALUE"""),785.0)</f>
        <v>785</v>
      </c>
      <c r="B1082" s="2" t="str">
        <f>IFERROR(__xludf.DUMMYFUNCTION("""COMPUTED_VALUE"""),"RANGPUR")</f>
        <v>RANGPUR</v>
      </c>
      <c r="C1082" s="4">
        <f>IFERROR(__xludf.DUMMYFUNCTION("""COMPUTED_VALUE"""),15.0)</f>
        <v>15</v>
      </c>
      <c r="D1082" s="2" t="str">
        <f>IFERROR(__xludf.DUMMYFUNCTION("""COMPUTED_VALUE"""),"AL-ARAFAH ISLAMI BANK LTD.")</f>
        <v>AL-ARAFAH ISLAMI BANK LTD.</v>
      </c>
      <c r="E1082" s="2" t="str">
        <f>IFERROR(__xludf.DUMMYFUNCTION("""COMPUTED_VALUE"""),"BADARGANJ SME")</f>
        <v>BADARGANJ SME</v>
      </c>
      <c r="F1082" s="3">
        <f>IFERROR(__xludf.DUMMYFUNCTION("""COMPUTED_VALUE"""),17.0)</f>
        <v>17</v>
      </c>
      <c r="G1082" s="5">
        <f>IFERROR(__xludf.DUMMYFUNCTION("""COMPUTED_VALUE"""),1.5850179E7)</f>
        <v>15850179</v>
      </c>
    </row>
    <row r="1083">
      <c r="A1083" s="3">
        <f>IFERROR(__xludf.DUMMYFUNCTION("""COMPUTED_VALUE"""),785.0)</f>
        <v>785</v>
      </c>
      <c r="B1083" s="2" t="str">
        <f>IFERROR(__xludf.DUMMYFUNCTION("""COMPUTED_VALUE"""),"RANGPUR")</f>
        <v>RANGPUR</v>
      </c>
      <c r="C1083" s="4">
        <f>IFERROR(__xludf.DUMMYFUNCTION("""COMPUTED_VALUE"""),15.0)</f>
        <v>15</v>
      </c>
      <c r="D1083" s="2" t="str">
        <f>IFERROR(__xludf.DUMMYFUNCTION("""COMPUTED_VALUE"""),"AL-ARAFAH ISLAMI BANK LTD.")</f>
        <v>AL-ARAFAH ISLAMI BANK LTD.</v>
      </c>
      <c r="E1083" s="2" t="str">
        <f>IFERROR(__xludf.DUMMYFUNCTION("""COMPUTED_VALUE"""),"RANGPUR")</f>
        <v>RANGPUR</v>
      </c>
      <c r="F1083" s="3">
        <f>IFERROR(__xludf.DUMMYFUNCTION("""COMPUTED_VALUE"""),145.0)</f>
        <v>145</v>
      </c>
      <c r="G1083" s="5">
        <f>IFERROR(__xludf.DUMMYFUNCTION("""COMPUTED_VALUE"""),1.5851457E7)</f>
        <v>15851457</v>
      </c>
    </row>
    <row r="1084">
      <c r="A1084" s="3">
        <f>IFERROR(__xludf.DUMMYFUNCTION("""COMPUTED_VALUE"""),386.0)</f>
        <v>386</v>
      </c>
      <c r="B1084" s="2" t="str">
        <f>IFERROR(__xludf.DUMMYFUNCTION("""COMPUTED_VALUE"""),"SHARIATPUR")</f>
        <v>SHARIATPUR</v>
      </c>
      <c r="C1084" s="4">
        <f>IFERROR(__xludf.DUMMYFUNCTION("""COMPUTED_VALUE"""),15.0)</f>
        <v>15</v>
      </c>
      <c r="D1084" s="2" t="str">
        <f>IFERROR(__xludf.DUMMYFUNCTION("""COMPUTED_VALUE"""),"AL-ARAFAH ISLAMI BANK LTD.")</f>
        <v>AL-ARAFAH ISLAMI BANK LTD.</v>
      </c>
      <c r="E1084" s="2" t="str">
        <f>IFERROR(__xludf.DUMMYFUNCTION("""COMPUTED_VALUE"""),"KAZIRHAT")</f>
        <v>KAZIRHAT</v>
      </c>
      <c r="F1084" s="3">
        <f>IFERROR(__xludf.DUMMYFUNCTION("""COMPUTED_VALUE"""),41.0)</f>
        <v>41</v>
      </c>
      <c r="G1084" s="5">
        <f>IFERROR(__xludf.DUMMYFUNCTION("""COMPUTED_VALUE"""),1.5860419E7)</f>
        <v>15860419</v>
      </c>
    </row>
    <row r="1085">
      <c r="A1085" s="3">
        <f>IFERROR(__xludf.DUMMYFUNCTION("""COMPUTED_VALUE"""),487.0)</f>
        <v>487</v>
      </c>
      <c r="B1085" s="2" t="str">
        <f>IFERROR(__xludf.DUMMYFUNCTION("""COMPUTED_VALUE"""),"SATKHIRA")</f>
        <v>SATKHIRA</v>
      </c>
      <c r="C1085" s="4">
        <f>IFERROR(__xludf.DUMMYFUNCTION("""COMPUTED_VALUE"""),15.0)</f>
        <v>15</v>
      </c>
      <c r="D1085" s="2" t="str">
        <f>IFERROR(__xludf.DUMMYFUNCTION("""COMPUTED_VALUE"""),"AL-ARAFAH ISLAMI BANK LTD.")</f>
        <v>AL-ARAFAH ISLAMI BANK LTD.</v>
      </c>
      <c r="E1085" s="2" t="str">
        <f>IFERROR(__xludf.DUMMYFUNCTION("""COMPUTED_VALUE"""),"JHAUDANGA")</f>
        <v>JHAUDANGA</v>
      </c>
      <c r="F1085" s="3">
        <f>IFERROR(__xludf.DUMMYFUNCTION("""COMPUTED_VALUE"""),55.0)</f>
        <v>55</v>
      </c>
      <c r="G1085" s="5">
        <f>IFERROR(__xludf.DUMMYFUNCTION("""COMPUTED_VALUE"""),1.5870559E7)</f>
        <v>15870559</v>
      </c>
    </row>
    <row r="1086">
      <c r="A1086" s="3">
        <f>IFERROR(__xludf.DUMMYFUNCTION("""COMPUTED_VALUE"""),487.0)</f>
        <v>487</v>
      </c>
      <c r="B1086" s="2" t="str">
        <f>IFERROR(__xludf.DUMMYFUNCTION("""COMPUTED_VALUE"""),"SATKHIRA")</f>
        <v>SATKHIRA</v>
      </c>
      <c r="C1086" s="4">
        <f>IFERROR(__xludf.DUMMYFUNCTION("""COMPUTED_VALUE"""),15.0)</f>
        <v>15</v>
      </c>
      <c r="D1086" s="2" t="str">
        <f>IFERROR(__xludf.DUMMYFUNCTION("""COMPUTED_VALUE"""),"AL-ARAFAH ISLAMI BANK LTD.")</f>
        <v>AL-ARAFAH ISLAMI BANK LTD.</v>
      </c>
      <c r="E1086" s="2" t="str">
        <f>IFERROR(__xludf.DUMMYFUNCTION("""COMPUTED_VALUE"""),"SATKHIRA")</f>
        <v>SATKHIRA</v>
      </c>
      <c r="F1086" s="3">
        <f>IFERROR(__xludf.DUMMYFUNCTION("""COMPUTED_VALUE"""),109.0)</f>
        <v>109</v>
      </c>
      <c r="G1086" s="5">
        <f>IFERROR(__xludf.DUMMYFUNCTION("""COMPUTED_VALUE"""),1.5871095E7)</f>
        <v>15871095</v>
      </c>
    </row>
    <row r="1087">
      <c r="A1087" s="3">
        <f>IFERROR(__xludf.DUMMYFUNCTION("""COMPUTED_VALUE"""),688.0)</f>
        <v>688</v>
      </c>
      <c r="B1087" s="2" t="str">
        <f>IFERROR(__xludf.DUMMYFUNCTION("""COMPUTED_VALUE"""),"SIRAJGANJ")</f>
        <v>SIRAJGANJ</v>
      </c>
      <c r="C1087" s="4">
        <f>IFERROR(__xludf.DUMMYFUNCTION("""COMPUTED_VALUE"""),15.0)</f>
        <v>15</v>
      </c>
      <c r="D1087" s="2" t="str">
        <f>IFERROR(__xludf.DUMMYFUNCTION("""COMPUTED_VALUE"""),"AL-ARAFAH ISLAMI BANK LTD.")</f>
        <v>AL-ARAFAH ISLAMI BANK LTD.</v>
      </c>
      <c r="E1087" s="2" t="str">
        <f>IFERROR(__xludf.DUMMYFUNCTION("""COMPUTED_VALUE"""),"SHAHJADPUR")</f>
        <v>SHAHJADPUR</v>
      </c>
      <c r="F1087" s="3">
        <f>IFERROR(__xludf.DUMMYFUNCTION("""COMPUTED_VALUE"""),190.0)</f>
        <v>190</v>
      </c>
      <c r="G1087" s="5">
        <f>IFERROR(__xludf.DUMMYFUNCTION("""COMPUTED_VALUE"""),1.5881906E7)</f>
        <v>15881906</v>
      </c>
    </row>
    <row r="1088">
      <c r="A1088" s="3">
        <f>IFERROR(__xludf.DUMMYFUNCTION("""COMPUTED_VALUE"""),891.0)</f>
        <v>891</v>
      </c>
      <c r="B1088" s="2" t="str">
        <f>IFERROR(__xludf.DUMMYFUNCTION("""COMPUTED_VALUE"""),"SYLHET")</f>
        <v>SYLHET</v>
      </c>
      <c r="C1088" s="4">
        <f>IFERROR(__xludf.DUMMYFUNCTION("""COMPUTED_VALUE"""),15.0)</f>
        <v>15</v>
      </c>
      <c r="D1088" s="2" t="str">
        <f>IFERROR(__xludf.DUMMYFUNCTION("""COMPUTED_VALUE"""),"AL-ARAFAH ISLAMI BANK LTD.")</f>
        <v>AL-ARAFAH ISLAMI BANK LTD.</v>
      </c>
      <c r="E1088" s="2" t="str">
        <f>IFERROR(__xludf.DUMMYFUNCTION("""COMPUTED_VALUE"""),"AMBARKHANA")</f>
        <v>AMBARKHANA</v>
      </c>
      <c r="F1088" s="3">
        <f>IFERROR(__xludf.DUMMYFUNCTION("""COMPUTED_VALUE"""),4.0)</f>
        <v>4</v>
      </c>
      <c r="G1088" s="5">
        <f>IFERROR(__xludf.DUMMYFUNCTION("""COMPUTED_VALUE"""),1.5910048E7)</f>
        <v>15910048</v>
      </c>
    </row>
    <row r="1089">
      <c r="A1089" s="3">
        <f>IFERROR(__xludf.DUMMYFUNCTION("""COMPUTED_VALUE"""),891.0)</f>
        <v>891</v>
      </c>
      <c r="B1089" s="2" t="str">
        <f>IFERROR(__xludf.DUMMYFUNCTION("""COMPUTED_VALUE"""),"SYLHET")</f>
        <v>SYLHET</v>
      </c>
      <c r="C1089" s="4">
        <f>IFERROR(__xludf.DUMMYFUNCTION("""COMPUTED_VALUE"""),15.0)</f>
        <v>15</v>
      </c>
      <c r="D1089" s="2" t="str">
        <f>IFERROR(__xludf.DUMMYFUNCTION("""COMPUTED_VALUE"""),"AL-ARAFAH ISLAMI BANK LTD.")</f>
        <v>AL-ARAFAH ISLAMI BANK LTD.</v>
      </c>
      <c r="E1089" s="2" t="str">
        <f>IFERROR(__xludf.DUMMYFUNCTION("""COMPUTED_VALUE"""),"BEANI BAZAR")</f>
        <v>BEANI BAZAR</v>
      </c>
      <c r="F1089" s="3">
        <f>IFERROR(__xludf.DUMMYFUNCTION("""COMPUTED_VALUE"""),31.0)</f>
        <v>31</v>
      </c>
      <c r="G1089" s="5">
        <f>IFERROR(__xludf.DUMMYFUNCTION("""COMPUTED_VALUE"""),1.5910314E7)</f>
        <v>15910314</v>
      </c>
    </row>
    <row r="1090">
      <c r="A1090" s="3">
        <f>IFERROR(__xludf.DUMMYFUNCTION("""COMPUTED_VALUE"""),891.0)</f>
        <v>891</v>
      </c>
      <c r="B1090" s="2" t="str">
        <f>IFERROR(__xludf.DUMMYFUNCTION("""COMPUTED_VALUE"""),"SYLHET")</f>
        <v>SYLHET</v>
      </c>
      <c r="C1090" s="4">
        <f>IFERROR(__xludf.DUMMYFUNCTION("""COMPUTED_VALUE"""),15.0)</f>
        <v>15</v>
      </c>
      <c r="D1090" s="2" t="str">
        <f>IFERROR(__xludf.DUMMYFUNCTION("""COMPUTED_VALUE"""),"AL-ARAFAH ISLAMI BANK LTD.")</f>
        <v>AL-ARAFAH ISLAMI BANK LTD.</v>
      </c>
      <c r="E1090" s="2" t="str">
        <f>IFERROR(__xludf.DUMMYFUNCTION("""COMPUTED_VALUE"""),"LALDIGHIRPAR")</f>
        <v>LALDIGHIRPAR</v>
      </c>
      <c r="F1090" s="3">
        <f>IFERROR(__xludf.DUMMYFUNCTION("""COMPUTED_VALUE"""),250.0)</f>
        <v>250</v>
      </c>
      <c r="G1090" s="5">
        <f>IFERROR(__xludf.DUMMYFUNCTION("""COMPUTED_VALUE"""),1.5912509E7)</f>
        <v>15912509</v>
      </c>
    </row>
    <row r="1091">
      <c r="A1091" s="3">
        <f>IFERROR(__xludf.DUMMYFUNCTION("""COMPUTED_VALUE"""),891.0)</f>
        <v>891</v>
      </c>
      <c r="B1091" s="2" t="str">
        <f>IFERROR(__xludf.DUMMYFUNCTION("""COMPUTED_VALUE"""),"SYLHET")</f>
        <v>SYLHET</v>
      </c>
      <c r="C1091" s="4">
        <f>IFERROR(__xludf.DUMMYFUNCTION("""COMPUTED_VALUE"""),15.0)</f>
        <v>15</v>
      </c>
      <c r="D1091" s="2" t="str">
        <f>IFERROR(__xludf.DUMMYFUNCTION("""COMPUTED_VALUE"""),"AL-ARAFAH ISLAMI BANK LTD.")</f>
        <v>AL-ARAFAH ISLAMI BANK LTD.</v>
      </c>
      <c r="E1091" s="2" t="str">
        <f>IFERROR(__xludf.DUMMYFUNCTION("""COMPUTED_VALUE"""),"ZINDA BAZAR")</f>
        <v>ZINDA BAZAR</v>
      </c>
      <c r="F1091" s="3">
        <f>IFERROR(__xludf.DUMMYFUNCTION("""COMPUTED_VALUE"""),415.0)</f>
        <v>415</v>
      </c>
      <c r="G1091" s="5">
        <f>IFERROR(__xludf.DUMMYFUNCTION("""COMPUTED_VALUE"""),1.5914152E7)</f>
        <v>15914152</v>
      </c>
    </row>
    <row r="1092">
      <c r="A1092" s="3">
        <f>IFERROR(__xludf.DUMMYFUNCTION("""COMPUTED_VALUE"""),193.0)</f>
        <v>193</v>
      </c>
      <c r="B1092" s="2" t="str">
        <f>IFERROR(__xludf.DUMMYFUNCTION("""COMPUTED_VALUE"""),"TANGAIL")</f>
        <v>TANGAIL</v>
      </c>
      <c r="C1092" s="4">
        <f>IFERROR(__xludf.DUMMYFUNCTION("""COMPUTED_VALUE"""),15.0)</f>
        <v>15</v>
      </c>
      <c r="D1092" s="2" t="str">
        <f>IFERROR(__xludf.DUMMYFUNCTION("""COMPUTED_VALUE"""),"AL-ARAFAH ISLAMI BANK LTD.")</f>
        <v>AL-ARAFAH ISLAMI BANK LTD.</v>
      </c>
      <c r="E1092" s="2" t="str">
        <f>IFERROR(__xludf.DUMMYFUNCTION("""COMPUTED_VALUE"""),"TANGAIL")</f>
        <v>TANGAIL</v>
      </c>
      <c r="F1092" s="3">
        <f>IFERROR(__xludf.DUMMYFUNCTION("""COMPUTED_VALUE"""),229.0)</f>
        <v>229</v>
      </c>
      <c r="G1092" s="5">
        <f>IFERROR(__xludf.DUMMYFUNCTION("""COMPUTED_VALUE"""),1.5932297E7)</f>
        <v>15932297</v>
      </c>
    </row>
    <row r="1093">
      <c r="A1093" s="3">
        <f>IFERROR(__xludf.DUMMYFUNCTION("""COMPUTED_VALUE"""),306.0)</f>
        <v>306</v>
      </c>
      <c r="B1093" s="2" t="str">
        <f>IFERROR(__xludf.DUMMYFUNCTION("""COMPUTED_VALUE"""),"BARISHAL")</f>
        <v>BARISHAL</v>
      </c>
      <c r="C1093" s="4">
        <f>IFERROR(__xludf.DUMMYFUNCTION("""COMPUTED_VALUE"""),20.0)</f>
        <v>20</v>
      </c>
      <c r="D1093" s="2" t="str">
        <f>IFERROR(__xludf.DUMMYFUNCTION("""COMPUTED_VALUE"""),"AB BANK LTD.")</f>
        <v>AB BANK LTD.</v>
      </c>
      <c r="E1093" s="2" t="str">
        <f>IFERROR(__xludf.DUMMYFUNCTION("""COMPUTED_VALUE"""),"BARISAL")</f>
        <v>BARISAL</v>
      </c>
      <c r="F1093" s="3">
        <f>IFERROR(__xludf.DUMMYFUNCTION("""COMPUTED_VALUE"""),28.0)</f>
        <v>28</v>
      </c>
      <c r="G1093" s="5">
        <f>IFERROR(__xludf.DUMMYFUNCTION("""COMPUTED_VALUE"""),2.0060288E7)</f>
        <v>20060288</v>
      </c>
    </row>
    <row r="1094">
      <c r="A1094" s="3">
        <f>IFERROR(__xludf.DUMMYFUNCTION("""COMPUTED_VALUE"""),610.0)</f>
        <v>610</v>
      </c>
      <c r="B1094" s="2" t="str">
        <f>IFERROR(__xludf.DUMMYFUNCTION("""COMPUTED_VALUE"""),"BOGRA")</f>
        <v>BOGRA</v>
      </c>
      <c r="C1094" s="4">
        <f>IFERROR(__xludf.DUMMYFUNCTION("""COMPUTED_VALUE"""),20.0)</f>
        <v>20</v>
      </c>
      <c r="D1094" s="2" t="str">
        <f>IFERROR(__xludf.DUMMYFUNCTION("""COMPUTED_VALUE"""),"AB BANK LTD.")</f>
        <v>AB BANK LTD.</v>
      </c>
      <c r="E1094" s="2" t="str">
        <f>IFERROR(__xludf.DUMMYFUNCTION("""COMPUTED_VALUE"""),"BOGRA")</f>
        <v>BOGRA</v>
      </c>
      <c r="F1094" s="3">
        <f>IFERROR(__xludf.DUMMYFUNCTION("""COMPUTED_VALUE"""),37.0)</f>
        <v>37</v>
      </c>
      <c r="G1094" s="5">
        <f>IFERROR(__xludf.DUMMYFUNCTION("""COMPUTED_VALUE"""),2.0100377E7)</f>
        <v>20100377</v>
      </c>
    </row>
    <row r="1095">
      <c r="A1095" s="3">
        <f>IFERROR(__xludf.DUMMYFUNCTION("""COMPUTED_VALUE"""),112.0)</f>
        <v>112</v>
      </c>
      <c r="B1095" s="2" t="str">
        <f>IFERROR(__xludf.DUMMYFUNCTION("""COMPUTED_VALUE"""),"BRAHMANBARIA")</f>
        <v>BRAHMANBARIA</v>
      </c>
      <c r="C1095" s="4">
        <f>IFERROR(__xludf.DUMMYFUNCTION("""COMPUTED_VALUE"""),20.0)</f>
        <v>20</v>
      </c>
      <c r="D1095" s="2" t="str">
        <f>IFERROR(__xludf.DUMMYFUNCTION("""COMPUTED_VALUE"""),"AB BANK LTD.")</f>
        <v>AB BANK LTD.</v>
      </c>
      <c r="E1095" s="2" t="str">
        <f>IFERROR(__xludf.DUMMYFUNCTION("""COMPUTED_VALUE"""),"ASHUGANJ")</f>
        <v>ASHUGANJ</v>
      </c>
      <c r="F1095" s="3">
        <f>IFERROR(__xludf.DUMMYFUNCTION("""COMPUTED_VALUE"""),10.0)</f>
        <v>10</v>
      </c>
      <c r="G1095" s="5">
        <f>IFERROR(__xludf.DUMMYFUNCTION("""COMPUTED_VALUE"""),2.0120102E7)</f>
        <v>20120102</v>
      </c>
    </row>
    <row r="1096">
      <c r="A1096" s="3">
        <f>IFERROR(__xludf.DUMMYFUNCTION("""COMPUTED_VALUE"""),112.0)</f>
        <v>112</v>
      </c>
      <c r="B1096" s="2" t="str">
        <f>IFERROR(__xludf.DUMMYFUNCTION("""COMPUTED_VALUE"""),"BRAHMANBARIA")</f>
        <v>BRAHMANBARIA</v>
      </c>
      <c r="C1096" s="4">
        <f>IFERROR(__xludf.DUMMYFUNCTION("""COMPUTED_VALUE"""),20.0)</f>
        <v>20</v>
      </c>
      <c r="D1096" s="2" t="str">
        <f>IFERROR(__xludf.DUMMYFUNCTION("""COMPUTED_VALUE"""),"AB BANK LTD.")</f>
        <v>AB BANK LTD.</v>
      </c>
      <c r="E1096" s="2" t="str">
        <f>IFERROR(__xludf.DUMMYFUNCTION("""COMPUTED_VALUE"""),"BRAHMANBARIA")</f>
        <v>BRAHMANBARIA</v>
      </c>
      <c r="F1096" s="3">
        <f>IFERROR(__xludf.DUMMYFUNCTION("""COMPUTED_VALUE"""),43.0)</f>
        <v>43</v>
      </c>
      <c r="G1096" s="5">
        <f>IFERROR(__xludf.DUMMYFUNCTION("""COMPUTED_VALUE"""),2.0120436E7)</f>
        <v>20120436</v>
      </c>
    </row>
    <row r="1097">
      <c r="A1097" s="3">
        <f>IFERROR(__xludf.DUMMYFUNCTION("""COMPUTED_VALUE"""),113.0)</f>
        <v>113</v>
      </c>
      <c r="B1097" s="2" t="str">
        <f>IFERROR(__xludf.DUMMYFUNCTION("""COMPUTED_VALUE"""),"CHANDPUR")</f>
        <v>CHANDPUR</v>
      </c>
      <c r="C1097" s="4">
        <f>IFERROR(__xludf.DUMMYFUNCTION("""COMPUTED_VALUE"""),20.0)</f>
        <v>20</v>
      </c>
      <c r="D1097" s="2" t="str">
        <f>IFERROR(__xludf.DUMMYFUNCTION("""COMPUTED_VALUE"""),"AB BANK LTD.")</f>
        <v>AB BANK LTD.</v>
      </c>
      <c r="E1097" s="2" t="str">
        <f>IFERROR(__xludf.DUMMYFUNCTION("""COMPUTED_VALUE"""),"CHANDPUR")</f>
        <v>CHANDPUR</v>
      </c>
      <c r="F1097" s="3">
        <f>IFERROR(__xludf.DUMMYFUNCTION("""COMPUTED_VALUE"""),31.0)</f>
        <v>31</v>
      </c>
      <c r="G1097" s="5">
        <f>IFERROR(__xludf.DUMMYFUNCTION("""COMPUTED_VALUE"""),2.0130318E7)</f>
        <v>20130318</v>
      </c>
    </row>
    <row r="1098">
      <c r="A1098" s="3">
        <f>IFERROR(__xludf.DUMMYFUNCTION("""COMPUTED_VALUE"""),215.0)</f>
        <v>215</v>
      </c>
      <c r="B1098" s="2" t="str">
        <f>IFERROR(__xludf.DUMMYFUNCTION("""COMPUTED_VALUE"""),"CHITTAGONG")</f>
        <v>CHITTAGONG</v>
      </c>
      <c r="C1098" s="4">
        <f>IFERROR(__xludf.DUMMYFUNCTION("""COMPUTED_VALUE"""),20.0)</f>
        <v>20</v>
      </c>
      <c r="D1098" s="2" t="str">
        <f>IFERROR(__xludf.DUMMYFUNCTION("""COMPUTED_VALUE"""),"AB BANK LTD.")</f>
        <v>AB BANK LTD.</v>
      </c>
      <c r="E1098" s="2" t="str">
        <f>IFERROR(__xludf.DUMMYFUNCTION("""COMPUTED_VALUE"""),"AGRABAD")</f>
        <v>AGRABAD</v>
      </c>
      <c r="F1098" s="3">
        <f>IFERROR(__xludf.DUMMYFUNCTION("""COMPUTED_VALUE"""),13.0)</f>
        <v>13</v>
      </c>
      <c r="G1098" s="5">
        <f>IFERROR(__xludf.DUMMYFUNCTION("""COMPUTED_VALUE"""),2.015013E7)</f>
        <v>20150130</v>
      </c>
    </row>
    <row r="1099">
      <c r="A1099" s="3">
        <f>IFERROR(__xludf.DUMMYFUNCTION("""COMPUTED_VALUE"""),215.0)</f>
        <v>215</v>
      </c>
      <c r="B1099" s="2" t="str">
        <f>IFERROR(__xludf.DUMMYFUNCTION("""COMPUTED_VALUE"""),"CHITTAGONG")</f>
        <v>CHITTAGONG</v>
      </c>
      <c r="C1099" s="4">
        <f>IFERROR(__xludf.DUMMYFUNCTION("""COMPUTED_VALUE"""),20.0)</f>
        <v>20</v>
      </c>
      <c r="D1099" s="2" t="str">
        <f>IFERROR(__xludf.DUMMYFUNCTION("""COMPUTED_VALUE"""),"AB BANK LTD.")</f>
        <v>AB BANK LTD.</v>
      </c>
      <c r="E1099" s="2" t="str">
        <f>IFERROR(__xludf.DUMMYFUNCTION("""COMPUTED_VALUE"""),"ANDERKILLA")</f>
        <v>ANDERKILLA</v>
      </c>
      <c r="F1099" s="3">
        <f>IFERROR(__xludf.DUMMYFUNCTION("""COMPUTED_VALUE"""),49.0)</f>
        <v>49</v>
      </c>
      <c r="G1099" s="5">
        <f>IFERROR(__xludf.DUMMYFUNCTION("""COMPUTED_VALUE"""),2.0150493E7)</f>
        <v>20150493</v>
      </c>
    </row>
    <row r="1100">
      <c r="A1100" s="3">
        <f>IFERROR(__xludf.DUMMYFUNCTION("""COMPUTED_VALUE"""),215.0)</f>
        <v>215</v>
      </c>
      <c r="B1100" s="2" t="str">
        <f>IFERROR(__xludf.DUMMYFUNCTION("""COMPUTED_VALUE"""),"CHITTAGONG")</f>
        <v>CHITTAGONG</v>
      </c>
      <c r="C1100" s="4">
        <f>IFERROR(__xludf.DUMMYFUNCTION("""COMPUTED_VALUE"""),20.0)</f>
        <v>20</v>
      </c>
      <c r="D1100" s="2" t="str">
        <f>IFERROR(__xludf.DUMMYFUNCTION("""COMPUTED_VALUE"""),"AB BANK LTD.")</f>
        <v>AB BANK LTD.</v>
      </c>
      <c r="E1100" s="2" t="str">
        <f>IFERROR(__xludf.DUMMYFUNCTION("""COMPUTED_VALUE"""),"BAHADDAR HAT")</f>
        <v>BAHADDAR HAT</v>
      </c>
      <c r="F1100" s="3">
        <f>IFERROR(__xludf.DUMMYFUNCTION("""COMPUTED_VALUE"""),79.0)</f>
        <v>79</v>
      </c>
      <c r="G1100" s="5">
        <f>IFERROR(__xludf.DUMMYFUNCTION("""COMPUTED_VALUE"""),2.0150798E7)</f>
        <v>20150798</v>
      </c>
    </row>
    <row r="1101">
      <c r="A1101" s="3">
        <f>IFERROR(__xludf.DUMMYFUNCTION("""COMPUTED_VALUE"""),215.0)</f>
        <v>215</v>
      </c>
      <c r="B1101" s="2" t="str">
        <f>IFERROR(__xludf.DUMMYFUNCTION("""COMPUTED_VALUE"""),"CHITTAGONG")</f>
        <v>CHITTAGONG</v>
      </c>
      <c r="C1101" s="4">
        <f>IFERROR(__xludf.DUMMYFUNCTION("""COMPUTED_VALUE"""),20.0)</f>
        <v>20</v>
      </c>
      <c r="D1101" s="2" t="str">
        <f>IFERROR(__xludf.DUMMYFUNCTION("""COMPUTED_VALUE"""),"AB BANK LTD.")</f>
        <v>AB BANK LTD.</v>
      </c>
      <c r="E1101" s="2" t="str">
        <f>IFERROR(__xludf.DUMMYFUNCTION("""COMPUTED_VALUE"""),"BANSHKHALI")</f>
        <v>BANSHKHALI</v>
      </c>
      <c r="F1101" s="3">
        <f>IFERROR(__xludf.DUMMYFUNCTION("""COMPUTED_VALUE"""),97.0)</f>
        <v>97</v>
      </c>
      <c r="G1101" s="5">
        <f>IFERROR(__xludf.DUMMYFUNCTION("""COMPUTED_VALUE"""),2.0150972E7)</f>
        <v>20150972</v>
      </c>
    </row>
    <row r="1102">
      <c r="A1102" s="3">
        <f>IFERROR(__xludf.DUMMYFUNCTION("""COMPUTED_VALUE"""),215.0)</f>
        <v>215</v>
      </c>
      <c r="B1102" s="2" t="str">
        <f>IFERROR(__xludf.DUMMYFUNCTION("""COMPUTED_VALUE"""),"CHITTAGONG")</f>
        <v>CHITTAGONG</v>
      </c>
      <c r="C1102" s="4">
        <f>IFERROR(__xludf.DUMMYFUNCTION("""COMPUTED_VALUE"""),20.0)</f>
        <v>20</v>
      </c>
      <c r="D1102" s="2" t="str">
        <f>IFERROR(__xludf.DUMMYFUNCTION("""COMPUTED_VALUE"""),"AB BANK LTD.")</f>
        <v>AB BANK LTD.</v>
      </c>
      <c r="E1102" s="2" t="str">
        <f>IFERROR(__xludf.DUMMYFUNCTION("""COMPUTED_VALUE"""),"BOALKHALI")</f>
        <v>BOALKHALI</v>
      </c>
      <c r="F1102" s="3">
        <f>IFERROR(__xludf.DUMMYFUNCTION("""COMPUTED_VALUE"""),130.0)</f>
        <v>130</v>
      </c>
      <c r="G1102" s="5">
        <f>IFERROR(__xludf.DUMMYFUNCTION("""COMPUTED_VALUE"""),2.01513E7)</f>
        <v>20151300</v>
      </c>
    </row>
    <row r="1103">
      <c r="A1103" s="3">
        <f>IFERROR(__xludf.DUMMYFUNCTION("""COMPUTED_VALUE"""),215.0)</f>
        <v>215</v>
      </c>
      <c r="B1103" s="2" t="str">
        <f>IFERROR(__xludf.DUMMYFUNCTION("""COMPUTED_VALUE"""),"CHITTAGONG")</f>
        <v>CHITTAGONG</v>
      </c>
      <c r="C1103" s="4">
        <f>IFERROR(__xludf.DUMMYFUNCTION("""COMPUTED_VALUE"""),20.0)</f>
        <v>20</v>
      </c>
      <c r="D1103" s="2" t="str">
        <f>IFERROR(__xludf.DUMMYFUNCTION("""COMPUTED_VALUE"""),"AB BANK LTD.")</f>
        <v>AB BANK LTD.</v>
      </c>
      <c r="E1103" s="2" t="str">
        <f>IFERROR(__xludf.DUMMYFUNCTION("""COMPUTED_VALUE"""),"C.D.A. AVENUE")</f>
        <v>C.D.A. AVENUE</v>
      </c>
      <c r="F1103" s="3">
        <f>IFERROR(__xludf.DUMMYFUNCTION("""COMPUTED_VALUE"""),148.0)</f>
        <v>148</v>
      </c>
      <c r="G1103" s="5">
        <f>IFERROR(__xludf.DUMMYFUNCTION("""COMPUTED_VALUE"""),2.0151489E7)</f>
        <v>20151489</v>
      </c>
    </row>
    <row r="1104">
      <c r="A1104" s="3">
        <f>IFERROR(__xludf.DUMMYFUNCTION("""COMPUTED_VALUE"""),215.0)</f>
        <v>215</v>
      </c>
      <c r="B1104" s="2" t="str">
        <f>IFERROR(__xludf.DUMMYFUNCTION("""COMPUTED_VALUE"""),"CHITTAGONG")</f>
        <v>CHITTAGONG</v>
      </c>
      <c r="C1104" s="4">
        <f>IFERROR(__xludf.DUMMYFUNCTION("""COMPUTED_VALUE"""),20.0)</f>
        <v>20</v>
      </c>
      <c r="D1104" s="2" t="str">
        <f>IFERROR(__xludf.DUMMYFUNCTION("""COMPUTED_VALUE"""),"AB BANK LTD.")</f>
        <v>AB BANK LTD.</v>
      </c>
      <c r="E1104" s="2" t="str">
        <f>IFERROR(__xludf.DUMMYFUNCTION("""COMPUTED_VALUE"""),"C.E.P.Z.")</f>
        <v>C.E.P.Z.</v>
      </c>
      <c r="F1104" s="3">
        <f>IFERROR(__xludf.DUMMYFUNCTION("""COMPUTED_VALUE"""),157.0)</f>
        <v>157</v>
      </c>
      <c r="G1104" s="5">
        <f>IFERROR(__xludf.DUMMYFUNCTION("""COMPUTED_VALUE"""),2.0151571E7)</f>
        <v>20151571</v>
      </c>
    </row>
    <row r="1105">
      <c r="A1105" s="3">
        <f>IFERROR(__xludf.DUMMYFUNCTION("""COMPUTED_VALUE"""),215.0)</f>
        <v>215</v>
      </c>
      <c r="B1105" s="2" t="str">
        <f>IFERROR(__xludf.DUMMYFUNCTION("""COMPUTED_VALUE"""),"CHITTAGONG")</f>
        <v>CHITTAGONG</v>
      </c>
      <c r="C1105" s="4">
        <f>IFERROR(__xludf.DUMMYFUNCTION("""COMPUTED_VALUE"""),20.0)</f>
        <v>20</v>
      </c>
      <c r="D1105" s="2" t="str">
        <f>IFERROR(__xludf.DUMMYFUNCTION("""COMPUTED_VALUE"""),"AB BANK LTD.")</f>
        <v>AB BANK LTD.</v>
      </c>
      <c r="E1105" s="2" t="str">
        <f>IFERROR(__xludf.DUMMYFUNCTION("""COMPUTED_VALUE"""),"CHATARI")</f>
        <v>CHATARI</v>
      </c>
      <c r="F1105" s="3">
        <f>IFERROR(__xludf.DUMMYFUNCTION("""COMPUTED_VALUE"""),187.0)</f>
        <v>187</v>
      </c>
      <c r="G1105" s="5">
        <f>IFERROR(__xludf.DUMMYFUNCTION("""COMPUTED_VALUE"""),2.0151876E7)</f>
        <v>20151876</v>
      </c>
    </row>
    <row r="1106">
      <c r="A1106" s="3">
        <f>IFERROR(__xludf.DUMMYFUNCTION("""COMPUTED_VALUE"""),215.0)</f>
        <v>215</v>
      </c>
      <c r="B1106" s="2" t="str">
        <f>IFERROR(__xludf.DUMMYFUNCTION("""COMPUTED_VALUE"""),"CHITTAGONG")</f>
        <v>CHITTAGONG</v>
      </c>
      <c r="C1106" s="4">
        <f>IFERROR(__xludf.DUMMYFUNCTION("""COMPUTED_VALUE"""),20.0)</f>
        <v>20</v>
      </c>
      <c r="D1106" s="2" t="str">
        <f>IFERROR(__xludf.DUMMYFUNCTION("""COMPUTED_VALUE"""),"AB BANK LTD.")</f>
        <v>AB BANK LTD.</v>
      </c>
      <c r="E1106" s="2" t="str">
        <f>IFERROR(__xludf.DUMMYFUNCTION("""COMPUTED_VALUE"""),"CHAWK BAZAR")</f>
        <v>CHAWK BAZAR</v>
      </c>
      <c r="F1106" s="3">
        <f>IFERROR(__xludf.DUMMYFUNCTION("""COMPUTED_VALUE"""),193.0)</f>
        <v>193</v>
      </c>
      <c r="G1106" s="5">
        <f>IFERROR(__xludf.DUMMYFUNCTION("""COMPUTED_VALUE"""),2.0151939E7)</f>
        <v>20151939</v>
      </c>
    </row>
    <row r="1107">
      <c r="A1107" s="3">
        <f>IFERROR(__xludf.DUMMYFUNCTION("""COMPUTED_VALUE"""),215.0)</f>
        <v>215</v>
      </c>
      <c r="B1107" s="2" t="str">
        <f>IFERROR(__xludf.DUMMYFUNCTION("""COMPUTED_VALUE"""),"CHITTAGONG")</f>
        <v>CHITTAGONG</v>
      </c>
      <c r="C1107" s="4">
        <f>IFERROR(__xludf.DUMMYFUNCTION("""COMPUTED_VALUE"""),20.0)</f>
        <v>20</v>
      </c>
      <c r="D1107" s="2" t="str">
        <f>IFERROR(__xludf.DUMMYFUNCTION("""COMPUTED_VALUE"""),"AB BANK LTD.")</f>
        <v>AB BANK LTD.</v>
      </c>
      <c r="E1107" s="2" t="str">
        <f>IFERROR(__xludf.DUMMYFUNCTION("""COMPUTED_VALUE"""),"DEWAN HAT")</f>
        <v>DEWAN HAT</v>
      </c>
      <c r="F1107" s="3">
        <f>IFERROR(__xludf.DUMMYFUNCTION("""COMPUTED_VALUE"""),244.0)</f>
        <v>244</v>
      </c>
      <c r="G1107" s="5">
        <f>IFERROR(__xludf.DUMMYFUNCTION("""COMPUTED_VALUE"""),2.0152446E7)</f>
        <v>20152446</v>
      </c>
    </row>
    <row r="1108">
      <c r="A1108" s="3">
        <f>IFERROR(__xludf.DUMMYFUNCTION("""COMPUTED_VALUE"""),215.0)</f>
        <v>215</v>
      </c>
      <c r="B1108" s="2" t="str">
        <f>IFERROR(__xludf.DUMMYFUNCTION("""COMPUTED_VALUE"""),"CHITTAGONG")</f>
        <v>CHITTAGONG</v>
      </c>
      <c r="C1108" s="4">
        <f>IFERROR(__xludf.DUMMYFUNCTION("""COMPUTED_VALUE"""),20.0)</f>
        <v>20</v>
      </c>
      <c r="D1108" s="2" t="str">
        <f>IFERROR(__xludf.DUMMYFUNCTION("""COMPUTED_VALUE"""),"AB BANK LTD.")</f>
        <v>AB BANK LTD.</v>
      </c>
      <c r="E1108" s="2" t="str">
        <f>IFERROR(__xludf.DUMMYFUNCTION("""COMPUTED_VALUE"""),"HATHAZARI")</f>
        <v>HATHAZARI</v>
      </c>
      <c r="F1108" s="3">
        <f>IFERROR(__xludf.DUMMYFUNCTION("""COMPUTED_VALUE"""),322.0)</f>
        <v>322</v>
      </c>
      <c r="G1108" s="5">
        <f>IFERROR(__xludf.DUMMYFUNCTION("""COMPUTED_VALUE"""),2.0153229E7)</f>
        <v>20153229</v>
      </c>
    </row>
    <row r="1109">
      <c r="A1109" s="3">
        <f>IFERROR(__xludf.DUMMYFUNCTION("""COMPUTED_VALUE"""),215.0)</f>
        <v>215</v>
      </c>
      <c r="B1109" s="2" t="str">
        <f>IFERROR(__xludf.DUMMYFUNCTION("""COMPUTED_VALUE"""),"CHITTAGONG")</f>
        <v>CHITTAGONG</v>
      </c>
      <c r="C1109" s="4">
        <f>IFERROR(__xludf.DUMMYFUNCTION("""COMPUTED_VALUE"""),20.0)</f>
        <v>20</v>
      </c>
      <c r="D1109" s="2" t="str">
        <f>IFERROR(__xludf.DUMMYFUNCTION("""COMPUTED_VALUE"""),"AB BANK LTD.")</f>
        <v>AB BANK LTD.</v>
      </c>
      <c r="E1109" s="2" t="str">
        <f>IFERROR(__xludf.DUMMYFUNCTION("""COMPUTED_VALUE"""),"JUBILEE ROAD")</f>
        <v>JUBILEE ROAD</v>
      </c>
      <c r="F1109" s="3">
        <f>IFERROR(__xludf.DUMMYFUNCTION("""COMPUTED_VALUE"""),364.0)</f>
        <v>364</v>
      </c>
      <c r="G1109" s="5">
        <f>IFERROR(__xludf.DUMMYFUNCTION("""COMPUTED_VALUE"""),2.0153645E7)</f>
        <v>20153645</v>
      </c>
    </row>
    <row r="1110">
      <c r="A1110" s="3">
        <f>IFERROR(__xludf.DUMMYFUNCTION("""COMPUTED_VALUE"""),215.0)</f>
        <v>215</v>
      </c>
      <c r="B1110" s="2" t="str">
        <f>IFERROR(__xludf.DUMMYFUNCTION("""COMPUTED_VALUE"""),"CHITTAGONG")</f>
        <v>CHITTAGONG</v>
      </c>
      <c r="C1110" s="4">
        <f>IFERROR(__xludf.DUMMYFUNCTION("""COMPUTED_VALUE"""),20.0)</f>
        <v>20</v>
      </c>
      <c r="D1110" s="2" t="str">
        <f>IFERROR(__xludf.DUMMYFUNCTION("""COMPUTED_VALUE"""),"AB BANK LTD.")</f>
        <v>AB BANK LTD.</v>
      </c>
      <c r="E1110" s="2" t="str">
        <f>IFERROR(__xludf.DUMMYFUNCTION("""COMPUTED_VALUE"""),"KHATUNGANJ")</f>
        <v>KHATUNGANJ</v>
      </c>
      <c r="F1110" s="3">
        <f>IFERROR(__xludf.DUMMYFUNCTION("""COMPUTED_VALUE"""),427.0)</f>
        <v>427</v>
      </c>
      <c r="G1110" s="5">
        <f>IFERROR(__xludf.DUMMYFUNCTION("""COMPUTED_VALUE"""),2.0154273E7)</f>
        <v>20154273</v>
      </c>
    </row>
    <row r="1111">
      <c r="A1111" s="3">
        <f>IFERROR(__xludf.DUMMYFUNCTION("""COMPUTED_VALUE"""),215.0)</f>
        <v>215</v>
      </c>
      <c r="B1111" s="2" t="str">
        <f>IFERROR(__xludf.DUMMYFUNCTION("""COMPUTED_VALUE"""),"CHITTAGONG")</f>
        <v>CHITTAGONG</v>
      </c>
      <c r="C1111" s="4">
        <f>IFERROR(__xludf.DUMMYFUNCTION("""COMPUTED_VALUE"""),20.0)</f>
        <v>20</v>
      </c>
      <c r="D1111" s="2" t="str">
        <f>IFERROR(__xludf.DUMMYFUNCTION("""COMPUTED_VALUE"""),"AB BANK LTD.")</f>
        <v>AB BANK LTD.</v>
      </c>
      <c r="E1111" s="2" t="str">
        <f>IFERROR(__xludf.DUMMYFUNCTION("""COMPUTED_VALUE"""),"KHULSHI")</f>
        <v>KHULSHI</v>
      </c>
      <c r="F1111" s="3">
        <f>IFERROR(__xludf.DUMMYFUNCTION("""COMPUTED_VALUE"""),436.0)</f>
        <v>436</v>
      </c>
      <c r="G1111" s="5">
        <f>IFERROR(__xludf.DUMMYFUNCTION("""COMPUTED_VALUE"""),2.0154365E7)</f>
        <v>20154365</v>
      </c>
    </row>
    <row r="1112">
      <c r="A1112" s="3">
        <f>IFERROR(__xludf.DUMMYFUNCTION("""COMPUTED_VALUE"""),215.0)</f>
        <v>215</v>
      </c>
      <c r="B1112" s="2" t="str">
        <f>IFERROR(__xludf.DUMMYFUNCTION("""COMPUTED_VALUE"""),"CHITTAGONG")</f>
        <v>CHITTAGONG</v>
      </c>
      <c r="C1112" s="4">
        <f>IFERROR(__xludf.DUMMYFUNCTION("""COMPUTED_VALUE"""),20.0)</f>
        <v>20</v>
      </c>
      <c r="D1112" s="2" t="str">
        <f>IFERROR(__xludf.DUMMYFUNCTION("""COMPUTED_VALUE"""),"AB BANK LTD.")</f>
        <v>AB BANK LTD.</v>
      </c>
      <c r="E1112" s="2" t="str">
        <f>IFERROR(__xludf.DUMMYFUNCTION("""COMPUTED_VALUE"""),"LOHA GARA")</f>
        <v>LOHA GARA</v>
      </c>
      <c r="F1112" s="3">
        <f>IFERROR(__xludf.DUMMYFUNCTION("""COMPUTED_VALUE"""),466.0)</f>
        <v>466</v>
      </c>
      <c r="G1112" s="5">
        <f>IFERROR(__xludf.DUMMYFUNCTION("""COMPUTED_VALUE"""),2.015466E7)</f>
        <v>20154660</v>
      </c>
    </row>
    <row r="1113">
      <c r="A1113" s="3">
        <f>IFERROR(__xludf.DUMMYFUNCTION("""COMPUTED_VALUE"""),215.0)</f>
        <v>215</v>
      </c>
      <c r="B1113" s="2" t="str">
        <f>IFERROR(__xludf.DUMMYFUNCTION("""COMPUTED_VALUE"""),"CHITTAGONG")</f>
        <v>CHITTAGONG</v>
      </c>
      <c r="C1113" s="4">
        <f>IFERROR(__xludf.DUMMYFUNCTION("""COMPUTED_VALUE"""),20.0)</f>
        <v>20</v>
      </c>
      <c r="D1113" s="2" t="str">
        <f>IFERROR(__xludf.DUMMYFUNCTION("""COMPUTED_VALUE"""),"AB BANK LTD.")</f>
        <v>AB BANK LTD.</v>
      </c>
      <c r="E1113" s="2" t="str">
        <f>IFERROR(__xludf.DUMMYFUNCTION("""COMPUTED_VALUE"""),"MOMIN ROAD")</f>
        <v>MOMIN ROAD</v>
      </c>
      <c r="F1113" s="3">
        <f>IFERROR(__xludf.DUMMYFUNCTION("""COMPUTED_VALUE"""),526.0)</f>
        <v>526</v>
      </c>
      <c r="G1113" s="5">
        <f>IFERROR(__xludf.DUMMYFUNCTION("""COMPUTED_VALUE"""),2.0155269E7)</f>
        <v>20155269</v>
      </c>
    </row>
    <row r="1114">
      <c r="A1114" s="3">
        <f>IFERROR(__xludf.DUMMYFUNCTION("""COMPUTED_VALUE"""),215.0)</f>
        <v>215</v>
      </c>
      <c r="B1114" s="2" t="str">
        <f>IFERROR(__xludf.DUMMYFUNCTION("""COMPUTED_VALUE"""),"CHITTAGONG")</f>
        <v>CHITTAGONG</v>
      </c>
      <c r="C1114" s="4">
        <f>IFERROR(__xludf.DUMMYFUNCTION("""COMPUTED_VALUE"""),20.0)</f>
        <v>20</v>
      </c>
      <c r="D1114" s="2" t="str">
        <f>IFERROR(__xludf.DUMMYFUNCTION("""COMPUTED_VALUE"""),"AB BANK LTD.")</f>
        <v>AB BANK LTD.</v>
      </c>
      <c r="E1114" s="2" t="str">
        <f>IFERROR(__xludf.DUMMYFUNCTION("""COMPUTED_VALUE"""),"NAZU MEA HAT")</f>
        <v>NAZU MEA HAT</v>
      </c>
      <c r="F1114" s="3">
        <f>IFERROR(__xludf.DUMMYFUNCTION("""COMPUTED_VALUE"""),562.0)</f>
        <v>562</v>
      </c>
      <c r="G1114" s="5">
        <f>IFERROR(__xludf.DUMMYFUNCTION("""COMPUTED_VALUE"""),2.0155627E7)</f>
        <v>20155627</v>
      </c>
    </row>
    <row r="1115">
      <c r="A1115" s="3">
        <f>IFERROR(__xludf.DUMMYFUNCTION("""COMPUTED_VALUE"""),215.0)</f>
        <v>215</v>
      </c>
      <c r="B1115" s="2" t="str">
        <f>IFERROR(__xludf.DUMMYFUNCTION("""COMPUTED_VALUE"""),"CHITTAGONG")</f>
        <v>CHITTAGONG</v>
      </c>
      <c r="C1115" s="4">
        <f>IFERROR(__xludf.DUMMYFUNCTION("""COMPUTED_VALUE"""),20.0)</f>
        <v>20</v>
      </c>
      <c r="D1115" s="2" t="str">
        <f>IFERROR(__xludf.DUMMYFUNCTION("""COMPUTED_VALUE"""),"AB BANK LTD.")</f>
        <v>AB BANK LTD.</v>
      </c>
      <c r="E1115" s="2" t="str">
        <f>IFERROR(__xludf.DUMMYFUNCTION("""COMPUTED_VALUE"""),"PAHARTALI")</f>
        <v>PAHARTALI</v>
      </c>
      <c r="F1115" s="3">
        <f>IFERROR(__xludf.DUMMYFUNCTION("""COMPUTED_VALUE"""),592.0)</f>
        <v>592</v>
      </c>
      <c r="G1115" s="5">
        <f>IFERROR(__xludf.DUMMYFUNCTION("""COMPUTED_VALUE"""),2.0155922E7)</f>
        <v>20155922</v>
      </c>
    </row>
    <row r="1116">
      <c r="A1116" s="3">
        <f>IFERROR(__xludf.DUMMYFUNCTION("""COMPUTED_VALUE"""),215.0)</f>
        <v>215</v>
      </c>
      <c r="B1116" s="2" t="str">
        <f>IFERROR(__xludf.DUMMYFUNCTION("""COMPUTED_VALUE"""),"CHITTAGONG")</f>
        <v>CHITTAGONG</v>
      </c>
      <c r="C1116" s="4">
        <f>IFERROR(__xludf.DUMMYFUNCTION("""COMPUTED_VALUE"""),20.0)</f>
        <v>20</v>
      </c>
      <c r="D1116" s="2" t="str">
        <f>IFERROR(__xludf.DUMMYFUNCTION("""COMPUTED_VALUE"""),"AB BANK LTD.")</f>
        <v>AB BANK LTD.</v>
      </c>
      <c r="E1116" s="2" t="str">
        <f>IFERROR(__xludf.DUMMYFUNCTION("""COMPUTED_VALUE"""),"PATHERHAT")</f>
        <v>PATHERHAT</v>
      </c>
      <c r="F1116" s="3">
        <f>IFERROR(__xludf.DUMMYFUNCTION("""COMPUTED_VALUE"""),613.0)</f>
        <v>613</v>
      </c>
      <c r="G1116" s="5">
        <f>IFERROR(__xludf.DUMMYFUNCTION("""COMPUTED_VALUE"""),2.0156134E7)</f>
        <v>20156134</v>
      </c>
    </row>
    <row r="1117">
      <c r="A1117" s="3">
        <f>IFERROR(__xludf.DUMMYFUNCTION("""COMPUTED_VALUE"""),215.0)</f>
        <v>215</v>
      </c>
      <c r="B1117" s="2" t="str">
        <f>IFERROR(__xludf.DUMMYFUNCTION("""COMPUTED_VALUE"""),"CHITTAGONG")</f>
        <v>CHITTAGONG</v>
      </c>
      <c r="C1117" s="4">
        <f>IFERROR(__xludf.DUMMYFUNCTION("""COMPUTED_VALUE"""),20.0)</f>
        <v>20</v>
      </c>
      <c r="D1117" s="2" t="str">
        <f>IFERROR(__xludf.DUMMYFUNCTION("""COMPUTED_VALUE"""),"AB BANK LTD.")</f>
        <v>AB BANK LTD.</v>
      </c>
      <c r="E1117" s="2" t="str">
        <f>IFERROR(__xludf.DUMMYFUNCTION("""COMPUTED_VALUE"""),"PORT CONNECTING ROAD")</f>
        <v>PORT CONNECTING ROAD</v>
      </c>
      <c r="F1117" s="3">
        <f>IFERROR(__xludf.DUMMYFUNCTION("""COMPUTED_VALUE"""),625.0)</f>
        <v>625</v>
      </c>
      <c r="G1117" s="5">
        <f>IFERROR(__xludf.DUMMYFUNCTION("""COMPUTED_VALUE"""),2.0156255E7)</f>
        <v>20156255</v>
      </c>
    </row>
    <row r="1118">
      <c r="A1118" s="3">
        <f>IFERROR(__xludf.DUMMYFUNCTION("""COMPUTED_VALUE"""),215.0)</f>
        <v>215</v>
      </c>
      <c r="B1118" s="2" t="str">
        <f>IFERROR(__xludf.DUMMYFUNCTION("""COMPUTED_VALUE"""),"CHITTAGONG")</f>
        <v>CHITTAGONG</v>
      </c>
      <c r="C1118" s="4">
        <f>IFERROR(__xludf.DUMMYFUNCTION("""COMPUTED_VALUE"""),20.0)</f>
        <v>20</v>
      </c>
      <c r="D1118" s="2" t="str">
        <f>IFERROR(__xludf.DUMMYFUNCTION("""COMPUTED_VALUE"""),"AB BANK LTD.")</f>
        <v>AB BANK LTD.</v>
      </c>
      <c r="E1118" s="2" t="str">
        <f>IFERROR(__xludf.DUMMYFUNCTION("""COMPUTED_VALUE"""),"SANDWIP")</f>
        <v>SANDWIP</v>
      </c>
      <c r="F1118" s="3">
        <f>IFERROR(__xludf.DUMMYFUNCTION("""COMPUTED_VALUE"""),691.0)</f>
        <v>691</v>
      </c>
      <c r="G1118" s="5">
        <f>IFERROR(__xludf.DUMMYFUNCTION("""COMPUTED_VALUE"""),2.0156918E7)</f>
        <v>20156918</v>
      </c>
    </row>
    <row r="1119">
      <c r="A1119" s="3">
        <f>IFERROR(__xludf.DUMMYFUNCTION("""COMPUTED_VALUE"""),215.0)</f>
        <v>215</v>
      </c>
      <c r="B1119" s="2" t="str">
        <f>IFERROR(__xludf.DUMMYFUNCTION("""COMPUTED_VALUE"""),"CHITTAGONG")</f>
        <v>CHITTAGONG</v>
      </c>
      <c r="C1119" s="4">
        <f>IFERROR(__xludf.DUMMYFUNCTION("""COMPUTED_VALUE"""),20.0)</f>
        <v>20</v>
      </c>
      <c r="D1119" s="2" t="str">
        <f>IFERROR(__xludf.DUMMYFUNCTION("""COMPUTED_VALUE"""),"AB BANK LTD.")</f>
        <v>AB BANK LTD.</v>
      </c>
      <c r="E1119" s="2" t="str">
        <f>IFERROR(__xludf.DUMMYFUNCTION("""COMPUTED_VALUE"""),"SITAKUNDA")</f>
        <v>SITAKUNDA</v>
      </c>
      <c r="F1119" s="3">
        <f>IFERROR(__xludf.DUMMYFUNCTION("""COMPUTED_VALUE"""),739.0)</f>
        <v>739</v>
      </c>
      <c r="G1119" s="5">
        <f>IFERROR(__xludf.DUMMYFUNCTION("""COMPUTED_VALUE"""),2.0157391E7)</f>
        <v>20157391</v>
      </c>
    </row>
    <row r="1120">
      <c r="A1120" s="3">
        <f>IFERROR(__xludf.DUMMYFUNCTION("""COMPUTED_VALUE"""),215.0)</f>
        <v>215</v>
      </c>
      <c r="B1120" s="2" t="str">
        <f>IFERROR(__xludf.DUMMYFUNCTION("""COMPUTED_VALUE"""),"CHITTAGONG")</f>
        <v>CHITTAGONG</v>
      </c>
      <c r="C1120" s="4">
        <f>IFERROR(__xludf.DUMMYFUNCTION("""COMPUTED_VALUE"""),20.0)</f>
        <v>20</v>
      </c>
      <c r="D1120" s="2" t="str">
        <f>IFERROR(__xludf.DUMMYFUNCTION("""COMPUTED_VALUE"""),"AB BANK LTD.")</f>
        <v>AB BANK LTD.</v>
      </c>
      <c r="E1120" s="2" t="str">
        <f>IFERROR(__xludf.DUMMYFUNCTION("""COMPUTED_VALUE"""),"STATION ROAD")</f>
        <v>STATION ROAD</v>
      </c>
      <c r="F1120" s="3">
        <f>IFERROR(__xludf.DUMMYFUNCTION("""COMPUTED_VALUE"""),751.0)</f>
        <v>751</v>
      </c>
      <c r="G1120" s="5">
        <f>IFERROR(__xludf.DUMMYFUNCTION("""COMPUTED_VALUE"""),2.0157517E7)</f>
        <v>20157517</v>
      </c>
    </row>
    <row r="1121">
      <c r="A1121" s="3">
        <f>IFERROR(__xludf.DUMMYFUNCTION("""COMPUTED_VALUE"""),119.0)</f>
        <v>119</v>
      </c>
      <c r="B1121" s="2" t="str">
        <f>IFERROR(__xludf.DUMMYFUNCTION("""COMPUTED_VALUE"""),"COMILLA")</f>
        <v>COMILLA</v>
      </c>
      <c r="C1121" s="4">
        <f>IFERROR(__xludf.DUMMYFUNCTION("""COMPUTED_VALUE"""),20.0)</f>
        <v>20</v>
      </c>
      <c r="D1121" s="2" t="str">
        <f>IFERROR(__xludf.DUMMYFUNCTION("""COMPUTED_VALUE"""),"AB BANK LTD.")</f>
        <v>AB BANK LTD.</v>
      </c>
      <c r="E1121" s="2" t="str">
        <f>IFERROR(__xludf.DUMMYFUNCTION("""COMPUTED_VALUE"""),"COMILLA")</f>
        <v>COMILLA</v>
      </c>
      <c r="F1121" s="3">
        <f>IFERROR(__xludf.DUMMYFUNCTION("""COMPUTED_VALUE"""),115.0)</f>
        <v>115</v>
      </c>
      <c r="G1121" s="5">
        <f>IFERROR(__xludf.DUMMYFUNCTION("""COMPUTED_VALUE"""),2.0191157E7)</f>
        <v>20191157</v>
      </c>
    </row>
    <row r="1122">
      <c r="A1122" s="3">
        <f>IFERROR(__xludf.DUMMYFUNCTION("""COMPUTED_VALUE"""),222.0)</f>
        <v>222</v>
      </c>
      <c r="B1122" s="2" t="str">
        <f>IFERROR(__xludf.DUMMYFUNCTION("""COMPUTED_VALUE"""),"COXS BAZAR")</f>
        <v>COXS BAZAR</v>
      </c>
      <c r="C1122" s="4">
        <f>IFERROR(__xludf.DUMMYFUNCTION("""COMPUTED_VALUE"""),20.0)</f>
        <v>20</v>
      </c>
      <c r="D1122" s="2" t="str">
        <f>IFERROR(__xludf.DUMMYFUNCTION("""COMPUTED_VALUE"""),"AB BANK LTD.")</f>
        <v>AB BANK LTD.</v>
      </c>
      <c r="E1122" s="2" t="str">
        <f>IFERROR(__xludf.DUMMYFUNCTION("""COMPUTED_VALUE"""),"CHAKARIA")</f>
        <v>CHAKARIA</v>
      </c>
      <c r="F1122" s="3">
        <f>IFERROR(__xludf.DUMMYFUNCTION("""COMPUTED_VALUE"""),16.0)</f>
        <v>16</v>
      </c>
      <c r="G1122" s="5">
        <f>IFERROR(__xludf.DUMMYFUNCTION("""COMPUTED_VALUE"""),2.0220165E7)</f>
        <v>20220165</v>
      </c>
    </row>
    <row r="1123">
      <c r="A1123" s="3">
        <f>IFERROR(__xludf.DUMMYFUNCTION("""COMPUTED_VALUE"""),222.0)</f>
        <v>222</v>
      </c>
      <c r="B1123" s="2" t="str">
        <f>IFERROR(__xludf.DUMMYFUNCTION("""COMPUTED_VALUE"""),"COXS BAZAR")</f>
        <v>COXS BAZAR</v>
      </c>
      <c r="C1123" s="4">
        <f>IFERROR(__xludf.DUMMYFUNCTION("""COMPUTED_VALUE"""),20.0)</f>
        <v>20</v>
      </c>
      <c r="D1123" s="2" t="str">
        <f>IFERROR(__xludf.DUMMYFUNCTION("""COMPUTED_VALUE"""),"AB BANK LTD.")</f>
        <v>AB BANK LTD.</v>
      </c>
      <c r="E1123" s="2" t="str">
        <f>IFERROR(__xludf.DUMMYFUNCTION("""COMPUTED_VALUE"""),"COXS BAZAR")</f>
        <v>COXS BAZAR</v>
      </c>
      <c r="F1123" s="3">
        <f>IFERROR(__xludf.DUMMYFUNCTION("""COMPUTED_VALUE"""),25.0)</f>
        <v>25</v>
      </c>
      <c r="G1123" s="5">
        <f>IFERROR(__xludf.DUMMYFUNCTION("""COMPUTED_VALUE"""),2.0220257E7)</f>
        <v>20220257</v>
      </c>
    </row>
    <row r="1124">
      <c r="A1124" s="3">
        <f>IFERROR(__xludf.DUMMYFUNCTION("""COMPUTED_VALUE"""),222.0)</f>
        <v>222</v>
      </c>
      <c r="B1124" s="2" t="str">
        <f>IFERROR(__xludf.DUMMYFUNCTION("""COMPUTED_VALUE"""),"COXS BAZAR")</f>
        <v>COXS BAZAR</v>
      </c>
      <c r="C1124" s="4">
        <f>IFERROR(__xludf.DUMMYFUNCTION("""COMPUTED_VALUE"""),20.0)</f>
        <v>20</v>
      </c>
      <c r="D1124" s="2" t="str">
        <f>IFERROR(__xludf.DUMMYFUNCTION("""COMPUTED_VALUE"""),"AB BANK LTD.")</f>
        <v>AB BANK LTD.</v>
      </c>
      <c r="E1124" s="2" t="str">
        <f>IFERROR(__xludf.DUMMYFUNCTION("""COMPUTED_VALUE"""),"TEKNAF")</f>
        <v>TEKNAF</v>
      </c>
      <c r="F1124" s="3">
        <f>IFERROR(__xludf.DUMMYFUNCTION("""COMPUTED_VALUE"""),91.0)</f>
        <v>91</v>
      </c>
      <c r="G1124" s="5">
        <f>IFERROR(__xludf.DUMMYFUNCTION("""COMPUTED_VALUE"""),2.022091E7)</f>
        <v>20220910</v>
      </c>
    </row>
    <row r="1125">
      <c r="A1125" s="3">
        <f>IFERROR(__xludf.DUMMYFUNCTION("""COMPUTED_VALUE"""),126.0)</f>
        <v>126</v>
      </c>
      <c r="B1125" s="2" t="str">
        <f>IFERROR(__xludf.DUMMYFUNCTION("""COMPUTED_VALUE"""),"DHAKA-NORTH")</f>
        <v>DHAKA-NORTH</v>
      </c>
      <c r="C1125" s="4">
        <f>IFERROR(__xludf.DUMMYFUNCTION("""COMPUTED_VALUE"""),20.0)</f>
        <v>20</v>
      </c>
      <c r="D1125" s="2" t="str">
        <f>IFERROR(__xludf.DUMMYFUNCTION("""COMPUTED_VALUE"""),"AB BANK LTD.")</f>
        <v>AB BANK LTD.</v>
      </c>
      <c r="E1125" s="2" t="str">
        <f>IFERROR(__xludf.DUMMYFUNCTION("""COMPUTED_VALUE"""),"BANANI")</f>
        <v>BANANI</v>
      </c>
      <c r="F1125" s="3">
        <f>IFERROR(__xludf.DUMMYFUNCTION("""COMPUTED_VALUE"""),43.0)</f>
        <v>43</v>
      </c>
      <c r="G1125" s="5">
        <f>IFERROR(__xludf.DUMMYFUNCTION("""COMPUTED_VALUE"""),2.0260433E7)</f>
        <v>20260433</v>
      </c>
    </row>
    <row r="1126">
      <c r="A1126" s="3">
        <f>IFERROR(__xludf.DUMMYFUNCTION("""COMPUTED_VALUE"""),126.0)</f>
        <v>126</v>
      </c>
      <c r="B1126" s="2" t="str">
        <f>IFERROR(__xludf.DUMMYFUNCTION("""COMPUTED_VALUE"""),"DHAKA-NORTH")</f>
        <v>DHAKA-NORTH</v>
      </c>
      <c r="C1126" s="4">
        <f>IFERROR(__xludf.DUMMYFUNCTION("""COMPUTED_VALUE"""),20.0)</f>
        <v>20</v>
      </c>
      <c r="D1126" s="2" t="str">
        <f>IFERROR(__xludf.DUMMYFUNCTION("""COMPUTED_VALUE"""),"AB BANK LTD.")</f>
        <v>AB BANK LTD.</v>
      </c>
      <c r="E1126" s="2" t="str">
        <f>IFERROR(__xludf.DUMMYFUNCTION("""COMPUTED_VALUE"""),"BASHUNDHARA")</f>
        <v>BASHUNDHARA</v>
      </c>
      <c r="F1126" s="3">
        <f>IFERROR(__xludf.DUMMYFUNCTION("""COMPUTED_VALUE"""),55.0)</f>
        <v>55</v>
      </c>
      <c r="G1126" s="5">
        <f>IFERROR(__xludf.DUMMYFUNCTION("""COMPUTED_VALUE"""),2.0260554E7)</f>
        <v>20260554</v>
      </c>
    </row>
    <row r="1127">
      <c r="A1127" s="3">
        <f>IFERROR(__xludf.DUMMYFUNCTION("""COMPUTED_VALUE"""),126.0)</f>
        <v>126</v>
      </c>
      <c r="B1127" s="2" t="str">
        <f>IFERROR(__xludf.DUMMYFUNCTION("""COMPUTED_VALUE"""),"DHAKA-NORTH")</f>
        <v>DHAKA-NORTH</v>
      </c>
      <c r="C1127" s="4">
        <f>IFERROR(__xludf.DUMMYFUNCTION("""COMPUTED_VALUE"""),20.0)</f>
        <v>20</v>
      </c>
      <c r="D1127" s="2" t="str">
        <f>IFERROR(__xludf.DUMMYFUNCTION("""COMPUTED_VALUE"""),"AB BANK LTD.")</f>
        <v>AB BANK LTD.</v>
      </c>
      <c r="E1127" s="2" t="str">
        <f>IFERROR(__xludf.DUMMYFUNCTION("""COMPUTED_VALUE"""),"DHANMONDI")</f>
        <v>DHANMONDI</v>
      </c>
      <c r="F1127" s="3">
        <f>IFERROR(__xludf.DUMMYFUNCTION("""COMPUTED_VALUE"""),118.0)</f>
        <v>118</v>
      </c>
      <c r="G1127" s="5">
        <f>IFERROR(__xludf.DUMMYFUNCTION("""COMPUTED_VALUE"""),2.0261182E7)</f>
        <v>20261182</v>
      </c>
    </row>
    <row r="1128">
      <c r="A1128" s="3">
        <f>IFERROR(__xludf.DUMMYFUNCTION("""COMPUTED_VALUE"""),126.0)</f>
        <v>126</v>
      </c>
      <c r="B1128" s="2" t="str">
        <f>IFERROR(__xludf.DUMMYFUNCTION("""COMPUTED_VALUE"""),"DHAKA-NORTH")</f>
        <v>DHAKA-NORTH</v>
      </c>
      <c r="C1128" s="4">
        <f>IFERROR(__xludf.DUMMYFUNCTION("""COMPUTED_VALUE"""),20.0)</f>
        <v>20</v>
      </c>
      <c r="D1128" s="2" t="str">
        <f>IFERROR(__xludf.DUMMYFUNCTION("""COMPUTED_VALUE"""),"AB BANK LTD.")</f>
        <v>AB BANK LTD.</v>
      </c>
      <c r="E1128" s="2" t="str">
        <f>IFERROR(__xludf.DUMMYFUNCTION("""COMPUTED_VALUE"""),"GARIB-E-NEWAZ AVENUE")</f>
        <v>GARIB-E-NEWAZ AVENUE</v>
      </c>
      <c r="F1128" s="3">
        <f>IFERROR(__xludf.DUMMYFUNCTION("""COMPUTED_VALUE"""),164.0)</f>
        <v>164</v>
      </c>
      <c r="G1128" s="5">
        <f>IFERROR(__xludf.DUMMYFUNCTION("""COMPUTED_VALUE"""),2.0261645E7)</f>
        <v>20261645</v>
      </c>
    </row>
    <row r="1129">
      <c r="A1129" s="3">
        <f>IFERROR(__xludf.DUMMYFUNCTION("""COMPUTED_VALUE"""),126.0)</f>
        <v>126</v>
      </c>
      <c r="B1129" s="2" t="str">
        <f>IFERROR(__xludf.DUMMYFUNCTION("""COMPUTED_VALUE"""),"DHAKA-NORTH")</f>
        <v>DHAKA-NORTH</v>
      </c>
      <c r="C1129" s="4">
        <f>IFERROR(__xludf.DUMMYFUNCTION("""COMPUTED_VALUE"""),20.0)</f>
        <v>20</v>
      </c>
      <c r="D1129" s="2" t="str">
        <f>IFERROR(__xludf.DUMMYFUNCTION("""COMPUTED_VALUE"""),"AB BANK LTD.")</f>
        <v>AB BANK LTD.</v>
      </c>
      <c r="E1129" s="2" t="str">
        <f>IFERROR(__xludf.DUMMYFUNCTION("""COMPUTED_VALUE"""),"GULSHAN")</f>
        <v>GULSHAN</v>
      </c>
      <c r="F1129" s="3">
        <f>IFERROR(__xludf.DUMMYFUNCTION("""COMPUTED_VALUE"""),172.0)</f>
        <v>172</v>
      </c>
      <c r="G1129" s="5">
        <f>IFERROR(__xludf.DUMMYFUNCTION("""COMPUTED_VALUE"""),2.0261724E7)</f>
        <v>20261724</v>
      </c>
    </row>
    <row r="1130">
      <c r="A1130" s="3">
        <f>IFERROR(__xludf.DUMMYFUNCTION("""COMPUTED_VALUE"""),126.0)</f>
        <v>126</v>
      </c>
      <c r="B1130" s="2" t="str">
        <f>IFERROR(__xludf.DUMMYFUNCTION("""COMPUTED_VALUE"""),"DHAKA-NORTH")</f>
        <v>DHAKA-NORTH</v>
      </c>
      <c r="C1130" s="4">
        <f>IFERROR(__xludf.DUMMYFUNCTION("""COMPUTED_VALUE"""),20.0)</f>
        <v>20</v>
      </c>
      <c r="D1130" s="2" t="str">
        <f>IFERROR(__xludf.DUMMYFUNCTION("""COMPUTED_VALUE"""),"AB BANK LTD.")</f>
        <v>AB BANK LTD.</v>
      </c>
      <c r="E1130" s="2" t="str">
        <f>IFERROR(__xludf.DUMMYFUNCTION("""COMPUTED_VALUE"""),"KALAMPUR")</f>
        <v>KALAMPUR</v>
      </c>
      <c r="F1130" s="3">
        <f>IFERROR(__xludf.DUMMYFUNCTION("""COMPUTED_VALUE"""),244.0)</f>
        <v>244</v>
      </c>
      <c r="G1130" s="5">
        <f>IFERROR(__xludf.DUMMYFUNCTION("""COMPUTED_VALUE"""),2.0262444E7)</f>
        <v>20262444</v>
      </c>
    </row>
    <row r="1131">
      <c r="A1131" s="3">
        <f>IFERROR(__xludf.DUMMYFUNCTION("""COMPUTED_VALUE"""),126.0)</f>
        <v>126</v>
      </c>
      <c r="B1131" s="2" t="str">
        <f>IFERROR(__xludf.DUMMYFUNCTION("""COMPUTED_VALUE"""),"DHAKA-NORTH")</f>
        <v>DHAKA-NORTH</v>
      </c>
      <c r="C1131" s="4">
        <f>IFERROR(__xludf.DUMMYFUNCTION("""COMPUTED_VALUE"""),20.0)</f>
        <v>20</v>
      </c>
      <c r="D1131" s="2" t="str">
        <f>IFERROR(__xludf.DUMMYFUNCTION("""COMPUTED_VALUE"""),"AB BANK LTD.")</f>
        <v>AB BANK LTD.</v>
      </c>
      <c r="E1131" s="2" t="str">
        <f>IFERROR(__xludf.DUMMYFUNCTION("""COMPUTED_VALUE"""),"KARWAN BAZAR")</f>
        <v>KARWAN BAZAR</v>
      </c>
      <c r="F1131" s="3">
        <f>IFERROR(__xludf.DUMMYFUNCTION("""COMPUTED_VALUE"""),253.0)</f>
        <v>253</v>
      </c>
      <c r="G1131" s="5">
        <f>IFERROR(__xludf.DUMMYFUNCTION("""COMPUTED_VALUE"""),2.0262536E7)</f>
        <v>20262536</v>
      </c>
    </row>
    <row r="1132">
      <c r="A1132" s="3">
        <f>IFERROR(__xludf.DUMMYFUNCTION("""COMPUTED_VALUE"""),126.0)</f>
        <v>126</v>
      </c>
      <c r="B1132" s="2" t="str">
        <f>IFERROR(__xludf.DUMMYFUNCTION("""COMPUTED_VALUE"""),"DHAKA-NORTH")</f>
        <v>DHAKA-NORTH</v>
      </c>
      <c r="C1132" s="4">
        <f>IFERROR(__xludf.DUMMYFUNCTION("""COMPUTED_VALUE"""),20.0)</f>
        <v>20</v>
      </c>
      <c r="D1132" s="2" t="str">
        <f>IFERROR(__xludf.DUMMYFUNCTION("""COMPUTED_VALUE"""),"AB BANK LTD.")</f>
        <v>AB BANK LTD.</v>
      </c>
      <c r="E1132" s="2" t="str">
        <f>IFERROR(__xludf.DUMMYFUNCTION("""COMPUTED_VALUE"""),"MIRPUR")</f>
        <v>MIRPUR</v>
      </c>
      <c r="F1132" s="3">
        <f>IFERROR(__xludf.DUMMYFUNCTION("""COMPUTED_VALUE"""),298.0)</f>
        <v>298</v>
      </c>
      <c r="G1132" s="5">
        <f>IFERROR(__xludf.DUMMYFUNCTION("""COMPUTED_VALUE"""),2.0262981E7)</f>
        <v>20262981</v>
      </c>
    </row>
    <row r="1133">
      <c r="A1133" s="3">
        <f>IFERROR(__xludf.DUMMYFUNCTION("""COMPUTED_VALUE"""),126.0)</f>
        <v>126</v>
      </c>
      <c r="B1133" s="2" t="str">
        <f>IFERROR(__xludf.DUMMYFUNCTION("""COMPUTED_VALUE"""),"DHAKA-NORTH")</f>
        <v>DHAKA-NORTH</v>
      </c>
      <c r="C1133" s="4">
        <f>IFERROR(__xludf.DUMMYFUNCTION("""COMPUTED_VALUE"""),20.0)</f>
        <v>20</v>
      </c>
      <c r="D1133" s="2" t="str">
        <f>IFERROR(__xludf.DUMMYFUNCTION("""COMPUTED_VALUE"""),"AB BANK LTD.")</f>
        <v>AB BANK LTD.</v>
      </c>
      <c r="E1133" s="2" t="str">
        <f>IFERROR(__xludf.DUMMYFUNCTION("""COMPUTED_VALUE"""),"MOHAKHALI")</f>
        <v>MOHAKHALI</v>
      </c>
      <c r="F1133" s="3">
        <f>IFERROR(__xludf.DUMMYFUNCTION("""COMPUTED_VALUE"""),319.0)</f>
        <v>319</v>
      </c>
      <c r="G1133" s="5">
        <f>IFERROR(__xludf.DUMMYFUNCTION("""COMPUTED_VALUE"""),2.0263193E7)</f>
        <v>20263193</v>
      </c>
    </row>
    <row r="1134">
      <c r="A1134" s="3">
        <f>IFERROR(__xludf.DUMMYFUNCTION("""COMPUTED_VALUE"""),126.0)</f>
        <v>126</v>
      </c>
      <c r="B1134" s="2" t="str">
        <f>IFERROR(__xludf.DUMMYFUNCTION("""COMPUTED_VALUE"""),"DHAKA-NORTH")</f>
        <v>DHAKA-NORTH</v>
      </c>
      <c r="C1134" s="4">
        <f>IFERROR(__xludf.DUMMYFUNCTION("""COMPUTED_VALUE"""),20.0)</f>
        <v>20</v>
      </c>
      <c r="D1134" s="2" t="str">
        <f>IFERROR(__xludf.DUMMYFUNCTION("""COMPUTED_VALUE"""),"AB BANK LTD.")</f>
        <v>AB BANK LTD.</v>
      </c>
      <c r="E1134" s="2" t="str">
        <f>IFERROR(__xludf.DUMMYFUNCTION("""COMPUTED_VALUE"""),"NEW ELEPHANT ROAD")</f>
        <v>NEW ELEPHANT ROAD</v>
      </c>
      <c r="F1134" s="3">
        <f>IFERROR(__xludf.DUMMYFUNCTION("""COMPUTED_VALUE"""),349.0)</f>
        <v>349</v>
      </c>
      <c r="G1134" s="5">
        <f>IFERROR(__xludf.DUMMYFUNCTION("""COMPUTED_VALUE"""),2.0263498E7)</f>
        <v>20263498</v>
      </c>
    </row>
    <row r="1135">
      <c r="A1135" s="3">
        <f>IFERROR(__xludf.DUMMYFUNCTION("""COMPUTED_VALUE"""),126.0)</f>
        <v>126</v>
      </c>
      <c r="B1135" s="2" t="str">
        <f>IFERROR(__xludf.DUMMYFUNCTION("""COMPUTED_VALUE"""),"DHAKA-NORTH")</f>
        <v>DHAKA-NORTH</v>
      </c>
      <c r="C1135" s="4">
        <f>IFERROR(__xludf.DUMMYFUNCTION("""COMPUTED_VALUE"""),20.0)</f>
        <v>20</v>
      </c>
      <c r="D1135" s="2" t="str">
        <f>IFERROR(__xludf.DUMMYFUNCTION("""COMPUTED_VALUE"""),"AB BANK LTD.")</f>
        <v>AB BANK LTD.</v>
      </c>
      <c r="E1135" s="2" t="str">
        <f>IFERROR(__xludf.DUMMYFUNCTION("""COMPUTED_VALUE"""),"PRAGATI SARANI")</f>
        <v>PRAGATI SARANI</v>
      </c>
      <c r="F1135" s="3">
        <f>IFERROR(__xludf.DUMMYFUNCTION("""COMPUTED_VALUE"""),370.0)</f>
        <v>370</v>
      </c>
      <c r="G1135" s="5">
        <f>IFERROR(__xludf.DUMMYFUNCTION("""COMPUTED_VALUE"""),2.0263706E7)</f>
        <v>20263706</v>
      </c>
    </row>
    <row r="1136">
      <c r="A1136" s="3">
        <f>IFERROR(__xludf.DUMMYFUNCTION("""COMPUTED_VALUE"""),126.0)</f>
        <v>126</v>
      </c>
      <c r="B1136" s="2" t="str">
        <f>IFERROR(__xludf.DUMMYFUNCTION("""COMPUTED_VALUE"""),"DHAKA-NORTH")</f>
        <v>DHAKA-NORTH</v>
      </c>
      <c r="C1136" s="4">
        <f>IFERROR(__xludf.DUMMYFUNCTION("""COMPUTED_VALUE"""),20.0)</f>
        <v>20</v>
      </c>
      <c r="D1136" s="2" t="str">
        <f>IFERROR(__xludf.DUMMYFUNCTION("""COMPUTED_VALUE"""),"AB BANK LTD.")</f>
        <v>AB BANK LTD.</v>
      </c>
      <c r="E1136" s="2" t="str">
        <f>IFERROR(__xludf.DUMMYFUNCTION("""COMPUTED_VALUE"""),"ROKEYA SHARANI")</f>
        <v>ROKEYA SHARANI</v>
      </c>
      <c r="F1136" s="3">
        <f>IFERROR(__xludf.DUMMYFUNCTION("""COMPUTED_VALUE"""),400.0)</f>
        <v>400</v>
      </c>
      <c r="G1136" s="5">
        <f>IFERROR(__xludf.DUMMYFUNCTION("""COMPUTED_VALUE"""),2.0264E7)</f>
        <v>20264000</v>
      </c>
    </row>
    <row r="1137">
      <c r="A1137" s="3">
        <f>IFERROR(__xludf.DUMMYFUNCTION("""COMPUTED_VALUE"""),126.0)</f>
        <v>126</v>
      </c>
      <c r="B1137" s="2" t="str">
        <f>IFERROR(__xludf.DUMMYFUNCTION("""COMPUTED_VALUE"""),"DHAKA-NORTH")</f>
        <v>DHAKA-NORTH</v>
      </c>
      <c r="C1137" s="4">
        <f>IFERROR(__xludf.DUMMYFUNCTION("""COMPUTED_VALUE"""),20.0)</f>
        <v>20</v>
      </c>
      <c r="D1137" s="2" t="str">
        <f>IFERROR(__xludf.DUMMYFUNCTION("""COMPUTED_VALUE"""),"AB BANK LTD.")</f>
        <v>AB BANK LTD.</v>
      </c>
      <c r="E1137" s="2" t="str">
        <f>IFERROR(__xludf.DUMMYFUNCTION("""COMPUTED_VALUE"""),"SAVAR")</f>
        <v>SAVAR</v>
      </c>
      <c r="F1137" s="3">
        <f>IFERROR(__xludf.DUMMYFUNCTION("""COMPUTED_VALUE"""),409.0)</f>
        <v>409</v>
      </c>
      <c r="G1137" s="5">
        <f>IFERROR(__xludf.DUMMYFUNCTION("""COMPUTED_VALUE"""),2.0264097E7)</f>
        <v>20264097</v>
      </c>
    </row>
    <row r="1138">
      <c r="A1138" s="3">
        <f>IFERROR(__xludf.DUMMYFUNCTION("""COMPUTED_VALUE"""),126.0)</f>
        <v>126</v>
      </c>
      <c r="B1138" s="2" t="str">
        <f>IFERROR(__xludf.DUMMYFUNCTION("""COMPUTED_VALUE"""),"DHAKA-NORTH")</f>
        <v>DHAKA-NORTH</v>
      </c>
      <c r="C1138" s="4">
        <f>IFERROR(__xludf.DUMMYFUNCTION("""COMPUTED_VALUE"""),20.0)</f>
        <v>20</v>
      </c>
      <c r="D1138" s="2" t="str">
        <f>IFERROR(__xludf.DUMMYFUNCTION("""COMPUTED_VALUE"""),"AB BANK LTD.")</f>
        <v>AB BANK LTD.</v>
      </c>
      <c r="E1138" s="2" t="str">
        <f>IFERROR(__xludf.DUMMYFUNCTION("""COMPUTED_VALUE"""),"SHYAMALI")</f>
        <v>SHYAMALI</v>
      </c>
      <c r="F1138" s="3">
        <f>IFERROR(__xludf.DUMMYFUNCTION("""COMPUTED_VALUE"""),430.0)</f>
        <v>430</v>
      </c>
      <c r="G1138" s="5">
        <f>IFERROR(__xludf.DUMMYFUNCTION("""COMPUTED_VALUE"""),2.0264305E7)</f>
        <v>20264305</v>
      </c>
    </row>
    <row r="1139">
      <c r="A1139" s="3">
        <f>IFERROR(__xludf.DUMMYFUNCTION("""COMPUTED_VALUE"""),126.0)</f>
        <v>126</v>
      </c>
      <c r="B1139" s="2" t="str">
        <f>IFERROR(__xludf.DUMMYFUNCTION("""COMPUTED_VALUE"""),"DHAKA-NORTH")</f>
        <v>DHAKA-NORTH</v>
      </c>
      <c r="C1139" s="4">
        <f>IFERROR(__xludf.DUMMYFUNCTION("""COMPUTED_VALUE"""),20.0)</f>
        <v>20</v>
      </c>
      <c r="D1139" s="2" t="str">
        <f>IFERROR(__xludf.DUMMYFUNCTION("""COMPUTED_VALUE"""),"AB BANK LTD.")</f>
        <v>AB BANK LTD.</v>
      </c>
      <c r="E1139" s="2" t="str">
        <f>IFERROR(__xludf.DUMMYFUNCTION("""COMPUTED_VALUE"""),"UTTARA")</f>
        <v>UTTARA</v>
      </c>
      <c r="F1139" s="3">
        <f>IFERROR(__xludf.DUMMYFUNCTION("""COMPUTED_VALUE"""),463.0)</f>
        <v>463</v>
      </c>
      <c r="G1139" s="5">
        <f>IFERROR(__xludf.DUMMYFUNCTION("""COMPUTED_VALUE"""),2.0264639E7)</f>
        <v>20264639</v>
      </c>
    </row>
    <row r="1140">
      <c r="A1140" s="3">
        <f>IFERROR(__xludf.DUMMYFUNCTION("""COMPUTED_VALUE"""),127.0)</f>
        <v>127</v>
      </c>
      <c r="B1140" s="2" t="str">
        <f>IFERROR(__xludf.DUMMYFUNCTION("""COMPUTED_VALUE"""),"DHAKA-SOUTH")</f>
        <v>DHAKA-SOUTH</v>
      </c>
      <c r="C1140" s="4">
        <f>IFERROR(__xludf.DUMMYFUNCTION("""COMPUTED_VALUE"""),20.0)</f>
        <v>20</v>
      </c>
      <c r="D1140" s="2" t="str">
        <f>IFERROR(__xludf.DUMMYFUNCTION("""COMPUTED_VALUE"""),"AB BANK LTD.")</f>
        <v>AB BANK LTD.</v>
      </c>
      <c r="E1140" s="2" t="str">
        <f>IFERROR(__xludf.DUMMYFUNCTION("""COMPUTED_VALUE"""),"TRUNCATION POINT")</f>
        <v>TRUNCATION POINT</v>
      </c>
      <c r="F1140" s="3">
        <f>IFERROR(__xludf.DUMMYFUNCTION("""COMPUTED_VALUE"""),0.0)</f>
        <v>0</v>
      </c>
      <c r="G1140" s="5">
        <f>IFERROR(__xludf.DUMMYFUNCTION("""COMPUTED_VALUE"""),2.0270007E7)</f>
        <v>20270007</v>
      </c>
    </row>
    <row r="1141">
      <c r="A1141" s="3">
        <f>IFERROR(__xludf.DUMMYFUNCTION("""COMPUTED_VALUE"""),127.0)</f>
        <v>127</v>
      </c>
      <c r="B1141" s="2" t="str">
        <f>IFERROR(__xludf.DUMMYFUNCTION("""COMPUTED_VALUE"""),"DHAKA-SOUTH")</f>
        <v>DHAKA-SOUTH</v>
      </c>
      <c r="C1141" s="4">
        <f>IFERROR(__xludf.DUMMYFUNCTION("""COMPUTED_VALUE"""),20.0)</f>
        <v>20</v>
      </c>
      <c r="D1141" s="2" t="str">
        <f>IFERROR(__xludf.DUMMYFUNCTION("""COMPUTED_VALUE"""),"AB BANK LTD.")</f>
        <v>AB BANK LTD.</v>
      </c>
      <c r="E1141" s="2" t="str">
        <f>IFERROR(__xludf.DUMMYFUNCTION("""COMPUTED_VALUE"""),"BANDURA")</f>
        <v>BANDURA</v>
      </c>
      <c r="F1141" s="3">
        <f>IFERROR(__xludf.DUMMYFUNCTION("""COMPUTED_VALUE"""),64.0)</f>
        <v>64</v>
      </c>
      <c r="G1141" s="5">
        <f>IFERROR(__xludf.DUMMYFUNCTION("""COMPUTED_VALUE"""),2.0270649E7)</f>
        <v>20270649</v>
      </c>
    </row>
    <row r="1142">
      <c r="A1142" s="3">
        <f>IFERROR(__xludf.DUMMYFUNCTION("""COMPUTED_VALUE"""),127.0)</f>
        <v>127</v>
      </c>
      <c r="B1142" s="2" t="str">
        <f>IFERROR(__xludf.DUMMYFUNCTION("""COMPUTED_VALUE"""),"DHAKA-SOUTH")</f>
        <v>DHAKA-SOUTH</v>
      </c>
      <c r="C1142" s="4">
        <f>IFERROR(__xludf.DUMMYFUNCTION("""COMPUTED_VALUE"""),20.0)</f>
        <v>20</v>
      </c>
      <c r="D1142" s="2" t="str">
        <f>IFERROR(__xludf.DUMMYFUNCTION("""COMPUTED_VALUE"""),"AB BANK LTD.")</f>
        <v>AB BANK LTD.</v>
      </c>
      <c r="E1142" s="2" t="str">
        <f>IFERROR(__xludf.DUMMYFUNCTION("""COMPUTED_VALUE"""),"HEAD OFFICE")</f>
        <v>HEAD OFFICE</v>
      </c>
      <c r="F1142" s="3">
        <f>IFERROR(__xludf.DUMMYFUNCTION("""COMPUTED_VALUE"""),268.0)</f>
        <v>268</v>
      </c>
      <c r="G1142" s="5">
        <f>IFERROR(__xludf.DUMMYFUNCTION("""COMPUTED_VALUE"""),2.0272689E7)</f>
        <v>20272689</v>
      </c>
    </row>
    <row r="1143">
      <c r="A1143" s="3">
        <f>IFERROR(__xludf.DUMMYFUNCTION("""COMPUTED_VALUE"""),127.0)</f>
        <v>127</v>
      </c>
      <c r="B1143" s="2" t="str">
        <f>IFERROR(__xludf.DUMMYFUNCTION("""COMPUTED_VALUE"""),"DHAKA-SOUTH")</f>
        <v>DHAKA-SOUTH</v>
      </c>
      <c r="C1143" s="4">
        <f>IFERROR(__xludf.DUMMYFUNCTION("""COMPUTED_VALUE"""),20.0)</f>
        <v>20</v>
      </c>
      <c r="D1143" s="2" t="str">
        <f>IFERROR(__xludf.DUMMYFUNCTION("""COMPUTED_VALUE"""),"AB BANK LTD.")</f>
        <v>AB BANK LTD.</v>
      </c>
      <c r="E1143" s="2" t="str">
        <f>IFERROR(__xludf.DUMMYFUNCTION("""COMPUTED_VALUE"""),"IMAMGANJ")</f>
        <v>IMAMGANJ</v>
      </c>
      <c r="F1143" s="3">
        <f>IFERROR(__xludf.DUMMYFUNCTION("""COMPUTED_VALUE"""),280.0)</f>
        <v>280</v>
      </c>
      <c r="G1143" s="5">
        <f>IFERROR(__xludf.DUMMYFUNCTION("""COMPUTED_VALUE"""),2.0272805E7)</f>
        <v>20272805</v>
      </c>
    </row>
    <row r="1144">
      <c r="A1144" s="3">
        <f>IFERROR(__xludf.DUMMYFUNCTION("""COMPUTED_VALUE"""),127.0)</f>
        <v>127</v>
      </c>
      <c r="B1144" s="2" t="str">
        <f>IFERROR(__xludf.DUMMYFUNCTION("""COMPUTED_VALUE"""),"DHAKA-SOUTH")</f>
        <v>DHAKA-SOUTH</v>
      </c>
      <c r="C1144" s="4">
        <f>IFERROR(__xludf.DUMMYFUNCTION("""COMPUTED_VALUE"""),20.0)</f>
        <v>20</v>
      </c>
      <c r="D1144" s="2" t="str">
        <f>IFERROR(__xludf.DUMMYFUNCTION("""COMPUTED_VALUE"""),"AB BANK LTD.")</f>
        <v>AB BANK LTD.</v>
      </c>
      <c r="E1144" s="2" t="str">
        <f>IFERROR(__xludf.DUMMYFUNCTION("""COMPUTED_VALUE"""),"ISLAMI BANKING(KAKRAIL)")</f>
        <v>ISLAMI BANKING(KAKRAIL)</v>
      </c>
      <c r="F1144" s="3">
        <f>IFERROR(__xludf.DUMMYFUNCTION("""COMPUTED_VALUE"""),292.0)</f>
        <v>292</v>
      </c>
      <c r="G1144" s="5">
        <f>IFERROR(__xludf.DUMMYFUNCTION("""COMPUTED_VALUE"""),2.0272926E7)</f>
        <v>20272926</v>
      </c>
    </row>
    <row r="1145">
      <c r="A1145" s="3">
        <f>IFERROR(__xludf.DUMMYFUNCTION("""COMPUTED_VALUE"""),127.0)</f>
        <v>127</v>
      </c>
      <c r="B1145" s="2" t="str">
        <f>IFERROR(__xludf.DUMMYFUNCTION("""COMPUTED_VALUE"""),"DHAKA-SOUTH")</f>
        <v>DHAKA-SOUTH</v>
      </c>
      <c r="C1145" s="4">
        <f>IFERROR(__xludf.DUMMYFUNCTION("""COMPUTED_VALUE"""),20.0)</f>
        <v>20</v>
      </c>
      <c r="D1145" s="2" t="str">
        <f>IFERROR(__xludf.DUMMYFUNCTION("""COMPUTED_VALUE"""),"AB BANK LTD.")</f>
        <v>AB BANK LTD.</v>
      </c>
      <c r="E1145" s="2" t="str">
        <f>IFERROR(__xludf.DUMMYFUNCTION("""COMPUTED_VALUE"""),"ISLAMPUR")</f>
        <v>ISLAMPUR</v>
      </c>
      <c r="F1145" s="3">
        <f>IFERROR(__xludf.DUMMYFUNCTION("""COMPUTED_VALUE"""),298.0)</f>
        <v>298</v>
      </c>
      <c r="G1145" s="5">
        <f>IFERROR(__xludf.DUMMYFUNCTION("""COMPUTED_VALUE"""),2.0272984E7)</f>
        <v>20272984</v>
      </c>
    </row>
    <row r="1146">
      <c r="A1146" s="3">
        <f>IFERROR(__xludf.DUMMYFUNCTION("""COMPUTED_VALUE"""),127.0)</f>
        <v>127</v>
      </c>
      <c r="B1146" s="2" t="str">
        <f>IFERROR(__xludf.DUMMYFUNCTION("""COMPUTED_VALUE"""),"DHAKA-SOUTH")</f>
        <v>DHAKA-SOUTH</v>
      </c>
      <c r="C1146" s="4">
        <f>IFERROR(__xludf.DUMMYFUNCTION("""COMPUTED_VALUE"""),20.0)</f>
        <v>20</v>
      </c>
      <c r="D1146" s="2" t="str">
        <f>IFERROR(__xludf.DUMMYFUNCTION("""COMPUTED_VALUE"""),"AB BANK LTD.")</f>
        <v>AB BANK LTD.</v>
      </c>
      <c r="E1146" s="2" t="str">
        <f>IFERROR(__xludf.DUMMYFUNCTION("""COMPUTED_VALUE"""),"JATRABARI")</f>
        <v>JATRABARI</v>
      </c>
      <c r="F1146" s="3">
        <f>IFERROR(__xludf.DUMMYFUNCTION("""COMPUTED_VALUE"""),322.0)</f>
        <v>322</v>
      </c>
      <c r="G1146" s="5">
        <f>IFERROR(__xludf.DUMMYFUNCTION("""COMPUTED_VALUE"""),2.027322E7)</f>
        <v>20273220</v>
      </c>
    </row>
    <row r="1147">
      <c r="A1147" s="3">
        <f>IFERROR(__xludf.DUMMYFUNCTION("""COMPUTED_VALUE"""),127.0)</f>
        <v>127</v>
      </c>
      <c r="B1147" s="2" t="str">
        <f>IFERROR(__xludf.DUMMYFUNCTION("""COMPUTED_VALUE"""),"DHAKA-SOUTH")</f>
        <v>DHAKA-SOUTH</v>
      </c>
      <c r="C1147" s="4">
        <f>IFERROR(__xludf.DUMMYFUNCTION("""COMPUTED_VALUE"""),20.0)</f>
        <v>20</v>
      </c>
      <c r="D1147" s="2" t="str">
        <f>IFERROR(__xludf.DUMMYFUNCTION("""COMPUTED_VALUE"""),"AB BANK LTD.")</f>
        <v>AB BANK LTD.</v>
      </c>
      <c r="E1147" s="2" t="str">
        <f>IFERROR(__xludf.DUMMYFUNCTION("""COMPUTED_VALUE"""),"JOYPARA")</f>
        <v>JOYPARA</v>
      </c>
      <c r="F1147" s="3">
        <f>IFERROR(__xludf.DUMMYFUNCTION("""COMPUTED_VALUE"""),328.0)</f>
        <v>328</v>
      </c>
      <c r="G1147" s="5">
        <f>IFERROR(__xludf.DUMMYFUNCTION("""COMPUTED_VALUE"""),2.0273288E7)</f>
        <v>20273288</v>
      </c>
    </row>
    <row r="1148">
      <c r="A1148" s="3">
        <f>IFERROR(__xludf.DUMMYFUNCTION("""COMPUTED_VALUE"""),127.0)</f>
        <v>127</v>
      </c>
      <c r="B1148" s="2" t="str">
        <f>IFERROR(__xludf.DUMMYFUNCTION("""COMPUTED_VALUE"""),"DHAKA-SOUTH")</f>
        <v>DHAKA-SOUTH</v>
      </c>
      <c r="C1148" s="4">
        <f>IFERROR(__xludf.DUMMYFUNCTION("""COMPUTED_VALUE"""),20.0)</f>
        <v>20</v>
      </c>
      <c r="D1148" s="2" t="str">
        <f>IFERROR(__xludf.DUMMYFUNCTION("""COMPUTED_VALUE"""),"AB BANK LTD.")</f>
        <v>AB BANK LTD.</v>
      </c>
      <c r="E1148" s="2" t="str">
        <f>IFERROR(__xludf.DUMMYFUNCTION("""COMPUTED_VALUE"""),"KAKRAIL")</f>
        <v>KAKRAIL</v>
      </c>
      <c r="F1148" s="3">
        <f>IFERROR(__xludf.DUMMYFUNCTION("""COMPUTED_VALUE"""),337.0)</f>
        <v>337</v>
      </c>
      <c r="G1148" s="5">
        <f>IFERROR(__xludf.DUMMYFUNCTION("""COMPUTED_VALUE"""),2.027337E7)</f>
        <v>20273370</v>
      </c>
    </row>
    <row r="1149">
      <c r="A1149" s="3">
        <f>IFERROR(__xludf.DUMMYFUNCTION("""COMPUTED_VALUE"""),127.0)</f>
        <v>127</v>
      </c>
      <c r="B1149" s="2" t="str">
        <f>IFERROR(__xludf.DUMMYFUNCTION("""COMPUTED_VALUE"""),"DHAKA-SOUTH")</f>
        <v>DHAKA-SOUTH</v>
      </c>
      <c r="C1149" s="4">
        <f>IFERROR(__xludf.DUMMYFUNCTION("""COMPUTED_VALUE"""),20.0)</f>
        <v>20</v>
      </c>
      <c r="D1149" s="2" t="str">
        <f>IFERROR(__xludf.DUMMYFUNCTION("""COMPUTED_VALUE"""),"AB BANK LTD.")</f>
        <v>AB BANK LTD.</v>
      </c>
      <c r="E1149" s="2" t="str">
        <f>IFERROR(__xludf.DUMMYFUNCTION("""COMPUTED_VALUE"""),"KALATIA")</f>
        <v>KALATIA</v>
      </c>
      <c r="F1149" s="3">
        <f>IFERROR(__xludf.DUMMYFUNCTION("""COMPUTED_VALUE"""),343.0)</f>
        <v>343</v>
      </c>
      <c r="G1149" s="5">
        <f>IFERROR(__xludf.DUMMYFUNCTION("""COMPUTED_VALUE"""),2.0273433E7)</f>
        <v>20273433</v>
      </c>
    </row>
    <row r="1150">
      <c r="A1150" s="3">
        <f>IFERROR(__xludf.DUMMYFUNCTION("""COMPUTED_VALUE"""),127.0)</f>
        <v>127</v>
      </c>
      <c r="B1150" s="2" t="str">
        <f>IFERROR(__xludf.DUMMYFUNCTION("""COMPUTED_VALUE"""),"DHAKA-SOUTH")</f>
        <v>DHAKA-SOUTH</v>
      </c>
      <c r="C1150" s="4">
        <f>IFERROR(__xludf.DUMMYFUNCTION("""COMPUTED_VALUE"""),20.0)</f>
        <v>20</v>
      </c>
      <c r="D1150" s="2" t="str">
        <f>IFERROR(__xludf.DUMMYFUNCTION("""COMPUTED_VALUE"""),"AB BANK LTD.")</f>
        <v>AB BANK LTD.</v>
      </c>
      <c r="E1150" s="2" t="str">
        <f>IFERROR(__xludf.DUMMYFUNCTION("""COMPUTED_VALUE"""),"KAMRANGIRCHAR")</f>
        <v>KAMRANGIRCHAR</v>
      </c>
      <c r="F1150" s="3">
        <f>IFERROR(__xludf.DUMMYFUNCTION("""COMPUTED_VALUE"""),358.0)</f>
        <v>358</v>
      </c>
      <c r="G1150" s="5">
        <f>IFERROR(__xludf.DUMMYFUNCTION("""COMPUTED_VALUE"""),2.0273583E7)</f>
        <v>20273583</v>
      </c>
    </row>
    <row r="1151">
      <c r="A1151" s="3">
        <f>IFERROR(__xludf.DUMMYFUNCTION("""COMPUTED_VALUE"""),127.0)</f>
        <v>127</v>
      </c>
      <c r="B1151" s="2" t="str">
        <f>IFERROR(__xludf.DUMMYFUNCTION("""COMPUTED_VALUE"""),"DHAKA-SOUTH")</f>
        <v>DHAKA-SOUTH</v>
      </c>
      <c r="C1151" s="4">
        <f>IFERROR(__xludf.DUMMYFUNCTION("""COMPUTED_VALUE"""),20.0)</f>
        <v>20</v>
      </c>
      <c r="D1151" s="2" t="str">
        <f>IFERROR(__xludf.DUMMYFUNCTION("""COMPUTED_VALUE"""),"AB BANK LTD.")</f>
        <v>AB BANK LTD.</v>
      </c>
      <c r="E1151" s="2" t="str">
        <f>IFERROR(__xludf.DUMMYFUNCTION("""COMPUTED_VALUE"""),"MALIBAGH")</f>
        <v>MALIBAGH</v>
      </c>
      <c r="F1151" s="3">
        <f>IFERROR(__xludf.DUMMYFUNCTION("""COMPUTED_VALUE"""),394.0)</f>
        <v>394</v>
      </c>
      <c r="G1151" s="5">
        <f>IFERROR(__xludf.DUMMYFUNCTION("""COMPUTED_VALUE"""),2.0273941E7)</f>
        <v>20273941</v>
      </c>
    </row>
    <row r="1152">
      <c r="A1152" s="3">
        <f>IFERROR(__xludf.DUMMYFUNCTION("""COMPUTED_VALUE"""),127.0)</f>
        <v>127</v>
      </c>
      <c r="B1152" s="2" t="str">
        <f>IFERROR(__xludf.DUMMYFUNCTION("""COMPUTED_VALUE"""),"DHAKA-SOUTH")</f>
        <v>DHAKA-SOUTH</v>
      </c>
      <c r="C1152" s="4">
        <f>IFERROR(__xludf.DUMMYFUNCTION("""COMPUTED_VALUE"""),20.0)</f>
        <v>20</v>
      </c>
      <c r="D1152" s="2" t="str">
        <f>IFERROR(__xludf.DUMMYFUNCTION("""COMPUTED_VALUE"""),"AB BANK LTD.")</f>
        <v>AB BANK LTD.</v>
      </c>
      <c r="E1152" s="2" t="str">
        <f>IFERROR(__xludf.DUMMYFUNCTION("""COMPUTED_VALUE"""),"MOTIJHEEL")</f>
        <v>MOTIJHEEL</v>
      </c>
      <c r="F1152" s="3">
        <f>IFERROR(__xludf.DUMMYFUNCTION("""COMPUTED_VALUE"""),424.0)</f>
        <v>424</v>
      </c>
      <c r="G1152" s="5">
        <f>IFERROR(__xludf.DUMMYFUNCTION("""COMPUTED_VALUE"""),2.0274245E7)</f>
        <v>20274245</v>
      </c>
    </row>
    <row r="1153">
      <c r="A1153" s="3">
        <f>IFERROR(__xludf.DUMMYFUNCTION("""COMPUTED_VALUE"""),127.0)</f>
        <v>127</v>
      </c>
      <c r="B1153" s="2" t="str">
        <f>IFERROR(__xludf.DUMMYFUNCTION("""COMPUTED_VALUE"""),"DHAKA-SOUTH")</f>
        <v>DHAKA-SOUTH</v>
      </c>
      <c r="C1153" s="4">
        <f>IFERROR(__xludf.DUMMYFUNCTION("""COMPUTED_VALUE"""),20.0)</f>
        <v>20</v>
      </c>
      <c r="D1153" s="2" t="str">
        <f>IFERROR(__xludf.DUMMYFUNCTION("""COMPUTED_VALUE"""),"AB BANK LTD.")</f>
        <v>AB BANK LTD.</v>
      </c>
      <c r="E1153" s="2" t="str">
        <f>IFERROR(__xludf.DUMMYFUNCTION("""COMPUTED_VALUE"""),"NAWABPUR")</f>
        <v>NAWABPUR</v>
      </c>
      <c r="F1153" s="3">
        <f>IFERROR(__xludf.DUMMYFUNCTION("""COMPUTED_VALUE"""),472.0)</f>
        <v>472</v>
      </c>
      <c r="G1153" s="5">
        <f>IFERROR(__xludf.DUMMYFUNCTION("""COMPUTED_VALUE"""),2.0274724E7)</f>
        <v>20274724</v>
      </c>
    </row>
    <row r="1154">
      <c r="A1154" s="3">
        <f>IFERROR(__xludf.DUMMYFUNCTION("""COMPUTED_VALUE"""),127.0)</f>
        <v>127</v>
      </c>
      <c r="B1154" s="2" t="str">
        <f>IFERROR(__xludf.DUMMYFUNCTION("""COMPUTED_VALUE"""),"DHAKA-SOUTH")</f>
        <v>DHAKA-SOUTH</v>
      </c>
      <c r="C1154" s="4">
        <f>IFERROR(__xludf.DUMMYFUNCTION("""COMPUTED_VALUE"""),20.0)</f>
        <v>20</v>
      </c>
      <c r="D1154" s="2" t="str">
        <f>IFERROR(__xludf.DUMMYFUNCTION("""COMPUTED_VALUE"""),"AB BANK LTD.")</f>
        <v>AB BANK LTD.</v>
      </c>
      <c r="E1154" s="2" t="str">
        <f>IFERROR(__xludf.DUMMYFUNCTION("""COMPUTED_VALUE"""),"NORTH SOUTH ROAD")</f>
        <v>NORTH SOUTH ROAD</v>
      </c>
      <c r="F1154" s="3">
        <f>IFERROR(__xludf.DUMMYFUNCTION("""COMPUTED_VALUE"""),511.0)</f>
        <v>511</v>
      </c>
      <c r="G1154" s="5">
        <f>IFERROR(__xludf.DUMMYFUNCTION("""COMPUTED_VALUE"""),2.027511E7)</f>
        <v>20275110</v>
      </c>
    </row>
    <row r="1155">
      <c r="A1155" s="3">
        <f>IFERROR(__xludf.DUMMYFUNCTION("""COMPUTED_VALUE"""),127.0)</f>
        <v>127</v>
      </c>
      <c r="B1155" s="2" t="str">
        <f>IFERROR(__xludf.DUMMYFUNCTION("""COMPUTED_VALUE"""),"DHAKA-SOUTH")</f>
        <v>DHAKA-SOUTH</v>
      </c>
      <c r="C1155" s="4">
        <f>IFERROR(__xludf.DUMMYFUNCTION("""COMPUTED_VALUE"""),20.0)</f>
        <v>20</v>
      </c>
      <c r="D1155" s="2" t="str">
        <f>IFERROR(__xludf.DUMMYFUNCTION("""COMPUTED_VALUE"""),"AB BANK LTD.")</f>
        <v>AB BANK LTD.</v>
      </c>
      <c r="E1155" s="2" t="str">
        <f>IFERROR(__xludf.DUMMYFUNCTION("""COMPUTED_VALUE"""),"PRINCIPAL")</f>
        <v>PRINCIPAL</v>
      </c>
      <c r="F1155" s="3">
        <f>IFERROR(__xludf.DUMMYFUNCTION("""COMPUTED_VALUE"""),535.0)</f>
        <v>535</v>
      </c>
      <c r="G1155" s="5">
        <f>IFERROR(__xludf.DUMMYFUNCTION("""COMPUTED_VALUE"""),2.0275352E7)</f>
        <v>20275352</v>
      </c>
    </row>
    <row r="1156">
      <c r="A1156" s="3">
        <f>IFERROR(__xludf.DUMMYFUNCTION("""COMPUTED_VALUE"""),127.0)</f>
        <v>127</v>
      </c>
      <c r="B1156" s="2" t="str">
        <f>IFERROR(__xludf.DUMMYFUNCTION("""COMPUTED_VALUE"""),"DHAKA-SOUTH")</f>
        <v>DHAKA-SOUTH</v>
      </c>
      <c r="C1156" s="4">
        <f>IFERROR(__xludf.DUMMYFUNCTION("""COMPUTED_VALUE"""),20.0)</f>
        <v>20</v>
      </c>
      <c r="D1156" s="2" t="str">
        <f>IFERROR(__xludf.DUMMYFUNCTION("""COMPUTED_VALUE"""),"AB BANK LTD.")</f>
        <v>AB BANK LTD.</v>
      </c>
      <c r="E1156" s="2" t="str">
        <f>IFERROR(__xludf.DUMMYFUNCTION("""COMPUTED_VALUE"""),"ZINZIRA")</f>
        <v>ZINZIRA</v>
      </c>
      <c r="F1156" s="3">
        <f>IFERROR(__xludf.DUMMYFUNCTION("""COMPUTED_VALUE"""),709.0)</f>
        <v>709</v>
      </c>
      <c r="G1156" s="5">
        <f>IFERROR(__xludf.DUMMYFUNCTION("""COMPUTED_VALUE"""),2.0277097E7)</f>
        <v>20277097</v>
      </c>
    </row>
    <row r="1157">
      <c r="A1157" s="3">
        <f>IFERROR(__xludf.DUMMYFUNCTION("""COMPUTED_VALUE"""),728.0)</f>
        <v>728</v>
      </c>
      <c r="B1157" s="2" t="str">
        <f>IFERROR(__xludf.DUMMYFUNCTION("""COMPUTED_VALUE"""),"DINAJPUR")</f>
        <v>DINAJPUR</v>
      </c>
      <c r="C1157" s="4">
        <f>IFERROR(__xludf.DUMMYFUNCTION("""COMPUTED_VALUE"""),20.0)</f>
        <v>20</v>
      </c>
      <c r="D1157" s="2" t="str">
        <f>IFERROR(__xludf.DUMMYFUNCTION("""COMPUTED_VALUE"""),"AB BANK LTD.")</f>
        <v>AB BANK LTD.</v>
      </c>
      <c r="E1157" s="2" t="str">
        <f>IFERROR(__xludf.DUMMYFUNCTION("""COMPUTED_VALUE"""),"DINAJPUR")</f>
        <v>DINAJPUR</v>
      </c>
      <c r="F1157" s="3">
        <f>IFERROR(__xludf.DUMMYFUNCTION("""COMPUTED_VALUE"""),67.0)</f>
        <v>67</v>
      </c>
      <c r="G1157" s="5">
        <f>IFERROR(__xludf.DUMMYFUNCTION("""COMPUTED_VALUE"""),2.0280671E7)</f>
        <v>20280671</v>
      </c>
    </row>
    <row r="1158">
      <c r="A1158" s="3">
        <f>IFERROR(__xludf.DUMMYFUNCTION("""COMPUTED_VALUE"""),329.0)</f>
        <v>329</v>
      </c>
      <c r="B1158" s="2" t="str">
        <f>IFERROR(__xludf.DUMMYFUNCTION("""COMPUTED_VALUE"""),"FARIDPUR")</f>
        <v>FARIDPUR</v>
      </c>
      <c r="C1158" s="4">
        <f>IFERROR(__xludf.DUMMYFUNCTION("""COMPUTED_VALUE"""),20.0)</f>
        <v>20</v>
      </c>
      <c r="D1158" s="2" t="str">
        <f>IFERROR(__xludf.DUMMYFUNCTION("""COMPUTED_VALUE"""),"AB BANK LTD.")</f>
        <v>AB BANK LTD.</v>
      </c>
      <c r="E1158" s="2" t="str">
        <f>IFERROR(__xludf.DUMMYFUNCTION("""COMPUTED_VALUE"""),"FARIDPUR")</f>
        <v>FARIDPUR</v>
      </c>
      <c r="F1158" s="3">
        <f>IFERROR(__xludf.DUMMYFUNCTION("""COMPUTED_VALUE"""),52.0)</f>
        <v>52</v>
      </c>
      <c r="G1158" s="5">
        <f>IFERROR(__xludf.DUMMYFUNCTION("""COMPUTED_VALUE"""),2.0290524E7)</f>
        <v>20290524</v>
      </c>
    </row>
    <row r="1159">
      <c r="A1159" s="3">
        <f>IFERROR(__xludf.DUMMYFUNCTION("""COMPUTED_VALUE"""),230.0)</f>
        <v>230</v>
      </c>
      <c r="B1159" s="2" t="str">
        <f>IFERROR(__xludf.DUMMYFUNCTION("""COMPUTED_VALUE"""),"FENI")</f>
        <v>FENI</v>
      </c>
      <c r="C1159" s="4">
        <f>IFERROR(__xludf.DUMMYFUNCTION("""COMPUTED_VALUE"""),20.0)</f>
        <v>20</v>
      </c>
      <c r="D1159" s="2" t="str">
        <f>IFERROR(__xludf.DUMMYFUNCTION("""COMPUTED_VALUE"""),"AB BANK LTD.")</f>
        <v>AB BANK LTD.</v>
      </c>
      <c r="E1159" s="2" t="str">
        <f>IFERROR(__xludf.DUMMYFUNCTION("""COMPUTED_VALUE"""),"FENI")</f>
        <v>FENI</v>
      </c>
      <c r="F1159" s="3">
        <f>IFERROR(__xludf.DUMMYFUNCTION("""COMPUTED_VALUE"""),52.0)</f>
        <v>52</v>
      </c>
      <c r="G1159" s="5">
        <f>IFERROR(__xludf.DUMMYFUNCTION("""COMPUTED_VALUE"""),2.0300522E7)</f>
        <v>20300522</v>
      </c>
    </row>
    <row r="1160">
      <c r="A1160" s="3">
        <f>IFERROR(__xludf.DUMMYFUNCTION("""COMPUTED_VALUE"""),133.0)</f>
        <v>133</v>
      </c>
      <c r="B1160" s="2" t="str">
        <f>IFERROR(__xludf.DUMMYFUNCTION("""COMPUTED_VALUE"""),"GAZIPUR")</f>
        <v>GAZIPUR</v>
      </c>
      <c r="C1160" s="4">
        <f>IFERROR(__xludf.DUMMYFUNCTION("""COMPUTED_VALUE"""),20.0)</f>
        <v>20</v>
      </c>
      <c r="D1160" s="2" t="str">
        <f>IFERROR(__xludf.DUMMYFUNCTION("""COMPUTED_VALUE"""),"AB BANK LTD.")</f>
        <v>AB BANK LTD.</v>
      </c>
      <c r="E1160" s="2" t="str">
        <f>IFERROR(__xludf.DUMMYFUNCTION("""COMPUTED_VALUE"""),"BOARD BAZAR")</f>
        <v>BOARD BAZAR</v>
      </c>
      <c r="F1160" s="3">
        <f>IFERROR(__xludf.DUMMYFUNCTION("""COMPUTED_VALUE"""),22.0)</f>
        <v>22</v>
      </c>
      <c r="G1160" s="5">
        <f>IFERROR(__xludf.DUMMYFUNCTION("""COMPUTED_VALUE"""),2.0330226E7)</f>
        <v>20330226</v>
      </c>
    </row>
    <row r="1161">
      <c r="A1161" s="3">
        <f>IFERROR(__xludf.DUMMYFUNCTION("""COMPUTED_VALUE"""),133.0)</f>
        <v>133</v>
      </c>
      <c r="B1161" s="2" t="str">
        <f>IFERROR(__xludf.DUMMYFUNCTION("""COMPUTED_VALUE"""),"GAZIPUR")</f>
        <v>GAZIPUR</v>
      </c>
      <c r="C1161" s="4">
        <f>IFERROR(__xludf.DUMMYFUNCTION("""COMPUTED_VALUE"""),20.0)</f>
        <v>20</v>
      </c>
      <c r="D1161" s="2" t="str">
        <f>IFERROR(__xludf.DUMMYFUNCTION("""COMPUTED_VALUE"""),"AB BANK LTD.")</f>
        <v>AB BANK LTD.</v>
      </c>
      <c r="E1161" s="2" t="str">
        <f>IFERROR(__xludf.DUMMYFUNCTION("""COMPUTED_VALUE"""),"CHANDRA")</f>
        <v>CHANDRA</v>
      </c>
      <c r="F1161" s="3">
        <f>IFERROR(__xludf.DUMMYFUNCTION("""COMPUTED_VALUE"""),40.0)</f>
        <v>40</v>
      </c>
      <c r="G1161" s="5">
        <f>IFERROR(__xludf.DUMMYFUNCTION("""COMPUTED_VALUE"""),2.03304E7)</f>
        <v>20330400</v>
      </c>
    </row>
    <row r="1162">
      <c r="A1162" s="3">
        <f>IFERROR(__xludf.DUMMYFUNCTION("""COMPUTED_VALUE"""),133.0)</f>
        <v>133</v>
      </c>
      <c r="B1162" s="2" t="str">
        <f>IFERROR(__xludf.DUMMYFUNCTION("""COMPUTED_VALUE"""),"GAZIPUR")</f>
        <v>GAZIPUR</v>
      </c>
      <c r="C1162" s="4">
        <f>IFERROR(__xludf.DUMMYFUNCTION("""COMPUTED_VALUE"""),20.0)</f>
        <v>20</v>
      </c>
      <c r="D1162" s="2" t="str">
        <f>IFERROR(__xludf.DUMMYFUNCTION("""COMPUTED_VALUE"""),"AB BANK LTD.")</f>
        <v>AB BANK LTD.</v>
      </c>
      <c r="E1162" s="2" t="str">
        <f>IFERROR(__xludf.DUMMYFUNCTION("""COMPUTED_VALUE"""),"TONGI")</f>
        <v>TONGI</v>
      </c>
      <c r="F1162" s="3">
        <f>IFERROR(__xludf.DUMMYFUNCTION("""COMPUTED_VALUE"""),163.0)</f>
        <v>163</v>
      </c>
      <c r="G1162" s="5">
        <f>IFERROR(__xludf.DUMMYFUNCTION("""COMPUTED_VALUE"""),2.0331638E7)</f>
        <v>20331638</v>
      </c>
    </row>
    <row r="1163">
      <c r="A1163" s="3">
        <f>IFERROR(__xludf.DUMMYFUNCTION("""COMPUTED_VALUE"""),836.0)</f>
        <v>836</v>
      </c>
      <c r="B1163" s="2" t="str">
        <f>IFERROR(__xludf.DUMMYFUNCTION("""COMPUTED_VALUE"""),"HABIGANJ")</f>
        <v>HABIGANJ</v>
      </c>
      <c r="C1163" s="4">
        <f>IFERROR(__xludf.DUMMYFUNCTION("""COMPUTED_VALUE"""),20.0)</f>
        <v>20</v>
      </c>
      <c r="D1163" s="2" t="str">
        <f>IFERROR(__xludf.DUMMYFUNCTION("""COMPUTED_VALUE"""),"AB BANK LTD.")</f>
        <v>AB BANK LTD.</v>
      </c>
      <c r="E1163" s="2" t="str">
        <f>IFERROR(__xludf.DUMMYFUNCTION("""COMPUTED_VALUE"""),"HABIGANJ")</f>
        <v>HABIGANJ</v>
      </c>
      <c r="F1163" s="3">
        <f>IFERROR(__xludf.DUMMYFUNCTION("""COMPUTED_VALUE"""),61.0)</f>
        <v>61</v>
      </c>
      <c r="G1163" s="5">
        <f>IFERROR(__xludf.DUMMYFUNCTION("""COMPUTED_VALUE"""),2.0360612E7)</f>
        <v>20360612</v>
      </c>
    </row>
    <row r="1164">
      <c r="A1164" s="3">
        <f>IFERROR(__xludf.DUMMYFUNCTION("""COMPUTED_VALUE"""),836.0)</f>
        <v>836</v>
      </c>
      <c r="B1164" s="2" t="str">
        <f>IFERROR(__xludf.DUMMYFUNCTION("""COMPUTED_VALUE"""),"HABIGANJ")</f>
        <v>HABIGANJ</v>
      </c>
      <c r="C1164" s="4">
        <f>IFERROR(__xludf.DUMMYFUNCTION("""COMPUTED_VALUE"""),20.0)</f>
        <v>20</v>
      </c>
      <c r="D1164" s="2" t="str">
        <f>IFERROR(__xludf.DUMMYFUNCTION("""COMPUTED_VALUE"""),"AB BANK LTD.")</f>
        <v>AB BANK LTD.</v>
      </c>
      <c r="E1164" s="2" t="str">
        <f>IFERROR(__xludf.DUMMYFUNCTION("""COMPUTED_VALUE"""),"MADHABPUR")</f>
        <v>MADHABPUR</v>
      </c>
      <c r="F1164" s="3">
        <f>IFERROR(__xludf.DUMMYFUNCTION("""COMPUTED_VALUE"""),88.0)</f>
        <v>88</v>
      </c>
      <c r="G1164" s="5">
        <f>IFERROR(__xludf.DUMMYFUNCTION("""COMPUTED_VALUE"""),2.0360883E7)</f>
        <v>20360883</v>
      </c>
    </row>
    <row r="1165">
      <c r="A1165" s="3">
        <f>IFERROR(__xludf.DUMMYFUNCTION("""COMPUTED_VALUE"""),441.0)</f>
        <v>441</v>
      </c>
      <c r="B1165" s="2" t="str">
        <f>IFERROR(__xludf.DUMMYFUNCTION("""COMPUTED_VALUE"""),"JESSORE")</f>
        <v>JESSORE</v>
      </c>
      <c r="C1165" s="4">
        <f>IFERROR(__xludf.DUMMYFUNCTION("""COMPUTED_VALUE"""),20.0)</f>
        <v>20</v>
      </c>
      <c r="D1165" s="2" t="str">
        <f>IFERROR(__xludf.DUMMYFUNCTION("""COMPUTED_VALUE"""),"AB BANK LTD.")</f>
        <v>AB BANK LTD.</v>
      </c>
      <c r="E1165" s="2" t="str">
        <f>IFERROR(__xludf.DUMMYFUNCTION("""COMPUTED_VALUE"""),"BENAPOLE")</f>
        <v>BENAPOLE</v>
      </c>
      <c r="F1165" s="3">
        <f>IFERROR(__xludf.DUMMYFUNCTION("""COMPUTED_VALUE"""),28.0)</f>
        <v>28</v>
      </c>
      <c r="G1165" s="5">
        <f>IFERROR(__xludf.DUMMYFUNCTION("""COMPUTED_VALUE"""),2.0410283E7)</f>
        <v>20410283</v>
      </c>
    </row>
    <row r="1166">
      <c r="A1166" s="3">
        <f>IFERROR(__xludf.DUMMYFUNCTION("""COMPUTED_VALUE"""),441.0)</f>
        <v>441</v>
      </c>
      <c r="B1166" s="2" t="str">
        <f>IFERROR(__xludf.DUMMYFUNCTION("""COMPUTED_VALUE"""),"JESSORE")</f>
        <v>JESSORE</v>
      </c>
      <c r="C1166" s="4">
        <f>IFERROR(__xludf.DUMMYFUNCTION("""COMPUTED_VALUE"""),20.0)</f>
        <v>20</v>
      </c>
      <c r="D1166" s="2" t="str">
        <f>IFERROR(__xludf.DUMMYFUNCTION("""COMPUTED_VALUE"""),"AB BANK LTD.")</f>
        <v>AB BANK LTD.</v>
      </c>
      <c r="E1166" s="2" t="str">
        <f>IFERROR(__xludf.DUMMYFUNCTION("""COMPUTED_VALUE"""),"JESSORE")</f>
        <v>JESSORE</v>
      </c>
      <c r="F1166" s="3">
        <f>IFERROR(__xludf.DUMMYFUNCTION("""COMPUTED_VALUE"""),94.0)</f>
        <v>94</v>
      </c>
      <c r="G1166" s="5">
        <f>IFERROR(__xludf.DUMMYFUNCTION("""COMPUTED_VALUE"""),2.0410946E7)</f>
        <v>20410946</v>
      </c>
    </row>
    <row r="1167">
      <c r="A1167" s="3">
        <f>IFERROR(__xludf.DUMMYFUNCTION("""COMPUTED_VALUE"""),441.0)</f>
        <v>441</v>
      </c>
      <c r="B1167" s="2" t="str">
        <f>IFERROR(__xludf.DUMMYFUNCTION("""COMPUTED_VALUE"""),"JESSORE")</f>
        <v>JESSORE</v>
      </c>
      <c r="C1167" s="4">
        <f>IFERROR(__xludf.DUMMYFUNCTION("""COMPUTED_VALUE"""),20.0)</f>
        <v>20</v>
      </c>
      <c r="D1167" s="2" t="str">
        <f>IFERROR(__xludf.DUMMYFUNCTION("""COMPUTED_VALUE"""),"AB BANK LTD.")</f>
        <v>AB BANK LTD.</v>
      </c>
      <c r="E1167" s="2" t="str">
        <f>IFERROR(__xludf.DUMMYFUNCTION("""COMPUTED_VALUE"""),"JHIKARGACHA")</f>
        <v>JHIKARGACHA</v>
      </c>
      <c r="F1167" s="3">
        <f>IFERROR(__xludf.DUMMYFUNCTION("""COMPUTED_VALUE"""),109.0)</f>
        <v>109</v>
      </c>
      <c r="G1167" s="5">
        <f>IFERROR(__xludf.DUMMYFUNCTION("""COMPUTED_VALUE"""),2.0411095E7)</f>
        <v>20411095</v>
      </c>
    </row>
    <row r="1168">
      <c r="A1168" s="3">
        <f>IFERROR(__xludf.DUMMYFUNCTION("""COMPUTED_VALUE"""),444.0)</f>
        <v>444</v>
      </c>
      <c r="B1168" s="2" t="str">
        <f>IFERROR(__xludf.DUMMYFUNCTION("""COMPUTED_VALUE"""),"JHENAIDAH")</f>
        <v>JHENAIDAH</v>
      </c>
      <c r="C1168" s="4">
        <f>IFERROR(__xludf.DUMMYFUNCTION("""COMPUTED_VALUE"""),20.0)</f>
        <v>20</v>
      </c>
      <c r="D1168" s="2" t="str">
        <f>IFERROR(__xludf.DUMMYFUNCTION("""COMPUTED_VALUE"""),"AB BANK LTD.")</f>
        <v>AB BANK LTD.</v>
      </c>
      <c r="E1168" s="2" t="str">
        <f>IFERROR(__xludf.DUMMYFUNCTION("""COMPUTED_VALUE"""),"JHENAIDAH")</f>
        <v>JHENAIDAH</v>
      </c>
      <c r="F1168" s="3">
        <f>IFERROR(__xludf.DUMMYFUNCTION("""COMPUTED_VALUE"""),64.0)</f>
        <v>64</v>
      </c>
      <c r="G1168" s="5">
        <f>IFERROR(__xludf.DUMMYFUNCTION("""COMPUTED_VALUE"""),2.044064E7)</f>
        <v>20440640</v>
      </c>
    </row>
    <row r="1169">
      <c r="A1169" s="3">
        <f>IFERROR(__xludf.DUMMYFUNCTION("""COMPUTED_VALUE"""),447.0)</f>
        <v>447</v>
      </c>
      <c r="B1169" s="2" t="str">
        <f>IFERROR(__xludf.DUMMYFUNCTION("""COMPUTED_VALUE"""),"KHULNA")</f>
        <v>KHULNA</v>
      </c>
      <c r="C1169" s="4">
        <f>IFERROR(__xludf.DUMMYFUNCTION("""COMPUTED_VALUE"""),20.0)</f>
        <v>20</v>
      </c>
      <c r="D1169" s="2" t="str">
        <f>IFERROR(__xludf.DUMMYFUNCTION("""COMPUTED_VALUE"""),"AB BANK LTD.")</f>
        <v>AB BANK LTD.</v>
      </c>
      <c r="E1169" s="2" t="str">
        <f>IFERROR(__xludf.DUMMYFUNCTION("""COMPUTED_VALUE"""),"KHULNA")</f>
        <v>KHULNA</v>
      </c>
      <c r="F1169" s="3">
        <f>IFERROR(__xludf.DUMMYFUNCTION("""COMPUTED_VALUE"""),154.0)</f>
        <v>154</v>
      </c>
      <c r="G1169" s="5">
        <f>IFERROR(__xludf.DUMMYFUNCTION("""COMPUTED_VALUE"""),2.0471543E7)</f>
        <v>20471543</v>
      </c>
    </row>
    <row r="1170">
      <c r="A1170" s="3">
        <f>IFERROR(__xludf.DUMMYFUNCTION("""COMPUTED_VALUE"""),148.0)</f>
        <v>148</v>
      </c>
      <c r="B1170" s="2" t="str">
        <f>IFERROR(__xludf.DUMMYFUNCTION("""COMPUTED_VALUE"""),"KISHOREGANJ")</f>
        <v>KISHOREGANJ</v>
      </c>
      <c r="C1170" s="4">
        <f>IFERROR(__xludf.DUMMYFUNCTION("""COMPUTED_VALUE"""),20.0)</f>
        <v>20</v>
      </c>
      <c r="D1170" s="2" t="str">
        <f>IFERROR(__xludf.DUMMYFUNCTION("""COMPUTED_VALUE"""),"AB BANK LTD.")</f>
        <v>AB BANK LTD.</v>
      </c>
      <c r="E1170" s="2" t="str">
        <f>IFERROR(__xludf.DUMMYFUNCTION("""COMPUTED_VALUE"""),"AUSTAGRAM")</f>
        <v>AUSTAGRAM</v>
      </c>
      <c r="F1170" s="3">
        <f>IFERROR(__xludf.DUMMYFUNCTION("""COMPUTED_VALUE"""),7.0)</f>
        <v>7</v>
      </c>
      <c r="G1170" s="5">
        <f>IFERROR(__xludf.DUMMYFUNCTION("""COMPUTED_VALUE"""),2.0480071E7)</f>
        <v>20480071</v>
      </c>
    </row>
    <row r="1171">
      <c r="A1171" s="3">
        <f>IFERROR(__xludf.DUMMYFUNCTION("""COMPUTED_VALUE"""),148.0)</f>
        <v>148</v>
      </c>
      <c r="B1171" s="2" t="str">
        <f>IFERROR(__xludf.DUMMYFUNCTION("""COMPUTED_VALUE"""),"KISHOREGANJ")</f>
        <v>KISHOREGANJ</v>
      </c>
      <c r="C1171" s="4">
        <f>IFERROR(__xludf.DUMMYFUNCTION("""COMPUTED_VALUE"""),20.0)</f>
        <v>20</v>
      </c>
      <c r="D1171" s="2" t="str">
        <f>IFERROR(__xludf.DUMMYFUNCTION("""COMPUTED_VALUE"""),"AB BANK LTD.")</f>
        <v>AB BANK LTD.</v>
      </c>
      <c r="E1171" s="2" t="str">
        <f>IFERROR(__xludf.DUMMYFUNCTION("""COMPUTED_VALUE"""),"BHAIRAB BAZAR")</f>
        <v>BHAIRAB BAZAR</v>
      </c>
      <c r="F1171" s="3">
        <f>IFERROR(__xludf.DUMMYFUNCTION("""COMPUTED_VALUE"""),22.0)</f>
        <v>22</v>
      </c>
      <c r="G1171" s="5">
        <f>IFERROR(__xludf.DUMMYFUNCTION("""COMPUTED_VALUE"""),2.0480226E7)</f>
        <v>20480226</v>
      </c>
    </row>
    <row r="1172">
      <c r="A1172" s="3">
        <f>IFERROR(__xludf.DUMMYFUNCTION("""COMPUTED_VALUE"""),450.0)</f>
        <v>450</v>
      </c>
      <c r="B1172" s="2" t="str">
        <f>IFERROR(__xludf.DUMMYFUNCTION("""COMPUTED_VALUE"""),"KUSHTIA")</f>
        <v>KUSHTIA</v>
      </c>
      <c r="C1172" s="4">
        <f>IFERROR(__xludf.DUMMYFUNCTION("""COMPUTED_VALUE"""),20.0)</f>
        <v>20</v>
      </c>
      <c r="D1172" s="2" t="str">
        <f>IFERROR(__xludf.DUMMYFUNCTION("""COMPUTED_VALUE"""),"AB BANK LTD.")</f>
        <v>AB BANK LTD.</v>
      </c>
      <c r="E1172" s="2" t="str">
        <f>IFERROR(__xludf.DUMMYFUNCTION("""COMPUTED_VALUE"""),"KUSHTIA")</f>
        <v>KUSHTIA</v>
      </c>
      <c r="F1172" s="3">
        <f>IFERROR(__xludf.DUMMYFUNCTION("""COMPUTED_VALUE"""),94.0)</f>
        <v>94</v>
      </c>
      <c r="G1172" s="5">
        <f>IFERROR(__xludf.DUMMYFUNCTION("""COMPUTED_VALUE"""),2.0500948E7)</f>
        <v>20500948</v>
      </c>
    </row>
    <row r="1173">
      <c r="A1173" s="3">
        <f>IFERROR(__xludf.DUMMYFUNCTION("""COMPUTED_VALUE"""),752.0)</f>
        <v>752</v>
      </c>
      <c r="B1173" s="2" t="str">
        <f>IFERROR(__xludf.DUMMYFUNCTION("""COMPUTED_VALUE"""),"LALMONIRHAT")</f>
        <v>LALMONIRHAT</v>
      </c>
      <c r="C1173" s="4">
        <f>IFERROR(__xludf.DUMMYFUNCTION("""COMPUTED_VALUE"""),20.0)</f>
        <v>20</v>
      </c>
      <c r="D1173" s="2" t="str">
        <f>IFERROR(__xludf.DUMMYFUNCTION("""COMPUTED_VALUE"""),"AB BANK LTD.")</f>
        <v>AB BANK LTD.</v>
      </c>
      <c r="E1173" s="2" t="str">
        <f>IFERROR(__xludf.DUMMYFUNCTION("""COMPUTED_VALUE"""),"LALMONIRHAT")</f>
        <v>LALMONIRHAT</v>
      </c>
      <c r="F1173" s="3">
        <f>IFERROR(__xludf.DUMMYFUNCTION("""COMPUTED_VALUE"""),46.0)</f>
        <v>46</v>
      </c>
      <c r="G1173" s="5">
        <f>IFERROR(__xludf.DUMMYFUNCTION("""COMPUTED_VALUE"""),2.0520465E7)</f>
        <v>20520465</v>
      </c>
    </row>
    <row r="1174">
      <c r="A1174" s="3">
        <f>IFERROR(__xludf.DUMMYFUNCTION("""COMPUTED_VALUE"""),156.0)</f>
        <v>156</v>
      </c>
      <c r="B1174" s="2" t="str">
        <f>IFERROR(__xludf.DUMMYFUNCTION("""COMPUTED_VALUE"""),"MANIKGANJ")</f>
        <v>MANIKGANJ</v>
      </c>
      <c r="C1174" s="4">
        <f>IFERROR(__xludf.DUMMYFUNCTION("""COMPUTED_VALUE"""),20.0)</f>
        <v>20</v>
      </c>
      <c r="D1174" s="2" t="str">
        <f>IFERROR(__xludf.DUMMYFUNCTION("""COMPUTED_VALUE"""),"AB BANK LTD.")</f>
        <v>AB BANK LTD.</v>
      </c>
      <c r="E1174" s="2" t="str">
        <f>IFERROR(__xludf.DUMMYFUNCTION("""COMPUTED_VALUE"""),"PARIL")</f>
        <v>PARIL</v>
      </c>
      <c r="F1174" s="3">
        <f>IFERROR(__xludf.DUMMYFUNCTION("""COMPUTED_VALUE"""),8.0)</f>
        <v>8</v>
      </c>
      <c r="G1174" s="5">
        <f>IFERROR(__xludf.DUMMYFUNCTION("""COMPUTED_VALUE"""),2.0560083E7)</f>
        <v>20560083</v>
      </c>
    </row>
    <row r="1175">
      <c r="A1175" s="3">
        <f>IFERROR(__xludf.DUMMYFUNCTION("""COMPUTED_VALUE"""),858.0)</f>
        <v>858</v>
      </c>
      <c r="B1175" s="2" t="str">
        <f>IFERROR(__xludf.DUMMYFUNCTION("""COMPUTED_VALUE"""),"MOULVI BAZAR")</f>
        <v>MOULVI BAZAR</v>
      </c>
      <c r="C1175" s="4">
        <f>IFERROR(__xludf.DUMMYFUNCTION("""COMPUTED_VALUE"""),20.0)</f>
        <v>20</v>
      </c>
      <c r="D1175" s="2" t="str">
        <f>IFERROR(__xludf.DUMMYFUNCTION("""COMPUTED_VALUE"""),"AB BANK LTD.")</f>
        <v>AB BANK LTD.</v>
      </c>
      <c r="E1175" s="2" t="str">
        <f>IFERROR(__xludf.DUMMYFUNCTION("""COMPUTED_VALUE"""),"MOULAVI BAZAR")</f>
        <v>MOULAVI BAZAR</v>
      </c>
      <c r="F1175" s="3">
        <f>IFERROR(__xludf.DUMMYFUNCTION("""COMPUTED_VALUE"""),118.0)</f>
        <v>118</v>
      </c>
      <c r="G1175" s="5">
        <f>IFERROR(__xludf.DUMMYFUNCTION("""COMPUTED_VALUE"""),2.0581183E7)</f>
        <v>20581183</v>
      </c>
    </row>
    <row r="1176">
      <c r="A1176" s="3">
        <f>IFERROR(__xludf.DUMMYFUNCTION("""COMPUTED_VALUE"""),858.0)</f>
        <v>858</v>
      </c>
      <c r="B1176" s="2" t="str">
        <f>IFERROR(__xludf.DUMMYFUNCTION("""COMPUTED_VALUE"""),"MOULVI BAZAR")</f>
        <v>MOULVI BAZAR</v>
      </c>
      <c r="C1176" s="4">
        <f>IFERROR(__xludf.DUMMYFUNCTION("""COMPUTED_VALUE"""),20.0)</f>
        <v>20</v>
      </c>
      <c r="D1176" s="2" t="str">
        <f>IFERROR(__xludf.DUMMYFUNCTION("""COMPUTED_VALUE"""),"AB BANK LTD.")</f>
        <v>AB BANK LTD.</v>
      </c>
      <c r="E1176" s="2" t="str">
        <f>IFERROR(__xludf.DUMMYFUNCTION("""COMPUTED_VALUE"""),"SREE MANGAL")</f>
        <v>SREE MANGAL</v>
      </c>
      <c r="F1176" s="3">
        <f>IFERROR(__xludf.DUMMYFUNCTION("""COMPUTED_VALUE"""),172.0)</f>
        <v>172</v>
      </c>
      <c r="G1176" s="5">
        <f>IFERROR(__xludf.DUMMYFUNCTION("""COMPUTED_VALUE"""),2.0581725E7)</f>
        <v>20581725</v>
      </c>
    </row>
    <row r="1177">
      <c r="A1177" s="3">
        <f>IFERROR(__xludf.DUMMYFUNCTION("""COMPUTED_VALUE"""),161.0)</f>
        <v>161</v>
      </c>
      <c r="B1177" s="2" t="str">
        <f>IFERROR(__xludf.DUMMYFUNCTION("""COMPUTED_VALUE"""),"MYMENSINGH")</f>
        <v>MYMENSINGH</v>
      </c>
      <c r="C1177" s="4">
        <f>IFERROR(__xludf.DUMMYFUNCTION("""COMPUTED_VALUE"""),20.0)</f>
        <v>20</v>
      </c>
      <c r="D1177" s="2" t="str">
        <f>IFERROR(__xludf.DUMMYFUNCTION("""COMPUTED_VALUE"""),"AB BANK LTD.")</f>
        <v>AB BANK LTD.</v>
      </c>
      <c r="E1177" s="2" t="str">
        <f>IFERROR(__xludf.DUMMYFUNCTION("""COMPUTED_VALUE"""),"MYMENSINGH BUSINESS CENTER")</f>
        <v>MYMENSINGH BUSINESS CENTER</v>
      </c>
      <c r="F1177" s="3">
        <f>IFERROR(__xludf.DUMMYFUNCTION("""COMPUTED_VALUE"""),178.0)</f>
        <v>178</v>
      </c>
      <c r="G1177" s="5">
        <f>IFERROR(__xludf.DUMMYFUNCTION("""COMPUTED_VALUE"""),2.0611787E7)</f>
        <v>20611787</v>
      </c>
    </row>
    <row r="1178">
      <c r="A1178" s="3">
        <f>IFERROR(__xludf.DUMMYFUNCTION("""COMPUTED_VALUE"""),161.0)</f>
        <v>161</v>
      </c>
      <c r="B1178" s="2" t="str">
        <f>IFERROR(__xludf.DUMMYFUNCTION("""COMPUTED_VALUE"""),"MYMENSINGH")</f>
        <v>MYMENSINGH</v>
      </c>
      <c r="C1178" s="4">
        <f>IFERROR(__xludf.DUMMYFUNCTION("""COMPUTED_VALUE"""),20.0)</f>
        <v>20</v>
      </c>
      <c r="D1178" s="2" t="str">
        <f>IFERROR(__xludf.DUMMYFUNCTION("""COMPUTED_VALUE"""),"AB BANK LTD.")</f>
        <v>AB BANK LTD.</v>
      </c>
      <c r="E1178" s="2" t="str">
        <f>IFERROR(__xludf.DUMMYFUNCTION("""COMPUTED_VALUE"""),"SEEDSTORE BAZAR")</f>
        <v>SEEDSTORE BAZAR</v>
      </c>
      <c r="F1178" s="3">
        <f>IFERROR(__xludf.DUMMYFUNCTION("""COMPUTED_VALUE"""),209.0)</f>
        <v>209</v>
      </c>
      <c r="G1178" s="5">
        <f>IFERROR(__xludf.DUMMYFUNCTION("""COMPUTED_VALUE"""),2.0612094E7)</f>
        <v>20612094</v>
      </c>
    </row>
    <row r="1179">
      <c r="A1179" s="3">
        <f>IFERROR(__xludf.DUMMYFUNCTION("""COMPUTED_VALUE"""),564.0)</f>
        <v>564</v>
      </c>
      <c r="B1179" s="2" t="str">
        <f>IFERROR(__xludf.DUMMYFUNCTION("""COMPUTED_VALUE"""),"NAOGAON")</f>
        <v>NAOGAON</v>
      </c>
      <c r="C1179" s="4">
        <f>IFERROR(__xludf.DUMMYFUNCTION("""COMPUTED_VALUE"""),20.0)</f>
        <v>20</v>
      </c>
      <c r="D1179" s="2" t="str">
        <f>IFERROR(__xludf.DUMMYFUNCTION("""COMPUTED_VALUE"""),"AB BANK LTD.")</f>
        <v>AB BANK LTD.</v>
      </c>
      <c r="E1179" s="2" t="str">
        <f>IFERROR(__xludf.DUMMYFUNCTION("""COMPUTED_VALUE"""),"NAOGAON")</f>
        <v>NAOGAON</v>
      </c>
      <c r="F1179" s="3">
        <f>IFERROR(__xludf.DUMMYFUNCTION("""COMPUTED_VALUE"""),118.0)</f>
        <v>118</v>
      </c>
      <c r="G1179" s="5">
        <f>IFERROR(__xludf.DUMMYFUNCTION("""COMPUTED_VALUE"""),2.0641186E7)</f>
        <v>20641186</v>
      </c>
    </row>
    <row r="1180">
      <c r="A1180" s="3">
        <f>IFERROR(__xludf.DUMMYFUNCTION("""COMPUTED_VALUE"""),167.0)</f>
        <v>167</v>
      </c>
      <c r="B1180" s="2" t="str">
        <f>IFERROR(__xludf.DUMMYFUNCTION("""COMPUTED_VALUE"""),"NARAYANGANJ")</f>
        <v>NARAYANGANJ</v>
      </c>
      <c r="C1180" s="4">
        <f>IFERROR(__xludf.DUMMYFUNCTION("""COMPUTED_VALUE"""),20.0)</f>
        <v>20</v>
      </c>
      <c r="D1180" s="2" t="str">
        <f>IFERROR(__xludf.DUMMYFUNCTION("""COMPUTED_VALUE"""),"AB BANK LTD.")</f>
        <v>AB BANK LTD.</v>
      </c>
      <c r="E1180" s="2" t="str">
        <f>IFERROR(__xludf.DUMMYFUNCTION("""COMPUTED_VALUE"""),"BHULTA")</f>
        <v>BHULTA</v>
      </c>
      <c r="F1180" s="3">
        <f>IFERROR(__xludf.DUMMYFUNCTION("""COMPUTED_VALUE"""),22.0)</f>
        <v>22</v>
      </c>
      <c r="G1180" s="5">
        <f>IFERROR(__xludf.DUMMYFUNCTION("""COMPUTED_VALUE"""),2.0670223E7)</f>
        <v>20670223</v>
      </c>
    </row>
    <row r="1181">
      <c r="A1181" s="3">
        <f>IFERROR(__xludf.DUMMYFUNCTION("""COMPUTED_VALUE"""),167.0)</f>
        <v>167</v>
      </c>
      <c r="B1181" s="2" t="str">
        <f>IFERROR(__xludf.DUMMYFUNCTION("""COMPUTED_VALUE"""),"NARAYANGANJ")</f>
        <v>NARAYANGANJ</v>
      </c>
      <c r="C1181" s="4">
        <f>IFERROR(__xludf.DUMMYFUNCTION("""COMPUTED_VALUE"""),20.0)</f>
        <v>20</v>
      </c>
      <c r="D1181" s="2" t="str">
        <f>IFERROR(__xludf.DUMMYFUNCTION("""COMPUTED_VALUE"""),"AB BANK LTD.")</f>
        <v>AB BANK LTD.</v>
      </c>
      <c r="E1181" s="2" t="str">
        <f>IFERROR(__xludf.DUMMYFUNCTION("""COMPUTED_VALUE"""),"NARAYANGANJ")</f>
        <v>NARAYANGANJ</v>
      </c>
      <c r="F1181" s="3">
        <f>IFERROR(__xludf.DUMMYFUNCTION("""COMPUTED_VALUE"""),118.0)</f>
        <v>118</v>
      </c>
      <c r="G1181" s="5">
        <f>IFERROR(__xludf.DUMMYFUNCTION("""COMPUTED_VALUE"""),2.0671185E7)</f>
        <v>20671185</v>
      </c>
    </row>
    <row r="1182">
      <c r="A1182" s="3">
        <f>IFERROR(__xludf.DUMMYFUNCTION("""COMPUTED_VALUE"""),167.0)</f>
        <v>167</v>
      </c>
      <c r="B1182" s="2" t="str">
        <f>IFERROR(__xludf.DUMMYFUNCTION("""COMPUTED_VALUE"""),"NARAYANGANJ")</f>
        <v>NARAYANGANJ</v>
      </c>
      <c r="C1182" s="4">
        <f>IFERROR(__xludf.DUMMYFUNCTION("""COMPUTED_VALUE"""),20.0)</f>
        <v>20</v>
      </c>
      <c r="D1182" s="2" t="str">
        <f>IFERROR(__xludf.DUMMYFUNCTION("""COMPUTED_VALUE"""),"AB BANK LTD.")</f>
        <v>AB BANK LTD.</v>
      </c>
      <c r="E1182" s="2" t="str">
        <f>IFERROR(__xludf.DUMMYFUNCTION("""COMPUTED_VALUE"""),"PAGLA")</f>
        <v>PAGLA</v>
      </c>
      <c r="F1182" s="3">
        <f>IFERROR(__xludf.DUMMYFUNCTION("""COMPUTED_VALUE"""),130.0)</f>
        <v>130</v>
      </c>
      <c r="G1182" s="5">
        <f>IFERROR(__xludf.DUMMYFUNCTION("""COMPUTED_VALUE"""),2.0671301E7)</f>
        <v>20671301</v>
      </c>
    </row>
    <row r="1183">
      <c r="A1183" s="3">
        <f>IFERROR(__xludf.DUMMYFUNCTION("""COMPUTED_VALUE"""),168.0)</f>
        <v>168</v>
      </c>
      <c r="B1183" s="2" t="str">
        <f>IFERROR(__xludf.DUMMYFUNCTION("""COMPUTED_VALUE"""),"NARSHINGDI")</f>
        <v>NARSHINGDI</v>
      </c>
      <c r="C1183" s="4">
        <f>IFERROR(__xludf.DUMMYFUNCTION("""COMPUTED_VALUE"""),20.0)</f>
        <v>20</v>
      </c>
      <c r="D1183" s="2" t="str">
        <f>IFERROR(__xludf.DUMMYFUNCTION("""COMPUTED_VALUE"""),"AB BANK LTD.")</f>
        <v>AB BANK LTD.</v>
      </c>
      <c r="E1183" s="2" t="str">
        <f>IFERROR(__xludf.DUMMYFUNCTION("""COMPUTED_VALUE"""),"MADHABDI")</f>
        <v>MADHABDI</v>
      </c>
      <c r="F1183" s="3">
        <f>IFERROR(__xludf.DUMMYFUNCTION("""COMPUTED_VALUE"""),67.0)</f>
        <v>67</v>
      </c>
      <c r="G1183" s="5">
        <f>IFERROR(__xludf.DUMMYFUNCTION("""COMPUTED_VALUE"""),2.0680671E7)</f>
        <v>20680671</v>
      </c>
    </row>
    <row r="1184">
      <c r="A1184" s="3">
        <f>IFERROR(__xludf.DUMMYFUNCTION("""COMPUTED_VALUE"""),570.0)</f>
        <v>570</v>
      </c>
      <c r="B1184" s="2" t="str">
        <f>IFERROR(__xludf.DUMMYFUNCTION("""COMPUTED_VALUE"""),"NAWABGANJ")</f>
        <v>NAWABGANJ</v>
      </c>
      <c r="C1184" s="4">
        <f>IFERROR(__xludf.DUMMYFUNCTION("""COMPUTED_VALUE"""),20.0)</f>
        <v>20</v>
      </c>
      <c r="D1184" s="2" t="str">
        <f>IFERROR(__xludf.DUMMYFUNCTION("""COMPUTED_VALUE"""),"AB BANK LTD.")</f>
        <v>AB BANK LTD.</v>
      </c>
      <c r="E1184" s="2" t="str">
        <f>IFERROR(__xludf.DUMMYFUNCTION("""COMPUTED_VALUE"""),"CHAPAI NAWABGANJ")</f>
        <v>CHAPAI NAWABGANJ</v>
      </c>
      <c r="F1184" s="3">
        <f>IFERROR(__xludf.DUMMYFUNCTION("""COMPUTED_VALUE"""),25.0)</f>
        <v>25</v>
      </c>
      <c r="G1184" s="5">
        <f>IFERROR(__xludf.DUMMYFUNCTION("""COMPUTED_VALUE"""),2.0700256E7)</f>
        <v>20700256</v>
      </c>
    </row>
    <row r="1185">
      <c r="A1185" s="3">
        <f>IFERROR(__xludf.DUMMYFUNCTION("""COMPUTED_VALUE"""),773.0)</f>
        <v>773</v>
      </c>
      <c r="B1185" s="2" t="str">
        <f>IFERROR(__xludf.DUMMYFUNCTION("""COMPUTED_VALUE"""),"NILPHAMARI")</f>
        <v>NILPHAMARI</v>
      </c>
      <c r="C1185" s="4">
        <f>IFERROR(__xludf.DUMMYFUNCTION("""COMPUTED_VALUE"""),20.0)</f>
        <v>20</v>
      </c>
      <c r="D1185" s="2" t="str">
        <f>IFERROR(__xludf.DUMMYFUNCTION("""COMPUTED_VALUE"""),"AB BANK LTD.")</f>
        <v>AB BANK LTD.</v>
      </c>
      <c r="E1185" s="2" t="str">
        <f>IFERROR(__xludf.DUMMYFUNCTION("""COMPUTED_VALUE"""),"SAYEDPUR")</f>
        <v>SAYEDPUR</v>
      </c>
      <c r="F1185" s="3">
        <f>IFERROR(__xludf.DUMMYFUNCTION("""COMPUTED_VALUE"""),79.0)</f>
        <v>79</v>
      </c>
      <c r="G1185" s="5">
        <f>IFERROR(__xludf.DUMMYFUNCTION("""COMPUTED_VALUE"""),2.0730792E7)</f>
        <v>20730792</v>
      </c>
    </row>
    <row r="1186">
      <c r="A1186" s="3">
        <f>IFERROR(__xludf.DUMMYFUNCTION("""COMPUTED_VALUE"""),275.0)</f>
        <v>275</v>
      </c>
      <c r="B1186" s="2" t="str">
        <f>IFERROR(__xludf.DUMMYFUNCTION("""COMPUTED_VALUE"""),"NOAKHALI")</f>
        <v>NOAKHALI</v>
      </c>
      <c r="C1186" s="4">
        <f>IFERROR(__xludf.DUMMYFUNCTION("""COMPUTED_VALUE"""),20.0)</f>
        <v>20</v>
      </c>
      <c r="D1186" s="2" t="str">
        <f>IFERROR(__xludf.DUMMYFUNCTION("""COMPUTED_VALUE"""),"AB BANK LTD.")</f>
        <v>AB BANK LTD.</v>
      </c>
      <c r="E1186" s="2" t="str">
        <f>IFERROR(__xludf.DUMMYFUNCTION("""COMPUTED_VALUE"""),"CHOUMOHANI")</f>
        <v>CHOUMOHANI</v>
      </c>
      <c r="F1186" s="3">
        <f>IFERROR(__xludf.DUMMYFUNCTION("""COMPUTED_VALUE"""),67.0)</f>
        <v>67</v>
      </c>
      <c r="G1186" s="5">
        <f>IFERROR(__xludf.DUMMYFUNCTION("""COMPUTED_VALUE"""),2.0750677E7)</f>
        <v>20750677</v>
      </c>
    </row>
    <row r="1187">
      <c r="A1187" s="3">
        <f>IFERROR(__xludf.DUMMYFUNCTION("""COMPUTED_VALUE"""),576.0)</f>
        <v>576</v>
      </c>
      <c r="B1187" s="2" t="str">
        <f>IFERROR(__xludf.DUMMYFUNCTION("""COMPUTED_VALUE"""),"PABNA")</f>
        <v>PABNA</v>
      </c>
      <c r="C1187" s="4">
        <f>IFERROR(__xludf.DUMMYFUNCTION("""COMPUTED_VALUE"""),20.0)</f>
        <v>20</v>
      </c>
      <c r="D1187" s="2" t="str">
        <f>IFERROR(__xludf.DUMMYFUNCTION("""COMPUTED_VALUE"""),"AB BANK LTD.")</f>
        <v>AB BANK LTD.</v>
      </c>
      <c r="E1187" s="2" t="str">
        <f>IFERROR(__xludf.DUMMYFUNCTION("""COMPUTED_VALUE"""),"PABNA")</f>
        <v>PABNA</v>
      </c>
      <c r="F1187" s="3">
        <f>IFERROR(__xludf.DUMMYFUNCTION("""COMPUTED_VALUE"""),178.0)</f>
        <v>178</v>
      </c>
      <c r="G1187" s="5">
        <f>IFERROR(__xludf.DUMMYFUNCTION("""COMPUTED_VALUE"""),2.0761787E7)</f>
        <v>20761787</v>
      </c>
    </row>
    <row r="1188">
      <c r="A1188" s="3">
        <f>IFERROR(__xludf.DUMMYFUNCTION("""COMPUTED_VALUE"""),581.0)</f>
        <v>581</v>
      </c>
      <c r="B1188" s="2" t="str">
        <f>IFERROR(__xludf.DUMMYFUNCTION("""COMPUTED_VALUE"""),"RAJSHAHI")</f>
        <v>RAJSHAHI</v>
      </c>
      <c r="C1188" s="4">
        <f>IFERROR(__xludf.DUMMYFUNCTION("""COMPUTED_VALUE"""),20.0)</f>
        <v>20</v>
      </c>
      <c r="D1188" s="2" t="str">
        <f>IFERROR(__xludf.DUMMYFUNCTION("""COMPUTED_VALUE"""),"AB BANK LTD.")</f>
        <v>AB BANK LTD.</v>
      </c>
      <c r="E1188" s="2" t="str">
        <f>IFERROR(__xludf.DUMMYFUNCTION("""COMPUTED_VALUE"""),"RAJSHAHI")</f>
        <v>RAJSHAHI</v>
      </c>
      <c r="F1188" s="3">
        <f>IFERROR(__xludf.DUMMYFUNCTION("""COMPUTED_VALUE"""),193.0)</f>
        <v>193</v>
      </c>
      <c r="G1188" s="5">
        <f>IFERROR(__xludf.DUMMYFUNCTION("""COMPUTED_VALUE"""),2.0811932E7)</f>
        <v>20811932</v>
      </c>
    </row>
    <row r="1189">
      <c r="A1189" s="3">
        <f>IFERROR(__xludf.DUMMYFUNCTION("""COMPUTED_VALUE"""),785.0)</f>
        <v>785</v>
      </c>
      <c r="B1189" s="2" t="str">
        <f>IFERROR(__xludf.DUMMYFUNCTION("""COMPUTED_VALUE"""),"RANGPUR")</f>
        <v>RANGPUR</v>
      </c>
      <c r="C1189" s="4">
        <f>IFERROR(__xludf.DUMMYFUNCTION("""COMPUTED_VALUE"""),20.0)</f>
        <v>20</v>
      </c>
      <c r="D1189" s="2" t="str">
        <f>IFERROR(__xludf.DUMMYFUNCTION("""COMPUTED_VALUE"""),"AB BANK LTD.")</f>
        <v>AB BANK LTD.</v>
      </c>
      <c r="E1189" s="2" t="str">
        <f>IFERROR(__xludf.DUMMYFUNCTION("""COMPUTED_VALUE"""),"RANGPUR")</f>
        <v>RANGPUR</v>
      </c>
      <c r="F1189" s="3">
        <f>IFERROR(__xludf.DUMMYFUNCTION("""COMPUTED_VALUE"""),145.0)</f>
        <v>145</v>
      </c>
      <c r="G1189" s="5">
        <f>IFERROR(__xludf.DUMMYFUNCTION("""COMPUTED_VALUE"""),2.0851455E7)</f>
        <v>20851455</v>
      </c>
    </row>
    <row r="1190">
      <c r="A1190" s="3">
        <f>IFERROR(__xludf.DUMMYFUNCTION("""COMPUTED_VALUE"""),487.0)</f>
        <v>487</v>
      </c>
      <c r="B1190" s="2" t="str">
        <f>IFERROR(__xludf.DUMMYFUNCTION("""COMPUTED_VALUE"""),"SATKHIRA")</f>
        <v>SATKHIRA</v>
      </c>
      <c r="C1190" s="4">
        <f>IFERROR(__xludf.DUMMYFUNCTION("""COMPUTED_VALUE"""),20.0)</f>
        <v>20</v>
      </c>
      <c r="D1190" s="2" t="str">
        <f>IFERROR(__xludf.DUMMYFUNCTION("""COMPUTED_VALUE"""),"AB BANK LTD.")</f>
        <v>AB BANK LTD.</v>
      </c>
      <c r="E1190" s="2" t="str">
        <f>IFERROR(__xludf.DUMMYFUNCTION("""COMPUTED_VALUE"""),"SATKHIRA")</f>
        <v>SATKHIRA</v>
      </c>
      <c r="F1190" s="3">
        <f>IFERROR(__xludf.DUMMYFUNCTION("""COMPUTED_VALUE"""),109.0)</f>
        <v>109</v>
      </c>
      <c r="G1190" s="5">
        <f>IFERROR(__xludf.DUMMYFUNCTION("""COMPUTED_VALUE"""),2.0871093E7)</f>
        <v>20871093</v>
      </c>
    </row>
    <row r="1191">
      <c r="A1191" s="3">
        <f>IFERROR(__xludf.DUMMYFUNCTION("""COMPUTED_VALUE"""),688.0)</f>
        <v>688</v>
      </c>
      <c r="B1191" s="2" t="str">
        <f>IFERROR(__xludf.DUMMYFUNCTION("""COMPUTED_VALUE"""),"SIRAJGANJ")</f>
        <v>SIRAJGANJ</v>
      </c>
      <c r="C1191" s="4">
        <f>IFERROR(__xludf.DUMMYFUNCTION("""COMPUTED_VALUE"""),20.0)</f>
        <v>20</v>
      </c>
      <c r="D1191" s="2" t="str">
        <f>IFERROR(__xludf.DUMMYFUNCTION("""COMPUTED_VALUE"""),"AB BANK LTD.")</f>
        <v>AB BANK LTD.</v>
      </c>
      <c r="E1191" s="2" t="str">
        <f>IFERROR(__xludf.DUMMYFUNCTION("""COMPUTED_VALUE"""),"SERAJGANJ")</f>
        <v>SERAJGANJ</v>
      </c>
      <c r="F1191" s="3">
        <f>IFERROR(__xludf.DUMMYFUNCTION("""COMPUTED_VALUE"""),187.0)</f>
        <v>187</v>
      </c>
      <c r="G1191" s="5">
        <f>IFERROR(__xludf.DUMMYFUNCTION("""COMPUTED_VALUE"""),2.088187E7)</f>
        <v>20881870</v>
      </c>
    </row>
    <row r="1192">
      <c r="A1192" s="3">
        <f>IFERROR(__xludf.DUMMYFUNCTION("""COMPUTED_VALUE"""),890.0)</f>
        <v>890</v>
      </c>
      <c r="B1192" s="2" t="str">
        <f>IFERROR(__xludf.DUMMYFUNCTION("""COMPUTED_VALUE"""),"SUNAMGANJ")</f>
        <v>SUNAMGANJ</v>
      </c>
      <c r="C1192" s="4">
        <f>IFERROR(__xludf.DUMMYFUNCTION("""COMPUTED_VALUE"""),20.0)</f>
        <v>20</v>
      </c>
      <c r="D1192" s="2" t="str">
        <f>IFERROR(__xludf.DUMMYFUNCTION("""COMPUTED_VALUE"""),"AB BANK LTD.")</f>
        <v>AB BANK LTD.</v>
      </c>
      <c r="E1192" s="2" t="str">
        <f>IFERROR(__xludf.DUMMYFUNCTION("""COMPUTED_VALUE"""),"CHHATAK")</f>
        <v>CHHATAK</v>
      </c>
      <c r="F1192" s="3">
        <f>IFERROR(__xludf.DUMMYFUNCTION("""COMPUTED_VALUE"""),22.0)</f>
        <v>22</v>
      </c>
      <c r="G1192" s="5">
        <f>IFERROR(__xludf.DUMMYFUNCTION("""COMPUTED_VALUE"""),2.0900227E7)</f>
        <v>20900227</v>
      </c>
    </row>
    <row r="1193">
      <c r="A1193" s="3">
        <f>IFERROR(__xludf.DUMMYFUNCTION("""COMPUTED_VALUE"""),891.0)</f>
        <v>891</v>
      </c>
      <c r="B1193" s="2" t="str">
        <f>IFERROR(__xludf.DUMMYFUNCTION("""COMPUTED_VALUE"""),"SYLHET")</f>
        <v>SYLHET</v>
      </c>
      <c r="C1193" s="4">
        <f>IFERROR(__xludf.DUMMYFUNCTION("""COMPUTED_VALUE"""),20.0)</f>
        <v>20</v>
      </c>
      <c r="D1193" s="2" t="str">
        <f>IFERROR(__xludf.DUMMYFUNCTION("""COMPUTED_VALUE"""),"AB BANK LTD.")</f>
        <v>AB BANK LTD.</v>
      </c>
      <c r="E1193" s="2" t="str">
        <f>IFERROR(__xludf.DUMMYFUNCTION("""COMPUTED_VALUE"""),"BOROIKANDI")</f>
        <v>BOROIKANDI</v>
      </c>
      <c r="F1193" s="3">
        <f>IFERROR(__xludf.DUMMYFUNCTION("""COMPUTED_VALUE"""),52.0)</f>
        <v>52</v>
      </c>
      <c r="G1193" s="5">
        <f>IFERROR(__xludf.DUMMYFUNCTION("""COMPUTED_VALUE"""),2.0910525E7)</f>
        <v>20910525</v>
      </c>
    </row>
    <row r="1194">
      <c r="A1194" s="3">
        <f>IFERROR(__xludf.DUMMYFUNCTION("""COMPUTED_VALUE"""),891.0)</f>
        <v>891</v>
      </c>
      <c r="B1194" s="2" t="str">
        <f>IFERROR(__xludf.DUMMYFUNCTION("""COMPUTED_VALUE"""),"SYLHET")</f>
        <v>SYLHET</v>
      </c>
      <c r="C1194" s="4">
        <f>IFERROR(__xludf.DUMMYFUNCTION("""COMPUTED_VALUE"""),20.0)</f>
        <v>20</v>
      </c>
      <c r="D1194" s="2" t="str">
        <f>IFERROR(__xludf.DUMMYFUNCTION("""COMPUTED_VALUE"""),"AB BANK LTD.")</f>
        <v>AB BANK LTD.</v>
      </c>
      <c r="E1194" s="2" t="str">
        <f>IFERROR(__xludf.DUMMYFUNCTION("""COMPUTED_VALUE"""),"DARGAH GATE")</f>
        <v>DARGAH GATE</v>
      </c>
      <c r="F1194" s="3">
        <f>IFERROR(__xludf.DUMMYFUNCTION("""COMPUTED_VALUE"""),109.0)</f>
        <v>109</v>
      </c>
      <c r="G1194" s="5">
        <f>IFERROR(__xludf.DUMMYFUNCTION("""COMPUTED_VALUE"""),2.091109E7)</f>
        <v>20911090</v>
      </c>
    </row>
    <row r="1195">
      <c r="A1195" s="3">
        <f>IFERROR(__xludf.DUMMYFUNCTION("""COMPUTED_VALUE"""),891.0)</f>
        <v>891</v>
      </c>
      <c r="B1195" s="2" t="str">
        <f>IFERROR(__xludf.DUMMYFUNCTION("""COMPUTED_VALUE"""),"SYLHET")</f>
        <v>SYLHET</v>
      </c>
      <c r="C1195" s="4">
        <f>IFERROR(__xludf.DUMMYFUNCTION("""COMPUTED_VALUE"""),20.0)</f>
        <v>20</v>
      </c>
      <c r="D1195" s="2" t="str">
        <f>IFERROR(__xludf.DUMMYFUNCTION("""COMPUTED_VALUE"""),"AB BANK LTD.")</f>
        <v>AB BANK LTD.</v>
      </c>
      <c r="E1195" s="2" t="str">
        <f>IFERROR(__xludf.DUMMYFUNCTION("""COMPUTED_VALUE"""),"GARDEN TOWER")</f>
        <v>GARDEN TOWER</v>
      </c>
      <c r="F1195" s="3">
        <f>IFERROR(__xludf.DUMMYFUNCTION("""COMPUTED_VALUE"""),148.0)</f>
        <v>148</v>
      </c>
      <c r="G1195" s="5">
        <f>IFERROR(__xludf.DUMMYFUNCTION("""COMPUTED_VALUE"""),2.0911487E7)</f>
        <v>20911487</v>
      </c>
    </row>
    <row r="1196">
      <c r="A1196" s="3">
        <f>IFERROR(__xludf.DUMMYFUNCTION("""COMPUTED_VALUE"""),891.0)</f>
        <v>891</v>
      </c>
      <c r="B1196" s="2" t="str">
        <f>IFERROR(__xludf.DUMMYFUNCTION("""COMPUTED_VALUE"""),"SYLHET")</f>
        <v>SYLHET</v>
      </c>
      <c r="C1196" s="4">
        <f>IFERROR(__xludf.DUMMYFUNCTION("""COMPUTED_VALUE"""),20.0)</f>
        <v>20</v>
      </c>
      <c r="D1196" s="2" t="str">
        <f>IFERROR(__xludf.DUMMYFUNCTION("""COMPUTED_VALUE"""),"AB BANK LTD.")</f>
        <v>AB BANK LTD.</v>
      </c>
      <c r="E1196" s="2" t="str">
        <f>IFERROR(__xludf.DUMMYFUNCTION("""COMPUTED_VALUE"""),"MODHUBAN SUPER MARKET")</f>
        <v>MODHUBAN SUPER MARKET</v>
      </c>
      <c r="F1196" s="3">
        <f>IFERROR(__xludf.DUMMYFUNCTION("""COMPUTED_VALUE"""),265.0)</f>
        <v>265</v>
      </c>
      <c r="G1196" s="5">
        <f>IFERROR(__xludf.DUMMYFUNCTION("""COMPUTED_VALUE"""),2.0912657E7)</f>
        <v>20912657</v>
      </c>
    </row>
    <row r="1197">
      <c r="A1197" s="3">
        <f>IFERROR(__xludf.DUMMYFUNCTION("""COMPUTED_VALUE"""),891.0)</f>
        <v>891</v>
      </c>
      <c r="B1197" s="2" t="str">
        <f>IFERROR(__xludf.DUMMYFUNCTION("""COMPUTED_VALUE"""),"SYLHET")</f>
        <v>SYLHET</v>
      </c>
      <c r="C1197" s="4">
        <f>IFERROR(__xludf.DUMMYFUNCTION("""COMPUTED_VALUE"""),20.0)</f>
        <v>20</v>
      </c>
      <c r="D1197" s="2" t="str">
        <f>IFERROR(__xludf.DUMMYFUNCTION("""COMPUTED_VALUE"""),"AB BANK LTD.")</f>
        <v>AB BANK LTD.</v>
      </c>
      <c r="E1197" s="2" t="str">
        <f>IFERROR(__xludf.DUMMYFUNCTION("""COMPUTED_VALUE"""),"TAJPUR")</f>
        <v>TAJPUR</v>
      </c>
      <c r="F1197" s="3">
        <f>IFERROR(__xludf.DUMMYFUNCTION("""COMPUTED_VALUE"""),382.0)</f>
        <v>382</v>
      </c>
      <c r="G1197" s="5">
        <f>IFERROR(__xludf.DUMMYFUNCTION("""COMPUTED_VALUE"""),2.0913827E7)</f>
        <v>20913827</v>
      </c>
    </row>
    <row r="1198">
      <c r="A1198" s="3">
        <f>IFERROR(__xludf.DUMMYFUNCTION("""COMPUTED_VALUE"""),193.0)</f>
        <v>193</v>
      </c>
      <c r="B1198" s="2" t="str">
        <f>IFERROR(__xludf.DUMMYFUNCTION("""COMPUTED_VALUE"""),"TANGAIL")</f>
        <v>TANGAIL</v>
      </c>
      <c r="C1198" s="4">
        <f>IFERROR(__xludf.DUMMYFUNCTION("""COMPUTED_VALUE"""),20.0)</f>
        <v>20</v>
      </c>
      <c r="D1198" s="2" t="str">
        <f>IFERROR(__xludf.DUMMYFUNCTION("""COMPUTED_VALUE"""),"AB BANK LTD.")</f>
        <v>AB BANK LTD.</v>
      </c>
      <c r="E1198" s="2" t="str">
        <f>IFERROR(__xludf.DUMMYFUNCTION("""COMPUTED_VALUE"""),"TANGAIL")</f>
        <v>TANGAIL</v>
      </c>
      <c r="F1198" s="3">
        <f>IFERROR(__xludf.DUMMYFUNCTION("""COMPUTED_VALUE"""),229.0)</f>
        <v>229</v>
      </c>
      <c r="G1198" s="5">
        <f>IFERROR(__xludf.DUMMYFUNCTION("""COMPUTED_VALUE"""),2.0932295E7)</f>
        <v>20932295</v>
      </c>
    </row>
    <row r="1199">
      <c r="A1199" s="3">
        <f>IFERROR(__xludf.DUMMYFUNCTION("""COMPUTED_VALUE"""),306.0)</f>
        <v>306</v>
      </c>
      <c r="B1199" s="2" t="str">
        <f>IFERROR(__xludf.DUMMYFUNCTION("""COMPUTED_VALUE"""),"BARISHAL")</f>
        <v>BARISHAL</v>
      </c>
      <c r="C1199" s="4">
        <f>IFERROR(__xludf.DUMMYFUNCTION("""COMPUTED_VALUE"""),25.0)</f>
        <v>25</v>
      </c>
      <c r="D1199" s="2" t="str">
        <f>IFERROR(__xludf.DUMMYFUNCTION("""COMPUTED_VALUE"""),"BANGLADESH BANK")</f>
        <v>BANGLADESH BANK</v>
      </c>
      <c r="E1199" s="2" t="str">
        <f>IFERROR(__xludf.DUMMYFUNCTION("""COMPUTED_VALUE"""),"BARISAL CLEARING HOUSE")</f>
        <v>BARISAL CLEARING HOUSE</v>
      </c>
      <c r="F1199" s="3">
        <f>IFERROR(__xludf.DUMMYFUNCTION("""COMPUTED_VALUE"""),0.0)</f>
        <v>0</v>
      </c>
      <c r="G1199" s="5">
        <f>IFERROR(__xludf.DUMMYFUNCTION("""COMPUTED_VALUE"""),2.5060009E7)</f>
        <v>25060009</v>
      </c>
    </row>
    <row r="1200">
      <c r="A1200" s="3">
        <f>IFERROR(__xludf.DUMMYFUNCTION("""COMPUTED_VALUE"""),306.0)</f>
        <v>306</v>
      </c>
      <c r="B1200" s="2" t="str">
        <f>IFERROR(__xludf.DUMMYFUNCTION("""COMPUTED_VALUE"""),"BARISHAL")</f>
        <v>BARISHAL</v>
      </c>
      <c r="C1200" s="4">
        <f>IFERROR(__xludf.DUMMYFUNCTION("""COMPUTED_VALUE"""),25.0)</f>
        <v>25</v>
      </c>
      <c r="D1200" s="2" t="str">
        <f>IFERROR(__xludf.DUMMYFUNCTION("""COMPUTED_VALUE"""),"BANGLADESH BANK")</f>
        <v>BANGLADESH BANK</v>
      </c>
      <c r="E1200" s="2" t="str">
        <f>IFERROR(__xludf.DUMMYFUNCTION("""COMPUTED_VALUE"""),"BARISAL DAB")</f>
        <v>BARISAL DAB</v>
      </c>
      <c r="F1200" s="3">
        <f>IFERROR(__xludf.DUMMYFUNCTION("""COMPUTED_VALUE"""),111.0)</f>
        <v>111</v>
      </c>
      <c r="G1200" s="5">
        <f>IFERROR(__xludf.DUMMYFUNCTION("""COMPUTED_VALUE"""),2.5061116E7)</f>
        <v>25061116</v>
      </c>
    </row>
    <row r="1201">
      <c r="A1201" s="3">
        <f>IFERROR(__xludf.DUMMYFUNCTION("""COMPUTED_VALUE"""),306.0)</f>
        <v>306</v>
      </c>
      <c r="B1201" s="2" t="str">
        <f>IFERROR(__xludf.DUMMYFUNCTION("""COMPUTED_VALUE"""),"BARISHAL")</f>
        <v>BARISHAL</v>
      </c>
      <c r="C1201" s="4">
        <f>IFERROR(__xludf.DUMMYFUNCTION("""COMPUTED_VALUE"""),25.0)</f>
        <v>25</v>
      </c>
      <c r="D1201" s="2" t="str">
        <f>IFERROR(__xludf.DUMMYFUNCTION("""COMPUTED_VALUE"""),"BANGLADESH BANK")</f>
        <v>BANGLADESH BANK</v>
      </c>
      <c r="E1201" s="2" t="str">
        <f>IFERROR(__xludf.DUMMYFUNCTION("""COMPUTED_VALUE"""),"BARISAL PAD")</f>
        <v>BARISAL PAD</v>
      </c>
      <c r="F1201" s="3">
        <f>IFERROR(__xludf.DUMMYFUNCTION("""COMPUTED_VALUE"""),222.0)</f>
        <v>222</v>
      </c>
      <c r="G1201" s="5">
        <f>IFERROR(__xludf.DUMMYFUNCTION("""COMPUTED_VALUE"""),2.5062223E7)</f>
        <v>25062223</v>
      </c>
    </row>
    <row r="1202">
      <c r="A1202" s="3">
        <f>IFERROR(__xludf.DUMMYFUNCTION("""COMPUTED_VALUE"""),306.0)</f>
        <v>306</v>
      </c>
      <c r="B1202" s="2" t="str">
        <f>IFERROR(__xludf.DUMMYFUNCTION("""COMPUTED_VALUE"""),"BARISHAL")</f>
        <v>BARISHAL</v>
      </c>
      <c r="C1202" s="4">
        <f>IFERROR(__xludf.DUMMYFUNCTION("""COMPUTED_VALUE"""),25.0)</f>
        <v>25</v>
      </c>
      <c r="D1202" s="2" t="str">
        <f>IFERROR(__xludf.DUMMYFUNCTION("""COMPUTED_VALUE"""),"BANGLADESH BANK")</f>
        <v>BANGLADESH BANK</v>
      </c>
      <c r="E1202" s="2" t="str">
        <f>IFERROR(__xludf.DUMMYFUNCTION("""COMPUTED_VALUE"""),"BARISAL BUREAU")</f>
        <v>BARISAL BUREAU</v>
      </c>
      <c r="F1202" s="3">
        <f>IFERROR(__xludf.DUMMYFUNCTION("""COMPUTED_VALUE"""),888.0)</f>
        <v>888</v>
      </c>
      <c r="G1202" s="5">
        <f>IFERROR(__xludf.DUMMYFUNCTION("""COMPUTED_VALUE"""),2.5068885E7)</f>
        <v>25068885</v>
      </c>
    </row>
    <row r="1203">
      <c r="A1203" s="3">
        <f>IFERROR(__xludf.DUMMYFUNCTION("""COMPUTED_VALUE"""),610.0)</f>
        <v>610</v>
      </c>
      <c r="B1203" s="2" t="str">
        <f>IFERROR(__xludf.DUMMYFUNCTION("""COMPUTED_VALUE"""),"BOGRA")</f>
        <v>BOGRA</v>
      </c>
      <c r="C1203" s="4">
        <f>IFERROR(__xludf.DUMMYFUNCTION("""COMPUTED_VALUE"""),25.0)</f>
        <v>25</v>
      </c>
      <c r="D1203" s="2" t="str">
        <f>IFERROR(__xludf.DUMMYFUNCTION("""COMPUTED_VALUE"""),"BANGLADESH BANK")</f>
        <v>BANGLADESH BANK</v>
      </c>
      <c r="E1203" s="2" t="str">
        <f>IFERROR(__xludf.DUMMYFUNCTION("""COMPUTED_VALUE"""),"BOGRA CLEARING HOUSE")</f>
        <v>BOGRA CLEARING HOUSE</v>
      </c>
      <c r="F1203" s="3">
        <f>IFERROR(__xludf.DUMMYFUNCTION("""COMPUTED_VALUE"""),0.0)</f>
        <v>0</v>
      </c>
      <c r="G1203" s="5">
        <f>IFERROR(__xludf.DUMMYFUNCTION("""COMPUTED_VALUE"""),2.5100006E7)</f>
        <v>25100006</v>
      </c>
    </row>
    <row r="1204">
      <c r="A1204" s="3">
        <f>IFERROR(__xludf.DUMMYFUNCTION("""COMPUTED_VALUE"""),610.0)</f>
        <v>610</v>
      </c>
      <c r="B1204" s="2" t="str">
        <f>IFERROR(__xludf.DUMMYFUNCTION("""COMPUTED_VALUE"""),"BOGRA")</f>
        <v>BOGRA</v>
      </c>
      <c r="C1204" s="4">
        <f>IFERROR(__xludf.DUMMYFUNCTION("""COMPUTED_VALUE"""),25.0)</f>
        <v>25</v>
      </c>
      <c r="D1204" s="2" t="str">
        <f>IFERROR(__xludf.DUMMYFUNCTION("""COMPUTED_VALUE"""),"BANGLADESH BANK")</f>
        <v>BANGLADESH BANK</v>
      </c>
      <c r="E1204" s="2" t="str">
        <f>IFERROR(__xludf.DUMMYFUNCTION("""COMPUTED_VALUE"""),"BOGRA DAB")</f>
        <v>BOGRA DAB</v>
      </c>
      <c r="F1204" s="3">
        <f>IFERROR(__xludf.DUMMYFUNCTION("""COMPUTED_VALUE"""),111.0)</f>
        <v>111</v>
      </c>
      <c r="G1204" s="5">
        <f>IFERROR(__xludf.DUMMYFUNCTION("""COMPUTED_VALUE"""),2.5101113E7)</f>
        <v>25101113</v>
      </c>
    </row>
    <row r="1205">
      <c r="A1205" s="3">
        <f>IFERROR(__xludf.DUMMYFUNCTION("""COMPUTED_VALUE"""),610.0)</f>
        <v>610</v>
      </c>
      <c r="B1205" s="2" t="str">
        <f>IFERROR(__xludf.DUMMYFUNCTION("""COMPUTED_VALUE"""),"BOGRA")</f>
        <v>BOGRA</v>
      </c>
      <c r="C1205" s="4">
        <f>IFERROR(__xludf.DUMMYFUNCTION("""COMPUTED_VALUE"""),25.0)</f>
        <v>25</v>
      </c>
      <c r="D1205" s="2" t="str">
        <f>IFERROR(__xludf.DUMMYFUNCTION("""COMPUTED_VALUE"""),"BANGLADESH BANK")</f>
        <v>BANGLADESH BANK</v>
      </c>
      <c r="E1205" s="2" t="str">
        <f>IFERROR(__xludf.DUMMYFUNCTION("""COMPUTED_VALUE"""),"BOGRA PAD")</f>
        <v>BOGRA PAD</v>
      </c>
      <c r="F1205" s="3">
        <f>IFERROR(__xludf.DUMMYFUNCTION("""COMPUTED_VALUE"""),222.0)</f>
        <v>222</v>
      </c>
      <c r="G1205" s="5">
        <f>IFERROR(__xludf.DUMMYFUNCTION("""COMPUTED_VALUE"""),2.510222E7)</f>
        <v>25102220</v>
      </c>
    </row>
    <row r="1206">
      <c r="A1206" s="3">
        <f>IFERROR(__xludf.DUMMYFUNCTION("""COMPUTED_VALUE"""),610.0)</f>
        <v>610</v>
      </c>
      <c r="B1206" s="2" t="str">
        <f>IFERROR(__xludf.DUMMYFUNCTION("""COMPUTED_VALUE"""),"BOGRA")</f>
        <v>BOGRA</v>
      </c>
      <c r="C1206" s="4">
        <f>IFERROR(__xludf.DUMMYFUNCTION("""COMPUTED_VALUE"""),25.0)</f>
        <v>25</v>
      </c>
      <c r="D1206" s="2" t="str">
        <f>IFERROR(__xludf.DUMMYFUNCTION("""COMPUTED_VALUE"""),"BANGLADESH BANK")</f>
        <v>BANGLADESH BANK</v>
      </c>
      <c r="E1206" s="2" t="str">
        <f>IFERROR(__xludf.DUMMYFUNCTION("""COMPUTED_VALUE"""),"BOGRA BUREAU")</f>
        <v>BOGRA BUREAU</v>
      </c>
      <c r="F1206" s="3">
        <f>IFERROR(__xludf.DUMMYFUNCTION("""COMPUTED_VALUE"""),888.0)</f>
        <v>888</v>
      </c>
      <c r="G1206" s="5">
        <f>IFERROR(__xludf.DUMMYFUNCTION("""COMPUTED_VALUE"""),2.5108882E7)</f>
        <v>25108882</v>
      </c>
    </row>
    <row r="1207">
      <c r="A1207" s="3">
        <f>IFERROR(__xludf.DUMMYFUNCTION("""COMPUTED_VALUE"""),215.0)</f>
        <v>215</v>
      </c>
      <c r="B1207" s="2" t="str">
        <f>IFERROR(__xludf.DUMMYFUNCTION("""COMPUTED_VALUE"""),"CHITTAGONG")</f>
        <v>CHITTAGONG</v>
      </c>
      <c r="C1207" s="4">
        <f>IFERROR(__xludf.DUMMYFUNCTION("""COMPUTED_VALUE"""),25.0)</f>
        <v>25</v>
      </c>
      <c r="D1207" s="2" t="str">
        <f>IFERROR(__xludf.DUMMYFUNCTION("""COMPUTED_VALUE"""),"BANGLADESH BANK")</f>
        <v>BANGLADESH BANK</v>
      </c>
      <c r="E1207" s="2" t="str">
        <f>IFERROR(__xludf.DUMMYFUNCTION("""COMPUTED_VALUE"""),"CHITTAGONG CLEARING HOUSE")</f>
        <v>CHITTAGONG CLEARING HOUSE</v>
      </c>
      <c r="F1207" s="3">
        <f>IFERROR(__xludf.DUMMYFUNCTION("""COMPUTED_VALUE"""),0.0)</f>
        <v>0</v>
      </c>
      <c r="G1207" s="5">
        <f>IFERROR(__xludf.DUMMYFUNCTION("""COMPUTED_VALUE"""),2.5150001E7)</f>
        <v>25150001</v>
      </c>
    </row>
    <row r="1208">
      <c r="A1208" s="3">
        <f>IFERROR(__xludf.DUMMYFUNCTION("""COMPUTED_VALUE"""),215.0)</f>
        <v>215</v>
      </c>
      <c r="B1208" s="2" t="str">
        <f>IFERROR(__xludf.DUMMYFUNCTION("""COMPUTED_VALUE"""),"CHITTAGONG")</f>
        <v>CHITTAGONG</v>
      </c>
      <c r="C1208" s="4">
        <f>IFERROR(__xludf.DUMMYFUNCTION("""COMPUTED_VALUE"""),25.0)</f>
        <v>25</v>
      </c>
      <c r="D1208" s="2" t="str">
        <f>IFERROR(__xludf.DUMMYFUNCTION("""COMPUTED_VALUE"""),"BANGLADESH BANK")</f>
        <v>BANGLADESH BANK</v>
      </c>
      <c r="E1208" s="2" t="str">
        <f>IFERROR(__xludf.DUMMYFUNCTION("""COMPUTED_VALUE"""),"CHITTAGONG DAB")</f>
        <v>CHITTAGONG DAB</v>
      </c>
      <c r="F1208" s="3">
        <f>IFERROR(__xludf.DUMMYFUNCTION("""COMPUTED_VALUE"""),111.0)</f>
        <v>111</v>
      </c>
      <c r="G1208" s="5">
        <f>IFERROR(__xludf.DUMMYFUNCTION("""COMPUTED_VALUE"""),2.5151118E7)</f>
        <v>25151118</v>
      </c>
    </row>
    <row r="1209">
      <c r="A1209" s="3">
        <f>IFERROR(__xludf.DUMMYFUNCTION("""COMPUTED_VALUE"""),215.0)</f>
        <v>215</v>
      </c>
      <c r="B1209" s="2" t="str">
        <f>IFERROR(__xludf.DUMMYFUNCTION("""COMPUTED_VALUE"""),"CHITTAGONG")</f>
        <v>CHITTAGONG</v>
      </c>
      <c r="C1209" s="4">
        <f>IFERROR(__xludf.DUMMYFUNCTION("""COMPUTED_VALUE"""),25.0)</f>
        <v>25</v>
      </c>
      <c r="D1209" s="2" t="str">
        <f>IFERROR(__xludf.DUMMYFUNCTION("""COMPUTED_VALUE"""),"BANGLADESH BANK")</f>
        <v>BANGLADESH BANK</v>
      </c>
      <c r="E1209" s="2" t="str">
        <f>IFERROR(__xludf.DUMMYFUNCTION("""COMPUTED_VALUE"""),"CHITTAGONG PAD")</f>
        <v>CHITTAGONG PAD</v>
      </c>
      <c r="F1209" s="3">
        <f>IFERROR(__xludf.DUMMYFUNCTION("""COMPUTED_VALUE"""),222.0)</f>
        <v>222</v>
      </c>
      <c r="G1209" s="5">
        <f>IFERROR(__xludf.DUMMYFUNCTION("""COMPUTED_VALUE"""),2.5152225E7)</f>
        <v>25152225</v>
      </c>
    </row>
    <row r="1210">
      <c r="A1210" s="3">
        <f>IFERROR(__xludf.DUMMYFUNCTION("""COMPUTED_VALUE"""),215.0)</f>
        <v>215</v>
      </c>
      <c r="B1210" s="2" t="str">
        <f>IFERROR(__xludf.DUMMYFUNCTION("""COMPUTED_VALUE"""),"CHITTAGONG")</f>
        <v>CHITTAGONG</v>
      </c>
      <c r="C1210" s="4">
        <f>IFERROR(__xludf.DUMMYFUNCTION("""COMPUTED_VALUE"""),25.0)</f>
        <v>25</v>
      </c>
      <c r="D1210" s="2" t="str">
        <f>IFERROR(__xludf.DUMMYFUNCTION("""COMPUTED_VALUE"""),"BANGLADESH BANK")</f>
        <v>BANGLADESH BANK</v>
      </c>
      <c r="E1210" s="2" t="str">
        <f>IFERROR(__xludf.DUMMYFUNCTION("""COMPUTED_VALUE"""),"CHITTAGONG BUREAU")</f>
        <v>CHITTAGONG BUREAU</v>
      </c>
      <c r="F1210" s="3">
        <f>IFERROR(__xludf.DUMMYFUNCTION("""COMPUTED_VALUE"""),888.0)</f>
        <v>888</v>
      </c>
      <c r="G1210" s="5">
        <f>IFERROR(__xludf.DUMMYFUNCTION("""COMPUTED_VALUE"""),2.5158887E7)</f>
        <v>25158887</v>
      </c>
    </row>
    <row r="1211">
      <c r="A1211" s="3">
        <f>IFERROR(__xludf.DUMMYFUNCTION("""COMPUTED_VALUE"""),127.0)</f>
        <v>127</v>
      </c>
      <c r="B1211" s="2" t="str">
        <f>IFERROR(__xludf.DUMMYFUNCTION("""COMPUTED_VALUE"""),"DHAKA-SOUTH")</f>
        <v>DHAKA-SOUTH</v>
      </c>
      <c r="C1211" s="4">
        <f>IFERROR(__xludf.DUMMYFUNCTION("""COMPUTED_VALUE"""),25.0)</f>
        <v>25</v>
      </c>
      <c r="D1211" s="2" t="str">
        <f>IFERROR(__xludf.DUMMYFUNCTION("""COMPUTED_VALUE"""),"BANGLADESH BANK")</f>
        <v>BANGLADESH BANK</v>
      </c>
      <c r="E1211" s="2" t="str">
        <f>IFERROR(__xludf.DUMMYFUNCTION("""COMPUTED_VALUE"""),"DHAKA CLEARING HOUSE")</f>
        <v>DHAKA CLEARING HOUSE</v>
      </c>
      <c r="F1211" s="3">
        <f>IFERROR(__xludf.DUMMYFUNCTION("""COMPUTED_VALUE"""),0.0)</f>
        <v>0</v>
      </c>
      <c r="G1211" s="5">
        <f>IFERROR(__xludf.DUMMYFUNCTION("""COMPUTED_VALUE"""),2.5270002E7)</f>
        <v>25270002</v>
      </c>
    </row>
    <row r="1212">
      <c r="A1212" s="3">
        <f>IFERROR(__xludf.DUMMYFUNCTION("""COMPUTED_VALUE"""),127.0)</f>
        <v>127</v>
      </c>
      <c r="B1212" s="2" t="str">
        <f>IFERROR(__xludf.DUMMYFUNCTION("""COMPUTED_VALUE"""),"DHAKA-SOUTH")</f>
        <v>DHAKA-SOUTH</v>
      </c>
      <c r="C1212" s="4">
        <f>IFERROR(__xludf.DUMMYFUNCTION("""COMPUTED_VALUE"""),25.0)</f>
        <v>25</v>
      </c>
      <c r="D1212" s="2" t="str">
        <f>IFERROR(__xludf.DUMMYFUNCTION("""COMPUTED_VALUE"""),"BANGLADESH BANK")</f>
        <v>BANGLADESH BANK</v>
      </c>
      <c r="E1212" s="2" t="str">
        <f>IFERROR(__xludf.DUMMYFUNCTION("""COMPUTED_VALUE"""),"MOTIJHEEL DAB")</f>
        <v>MOTIJHEEL DAB</v>
      </c>
      <c r="F1212" s="3">
        <f>IFERROR(__xludf.DUMMYFUNCTION("""COMPUTED_VALUE"""),111.0)</f>
        <v>111</v>
      </c>
      <c r="G1212" s="5">
        <f>IFERROR(__xludf.DUMMYFUNCTION("""COMPUTED_VALUE"""),2.5271119E7)</f>
        <v>25271119</v>
      </c>
    </row>
    <row r="1213">
      <c r="A1213" s="3">
        <f>IFERROR(__xludf.DUMMYFUNCTION("""COMPUTED_VALUE"""),127.0)</f>
        <v>127</v>
      </c>
      <c r="B1213" s="2" t="str">
        <f>IFERROR(__xludf.DUMMYFUNCTION("""COMPUTED_VALUE"""),"DHAKA-SOUTH")</f>
        <v>DHAKA-SOUTH</v>
      </c>
      <c r="C1213" s="4">
        <f>IFERROR(__xludf.DUMMYFUNCTION("""COMPUTED_VALUE"""),25.0)</f>
        <v>25</v>
      </c>
      <c r="D1213" s="2" t="str">
        <f>IFERROR(__xludf.DUMMYFUNCTION("""COMPUTED_VALUE"""),"BANGLADESH BANK")</f>
        <v>BANGLADESH BANK</v>
      </c>
      <c r="E1213" s="2" t="str">
        <f>IFERROR(__xludf.DUMMYFUNCTION("""COMPUTED_VALUE"""),"MOTIJHEEL PAD")</f>
        <v>MOTIJHEEL PAD</v>
      </c>
      <c r="F1213" s="3">
        <f>IFERROR(__xludf.DUMMYFUNCTION("""COMPUTED_VALUE"""),222.0)</f>
        <v>222</v>
      </c>
      <c r="G1213" s="5">
        <f>IFERROR(__xludf.DUMMYFUNCTION("""COMPUTED_VALUE"""),2.5272226E7)</f>
        <v>25272226</v>
      </c>
    </row>
    <row r="1214">
      <c r="A1214" s="3">
        <f>IFERROR(__xludf.DUMMYFUNCTION("""COMPUTED_VALUE"""),127.0)</f>
        <v>127</v>
      </c>
      <c r="B1214" s="2" t="str">
        <f>IFERROR(__xludf.DUMMYFUNCTION("""COMPUTED_VALUE"""),"DHAKA-SOUTH")</f>
        <v>DHAKA-SOUTH</v>
      </c>
      <c r="C1214" s="4">
        <f>IFERROR(__xludf.DUMMYFUNCTION("""COMPUTED_VALUE"""),25.0)</f>
        <v>25</v>
      </c>
      <c r="D1214" s="2" t="str">
        <f>IFERROR(__xludf.DUMMYFUNCTION("""COMPUTED_VALUE"""),"BANGLADESH BANK")</f>
        <v>BANGLADESH BANK</v>
      </c>
      <c r="E1214" s="2" t="str">
        <f>IFERROR(__xludf.DUMMYFUNCTION("""COMPUTED_VALUE"""),"HEAD OFFICE")</f>
        <v>HEAD OFFICE</v>
      </c>
      <c r="F1214" s="3">
        <f>IFERROR(__xludf.DUMMYFUNCTION("""COMPUTED_VALUE"""),268.0)</f>
        <v>268</v>
      </c>
      <c r="G1214" s="5">
        <f>IFERROR(__xludf.DUMMYFUNCTION("""COMPUTED_VALUE"""),2.5272684E7)</f>
        <v>25272684</v>
      </c>
    </row>
    <row r="1215">
      <c r="A1215" s="3">
        <f>IFERROR(__xludf.DUMMYFUNCTION("""COMPUTED_VALUE"""),127.0)</f>
        <v>127</v>
      </c>
      <c r="B1215" s="2" t="str">
        <f>IFERROR(__xludf.DUMMYFUNCTION("""COMPUTED_VALUE"""),"DHAKA-SOUTH")</f>
        <v>DHAKA-SOUTH</v>
      </c>
      <c r="C1215" s="4">
        <f>IFERROR(__xludf.DUMMYFUNCTION("""COMPUTED_VALUE"""),25.0)</f>
        <v>25</v>
      </c>
      <c r="D1215" s="2" t="str">
        <f>IFERROR(__xludf.DUMMYFUNCTION("""COMPUTED_VALUE"""),"BANGLADESH BANK")</f>
        <v>BANGLADESH BANK</v>
      </c>
      <c r="E1215" s="2" t="str">
        <f>IFERROR(__xludf.DUMMYFUNCTION("""COMPUTED_VALUE"""),"SADARGHAT")</f>
        <v>SADARGHAT</v>
      </c>
      <c r="F1215" s="3">
        <f>IFERROR(__xludf.DUMMYFUNCTION("""COMPUTED_VALUE"""),592.0)</f>
        <v>592</v>
      </c>
      <c r="G1215" s="5">
        <f>IFERROR(__xludf.DUMMYFUNCTION("""COMPUTED_VALUE"""),2.5275928E7)</f>
        <v>25275928</v>
      </c>
    </row>
    <row r="1216">
      <c r="A1216" s="3">
        <f>IFERROR(__xludf.DUMMYFUNCTION("""COMPUTED_VALUE"""),127.0)</f>
        <v>127</v>
      </c>
      <c r="B1216" s="2" t="str">
        <f>IFERROR(__xludf.DUMMYFUNCTION("""COMPUTED_VALUE"""),"DHAKA-SOUTH")</f>
        <v>DHAKA-SOUTH</v>
      </c>
      <c r="C1216" s="4">
        <f>IFERROR(__xludf.DUMMYFUNCTION("""COMPUTED_VALUE"""),25.0)</f>
        <v>25</v>
      </c>
      <c r="D1216" s="2" t="str">
        <f>IFERROR(__xludf.DUMMYFUNCTION("""COMPUTED_VALUE"""),"BANGLADESH BANK")</f>
        <v>BANGLADESH BANK</v>
      </c>
      <c r="E1216" s="2" t="str">
        <f>IFERROR(__xludf.DUMMYFUNCTION("""COMPUTED_VALUE"""),"MOTIJHEEL BUREAU")</f>
        <v>MOTIJHEEL BUREAU</v>
      </c>
      <c r="F1216" s="3">
        <f>IFERROR(__xludf.DUMMYFUNCTION("""COMPUTED_VALUE"""),888.0)</f>
        <v>888</v>
      </c>
      <c r="G1216" s="5">
        <f>IFERROR(__xludf.DUMMYFUNCTION("""COMPUTED_VALUE"""),2.5278888E7)</f>
        <v>25278888</v>
      </c>
    </row>
    <row r="1217">
      <c r="A1217" s="3">
        <f>IFERROR(__xludf.DUMMYFUNCTION("""COMPUTED_VALUE"""),127.0)</f>
        <v>127</v>
      </c>
      <c r="B1217" s="2" t="str">
        <f>IFERROR(__xludf.DUMMYFUNCTION("""COMPUTED_VALUE"""),"DHAKA-SOUTH")</f>
        <v>DHAKA-SOUTH</v>
      </c>
      <c r="C1217" s="4">
        <f>IFERROR(__xludf.DUMMYFUNCTION("""COMPUTED_VALUE"""),25.0)</f>
        <v>25</v>
      </c>
      <c r="D1217" s="2" t="str">
        <f>IFERROR(__xludf.DUMMYFUNCTION("""COMPUTED_VALUE"""),"BANGLADESH BANK")</f>
        <v>BANGLADESH BANK</v>
      </c>
      <c r="E1217" s="2" t="str">
        <f>IFERROR(__xludf.DUMMYFUNCTION("""COMPUTED_VALUE"""),"MIRPUR BUREAU")</f>
        <v>MIRPUR BUREAU</v>
      </c>
      <c r="F1217" s="3">
        <f>IFERROR(__xludf.DUMMYFUNCTION("""COMPUTED_VALUE"""),999.0)</f>
        <v>999</v>
      </c>
      <c r="G1217" s="5">
        <f>IFERROR(__xludf.DUMMYFUNCTION("""COMPUTED_VALUE"""),2.5279995E7)</f>
        <v>25279995</v>
      </c>
    </row>
    <row r="1218">
      <c r="A1218" s="3">
        <f>IFERROR(__xludf.DUMMYFUNCTION("""COMPUTED_VALUE"""),447.0)</f>
        <v>447</v>
      </c>
      <c r="B1218" s="2" t="str">
        <f>IFERROR(__xludf.DUMMYFUNCTION("""COMPUTED_VALUE"""),"KHULNA")</f>
        <v>KHULNA</v>
      </c>
      <c r="C1218" s="4">
        <f>IFERROR(__xludf.DUMMYFUNCTION("""COMPUTED_VALUE"""),25.0)</f>
        <v>25</v>
      </c>
      <c r="D1218" s="2" t="str">
        <f>IFERROR(__xludf.DUMMYFUNCTION("""COMPUTED_VALUE"""),"BANGLADESH BANK")</f>
        <v>BANGLADESH BANK</v>
      </c>
      <c r="E1218" s="2" t="str">
        <f>IFERROR(__xludf.DUMMYFUNCTION("""COMPUTED_VALUE"""),"KHULNA CLEARING HOUSE")</f>
        <v>KHULNA CLEARING HOUSE</v>
      </c>
      <c r="F1218" s="3">
        <f>IFERROR(__xludf.DUMMYFUNCTION("""COMPUTED_VALUE"""),0.0)</f>
        <v>0</v>
      </c>
      <c r="G1218" s="5">
        <f>IFERROR(__xludf.DUMMYFUNCTION("""COMPUTED_VALUE"""),2.5470002E7)</f>
        <v>25470002</v>
      </c>
    </row>
    <row r="1219">
      <c r="A1219" s="3">
        <f>IFERROR(__xludf.DUMMYFUNCTION("""COMPUTED_VALUE"""),447.0)</f>
        <v>447</v>
      </c>
      <c r="B1219" s="2" t="str">
        <f>IFERROR(__xludf.DUMMYFUNCTION("""COMPUTED_VALUE"""),"KHULNA")</f>
        <v>KHULNA</v>
      </c>
      <c r="C1219" s="4">
        <f>IFERROR(__xludf.DUMMYFUNCTION("""COMPUTED_VALUE"""),25.0)</f>
        <v>25</v>
      </c>
      <c r="D1219" s="2" t="str">
        <f>IFERROR(__xludf.DUMMYFUNCTION("""COMPUTED_VALUE"""),"BANGLADESH BANK")</f>
        <v>BANGLADESH BANK</v>
      </c>
      <c r="E1219" s="2" t="str">
        <f>IFERROR(__xludf.DUMMYFUNCTION("""COMPUTED_VALUE"""),"KHULNA DAB")</f>
        <v>KHULNA DAB</v>
      </c>
      <c r="F1219" s="3">
        <f>IFERROR(__xludf.DUMMYFUNCTION("""COMPUTED_VALUE"""),111.0)</f>
        <v>111</v>
      </c>
      <c r="G1219" s="5">
        <f>IFERROR(__xludf.DUMMYFUNCTION("""COMPUTED_VALUE"""),2.5471119E7)</f>
        <v>25471119</v>
      </c>
    </row>
    <row r="1220">
      <c r="A1220" s="3">
        <f>IFERROR(__xludf.DUMMYFUNCTION("""COMPUTED_VALUE"""),447.0)</f>
        <v>447</v>
      </c>
      <c r="B1220" s="2" t="str">
        <f>IFERROR(__xludf.DUMMYFUNCTION("""COMPUTED_VALUE"""),"KHULNA")</f>
        <v>KHULNA</v>
      </c>
      <c r="C1220" s="4">
        <f>IFERROR(__xludf.DUMMYFUNCTION("""COMPUTED_VALUE"""),25.0)</f>
        <v>25</v>
      </c>
      <c r="D1220" s="2" t="str">
        <f>IFERROR(__xludf.DUMMYFUNCTION("""COMPUTED_VALUE"""),"BANGLADESH BANK")</f>
        <v>BANGLADESH BANK</v>
      </c>
      <c r="E1220" s="2" t="str">
        <f>IFERROR(__xludf.DUMMYFUNCTION("""COMPUTED_VALUE"""),"KHULNA PAD")</f>
        <v>KHULNA PAD</v>
      </c>
      <c r="F1220" s="3">
        <f>IFERROR(__xludf.DUMMYFUNCTION("""COMPUTED_VALUE"""),222.0)</f>
        <v>222</v>
      </c>
      <c r="G1220" s="5">
        <f>IFERROR(__xludf.DUMMYFUNCTION("""COMPUTED_VALUE"""),2.5472226E7)</f>
        <v>25472226</v>
      </c>
    </row>
    <row r="1221">
      <c r="A1221" s="3">
        <f>IFERROR(__xludf.DUMMYFUNCTION("""COMPUTED_VALUE"""),447.0)</f>
        <v>447</v>
      </c>
      <c r="B1221" s="2" t="str">
        <f>IFERROR(__xludf.DUMMYFUNCTION("""COMPUTED_VALUE"""),"KHULNA")</f>
        <v>KHULNA</v>
      </c>
      <c r="C1221" s="4">
        <f>IFERROR(__xludf.DUMMYFUNCTION("""COMPUTED_VALUE"""),25.0)</f>
        <v>25</v>
      </c>
      <c r="D1221" s="2" t="str">
        <f>IFERROR(__xludf.DUMMYFUNCTION("""COMPUTED_VALUE"""),"BANGLADESH BANK")</f>
        <v>BANGLADESH BANK</v>
      </c>
      <c r="E1221" s="2" t="str">
        <f>IFERROR(__xludf.DUMMYFUNCTION("""COMPUTED_VALUE"""),"KHULNA BUREAU")</f>
        <v>KHULNA BUREAU</v>
      </c>
      <c r="F1221" s="3">
        <f>IFERROR(__xludf.DUMMYFUNCTION("""COMPUTED_VALUE"""),888.0)</f>
        <v>888</v>
      </c>
      <c r="G1221" s="5">
        <f>IFERROR(__xludf.DUMMYFUNCTION("""COMPUTED_VALUE"""),2.5478888E7)</f>
        <v>25478888</v>
      </c>
    </row>
    <row r="1222">
      <c r="A1222" s="3">
        <f>IFERROR(__xludf.DUMMYFUNCTION("""COMPUTED_VALUE"""),581.0)</f>
        <v>581</v>
      </c>
      <c r="B1222" s="2" t="str">
        <f>IFERROR(__xludf.DUMMYFUNCTION("""COMPUTED_VALUE"""),"RAJSHAHI")</f>
        <v>RAJSHAHI</v>
      </c>
      <c r="C1222" s="4">
        <f>IFERROR(__xludf.DUMMYFUNCTION("""COMPUTED_VALUE"""),25.0)</f>
        <v>25</v>
      </c>
      <c r="D1222" s="2" t="str">
        <f>IFERROR(__xludf.DUMMYFUNCTION("""COMPUTED_VALUE"""),"BANGLADESH BANK")</f>
        <v>BANGLADESH BANK</v>
      </c>
      <c r="E1222" s="2" t="str">
        <f>IFERROR(__xludf.DUMMYFUNCTION("""COMPUTED_VALUE"""),"RAJSHAHI CLEARING HOUSE")</f>
        <v>RAJSHAHI CLEARING HOUSE</v>
      </c>
      <c r="F1222" s="3">
        <f>IFERROR(__xludf.DUMMYFUNCTION("""COMPUTED_VALUE"""),0.0)</f>
        <v>0</v>
      </c>
      <c r="G1222" s="5">
        <f>IFERROR(__xludf.DUMMYFUNCTION("""COMPUTED_VALUE"""),2.5810004E7)</f>
        <v>25810004</v>
      </c>
    </row>
    <row r="1223">
      <c r="A1223" s="3">
        <f>IFERROR(__xludf.DUMMYFUNCTION("""COMPUTED_VALUE"""),581.0)</f>
        <v>581</v>
      </c>
      <c r="B1223" s="2" t="str">
        <f>IFERROR(__xludf.DUMMYFUNCTION("""COMPUTED_VALUE"""),"RAJSHAHI")</f>
        <v>RAJSHAHI</v>
      </c>
      <c r="C1223" s="4">
        <f>IFERROR(__xludf.DUMMYFUNCTION("""COMPUTED_VALUE"""),25.0)</f>
        <v>25</v>
      </c>
      <c r="D1223" s="2" t="str">
        <f>IFERROR(__xludf.DUMMYFUNCTION("""COMPUTED_VALUE"""),"BANGLADESH BANK")</f>
        <v>BANGLADESH BANK</v>
      </c>
      <c r="E1223" s="2" t="str">
        <f>IFERROR(__xludf.DUMMYFUNCTION("""COMPUTED_VALUE"""),"RAJSHAHI DAB")</f>
        <v>RAJSHAHI DAB</v>
      </c>
      <c r="F1223" s="3">
        <f>IFERROR(__xludf.DUMMYFUNCTION("""COMPUTED_VALUE"""),111.0)</f>
        <v>111</v>
      </c>
      <c r="G1223" s="5">
        <f>IFERROR(__xludf.DUMMYFUNCTION("""COMPUTED_VALUE"""),2.5811111E7)</f>
        <v>25811111</v>
      </c>
    </row>
    <row r="1224">
      <c r="A1224" s="3">
        <f>IFERROR(__xludf.DUMMYFUNCTION("""COMPUTED_VALUE"""),581.0)</f>
        <v>581</v>
      </c>
      <c r="B1224" s="2" t="str">
        <f>IFERROR(__xludf.DUMMYFUNCTION("""COMPUTED_VALUE"""),"RAJSHAHI")</f>
        <v>RAJSHAHI</v>
      </c>
      <c r="C1224" s="4">
        <f>IFERROR(__xludf.DUMMYFUNCTION("""COMPUTED_VALUE"""),25.0)</f>
        <v>25</v>
      </c>
      <c r="D1224" s="2" t="str">
        <f>IFERROR(__xludf.DUMMYFUNCTION("""COMPUTED_VALUE"""),"BANGLADESH BANK")</f>
        <v>BANGLADESH BANK</v>
      </c>
      <c r="E1224" s="2" t="str">
        <f>IFERROR(__xludf.DUMMYFUNCTION("""COMPUTED_VALUE"""),"RAJSHAHI PAD")</f>
        <v>RAJSHAHI PAD</v>
      </c>
      <c r="F1224" s="3">
        <f>IFERROR(__xludf.DUMMYFUNCTION("""COMPUTED_VALUE"""),222.0)</f>
        <v>222</v>
      </c>
      <c r="G1224" s="5">
        <f>IFERROR(__xludf.DUMMYFUNCTION("""COMPUTED_VALUE"""),2.5812228E7)</f>
        <v>25812228</v>
      </c>
    </row>
    <row r="1225">
      <c r="A1225" s="3">
        <f>IFERROR(__xludf.DUMMYFUNCTION("""COMPUTED_VALUE"""),581.0)</f>
        <v>581</v>
      </c>
      <c r="B1225" s="2" t="str">
        <f>IFERROR(__xludf.DUMMYFUNCTION("""COMPUTED_VALUE"""),"RAJSHAHI")</f>
        <v>RAJSHAHI</v>
      </c>
      <c r="C1225" s="4">
        <f>IFERROR(__xludf.DUMMYFUNCTION("""COMPUTED_VALUE"""),25.0)</f>
        <v>25</v>
      </c>
      <c r="D1225" s="2" t="str">
        <f>IFERROR(__xludf.DUMMYFUNCTION("""COMPUTED_VALUE"""),"BANGLADESH BANK")</f>
        <v>BANGLADESH BANK</v>
      </c>
      <c r="E1225" s="2" t="str">
        <f>IFERROR(__xludf.DUMMYFUNCTION("""COMPUTED_VALUE"""),"RAJSHAHI BUREAU")</f>
        <v>RAJSHAHI BUREAU</v>
      </c>
      <c r="F1225" s="3">
        <f>IFERROR(__xludf.DUMMYFUNCTION("""COMPUTED_VALUE"""),888.0)</f>
        <v>888</v>
      </c>
      <c r="G1225" s="5">
        <f>IFERROR(__xludf.DUMMYFUNCTION("""COMPUTED_VALUE"""),2.5819997E7)</f>
        <v>25819997</v>
      </c>
    </row>
    <row r="1226">
      <c r="A1226" s="3">
        <f>IFERROR(__xludf.DUMMYFUNCTION("""COMPUTED_VALUE"""),785.0)</f>
        <v>785</v>
      </c>
      <c r="B1226" s="2" t="str">
        <f>IFERROR(__xludf.DUMMYFUNCTION("""COMPUTED_VALUE"""),"RANGPUR")</f>
        <v>RANGPUR</v>
      </c>
      <c r="C1226" s="4">
        <f>IFERROR(__xludf.DUMMYFUNCTION("""COMPUTED_VALUE"""),25.0)</f>
        <v>25</v>
      </c>
      <c r="D1226" s="2" t="str">
        <f>IFERROR(__xludf.DUMMYFUNCTION("""COMPUTED_VALUE"""),"BANGLADESH BANK")</f>
        <v>BANGLADESH BANK</v>
      </c>
      <c r="E1226" s="2" t="str">
        <f>IFERROR(__xludf.DUMMYFUNCTION("""COMPUTED_VALUE"""),"RANGPUR CLEARING HOUSE")</f>
        <v>RANGPUR CLEARING HOUSE</v>
      </c>
      <c r="F1226" s="3">
        <f>IFERROR(__xludf.DUMMYFUNCTION("""COMPUTED_VALUE"""),0.0)</f>
        <v>0</v>
      </c>
      <c r="G1226" s="5">
        <f>IFERROR(__xludf.DUMMYFUNCTION("""COMPUTED_VALUE"""),2.5850006E7)</f>
        <v>25850006</v>
      </c>
    </row>
    <row r="1227">
      <c r="A1227" s="3">
        <f>IFERROR(__xludf.DUMMYFUNCTION("""COMPUTED_VALUE"""),785.0)</f>
        <v>785</v>
      </c>
      <c r="B1227" s="2" t="str">
        <f>IFERROR(__xludf.DUMMYFUNCTION("""COMPUTED_VALUE"""),"RANGPUR")</f>
        <v>RANGPUR</v>
      </c>
      <c r="C1227" s="4">
        <f>IFERROR(__xludf.DUMMYFUNCTION("""COMPUTED_VALUE"""),25.0)</f>
        <v>25</v>
      </c>
      <c r="D1227" s="2" t="str">
        <f>IFERROR(__xludf.DUMMYFUNCTION("""COMPUTED_VALUE"""),"BANGLADESH BANK")</f>
        <v>BANGLADESH BANK</v>
      </c>
      <c r="E1227" s="2" t="str">
        <f>IFERROR(__xludf.DUMMYFUNCTION("""COMPUTED_VALUE"""),"RANGPUR DAB")</f>
        <v>RANGPUR DAB</v>
      </c>
      <c r="F1227" s="3">
        <f>IFERROR(__xludf.DUMMYFUNCTION("""COMPUTED_VALUE"""),111.0)</f>
        <v>111</v>
      </c>
      <c r="G1227" s="5">
        <f>IFERROR(__xludf.DUMMYFUNCTION("""COMPUTED_VALUE"""),2.5851113E7)</f>
        <v>25851113</v>
      </c>
    </row>
    <row r="1228">
      <c r="A1228" s="3">
        <f>IFERROR(__xludf.DUMMYFUNCTION("""COMPUTED_VALUE"""),785.0)</f>
        <v>785</v>
      </c>
      <c r="B1228" s="2" t="str">
        <f>IFERROR(__xludf.DUMMYFUNCTION("""COMPUTED_VALUE"""),"RANGPUR")</f>
        <v>RANGPUR</v>
      </c>
      <c r="C1228" s="4">
        <f>IFERROR(__xludf.DUMMYFUNCTION("""COMPUTED_VALUE"""),25.0)</f>
        <v>25</v>
      </c>
      <c r="D1228" s="2" t="str">
        <f>IFERROR(__xludf.DUMMYFUNCTION("""COMPUTED_VALUE"""),"BANGLADESH BANK")</f>
        <v>BANGLADESH BANK</v>
      </c>
      <c r="E1228" s="2" t="str">
        <f>IFERROR(__xludf.DUMMYFUNCTION("""COMPUTED_VALUE"""),"RANGPUR PAD")</f>
        <v>RANGPUR PAD</v>
      </c>
      <c r="F1228" s="3">
        <f>IFERROR(__xludf.DUMMYFUNCTION("""COMPUTED_VALUE"""),222.0)</f>
        <v>222</v>
      </c>
      <c r="G1228" s="5">
        <f>IFERROR(__xludf.DUMMYFUNCTION("""COMPUTED_VALUE"""),2.585222E7)</f>
        <v>25852220</v>
      </c>
    </row>
    <row r="1229">
      <c r="A1229" s="3">
        <f>IFERROR(__xludf.DUMMYFUNCTION("""COMPUTED_VALUE"""),785.0)</f>
        <v>785</v>
      </c>
      <c r="B1229" s="2" t="str">
        <f>IFERROR(__xludf.DUMMYFUNCTION("""COMPUTED_VALUE"""),"RANGPUR")</f>
        <v>RANGPUR</v>
      </c>
      <c r="C1229" s="4">
        <f>IFERROR(__xludf.DUMMYFUNCTION("""COMPUTED_VALUE"""),25.0)</f>
        <v>25</v>
      </c>
      <c r="D1229" s="2" t="str">
        <f>IFERROR(__xludf.DUMMYFUNCTION("""COMPUTED_VALUE"""),"BANGLADESH BANK")</f>
        <v>BANGLADESH BANK</v>
      </c>
      <c r="E1229" s="2" t="str">
        <f>IFERROR(__xludf.DUMMYFUNCTION("""COMPUTED_VALUE"""),"RANGPUR BUREAU")</f>
        <v>RANGPUR BUREAU</v>
      </c>
      <c r="F1229" s="3">
        <f>IFERROR(__xludf.DUMMYFUNCTION("""COMPUTED_VALUE"""),888.0)</f>
        <v>888</v>
      </c>
      <c r="G1229" s="5">
        <f>IFERROR(__xludf.DUMMYFUNCTION("""COMPUTED_VALUE"""),2.5858882E7)</f>
        <v>25858882</v>
      </c>
    </row>
    <row r="1230">
      <c r="A1230" s="3">
        <f>IFERROR(__xludf.DUMMYFUNCTION("""COMPUTED_VALUE"""),891.0)</f>
        <v>891</v>
      </c>
      <c r="B1230" s="2" t="str">
        <f>IFERROR(__xludf.DUMMYFUNCTION("""COMPUTED_VALUE"""),"SYLHET")</f>
        <v>SYLHET</v>
      </c>
      <c r="C1230" s="4">
        <f>IFERROR(__xludf.DUMMYFUNCTION("""COMPUTED_VALUE"""),25.0)</f>
        <v>25</v>
      </c>
      <c r="D1230" s="2" t="str">
        <f>IFERROR(__xludf.DUMMYFUNCTION("""COMPUTED_VALUE"""),"BANGLADESH BANK")</f>
        <v>BANGLADESH BANK</v>
      </c>
      <c r="E1230" s="2" t="str">
        <f>IFERROR(__xludf.DUMMYFUNCTION("""COMPUTED_VALUE"""),"SYLHET CLEARING HOUSE")</f>
        <v>SYLHET CLEARING HOUSE</v>
      </c>
      <c r="F1230" s="3">
        <f>IFERROR(__xludf.DUMMYFUNCTION("""COMPUTED_VALUE"""),0.0)</f>
        <v>0</v>
      </c>
      <c r="G1230" s="5">
        <f>IFERROR(__xludf.DUMMYFUNCTION("""COMPUTED_VALUE"""),2.5910009E7)</f>
        <v>25910009</v>
      </c>
    </row>
    <row r="1231">
      <c r="A1231" s="3">
        <f>IFERROR(__xludf.DUMMYFUNCTION("""COMPUTED_VALUE"""),891.0)</f>
        <v>891</v>
      </c>
      <c r="B1231" s="2" t="str">
        <f>IFERROR(__xludf.DUMMYFUNCTION("""COMPUTED_VALUE"""),"SYLHET")</f>
        <v>SYLHET</v>
      </c>
      <c r="C1231" s="4">
        <f>IFERROR(__xludf.DUMMYFUNCTION("""COMPUTED_VALUE"""),25.0)</f>
        <v>25</v>
      </c>
      <c r="D1231" s="2" t="str">
        <f>IFERROR(__xludf.DUMMYFUNCTION("""COMPUTED_VALUE"""),"BANGLADESH BANK")</f>
        <v>BANGLADESH BANK</v>
      </c>
      <c r="E1231" s="2" t="str">
        <f>IFERROR(__xludf.DUMMYFUNCTION("""COMPUTED_VALUE"""),"SYLHET DAB")</f>
        <v>SYLHET DAB</v>
      </c>
      <c r="F1231" s="3">
        <f>IFERROR(__xludf.DUMMYFUNCTION("""COMPUTED_VALUE"""),111.0)</f>
        <v>111</v>
      </c>
      <c r="G1231" s="5">
        <f>IFERROR(__xludf.DUMMYFUNCTION("""COMPUTED_VALUE"""),2.5911116E7)</f>
        <v>25911116</v>
      </c>
    </row>
    <row r="1232">
      <c r="A1232" s="3">
        <f>IFERROR(__xludf.DUMMYFUNCTION("""COMPUTED_VALUE"""),891.0)</f>
        <v>891</v>
      </c>
      <c r="B1232" s="2" t="str">
        <f>IFERROR(__xludf.DUMMYFUNCTION("""COMPUTED_VALUE"""),"SYLHET")</f>
        <v>SYLHET</v>
      </c>
      <c r="C1232" s="4">
        <f>IFERROR(__xludf.DUMMYFUNCTION("""COMPUTED_VALUE"""),25.0)</f>
        <v>25</v>
      </c>
      <c r="D1232" s="2" t="str">
        <f>IFERROR(__xludf.DUMMYFUNCTION("""COMPUTED_VALUE"""),"BANGLADESH BANK")</f>
        <v>BANGLADESH BANK</v>
      </c>
      <c r="E1232" s="2" t="str">
        <f>IFERROR(__xludf.DUMMYFUNCTION("""COMPUTED_VALUE"""),"SYLHET PAD")</f>
        <v>SYLHET PAD</v>
      </c>
      <c r="F1232" s="3">
        <f>IFERROR(__xludf.DUMMYFUNCTION("""COMPUTED_VALUE"""),222.0)</f>
        <v>222</v>
      </c>
      <c r="G1232" s="5">
        <f>IFERROR(__xludf.DUMMYFUNCTION("""COMPUTED_VALUE"""),2.5912223E7)</f>
        <v>25912223</v>
      </c>
    </row>
    <row r="1233">
      <c r="A1233" s="3">
        <f>IFERROR(__xludf.DUMMYFUNCTION("""COMPUTED_VALUE"""),891.0)</f>
        <v>891</v>
      </c>
      <c r="B1233" s="2" t="str">
        <f>IFERROR(__xludf.DUMMYFUNCTION("""COMPUTED_VALUE"""),"SYLHET")</f>
        <v>SYLHET</v>
      </c>
      <c r="C1233" s="4">
        <f>IFERROR(__xludf.DUMMYFUNCTION("""COMPUTED_VALUE"""),25.0)</f>
        <v>25</v>
      </c>
      <c r="D1233" s="2" t="str">
        <f>IFERROR(__xludf.DUMMYFUNCTION("""COMPUTED_VALUE"""),"BANGLADESH BANK")</f>
        <v>BANGLADESH BANK</v>
      </c>
      <c r="E1233" s="2" t="str">
        <f>IFERROR(__xludf.DUMMYFUNCTION("""COMPUTED_VALUE"""),"SYLHET BUREAU")</f>
        <v>SYLHET BUREAU</v>
      </c>
      <c r="F1233" s="3">
        <f>IFERROR(__xludf.DUMMYFUNCTION("""COMPUTED_VALUE"""),888.0)</f>
        <v>888</v>
      </c>
      <c r="G1233" s="5">
        <f>IFERROR(__xludf.DUMMYFUNCTION("""COMPUTED_VALUE"""),2.5918885E7)</f>
        <v>25918885</v>
      </c>
    </row>
    <row r="1234">
      <c r="A1234" s="3">
        <f>IFERROR(__xludf.DUMMYFUNCTION("""COMPUTED_VALUE"""),306.0)</f>
        <v>306</v>
      </c>
      <c r="B1234" s="2" t="str">
        <f>IFERROR(__xludf.DUMMYFUNCTION("""COMPUTED_VALUE"""),"BARISHAL")</f>
        <v>BARISHAL</v>
      </c>
      <c r="C1234" s="4">
        <f>IFERROR(__xludf.DUMMYFUNCTION("""COMPUTED_VALUE"""),30.0)</f>
        <v>30</v>
      </c>
      <c r="D1234" s="2" t="str">
        <f>IFERROR(__xludf.DUMMYFUNCTION("""COMPUTED_VALUE"""),"BANGLADESH COMMERCE BANK LTD.")</f>
        <v>BANGLADESH COMMERCE BANK LTD.</v>
      </c>
      <c r="E1234" s="2" t="str">
        <f>IFERROR(__xludf.DUMMYFUNCTION("""COMPUTED_VALUE"""),"BARISAL")</f>
        <v>BARISAL</v>
      </c>
      <c r="F1234" s="3">
        <f>IFERROR(__xludf.DUMMYFUNCTION("""COMPUTED_VALUE"""),28.0)</f>
        <v>28</v>
      </c>
      <c r="G1234" s="5">
        <f>IFERROR(__xludf.DUMMYFUNCTION("""COMPUTED_VALUE"""),3.0060281E7)</f>
        <v>30060281</v>
      </c>
    </row>
    <row r="1235">
      <c r="A1235" s="3">
        <f>IFERROR(__xludf.DUMMYFUNCTION("""COMPUTED_VALUE"""),306.0)</f>
        <v>306</v>
      </c>
      <c r="B1235" s="2" t="str">
        <f>IFERROR(__xludf.DUMMYFUNCTION("""COMPUTED_VALUE"""),"BARISHAL")</f>
        <v>BARISHAL</v>
      </c>
      <c r="C1235" s="4">
        <f>IFERROR(__xludf.DUMMYFUNCTION("""COMPUTED_VALUE"""),30.0)</f>
        <v>30</v>
      </c>
      <c r="D1235" s="2" t="str">
        <f>IFERROR(__xludf.DUMMYFUNCTION("""COMPUTED_VALUE"""),"BANGLADESH COMMERCE BANK LTD.")</f>
        <v>BANGLADESH COMMERCE BANK LTD.</v>
      </c>
      <c r="E1235" s="2" t="str">
        <f>IFERROR(__xludf.DUMMYFUNCTION("""COMPUTED_VALUE"""),"BATAJORE")</f>
        <v>BATAJORE</v>
      </c>
      <c r="F1235" s="3">
        <f>IFERROR(__xludf.DUMMYFUNCTION("""COMPUTED_VALUE"""),37.0)</f>
        <v>37</v>
      </c>
      <c r="G1235" s="5">
        <f>IFERROR(__xludf.DUMMYFUNCTION("""COMPUTED_VALUE"""),3.0060373E7)</f>
        <v>30060373</v>
      </c>
    </row>
    <row r="1236">
      <c r="A1236" s="3">
        <f>IFERROR(__xludf.DUMMYFUNCTION("""COMPUTED_VALUE"""),610.0)</f>
        <v>610</v>
      </c>
      <c r="B1236" s="2" t="str">
        <f>IFERROR(__xludf.DUMMYFUNCTION("""COMPUTED_VALUE"""),"BOGRA")</f>
        <v>BOGRA</v>
      </c>
      <c r="C1236" s="4">
        <f>IFERROR(__xludf.DUMMYFUNCTION("""COMPUTED_VALUE"""),30.0)</f>
        <v>30</v>
      </c>
      <c r="D1236" s="2" t="str">
        <f>IFERROR(__xludf.DUMMYFUNCTION("""COMPUTED_VALUE"""),"BANGLADESH COMMERCE BANK LTD.")</f>
        <v>BANGLADESH COMMERCE BANK LTD.</v>
      </c>
      <c r="E1236" s="2" t="str">
        <f>IFERROR(__xludf.DUMMYFUNCTION("""COMPUTED_VALUE"""),"BOGRA")</f>
        <v>BOGRA</v>
      </c>
      <c r="F1236" s="3">
        <f>IFERROR(__xludf.DUMMYFUNCTION("""COMPUTED_VALUE"""),37.0)</f>
        <v>37</v>
      </c>
      <c r="G1236" s="5">
        <f>IFERROR(__xludf.DUMMYFUNCTION("""COMPUTED_VALUE"""),3.010037E7)</f>
        <v>30100370</v>
      </c>
    </row>
    <row r="1237">
      <c r="A1237" s="3">
        <f>IFERROR(__xludf.DUMMYFUNCTION("""COMPUTED_VALUE"""),215.0)</f>
        <v>215</v>
      </c>
      <c r="B1237" s="2" t="str">
        <f>IFERROR(__xludf.DUMMYFUNCTION("""COMPUTED_VALUE"""),"CHITTAGONG")</f>
        <v>CHITTAGONG</v>
      </c>
      <c r="C1237" s="4">
        <f>IFERROR(__xludf.DUMMYFUNCTION("""COMPUTED_VALUE"""),30.0)</f>
        <v>30</v>
      </c>
      <c r="D1237" s="2" t="str">
        <f>IFERROR(__xludf.DUMMYFUNCTION("""COMPUTED_VALUE"""),"BANGLADESH COMMERCE BANK LTD.")</f>
        <v>BANGLADESH COMMERCE BANK LTD.</v>
      </c>
      <c r="E1237" s="2" t="str">
        <f>IFERROR(__xludf.DUMMYFUNCTION("""COMPUTED_VALUE"""),"AGRABAD")</f>
        <v>AGRABAD</v>
      </c>
      <c r="F1237" s="3">
        <f>IFERROR(__xludf.DUMMYFUNCTION("""COMPUTED_VALUE"""),13.0)</f>
        <v>13</v>
      </c>
      <c r="G1237" s="5">
        <f>IFERROR(__xludf.DUMMYFUNCTION("""COMPUTED_VALUE"""),3.0150133E7)</f>
        <v>30150133</v>
      </c>
    </row>
    <row r="1238">
      <c r="A1238" s="3">
        <f>IFERROR(__xludf.DUMMYFUNCTION("""COMPUTED_VALUE"""),215.0)</f>
        <v>215</v>
      </c>
      <c r="B1238" s="2" t="str">
        <f>IFERROR(__xludf.DUMMYFUNCTION("""COMPUTED_VALUE"""),"CHITTAGONG")</f>
        <v>CHITTAGONG</v>
      </c>
      <c r="C1238" s="4">
        <f>IFERROR(__xludf.DUMMYFUNCTION("""COMPUTED_VALUE"""),30.0)</f>
        <v>30</v>
      </c>
      <c r="D1238" s="2" t="str">
        <f>IFERROR(__xludf.DUMMYFUNCTION("""COMPUTED_VALUE"""),"BANGLADESH COMMERCE BANK LTD.")</f>
        <v>BANGLADESH COMMERCE BANK LTD.</v>
      </c>
      <c r="E1238" s="2" t="str">
        <f>IFERROR(__xludf.DUMMYFUNCTION("""COMPUTED_VALUE"""),"A K KHAN MOOR")</f>
        <v>A K KHAN MOOR</v>
      </c>
      <c r="F1238" s="3">
        <f>IFERROR(__xludf.DUMMYFUNCTION("""COMPUTED_VALUE"""),21.0)</f>
        <v>21</v>
      </c>
      <c r="G1238" s="5">
        <f>IFERROR(__xludf.DUMMYFUNCTION("""COMPUTED_VALUE"""),3.0150212E7)</f>
        <v>30150212</v>
      </c>
    </row>
    <row r="1239">
      <c r="A1239" s="3">
        <f>IFERROR(__xludf.DUMMYFUNCTION("""COMPUTED_VALUE"""),215.0)</f>
        <v>215</v>
      </c>
      <c r="B1239" s="2" t="str">
        <f>IFERROR(__xludf.DUMMYFUNCTION("""COMPUTED_VALUE"""),"CHITTAGONG")</f>
        <v>CHITTAGONG</v>
      </c>
      <c r="C1239" s="4">
        <f>IFERROR(__xludf.DUMMYFUNCTION("""COMPUTED_VALUE"""),30.0)</f>
        <v>30</v>
      </c>
      <c r="D1239" s="2" t="str">
        <f>IFERROR(__xludf.DUMMYFUNCTION("""COMPUTED_VALUE"""),"BANGLADESH COMMERCE BANK LTD.")</f>
        <v>BANGLADESH COMMERCE BANK LTD.</v>
      </c>
      <c r="E1239" s="2" t="str">
        <f>IFERROR(__xludf.DUMMYFUNCTION("""COMPUTED_VALUE"""),"CHAKTAI")</f>
        <v>CHAKTAI</v>
      </c>
      <c r="F1239" s="3">
        <f>IFERROR(__xludf.DUMMYFUNCTION("""COMPUTED_VALUE"""),175.0)</f>
        <v>175</v>
      </c>
      <c r="G1239" s="5">
        <f>IFERROR(__xludf.DUMMYFUNCTION("""COMPUTED_VALUE"""),3.0151758E7)</f>
        <v>30151758</v>
      </c>
    </row>
    <row r="1240">
      <c r="A1240" s="3">
        <f>IFERROR(__xludf.DUMMYFUNCTION("""COMPUTED_VALUE"""),215.0)</f>
        <v>215</v>
      </c>
      <c r="B1240" s="2" t="str">
        <f>IFERROR(__xludf.DUMMYFUNCTION("""COMPUTED_VALUE"""),"CHITTAGONG")</f>
        <v>CHITTAGONG</v>
      </c>
      <c r="C1240" s="4">
        <f>IFERROR(__xludf.DUMMYFUNCTION("""COMPUTED_VALUE"""),30.0)</f>
        <v>30</v>
      </c>
      <c r="D1240" s="2" t="str">
        <f>IFERROR(__xludf.DUMMYFUNCTION("""COMPUTED_VALUE"""),"BANGLADESH COMMERCE BANK LTD.")</f>
        <v>BANGLADESH COMMERCE BANK LTD.</v>
      </c>
      <c r="E1240" s="2" t="str">
        <f>IFERROR(__xludf.DUMMYFUNCTION("""COMPUTED_VALUE"""),"DEWAN HAT")</f>
        <v>DEWAN HAT</v>
      </c>
      <c r="F1240" s="3">
        <f>IFERROR(__xludf.DUMMYFUNCTION("""COMPUTED_VALUE"""),244.0)</f>
        <v>244</v>
      </c>
      <c r="G1240" s="5">
        <f>IFERROR(__xludf.DUMMYFUNCTION("""COMPUTED_VALUE"""),3.0152449E7)</f>
        <v>30152449</v>
      </c>
    </row>
    <row r="1241">
      <c r="A1241" s="3">
        <f>IFERROR(__xludf.DUMMYFUNCTION("""COMPUTED_VALUE"""),215.0)</f>
        <v>215</v>
      </c>
      <c r="B1241" s="2" t="str">
        <f>IFERROR(__xludf.DUMMYFUNCTION("""COMPUTED_VALUE"""),"CHITTAGONG")</f>
        <v>CHITTAGONG</v>
      </c>
      <c r="C1241" s="4">
        <f>IFERROR(__xludf.DUMMYFUNCTION("""COMPUTED_VALUE"""),30.0)</f>
        <v>30</v>
      </c>
      <c r="D1241" s="2" t="str">
        <f>IFERROR(__xludf.DUMMYFUNCTION("""COMPUTED_VALUE"""),"BANGLADESH COMMERCE BANK LTD.")</f>
        <v>BANGLADESH COMMERCE BANK LTD.</v>
      </c>
      <c r="E1241" s="2" t="str">
        <f>IFERROR(__xludf.DUMMYFUNCTION("""COMPUTED_VALUE"""),"JUBILEE ROAD")</f>
        <v>JUBILEE ROAD</v>
      </c>
      <c r="F1241" s="3">
        <f>IFERROR(__xludf.DUMMYFUNCTION("""COMPUTED_VALUE"""),364.0)</f>
        <v>364</v>
      </c>
      <c r="G1241" s="5">
        <f>IFERROR(__xludf.DUMMYFUNCTION("""COMPUTED_VALUE"""),3.0153648E7)</f>
        <v>30153648</v>
      </c>
    </row>
    <row r="1242">
      <c r="A1242" s="3">
        <f>IFERROR(__xludf.DUMMYFUNCTION("""COMPUTED_VALUE"""),215.0)</f>
        <v>215</v>
      </c>
      <c r="B1242" s="2" t="str">
        <f>IFERROR(__xludf.DUMMYFUNCTION("""COMPUTED_VALUE"""),"CHITTAGONG")</f>
        <v>CHITTAGONG</v>
      </c>
      <c r="C1242" s="4">
        <f>IFERROR(__xludf.DUMMYFUNCTION("""COMPUTED_VALUE"""),30.0)</f>
        <v>30</v>
      </c>
      <c r="D1242" s="2" t="str">
        <f>IFERROR(__xludf.DUMMYFUNCTION("""COMPUTED_VALUE"""),"BANGLADESH COMMERCE BANK LTD.")</f>
        <v>BANGLADESH COMMERCE BANK LTD.</v>
      </c>
      <c r="E1242" s="2" t="str">
        <f>IFERROR(__xludf.DUMMYFUNCTION("""COMPUTED_VALUE"""),"KHATUNGANJ")</f>
        <v>KHATUNGANJ</v>
      </c>
      <c r="F1242" s="3">
        <f>IFERROR(__xludf.DUMMYFUNCTION("""COMPUTED_VALUE"""),427.0)</f>
        <v>427</v>
      </c>
      <c r="G1242" s="5">
        <f>IFERROR(__xludf.DUMMYFUNCTION("""COMPUTED_VALUE"""),3.0154276E7)</f>
        <v>30154276</v>
      </c>
    </row>
    <row r="1243">
      <c r="A1243" s="3">
        <f>IFERROR(__xludf.DUMMYFUNCTION("""COMPUTED_VALUE"""),215.0)</f>
        <v>215</v>
      </c>
      <c r="B1243" s="2" t="str">
        <f>IFERROR(__xludf.DUMMYFUNCTION("""COMPUTED_VALUE"""),"CHITTAGONG")</f>
        <v>CHITTAGONG</v>
      </c>
      <c r="C1243" s="4">
        <f>IFERROR(__xludf.DUMMYFUNCTION("""COMPUTED_VALUE"""),30.0)</f>
        <v>30</v>
      </c>
      <c r="D1243" s="2" t="str">
        <f>IFERROR(__xludf.DUMMYFUNCTION("""COMPUTED_VALUE"""),"BANGLADESH COMMERCE BANK LTD.")</f>
        <v>BANGLADESH COMMERCE BANK LTD.</v>
      </c>
      <c r="E1243" s="2" t="str">
        <f>IFERROR(__xludf.DUMMYFUNCTION("""COMPUTED_VALUE"""),"LOHA GARA")</f>
        <v>LOHA GARA</v>
      </c>
      <c r="F1243" s="3">
        <f>IFERROR(__xludf.DUMMYFUNCTION("""COMPUTED_VALUE"""),466.0)</f>
        <v>466</v>
      </c>
      <c r="G1243" s="5">
        <f>IFERROR(__xludf.DUMMYFUNCTION("""COMPUTED_VALUE"""),3.0154663E7)</f>
        <v>30154663</v>
      </c>
    </row>
    <row r="1244">
      <c r="A1244" s="3">
        <f>IFERROR(__xludf.DUMMYFUNCTION("""COMPUTED_VALUE"""),215.0)</f>
        <v>215</v>
      </c>
      <c r="B1244" s="2" t="str">
        <f>IFERROR(__xludf.DUMMYFUNCTION("""COMPUTED_VALUE"""),"CHITTAGONG")</f>
        <v>CHITTAGONG</v>
      </c>
      <c r="C1244" s="4">
        <f>IFERROR(__xludf.DUMMYFUNCTION("""COMPUTED_VALUE"""),30.0)</f>
        <v>30</v>
      </c>
      <c r="D1244" s="2" t="str">
        <f>IFERROR(__xludf.DUMMYFUNCTION("""COMPUTED_VALUE"""),"BANGLADESH COMMERCE BANK LTD.")</f>
        <v>BANGLADESH COMMERCE BANK LTD.</v>
      </c>
      <c r="E1244" s="2" t="str">
        <f>IFERROR(__xludf.DUMMYFUNCTION("""COMPUTED_VALUE"""),"MURADPUR")</f>
        <v>MURADPUR</v>
      </c>
      <c r="F1244" s="3">
        <f>IFERROR(__xludf.DUMMYFUNCTION("""COMPUTED_VALUE"""),532.0)</f>
        <v>532</v>
      </c>
      <c r="G1244" s="5">
        <f>IFERROR(__xludf.DUMMYFUNCTION("""COMPUTED_VALUE"""),3.0155325E7)</f>
        <v>30155325</v>
      </c>
    </row>
    <row r="1245">
      <c r="A1245" s="3">
        <f>IFERROR(__xludf.DUMMYFUNCTION("""COMPUTED_VALUE"""),119.0)</f>
        <v>119</v>
      </c>
      <c r="B1245" s="2" t="str">
        <f>IFERROR(__xludf.DUMMYFUNCTION("""COMPUTED_VALUE"""),"COMILLA")</f>
        <v>COMILLA</v>
      </c>
      <c r="C1245" s="4">
        <f>IFERROR(__xludf.DUMMYFUNCTION("""COMPUTED_VALUE"""),30.0)</f>
        <v>30</v>
      </c>
      <c r="D1245" s="2" t="str">
        <f>IFERROR(__xludf.DUMMYFUNCTION("""COMPUTED_VALUE"""),"BANGLADESH COMMERCE BANK LTD.")</f>
        <v>BANGLADESH COMMERCE BANK LTD.</v>
      </c>
      <c r="E1245" s="2" t="str">
        <f>IFERROR(__xludf.DUMMYFUNCTION("""COMPUTED_VALUE"""),"KANGSHANAGAR BAZAR")</f>
        <v>KANGSHANAGAR BAZAR</v>
      </c>
      <c r="F1245" s="3">
        <f>IFERROR(__xludf.DUMMYFUNCTION("""COMPUTED_VALUE"""),27.0)</f>
        <v>27</v>
      </c>
      <c r="G1245" s="5">
        <f>IFERROR(__xludf.DUMMYFUNCTION("""COMPUTED_VALUE"""),3.0190272E7)</f>
        <v>30190272</v>
      </c>
    </row>
    <row r="1246">
      <c r="A1246" s="3">
        <f>IFERROR(__xludf.DUMMYFUNCTION("""COMPUTED_VALUE"""),119.0)</f>
        <v>119</v>
      </c>
      <c r="B1246" s="2" t="str">
        <f>IFERROR(__xludf.DUMMYFUNCTION("""COMPUTED_VALUE"""),"COMILLA")</f>
        <v>COMILLA</v>
      </c>
      <c r="C1246" s="4">
        <f>IFERROR(__xludf.DUMMYFUNCTION("""COMPUTED_VALUE"""),30.0)</f>
        <v>30</v>
      </c>
      <c r="D1246" s="2" t="str">
        <f>IFERROR(__xludf.DUMMYFUNCTION("""COMPUTED_VALUE"""),"BANGLADESH COMMERCE BANK LTD.")</f>
        <v>BANGLADESH COMMERCE BANK LTD.</v>
      </c>
      <c r="E1246" s="2" t="str">
        <f>IFERROR(__xludf.DUMMYFUNCTION("""COMPUTED_VALUE"""),"COMILLA ZILA SCHOOL ROAD")</f>
        <v>COMILLA ZILA SCHOOL ROAD</v>
      </c>
      <c r="F1246" s="3">
        <f>IFERROR(__xludf.DUMMYFUNCTION("""COMPUTED_VALUE"""),136.0)</f>
        <v>136</v>
      </c>
      <c r="G1246" s="5">
        <f>IFERROR(__xludf.DUMMYFUNCTION("""COMPUTED_VALUE"""),3.0191363E7)</f>
        <v>30191363</v>
      </c>
    </row>
    <row r="1247">
      <c r="A1247" s="3">
        <f>IFERROR(__xludf.DUMMYFUNCTION("""COMPUTED_VALUE"""),126.0)</f>
        <v>126</v>
      </c>
      <c r="B1247" s="2" t="str">
        <f>IFERROR(__xludf.DUMMYFUNCTION("""COMPUTED_VALUE"""),"DHAKA-NORTH")</f>
        <v>DHAKA-NORTH</v>
      </c>
      <c r="C1247" s="4">
        <f>IFERROR(__xludf.DUMMYFUNCTION("""COMPUTED_VALUE"""),30.0)</f>
        <v>30</v>
      </c>
      <c r="D1247" s="2" t="str">
        <f>IFERROR(__xludf.DUMMYFUNCTION("""COMPUTED_VALUE"""),"BANGLADESH COMMERCE BANK LTD.")</f>
        <v>BANGLADESH COMMERCE BANK LTD.</v>
      </c>
      <c r="E1247" s="2" t="str">
        <f>IFERROR(__xludf.DUMMYFUNCTION("""COMPUTED_VALUE"""),"KATHGORA BAZAR")</f>
        <v>KATHGORA BAZAR</v>
      </c>
      <c r="F1247" s="3">
        <f>IFERROR(__xludf.DUMMYFUNCTION("""COMPUTED_VALUE"""),9.0)</f>
        <v>9</v>
      </c>
      <c r="G1247" s="5">
        <f>IFERROR(__xludf.DUMMYFUNCTION("""COMPUTED_VALUE"""),3.0260094E7)</f>
        <v>30260094</v>
      </c>
    </row>
    <row r="1248">
      <c r="A1248" s="3">
        <f>IFERROR(__xludf.DUMMYFUNCTION("""COMPUTED_VALUE"""),126.0)</f>
        <v>126</v>
      </c>
      <c r="B1248" s="2" t="str">
        <f>IFERROR(__xludf.DUMMYFUNCTION("""COMPUTED_VALUE"""),"DHAKA-NORTH")</f>
        <v>DHAKA-NORTH</v>
      </c>
      <c r="C1248" s="4">
        <f>IFERROR(__xludf.DUMMYFUNCTION("""COMPUTED_VALUE"""),30.0)</f>
        <v>30</v>
      </c>
      <c r="D1248" s="2" t="str">
        <f>IFERROR(__xludf.DUMMYFUNCTION("""COMPUTED_VALUE"""),"BANGLADESH COMMERCE BANK LTD.")</f>
        <v>BANGLADESH COMMERCE BANK LTD.</v>
      </c>
      <c r="E1248" s="2" t="str">
        <f>IFERROR(__xludf.DUMMYFUNCTION("""COMPUTED_VALUE"""),"DHAMRAI")</f>
        <v>DHAMRAI</v>
      </c>
      <c r="F1248" s="3">
        <f>IFERROR(__xludf.DUMMYFUNCTION("""COMPUTED_VALUE"""),115.0)</f>
        <v>115</v>
      </c>
      <c r="G1248" s="5">
        <f>IFERROR(__xludf.DUMMYFUNCTION("""COMPUTED_VALUE"""),3.0261156E7)</f>
        <v>30261156</v>
      </c>
    </row>
    <row r="1249">
      <c r="A1249" s="3">
        <f>IFERROR(__xludf.DUMMYFUNCTION("""COMPUTED_VALUE"""),126.0)</f>
        <v>126</v>
      </c>
      <c r="B1249" s="2" t="str">
        <f>IFERROR(__xludf.DUMMYFUNCTION("""COMPUTED_VALUE"""),"DHAKA-NORTH")</f>
        <v>DHAKA-NORTH</v>
      </c>
      <c r="C1249" s="4">
        <f>IFERROR(__xludf.DUMMYFUNCTION("""COMPUTED_VALUE"""),30.0)</f>
        <v>30</v>
      </c>
      <c r="D1249" s="2" t="str">
        <f>IFERROR(__xludf.DUMMYFUNCTION("""COMPUTED_VALUE"""),"BANGLADESH COMMERCE BANK LTD.")</f>
        <v>BANGLADESH COMMERCE BANK LTD.</v>
      </c>
      <c r="E1249" s="2" t="str">
        <f>IFERROR(__xludf.DUMMYFUNCTION("""COMPUTED_VALUE"""),"GREEN ROAD")</f>
        <v>GREEN ROAD</v>
      </c>
      <c r="F1249" s="3">
        <f>IFERROR(__xludf.DUMMYFUNCTION("""COMPUTED_VALUE"""),169.0)</f>
        <v>169</v>
      </c>
      <c r="G1249" s="5">
        <f>IFERROR(__xludf.DUMMYFUNCTION("""COMPUTED_VALUE"""),3.0261693E7)</f>
        <v>30261693</v>
      </c>
    </row>
    <row r="1250">
      <c r="A1250" s="3">
        <f>IFERROR(__xludf.DUMMYFUNCTION("""COMPUTED_VALUE"""),126.0)</f>
        <v>126</v>
      </c>
      <c r="B1250" s="2" t="str">
        <f>IFERROR(__xludf.DUMMYFUNCTION("""COMPUTED_VALUE"""),"DHAKA-NORTH")</f>
        <v>DHAKA-NORTH</v>
      </c>
      <c r="C1250" s="4">
        <f>IFERROR(__xludf.DUMMYFUNCTION("""COMPUTED_VALUE"""),30.0)</f>
        <v>30</v>
      </c>
      <c r="D1250" s="2" t="str">
        <f>IFERROR(__xludf.DUMMYFUNCTION("""COMPUTED_VALUE"""),"BANGLADESH COMMERCE BANK LTD.")</f>
        <v>BANGLADESH COMMERCE BANK LTD.</v>
      </c>
      <c r="E1250" s="2" t="str">
        <f>IFERROR(__xludf.DUMMYFUNCTION("""COMPUTED_VALUE"""),"GULSHAN")</f>
        <v>GULSHAN</v>
      </c>
      <c r="F1250" s="3">
        <f>IFERROR(__xludf.DUMMYFUNCTION("""COMPUTED_VALUE"""),172.0)</f>
        <v>172</v>
      </c>
      <c r="G1250" s="5">
        <f>IFERROR(__xludf.DUMMYFUNCTION("""COMPUTED_VALUE"""),3.0261727E7)</f>
        <v>30261727</v>
      </c>
    </row>
    <row r="1251">
      <c r="A1251" s="3">
        <f>IFERROR(__xludf.DUMMYFUNCTION("""COMPUTED_VALUE"""),126.0)</f>
        <v>126</v>
      </c>
      <c r="B1251" s="2" t="str">
        <f>IFERROR(__xludf.DUMMYFUNCTION("""COMPUTED_VALUE"""),"DHAKA-NORTH")</f>
        <v>DHAKA-NORTH</v>
      </c>
      <c r="C1251" s="4">
        <f>IFERROR(__xludf.DUMMYFUNCTION("""COMPUTED_VALUE"""),30.0)</f>
        <v>30</v>
      </c>
      <c r="D1251" s="2" t="str">
        <f>IFERROR(__xludf.DUMMYFUNCTION("""COMPUTED_VALUE"""),"BANGLADESH COMMERCE BANK LTD.")</f>
        <v>BANGLADESH COMMERCE BANK LTD.</v>
      </c>
      <c r="E1251" s="2" t="str">
        <f>IFERROR(__xludf.DUMMYFUNCTION("""COMPUTED_VALUE"""),"JHIGATOLA")</f>
        <v>JHIGATOLA</v>
      </c>
      <c r="F1251" s="3">
        <f>IFERROR(__xludf.DUMMYFUNCTION("""COMPUTED_VALUE"""),232.0)</f>
        <v>232</v>
      </c>
      <c r="G1251" s="5">
        <f>IFERROR(__xludf.DUMMYFUNCTION("""COMPUTED_VALUE"""),3.0262326E7)</f>
        <v>30262326</v>
      </c>
    </row>
    <row r="1252">
      <c r="A1252" s="3">
        <f>IFERROR(__xludf.DUMMYFUNCTION("""COMPUTED_VALUE"""),126.0)</f>
        <v>126</v>
      </c>
      <c r="B1252" s="2" t="str">
        <f>IFERROR(__xludf.DUMMYFUNCTION("""COMPUTED_VALUE"""),"DHAKA-NORTH")</f>
        <v>DHAKA-NORTH</v>
      </c>
      <c r="C1252" s="4">
        <f>IFERROR(__xludf.DUMMYFUNCTION("""COMPUTED_VALUE"""),30.0)</f>
        <v>30</v>
      </c>
      <c r="D1252" s="2" t="str">
        <f>IFERROR(__xludf.DUMMYFUNCTION("""COMPUTED_VALUE"""),"BANGLADESH COMMERCE BANK LTD.")</f>
        <v>BANGLADESH COMMERCE BANK LTD.</v>
      </c>
      <c r="E1252" s="2" t="str">
        <f>IFERROR(__xludf.DUMMYFUNCTION("""COMPUTED_VALUE"""),"MIRPUR")</f>
        <v>MIRPUR</v>
      </c>
      <c r="F1252" s="3">
        <f>IFERROR(__xludf.DUMMYFUNCTION("""COMPUTED_VALUE"""),298.0)</f>
        <v>298</v>
      </c>
      <c r="G1252" s="5">
        <f>IFERROR(__xludf.DUMMYFUNCTION("""COMPUTED_VALUE"""),3.0262984E7)</f>
        <v>30262984</v>
      </c>
    </row>
    <row r="1253">
      <c r="A1253" s="3">
        <f>IFERROR(__xludf.DUMMYFUNCTION("""COMPUTED_VALUE"""),126.0)</f>
        <v>126</v>
      </c>
      <c r="B1253" s="2" t="str">
        <f>IFERROR(__xludf.DUMMYFUNCTION("""COMPUTED_VALUE"""),"DHAKA-NORTH")</f>
        <v>DHAKA-NORTH</v>
      </c>
      <c r="C1253" s="4">
        <f>IFERROR(__xludf.DUMMYFUNCTION("""COMPUTED_VALUE"""),30.0)</f>
        <v>30</v>
      </c>
      <c r="D1253" s="2" t="str">
        <f>IFERROR(__xludf.DUMMYFUNCTION("""COMPUTED_VALUE"""),"BANGLADESH COMMERCE BANK LTD.")</f>
        <v>BANGLADESH COMMERCE BANK LTD.</v>
      </c>
      <c r="E1253" s="2" t="str">
        <f>IFERROR(__xludf.DUMMYFUNCTION("""COMPUTED_VALUE"""),"PALLABI")</f>
        <v>PALLABI</v>
      </c>
      <c r="F1253" s="3">
        <f>IFERROR(__xludf.DUMMYFUNCTION("""COMPUTED_VALUE"""),358.0)</f>
        <v>358</v>
      </c>
      <c r="G1253" s="5">
        <f>IFERROR(__xludf.DUMMYFUNCTION("""COMPUTED_VALUE"""),3.0263583E7)</f>
        <v>30263583</v>
      </c>
    </row>
    <row r="1254">
      <c r="A1254" s="3">
        <f>IFERROR(__xludf.DUMMYFUNCTION("""COMPUTED_VALUE"""),126.0)</f>
        <v>126</v>
      </c>
      <c r="B1254" s="2" t="str">
        <f>IFERROR(__xludf.DUMMYFUNCTION("""COMPUTED_VALUE"""),"DHAKA-NORTH")</f>
        <v>DHAKA-NORTH</v>
      </c>
      <c r="C1254" s="4">
        <f>IFERROR(__xludf.DUMMYFUNCTION("""COMPUTED_VALUE"""),30.0)</f>
        <v>30</v>
      </c>
      <c r="D1254" s="2" t="str">
        <f>IFERROR(__xludf.DUMMYFUNCTION("""COMPUTED_VALUE"""),"BANGLADESH COMMERCE BANK LTD.")</f>
        <v>BANGLADESH COMMERCE BANK LTD.</v>
      </c>
      <c r="E1254" s="2" t="str">
        <f>IFERROR(__xludf.DUMMYFUNCTION("""COMPUTED_VALUE"""),"PRAGATI SARANI")</f>
        <v>PRAGATI SARANI</v>
      </c>
      <c r="F1254" s="3">
        <f>IFERROR(__xludf.DUMMYFUNCTION("""COMPUTED_VALUE"""),370.0)</f>
        <v>370</v>
      </c>
      <c r="G1254" s="5">
        <f>IFERROR(__xludf.DUMMYFUNCTION("""COMPUTED_VALUE"""),3.0263709E7)</f>
        <v>30263709</v>
      </c>
    </row>
    <row r="1255">
      <c r="A1255" s="3">
        <f>IFERROR(__xludf.DUMMYFUNCTION("""COMPUTED_VALUE"""),126.0)</f>
        <v>126</v>
      </c>
      <c r="B1255" s="2" t="str">
        <f>IFERROR(__xludf.DUMMYFUNCTION("""COMPUTED_VALUE"""),"DHAKA-NORTH")</f>
        <v>DHAKA-NORTH</v>
      </c>
      <c r="C1255" s="4">
        <f>IFERROR(__xludf.DUMMYFUNCTION("""COMPUTED_VALUE"""),30.0)</f>
        <v>30</v>
      </c>
      <c r="D1255" s="2" t="str">
        <f>IFERROR(__xludf.DUMMYFUNCTION("""COMPUTED_VALUE"""),"BANGLADESH COMMERCE BANK LTD.")</f>
        <v>BANGLADESH COMMERCE BANK LTD.</v>
      </c>
      <c r="E1255" s="2" t="str">
        <f>IFERROR(__xludf.DUMMYFUNCTION("""COMPUTED_VALUE"""),"SAVAR")</f>
        <v>SAVAR</v>
      </c>
      <c r="F1255" s="3">
        <f>IFERROR(__xludf.DUMMYFUNCTION("""COMPUTED_VALUE"""),409.0)</f>
        <v>409</v>
      </c>
      <c r="G1255" s="5">
        <f>IFERROR(__xludf.DUMMYFUNCTION("""COMPUTED_VALUE"""),3.026409E7)</f>
        <v>30264090</v>
      </c>
    </row>
    <row r="1256">
      <c r="A1256" s="3">
        <f>IFERROR(__xludf.DUMMYFUNCTION("""COMPUTED_VALUE"""),126.0)</f>
        <v>126</v>
      </c>
      <c r="B1256" s="2" t="str">
        <f>IFERROR(__xludf.DUMMYFUNCTION("""COMPUTED_VALUE"""),"DHAKA-NORTH")</f>
        <v>DHAKA-NORTH</v>
      </c>
      <c r="C1256" s="4">
        <f>IFERROR(__xludf.DUMMYFUNCTION("""COMPUTED_VALUE"""),30.0)</f>
        <v>30</v>
      </c>
      <c r="D1256" s="2" t="str">
        <f>IFERROR(__xludf.DUMMYFUNCTION("""COMPUTED_VALUE"""),"BANGLADESH COMMERCE BANK LTD.")</f>
        <v>BANGLADESH COMMERCE BANK LTD.</v>
      </c>
      <c r="E1256" s="2" t="str">
        <f>IFERROR(__xludf.DUMMYFUNCTION("""COMPUTED_VALUE"""),"UTTARA")</f>
        <v>UTTARA</v>
      </c>
      <c r="F1256" s="3">
        <f>IFERROR(__xludf.DUMMYFUNCTION("""COMPUTED_VALUE"""),463.0)</f>
        <v>463</v>
      </c>
      <c r="G1256" s="5">
        <f>IFERROR(__xludf.DUMMYFUNCTION("""COMPUTED_VALUE"""),3.0264632E7)</f>
        <v>30264632</v>
      </c>
    </row>
    <row r="1257">
      <c r="A1257" s="3">
        <f>IFERROR(__xludf.DUMMYFUNCTION("""COMPUTED_VALUE"""),127.0)</f>
        <v>127</v>
      </c>
      <c r="B1257" s="2" t="str">
        <f>IFERROR(__xludf.DUMMYFUNCTION("""COMPUTED_VALUE"""),"DHAKA-SOUTH")</f>
        <v>DHAKA-SOUTH</v>
      </c>
      <c r="C1257" s="4">
        <f>IFERROR(__xludf.DUMMYFUNCTION("""COMPUTED_VALUE"""),30.0)</f>
        <v>30</v>
      </c>
      <c r="D1257" s="2" t="str">
        <f>IFERROR(__xludf.DUMMYFUNCTION("""COMPUTED_VALUE"""),"BANGLADESH COMMERCE BANK LTD.")</f>
        <v>BANGLADESH COMMERCE BANK LTD.</v>
      </c>
      <c r="E1257" s="2" t="str">
        <f>IFERROR(__xludf.DUMMYFUNCTION("""COMPUTED_VALUE"""),"TRUNCATION POINT")</f>
        <v>TRUNCATION POINT</v>
      </c>
      <c r="F1257" s="3">
        <f>IFERROR(__xludf.DUMMYFUNCTION("""COMPUTED_VALUE"""),0.0)</f>
        <v>0</v>
      </c>
      <c r="G1257" s="5">
        <f>IFERROR(__xludf.DUMMYFUNCTION("""COMPUTED_VALUE"""),3.027E7)</f>
        <v>30270000</v>
      </c>
    </row>
    <row r="1258">
      <c r="A1258" s="3">
        <f>IFERROR(__xludf.DUMMYFUNCTION("""COMPUTED_VALUE"""),127.0)</f>
        <v>127</v>
      </c>
      <c r="B1258" s="2" t="str">
        <f>IFERROR(__xludf.DUMMYFUNCTION("""COMPUTED_VALUE"""),"DHAKA-SOUTH")</f>
        <v>DHAKA-SOUTH</v>
      </c>
      <c r="C1258" s="4">
        <f>IFERROR(__xludf.DUMMYFUNCTION("""COMPUTED_VALUE"""),30.0)</f>
        <v>30</v>
      </c>
      <c r="D1258" s="2" t="str">
        <f>IFERROR(__xludf.DUMMYFUNCTION("""COMPUTED_VALUE"""),"BANGLADESH COMMERCE BANK LTD.")</f>
        <v>BANGLADESH COMMERCE BANK LTD.</v>
      </c>
      <c r="E1258" s="2" t="str">
        <f>IFERROR(__xludf.DUMMYFUNCTION("""COMPUTED_VALUE"""),"MERAJNAGAR")</f>
        <v>MERAJNAGAR</v>
      </c>
      <c r="F1258" s="3">
        <f>IFERROR(__xludf.DUMMYFUNCTION("""COMPUTED_VALUE"""),18.0)</f>
        <v>18</v>
      </c>
      <c r="G1258" s="5">
        <f>IFERROR(__xludf.DUMMYFUNCTION("""COMPUTED_VALUE"""),3.0270189E7)</f>
        <v>30270189</v>
      </c>
    </row>
    <row r="1259">
      <c r="A1259" s="3">
        <f>IFERROR(__xludf.DUMMYFUNCTION("""COMPUTED_VALUE"""),127.0)</f>
        <v>127</v>
      </c>
      <c r="B1259" s="2" t="str">
        <f>IFERROR(__xludf.DUMMYFUNCTION("""COMPUTED_VALUE"""),"DHAKA-SOUTH")</f>
        <v>DHAKA-SOUTH</v>
      </c>
      <c r="C1259" s="4">
        <f>IFERROR(__xludf.DUMMYFUNCTION("""COMPUTED_VALUE"""),30.0)</f>
        <v>30</v>
      </c>
      <c r="D1259" s="2" t="str">
        <f>IFERROR(__xludf.DUMMYFUNCTION("""COMPUTED_VALUE"""),"BANGLADESH COMMERCE BANK LTD.")</f>
        <v>BANGLADESH COMMERCE BANK LTD.</v>
      </c>
      <c r="E1259" s="2" t="str">
        <f>IFERROR(__xludf.DUMMYFUNCTION("""COMPUTED_VALUE"""),"BANDURA")</f>
        <v>BANDURA</v>
      </c>
      <c r="F1259" s="3">
        <f>IFERROR(__xludf.DUMMYFUNCTION("""COMPUTED_VALUE"""),64.0)</f>
        <v>64</v>
      </c>
      <c r="G1259" s="5">
        <f>IFERROR(__xludf.DUMMYFUNCTION("""COMPUTED_VALUE"""),3.0270642E7)</f>
        <v>30270642</v>
      </c>
    </row>
    <row r="1260">
      <c r="A1260" s="3">
        <f>IFERROR(__xludf.DUMMYFUNCTION("""COMPUTED_VALUE"""),127.0)</f>
        <v>127</v>
      </c>
      <c r="B1260" s="2" t="str">
        <f>IFERROR(__xludf.DUMMYFUNCTION("""COMPUTED_VALUE"""),"DHAKA-SOUTH")</f>
        <v>DHAKA-SOUTH</v>
      </c>
      <c r="C1260" s="4">
        <f>IFERROR(__xludf.DUMMYFUNCTION("""COMPUTED_VALUE"""),30.0)</f>
        <v>30</v>
      </c>
      <c r="D1260" s="2" t="str">
        <f>IFERROR(__xludf.DUMMYFUNCTION("""COMPUTED_VALUE"""),"BANGLADESH COMMERCE BANK LTD.")</f>
        <v>BANGLADESH COMMERCE BANK LTD.</v>
      </c>
      <c r="E1260" s="2" t="str">
        <f>IFERROR(__xludf.DUMMYFUNCTION("""COMPUTED_VALUE"""),"BANGLA BAZAR")</f>
        <v>BANGLA BAZAR</v>
      </c>
      <c r="F1260" s="3">
        <f>IFERROR(__xludf.DUMMYFUNCTION("""COMPUTED_VALUE"""),82.0)</f>
        <v>82</v>
      </c>
      <c r="G1260" s="5">
        <f>IFERROR(__xludf.DUMMYFUNCTION("""COMPUTED_VALUE"""),3.0270826E7)</f>
        <v>30270826</v>
      </c>
    </row>
    <row r="1261">
      <c r="A1261" s="3">
        <f>IFERROR(__xludf.DUMMYFUNCTION("""COMPUTED_VALUE"""),127.0)</f>
        <v>127</v>
      </c>
      <c r="B1261" s="2" t="str">
        <f>IFERROR(__xludf.DUMMYFUNCTION("""COMPUTED_VALUE"""),"DHAKA-SOUTH")</f>
        <v>DHAKA-SOUTH</v>
      </c>
      <c r="C1261" s="4">
        <f>IFERROR(__xludf.DUMMYFUNCTION("""COMPUTED_VALUE"""),30.0)</f>
        <v>30</v>
      </c>
      <c r="D1261" s="2" t="str">
        <f>IFERROR(__xludf.DUMMYFUNCTION("""COMPUTED_VALUE"""),"BANGLADESH COMMERCE BANK LTD.")</f>
        <v>BANGLADESH COMMERCE BANK LTD.</v>
      </c>
      <c r="E1261" s="2" t="str">
        <f>IFERROR(__xludf.DUMMYFUNCTION("""COMPUTED_VALUE"""),"BANGSHAL")</f>
        <v>BANGSHAL</v>
      </c>
      <c r="F1261" s="3">
        <f>IFERROR(__xludf.DUMMYFUNCTION("""COMPUTED_VALUE"""),88.0)</f>
        <v>88</v>
      </c>
      <c r="G1261" s="5">
        <f>IFERROR(__xludf.DUMMYFUNCTION("""COMPUTED_VALUE"""),3.0270884E7)</f>
        <v>30270884</v>
      </c>
    </row>
    <row r="1262">
      <c r="A1262" s="3">
        <f>IFERROR(__xludf.DUMMYFUNCTION("""COMPUTED_VALUE"""),127.0)</f>
        <v>127</v>
      </c>
      <c r="B1262" s="2" t="str">
        <f>IFERROR(__xludf.DUMMYFUNCTION("""COMPUTED_VALUE"""),"DHAKA-SOUTH")</f>
        <v>DHAKA-SOUTH</v>
      </c>
      <c r="C1262" s="4">
        <f>IFERROR(__xludf.DUMMYFUNCTION("""COMPUTED_VALUE"""),30.0)</f>
        <v>30</v>
      </c>
      <c r="D1262" s="2" t="str">
        <f>IFERROR(__xludf.DUMMYFUNCTION("""COMPUTED_VALUE"""),"BANGLADESH COMMERCE BANK LTD.")</f>
        <v>BANGLADESH COMMERCE BANK LTD.</v>
      </c>
      <c r="E1262" s="2" t="str">
        <f>IFERROR(__xludf.DUMMYFUNCTION("""COMPUTED_VALUE"""),"BIJOY NAGAR")</f>
        <v>BIJOY NAGAR</v>
      </c>
      <c r="F1262" s="3">
        <f>IFERROR(__xludf.DUMMYFUNCTION("""COMPUTED_VALUE"""),109.0)</f>
        <v>109</v>
      </c>
      <c r="G1262" s="5">
        <f>IFERROR(__xludf.DUMMYFUNCTION("""COMPUTED_VALUE"""),3.0271096E7)</f>
        <v>30271096</v>
      </c>
    </row>
    <row r="1263">
      <c r="A1263" s="3">
        <f>IFERROR(__xludf.DUMMYFUNCTION("""COMPUTED_VALUE"""),127.0)</f>
        <v>127</v>
      </c>
      <c r="B1263" s="2" t="str">
        <f>IFERROR(__xludf.DUMMYFUNCTION("""COMPUTED_VALUE"""),"DHAKA-SOUTH")</f>
        <v>DHAKA-SOUTH</v>
      </c>
      <c r="C1263" s="4">
        <f>IFERROR(__xludf.DUMMYFUNCTION("""COMPUTED_VALUE"""),30.0)</f>
        <v>30</v>
      </c>
      <c r="D1263" s="2" t="str">
        <f>IFERROR(__xludf.DUMMYFUNCTION("""COMPUTED_VALUE"""),"BANGLADESH COMMERCE BANK LTD.")</f>
        <v>BANGLADESH COMMERCE BANK LTD.</v>
      </c>
      <c r="E1263" s="2" t="str">
        <f>IFERROR(__xludf.DUMMYFUNCTION("""COMPUTED_VALUE"""),"DHOLAIKHAL")</f>
        <v>DHOLAIKHAL</v>
      </c>
      <c r="F1263" s="3">
        <f>IFERROR(__xludf.DUMMYFUNCTION("""COMPUTED_VALUE"""),184.0)</f>
        <v>184</v>
      </c>
      <c r="G1263" s="5">
        <f>IFERROR(__xludf.DUMMYFUNCTION("""COMPUTED_VALUE"""),3.0271841E7)</f>
        <v>30271841</v>
      </c>
    </row>
    <row r="1264">
      <c r="A1264" s="3">
        <f>IFERROR(__xludf.DUMMYFUNCTION("""COMPUTED_VALUE"""),127.0)</f>
        <v>127</v>
      </c>
      <c r="B1264" s="2" t="str">
        <f>IFERROR(__xludf.DUMMYFUNCTION("""COMPUTED_VALUE"""),"DHAKA-SOUTH")</f>
        <v>DHAKA-SOUTH</v>
      </c>
      <c r="C1264" s="4">
        <f>IFERROR(__xludf.DUMMYFUNCTION("""COMPUTED_VALUE"""),30.0)</f>
        <v>30</v>
      </c>
      <c r="D1264" s="2" t="str">
        <f>IFERROR(__xludf.DUMMYFUNCTION("""COMPUTED_VALUE"""),"BANGLADESH COMMERCE BANK LTD.")</f>
        <v>BANGLADESH COMMERCE BANK LTD.</v>
      </c>
      <c r="E1264" s="2" t="str">
        <f>IFERROR(__xludf.DUMMYFUNCTION("""COMPUTED_VALUE"""),"DILKUSHA")</f>
        <v>DILKUSHA</v>
      </c>
      <c r="F1264" s="3">
        <f>IFERROR(__xludf.DUMMYFUNCTION("""COMPUTED_VALUE"""),190.0)</f>
        <v>190</v>
      </c>
      <c r="G1264" s="5">
        <f>IFERROR(__xludf.DUMMYFUNCTION("""COMPUTED_VALUE"""),3.0271904E7)</f>
        <v>30271904</v>
      </c>
    </row>
    <row r="1265">
      <c r="A1265" s="3">
        <f>IFERROR(__xludf.DUMMYFUNCTION("""COMPUTED_VALUE"""),127.0)</f>
        <v>127</v>
      </c>
      <c r="B1265" s="2" t="str">
        <f>IFERROR(__xludf.DUMMYFUNCTION("""COMPUTED_VALUE"""),"DHAKA-SOUTH")</f>
        <v>DHAKA-SOUTH</v>
      </c>
      <c r="C1265" s="4">
        <f>IFERROR(__xludf.DUMMYFUNCTION("""COMPUTED_VALUE"""),30.0)</f>
        <v>30</v>
      </c>
      <c r="D1265" s="2" t="str">
        <f>IFERROR(__xludf.DUMMYFUNCTION("""COMPUTED_VALUE"""),"BANGLADESH COMMERCE BANK LTD.")</f>
        <v>BANGLADESH COMMERCE BANK LTD.</v>
      </c>
      <c r="E1265" s="2" t="str">
        <f>IFERROR(__xludf.DUMMYFUNCTION("""COMPUTED_VALUE"""),"FOREIGN EXCHANGE")</f>
        <v>FOREIGN EXCHANGE</v>
      </c>
      <c r="F1265" s="3">
        <f>IFERROR(__xludf.DUMMYFUNCTION("""COMPUTED_VALUE"""),232.0)</f>
        <v>232</v>
      </c>
      <c r="G1265" s="5">
        <f>IFERROR(__xludf.DUMMYFUNCTION("""COMPUTED_VALUE"""),3.0272329E7)</f>
        <v>30272329</v>
      </c>
    </row>
    <row r="1266">
      <c r="A1266" s="3">
        <f>IFERROR(__xludf.DUMMYFUNCTION("""COMPUTED_VALUE"""),127.0)</f>
        <v>127</v>
      </c>
      <c r="B1266" s="2" t="str">
        <f>IFERROR(__xludf.DUMMYFUNCTION("""COMPUTED_VALUE"""),"DHAKA-SOUTH")</f>
        <v>DHAKA-SOUTH</v>
      </c>
      <c r="C1266" s="4">
        <f>IFERROR(__xludf.DUMMYFUNCTION("""COMPUTED_VALUE"""),30.0)</f>
        <v>30</v>
      </c>
      <c r="D1266" s="2" t="str">
        <f>IFERROR(__xludf.DUMMYFUNCTION("""COMPUTED_VALUE"""),"BANGLADESH COMMERCE BANK LTD.")</f>
        <v>BANGLADESH COMMERCE BANK LTD.</v>
      </c>
      <c r="E1266" s="2" t="str">
        <f>IFERROR(__xludf.DUMMYFUNCTION("""COMPUTED_VALUE"""),"HEAD OFFICE")</f>
        <v>HEAD OFFICE</v>
      </c>
      <c r="F1266" s="3">
        <f>IFERROR(__xludf.DUMMYFUNCTION("""COMPUTED_VALUE"""),268.0)</f>
        <v>268</v>
      </c>
      <c r="G1266" s="5">
        <f>IFERROR(__xludf.DUMMYFUNCTION("""COMPUTED_VALUE"""),3.0272682E7)</f>
        <v>30272682</v>
      </c>
    </row>
    <row r="1267">
      <c r="A1267" s="3">
        <f>IFERROR(__xludf.DUMMYFUNCTION("""COMPUTED_VALUE"""),127.0)</f>
        <v>127</v>
      </c>
      <c r="B1267" s="2" t="str">
        <f>IFERROR(__xludf.DUMMYFUNCTION("""COMPUTED_VALUE"""),"DHAKA-SOUTH")</f>
        <v>DHAKA-SOUTH</v>
      </c>
      <c r="C1267" s="4">
        <f>IFERROR(__xludf.DUMMYFUNCTION("""COMPUTED_VALUE"""),30.0)</f>
        <v>30</v>
      </c>
      <c r="D1267" s="2" t="str">
        <f>IFERROR(__xludf.DUMMYFUNCTION("""COMPUTED_VALUE"""),"BANGLADESH COMMERCE BANK LTD.")</f>
        <v>BANGLADESH COMMERCE BANK LTD.</v>
      </c>
      <c r="E1267" s="2" t="str">
        <f>IFERROR(__xludf.DUMMYFUNCTION("""COMPUTED_VALUE"""),"KHILGAON")</f>
        <v>KHILGAON</v>
      </c>
      <c r="F1267" s="3">
        <f>IFERROR(__xludf.DUMMYFUNCTION("""COMPUTED_VALUE"""),367.0)</f>
        <v>367</v>
      </c>
      <c r="G1267" s="5">
        <f>IFERROR(__xludf.DUMMYFUNCTION("""COMPUTED_VALUE"""),3.0273678E7)</f>
        <v>30273678</v>
      </c>
    </row>
    <row r="1268">
      <c r="A1268" s="3">
        <f>IFERROR(__xludf.DUMMYFUNCTION("""COMPUTED_VALUE"""),127.0)</f>
        <v>127</v>
      </c>
      <c r="B1268" s="2" t="str">
        <f>IFERROR(__xludf.DUMMYFUNCTION("""COMPUTED_VALUE"""),"DHAKA-SOUTH")</f>
        <v>DHAKA-SOUTH</v>
      </c>
      <c r="C1268" s="4">
        <f>IFERROR(__xludf.DUMMYFUNCTION("""COMPUTED_VALUE"""),30.0)</f>
        <v>30</v>
      </c>
      <c r="D1268" s="2" t="str">
        <f>IFERROR(__xludf.DUMMYFUNCTION("""COMPUTED_VALUE"""),"BANGLADESH COMMERCE BANK LTD.")</f>
        <v>BANGLADESH COMMERCE BANK LTD.</v>
      </c>
      <c r="E1268" s="2" t="str">
        <f>IFERROR(__xludf.DUMMYFUNCTION("""COMPUTED_VALUE"""),"MOUCHAK")</f>
        <v>MOUCHAK</v>
      </c>
      <c r="F1268" s="3">
        <f>IFERROR(__xludf.DUMMYFUNCTION("""COMPUTED_VALUE"""),436.0)</f>
        <v>436</v>
      </c>
      <c r="G1268" s="5">
        <f>IFERROR(__xludf.DUMMYFUNCTION("""COMPUTED_VALUE"""),3.0274369E7)</f>
        <v>30274369</v>
      </c>
    </row>
    <row r="1269">
      <c r="A1269" s="3">
        <f>IFERROR(__xludf.DUMMYFUNCTION("""COMPUTED_VALUE"""),127.0)</f>
        <v>127</v>
      </c>
      <c r="B1269" s="2" t="str">
        <f>IFERROR(__xludf.DUMMYFUNCTION("""COMPUTED_VALUE"""),"DHAKA-SOUTH")</f>
        <v>DHAKA-SOUTH</v>
      </c>
      <c r="C1269" s="4">
        <f>IFERROR(__xludf.DUMMYFUNCTION("""COMPUTED_VALUE"""),30.0)</f>
        <v>30</v>
      </c>
      <c r="D1269" s="2" t="str">
        <f>IFERROR(__xludf.DUMMYFUNCTION("""COMPUTED_VALUE"""),"BANGLADESH COMMERCE BANK LTD.")</f>
        <v>BANGLADESH COMMERCE BANK LTD.</v>
      </c>
      <c r="E1269" s="2" t="str">
        <f>IFERROR(__xludf.DUMMYFUNCTION("""COMPUTED_VALUE"""),"MOULVI BAZAR")</f>
        <v>MOULVI BAZAR</v>
      </c>
      <c r="F1269" s="3">
        <f>IFERROR(__xludf.DUMMYFUNCTION("""COMPUTED_VALUE"""),442.0)</f>
        <v>442</v>
      </c>
      <c r="G1269" s="5">
        <f>IFERROR(__xludf.DUMMYFUNCTION("""COMPUTED_VALUE"""),3.0274422E7)</f>
        <v>30274422</v>
      </c>
    </row>
    <row r="1270">
      <c r="A1270" s="3">
        <f>IFERROR(__xludf.DUMMYFUNCTION("""COMPUTED_VALUE"""),127.0)</f>
        <v>127</v>
      </c>
      <c r="B1270" s="2" t="str">
        <f>IFERROR(__xludf.DUMMYFUNCTION("""COMPUTED_VALUE"""),"DHAKA-SOUTH")</f>
        <v>DHAKA-SOUTH</v>
      </c>
      <c r="C1270" s="4">
        <f>IFERROR(__xludf.DUMMYFUNCTION("""COMPUTED_VALUE"""),30.0)</f>
        <v>30</v>
      </c>
      <c r="D1270" s="2" t="str">
        <f>IFERROR(__xludf.DUMMYFUNCTION("""COMPUTED_VALUE"""),"BANGLADESH COMMERCE BANK LTD.")</f>
        <v>BANGLADESH COMMERCE BANK LTD.</v>
      </c>
      <c r="E1270" s="2" t="str">
        <f>IFERROR(__xludf.DUMMYFUNCTION("""COMPUTED_VALUE"""),"PRINCIPAL")</f>
        <v>PRINCIPAL</v>
      </c>
      <c r="F1270" s="3">
        <f>IFERROR(__xludf.DUMMYFUNCTION("""COMPUTED_VALUE"""),535.0)</f>
        <v>535</v>
      </c>
      <c r="G1270" s="5">
        <f>IFERROR(__xludf.DUMMYFUNCTION("""COMPUTED_VALUE"""),3.0275355E7)</f>
        <v>30275355</v>
      </c>
    </row>
    <row r="1271">
      <c r="A1271" s="3">
        <f>IFERROR(__xludf.DUMMYFUNCTION("""COMPUTED_VALUE"""),728.0)</f>
        <v>728</v>
      </c>
      <c r="B1271" s="2" t="str">
        <f>IFERROR(__xludf.DUMMYFUNCTION("""COMPUTED_VALUE"""),"DINAJPUR")</f>
        <v>DINAJPUR</v>
      </c>
      <c r="C1271" s="4">
        <f>IFERROR(__xludf.DUMMYFUNCTION("""COMPUTED_VALUE"""),30.0)</f>
        <v>30</v>
      </c>
      <c r="D1271" s="2" t="str">
        <f>IFERROR(__xludf.DUMMYFUNCTION("""COMPUTED_VALUE"""),"BANGLADESH COMMERCE BANK LTD.")</f>
        <v>BANGLADESH COMMERCE BANK LTD.</v>
      </c>
      <c r="E1271" s="2" t="str">
        <f>IFERROR(__xludf.DUMMYFUNCTION("""COMPUTED_VALUE"""),"DINAJPUR")</f>
        <v>DINAJPUR</v>
      </c>
      <c r="F1271" s="3">
        <f>IFERROR(__xludf.DUMMYFUNCTION("""COMPUTED_VALUE"""),67.0)</f>
        <v>67</v>
      </c>
      <c r="G1271" s="5">
        <f>IFERROR(__xludf.DUMMYFUNCTION("""COMPUTED_VALUE"""),3.0280674E7)</f>
        <v>30280674</v>
      </c>
    </row>
    <row r="1272">
      <c r="A1272" s="3">
        <f>IFERROR(__xludf.DUMMYFUNCTION("""COMPUTED_VALUE"""),230.0)</f>
        <v>230</v>
      </c>
      <c r="B1272" s="2" t="str">
        <f>IFERROR(__xludf.DUMMYFUNCTION("""COMPUTED_VALUE"""),"FENI")</f>
        <v>FENI</v>
      </c>
      <c r="C1272" s="4">
        <f>IFERROR(__xludf.DUMMYFUNCTION("""COMPUTED_VALUE"""),30.0)</f>
        <v>30</v>
      </c>
      <c r="D1272" s="2" t="str">
        <f>IFERROR(__xludf.DUMMYFUNCTION("""COMPUTED_VALUE"""),"BANGLADESH COMMERCE BANK LTD.")</f>
        <v>BANGLADESH COMMERCE BANK LTD.</v>
      </c>
      <c r="E1272" s="2" t="str">
        <f>IFERROR(__xludf.DUMMYFUNCTION("""COMPUTED_VALUE"""),"FENI")</f>
        <v>FENI</v>
      </c>
      <c r="F1272" s="3">
        <f>IFERROR(__xludf.DUMMYFUNCTION("""COMPUTED_VALUE"""),52.0)</f>
        <v>52</v>
      </c>
      <c r="G1272" s="5">
        <f>IFERROR(__xludf.DUMMYFUNCTION("""COMPUTED_VALUE"""),3.0300525E7)</f>
        <v>30300525</v>
      </c>
    </row>
    <row r="1273">
      <c r="A1273" s="3">
        <f>IFERROR(__xludf.DUMMYFUNCTION("""COMPUTED_VALUE"""),133.0)</f>
        <v>133</v>
      </c>
      <c r="B1273" s="2" t="str">
        <f>IFERROR(__xludf.DUMMYFUNCTION("""COMPUTED_VALUE"""),"GAZIPUR")</f>
        <v>GAZIPUR</v>
      </c>
      <c r="C1273" s="4">
        <f>IFERROR(__xludf.DUMMYFUNCTION("""COMPUTED_VALUE"""),30.0)</f>
        <v>30</v>
      </c>
      <c r="D1273" s="2" t="str">
        <f>IFERROR(__xludf.DUMMYFUNCTION("""COMPUTED_VALUE"""),"BANGLADESH COMMERCE BANK LTD.")</f>
        <v>BANGLADESH COMMERCE BANK LTD.</v>
      </c>
      <c r="E1273" s="2" t="str">
        <f>IFERROR(__xludf.DUMMYFUNCTION("""COMPUTED_VALUE"""),"GAZIPUR CHOWRASTA")</f>
        <v>GAZIPUR CHOWRASTA</v>
      </c>
      <c r="F1273" s="3">
        <f>IFERROR(__xludf.DUMMYFUNCTION("""COMPUTED_VALUE"""),55.0)</f>
        <v>55</v>
      </c>
      <c r="G1273" s="5">
        <f>IFERROR(__xludf.DUMMYFUNCTION("""COMPUTED_VALUE"""),3.0330553E7)</f>
        <v>30330553</v>
      </c>
    </row>
    <row r="1274">
      <c r="A1274" s="3">
        <f>IFERROR(__xludf.DUMMYFUNCTION("""COMPUTED_VALUE"""),133.0)</f>
        <v>133</v>
      </c>
      <c r="B1274" s="2" t="str">
        <f>IFERROR(__xludf.DUMMYFUNCTION("""COMPUTED_VALUE"""),"GAZIPUR")</f>
        <v>GAZIPUR</v>
      </c>
      <c r="C1274" s="4">
        <f>IFERROR(__xludf.DUMMYFUNCTION("""COMPUTED_VALUE"""),30.0)</f>
        <v>30</v>
      </c>
      <c r="D1274" s="2" t="str">
        <f>IFERROR(__xludf.DUMMYFUNCTION("""COMPUTED_VALUE"""),"BANGLADESH COMMERCE BANK LTD.")</f>
        <v>BANGLADESH COMMERCE BANK LTD.</v>
      </c>
      <c r="E1274" s="2" t="str">
        <f>IFERROR(__xludf.DUMMYFUNCTION("""COMPUTED_VALUE"""),"KALIAKOIR")</f>
        <v>KALIAKOIR</v>
      </c>
      <c r="F1274" s="3">
        <f>IFERROR(__xludf.DUMMYFUNCTION("""COMPUTED_VALUE"""),79.0)</f>
        <v>79</v>
      </c>
      <c r="G1274" s="5">
        <f>IFERROR(__xludf.DUMMYFUNCTION("""COMPUTED_VALUE"""),3.0330795E7)</f>
        <v>30330795</v>
      </c>
    </row>
    <row r="1275">
      <c r="A1275" s="3">
        <f>IFERROR(__xludf.DUMMYFUNCTION("""COMPUTED_VALUE"""),441.0)</f>
        <v>441</v>
      </c>
      <c r="B1275" s="2" t="str">
        <f>IFERROR(__xludf.DUMMYFUNCTION("""COMPUTED_VALUE"""),"JESSORE")</f>
        <v>JESSORE</v>
      </c>
      <c r="C1275" s="4">
        <f>IFERROR(__xludf.DUMMYFUNCTION("""COMPUTED_VALUE"""),30.0)</f>
        <v>30</v>
      </c>
      <c r="D1275" s="2" t="str">
        <f>IFERROR(__xludf.DUMMYFUNCTION("""COMPUTED_VALUE"""),"BANGLADESH COMMERCE BANK LTD.")</f>
        <v>BANGLADESH COMMERCE BANK LTD.</v>
      </c>
      <c r="E1275" s="2" t="str">
        <f>IFERROR(__xludf.DUMMYFUNCTION("""COMPUTED_VALUE"""),"JESSORE")</f>
        <v>JESSORE</v>
      </c>
      <c r="F1275" s="3">
        <f>IFERROR(__xludf.DUMMYFUNCTION("""COMPUTED_VALUE"""),94.0)</f>
        <v>94</v>
      </c>
      <c r="G1275" s="5">
        <f>IFERROR(__xludf.DUMMYFUNCTION("""COMPUTED_VALUE"""),3.0410949E7)</f>
        <v>30410949</v>
      </c>
    </row>
    <row r="1276">
      <c r="A1276" s="3">
        <f>IFERROR(__xludf.DUMMYFUNCTION("""COMPUTED_VALUE"""),447.0)</f>
        <v>447</v>
      </c>
      <c r="B1276" s="2" t="str">
        <f>IFERROR(__xludf.DUMMYFUNCTION("""COMPUTED_VALUE"""),"KHULNA")</f>
        <v>KHULNA</v>
      </c>
      <c r="C1276" s="4">
        <f>IFERROR(__xludf.DUMMYFUNCTION("""COMPUTED_VALUE"""),30.0)</f>
        <v>30</v>
      </c>
      <c r="D1276" s="2" t="str">
        <f>IFERROR(__xludf.DUMMYFUNCTION("""COMPUTED_VALUE"""),"BANGLADESH COMMERCE BANK LTD.")</f>
        <v>BANGLADESH COMMERCE BANK LTD.</v>
      </c>
      <c r="E1276" s="2" t="str">
        <f>IFERROR(__xludf.DUMMYFUNCTION("""COMPUTED_VALUE"""),"DAULATPUR")</f>
        <v>DAULATPUR</v>
      </c>
      <c r="F1276" s="3">
        <f>IFERROR(__xludf.DUMMYFUNCTION("""COMPUTED_VALUE"""),70.0)</f>
        <v>70</v>
      </c>
      <c r="G1276" s="5">
        <f>IFERROR(__xludf.DUMMYFUNCTION("""COMPUTED_VALUE"""),3.0470705E7)</f>
        <v>30470705</v>
      </c>
    </row>
    <row r="1277">
      <c r="A1277" s="3">
        <f>IFERROR(__xludf.DUMMYFUNCTION("""COMPUTED_VALUE"""),447.0)</f>
        <v>447</v>
      </c>
      <c r="B1277" s="2" t="str">
        <f>IFERROR(__xludf.DUMMYFUNCTION("""COMPUTED_VALUE"""),"KHULNA")</f>
        <v>KHULNA</v>
      </c>
      <c r="C1277" s="4">
        <f>IFERROR(__xludf.DUMMYFUNCTION("""COMPUTED_VALUE"""),30.0)</f>
        <v>30</v>
      </c>
      <c r="D1277" s="2" t="str">
        <f>IFERROR(__xludf.DUMMYFUNCTION("""COMPUTED_VALUE"""),"BANGLADESH COMMERCE BANK LTD.")</f>
        <v>BANGLADESH COMMERCE BANK LTD.</v>
      </c>
      <c r="E1277" s="2" t="str">
        <f>IFERROR(__xludf.DUMMYFUNCTION("""COMPUTED_VALUE"""),"KAPILMUNI BAZAR")</f>
        <v>KAPILMUNI BAZAR</v>
      </c>
      <c r="F1277" s="3">
        <f>IFERROR(__xludf.DUMMYFUNCTION("""COMPUTED_VALUE"""),130.0)</f>
        <v>130</v>
      </c>
      <c r="G1277" s="5">
        <f>IFERROR(__xludf.DUMMYFUNCTION("""COMPUTED_VALUE"""),3.0471304E7)</f>
        <v>30471304</v>
      </c>
    </row>
    <row r="1278">
      <c r="A1278" s="3">
        <f>IFERROR(__xludf.DUMMYFUNCTION("""COMPUTED_VALUE"""),447.0)</f>
        <v>447</v>
      </c>
      <c r="B1278" s="2" t="str">
        <f>IFERROR(__xludf.DUMMYFUNCTION("""COMPUTED_VALUE"""),"KHULNA")</f>
        <v>KHULNA</v>
      </c>
      <c r="C1278" s="4">
        <f>IFERROR(__xludf.DUMMYFUNCTION("""COMPUTED_VALUE"""),30.0)</f>
        <v>30</v>
      </c>
      <c r="D1278" s="2" t="str">
        <f>IFERROR(__xludf.DUMMYFUNCTION("""COMPUTED_VALUE"""),"BANGLADESH COMMERCE BANK LTD.")</f>
        <v>BANGLADESH COMMERCE BANK LTD.</v>
      </c>
      <c r="E1278" s="2" t="str">
        <f>IFERROR(__xludf.DUMMYFUNCTION("""COMPUTED_VALUE"""),"KHULNA")</f>
        <v>KHULNA</v>
      </c>
      <c r="F1278" s="3">
        <f>IFERROR(__xludf.DUMMYFUNCTION("""COMPUTED_VALUE"""),154.0)</f>
        <v>154</v>
      </c>
      <c r="G1278" s="5">
        <f>IFERROR(__xludf.DUMMYFUNCTION("""COMPUTED_VALUE"""),3.0471546E7)</f>
        <v>30471546</v>
      </c>
    </row>
    <row r="1279">
      <c r="A1279" s="3">
        <f>IFERROR(__xludf.DUMMYFUNCTION("""COMPUTED_VALUE"""),251.0)</f>
        <v>251</v>
      </c>
      <c r="B1279" s="2" t="str">
        <f>IFERROR(__xludf.DUMMYFUNCTION("""COMPUTED_VALUE"""),"LAKSHMIPUR")</f>
        <v>LAKSHMIPUR</v>
      </c>
      <c r="C1279" s="4">
        <f>IFERROR(__xludf.DUMMYFUNCTION("""COMPUTED_VALUE"""),30.0)</f>
        <v>30</v>
      </c>
      <c r="D1279" s="2" t="str">
        <f>IFERROR(__xludf.DUMMYFUNCTION("""COMPUTED_VALUE"""),"BANGLADESH COMMERCE BANK LTD.")</f>
        <v>BANGLADESH COMMERCE BANK LTD.</v>
      </c>
      <c r="E1279" s="2" t="str">
        <f>IFERROR(__xludf.DUMMYFUNCTION("""COMPUTED_VALUE"""),"MANDARI BAZAR")</f>
        <v>MANDARI BAZAR</v>
      </c>
      <c r="F1279" s="3">
        <f>IFERROR(__xludf.DUMMYFUNCTION("""COMPUTED_VALUE"""),82.0)</f>
        <v>82</v>
      </c>
      <c r="G1279" s="5">
        <f>IFERROR(__xludf.DUMMYFUNCTION("""COMPUTED_VALUE"""),3.0510823E7)</f>
        <v>30510823</v>
      </c>
    </row>
    <row r="1280">
      <c r="A1280" s="3">
        <f>IFERROR(__xludf.DUMMYFUNCTION("""COMPUTED_VALUE"""),354.0)</f>
        <v>354</v>
      </c>
      <c r="B1280" s="2" t="str">
        <f>IFERROR(__xludf.DUMMYFUNCTION("""COMPUTED_VALUE"""),"MADARIPUR")</f>
        <v>MADARIPUR</v>
      </c>
      <c r="C1280" s="4">
        <f>IFERROR(__xludf.DUMMYFUNCTION("""COMPUTED_VALUE"""),30.0)</f>
        <v>30</v>
      </c>
      <c r="D1280" s="2" t="str">
        <f>IFERROR(__xludf.DUMMYFUNCTION("""COMPUTED_VALUE"""),"BANGLADESH COMMERCE BANK LTD.")</f>
        <v>BANGLADESH COMMERCE BANK LTD.</v>
      </c>
      <c r="E1280" s="2" t="str">
        <f>IFERROR(__xludf.DUMMYFUNCTION("""COMPUTED_VALUE"""),"SHIBCHAR")</f>
        <v>SHIBCHAR</v>
      </c>
      <c r="F1280" s="3">
        <f>IFERROR(__xludf.DUMMYFUNCTION("""COMPUTED_VALUE"""),70.0)</f>
        <v>70</v>
      </c>
      <c r="G1280" s="5">
        <f>IFERROR(__xludf.DUMMYFUNCTION("""COMPUTED_VALUE"""),3.0540701E7)</f>
        <v>30540701</v>
      </c>
    </row>
    <row r="1281">
      <c r="A1281" s="3">
        <f>IFERROR(__xludf.DUMMYFUNCTION("""COMPUTED_VALUE"""),858.0)</f>
        <v>858</v>
      </c>
      <c r="B1281" s="2" t="str">
        <f>IFERROR(__xludf.DUMMYFUNCTION("""COMPUTED_VALUE"""),"MOULVI BAZAR")</f>
        <v>MOULVI BAZAR</v>
      </c>
      <c r="C1281" s="4">
        <f>IFERROR(__xludf.DUMMYFUNCTION("""COMPUTED_VALUE"""),30.0)</f>
        <v>30</v>
      </c>
      <c r="D1281" s="2" t="str">
        <f>IFERROR(__xludf.DUMMYFUNCTION("""COMPUTED_VALUE"""),"BANGLADESH COMMERCE BANK LTD.")</f>
        <v>BANGLADESH COMMERCE BANK LTD.</v>
      </c>
      <c r="E1281" s="2" t="str">
        <f>IFERROR(__xludf.DUMMYFUNCTION("""COMPUTED_VALUE"""),"JURI")</f>
        <v>JURI</v>
      </c>
      <c r="F1281" s="4">
        <f>IFERROR(__xludf.DUMMYFUNCTION("""COMPUTED_VALUE"""),67.0)</f>
        <v>67</v>
      </c>
      <c r="G1281" s="5">
        <f>IFERROR(__xludf.DUMMYFUNCTION("""COMPUTED_VALUE"""),3.0580679E7)</f>
        <v>30580679</v>
      </c>
    </row>
    <row r="1282">
      <c r="A1282" s="3">
        <f>IFERROR(__xludf.DUMMYFUNCTION("""COMPUTED_VALUE"""),858.0)</f>
        <v>858</v>
      </c>
      <c r="B1282" s="2" t="str">
        <f>IFERROR(__xludf.DUMMYFUNCTION("""COMPUTED_VALUE"""),"MOULVI BAZAR")</f>
        <v>MOULVI BAZAR</v>
      </c>
      <c r="C1282" s="4">
        <f>IFERROR(__xludf.DUMMYFUNCTION("""COMPUTED_VALUE"""),30.0)</f>
        <v>30</v>
      </c>
      <c r="D1282" s="2" t="str">
        <f>IFERROR(__xludf.DUMMYFUNCTION("""COMPUTED_VALUE"""),"BANGLADESH COMMERCE BANK LTD.")</f>
        <v>BANGLADESH COMMERCE BANK LTD.</v>
      </c>
      <c r="E1282" s="2" t="str">
        <f>IFERROR(__xludf.DUMMYFUNCTION("""COMPUTED_VALUE"""),"SHAMSHER NAGAR")</f>
        <v>SHAMSHER NAGAR</v>
      </c>
      <c r="F1282" s="4">
        <f>IFERROR(__xludf.DUMMYFUNCTION("""COMPUTED_VALUE"""),160.0)</f>
        <v>160</v>
      </c>
      <c r="G1282" s="5">
        <f>IFERROR(__xludf.DUMMYFUNCTION("""COMPUTED_VALUE"""),3.0581607E7)</f>
        <v>30581607</v>
      </c>
    </row>
    <row r="1283">
      <c r="A1283" s="3">
        <f>IFERROR(__xludf.DUMMYFUNCTION("""COMPUTED_VALUE"""),161.0)</f>
        <v>161</v>
      </c>
      <c r="B1283" s="2" t="str">
        <f>IFERROR(__xludf.DUMMYFUNCTION("""COMPUTED_VALUE"""),"MYMENSINGH")</f>
        <v>MYMENSINGH</v>
      </c>
      <c r="C1283" s="4">
        <f>IFERROR(__xludf.DUMMYFUNCTION("""COMPUTED_VALUE"""),30.0)</f>
        <v>30</v>
      </c>
      <c r="D1283" s="2" t="str">
        <f>IFERROR(__xludf.DUMMYFUNCTION("""COMPUTED_VALUE"""),"BANGLADESH COMMERCE BANK LTD.")</f>
        <v>BANGLADESH COMMERCE BANK LTD.</v>
      </c>
      <c r="E1283" s="2" t="str">
        <f>IFERROR(__xludf.DUMMYFUNCTION("""COMPUTED_VALUE"""),"SEEDSTORE BAZAR")</f>
        <v>SEEDSTORE BAZAR</v>
      </c>
      <c r="F1283" s="4">
        <f>IFERROR(__xludf.DUMMYFUNCTION("""COMPUTED_VALUE"""),209.0)</f>
        <v>209</v>
      </c>
      <c r="G1283" s="5">
        <f>IFERROR(__xludf.DUMMYFUNCTION("""COMPUTED_VALUE"""),3.0612097E7)</f>
        <v>30612097</v>
      </c>
    </row>
    <row r="1284">
      <c r="A1284" s="3">
        <f>IFERROR(__xludf.DUMMYFUNCTION("""COMPUTED_VALUE"""),564.0)</f>
        <v>564</v>
      </c>
      <c r="B1284" s="2" t="str">
        <f>IFERROR(__xludf.DUMMYFUNCTION("""COMPUTED_VALUE"""),"NAOGAON")</f>
        <v>NAOGAON</v>
      </c>
      <c r="C1284" s="4">
        <f>IFERROR(__xludf.DUMMYFUNCTION("""COMPUTED_VALUE"""),30.0)</f>
        <v>30</v>
      </c>
      <c r="D1284" s="2" t="str">
        <f>IFERROR(__xludf.DUMMYFUNCTION("""COMPUTED_VALUE"""),"BANGLADESH COMMERCE BANK LTD.")</f>
        <v>BANGLADESH COMMERCE BANK LTD.</v>
      </c>
      <c r="E1284" s="2" t="str">
        <f>IFERROR(__xludf.DUMMYFUNCTION("""COMPUTED_VALUE"""),"NAOGAON")</f>
        <v>NAOGAON</v>
      </c>
      <c r="F1284" s="4">
        <f>IFERROR(__xludf.DUMMYFUNCTION("""COMPUTED_VALUE"""),118.0)</f>
        <v>118</v>
      </c>
      <c r="G1284" s="5">
        <f>IFERROR(__xludf.DUMMYFUNCTION("""COMPUTED_VALUE"""),3.0641189E7)</f>
        <v>30641189</v>
      </c>
    </row>
    <row r="1285">
      <c r="A1285" s="3">
        <f>IFERROR(__xludf.DUMMYFUNCTION("""COMPUTED_VALUE"""),167.0)</f>
        <v>167</v>
      </c>
      <c r="B1285" s="2" t="str">
        <f>IFERROR(__xludf.DUMMYFUNCTION("""COMPUTED_VALUE"""),"NARAYANGANJ")</f>
        <v>NARAYANGANJ</v>
      </c>
      <c r="C1285" s="4">
        <f>IFERROR(__xludf.DUMMYFUNCTION("""COMPUTED_VALUE"""),30.0)</f>
        <v>30</v>
      </c>
      <c r="D1285" s="2" t="str">
        <f>IFERROR(__xludf.DUMMYFUNCTION("""COMPUTED_VALUE"""),"BANGLADESH COMMERCE BANK LTD.")</f>
        <v>BANGLADESH COMMERCE BANK LTD.</v>
      </c>
      <c r="E1285" s="2" t="str">
        <f>IFERROR(__xludf.DUMMYFUNCTION("""COMPUTED_VALUE"""),"SONARGAON")</f>
        <v>SONARGAON</v>
      </c>
      <c r="F1285" s="4">
        <f>IFERROR(__xludf.DUMMYFUNCTION("""COMPUTED_VALUE"""),169.0)</f>
        <v>169</v>
      </c>
      <c r="G1285" s="5">
        <f>IFERROR(__xludf.DUMMYFUNCTION("""COMPUTED_VALUE"""),3.0671696E7)</f>
        <v>30671696</v>
      </c>
    </row>
    <row r="1286">
      <c r="A1286" s="3">
        <f>IFERROR(__xludf.DUMMYFUNCTION("""COMPUTED_VALUE"""),167.0)</f>
        <v>167</v>
      </c>
      <c r="B1286" s="2" t="str">
        <f>IFERROR(__xludf.DUMMYFUNCTION("""COMPUTED_VALUE"""),"NARAYANGANJ")</f>
        <v>NARAYANGANJ</v>
      </c>
      <c r="C1286" s="4">
        <f>IFERROR(__xludf.DUMMYFUNCTION("""COMPUTED_VALUE"""),30.0)</f>
        <v>30</v>
      </c>
      <c r="D1286" s="2" t="str">
        <f>IFERROR(__xludf.DUMMYFUNCTION("""COMPUTED_VALUE"""),"BANGLADESH COMMERCE BANK LTD.")</f>
        <v>BANGLADESH COMMERCE BANK LTD.</v>
      </c>
      <c r="E1286" s="2" t="str">
        <f>IFERROR(__xludf.DUMMYFUNCTION("""COMPUTED_VALUE"""),"NARAYANGANJ")</f>
        <v>NARAYANGANJ</v>
      </c>
      <c r="F1286" s="4">
        <f>IFERROR(__xludf.DUMMYFUNCTION("""COMPUTED_VALUE"""),175.0)</f>
        <v>175</v>
      </c>
      <c r="G1286" s="5">
        <f>IFERROR(__xludf.DUMMYFUNCTION("""COMPUTED_VALUE"""),3.0671759E7)</f>
        <v>30671759</v>
      </c>
    </row>
    <row r="1287">
      <c r="A1287" s="3">
        <f>IFERROR(__xludf.DUMMYFUNCTION("""COMPUTED_VALUE"""),569.0)</f>
        <v>569</v>
      </c>
      <c r="B1287" s="2" t="str">
        <f>IFERROR(__xludf.DUMMYFUNCTION("""COMPUTED_VALUE"""),"NATORE")</f>
        <v>NATORE</v>
      </c>
      <c r="C1287" s="4">
        <f>IFERROR(__xludf.DUMMYFUNCTION("""COMPUTED_VALUE"""),30.0)</f>
        <v>30</v>
      </c>
      <c r="D1287" s="2" t="str">
        <f>IFERROR(__xludf.DUMMYFUNCTION("""COMPUTED_VALUE"""),"BANGLADESH COMMERCE BANK LTD.")</f>
        <v>BANGLADESH COMMERCE BANK LTD.</v>
      </c>
      <c r="E1287" s="2" t="str">
        <f>IFERROR(__xludf.DUMMYFUNCTION("""COMPUTED_VALUE"""),"AHMEDPUR")</f>
        <v>AHMEDPUR</v>
      </c>
      <c r="F1287" s="4">
        <f>IFERROR(__xludf.DUMMYFUNCTION("""COMPUTED_VALUE"""),7.0)</f>
        <v>7</v>
      </c>
      <c r="G1287" s="5">
        <f>IFERROR(__xludf.DUMMYFUNCTION("""COMPUTED_VALUE"""),3.0690077E7)</f>
        <v>30690077</v>
      </c>
    </row>
    <row r="1288">
      <c r="A1288" s="3">
        <f>IFERROR(__xludf.DUMMYFUNCTION("""COMPUTED_VALUE"""),581.0)</f>
        <v>581</v>
      </c>
      <c r="B1288" s="2" t="str">
        <f>IFERROR(__xludf.DUMMYFUNCTION("""COMPUTED_VALUE"""),"RAJSHAHI")</f>
        <v>RAJSHAHI</v>
      </c>
      <c r="C1288" s="4">
        <f>IFERROR(__xludf.DUMMYFUNCTION("""COMPUTED_VALUE"""),30.0)</f>
        <v>30</v>
      </c>
      <c r="D1288" s="2" t="str">
        <f>IFERROR(__xludf.DUMMYFUNCTION("""COMPUTED_VALUE"""),"BANGLADESH COMMERCE BANK LTD.")</f>
        <v>BANGLADESH COMMERCE BANK LTD.</v>
      </c>
      <c r="E1288" s="2" t="str">
        <f>IFERROR(__xludf.DUMMYFUNCTION("""COMPUTED_VALUE"""),"RAJSHAHI")</f>
        <v>RAJSHAHI</v>
      </c>
      <c r="F1288" s="4">
        <f>IFERROR(__xludf.DUMMYFUNCTION("""COMPUTED_VALUE"""),193.0)</f>
        <v>193</v>
      </c>
      <c r="G1288" s="5">
        <f>IFERROR(__xludf.DUMMYFUNCTION("""COMPUTED_VALUE"""),3.0811935E7)</f>
        <v>30811935</v>
      </c>
    </row>
    <row r="1289">
      <c r="A1289" s="3">
        <f>IFERROR(__xludf.DUMMYFUNCTION("""COMPUTED_VALUE"""),891.0)</f>
        <v>891</v>
      </c>
      <c r="B1289" s="2" t="str">
        <f>IFERROR(__xludf.DUMMYFUNCTION("""COMPUTED_VALUE"""),"SYLHET")</f>
        <v>SYLHET</v>
      </c>
      <c r="C1289" s="4">
        <f>IFERROR(__xludf.DUMMYFUNCTION("""COMPUTED_VALUE"""),30.0)</f>
        <v>30</v>
      </c>
      <c r="D1289" s="2" t="str">
        <f>IFERROR(__xludf.DUMMYFUNCTION("""COMPUTED_VALUE"""),"BANGLADESH COMMERCE BANK LTD.")</f>
        <v>BANGLADESH COMMERCE BANK LTD.</v>
      </c>
      <c r="E1289" s="2" t="str">
        <f>IFERROR(__xludf.DUMMYFUNCTION("""COMPUTED_VALUE"""),"SYLHET")</f>
        <v>SYLHET</v>
      </c>
      <c r="F1289" s="4">
        <f>IFERROR(__xludf.DUMMYFUNCTION("""COMPUTED_VALUE"""),355.0)</f>
        <v>355</v>
      </c>
      <c r="G1289" s="5">
        <f>IFERROR(__xludf.DUMMYFUNCTION("""COMPUTED_VALUE"""),3.0913554E7)</f>
        <v>30913554</v>
      </c>
    </row>
    <row r="1290">
      <c r="A1290" s="3">
        <f>IFERROR(__xludf.DUMMYFUNCTION("""COMPUTED_VALUE"""),193.0)</f>
        <v>193</v>
      </c>
      <c r="B1290" s="2" t="str">
        <f>IFERROR(__xludf.DUMMYFUNCTION("""COMPUTED_VALUE"""),"TANGAIL")</f>
        <v>TANGAIL</v>
      </c>
      <c r="C1290" s="4">
        <f>IFERROR(__xludf.DUMMYFUNCTION("""COMPUTED_VALUE"""),30.0)</f>
        <v>30</v>
      </c>
      <c r="D1290" s="2" t="str">
        <f>IFERROR(__xludf.DUMMYFUNCTION("""COMPUTED_VALUE"""),"BANGLADESH COMMERCE BANK LTD.")</f>
        <v>BANGLADESH COMMERCE BANK LTD.</v>
      </c>
      <c r="E1290" s="2" t="str">
        <f>IFERROR(__xludf.DUMMYFUNCTION("""COMPUTED_VALUE"""),"BALLA")</f>
        <v>BALLA</v>
      </c>
      <c r="F1290" s="4">
        <f>IFERROR(__xludf.DUMMYFUNCTION("""COMPUTED_VALUE"""),17.0)</f>
        <v>17</v>
      </c>
      <c r="G1290" s="5">
        <f>IFERROR(__xludf.DUMMYFUNCTION("""COMPUTED_VALUE"""),3.0930179E7)</f>
        <v>30930179</v>
      </c>
    </row>
    <row r="1291">
      <c r="A1291" s="3">
        <f>IFERROR(__xludf.DUMMYFUNCTION("""COMPUTED_VALUE"""),401.0)</f>
        <v>401</v>
      </c>
      <c r="B1291" s="2" t="str">
        <f>IFERROR(__xludf.DUMMYFUNCTION("""COMPUTED_VALUE"""),"BAGERHAT")</f>
        <v>BAGERHAT</v>
      </c>
      <c r="C1291" s="4">
        <f>IFERROR(__xludf.DUMMYFUNCTION("""COMPUTED_VALUE"""),35.0)</f>
        <v>35</v>
      </c>
      <c r="D1291" s="2" t="str">
        <f>IFERROR(__xludf.DUMMYFUNCTION("""COMPUTED_VALUE"""),"BANGLADESH KRISHI BANK")</f>
        <v>BANGLADESH KRISHI BANK</v>
      </c>
      <c r="E1291" s="2" t="str">
        <f>IFERROR(__xludf.DUMMYFUNCTION("""COMPUTED_VALUE"""),"BADHAL BAZAR")</f>
        <v>BADHAL BAZAR</v>
      </c>
      <c r="F1291" s="4">
        <f>IFERROR(__xludf.DUMMYFUNCTION("""COMPUTED_VALUE"""),4.0)</f>
        <v>4</v>
      </c>
      <c r="G1291" s="5">
        <f>IFERROR(__xludf.DUMMYFUNCTION("""COMPUTED_VALUE"""),3.5010049E7)</f>
        <v>35010049</v>
      </c>
    </row>
    <row r="1292">
      <c r="A1292" s="3">
        <f>IFERROR(__xludf.DUMMYFUNCTION("""COMPUTED_VALUE"""),401.0)</f>
        <v>401</v>
      </c>
      <c r="B1292" s="2" t="str">
        <f>IFERROR(__xludf.DUMMYFUNCTION("""COMPUTED_VALUE"""),"BAGERHAT")</f>
        <v>BAGERHAT</v>
      </c>
      <c r="C1292" s="4">
        <f>IFERROR(__xludf.DUMMYFUNCTION("""COMPUTED_VALUE"""),35.0)</f>
        <v>35</v>
      </c>
      <c r="D1292" s="2" t="str">
        <f>IFERROR(__xludf.DUMMYFUNCTION("""COMPUTED_VALUE"""),"BANGLADESH KRISHI BANK")</f>
        <v>BANGLADESH KRISHI BANK</v>
      </c>
      <c r="E1292" s="2" t="str">
        <f>IFERROR(__xludf.DUMMYFUNCTION("""COMPUTED_VALUE"""),"BAGERHAT")</f>
        <v>BAGERHAT</v>
      </c>
      <c r="F1292" s="4">
        <f>IFERROR(__xludf.DUMMYFUNCTION("""COMPUTED_VALUE"""),7.0)</f>
        <v>7</v>
      </c>
      <c r="G1292" s="5">
        <f>IFERROR(__xludf.DUMMYFUNCTION("""COMPUTED_VALUE"""),3.5010078E7)</f>
        <v>35010078</v>
      </c>
    </row>
    <row r="1293">
      <c r="A1293" s="3">
        <f>IFERROR(__xludf.DUMMYFUNCTION("""COMPUTED_VALUE"""),401.0)</f>
        <v>401</v>
      </c>
      <c r="B1293" s="2" t="str">
        <f>IFERROR(__xludf.DUMMYFUNCTION("""COMPUTED_VALUE"""),"BAGERHAT")</f>
        <v>BAGERHAT</v>
      </c>
      <c r="C1293" s="4">
        <f>IFERROR(__xludf.DUMMYFUNCTION("""COMPUTED_VALUE"""),35.0)</f>
        <v>35</v>
      </c>
      <c r="D1293" s="2" t="str">
        <f>IFERROR(__xludf.DUMMYFUNCTION("""COMPUTED_VALUE"""),"BANGLADESH KRISHI BANK")</f>
        <v>BANGLADESH KRISHI BANK</v>
      </c>
      <c r="E1293" s="2" t="str">
        <f>IFERROR(__xludf.DUMMYFUNCTION("""COMPUTED_VALUE"""),"CHAKSREE BAZAR")</f>
        <v>CHAKSREE BAZAR</v>
      </c>
      <c r="F1293" s="4">
        <f>IFERROR(__xludf.DUMMYFUNCTION("""COMPUTED_VALUE"""),19.0)</f>
        <v>19</v>
      </c>
      <c r="G1293" s="5">
        <f>IFERROR(__xludf.DUMMYFUNCTION("""COMPUTED_VALUE"""),3.5010199E7)</f>
        <v>35010199</v>
      </c>
    </row>
    <row r="1294">
      <c r="A1294" s="3">
        <f>IFERROR(__xludf.DUMMYFUNCTION("""COMPUTED_VALUE"""),401.0)</f>
        <v>401</v>
      </c>
      <c r="B1294" s="2" t="str">
        <f>IFERROR(__xludf.DUMMYFUNCTION("""COMPUTED_VALUE"""),"BAGERHAT")</f>
        <v>BAGERHAT</v>
      </c>
      <c r="C1294" s="4">
        <f>IFERROR(__xludf.DUMMYFUNCTION("""COMPUTED_VALUE"""),35.0)</f>
        <v>35</v>
      </c>
      <c r="D1294" s="2" t="str">
        <f>IFERROR(__xludf.DUMMYFUNCTION("""COMPUTED_VALUE"""),"BANGLADESH KRISHI BANK")</f>
        <v>BANGLADESH KRISHI BANK</v>
      </c>
      <c r="E1294" s="2" t="str">
        <f>IFERROR(__xludf.DUMMYFUNCTION("""COMPUTED_VALUE"""),"CHITALMARI BAZAR")</f>
        <v>CHITALMARI BAZAR</v>
      </c>
      <c r="F1294" s="4">
        <f>IFERROR(__xludf.DUMMYFUNCTION("""COMPUTED_VALUE"""),25.0)</f>
        <v>25</v>
      </c>
      <c r="G1294" s="5">
        <f>IFERROR(__xludf.DUMMYFUNCTION("""COMPUTED_VALUE"""),3.5010252E7)</f>
        <v>35010252</v>
      </c>
    </row>
    <row r="1295">
      <c r="A1295" s="3">
        <f>IFERROR(__xludf.DUMMYFUNCTION("""COMPUTED_VALUE"""),401.0)</f>
        <v>401</v>
      </c>
      <c r="B1295" s="2" t="str">
        <f>IFERROR(__xludf.DUMMYFUNCTION("""COMPUTED_VALUE"""),"BAGERHAT")</f>
        <v>BAGERHAT</v>
      </c>
      <c r="C1295" s="4">
        <f>IFERROR(__xludf.DUMMYFUNCTION("""COMPUTED_VALUE"""),35.0)</f>
        <v>35</v>
      </c>
      <c r="D1295" s="2" t="str">
        <f>IFERROR(__xludf.DUMMYFUNCTION("""COMPUTED_VALUE"""),"BANGLADESH KRISHI BANK")</f>
        <v>BANGLADESH KRISHI BANK</v>
      </c>
      <c r="E1295" s="2" t="str">
        <f>IFERROR(__xludf.DUMMYFUNCTION("""COMPUTED_VALUE"""),"C &amp; B BAZAR")</f>
        <v>C &amp; B BAZAR</v>
      </c>
      <c r="F1295" s="4">
        <f>IFERROR(__xludf.DUMMYFUNCTION("""COMPUTED_VALUE"""),30.0)</f>
        <v>30</v>
      </c>
      <c r="G1295" s="5">
        <f>IFERROR(__xludf.DUMMYFUNCTION("""COMPUTED_VALUE"""),3.5010302E7)</f>
        <v>35010302</v>
      </c>
    </row>
    <row r="1296">
      <c r="A1296" s="3">
        <f>IFERROR(__xludf.DUMMYFUNCTION("""COMPUTED_VALUE"""),401.0)</f>
        <v>401</v>
      </c>
      <c r="B1296" s="2" t="str">
        <f>IFERROR(__xludf.DUMMYFUNCTION("""COMPUTED_VALUE"""),"BAGERHAT")</f>
        <v>BAGERHAT</v>
      </c>
      <c r="C1296" s="4">
        <f>IFERROR(__xludf.DUMMYFUNCTION("""COMPUTED_VALUE"""),35.0)</f>
        <v>35</v>
      </c>
      <c r="D1296" s="2" t="str">
        <f>IFERROR(__xludf.DUMMYFUNCTION("""COMPUTED_VALUE"""),"BANGLADESH KRISHI BANK")</f>
        <v>BANGLADESH KRISHI BANK</v>
      </c>
      <c r="E1296" s="2" t="str">
        <f>IFERROR(__xludf.DUMMYFUNCTION("""COMPUTED_VALUE"""),"DAIBANCHAHATI")</f>
        <v>DAIBANCHAHATI</v>
      </c>
      <c r="F1296" s="4">
        <f>IFERROR(__xludf.DUMMYFUNCTION("""COMPUTED_VALUE"""),31.0)</f>
        <v>31</v>
      </c>
      <c r="G1296" s="5">
        <f>IFERROR(__xludf.DUMMYFUNCTION("""COMPUTED_VALUE"""),3.5010315E7)</f>
        <v>35010315</v>
      </c>
    </row>
    <row r="1297">
      <c r="A1297" s="3">
        <f>IFERROR(__xludf.DUMMYFUNCTION("""COMPUTED_VALUE"""),401.0)</f>
        <v>401</v>
      </c>
      <c r="B1297" s="2" t="str">
        <f>IFERROR(__xludf.DUMMYFUNCTION("""COMPUTED_VALUE"""),"BAGERHAT")</f>
        <v>BAGERHAT</v>
      </c>
      <c r="C1297" s="4">
        <f>IFERROR(__xludf.DUMMYFUNCTION("""COMPUTED_VALUE"""),35.0)</f>
        <v>35</v>
      </c>
      <c r="D1297" s="2" t="str">
        <f>IFERROR(__xludf.DUMMYFUNCTION("""COMPUTED_VALUE"""),"BANGLADESH KRISHI BANK")</f>
        <v>BANGLADESH KRISHI BANK</v>
      </c>
      <c r="E1297" s="2" t="str">
        <f>IFERROR(__xludf.DUMMYFUNCTION("""COMPUTED_VALUE"""),"DARGAH")</f>
        <v>DARGAH</v>
      </c>
      <c r="F1297" s="4">
        <f>IFERROR(__xludf.DUMMYFUNCTION("""COMPUTED_VALUE"""),34.0)</f>
        <v>34</v>
      </c>
      <c r="G1297" s="5">
        <f>IFERROR(__xludf.DUMMYFUNCTION("""COMPUTED_VALUE"""),3.5010344E7)</f>
        <v>35010344</v>
      </c>
    </row>
    <row r="1298">
      <c r="A1298" s="3">
        <f>IFERROR(__xludf.DUMMYFUNCTION("""COMPUTED_VALUE"""),401.0)</f>
        <v>401</v>
      </c>
      <c r="B1298" s="2" t="str">
        <f>IFERROR(__xludf.DUMMYFUNCTION("""COMPUTED_VALUE"""),"BAGERHAT")</f>
        <v>BAGERHAT</v>
      </c>
      <c r="C1298" s="4">
        <f>IFERROR(__xludf.DUMMYFUNCTION("""COMPUTED_VALUE"""),35.0)</f>
        <v>35</v>
      </c>
      <c r="D1298" s="2" t="str">
        <f>IFERROR(__xludf.DUMMYFUNCTION("""COMPUTED_VALUE"""),"BANGLADESH KRISHI BANK")</f>
        <v>BANGLADESH KRISHI BANK</v>
      </c>
      <c r="E1298" s="2" t="str">
        <f>IFERROR(__xludf.DUMMYFUNCTION("""COMPUTED_VALUE"""),"FAKIRHAT")</f>
        <v>FAKIRHAT</v>
      </c>
      <c r="F1298" s="4">
        <f>IFERROR(__xludf.DUMMYFUNCTION("""COMPUTED_VALUE"""),46.0)</f>
        <v>46</v>
      </c>
      <c r="G1298" s="5">
        <f>IFERROR(__xludf.DUMMYFUNCTION("""COMPUTED_VALUE"""),3.5010465E7)</f>
        <v>35010465</v>
      </c>
    </row>
    <row r="1299">
      <c r="A1299" s="3">
        <f>IFERROR(__xludf.DUMMYFUNCTION("""COMPUTED_VALUE"""),401.0)</f>
        <v>401</v>
      </c>
      <c r="B1299" s="2" t="str">
        <f>IFERROR(__xludf.DUMMYFUNCTION("""COMPUTED_VALUE"""),"BAGERHAT")</f>
        <v>BAGERHAT</v>
      </c>
      <c r="C1299" s="4">
        <f>IFERROR(__xludf.DUMMYFUNCTION("""COMPUTED_VALUE"""),35.0)</f>
        <v>35</v>
      </c>
      <c r="D1299" s="2" t="str">
        <f>IFERROR(__xludf.DUMMYFUNCTION("""COMPUTED_VALUE"""),"BANGLADESH KRISHI BANK")</f>
        <v>BANGLADESH KRISHI BANK</v>
      </c>
      <c r="E1299" s="2" t="str">
        <f>IFERROR(__xludf.DUMMYFUNCTION("""COMPUTED_VALUE"""),"FALTITA BAZAR")</f>
        <v>FALTITA BAZAR</v>
      </c>
      <c r="F1299" s="4">
        <f>IFERROR(__xludf.DUMMYFUNCTION("""COMPUTED_VALUE"""),49.0)</f>
        <v>49</v>
      </c>
      <c r="G1299" s="5">
        <f>IFERROR(__xludf.DUMMYFUNCTION("""COMPUTED_VALUE"""),3.5010494E7)</f>
        <v>35010494</v>
      </c>
    </row>
    <row r="1300">
      <c r="A1300" s="3">
        <f>IFERROR(__xludf.DUMMYFUNCTION("""COMPUTED_VALUE"""),401.0)</f>
        <v>401</v>
      </c>
      <c r="B1300" s="2" t="str">
        <f>IFERROR(__xludf.DUMMYFUNCTION("""COMPUTED_VALUE"""),"BAGERHAT")</f>
        <v>BAGERHAT</v>
      </c>
      <c r="C1300" s="4">
        <f>IFERROR(__xludf.DUMMYFUNCTION("""COMPUTED_VALUE"""),35.0)</f>
        <v>35</v>
      </c>
      <c r="D1300" s="2" t="str">
        <f>IFERROR(__xludf.DUMMYFUNCTION("""COMPUTED_VALUE"""),"BANGLADESH KRISHI BANK")</f>
        <v>BANGLADESH KRISHI BANK</v>
      </c>
      <c r="E1300" s="2" t="str">
        <f>IFERROR(__xludf.DUMMYFUNCTION("""COMPUTED_VALUE"""),"FULHATA BAZAR")</f>
        <v>FULHATA BAZAR</v>
      </c>
      <c r="F1300" s="4">
        <f>IFERROR(__xludf.DUMMYFUNCTION("""COMPUTED_VALUE"""),52.0)</f>
        <v>52</v>
      </c>
      <c r="G1300" s="5">
        <f>IFERROR(__xludf.DUMMYFUNCTION("""COMPUTED_VALUE"""),3.5010528E7)</f>
        <v>35010528</v>
      </c>
    </row>
    <row r="1301">
      <c r="A1301" s="3">
        <f>IFERROR(__xludf.DUMMYFUNCTION("""COMPUTED_VALUE"""),401.0)</f>
        <v>401</v>
      </c>
      <c r="B1301" s="2" t="str">
        <f>IFERROR(__xludf.DUMMYFUNCTION("""COMPUTED_VALUE"""),"BAGERHAT")</f>
        <v>BAGERHAT</v>
      </c>
      <c r="C1301" s="4">
        <f>IFERROR(__xludf.DUMMYFUNCTION("""COMPUTED_VALUE"""),35.0)</f>
        <v>35</v>
      </c>
      <c r="D1301" s="2" t="str">
        <f>IFERROR(__xludf.DUMMYFUNCTION("""COMPUTED_VALUE"""),"BANGLADESH KRISHI BANK")</f>
        <v>BANGLADESH KRISHI BANK</v>
      </c>
      <c r="E1301" s="2" t="str">
        <f>IFERROR(__xludf.DUMMYFUNCTION("""COMPUTED_VALUE"""),"GAZALIA BAZAR")</f>
        <v>GAZALIA BAZAR</v>
      </c>
      <c r="F1301" s="4">
        <f>IFERROR(__xludf.DUMMYFUNCTION("""COMPUTED_VALUE"""),55.0)</f>
        <v>55</v>
      </c>
      <c r="G1301" s="5">
        <f>IFERROR(__xludf.DUMMYFUNCTION("""COMPUTED_VALUE"""),3.5010557E7)</f>
        <v>35010557</v>
      </c>
    </row>
    <row r="1302">
      <c r="A1302" s="3">
        <f>IFERROR(__xludf.DUMMYFUNCTION("""COMPUTED_VALUE"""),401.0)</f>
        <v>401</v>
      </c>
      <c r="B1302" s="2" t="str">
        <f>IFERROR(__xludf.DUMMYFUNCTION("""COMPUTED_VALUE"""),"BAGERHAT")</f>
        <v>BAGERHAT</v>
      </c>
      <c r="C1302" s="4">
        <f>IFERROR(__xludf.DUMMYFUNCTION("""COMPUTED_VALUE"""),35.0)</f>
        <v>35</v>
      </c>
      <c r="D1302" s="2" t="str">
        <f>IFERROR(__xludf.DUMMYFUNCTION("""COMPUTED_VALUE"""),"BANGLADESH KRISHI BANK")</f>
        <v>BANGLADESH KRISHI BANK</v>
      </c>
      <c r="E1302" s="2" t="str">
        <f>IFERROR(__xludf.DUMMYFUNCTION("""COMPUTED_VALUE"""),"KACHUA")</f>
        <v>KACHUA</v>
      </c>
      <c r="F1302" s="4">
        <f>IFERROR(__xludf.DUMMYFUNCTION("""COMPUTED_VALUE"""),73.0)</f>
        <v>73</v>
      </c>
      <c r="G1302" s="5">
        <f>IFERROR(__xludf.DUMMYFUNCTION("""COMPUTED_VALUE"""),3.5010731E7)</f>
        <v>35010731</v>
      </c>
    </row>
    <row r="1303">
      <c r="A1303" s="3">
        <f>IFERROR(__xludf.DUMMYFUNCTION("""COMPUTED_VALUE"""),401.0)</f>
        <v>401</v>
      </c>
      <c r="B1303" s="2" t="str">
        <f>IFERROR(__xludf.DUMMYFUNCTION("""COMPUTED_VALUE"""),"BAGERHAT")</f>
        <v>BAGERHAT</v>
      </c>
      <c r="C1303" s="4">
        <f>IFERROR(__xludf.DUMMYFUNCTION("""COMPUTED_VALUE"""),35.0)</f>
        <v>35</v>
      </c>
      <c r="D1303" s="2" t="str">
        <f>IFERROR(__xludf.DUMMYFUNCTION("""COMPUTED_VALUE"""),"BANGLADESH KRISHI BANK")</f>
        <v>BANGLADESH KRISHI BANK</v>
      </c>
      <c r="E1303" s="2" t="str">
        <f>IFERROR(__xludf.DUMMYFUNCTION("""COMPUTED_VALUE"""),"KALATALA BAZAR")</f>
        <v>KALATALA BAZAR</v>
      </c>
      <c r="F1303" s="4">
        <f>IFERROR(__xludf.DUMMYFUNCTION("""COMPUTED_VALUE"""),79.0)</f>
        <v>79</v>
      </c>
      <c r="G1303" s="5">
        <f>IFERROR(__xludf.DUMMYFUNCTION("""COMPUTED_VALUE"""),3.5010799E7)</f>
        <v>35010799</v>
      </c>
    </row>
    <row r="1304">
      <c r="A1304" s="3">
        <f>IFERROR(__xludf.DUMMYFUNCTION("""COMPUTED_VALUE"""),401.0)</f>
        <v>401</v>
      </c>
      <c r="B1304" s="2" t="str">
        <f>IFERROR(__xludf.DUMMYFUNCTION("""COMPUTED_VALUE"""),"BAGERHAT")</f>
        <v>BAGERHAT</v>
      </c>
      <c r="C1304" s="4">
        <f>IFERROR(__xludf.DUMMYFUNCTION("""COMPUTED_VALUE"""),35.0)</f>
        <v>35</v>
      </c>
      <c r="D1304" s="2" t="str">
        <f>IFERROR(__xludf.DUMMYFUNCTION("""COMPUTED_VALUE"""),"BANGLADESH KRISHI BANK")</f>
        <v>BANGLADESH KRISHI BANK</v>
      </c>
      <c r="E1304" s="2" t="str">
        <f>IFERROR(__xludf.DUMMYFUNCTION("""COMPUTED_VALUE"""),"MOLLAHAT")</f>
        <v>MOLLAHAT</v>
      </c>
      <c r="F1304" s="4">
        <f>IFERROR(__xludf.DUMMYFUNCTION("""COMPUTED_VALUE"""),91.0)</f>
        <v>91</v>
      </c>
      <c r="G1304" s="5">
        <f>IFERROR(__xludf.DUMMYFUNCTION("""COMPUTED_VALUE"""),3.5010915E7)</f>
        <v>35010915</v>
      </c>
    </row>
    <row r="1305">
      <c r="A1305" s="3">
        <f>IFERROR(__xludf.DUMMYFUNCTION("""COMPUTED_VALUE"""),401.0)</f>
        <v>401</v>
      </c>
      <c r="B1305" s="2" t="str">
        <f>IFERROR(__xludf.DUMMYFUNCTION("""COMPUTED_VALUE"""),"BAGERHAT")</f>
        <v>BAGERHAT</v>
      </c>
      <c r="C1305" s="4">
        <f>IFERROR(__xludf.DUMMYFUNCTION("""COMPUTED_VALUE"""),35.0)</f>
        <v>35</v>
      </c>
      <c r="D1305" s="2" t="str">
        <f>IFERROR(__xludf.DUMMYFUNCTION("""COMPUTED_VALUE"""),"BANGLADESH KRISHI BANK")</f>
        <v>BANGLADESH KRISHI BANK</v>
      </c>
      <c r="E1305" s="2" t="str">
        <f>IFERROR(__xludf.DUMMYFUNCTION("""COMPUTED_VALUE"""),"MONGLA PORT")</f>
        <v>MONGLA PORT</v>
      </c>
      <c r="F1305" s="4">
        <f>IFERROR(__xludf.DUMMYFUNCTION("""COMPUTED_VALUE"""),97.0)</f>
        <v>97</v>
      </c>
      <c r="G1305" s="5">
        <f>IFERROR(__xludf.DUMMYFUNCTION("""COMPUTED_VALUE"""),3.5010973E7)</f>
        <v>35010973</v>
      </c>
    </row>
    <row r="1306">
      <c r="A1306" s="3">
        <f>IFERROR(__xludf.DUMMYFUNCTION("""COMPUTED_VALUE"""),401.0)</f>
        <v>401</v>
      </c>
      <c r="B1306" s="2" t="str">
        <f>IFERROR(__xludf.DUMMYFUNCTION("""COMPUTED_VALUE"""),"BAGERHAT")</f>
        <v>BAGERHAT</v>
      </c>
      <c r="C1306" s="4">
        <f>IFERROR(__xludf.DUMMYFUNCTION("""COMPUTED_VALUE"""),35.0)</f>
        <v>35</v>
      </c>
      <c r="D1306" s="2" t="str">
        <f>IFERROR(__xludf.DUMMYFUNCTION("""COMPUTED_VALUE"""),"BANGLADESH KRISHI BANK")</f>
        <v>BANGLADESH KRISHI BANK</v>
      </c>
      <c r="E1306" s="2" t="str">
        <f>IFERROR(__xludf.DUMMYFUNCTION("""COMPUTED_VALUE"""),"MORELGANJ")</f>
        <v>MORELGANJ</v>
      </c>
      <c r="F1306" s="4">
        <f>IFERROR(__xludf.DUMMYFUNCTION("""COMPUTED_VALUE"""),103.0)</f>
        <v>103</v>
      </c>
      <c r="G1306" s="5">
        <f>IFERROR(__xludf.DUMMYFUNCTION("""COMPUTED_VALUE"""),3.5011035E7)</f>
        <v>35011035</v>
      </c>
    </row>
    <row r="1307">
      <c r="A1307" s="3">
        <f>IFERROR(__xludf.DUMMYFUNCTION("""COMPUTED_VALUE"""),401.0)</f>
        <v>401</v>
      </c>
      <c r="B1307" s="2" t="str">
        <f>IFERROR(__xludf.DUMMYFUNCTION("""COMPUTED_VALUE"""),"BAGERHAT")</f>
        <v>BAGERHAT</v>
      </c>
      <c r="C1307" s="4">
        <f>IFERROR(__xludf.DUMMYFUNCTION("""COMPUTED_VALUE"""),35.0)</f>
        <v>35</v>
      </c>
      <c r="D1307" s="2" t="str">
        <f>IFERROR(__xludf.DUMMYFUNCTION("""COMPUTED_VALUE"""),"BANGLADESH KRISHI BANK")</f>
        <v>BANGLADESH KRISHI BANK</v>
      </c>
      <c r="E1307" s="2" t="str">
        <f>IFERROR(__xludf.DUMMYFUNCTION("""COMPUTED_VALUE"""),"RAMPAL")</f>
        <v>RAMPAL</v>
      </c>
      <c r="F1307" s="4">
        <f>IFERROR(__xludf.DUMMYFUNCTION("""COMPUTED_VALUE"""),121.0)</f>
        <v>121</v>
      </c>
      <c r="G1307" s="5">
        <f>IFERROR(__xludf.DUMMYFUNCTION("""COMPUTED_VALUE"""),3.5011219E7)</f>
        <v>35011219</v>
      </c>
    </row>
    <row r="1308">
      <c r="A1308" s="3">
        <f>IFERROR(__xludf.DUMMYFUNCTION("""COMPUTED_VALUE"""),401.0)</f>
        <v>401</v>
      </c>
      <c r="B1308" s="2" t="str">
        <f>IFERROR(__xludf.DUMMYFUNCTION("""COMPUTED_VALUE"""),"BAGERHAT")</f>
        <v>BAGERHAT</v>
      </c>
      <c r="C1308" s="4">
        <f>IFERROR(__xludf.DUMMYFUNCTION("""COMPUTED_VALUE"""),35.0)</f>
        <v>35</v>
      </c>
      <c r="D1308" s="2" t="str">
        <f>IFERROR(__xludf.DUMMYFUNCTION("""COMPUTED_VALUE"""),"BANGLADESH KRISHI BANK")</f>
        <v>BANGLADESH KRISHI BANK</v>
      </c>
      <c r="E1308" s="2" t="str">
        <f>IFERROR(__xludf.DUMMYFUNCTION("""COMPUTED_VALUE"""),"RAYENDA BAZAR")</f>
        <v>RAYENDA BAZAR</v>
      </c>
      <c r="F1308" s="4">
        <f>IFERROR(__xludf.DUMMYFUNCTION("""COMPUTED_VALUE"""),124.0)</f>
        <v>124</v>
      </c>
      <c r="G1308" s="5">
        <f>IFERROR(__xludf.DUMMYFUNCTION("""COMPUTED_VALUE"""),3.5011248E7)</f>
        <v>35011248</v>
      </c>
    </row>
    <row r="1309">
      <c r="A1309" s="3">
        <f>IFERROR(__xludf.DUMMYFUNCTION("""COMPUTED_VALUE"""),401.0)</f>
        <v>401</v>
      </c>
      <c r="B1309" s="2" t="str">
        <f>IFERROR(__xludf.DUMMYFUNCTION("""COMPUTED_VALUE"""),"BAGERHAT")</f>
        <v>BAGERHAT</v>
      </c>
      <c r="C1309" s="4">
        <f>IFERROR(__xludf.DUMMYFUNCTION("""COMPUTED_VALUE"""),35.0)</f>
        <v>35</v>
      </c>
      <c r="D1309" s="2" t="str">
        <f>IFERROR(__xludf.DUMMYFUNCTION("""COMPUTED_VALUE"""),"BANGLADESH KRISHI BANK")</f>
        <v>BANGLADESH KRISHI BANK</v>
      </c>
      <c r="E1309" s="2" t="str">
        <f>IFERROR(__xludf.DUMMYFUNCTION("""COMPUTED_VALUE"""),"SONNASHI BAZAR")</f>
        <v>SONNASHI BAZAR</v>
      </c>
      <c r="F1309" s="4">
        <f>IFERROR(__xludf.DUMMYFUNCTION("""COMPUTED_VALUE"""),133.0)</f>
        <v>133</v>
      </c>
      <c r="G1309" s="5">
        <f>IFERROR(__xludf.DUMMYFUNCTION("""COMPUTED_VALUE"""),3.501133E7)</f>
        <v>35011330</v>
      </c>
    </row>
    <row r="1310">
      <c r="A1310" s="3">
        <f>IFERROR(__xludf.DUMMYFUNCTION("""COMPUTED_VALUE"""),401.0)</f>
        <v>401</v>
      </c>
      <c r="B1310" s="2" t="str">
        <f>IFERROR(__xludf.DUMMYFUNCTION("""COMPUTED_VALUE"""),"BAGERHAT")</f>
        <v>BAGERHAT</v>
      </c>
      <c r="C1310" s="4">
        <f>IFERROR(__xludf.DUMMYFUNCTION("""COMPUTED_VALUE"""),35.0)</f>
        <v>35</v>
      </c>
      <c r="D1310" s="2" t="str">
        <f>IFERROR(__xludf.DUMMYFUNCTION("""COMPUTED_VALUE"""),"BANGLADESH KRISHI BANK")</f>
        <v>BANGLADESH KRISHI BANK</v>
      </c>
      <c r="E1310" s="2" t="str">
        <f>IFERROR(__xludf.DUMMYFUNCTION("""COMPUTED_VALUE"""),"MUKHAIT")</f>
        <v>MUKHAIT</v>
      </c>
      <c r="F1310" s="4">
        <f>IFERROR(__xludf.DUMMYFUNCTION("""COMPUTED_VALUE"""),136.0)</f>
        <v>136</v>
      </c>
      <c r="G1310" s="5">
        <f>IFERROR(__xludf.DUMMYFUNCTION("""COMPUTED_VALUE"""),3.5011369E7)</f>
        <v>35011369</v>
      </c>
    </row>
    <row r="1311">
      <c r="A1311" s="3">
        <f>IFERROR(__xludf.DUMMYFUNCTION("""COMPUTED_VALUE"""),401.0)</f>
        <v>401</v>
      </c>
      <c r="B1311" s="2" t="str">
        <f>IFERROR(__xludf.DUMMYFUNCTION("""COMPUTED_VALUE"""),"BAGERHAT")</f>
        <v>BAGERHAT</v>
      </c>
      <c r="C1311" s="4">
        <f>IFERROR(__xludf.DUMMYFUNCTION("""COMPUTED_VALUE"""),35.0)</f>
        <v>35</v>
      </c>
      <c r="D1311" s="2" t="str">
        <f>IFERROR(__xludf.DUMMYFUNCTION("""COMPUTED_VALUE"""),"BANGLADESH KRISHI BANK")</f>
        <v>BANGLADESH KRISHI BANK</v>
      </c>
      <c r="E1311" s="2" t="str">
        <f>IFERROR(__xludf.DUMMYFUNCTION("""COMPUTED_VALUE"""),"TOWN NAWAPARA")</f>
        <v>TOWN NAWAPARA</v>
      </c>
      <c r="F1311" s="4">
        <f>IFERROR(__xludf.DUMMYFUNCTION("""COMPUTED_VALUE"""),139.0)</f>
        <v>139</v>
      </c>
      <c r="G1311" s="5">
        <f>IFERROR(__xludf.DUMMYFUNCTION("""COMPUTED_VALUE"""),3.5011398E7)</f>
        <v>35011398</v>
      </c>
    </row>
    <row r="1312">
      <c r="A1312" s="3">
        <f>IFERROR(__xludf.DUMMYFUNCTION("""COMPUTED_VALUE"""),203.0)</f>
        <v>203</v>
      </c>
      <c r="B1312" s="2" t="str">
        <f>IFERROR(__xludf.DUMMYFUNCTION("""COMPUTED_VALUE"""),"BANDARBAN")</f>
        <v>BANDARBAN</v>
      </c>
      <c r="C1312" s="4">
        <f>IFERROR(__xludf.DUMMYFUNCTION("""COMPUTED_VALUE"""),35.0)</f>
        <v>35</v>
      </c>
      <c r="D1312" s="2" t="str">
        <f>IFERROR(__xludf.DUMMYFUNCTION("""COMPUTED_VALUE"""),"BANGLADESH KRISHI BANK")</f>
        <v>BANGLADESH KRISHI BANK</v>
      </c>
      <c r="E1312" s="2" t="str">
        <f>IFERROR(__xludf.DUMMYFUNCTION("""COMPUTED_VALUE"""),"ALIKADAM")</f>
        <v>ALIKADAM</v>
      </c>
      <c r="F1312" s="4">
        <f>IFERROR(__xludf.DUMMYFUNCTION("""COMPUTED_VALUE"""),4.0)</f>
        <v>4</v>
      </c>
      <c r="G1312" s="5">
        <f>IFERROR(__xludf.DUMMYFUNCTION("""COMPUTED_VALUE"""),3.5030045E7)</f>
        <v>35030045</v>
      </c>
    </row>
    <row r="1313">
      <c r="A1313" s="3">
        <f>IFERROR(__xludf.DUMMYFUNCTION("""COMPUTED_VALUE"""),203.0)</f>
        <v>203</v>
      </c>
      <c r="B1313" s="2" t="str">
        <f>IFERROR(__xludf.DUMMYFUNCTION("""COMPUTED_VALUE"""),"BANDARBAN")</f>
        <v>BANDARBAN</v>
      </c>
      <c r="C1313" s="4">
        <f>IFERROR(__xludf.DUMMYFUNCTION("""COMPUTED_VALUE"""),35.0)</f>
        <v>35</v>
      </c>
      <c r="D1313" s="2" t="str">
        <f>IFERROR(__xludf.DUMMYFUNCTION("""COMPUTED_VALUE"""),"BANGLADESH KRISHI BANK")</f>
        <v>BANGLADESH KRISHI BANK</v>
      </c>
      <c r="E1313" s="2" t="str">
        <f>IFERROR(__xludf.DUMMYFUNCTION("""COMPUTED_VALUE"""),"AZIZ NAGAR")</f>
        <v>AZIZ NAGAR</v>
      </c>
      <c r="F1313" s="4">
        <f>IFERROR(__xludf.DUMMYFUNCTION("""COMPUTED_VALUE"""),7.0)</f>
        <v>7</v>
      </c>
      <c r="G1313" s="5">
        <f>IFERROR(__xludf.DUMMYFUNCTION("""COMPUTED_VALUE"""),3.5030074E7)</f>
        <v>35030074</v>
      </c>
    </row>
    <row r="1314">
      <c r="A1314" s="3">
        <f>IFERROR(__xludf.DUMMYFUNCTION("""COMPUTED_VALUE"""),203.0)</f>
        <v>203</v>
      </c>
      <c r="B1314" s="2" t="str">
        <f>IFERROR(__xludf.DUMMYFUNCTION("""COMPUTED_VALUE"""),"BANDARBAN")</f>
        <v>BANDARBAN</v>
      </c>
      <c r="C1314" s="4">
        <f>IFERROR(__xludf.DUMMYFUNCTION("""COMPUTED_VALUE"""),35.0)</f>
        <v>35</v>
      </c>
      <c r="D1314" s="2" t="str">
        <f>IFERROR(__xludf.DUMMYFUNCTION("""COMPUTED_VALUE"""),"BANGLADESH KRISHI BANK")</f>
        <v>BANGLADESH KRISHI BANK</v>
      </c>
      <c r="E1314" s="2" t="str">
        <f>IFERROR(__xludf.DUMMYFUNCTION("""COMPUTED_VALUE"""),"BAISHARI")</f>
        <v>BAISHARI</v>
      </c>
      <c r="F1314" s="4">
        <f>IFERROR(__xludf.DUMMYFUNCTION("""COMPUTED_VALUE"""),10.0)</f>
        <v>10</v>
      </c>
      <c r="G1314" s="5">
        <f>IFERROR(__xludf.DUMMYFUNCTION("""COMPUTED_VALUE"""),3.5030108E7)</f>
        <v>35030108</v>
      </c>
    </row>
    <row r="1315">
      <c r="A1315" s="3">
        <f>IFERROR(__xludf.DUMMYFUNCTION("""COMPUTED_VALUE"""),203.0)</f>
        <v>203</v>
      </c>
      <c r="B1315" s="2" t="str">
        <f>IFERROR(__xludf.DUMMYFUNCTION("""COMPUTED_VALUE"""),"BANDARBAN")</f>
        <v>BANDARBAN</v>
      </c>
      <c r="C1315" s="4">
        <f>IFERROR(__xludf.DUMMYFUNCTION("""COMPUTED_VALUE"""),35.0)</f>
        <v>35</v>
      </c>
      <c r="D1315" s="2" t="str">
        <f>IFERROR(__xludf.DUMMYFUNCTION("""COMPUTED_VALUE"""),"BANGLADESH KRISHI BANK")</f>
        <v>BANGLADESH KRISHI BANK</v>
      </c>
      <c r="E1315" s="2" t="str">
        <f>IFERROR(__xludf.DUMMYFUNCTION("""COMPUTED_VALUE"""),"BANDARBAN")</f>
        <v>BANDARBAN</v>
      </c>
      <c r="F1315" s="4">
        <f>IFERROR(__xludf.DUMMYFUNCTION("""COMPUTED_VALUE"""),13.0)</f>
        <v>13</v>
      </c>
      <c r="G1315" s="5">
        <f>IFERROR(__xludf.DUMMYFUNCTION("""COMPUTED_VALUE"""),3.5030137E7)</f>
        <v>35030137</v>
      </c>
    </row>
    <row r="1316">
      <c r="A1316" s="3">
        <f>IFERROR(__xludf.DUMMYFUNCTION("""COMPUTED_VALUE"""),203.0)</f>
        <v>203</v>
      </c>
      <c r="B1316" s="2" t="str">
        <f>IFERROR(__xludf.DUMMYFUNCTION("""COMPUTED_VALUE"""),"BANDARBAN")</f>
        <v>BANDARBAN</v>
      </c>
      <c r="C1316" s="4">
        <f>IFERROR(__xludf.DUMMYFUNCTION("""COMPUTED_VALUE"""),35.0)</f>
        <v>35</v>
      </c>
      <c r="D1316" s="2" t="str">
        <f>IFERROR(__xludf.DUMMYFUNCTION("""COMPUTED_VALUE"""),"BANGLADESH KRISHI BANK")</f>
        <v>BANGLADESH KRISHI BANK</v>
      </c>
      <c r="E1316" s="2" t="str">
        <f>IFERROR(__xludf.DUMMYFUNCTION("""COMPUTED_VALUE"""),"LAMA")</f>
        <v>LAMA</v>
      </c>
      <c r="F1316" s="4">
        <f>IFERROR(__xludf.DUMMYFUNCTION("""COMPUTED_VALUE"""),19.0)</f>
        <v>19</v>
      </c>
      <c r="G1316" s="5">
        <f>IFERROR(__xludf.DUMMYFUNCTION("""COMPUTED_VALUE"""),3.5030195E7)</f>
        <v>35030195</v>
      </c>
    </row>
    <row r="1317">
      <c r="A1317" s="3">
        <f>IFERROR(__xludf.DUMMYFUNCTION("""COMPUTED_VALUE"""),203.0)</f>
        <v>203</v>
      </c>
      <c r="B1317" s="2" t="str">
        <f>IFERROR(__xludf.DUMMYFUNCTION("""COMPUTED_VALUE"""),"BANDARBAN")</f>
        <v>BANDARBAN</v>
      </c>
      <c r="C1317" s="4">
        <f>IFERROR(__xludf.DUMMYFUNCTION("""COMPUTED_VALUE"""),35.0)</f>
        <v>35</v>
      </c>
      <c r="D1317" s="2" t="str">
        <f>IFERROR(__xludf.DUMMYFUNCTION("""COMPUTED_VALUE"""),"BANGLADESH KRISHI BANK")</f>
        <v>BANGLADESH KRISHI BANK</v>
      </c>
      <c r="E1317" s="2" t="str">
        <f>IFERROR(__xludf.DUMMYFUNCTION("""COMPUTED_VALUE"""),"NAIKHANGCHARI")</f>
        <v>NAIKHANGCHARI</v>
      </c>
      <c r="F1317" s="4">
        <f>IFERROR(__xludf.DUMMYFUNCTION("""COMPUTED_VALUE"""),22.0)</f>
        <v>22</v>
      </c>
      <c r="G1317" s="5">
        <f>IFERROR(__xludf.DUMMYFUNCTION("""COMPUTED_VALUE"""),3.5030229E7)</f>
        <v>35030229</v>
      </c>
    </row>
    <row r="1318">
      <c r="A1318" s="3">
        <f>IFERROR(__xludf.DUMMYFUNCTION("""COMPUTED_VALUE"""),203.0)</f>
        <v>203</v>
      </c>
      <c r="B1318" s="2" t="str">
        <f>IFERROR(__xludf.DUMMYFUNCTION("""COMPUTED_VALUE"""),"BANDARBAN")</f>
        <v>BANDARBAN</v>
      </c>
      <c r="C1318" s="4">
        <f>IFERROR(__xludf.DUMMYFUNCTION("""COMPUTED_VALUE"""),35.0)</f>
        <v>35</v>
      </c>
      <c r="D1318" s="2" t="str">
        <f>IFERROR(__xludf.DUMMYFUNCTION("""COMPUTED_VALUE"""),"BANGLADESH KRISHI BANK")</f>
        <v>BANGLADESH KRISHI BANK</v>
      </c>
      <c r="E1318" s="2" t="str">
        <f>IFERROR(__xludf.DUMMYFUNCTION("""COMPUTED_VALUE"""),"ROWANGCHARI")</f>
        <v>ROWANGCHARI</v>
      </c>
      <c r="F1318" s="4">
        <f>IFERROR(__xludf.DUMMYFUNCTION("""COMPUTED_VALUE"""),25.0)</f>
        <v>25</v>
      </c>
      <c r="G1318" s="5">
        <f>IFERROR(__xludf.DUMMYFUNCTION("""COMPUTED_VALUE"""),3.5030258E7)</f>
        <v>35030258</v>
      </c>
    </row>
    <row r="1319">
      <c r="A1319" s="3">
        <f>IFERROR(__xludf.DUMMYFUNCTION("""COMPUTED_VALUE"""),203.0)</f>
        <v>203</v>
      </c>
      <c r="B1319" s="2" t="str">
        <f>IFERROR(__xludf.DUMMYFUNCTION("""COMPUTED_VALUE"""),"BANDARBAN")</f>
        <v>BANDARBAN</v>
      </c>
      <c r="C1319" s="4">
        <f>IFERROR(__xludf.DUMMYFUNCTION("""COMPUTED_VALUE"""),35.0)</f>
        <v>35</v>
      </c>
      <c r="D1319" s="2" t="str">
        <f>IFERROR(__xludf.DUMMYFUNCTION("""COMPUTED_VALUE"""),"BANGLADESH KRISHI BANK")</f>
        <v>BANGLADESH KRISHI BANK</v>
      </c>
      <c r="E1319" s="2" t="str">
        <f>IFERROR(__xludf.DUMMYFUNCTION("""COMPUTED_VALUE"""),"RUMA")</f>
        <v>RUMA</v>
      </c>
      <c r="F1319" s="4">
        <f>IFERROR(__xludf.DUMMYFUNCTION("""COMPUTED_VALUE"""),28.0)</f>
        <v>28</v>
      </c>
      <c r="G1319" s="5">
        <f>IFERROR(__xludf.DUMMYFUNCTION("""COMPUTED_VALUE"""),3.5030287E7)</f>
        <v>35030287</v>
      </c>
    </row>
    <row r="1320">
      <c r="A1320" s="3">
        <f>IFERROR(__xludf.DUMMYFUNCTION("""COMPUTED_VALUE"""),203.0)</f>
        <v>203</v>
      </c>
      <c r="B1320" s="2" t="str">
        <f>IFERROR(__xludf.DUMMYFUNCTION("""COMPUTED_VALUE"""),"BANDARBAN")</f>
        <v>BANDARBAN</v>
      </c>
      <c r="C1320" s="4">
        <f>IFERROR(__xludf.DUMMYFUNCTION("""COMPUTED_VALUE"""),35.0)</f>
        <v>35</v>
      </c>
      <c r="D1320" s="2" t="str">
        <f>IFERROR(__xludf.DUMMYFUNCTION("""COMPUTED_VALUE"""),"BANGLADESH KRISHI BANK")</f>
        <v>BANGLADESH KRISHI BANK</v>
      </c>
      <c r="E1320" s="2" t="str">
        <f>IFERROR(__xludf.DUMMYFUNCTION("""COMPUTED_VALUE"""),"THANCHI")</f>
        <v>THANCHI</v>
      </c>
      <c r="F1320" s="4">
        <f>IFERROR(__xludf.DUMMYFUNCTION("""COMPUTED_VALUE"""),31.0)</f>
        <v>31</v>
      </c>
      <c r="G1320" s="5">
        <f>IFERROR(__xludf.DUMMYFUNCTION("""COMPUTED_VALUE"""),3.5030311E7)</f>
        <v>35030311</v>
      </c>
    </row>
    <row r="1321">
      <c r="A1321" s="3">
        <f>IFERROR(__xludf.DUMMYFUNCTION("""COMPUTED_VALUE"""),304.0)</f>
        <v>304</v>
      </c>
      <c r="B1321" s="2" t="str">
        <f>IFERROR(__xludf.DUMMYFUNCTION("""COMPUTED_VALUE"""),"BARGUNA")</f>
        <v>BARGUNA</v>
      </c>
      <c r="C1321" s="4">
        <f>IFERROR(__xludf.DUMMYFUNCTION("""COMPUTED_VALUE"""),35.0)</f>
        <v>35</v>
      </c>
      <c r="D1321" s="2" t="str">
        <f>IFERROR(__xludf.DUMMYFUNCTION("""COMPUTED_VALUE"""),"BANGLADESH KRISHI BANK")</f>
        <v>BANGLADESH KRISHI BANK</v>
      </c>
      <c r="E1321" s="2" t="str">
        <f>IFERROR(__xludf.DUMMYFUNCTION("""COMPUTED_VALUE"""),"AMTALI")</f>
        <v>AMTALI</v>
      </c>
      <c r="F1321" s="4">
        <f>IFERROR(__xludf.DUMMYFUNCTION("""COMPUTED_VALUE"""),4.0)</f>
        <v>4</v>
      </c>
      <c r="G1321" s="5">
        <f>IFERROR(__xludf.DUMMYFUNCTION("""COMPUTED_VALUE"""),3.5040048E7)</f>
        <v>35040048</v>
      </c>
    </row>
    <row r="1322">
      <c r="A1322" s="3">
        <f>IFERROR(__xludf.DUMMYFUNCTION("""COMPUTED_VALUE"""),304.0)</f>
        <v>304</v>
      </c>
      <c r="B1322" s="2" t="str">
        <f>IFERROR(__xludf.DUMMYFUNCTION("""COMPUTED_VALUE"""),"BARGUNA")</f>
        <v>BARGUNA</v>
      </c>
      <c r="C1322" s="4">
        <f>IFERROR(__xludf.DUMMYFUNCTION("""COMPUTED_VALUE"""),35.0)</f>
        <v>35</v>
      </c>
      <c r="D1322" s="2" t="str">
        <f>IFERROR(__xludf.DUMMYFUNCTION("""COMPUTED_VALUE"""),"BANGLADESH KRISHI BANK")</f>
        <v>BANGLADESH KRISHI BANK</v>
      </c>
      <c r="E1322" s="2" t="str">
        <f>IFERROR(__xludf.DUMMYFUNCTION("""COMPUTED_VALUE"""),"AYLA BAZAR")</f>
        <v>AYLA BAZAR</v>
      </c>
      <c r="F1322" s="4">
        <f>IFERROR(__xludf.DUMMYFUNCTION("""COMPUTED_VALUE"""),7.0)</f>
        <v>7</v>
      </c>
      <c r="G1322" s="5">
        <f>IFERROR(__xludf.DUMMYFUNCTION("""COMPUTED_VALUE"""),3.5040077E7)</f>
        <v>35040077</v>
      </c>
    </row>
    <row r="1323">
      <c r="A1323" s="3">
        <f>IFERROR(__xludf.DUMMYFUNCTION("""COMPUTED_VALUE"""),304.0)</f>
        <v>304</v>
      </c>
      <c r="B1323" s="2" t="str">
        <f>IFERROR(__xludf.DUMMYFUNCTION("""COMPUTED_VALUE"""),"BARGUNA")</f>
        <v>BARGUNA</v>
      </c>
      <c r="C1323" s="4">
        <f>IFERROR(__xludf.DUMMYFUNCTION("""COMPUTED_VALUE"""),35.0)</f>
        <v>35</v>
      </c>
      <c r="D1323" s="2" t="str">
        <f>IFERROR(__xludf.DUMMYFUNCTION("""COMPUTED_VALUE"""),"BANGLADESH KRISHI BANK")</f>
        <v>BANGLADESH KRISHI BANK</v>
      </c>
      <c r="E1323" s="2" t="str">
        <f>IFERROR(__xludf.DUMMYFUNCTION("""COMPUTED_VALUE"""),"BAMNA")</f>
        <v>BAMNA</v>
      </c>
      <c r="F1323" s="4">
        <f>IFERROR(__xludf.DUMMYFUNCTION("""COMPUTED_VALUE"""),10.0)</f>
        <v>10</v>
      </c>
      <c r="G1323" s="5">
        <f>IFERROR(__xludf.DUMMYFUNCTION("""COMPUTED_VALUE"""),3.5040101E7)</f>
        <v>35040101</v>
      </c>
    </row>
    <row r="1324">
      <c r="A1324" s="3">
        <f>IFERROR(__xludf.DUMMYFUNCTION("""COMPUTED_VALUE"""),304.0)</f>
        <v>304</v>
      </c>
      <c r="B1324" s="2" t="str">
        <f>IFERROR(__xludf.DUMMYFUNCTION("""COMPUTED_VALUE"""),"BARGUNA")</f>
        <v>BARGUNA</v>
      </c>
      <c r="C1324" s="4">
        <f>IFERROR(__xludf.DUMMYFUNCTION("""COMPUTED_VALUE"""),35.0)</f>
        <v>35</v>
      </c>
      <c r="D1324" s="2" t="str">
        <f>IFERROR(__xludf.DUMMYFUNCTION("""COMPUTED_VALUE"""),"BANGLADESH KRISHI BANK")</f>
        <v>BANGLADESH KRISHI BANK</v>
      </c>
      <c r="E1324" s="2" t="str">
        <f>IFERROR(__xludf.DUMMYFUNCTION("""COMPUTED_VALUE"""),"BARGUNA")</f>
        <v>BARGUNA</v>
      </c>
      <c r="F1324" s="4">
        <f>IFERROR(__xludf.DUMMYFUNCTION("""COMPUTED_VALUE"""),13.0)</f>
        <v>13</v>
      </c>
      <c r="G1324" s="5">
        <f>IFERROR(__xludf.DUMMYFUNCTION("""COMPUTED_VALUE"""),3.504013E7)</f>
        <v>35040130</v>
      </c>
    </row>
    <row r="1325">
      <c r="A1325" s="3">
        <f>IFERROR(__xludf.DUMMYFUNCTION("""COMPUTED_VALUE"""),304.0)</f>
        <v>304</v>
      </c>
      <c r="B1325" s="2" t="str">
        <f>IFERROR(__xludf.DUMMYFUNCTION("""COMPUTED_VALUE"""),"BARGUNA")</f>
        <v>BARGUNA</v>
      </c>
      <c r="C1325" s="4">
        <f>IFERROR(__xludf.DUMMYFUNCTION("""COMPUTED_VALUE"""),35.0)</f>
        <v>35</v>
      </c>
      <c r="D1325" s="2" t="str">
        <f>IFERROR(__xludf.DUMMYFUNCTION("""COMPUTED_VALUE"""),"BANGLADESH KRISHI BANK")</f>
        <v>BANGLADESH KRISHI BANK</v>
      </c>
      <c r="E1325" s="2" t="str">
        <f>IFERROR(__xludf.DUMMYFUNCTION("""COMPUTED_VALUE"""),"BETAGI")</f>
        <v>BETAGI</v>
      </c>
      <c r="F1325" s="4">
        <f>IFERROR(__xludf.DUMMYFUNCTION("""COMPUTED_VALUE"""),22.0)</f>
        <v>22</v>
      </c>
      <c r="G1325" s="5">
        <f>IFERROR(__xludf.DUMMYFUNCTION("""COMPUTED_VALUE"""),3.5040222E7)</f>
        <v>35040222</v>
      </c>
    </row>
    <row r="1326">
      <c r="A1326" s="3">
        <f>IFERROR(__xludf.DUMMYFUNCTION("""COMPUTED_VALUE"""),304.0)</f>
        <v>304</v>
      </c>
      <c r="B1326" s="2" t="str">
        <f>IFERROR(__xludf.DUMMYFUNCTION("""COMPUTED_VALUE"""),"BARGUNA")</f>
        <v>BARGUNA</v>
      </c>
      <c r="C1326" s="4">
        <f>IFERROR(__xludf.DUMMYFUNCTION("""COMPUTED_VALUE"""),35.0)</f>
        <v>35</v>
      </c>
      <c r="D1326" s="2" t="str">
        <f>IFERROR(__xludf.DUMMYFUNCTION("""COMPUTED_VALUE"""),"BANGLADESH KRISHI BANK")</f>
        <v>BANGLADESH KRISHI BANK</v>
      </c>
      <c r="E1326" s="2" t="str">
        <f>IFERROR(__xludf.DUMMYFUNCTION("""COMPUTED_VALUE"""),"CHANDKHALI")</f>
        <v>CHANDKHALI</v>
      </c>
      <c r="F1326" s="4">
        <f>IFERROR(__xludf.DUMMYFUNCTION("""COMPUTED_VALUE"""),25.0)</f>
        <v>25</v>
      </c>
      <c r="G1326" s="5">
        <f>IFERROR(__xludf.DUMMYFUNCTION("""COMPUTED_VALUE"""),3.5040251E7)</f>
        <v>35040251</v>
      </c>
    </row>
    <row r="1327">
      <c r="A1327" s="3">
        <f>IFERROR(__xludf.DUMMYFUNCTION("""COMPUTED_VALUE"""),304.0)</f>
        <v>304</v>
      </c>
      <c r="B1327" s="2" t="str">
        <f>IFERROR(__xludf.DUMMYFUNCTION("""COMPUTED_VALUE"""),"BARGUNA")</f>
        <v>BARGUNA</v>
      </c>
      <c r="C1327" s="4">
        <f>IFERROR(__xludf.DUMMYFUNCTION("""COMPUTED_VALUE"""),35.0)</f>
        <v>35</v>
      </c>
      <c r="D1327" s="2" t="str">
        <f>IFERROR(__xludf.DUMMYFUNCTION("""COMPUTED_VALUE"""),"BANGLADESH KRISHI BANK")</f>
        <v>BANGLADESH KRISHI BANK</v>
      </c>
      <c r="E1327" s="2" t="str">
        <f>IFERROR(__xludf.DUMMYFUNCTION("""COMPUTED_VALUE"""),"CHARDUANI BAZAR")</f>
        <v>CHARDUANI BAZAR</v>
      </c>
      <c r="F1327" s="4">
        <f>IFERROR(__xludf.DUMMYFUNCTION("""COMPUTED_VALUE"""),28.0)</f>
        <v>28</v>
      </c>
      <c r="G1327" s="5">
        <f>IFERROR(__xludf.DUMMYFUNCTION("""COMPUTED_VALUE"""),3.504028E7)</f>
        <v>35040280</v>
      </c>
    </row>
    <row r="1328">
      <c r="A1328" s="3">
        <f>IFERROR(__xludf.DUMMYFUNCTION("""COMPUTED_VALUE"""),304.0)</f>
        <v>304</v>
      </c>
      <c r="B1328" s="2" t="str">
        <f>IFERROR(__xludf.DUMMYFUNCTION("""COMPUTED_VALUE"""),"BARGUNA")</f>
        <v>BARGUNA</v>
      </c>
      <c r="C1328" s="4">
        <f>IFERROR(__xludf.DUMMYFUNCTION("""COMPUTED_VALUE"""),35.0)</f>
        <v>35</v>
      </c>
      <c r="D1328" s="2" t="str">
        <f>IFERROR(__xludf.DUMMYFUNCTION("""COMPUTED_VALUE"""),"BANGLADESH KRISHI BANK")</f>
        <v>BANGLADESH KRISHI BANK</v>
      </c>
      <c r="E1328" s="2" t="str">
        <f>IFERROR(__xludf.DUMMYFUNCTION("""COMPUTED_VALUE"""),"DEWATALA")</f>
        <v>DEWATALA</v>
      </c>
      <c r="F1328" s="4">
        <f>IFERROR(__xludf.DUMMYFUNCTION("""COMPUTED_VALUE"""),31.0)</f>
        <v>31</v>
      </c>
      <c r="G1328" s="5">
        <f>IFERROR(__xludf.DUMMYFUNCTION("""COMPUTED_VALUE"""),3.5040314E7)</f>
        <v>35040314</v>
      </c>
    </row>
    <row r="1329">
      <c r="A1329" s="3">
        <f>IFERROR(__xludf.DUMMYFUNCTION("""COMPUTED_VALUE"""),304.0)</f>
        <v>304</v>
      </c>
      <c r="B1329" s="2" t="str">
        <f>IFERROR(__xludf.DUMMYFUNCTION("""COMPUTED_VALUE"""),"BARGUNA")</f>
        <v>BARGUNA</v>
      </c>
      <c r="C1329" s="4">
        <f>IFERROR(__xludf.DUMMYFUNCTION("""COMPUTED_VALUE"""),35.0)</f>
        <v>35</v>
      </c>
      <c r="D1329" s="2" t="str">
        <f>IFERROR(__xludf.DUMMYFUNCTION("""COMPUTED_VALUE"""),"BANGLADESH KRISHI BANK")</f>
        <v>BANGLADESH KRISHI BANK</v>
      </c>
      <c r="E1329" s="2" t="str">
        <f>IFERROR(__xludf.DUMMYFUNCTION("""COMPUTED_VALUE"""),"FULJHURY BAZAR")</f>
        <v>FULJHURY BAZAR</v>
      </c>
      <c r="F1329" s="4">
        <f>IFERROR(__xludf.DUMMYFUNCTION("""COMPUTED_VALUE"""),34.0)</f>
        <v>34</v>
      </c>
      <c r="G1329" s="5">
        <f>IFERROR(__xludf.DUMMYFUNCTION("""COMPUTED_VALUE"""),3.5040343E7)</f>
        <v>35040343</v>
      </c>
    </row>
    <row r="1330">
      <c r="A1330" s="3">
        <f>IFERROR(__xludf.DUMMYFUNCTION("""COMPUTED_VALUE"""),304.0)</f>
        <v>304</v>
      </c>
      <c r="B1330" s="2" t="str">
        <f>IFERROR(__xludf.DUMMYFUNCTION("""COMPUTED_VALUE"""),"BARGUNA")</f>
        <v>BARGUNA</v>
      </c>
      <c r="C1330" s="4">
        <f>IFERROR(__xludf.DUMMYFUNCTION("""COMPUTED_VALUE"""),35.0)</f>
        <v>35</v>
      </c>
      <c r="D1330" s="2" t="str">
        <f>IFERROR(__xludf.DUMMYFUNCTION("""COMPUTED_VALUE"""),"BANGLADESH KRISHI BANK")</f>
        <v>BANGLADESH KRISHI BANK</v>
      </c>
      <c r="E1330" s="2" t="str">
        <f>IFERROR(__xludf.DUMMYFUNCTION("""COMPUTED_VALUE"""),"GOURICHANNA")</f>
        <v>GOURICHANNA</v>
      </c>
      <c r="F1330" s="4">
        <f>IFERROR(__xludf.DUMMYFUNCTION("""COMPUTED_VALUE"""),40.0)</f>
        <v>40</v>
      </c>
      <c r="G1330" s="5">
        <f>IFERROR(__xludf.DUMMYFUNCTION("""COMPUTED_VALUE"""),3.5040406E7)</f>
        <v>35040406</v>
      </c>
    </row>
    <row r="1331">
      <c r="A1331" s="3">
        <f>IFERROR(__xludf.DUMMYFUNCTION("""COMPUTED_VALUE"""),304.0)</f>
        <v>304</v>
      </c>
      <c r="B1331" s="2" t="str">
        <f>IFERROR(__xludf.DUMMYFUNCTION("""COMPUTED_VALUE"""),"BARGUNA")</f>
        <v>BARGUNA</v>
      </c>
      <c r="C1331" s="4">
        <f>IFERROR(__xludf.DUMMYFUNCTION("""COMPUTED_VALUE"""),35.0)</f>
        <v>35</v>
      </c>
      <c r="D1331" s="2" t="str">
        <f>IFERROR(__xludf.DUMMYFUNCTION("""COMPUTED_VALUE"""),"BANGLADESH KRISHI BANK")</f>
        <v>BANGLADESH KRISHI BANK</v>
      </c>
      <c r="E1331" s="2" t="str">
        <f>IFERROR(__xludf.DUMMYFUNCTION("""COMPUTED_VALUE"""),"HOSNABAD")</f>
        <v>HOSNABAD</v>
      </c>
      <c r="F1331" s="4">
        <f>IFERROR(__xludf.DUMMYFUNCTION("""COMPUTED_VALUE"""),43.0)</f>
        <v>43</v>
      </c>
      <c r="G1331" s="5">
        <f>IFERROR(__xludf.DUMMYFUNCTION("""COMPUTED_VALUE"""),3.5040435E7)</f>
        <v>35040435</v>
      </c>
    </row>
    <row r="1332">
      <c r="A1332" s="3">
        <f>IFERROR(__xludf.DUMMYFUNCTION("""COMPUTED_VALUE"""),304.0)</f>
        <v>304</v>
      </c>
      <c r="B1332" s="2" t="str">
        <f>IFERROR(__xludf.DUMMYFUNCTION("""COMPUTED_VALUE"""),"BARGUNA")</f>
        <v>BARGUNA</v>
      </c>
      <c r="C1332" s="4">
        <f>IFERROR(__xludf.DUMMYFUNCTION("""COMPUTED_VALUE"""),35.0)</f>
        <v>35</v>
      </c>
      <c r="D1332" s="2" t="str">
        <f>IFERROR(__xludf.DUMMYFUNCTION("""COMPUTED_VALUE"""),"BANGLADESH KRISHI BANK")</f>
        <v>BANGLADESH KRISHI BANK</v>
      </c>
      <c r="E1332" s="2" t="str">
        <f>IFERROR(__xludf.DUMMYFUNCTION("""COMPUTED_VALUE"""),"KUKUA")</f>
        <v>KUKUA</v>
      </c>
      <c r="F1332" s="4">
        <f>IFERROR(__xludf.DUMMYFUNCTION("""COMPUTED_VALUE"""),55.0)</f>
        <v>55</v>
      </c>
      <c r="G1332" s="5">
        <f>IFERROR(__xludf.DUMMYFUNCTION("""COMPUTED_VALUE"""),3.5040556E7)</f>
        <v>35040556</v>
      </c>
    </row>
    <row r="1333">
      <c r="A1333" s="3">
        <f>IFERROR(__xludf.DUMMYFUNCTION("""COMPUTED_VALUE"""),304.0)</f>
        <v>304</v>
      </c>
      <c r="B1333" s="2" t="str">
        <f>IFERROR(__xludf.DUMMYFUNCTION("""COMPUTED_VALUE"""),"BARGUNA")</f>
        <v>BARGUNA</v>
      </c>
      <c r="C1333" s="4">
        <f>IFERROR(__xludf.DUMMYFUNCTION("""COMPUTED_VALUE"""),35.0)</f>
        <v>35</v>
      </c>
      <c r="D1333" s="2" t="str">
        <f>IFERROR(__xludf.DUMMYFUNCTION("""COMPUTED_VALUE"""),"BANGLADESH KRISHI BANK")</f>
        <v>BANGLADESH KRISHI BANK</v>
      </c>
      <c r="E1333" s="2" t="str">
        <f>IFERROR(__xludf.DUMMYFUNCTION("""COMPUTED_VALUE"""),"LEMUA")</f>
        <v>LEMUA</v>
      </c>
      <c r="F1333" s="4">
        <f>IFERROR(__xludf.DUMMYFUNCTION("""COMPUTED_VALUE"""),58.0)</f>
        <v>58</v>
      </c>
      <c r="G1333" s="5">
        <f>IFERROR(__xludf.DUMMYFUNCTION("""COMPUTED_VALUE"""),3.5040585E7)</f>
        <v>35040585</v>
      </c>
    </row>
    <row r="1334">
      <c r="A1334" s="3">
        <f>IFERROR(__xludf.DUMMYFUNCTION("""COMPUTED_VALUE"""),304.0)</f>
        <v>304</v>
      </c>
      <c r="B1334" s="2" t="str">
        <f>IFERROR(__xludf.DUMMYFUNCTION("""COMPUTED_VALUE"""),"BARGUNA")</f>
        <v>BARGUNA</v>
      </c>
      <c r="C1334" s="4">
        <f>IFERROR(__xludf.DUMMYFUNCTION("""COMPUTED_VALUE"""),35.0)</f>
        <v>35</v>
      </c>
      <c r="D1334" s="2" t="str">
        <f>IFERROR(__xludf.DUMMYFUNCTION("""COMPUTED_VALUE"""),"BANGLADESH KRISHI BANK")</f>
        <v>BANGLADESH KRISHI BANK</v>
      </c>
      <c r="E1334" s="2" t="str">
        <f>IFERROR(__xludf.DUMMYFUNCTION("""COMPUTED_VALUE"""),"MOKAMIA")</f>
        <v>MOKAMIA</v>
      </c>
      <c r="F1334" s="4">
        <f>IFERROR(__xludf.DUMMYFUNCTION("""COMPUTED_VALUE"""),61.0)</f>
        <v>61</v>
      </c>
      <c r="G1334" s="5">
        <f>IFERROR(__xludf.DUMMYFUNCTION("""COMPUTED_VALUE"""),3.5040619E7)</f>
        <v>35040619</v>
      </c>
    </row>
    <row r="1335">
      <c r="A1335" s="3">
        <f>IFERROR(__xludf.DUMMYFUNCTION("""COMPUTED_VALUE"""),304.0)</f>
        <v>304</v>
      </c>
      <c r="B1335" s="2" t="str">
        <f>IFERROR(__xludf.DUMMYFUNCTION("""COMPUTED_VALUE"""),"BARGUNA")</f>
        <v>BARGUNA</v>
      </c>
      <c r="C1335" s="4">
        <f>IFERROR(__xludf.DUMMYFUNCTION("""COMPUTED_VALUE"""),35.0)</f>
        <v>35</v>
      </c>
      <c r="D1335" s="2" t="str">
        <f>IFERROR(__xludf.DUMMYFUNCTION("""COMPUTED_VALUE"""),"BANGLADESH KRISHI BANK")</f>
        <v>BANGLADESH KRISHI BANK</v>
      </c>
      <c r="E1335" s="2" t="str">
        <f>IFERROR(__xludf.DUMMYFUNCTION("""COMPUTED_VALUE"""),"PATHARGHATA")</f>
        <v>PATHARGHATA</v>
      </c>
      <c r="F1335" s="4">
        <f>IFERROR(__xludf.DUMMYFUNCTION("""COMPUTED_VALUE"""),67.0)</f>
        <v>67</v>
      </c>
      <c r="G1335" s="5">
        <f>IFERROR(__xludf.DUMMYFUNCTION("""COMPUTED_VALUE"""),3.5040677E7)</f>
        <v>35040677</v>
      </c>
    </row>
    <row r="1336">
      <c r="A1336" s="3">
        <f>IFERROR(__xludf.DUMMYFUNCTION("""COMPUTED_VALUE"""),304.0)</f>
        <v>304</v>
      </c>
      <c r="B1336" s="2" t="str">
        <f>IFERROR(__xludf.DUMMYFUNCTION("""COMPUTED_VALUE"""),"BARGUNA")</f>
        <v>BARGUNA</v>
      </c>
      <c r="C1336" s="4">
        <f>IFERROR(__xludf.DUMMYFUNCTION("""COMPUTED_VALUE"""),35.0)</f>
        <v>35</v>
      </c>
      <c r="D1336" s="2" t="str">
        <f>IFERROR(__xludf.DUMMYFUNCTION("""COMPUTED_VALUE"""),"BANGLADESH KRISHI BANK")</f>
        <v>BANGLADESH KRISHI BANK</v>
      </c>
      <c r="E1336" s="2" t="str">
        <f>IFERROR(__xludf.DUMMYFUNCTION("""COMPUTED_VALUE"""),"TALTALI")</f>
        <v>TALTALI</v>
      </c>
      <c r="F1336" s="4">
        <f>IFERROR(__xludf.DUMMYFUNCTION("""COMPUTED_VALUE"""),70.0)</f>
        <v>70</v>
      </c>
      <c r="G1336" s="5">
        <f>IFERROR(__xludf.DUMMYFUNCTION("""COMPUTED_VALUE"""),3.5040701E7)</f>
        <v>35040701</v>
      </c>
    </row>
    <row r="1337">
      <c r="A1337" s="3">
        <f>IFERROR(__xludf.DUMMYFUNCTION("""COMPUTED_VALUE"""),306.0)</f>
        <v>306</v>
      </c>
      <c r="B1337" s="2" t="str">
        <f>IFERROR(__xludf.DUMMYFUNCTION("""COMPUTED_VALUE"""),"BARISHAL")</f>
        <v>BARISHAL</v>
      </c>
      <c r="C1337" s="4">
        <f>IFERROR(__xludf.DUMMYFUNCTION("""COMPUTED_VALUE"""),35.0)</f>
        <v>35</v>
      </c>
      <c r="D1337" s="2" t="str">
        <f>IFERROR(__xludf.DUMMYFUNCTION("""COMPUTED_VALUE"""),"BANGLADESH KRISHI BANK")</f>
        <v>BANGLADESH KRISHI BANK</v>
      </c>
      <c r="E1337" s="2" t="str">
        <f>IFERROR(__xludf.DUMMYFUNCTION("""COMPUTED_VALUE"""),"AGOILJHARA")</f>
        <v>AGOILJHARA</v>
      </c>
      <c r="F1337" s="4">
        <f>IFERROR(__xludf.DUMMYFUNCTION("""COMPUTED_VALUE"""),7.0)</f>
        <v>7</v>
      </c>
      <c r="G1337" s="5">
        <f>IFERROR(__xludf.DUMMYFUNCTION("""COMPUTED_VALUE"""),3.5060073E7)</f>
        <v>35060073</v>
      </c>
    </row>
    <row r="1338">
      <c r="A1338" s="3">
        <f>IFERROR(__xludf.DUMMYFUNCTION("""COMPUTED_VALUE"""),306.0)</f>
        <v>306</v>
      </c>
      <c r="B1338" s="2" t="str">
        <f>IFERROR(__xludf.DUMMYFUNCTION("""COMPUTED_VALUE"""),"BARISHAL")</f>
        <v>BARISHAL</v>
      </c>
      <c r="C1338" s="4">
        <f>IFERROR(__xludf.DUMMYFUNCTION("""COMPUTED_VALUE"""),35.0)</f>
        <v>35</v>
      </c>
      <c r="D1338" s="2" t="str">
        <f>IFERROR(__xludf.DUMMYFUNCTION("""COMPUTED_VALUE"""),"BANGLADESH KRISHI BANK")</f>
        <v>BANGLADESH KRISHI BANK</v>
      </c>
      <c r="E1338" s="2" t="str">
        <f>IFERROR(__xludf.DUMMYFUNCTION("""COMPUTED_VALUE"""),"CHOYGRAM BAZAR")</f>
        <v>CHOYGRAM BAZAR</v>
      </c>
      <c r="F1338" s="4">
        <f>IFERROR(__xludf.DUMMYFUNCTION("""COMPUTED_VALUE"""),9.0)</f>
        <v>9</v>
      </c>
      <c r="G1338" s="5">
        <f>IFERROR(__xludf.DUMMYFUNCTION("""COMPUTED_VALUE"""),3.5060099E7)</f>
        <v>35060099</v>
      </c>
    </row>
    <row r="1339">
      <c r="A1339" s="3">
        <f>IFERROR(__xludf.DUMMYFUNCTION("""COMPUTED_VALUE"""),306.0)</f>
        <v>306</v>
      </c>
      <c r="B1339" s="2" t="str">
        <f>IFERROR(__xludf.DUMMYFUNCTION("""COMPUTED_VALUE"""),"BARISHAL")</f>
        <v>BARISHAL</v>
      </c>
      <c r="C1339" s="4">
        <f>IFERROR(__xludf.DUMMYFUNCTION("""COMPUTED_VALUE"""),35.0)</f>
        <v>35</v>
      </c>
      <c r="D1339" s="2" t="str">
        <f>IFERROR(__xludf.DUMMYFUNCTION("""COMPUTED_VALUE"""),"BANGLADESH KRISHI BANK")</f>
        <v>BANGLADESH KRISHI BANK</v>
      </c>
      <c r="E1339" s="2" t="str">
        <f>IFERROR(__xludf.DUMMYFUNCTION("""COMPUTED_VALUE"""),"LENGUTIA BAZAR")</f>
        <v>LENGUTIA BAZAR</v>
      </c>
      <c r="F1339" s="4">
        <f>IFERROR(__xludf.DUMMYFUNCTION("""COMPUTED_VALUE"""),11.0)</f>
        <v>11</v>
      </c>
      <c r="G1339" s="5">
        <f>IFERROR(__xludf.DUMMYFUNCTION("""COMPUTED_VALUE"""),3.506011E7)</f>
        <v>35060110</v>
      </c>
    </row>
    <row r="1340">
      <c r="A1340" s="3">
        <f>IFERROR(__xludf.DUMMYFUNCTION("""COMPUTED_VALUE"""),306.0)</f>
        <v>306</v>
      </c>
      <c r="B1340" s="2" t="str">
        <f>IFERROR(__xludf.DUMMYFUNCTION("""COMPUTED_VALUE"""),"BARISHAL")</f>
        <v>BARISHAL</v>
      </c>
      <c r="C1340" s="4">
        <f>IFERROR(__xludf.DUMMYFUNCTION("""COMPUTED_VALUE"""),35.0)</f>
        <v>35</v>
      </c>
      <c r="D1340" s="2" t="str">
        <f>IFERROR(__xludf.DUMMYFUNCTION("""COMPUTED_VALUE"""),"BANGLADESH KRISHI BANK")</f>
        <v>BANGLADESH KRISHI BANK</v>
      </c>
      <c r="E1340" s="2" t="str">
        <f>IFERROR(__xludf.DUMMYFUNCTION("""COMPUTED_VALUE"""),"HARTA BANDAR")</f>
        <v>HARTA BANDAR</v>
      </c>
      <c r="F1340" s="4">
        <f>IFERROR(__xludf.DUMMYFUNCTION("""COMPUTED_VALUE"""),12.0)</f>
        <v>12</v>
      </c>
      <c r="G1340" s="5">
        <f>IFERROR(__xludf.DUMMYFUNCTION("""COMPUTED_VALUE"""),3.5060123E7)</f>
        <v>35060123</v>
      </c>
    </row>
    <row r="1341">
      <c r="A1341" s="3">
        <f>IFERROR(__xludf.DUMMYFUNCTION("""COMPUTED_VALUE"""),306.0)</f>
        <v>306</v>
      </c>
      <c r="B1341" s="2" t="str">
        <f>IFERROR(__xludf.DUMMYFUNCTION("""COMPUTED_VALUE"""),"BARISHAL")</f>
        <v>BARISHAL</v>
      </c>
      <c r="C1341" s="4">
        <f>IFERROR(__xludf.DUMMYFUNCTION("""COMPUTED_VALUE"""),35.0)</f>
        <v>35</v>
      </c>
      <c r="D1341" s="2" t="str">
        <f>IFERROR(__xludf.DUMMYFUNCTION("""COMPUTED_VALUE"""),"BANGLADESH KRISHI BANK")</f>
        <v>BANGLADESH KRISHI BANK</v>
      </c>
      <c r="E1341" s="2" t="str">
        <f>IFERROR(__xludf.DUMMYFUNCTION("""COMPUTED_VALUE"""),"BABUGANJ")</f>
        <v>BABUGANJ</v>
      </c>
      <c r="F1341" s="4">
        <f>IFERROR(__xludf.DUMMYFUNCTION("""COMPUTED_VALUE"""),16.0)</f>
        <v>16</v>
      </c>
      <c r="G1341" s="5">
        <f>IFERROR(__xludf.DUMMYFUNCTION("""COMPUTED_VALUE"""),3.5060165E7)</f>
        <v>35060165</v>
      </c>
    </row>
    <row r="1342">
      <c r="A1342" s="3">
        <f>IFERROR(__xludf.DUMMYFUNCTION("""COMPUTED_VALUE"""),306.0)</f>
        <v>306</v>
      </c>
      <c r="B1342" s="2" t="str">
        <f>IFERROR(__xludf.DUMMYFUNCTION("""COMPUTED_VALUE"""),"BARISHAL")</f>
        <v>BARISHAL</v>
      </c>
      <c r="C1342" s="4">
        <f>IFERROR(__xludf.DUMMYFUNCTION("""COMPUTED_VALUE"""),35.0)</f>
        <v>35</v>
      </c>
      <c r="D1342" s="2" t="str">
        <f>IFERROR(__xludf.DUMMYFUNCTION("""COMPUTED_VALUE"""),"BANGLADESH KRISHI BANK")</f>
        <v>BANGLADESH KRISHI BANK</v>
      </c>
      <c r="E1342" s="2" t="str">
        <f>IFERROR(__xludf.DUMMYFUNCTION("""COMPUTED_VALUE"""),"BAISHARI")</f>
        <v>BAISHARI</v>
      </c>
      <c r="F1342" s="4">
        <f>IFERROR(__xludf.DUMMYFUNCTION("""COMPUTED_VALUE"""),19.0)</f>
        <v>19</v>
      </c>
      <c r="G1342" s="5">
        <f>IFERROR(__xludf.DUMMYFUNCTION("""COMPUTED_VALUE"""),3.5060194E7)</f>
        <v>35060194</v>
      </c>
    </row>
    <row r="1343">
      <c r="A1343" s="3">
        <f>IFERROR(__xludf.DUMMYFUNCTION("""COMPUTED_VALUE"""),306.0)</f>
        <v>306</v>
      </c>
      <c r="B1343" s="2" t="str">
        <f>IFERROR(__xludf.DUMMYFUNCTION("""COMPUTED_VALUE"""),"BARISHAL")</f>
        <v>BARISHAL</v>
      </c>
      <c r="C1343" s="4">
        <f>IFERROR(__xludf.DUMMYFUNCTION("""COMPUTED_VALUE"""),35.0)</f>
        <v>35</v>
      </c>
      <c r="D1343" s="2" t="str">
        <f>IFERROR(__xludf.DUMMYFUNCTION("""COMPUTED_VALUE"""),"BANGLADESH KRISHI BANK")</f>
        <v>BANGLADESH KRISHI BANK</v>
      </c>
      <c r="E1343" s="2" t="str">
        <f>IFERROR(__xludf.DUMMYFUNCTION("""COMPUTED_VALUE"""),"BAKERGANJ")</f>
        <v>BAKERGANJ</v>
      </c>
      <c r="F1343" s="4">
        <f>IFERROR(__xludf.DUMMYFUNCTION("""COMPUTED_VALUE"""),22.0)</f>
        <v>22</v>
      </c>
      <c r="G1343" s="5">
        <f>IFERROR(__xludf.DUMMYFUNCTION("""COMPUTED_VALUE"""),3.5060228E7)</f>
        <v>35060228</v>
      </c>
    </row>
    <row r="1344">
      <c r="A1344" s="3">
        <f>IFERROR(__xludf.DUMMYFUNCTION("""COMPUTED_VALUE"""),306.0)</f>
        <v>306</v>
      </c>
      <c r="B1344" s="2" t="str">
        <f>IFERROR(__xludf.DUMMYFUNCTION("""COMPUTED_VALUE"""),"BARISHAL")</f>
        <v>BARISHAL</v>
      </c>
      <c r="C1344" s="4">
        <f>IFERROR(__xludf.DUMMYFUNCTION("""COMPUTED_VALUE"""),35.0)</f>
        <v>35</v>
      </c>
      <c r="D1344" s="2" t="str">
        <f>IFERROR(__xludf.DUMMYFUNCTION("""COMPUTED_VALUE"""),"BANGLADESH KRISHI BANK")</f>
        <v>BANGLADESH KRISHI BANK</v>
      </c>
      <c r="E1344" s="2" t="str">
        <f>IFERROR(__xludf.DUMMYFUNCTION("""COMPUTED_VALUE"""),"BANARI PARA")</f>
        <v>BANARI PARA</v>
      </c>
      <c r="F1344" s="4">
        <f>IFERROR(__xludf.DUMMYFUNCTION("""COMPUTED_VALUE"""),25.0)</f>
        <v>25</v>
      </c>
      <c r="G1344" s="5">
        <f>IFERROR(__xludf.DUMMYFUNCTION("""COMPUTED_VALUE"""),3.5060257E7)</f>
        <v>35060257</v>
      </c>
    </row>
    <row r="1345">
      <c r="A1345" s="3">
        <f>IFERROR(__xludf.DUMMYFUNCTION("""COMPUTED_VALUE"""),306.0)</f>
        <v>306</v>
      </c>
      <c r="B1345" s="2" t="str">
        <f>IFERROR(__xludf.DUMMYFUNCTION("""COMPUTED_VALUE"""),"BARISHAL")</f>
        <v>BARISHAL</v>
      </c>
      <c r="C1345" s="4">
        <f>IFERROR(__xludf.DUMMYFUNCTION("""COMPUTED_VALUE"""),35.0)</f>
        <v>35</v>
      </c>
      <c r="D1345" s="2" t="str">
        <f>IFERROR(__xludf.DUMMYFUNCTION("""COMPUTED_VALUE"""),"BANGLADESH KRISHI BANK")</f>
        <v>BANGLADESH KRISHI BANK</v>
      </c>
      <c r="E1345" s="2" t="str">
        <f>IFERROR(__xludf.DUMMYFUNCTION("""COMPUTED_VALUE"""),"BARISAL")</f>
        <v>BARISAL</v>
      </c>
      <c r="F1345" s="4">
        <f>IFERROR(__xludf.DUMMYFUNCTION("""COMPUTED_VALUE"""),28.0)</f>
        <v>28</v>
      </c>
      <c r="G1345" s="5">
        <f>IFERROR(__xludf.DUMMYFUNCTION("""COMPUTED_VALUE"""),3.5060286E7)</f>
        <v>35060286</v>
      </c>
    </row>
    <row r="1346">
      <c r="A1346" s="3">
        <f>IFERROR(__xludf.DUMMYFUNCTION("""COMPUTED_VALUE"""),306.0)</f>
        <v>306</v>
      </c>
      <c r="B1346" s="2" t="str">
        <f>IFERROR(__xludf.DUMMYFUNCTION("""COMPUTED_VALUE"""),"BARISHAL")</f>
        <v>BARISHAL</v>
      </c>
      <c r="C1346" s="4">
        <f>IFERROR(__xludf.DUMMYFUNCTION("""COMPUTED_VALUE"""),35.0)</f>
        <v>35</v>
      </c>
      <c r="D1346" s="2" t="str">
        <f>IFERROR(__xludf.DUMMYFUNCTION("""COMPUTED_VALUE"""),"BANGLADESH KRISHI BANK")</f>
        <v>BANGLADESH KRISHI BANK</v>
      </c>
      <c r="E1346" s="2" t="str">
        <f>IFERROR(__xludf.DUMMYFUNCTION("""COMPUTED_VALUE"""),"BHASHANCHAR")</f>
        <v>BHASHANCHAR</v>
      </c>
      <c r="F1346" s="4">
        <f>IFERROR(__xludf.DUMMYFUNCTION("""COMPUTED_VALUE"""),43.0)</f>
        <v>43</v>
      </c>
      <c r="G1346" s="5">
        <f>IFERROR(__xludf.DUMMYFUNCTION("""COMPUTED_VALUE"""),3.5060431E7)</f>
        <v>35060431</v>
      </c>
    </row>
    <row r="1347">
      <c r="A1347" s="3">
        <f>IFERROR(__xludf.DUMMYFUNCTION("""COMPUTED_VALUE"""),306.0)</f>
        <v>306</v>
      </c>
      <c r="B1347" s="2" t="str">
        <f>IFERROR(__xludf.DUMMYFUNCTION("""COMPUTED_VALUE"""),"BARISHAL")</f>
        <v>BARISHAL</v>
      </c>
      <c r="C1347" s="4">
        <f>IFERROR(__xludf.DUMMYFUNCTION("""COMPUTED_VALUE"""),35.0)</f>
        <v>35</v>
      </c>
      <c r="D1347" s="2" t="str">
        <f>IFERROR(__xludf.DUMMYFUNCTION("""COMPUTED_VALUE"""),"BANGLADESH KRISHI BANK")</f>
        <v>BANGLADESH KRISHI BANK</v>
      </c>
      <c r="E1347" s="2" t="str">
        <f>IFERROR(__xludf.DUMMYFUNCTION("""COMPUTED_VALUE"""),"GOURNADI")</f>
        <v>GOURNADI</v>
      </c>
      <c r="F1347" s="4">
        <f>IFERROR(__xludf.DUMMYFUNCTION("""COMPUTED_VALUE"""),82.0)</f>
        <v>82</v>
      </c>
      <c r="G1347" s="5">
        <f>IFERROR(__xludf.DUMMYFUNCTION("""COMPUTED_VALUE"""),3.5060828E7)</f>
        <v>35060828</v>
      </c>
    </row>
    <row r="1348">
      <c r="A1348" s="3">
        <f>IFERROR(__xludf.DUMMYFUNCTION("""COMPUTED_VALUE"""),306.0)</f>
        <v>306</v>
      </c>
      <c r="B1348" s="2" t="str">
        <f>IFERROR(__xludf.DUMMYFUNCTION("""COMPUTED_VALUE"""),"BARISHAL")</f>
        <v>BARISHAL</v>
      </c>
      <c r="C1348" s="4">
        <f>IFERROR(__xludf.DUMMYFUNCTION("""COMPUTED_VALUE"""),35.0)</f>
        <v>35</v>
      </c>
      <c r="D1348" s="2" t="str">
        <f>IFERROR(__xludf.DUMMYFUNCTION("""COMPUTED_VALUE"""),"BANGLADESH KRISHI BANK")</f>
        <v>BANGLADESH KRISHI BANK</v>
      </c>
      <c r="E1348" s="2" t="str">
        <f>IFERROR(__xludf.DUMMYFUNCTION("""COMPUTED_VALUE"""),"HABIBPUR BAZAR")</f>
        <v>HABIBPUR BAZAR</v>
      </c>
      <c r="F1348" s="4">
        <f>IFERROR(__xludf.DUMMYFUNCTION("""COMPUTED_VALUE"""),91.0)</f>
        <v>91</v>
      </c>
      <c r="G1348" s="5">
        <f>IFERROR(__xludf.DUMMYFUNCTION("""COMPUTED_VALUE"""),3.506091E7)</f>
        <v>35060910</v>
      </c>
    </row>
    <row r="1349">
      <c r="A1349" s="3">
        <f>IFERROR(__xludf.DUMMYFUNCTION("""COMPUTED_VALUE"""),306.0)</f>
        <v>306</v>
      </c>
      <c r="B1349" s="2" t="str">
        <f>IFERROR(__xludf.DUMMYFUNCTION("""COMPUTED_VALUE"""),"BARISHAL")</f>
        <v>BARISHAL</v>
      </c>
      <c r="C1349" s="4">
        <f>IFERROR(__xludf.DUMMYFUNCTION("""COMPUTED_VALUE"""),35.0)</f>
        <v>35</v>
      </c>
      <c r="D1349" s="2" t="str">
        <f>IFERROR(__xludf.DUMMYFUNCTION("""COMPUTED_VALUE"""),"BANGLADESH KRISHI BANK")</f>
        <v>BANGLADESH KRISHI BANK</v>
      </c>
      <c r="E1349" s="2" t="str">
        <f>IFERROR(__xludf.DUMMYFUNCTION("""COMPUTED_VALUE"""),"HIZLA")</f>
        <v>HIZLA</v>
      </c>
      <c r="F1349" s="4">
        <f>IFERROR(__xludf.DUMMYFUNCTION("""COMPUTED_VALUE"""),97.0)</f>
        <v>97</v>
      </c>
      <c r="G1349" s="5">
        <f>IFERROR(__xludf.DUMMYFUNCTION("""COMPUTED_VALUE"""),3.5060978E7)</f>
        <v>35060978</v>
      </c>
    </row>
    <row r="1350">
      <c r="A1350" s="3">
        <f>IFERROR(__xludf.DUMMYFUNCTION("""COMPUTED_VALUE"""),306.0)</f>
        <v>306</v>
      </c>
      <c r="B1350" s="2" t="str">
        <f>IFERROR(__xludf.DUMMYFUNCTION("""COMPUTED_VALUE"""),"BARISHAL")</f>
        <v>BARISHAL</v>
      </c>
      <c r="C1350" s="4">
        <f>IFERROR(__xludf.DUMMYFUNCTION("""COMPUTED_VALUE"""),35.0)</f>
        <v>35</v>
      </c>
      <c r="D1350" s="2" t="str">
        <f>IFERROR(__xludf.DUMMYFUNCTION("""COMPUTED_VALUE"""),"BANGLADESH KRISHI BANK")</f>
        <v>BANGLADESH KRISHI BANK</v>
      </c>
      <c r="E1350" s="2" t="str">
        <f>IFERROR(__xludf.DUMMYFUNCTION("""COMPUTED_VALUE"""),"KARFA BAZAR")</f>
        <v>KARFA BAZAR</v>
      </c>
      <c r="F1350" s="4">
        <f>IFERROR(__xludf.DUMMYFUNCTION("""COMPUTED_VALUE"""),110.0)</f>
        <v>110</v>
      </c>
      <c r="G1350" s="5">
        <f>IFERROR(__xludf.DUMMYFUNCTION("""COMPUTED_VALUE"""),3.5061106E7)</f>
        <v>35061106</v>
      </c>
    </row>
    <row r="1351">
      <c r="A1351" s="3">
        <f>IFERROR(__xludf.DUMMYFUNCTION("""COMPUTED_VALUE"""),306.0)</f>
        <v>306</v>
      </c>
      <c r="B1351" s="2" t="str">
        <f>IFERROR(__xludf.DUMMYFUNCTION("""COMPUTED_VALUE"""),"BARISHAL")</f>
        <v>BARISHAL</v>
      </c>
      <c r="C1351" s="4">
        <f>IFERROR(__xludf.DUMMYFUNCTION("""COMPUTED_VALUE"""),35.0)</f>
        <v>35</v>
      </c>
      <c r="D1351" s="2" t="str">
        <f>IFERROR(__xludf.DUMMYFUNCTION("""COMPUTED_VALUE"""),"BANGLADESH KRISHI BANK")</f>
        <v>BANGLADESH KRISHI BANK</v>
      </c>
      <c r="E1351" s="2" t="str">
        <f>IFERROR(__xludf.DUMMYFUNCTION("""COMPUTED_VALUE"""),"KAZIRHAT")</f>
        <v>KAZIRHAT</v>
      </c>
      <c r="F1351" s="4">
        <f>IFERROR(__xludf.DUMMYFUNCTION("""COMPUTED_VALUE"""),112.0)</f>
        <v>112</v>
      </c>
      <c r="G1351" s="5">
        <f>IFERROR(__xludf.DUMMYFUNCTION("""COMPUTED_VALUE"""),3.5061122E7)</f>
        <v>35061122</v>
      </c>
    </row>
    <row r="1352">
      <c r="A1352" s="3">
        <f>IFERROR(__xludf.DUMMYFUNCTION("""COMPUTED_VALUE"""),306.0)</f>
        <v>306</v>
      </c>
      <c r="B1352" s="2" t="str">
        <f>IFERROR(__xludf.DUMMYFUNCTION("""COMPUTED_VALUE"""),"BARISHAL")</f>
        <v>BARISHAL</v>
      </c>
      <c r="C1352" s="4">
        <f>IFERROR(__xludf.DUMMYFUNCTION("""COMPUTED_VALUE"""),35.0)</f>
        <v>35</v>
      </c>
      <c r="D1352" s="2" t="str">
        <f>IFERROR(__xludf.DUMMYFUNCTION("""COMPUTED_VALUE"""),"BANGLADESH KRISHI BANK")</f>
        <v>BANGLADESH KRISHI BANK</v>
      </c>
      <c r="E1352" s="2" t="str">
        <f>IFERROR(__xludf.DUMMYFUNCTION("""COMPUTED_VALUE"""),"KHASHERHAT")</f>
        <v>KHASHERHAT</v>
      </c>
      <c r="F1352" s="4">
        <f>IFERROR(__xludf.DUMMYFUNCTION("""COMPUTED_VALUE"""),118.0)</f>
        <v>118</v>
      </c>
      <c r="G1352" s="5">
        <f>IFERROR(__xludf.DUMMYFUNCTION("""COMPUTED_VALUE"""),3.506118E7)</f>
        <v>35061180</v>
      </c>
    </row>
    <row r="1353">
      <c r="A1353" s="3">
        <f>IFERROR(__xludf.DUMMYFUNCTION("""COMPUTED_VALUE"""),306.0)</f>
        <v>306</v>
      </c>
      <c r="B1353" s="2" t="str">
        <f>IFERROR(__xludf.DUMMYFUNCTION("""COMPUTED_VALUE"""),"BARISHAL")</f>
        <v>BARISHAL</v>
      </c>
      <c r="C1353" s="4">
        <f>IFERROR(__xludf.DUMMYFUNCTION("""COMPUTED_VALUE"""),35.0)</f>
        <v>35</v>
      </c>
      <c r="D1353" s="2" t="str">
        <f>IFERROR(__xludf.DUMMYFUNCTION("""COMPUTED_VALUE"""),"BANGLADESH KRISHI BANK")</f>
        <v>BANGLADESH KRISHI BANK</v>
      </c>
      <c r="E1353" s="2" t="str">
        <f>IFERROR(__xludf.DUMMYFUNCTION("""COMPUTED_VALUE"""),"MAHILARA")</f>
        <v>MAHILARA</v>
      </c>
      <c r="F1353" s="4">
        <f>IFERROR(__xludf.DUMMYFUNCTION("""COMPUTED_VALUE"""),127.0)</f>
        <v>127</v>
      </c>
      <c r="G1353" s="5">
        <f>IFERROR(__xludf.DUMMYFUNCTION("""COMPUTED_VALUE"""),3.5061272E7)</f>
        <v>35061272</v>
      </c>
    </row>
    <row r="1354">
      <c r="A1354" s="3">
        <f>IFERROR(__xludf.DUMMYFUNCTION("""COMPUTED_VALUE"""),306.0)</f>
        <v>306</v>
      </c>
      <c r="B1354" s="2" t="str">
        <f>IFERROR(__xludf.DUMMYFUNCTION("""COMPUTED_VALUE"""),"BARISHAL")</f>
        <v>BARISHAL</v>
      </c>
      <c r="C1354" s="4">
        <f>IFERROR(__xludf.DUMMYFUNCTION("""COMPUTED_VALUE"""),35.0)</f>
        <v>35</v>
      </c>
      <c r="D1354" s="2" t="str">
        <f>IFERROR(__xludf.DUMMYFUNCTION("""COMPUTED_VALUE"""),"BANGLADESH KRISHI BANK")</f>
        <v>BANGLADESH KRISHI BANK</v>
      </c>
      <c r="E1354" s="2" t="str">
        <f>IFERROR(__xludf.DUMMYFUNCTION("""COMPUTED_VALUE"""),"MOHESHPUR BAZAR")</f>
        <v>MOHESHPUR BAZAR</v>
      </c>
      <c r="F1354" s="4">
        <f>IFERROR(__xludf.DUMMYFUNCTION("""COMPUTED_VALUE"""),139.0)</f>
        <v>139</v>
      </c>
      <c r="G1354" s="5">
        <f>IFERROR(__xludf.DUMMYFUNCTION("""COMPUTED_VALUE"""),3.5061393E7)</f>
        <v>35061393</v>
      </c>
    </row>
    <row r="1355">
      <c r="A1355" s="3">
        <f>IFERROR(__xludf.DUMMYFUNCTION("""COMPUTED_VALUE"""),306.0)</f>
        <v>306</v>
      </c>
      <c r="B1355" s="2" t="str">
        <f>IFERROR(__xludf.DUMMYFUNCTION("""COMPUTED_VALUE"""),"BARISHAL")</f>
        <v>BARISHAL</v>
      </c>
      <c r="C1355" s="4">
        <f>IFERROR(__xludf.DUMMYFUNCTION("""COMPUTED_VALUE"""),35.0)</f>
        <v>35</v>
      </c>
      <c r="D1355" s="2" t="str">
        <f>IFERROR(__xludf.DUMMYFUNCTION("""COMPUTED_VALUE"""),"BANGLADESH KRISHI BANK")</f>
        <v>BANGLADESH KRISHI BANK</v>
      </c>
      <c r="E1355" s="2" t="str">
        <f>IFERROR(__xludf.DUMMYFUNCTION("""COMPUTED_VALUE"""),"MOULVIR HAT")</f>
        <v>MOULVIR HAT</v>
      </c>
      <c r="F1355" s="4">
        <f>IFERROR(__xludf.DUMMYFUNCTION("""COMPUTED_VALUE"""),142.0)</f>
        <v>142</v>
      </c>
      <c r="G1355" s="5">
        <f>IFERROR(__xludf.DUMMYFUNCTION("""COMPUTED_VALUE"""),3.5061427E7)</f>
        <v>35061427</v>
      </c>
    </row>
    <row r="1356">
      <c r="A1356" s="3">
        <f>IFERROR(__xludf.DUMMYFUNCTION("""COMPUTED_VALUE"""),306.0)</f>
        <v>306</v>
      </c>
      <c r="B1356" s="2" t="str">
        <f>IFERROR(__xludf.DUMMYFUNCTION("""COMPUTED_VALUE"""),"BARISHAL")</f>
        <v>BARISHAL</v>
      </c>
      <c r="C1356" s="4">
        <f>IFERROR(__xludf.DUMMYFUNCTION("""COMPUTED_VALUE"""),35.0)</f>
        <v>35</v>
      </c>
      <c r="D1356" s="2" t="str">
        <f>IFERROR(__xludf.DUMMYFUNCTION("""COMPUTED_VALUE"""),"BANGLADESH KRISHI BANK")</f>
        <v>BANGLADESH KRISHI BANK</v>
      </c>
      <c r="E1356" s="2" t="str">
        <f>IFERROR(__xludf.DUMMYFUNCTION("""COMPUTED_VALUE"""),"MULADI")</f>
        <v>MULADI</v>
      </c>
      <c r="F1356" s="4">
        <f>IFERROR(__xludf.DUMMYFUNCTION("""COMPUTED_VALUE"""),145.0)</f>
        <v>145</v>
      </c>
      <c r="G1356" s="5">
        <f>IFERROR(__xludf.DUMMYFUNCTION("""COMPUTED_VALUE"""),3.5061456E7)</f>
        <v>35061456</v>
      </c>
    </row>
    <row r="1357">
      <c r="A1357" s="3">
        <f>IFERROR(__xludf.DUMMYFUNCTION("""COMPUTED_VALUE"""),306.0)</f>
        <v>306</v>
      </c>
      <c r="B1357" s="2" t="str">
        <f>IFERROR(__xludf.DUMMYFUNCTION("""COMPUTED_VALUE"""),"BARISHAL")</f>
        <v>BARISHAL</v>
      </c>
      <c r="C1357" s="4">
        <f>IFERROR(__xludf.DUMMYFUNCTION("""COMPUTED_VALUE"""),35.0)</f>
        <v>35</v>
      </c>
      <c r="D1357" s="2" t="str">
        <f>IFERROR(__xludf.DUMMYFUNCTION("""COMPUTED_VALUE"""),"BANGLADESH KRISHI BANK")</f>
        <v>BANGLADESH KRISHI BANK</v>
      </c>
      <c r="E1357" s="2" t="str">
        <f>IFERROR(__xludf.DUMMYFUNCTION("""COMPUTED_VALUE"""),"PATAR HAT")</f>
        <v>PATAR HAT</v>
      </c>
      <c r="F1357" s="4">
        <f>IFERROR(__xludf.DUMMYFUNCTION("""COMPUTED_VALUE"""),163.0)</f>
        <v>163</v>
      </c>
      <c r="G1357" s="5">
        <f>IFERROR(__xludf.DUMMYFUNCTION("""COMPUTED_VALUE"""),3.506163E7)</f>
        <v>35061630</v>
      </c>
    </row>
    <row r="1358">
      <c r="A1358" s="3">
        <f>IFERROR(__xludf.DUMMYFUNCTION("""COMPUTED_VALUE"""),306.0)</f>
        <v>306</v>
      </c>
      <c r="B1358" s="2" t="str">
        <f>IFERROR(__xludf.DUMMYFUNCTION("""COMPUTED_VALUE"""),"BARISHAL")</f>
        <v>BARISHAL</v>
      </c>
      <c r="C1358" s="4">
        <f>IFERROR(__xludf.DUMMYFUNCTION("""COMPUTED_VALUE"""),35.0)</f>
        <v>35</v>
      </c>
      <c r="D1358" s="2" t="str">
        <f>IFERROR(__xludf.DUMMYFUNCTION("""COMPUTED_VALUE"""),"BANGLADESH KRISHI BANK")</f>
        <v>BANGLADESH KRISHI BANK</v>
      </c>
      <c r="E1358" s="2" t="str">
        <f>IFERROR(__xludf.DUMMYFUNCTION("""COMPUTED_VALUE"""),"RAIPASHA")</f>
        <v>RAIPASHA</v>
      </c>
      <c r="F1358" s="4">
        <f>IFERROR(__xludf.DUMMYFUNCTION("""COMPUTED_VALUE"""),175.0)</f>
        <v>175</v>
      </c>
      <c r="G1358" s="5">
        <f>IFERROR(__xludf.DUMMYFUNCTION("""COMPUTED_VALUE"""),3.5061751E7)</f>
        <v>35061751</v>
      </c>
    </row>
    <row r="1359">
      <c r="A1359" s="3">
        <f>IFERROR(__xludf.DUMMYFUNCTION("""COMPUTED_VALUE"""),306.0)</f>
        <v>306</v>
      </c>
      <c r="B1359" s="2" t="str">
        <f>IFERROR(__xludf.DUMMYFUNCTION("""COMPUTED_VALUE"""),"BARISHAL")</f>
        <v>BARISHAL</v>
      </c>
      <c r="C1359" s="4">
        <f>IFERROR(__xludf.DUMMYFUNCTION("""COMPUTED_VALUE"""),35.0)</f>
        <v>35</v>
      </c>
      <c r="D1359" s="2" t="str">
        <f>IFERROR(__xludf.DUMMYFUNCTION("""COMPUTED_VALUE"""),"BANGLADESH KRISHI BANK")</f>
        <v>BANGLADESH KRISHI BANK</v>
      </c>
      <c r="E1359" s="2" t="str">
        <f>IFERROR(__xludf.DUMMYFUNCTION("""COMPUTED_VALUE"""),"RATANPUR")</f>
        <v>RATANPUR</v>
      </c>
      <c r="F1359" s="4">
        <f>IFERROR(__xludf.DUMMYFUNCTION("""COMPUTED_VALUE"""),178.0)</f>
        <v>178</v>
      </c>
      <c r="G1359" s="5">
        <f>IFERROR(__xludf.DUMMYFUNCTION("""COMPUTED_VALUE"""),3.506178E7)</f>
        <v>35061780</v>
      </c>
    </row>
    <row r="1360">
      <c r="A1360" s="3">
        <f>IFERROR(__xludf.DUMMYFUNCTION("""COMPUTED_VALUE"""),306.0)</f>
        <v>306</v>
      </c>
      <c r="B1360" s="2" t="str">
        <f>IFERROR(__xludf.DUMMYFUNCTION("""COMPUTED_VALUE"""),"BARISHAL")</f>
        <v>BARISHAL</v>
      </c>
      <c r="C1360" s="4">
        <f>IFERROR(__xludf.DUMMYFUNCTION("""COMPUTED_VALUE"""),35.0)</f>
        <v>35</v>
      </c>
      <c r="D1360" s="2" t="str">
        <f>IFERROR(__xludf.DUMMYFUNCTION("""COMPUTED_VALUE"""),"BANGLADESH KRISHI BANK")</f>
        <v>BANGLADESH KRISHI BANK</v>
      </c>
      <c r="E1360" s="2" t="str">
        <f>IFERROR(__xludf.DUMMYFUNCTION("""COMPUTED_VALUE"""),"SENERHAT")</f>
        <v>SENERHAT</v>
      </c>
      <c r="F1360" s="4">
        <f>IFERROR(__xludf.DUMMYFUNCTION("""COMPUTED_VALUE"""),190.0)</f>
        <v>190</v>
      </c>
      <c r="G1360" s="5">
        <f>IFERROR(__xludf.DUMMYFUNCTION("""COMPUTED_VALUE"""),3.5061906E7)</f>
        <v>35061906</v>
      </c>
    </row>
    <row r="1361">
      <c r="A1361" s="3">
        <f>IFERROR(__xludf.DUMMYFUNCTION("""COMPUTED_VALUE"""),306.0)</f>
        <v>306</v>
      </c>
      <c r="B1361" s="2" t="str">
        <f>IFERROR(__xludf.DUMMYFUNCTION("""COMPUTED_VALUE"""),"BARISHAL")</f>
        <v>BARISHAL</v>
      </c>
      <c r="C1361" s="4">
        <f>IFERROR(__xludf.DUMMYFUNCTION("""COMPUTED_VALUE"""),35.0)</f>
        <v>35</v>
      </c>
      <c r="D1361" s="2" t="str">
        <f>IFERROR(__xludf.DUMMYFUNCTION("""COMPUTED_VALUE"""),"BANGLADESH KRISHI BANK")</f>
        <v>BANGLADESH KRISHI BANK</v>
      </c>
      <c r="E1361" s="2" t="str">
        <f>IFERROR(__xludf.DUMMYFUNCTION("""COMPUTED_VALUE"""),"SHOLAK")</f>
        <v>SHOLAK</v>
      </c>
      <c r="F1361" s="4">
        <f>IFERROR(__xludf.DUMMYFUNCTION("""COMPUTED_VALUE"""),205.0)</f>
        <v>205</v>
      </c>
      <c r="G1361" s="5">
        <f>IFERROR(__xludf.DUMMYFUNCTION("""COMPUTED_VALUE"""),3.5062055E7)</f>
        <v>35062055</v>
      </c>
    </row>
    <row r="1362">
      <c r="A1362" s="3">
        <f>IFERROR(__xludf.DUMMYFUNCTION("""COMPUTED_VALUE"""),306.0)</f>
        <v>306</v>
      </c>
      <c r="B1362" s="2" t="str">
        <f>IFERROR(__xludf.DUMMYFUNCTION("""COMPUTED_VALUE"""),"BARISHAL")</f>
        <v>BARISHAL</v>
      </c>
      <c r="C1362" s="4">
        <f>IFERROR(__xludf.DUMMYFUNCTION("""COMPUTED_VALUE"""),35.0)</f>
        <v>35</v>
      </c>
      <c r="D1362" s="2" t="str">
        <f>IFERROR(__xludf.DUMMYFUNCTION("""COMPUTED_VALUE"""),"BANGLADESH KRISHI BANK")</f>
        <v>BANGLADESH KRISHI BANK</v>
      </c>
      <c r="E1362" s="2" t="str">
        <f>IFERROR(__xludf.DUMMYFUNCTION("""COMPUTED_VALUE"""),"SUKHINILGANJ")</f>
        <v>SUKHINILGANJ</v>
      </c>
      <c r="F1362" s="4">
        <f>IFERROR(__xludf.DUMMYFUNCTION("""COMPUTED_VALUE"""),211.0)</f>
        <v>211</v>
      </c>
      <c r="G1362" s="5">
        <f>IFERROR(__xludf.DUMMYFUNCTION("""COMPUTED_VALUE"""),3.5062118E7)</f>
        <v>35062118</v>
      </c>
    </row>
    <row r="1363">
      <c r="A1363" s="3">
        <f>IFERROR(__xludf.DUMMYFUNCTION("""COMPUTED_VALUE"""),306.0)</f>
        <v>306</v>
      </c>
      <c r="B1363" s="2" t="str">
        <f>IFERROR(__xludf.DUMMYFUNCTION("""COMPUTED_VALUE"""),"BARISHAL")</f>
        <v>BARISHAL</v>
      </c>
      <c r="C1363" s="4">
        <f>IFERROR(__xludf.DUMMYFUNCTION("""COMPUTED_VALUE"""),35.0)</f>
        <v>35</v>
      </c>
      <c r="D1363" s="2" t="str">
        <f>IFERROR(__xludf.DUMMYFUNCTION("""COMPUTED_VALUE"""),"BANGLADESH KRISHI BANK")</f>
        <v>BANGLADESH KRISHI BANK</v>
      </c>
      <c r="E1363" s="2" t="str">
        <f>IFERROR(__xludf.DUMMYFUNCTION("""COMPUTED_VALUE"""),"TALTALI")</f>
        <v>TALTALI</v>
      </c>
      <c r="F1363" s="4">
        <f>IFERROR(__xludf.DUMMYFUNCTION("""COMPUTED_VALUE"""),214.0)</f>
        <v>214</v>
      </c>
      <c r="G1363" s="5">
        <f>IFERROR(__xludf.DUMMYFUNCTION("""COMPUTED_VALUE"""),3.5062147E7)</f>
        <v>35062147</v>
      </c>
    </row>
    <row r="1364">
      <c r="A1364" s="3">
        <f>IFERROR(__xludf.DUMMYFUNCTION("""COMPUTED_VALUE"""),306.0)</f>
        <v>306</v>
      </c>
      <c r="B1364" s="2" t="str">
        <f>IFERROR(__xludf.DUMMYFUNCTION("""COMPUTED_VALUE"""),"BARISHAL")</f>
        <v>BARISHAL</v>
      </c>
      <c r="C1364" s="4">
        <f>IFERROR(__xludf.DUMMYFUNCTION("""COMPUTED_VALUE"""),35.0)</f>
        <v>35</v>
      </c>
      <c r="D1364" s="2" t="str">
        <f>IFERROR(__xludf.DUMMYFUNCTION("""COMPUTED_VALUE"""),"BANGLADESH KRISHI BANK")</f>
        <v>BANGLADESH KRISHI BANK</v>
      </c>
      <c r="E1364" s="2" t="str">
        <f>IFERROR(__xludf.DUMMYFUNCTION("""COMPUTED_VALUE"""),"ULANIA BAZAR")</f>
        <v>ULANIA BAZAR</v>
      </c>
      <c r="F1364" s="4">
        <f>IFERROR(__xludf.DUMMYFUNCTION("""COMPUTED_VALUE"""),226.0)</f>
        <v>226</v>
      </c>
      <c r="G1364" s="5">
        <f>IFERROR(__xludf.DUMMYFUNCTION("""COMPUTED_VALUE"""),3.5062268E7)</f>
        <v>35062268</v>
      </c>
    </row>
    <row r="1365">
      <c r="A1365" s="3">
        <f>IFERROR(__xludf.DUMMYFUNCTION("""COMPUTED_VALUE"""),306.0)</f>
        <v>306</v>
      </c>
      <c r="B1365" s="2" t="str">
        <f>IFERROR(__xludf.DUMMYFUNCTION("""COMPUTED_VALUE"""),"BARISHAL")</f>
        <v>BARISHAL</v>
      </c>
      <c r="C1365" s="4">
        <f>IFERROR(__xludf.DUMMYFUNCTION("""COMPUTED_VALUE"""),35.0)</f>
        <v>35</v>
      </c>
      <c r="D1365" s="2" t="str">
        <f>IFERROR(__xludf.DUMMYFUNCTION("""COMPUTED_VALUE"""),"BANGLADESH KRISHI BANK")</f>
        <v>BANGLADESH KRISHI BANK</v>
      </c>
      <c r="E1365" s="2" t="str">
        <f>IFERROR(__xludf.DUMMYFUNCTION("""COMPUTED_VALUE"""),"WAZIRPUR")</f>
        <v>WAZIRPUR</v>
      </c>
      <c r="F1365" s="4">
        <f>IFERROR(__xludf.DUMMYFUNCTION("""COMPUTED_VALUE"""),229.0)</f>
        <v>229</v>
      </c>
      <c r="G1365" s="5">
        <f>IFERROR(__xludf.DUMMYFUNCTION("""COMPUTED_VALUE"""),3.5062297E7)</f>
        <v>35062297</v>
      </c>
    </row>
    <row r="1366">
      <c r="A1366" s="3">
        <f>IFERROR(__xludf.DUMMYFUNCTION("""COMPUTED_VALUE"""),309.0)</f>
        <v>309</v>
      </c>
      <c r="B1366" s="2" t="str">
        <f>IFERROR(__xludf.DUMMYFUNCTION("""COMPUTED_VALUE"""),"BHOLA")</f>
        <v>BHOLA</v>
      </c>
      <c r="C1366" s="4">
        <f>IFERROR(__xludf.DUMMYFUNCTION("""COMPUTED_VALUE"""),35.0)</f>
        <v>35</v>
      </c>
      <c r="D1366" s="2" t="str">
        <f>IFERROR(__xludf.DUMMYFUNCTION("""COMPUTED_VALUE"""),"BANGLADESH KRISHI BANK")</f>
        <v>BANGLADESH KRISHI BANK</v>
      </c>
      <c r="E1366" s="2" t="str">
        <f>IFERROR(__xludf.DUMMYFUNCTION("""COMPUTED_VALUE"""),"BHOLA")</f>
        <v>BHOLA</v>
      </c>
      <c r="F1366" s="4">
        <f>IFERROR(__xludf.DUMMYFUNCTION("""COMPUTED_VALUE"""),10.0)</f>
        <v>10</v>
      </c>
      <c r="G1366" s="5">
        <f>IFERROR(__xludf.DUMMYFUNCTION("""COMPUTED_VALUE"""),3.5090106E7)</f>
        <v>35090106</v>
      </c>
    </row>
    <row r="1367">
      <c r="A1367" s="3">
        <f>IFERROR(__xludf.DUMMYFUNCTION("""COMPUTED_VALUE"""),309.0)</f>
        <v>309</v>
      </c>
      <c r="B1367" s="2" t="str">
        <f>IFERROR(__xludf.DUMMYFUNCTION("""COMPUTED_VALUE"""),"BHOLA")</f>
        <v>BHOLA</v>
      </c>
      <c r="C1367" s="4">
        <f>IFERROR(__xludf.DUMMYFUNCTION("""COMPUTED_VALUE"""),35.0)</f>
        <v>35</v>
      </c>
      <c r="D1367" s="2" t="str">
        <f>IFERROR(__xludf.DUMMYFUNCTION("""COMPUTED_VALUE"""),"BANGLADESH KRISHI BANK")</f>
        <v>BANGLADESH KRISHI BANK</v>
      </c>
      <c r="E1367" s="2" t="str">
        <f>IFERROR(__xludf.DUMMYFUNCTION("""COMPUTED_VALUE"""),"BORHANGANJ BAZAR")</f>
        <v>BORHANGANJ BAZAR</v>
      </c>
      <c r="F1367" s="4">
        <f>IFERROR(__xludf.DUMMYFUNCTION("""COMPUTED_VALUE"""),16.0)</f>
        <v>16</v>
      </c>
      <c r="G1367" s="5">
        <f>IFERROR(__xludf.DUMMYFUNCTION("""COMPUTED_VALUE"""),3.5090164E7)</f>
        <v>35090164</v>
      </c>
    </row>
    <row r="1368">
      <c r="A1368" s="3">
        <f>IFERROR(__xludf.DUMMYFUNCTION("""COMPUTED_VALUE"""),309.0)</f>
        <v>309</v>
      </c>
      <c r="B1368" s="2" t="str">
        <f>IFERROR(__xludf.DUMMYFUNCTION("""COMPUTED_VALUE"""),"BHOLA")</f>
        <v>BHOLA</v>
      </c>
      <c r="C1368" s="4">
        <f>IFERROR(__xludf.DUMMYFUNCTION("""COMPUTED_VALUE"""),35.0)</f>
        <v>35</v>
      </c>
      <c r="D1368" s="2" t="str">
        <f>IFERROR(__xludf.DUMMYFUNCTION("""COMPUTED_VALUE"""),"BANGLADESH KRISHI BANK")</f>
        <v>BANGLADESH KRISHI BANK</v>
      </c>
      <c r="E1368" s="2" t="str">
        <f>IFERROR(__xludf.DUMMYFUNCTION("""COMPUTED_VALUE"""),"BORHANUDDIN")</f>
        <v>BORHANUDDIN</v>
      </c>
      <c r="F1368" s="4">
        <f>IFERROR(__xludf.DUMMYFUNCTION("""COMPUTED_VALUE"""),19.0)</f>
        <v>19</v>
      </c>
      <c r="G1368" s="5">
        <f>IFERROR(__xludf.DUMMYFUNCTION("""COMPUTED_VALUE"""),3.5090193E7)</f>
        <v>35090193</v>
      </c>
    </row>
    <row r="1369">
      <c r="A1369" s="3">
        <f>IFERROR(__xludf.DUMMYFUNCTION("""COMPUTED_VALUE"""),309.0)</f>
        <v>309</v>
      </c>
      <c r="B1369" s="2" t="str">
        <f>IFERROR(__xludf.DUMMYFUNCTION("""COMPUTED_VALUE"""),"BHOLA")</f>
        <v>BHOLA</v>
      </c>
      <c r="C1369" s="4">
        <f>IFERROR(__xludf.DUMMYFUNCTION("""COMPUTED_VALUE"""),35.0)</f>
        <v>35</v>
      </c>
      <c r="D1369" s="2" t="str">
        <f>IFERROR(__xludf.DUMMYFUNCTION("""COMPUTED_VALUE"""),"BANGLADESH KRISHI BANK")</f>
        <v>BANGLADESH KRISHI BANK</v>
      </c>
      <c r="E1369" s="2" t="str">
        <f>IFERROR(__xludf.DUMMYFUNCTION("""COMPUTED_VALUE"""),"CHAR FASHION")</f>
        <v>CHAR FASHION</v>
      </c>
      <c r="F1369" s="4">
        <f>IFERROR(__xludf.DUMMYFUNCTION("""COMPUTED_VALUE"""),22.0)</f>
        <v>22</v>
      </c>
      <c r="G1369" s="5">
        <f>IFERROR(__xludf.DUMMYFUNCTION("""COMPUTED_VALUE"""),3.5090227E7)</f>
        <v>35090227</v>
      </c>
    </row>
    <row r="1370">
      <c r="A1370" s="3">
        <f>IFERROR(__xludf.DUMMYFUNCTION("""COMPUTED_VALUE"""),309.0)</f>
        <v>309</v>
      </c>
      <c r="B1370" s="2" t="str">
        <f>IFERROR(__xludf.DUMMYFUNCTION("""COMPUTED_VALUE"""),"BHOLA")</f>
        <v>BHOLA</v>
      </c>
      <c r="C1370" s="4">
        <f>IFERROR(__xludf.DUMMYFUNCTION("""COMPUTED_VALUE"""),35.0)</f>
        <v>35</v>
      </c>
      <c r="D1370" s="2" t="str">
        <f>IFERROR(__xludf.DUMMYFUNCTION("""COMPUTED_VALUE"""),"BANGLADESH KRISHI BANK")</f>
        <v>BANGLADESH KRISHI BANK</v>
      </c>
      <c r="E1370" s="2" t="str">
        <f>IFERROR(__xludf.DUMMYFUNCTION("""COMPUTED_VALUE"""),"DAKHIN AICHABAZAR")</f>
        <v>DAKHIN AICHABAZAR</v>
      </c>
      <c r="F1370" s="4">
        <f>IFERROR(__xludf.DUMMYFUNCTION("""COMPUTED_VALUE"""),31.0)</f>
        <v>31</v>
      </c>
      <c r="G1370" s="5">
        <f>IFERROR(__xludf.DUMMYFUNCTION("""COMPUTED_VALUE"""),3.5090319E7)</f>
        <v>35090319</v>
      </c>
    </row>
    <row r="1371">
      <c r="A1371" s="3">
        <f>IFERROR(__xludf.DUMMYFUNCTION("""COMPUTED_VALUE"""),309.0)</f>
        <v>309</v>
      </c>
      <c r="B1371" s="2" t="str">
        <f>IFERROR(__xludf.DUMMYFUNCTION("""COMPUTED_VALUE"""),"BHOLA")</f>
        <v>BHOLA</v>
      </c>
      <c r="C1371" s="4">
        <f>IFERROR(__xludf.DUMMYFUNCTION("""COMPUTED_VALUE"""),35.0)</f>
        <v>35</v>
      </c>
      <c r="D1371" s="2" t="str">
        <f>IFERROR(__xludf.DUMMYFUNCTION("""COMPUTED_VALUE"""),"BANGLADESH KRISHI BANK")</f>
        <v>BANGLADESH KRISHI BANK</v>
      </c>
      <c r="E1371" s="2" t="str">
        <f>IFERROR(__xludf.DUMMYFUNCTION("""COMPUTED_VALUE"""),"DAULATKHAN")</f>
        <v>DAULATKHAN</v>
      </c>
      <c r="F1371" s="4">
        <f>IFERROR(__xludf.DUMMYFUNCTION("""COMPUTED_VALUE"""),37.0)</f>
        <v>37</v>
      </c>
      <c r="G1371" s="5">
        <f>IFERROR(__xludf.DUMMYFUNCTION("""COMPUTED_VALUE"""),3.5090377E7)</f>
        <v>35090377</v>
      </c>
    </row>
    <row r="1372">
      <c r="A1372" s="3">
        <f>IFERROR(__xludf.DUMMYFUNCTION("""COMPUTED_VALUE"""),309.0)</f>
        <v>309</v>
      </c>
      <c r="B1372" s="2" t="str">
        <f>IFERROR(__xludf.DUMMYFUNCTION("""COMPUTED_VALUE"""),"BHOLA")</f>
        <v>BHOLA</v>
      </c>
      <c r="C1372" s="4">
        <f>IFERROR(__xludf.DUMMYFUNCTION("""COMPUTED_VALUE"""),35.0)</f>
        <v>35</v>
      </c>
      <c r="D1372" s="2" t="str">
        <f>IFERROR(__xludf.DUMMYFUNCTION("""COMPUTED_VALUE"""),"BANGLADESH KRISHI BANK")</f>
        <v>BANGLADESH KRISHI BANK</v>
      </c>
      <c r="E1372" s="2" t="str">
        <f>IFERROR(__xludf.DUMMYFUNCTION("""COMPUTED_VALUE"""),"DULARHAT")</f>
        <v>DULARHAT</v>
      </c>
      <c r="F1372" s="4">
        <f>IFERROR(__xludf.DUMMYFUNCTION("""COMPUTED_VALUE"""),40.0)</f>
        <v>40</v>
      </c>
      <c r="G1372" s="5">
        <f>IFERROR(__xludf.DUMMYFUNCTION("""COMPUTED_VALUE"""),3.5090401E7)</f>
        <v>35090401</v>
      </c>
    </row>
    <row r="1373">
      <c r="A1373" s="3">
        <f>IFERROR(__xludf.DUMMYFUNCTION("""COMPUTED_VALUE"""),309.0)</f>
        <v>309</v>
      </c>
      <c r="B1373" s="2" t="str">
        <f>IFERROR(__xludf.DUMMYFUNCTION("""COMPUTED_VALUE"""),"BHOLA")</f>
        <v>BHOLA</v>
      </c>
      <c r="C1373" s="4">
        <f>IFERROR(__xludf.DUMMYFUNCTION("""COMPUTED_VALUE"""),35.0)</f>
        <v>35</v>
      </c>
      <c r="D1373" s="2" t="str">
        <f>IFERROR(__xludf.DUMMYFUNCTION("""COMPUTED_VALUE"""),"BANGLADESH KRISHI BANK")</f>
        <v>BANGLADESH KRISHI BANK</v>
      </c>
      <c r="E1373" s="2" t="str">
        <f>IFERROR(__xludf.DUMMYFUNCTION("""COMPUTED_VALUE"""),"ILISHAHAT")</f>
        <v>ILISHAHAT</v>
      </c>
      <c r="F1373" s="4">
        <f>IFERROR(__xludf.DUMMYFUNCTION("""COMPUTED_VALUE"""),46.0)</f>
        <v>46</v>
      </c>
      <c r="G1373" s="5">
        <f>IFERROR(__xludf.DUMMYFUNCTION("""COMPUTED_VALUE"""),3.5090469E7)</f>
        <v>35090469</v>
      </c>
    </row>
    <row r="1374">
      <c r="A1374" s="3">
        <f>IFERROR(__xludf.DUMMYFUNCTION("""COMPUTED_VALUE"""),309.0)</f>
        <v>309</v>
      </c>
      <c r="B1374" s="2" t="str">
        <f>IFERROR(__xludf.DUMMYFUNCTION("""COMPUTED_VALUE"""),"BHOLA")</f>
        <v>BHOLA</v>
      </c>
      <c r="C1374" s="4">
        <f>IFERROR(__xludf.DUMMYFUNCTION("""COMPUTED_VALUE"""),35.0)</f>
        <v>35</v>
      </c>
      <c r="D1374" s="2" t="str">
        <f>IFERROR(__xludf.DUMMYFUNCTION("""COMPUTED_VALUE"""),"BANGLADESH KRISHI BANK")</f>
        <v>BANGLADESH KRISHI BANK</v>
      </c>
      <c r="E1374" s="2" t="str">
        <f>IFERROR(__xludf.DUMMYFUNCTION("""COMPUTED_VALUE"""),"JANATA BAZAR")</f>
        <v>JANATA BAZAR</v>
      </c>
      <c r="F1374" s="4">
        <f>IFERROR(__xludf.DUMMYFUNCTION("""COMPUTED_VALUE"""),49.0)</f>
        <v>49</v>
      </c>
      <c r="G1374" s="5">
        <f>IFERROR(__xludf.DUMMYFUNCTION("""COMPUTED_VALUE"""),3.5090498E7)</f>
        <v>35090498</v>
      </c>
    </row>
    <row r="1375">
      <c r="A1375" s="3">
        <f>IFERROR(__xludf.DUMMYFUNCTION("""COMPUTED_VALUE"""),309.0)</f>
        <v>309</v>
      </c>
      <c r="B1375" s="2" t="str">
        <f>IFERROR(__xludf.DUMMYFUNCTION("""COMPUTED_VALUE"""),"BHOLA")</f>
        <v>BHOLA</v>
      </c>
      <c r="C1375" s="4">
        <f>IFERROR(__xludf.DUMMYFUNCTION("""COMPUTED_VALUE"""),35.0)</f>
        <v>35</v>
      </c>
      <c r="D1375" s="2" t="str">
        <f>IFERROR(__xludf.DUMMYFUNCTION("""COMPUTED_VALUE"""),"BANGLADESH KRISHI BANK")</f>
        <v>BANGLADESH KRISHI BANK</v>
      </c>
      <c r="E1375" s="2" t="str">
        <f>IFERROR(__xludf.DUMMYFUNCTION("""COMPUTED_VALUE"""),"KERAMATGANJ BAZAR")</f>
        <v>KERAMATGANJ BAZAR</v>
      </c>
      <c r="F1375" s="4">
        <f>IFERROR(__xludf.DUMMYFUNCTION("""COMPUTED_VALUE"""),58.0)</f>
        <v>58</v>
      </c>
      <c r="G1375" s="5">
        <f>IFERROR(__xludf.DUMMYFUNCTION("""COMPUTED_VALUE"""),3.509058E7)</f>
        <v>35090580</v>
      </c>
    </row>
    <row r="1376">
      <c r="A1376" s="3">
        <f>IFERROR(__xludf.DUMMYFUNCTION("""COMPUTED_VALUE"""),309.0)</f>
        <v>309</v>
      </c>
      <c r="B1376" s="2" t="str">
        <f>IFERROR(__xludf.DUMMYFUNCTION("""COMPUTED_VALUE"""),"BHOLA")</f>
        <v>BHOLA</v>
      </c>
      <c r="C1376" s="4">
        <f>IFERROR(__xludf.DUMMYFUNCTION("""COMPUTED_VALUE"""),35.0)</f>
        <v>35</v>
      </c>
      <c r="D1376" s="2" t="str">
        <f>IFERROR(__xludf.DUMMYFUNCTION("""COMPUTED_VALUE"""),"BANGLADESH KRISHI BANK")</f>
        <v>BANGLADESH KRISHI BANK</v>
      </c>
      <c r="E1376" s="2" t="str">
        <f>IFERROR(__xludf.DUMMYFUNCTION("""COMPUTED_VALUE"""),"KUNJERHAT")</f>
        <v>KUNJERHAT</v>
      </c>
      <c r="F1376" s="4">
        <f>IFERROR(__xludf.DUMMYFUNCTION("""COMPUTED_VALUE"""),64.0)</f>
        <v>64</v>
      </c>
      <c r="G1376" s="5">
        <f>IFERROR(__xludf.DUMMYFUNCTION("""COMPUTED_VALUE"""),3.5090643E7)</f>
        <v>35090643</v>
      </c>
    </row>
    <row r="1377">
      <c r="A1377" s="3">
        <f>IFERROR(__xludf.DUMMYFUNCTION("""COMPUTED_VALUE"""),309.0)</f>
        <v>309</v>
      </c>
      <c r="B1377" s="2" t="str">
        <f>IFERROR(__xludf.DUMMYFUNCTION("""COMPUTED_VALUE"""),"BHOLA")</f>
        <v>BHOLA</v>
      </c>
      <c r="C1377" s="4">
        <f>IFERROR(__xludf.DUMMYFUNCTION("""COMPUTED_VALUE"""),35.0)</f>
        <v>35</v>
      </c>
      <c r="D1377" s="2" t="str">
        <f>IFERROR(__xludf.DUMMYFUNCTION("""COMPUTED_VALUE"""),"BANGLADESH KRISHI BANK")</f>
        <v>BANGLADESH KRISHI BANK</v>
      </c>
      <c r="E1377" s="2" t="str">
        <f>IFERROR(__xludf.DUMMYFUNCTION("""COMPUTED_VALUE"""),"LALMOHAN")</f>
        <v>LALMOHAN</v>
      </c>
      <c r="F1377" s="4">
        <f>IFERROR(__xludf.DUMMYFUNCTION("""COMPUTED_VALUE"""),70.0)</f>
        <v>70</v>
      </c>
      <c r="G1377" s="5">
        <f>IFERROR(__xludf.DUMMYFUNCTION("""COMPUTED_VALUE"""),3.5090706E7)</f>
        <v>35090706</v>
      </c>
    </row>
    <row r="1378">
      <c r="A1378" s="3">
        <f>IFERROR(__xludf.DUMMYFUNCTION("""COMPUTED_VALUE"""),309.0)</f>
        <v>309</v>
      </c>
      <c r="B1378" s="2" t="str">
        <f>IFERROR(__xludf.DUMMYFUNCTION("""COMPUTED_VALUE"""),"BHOLA")</f>
        <v>BHOLA</v>
      </c>
      <c r="C1378" s="4">
        <f>IFERROR(__xludf.DUMMYFUNCTION("""COMPUTED_VALUE"""),35.0)</f>
        <v>35</v>
      </c>
      <c r="D1378" s="2" t="str">
        <f>IFERROR(__xludf.DUMMYFUNCTION("""COMPUTED_VALUE"""),"BANGLADESH KRISHI BANK")</f>
        <v>BANGLADESH KRISHI BANK</v>
      </c>
      <c r="E1378" s="2" t="str">
        <f>IFERROR(__xludf.DUMMYFUNCTION("""COMPUTED_VALUE"""),"LETRA BAZAR")</f>
        <v>LETRA BAZAR</v>
      </c>
      <c r="F1378" s="4">
        <f>IFERROR(__xludf.DUMMYFUNCTION("""COMPUTED_VALUE"""),73.0)</f>
        <v>73</v>
      </c>
      <c r="G1378" s="5">
        <f>IFERROR(__xludf.DUMMYFUNCTION("""COMPUTED_VALUE"""),3.5090735E7)</f>
        <v>35090735</v>
      </c>
    </row>
    <row r="1379">
      <c r="A1379" s="3">
        <f>IFERROR(__xludf.DUMMYFUNCTION("""COMPUTED_VALUE"""),309.0)</f>
        <v>309</v>
      </c>
      <c r="B1379" s="2" t="str">
        <f>IFERROR(__xludf.DUMMYFUNCTION("""COMPUTED_VALUE"""),"BHOLA")</f>
        <v>BHOLA</v>
      </c>
      <c r="C1379" s="4">
        <f>IFERROR(__xludf.DUMMYFUNCTION("""COMPUTED_VALUE"""),35.0)</f>
        <v>35</v>
      </c>
      <c r="D1379" s="2" t="str">
        <f>IFERROR(__xludf.DUMMYFUNCTION("""COMPUTED_VALUE"""),"BANGLADESH KRISHI BANK")</f>
        <v>BANGLADESH KRISHI BANK</v>
      </c>
      <c r="E1379" s="2" t="str">
        <f>IFERROR(__xludf.DUMMYFUNCTION("""COMPUTED_VALUE"""),"MANGAL SIKDER")</f>
        <v>MANGAL SIKDER</v>
      </c>
      <c r="F1379" s="4">
        <f>IFERROR(__xludf.DUMMYFUNCTION("""COMPUTED_VALUE"""),79.0)</f>
        <v>79</v>
      </c>
      <c r="G1379" s="5">
        <f>IFERROR(__xludf.DUMMYFUNCTION("""COMPUTED_VALUE"""),3.5090793E7)</f>
        <v>35090793</v>
      </c>
    </row>
    <row r="1380">
      <c r="A1380" s="3">
        <f>IFERROR(__xludf.DUMMYFUNCTION("""COMPUTED_VALUE"""),309.0)</f>
        <v>309</v>
      </c>
      <c r="B1380" s="2" t="str">
        <f>IFERROR(__xludf.DUMMYFUNCTION("""COMPUTED_VALUE"""),"BHOLA")</f>
        <v>BHOLA</v>
      </c>
      <c r="C1380" s="4">
        <f>IFERROR(__xludf.DUMMYFUNCTION("""COMPUTED_VALUE"""),35.0)</f>
        <v>35</v>
      </c>
      <c r="D1380" s="2" t="str">
        <f>IFERROR(__xludf.DUMMYFUNCTION("""COMPUTED_VALUE"""),"BANGLADESH KRISHI BANK")</f>
        <v>BANGLADESH KRISHI BANK</v>
      </c>
      <c r="E1380" s="2" t="str">
        <f>IFERROR(__xludf.DUMMYFUNCTION("""COMPUTED_VALUE"""),"MANPURA")</f>
        <v>MANPURA</v>
      </c>
      <c r="F1380" s="4">
        <f>IFERROR(__xludf.DUMMYFUNCTION("""COMPUTED_VALUE"""),82.0)</f>
        <v>82</v>
      </c>
      <c r="G1380" s="5">
        <f>IFERROR(__xludf.DUMMYFUNCTION("""COMPUTED_VALUE"""),3.5090827E7)</f>
        <v>35090827</v>
      </c>
    </row>
    <row r="1381">
      <c r="A1381" s="3">
        <f>IFERROR(__xludf.DUMMYFUNCTION("""COMPUTED_VALUE"""),309.0)</f>
        <v>309</v>
      </c>
      <c r="B1381" s="2" t="str">
        <f>IFERROR(__xludf.DUMMYFUNCTION("""COMPUTED_VALUE"""),"BHOLA")</f>
        <v>BHOLA</v>
      </c>
      <c r="C1381" s="4">
        <f>IFERROR(__xludf.DUMMYFUNCTION("""COMPUTED_VALUE"""),35.0)</f>
        <v>35</v>
      </c>
      <c r="D1381" s="2" t="str">
        <f>IFERROR(__xludf.DUMMYFUNCTION("""COMPUTED_VALUE"""),"BANGLADESH KRISHI BANK")</f>
        <v>BANGLADESH KRISHI BANK</v>
      </c>
      <c r="E1381" s="2" t="str">
        <f>IFERROR(__xludf.DUMMYFUNCTION("""COMPUTED_VALUE"""),"RAICHAND")</f>
        <v>RAICHAND</v>
      </c>
      <c r="F1381" s="4">
        <f>IFERROR(__xludf.DUMMYFUNCTION("""COMPUTED_VALUE"""),97.0)</f>
        <v>97</v>
      </c>
      <c r="G1381" s="5">
        <f>IFERROR(__xludf.DUMMYFUNCTION("""COMPUTED_VALUE"""),3.5090977E7)</f>
        <v>35090977</v>
      </c>
    </row>
    <row r="1382">
      <c r="A1382" s="3">
        <f>IFERROR(__xludf.DUMMYFUNCTION("""COMPUTED_VALUE"""),309.0)</f>
        <v>309</v>
      </c>
      <c r="B1382" s="2" t="str">
        <f>IFERROR(__xludf.DUMMYFUNCTION("""COMPUTED_VALUE"""),"BHOLA")</f>
        <v>BHOLA</v>
      </c>
      <c r="C1382" s="4">
        <f>IFERROR(__xludf.DUMMYFUNCTION("""COMPUTED_VALUE"""),35.0)</f>
        <v>35</v>
      </c>
      <c r="D1382" s="2" t="str">
        <f>IFERROR(__xludf.DUMMYFUNCTION("""COMPUTED_VALUE"""),"BANGLADESH KRISHI BANK")</f>
        <v>BANGLADESH KRISHI BANK</v>
      </c>
      <c r="E1382" s="2" t="str">
        <f>IFERROR(__xludf.DUMMYFUNCTION("""COMPUTED_VALUE"""),"TAZUMUDDIN")</f>
        <v>TAZUMUDDIN</v>
      </c>
      <c r="F1382" s="4">
        <f>IFERROR(__xludf.DUMMYFUNCTION("""COMPUTED_VALUE"""),100.0)</f>
        <v>100</v>
      </c>
      <c r="G1382" s="5">
        <f>IFERROR(__xludf.DUMMYFUNCTION("""COMPUTED_VALUE"""),3.5091E7)</f>
        <v>35091000</v>
      </c>
    </row>
    <row r="1383">
      <c r="A1383" s="3">
        <f>IFERROR(__xludf.DUMMYFUNCTION("""COMPUTED_VALUE"""),112.0)</f>
        <v>112</v>
      </c>
      <c r="B1383" s="2" t="str">
        <f>IFERROR(__xludf.DUMMYFUNCTION("""COMPUTED_VALUE"""),"BRAHMANBARIA")</f>
        <v>BRAHMANBARIA</v>
      </c>
      <c r="C1383" s="4">
        <f>IFERROR(__xludf.DUMMYFUNCTION("""COMPUTED_VALUE"""),35.0)</f>
        <v>35</v>
      </c>
      <c r="D1383" s="2" t="str">
        <f>IFERROR(__xludf.DUMMYFUNCTION("""COMPUTED_VALUE"""),"BANGLADESH KRISHI BANK")</f>
        <v>BANGLADESH KRISHI BANK</v>
      </c>
      <c r="E1383" s="2" t="str">
        <f>IFERROR(__xludf.DUMMYFUNCTION("""COMPUTED_VALUE"""),"AKHAURA")</f>
        <v>AKHAURA</v>
      </c>
      <c r="F1383" s="4">
        <f>IFERROR(__xludf.DUMMYFUNCTION("""COMPUTED_VALUE"""),4.0)</f>
        <v>4</v>
      </c>
      <c r="G1383" s="5">
        <f>IFERROR(__xludf.DUMMYFUNCTION("""COMPUTED_VALUE"""),3.5120047E7)</f>
        <v>35120047</v>
      </c>
    </row>
    <row r="1384">
      <c r="A1384" s="3">
        <f>IFERROR(__xludf.DUMMYFUNCTION("""COMPUTED_VALUE"""),112.0)</f>
        <v>112</v>
      </c>
      <c r="B1384" s="2" t="str">
        <f>IFERROR(__xludf.DUMMYFUNCTION("""COMPUTED_VALUE"""),"BRAHMANBARIA")</f>
        <v>BRAHMANBARIA</v>
      </c>
      <c r="C1384" s="4">
        <f>IFERROR(__xludf.DUMMYFUNCTION("""COMPUTED_VALUE"""),35.0)</f>
        <v>35</v>
      </c>
      <c r="D1384" s="2" t="str">
        <f>IFERROR(__xludf.DUMMYFUNCTION("""COMPUTED_VALUE"""),"BANGLADESH KRISHI BANK")</f>
        <v>BANGLADESH KRISHI BANK</v>
      </c>
      <c r="E1384" s="2" t="str">
        <f>IFERROR(__xludf.DUMMYFUNCTION("""COMPUTED_VALUE"""),"SATMORA BAZAR")</f>
        <v>SATMORA BAZAR</v>
      </c>
      <c r="F1384" s="4">
        <f>IFERROR(__xludf.DUMMYFUNCTION("""COMPUTED_VALUE"""),8.0)</f>
        <v>8</v>
      </c>
      <c r="G1384" s="5">
        <f>IFERROR(__xludf.DUMMYFUNCTION("""COMPUTED_VALUE"""),3.5120089E7)</f>
        <v>35120089</v>
      </c>
    </row>
    <row r="1385">
      <c r="A1385" s="3">
        <f>IFERROR(__xludf.DUMMYFUNCTION("""COMPUTED_VALUE"""),112.0)</f>
        <v>112</v>
      </c>
      <c r="B1385" s="2" t="str">
        <f>IFERROR(__xludf.DUMMYFUNCTION("""COMPUTED_VALUE"""),"BRAHMANBARIA")</f>
        <v>BRAHMANBARIA</v>
      </c>
      <c r="C1385" s="4">
        <f>IFERROR(__xludf.DUMMYFUNCTION("""COMPUTED_VALUE"""),35.0)</f>
        <v>35</v>
      </c>
      <c r="D1385" s="2" t="str">
        <f>IFERROR(__xludf.DUMMYFUNCTION("""COMPUTED_VALUE"""),"BANGLADESH KRISHI BANK")</f>
        <v>BANGLADESH KRISHI BANK</v>
      </c>
      <c r="E1385" s="2" t="str">
        <f>IFERROR(__xludf.DUMMYFUNCTION("""COMPUTED_VALUE"""),"ASHUGANJ")</f>
        <v>ASHUGANJ</v>
      </c>
      <c r="F1385" s="4">
        <f>IFERROR(__xludf.DUMMYFUNCTION("""COMPUTED_VALUE"""),10.0)</f>
        <v>10</v>
      </c>
      <c r="G1385" s="5">
        <f>IFERROR(__xludf.DUMMYFUNCTION("""COMPUTED_VALUE"""),3.51201E7)</f>
        <v>35120100</v>
      </c>
    </row>
    <row r="1386">
      <c r="A1386" s="3">
        <f>IFERROR(__xludf.DUMMYFUNCTION("""COMPUTED_VALUE"""),112.0)</f>
        <v>112</v>
      </c>
      <c r="B1386" s="2" t="str">
        <f>IFERROR(__xludf.DUMMYFUNCTION("""COMPUTED_VALUE"""),"BRAHMANBARIA")</f>
        <v>BRAHMANBARIA</v>
      </c>
      <c r="C1386" s="4">
        <f>IFERROR(__xludf.DUMMYFUNCTION("""COMPUTED_VALUE"""),35.0)</f>
        <v>35</v>
      </c>
      <c r="D1386" s="2" t="str">
        <f>IFERROR(__xludf.DUMMYFUNCTION("""COMPUTED_VALUE"""),"BANGLADESH KRISHI BANK")</f>
        <v>BANGLADESH KRISHI BANK</v>
      </c>
      <c r="E1386" s="2" t="str">
        <f>IFERROR(__xludf.DUMMYFUNCTION("""COMPUTED_VALUE"""),"ASTAGRAM")</f>
        <v>ASTAGRAM</v>
      </c>
      <c r="F1386" s="4">
        <f>IFERROR(__xludf.DUMMYFUNCTION("""COMPUTED_VALUE"""),13.0)</f>
        <v>13</v>
      </c>
      <c r="G1386" s="5">
        <f>IFERROR(__xludf.DUMMYFUNCTION("""COMPUTED_VALUE"""),3.5120139E7)</f>
        <v>35120139</v>
      </c>
    </row>
    <row r="1387">
      <c r="A1387" s="3">
        <f>IFERROR(__xludf.DUMMYFUNCTION("""COMPUTED_VALUE"""),112.0)</f>
        <v>112</v>
      </c>
      <c r="B1387" s="2" t="str">
        <f>IFERROR(__xludf.DUMMYFUNCTION("""COMPUTED_VALUE"""),"BRAHMANBARIA")</f>
        <v>BRAHMANBARIA</v>
      </c>
      <c r="C1387" s="4">
        <f>IFERROR(__xludf.DUMMYFUNCTION("""COMPUTED_VALUE"""),35.0)</f>
        <v>35</v>
      </c>
      <c r="D1387" s="2" t="str">
        <f>IFERROR(__xludf.DUMMYFUNCTION("""COMPUTED_VALUE"""),"BANGLADESH KRISHI BANK")</f>
        <v>BANGLADESH KRISHI BANK</v>
      </c>
      <c r="E1387" s="2" t="str">
        <f>IFERROR(__xludf.DUMMYFUNCTION("""COMPUTED_VALUE"""),"AWLIABAZAR")</f>
        <v>AWLIABAZAR</v>
      </c>
      <c r="F1387" s="4">
        <f>IFERROR(__xludf.DUMMYFUNCTION("""COMPUTED_VALUE"""),16.0)</f>
        <v>16</v>
      </c>
      <c r="G1387" s="5">
        <f>IFERROR(__xludf.DUMMYFUNCTION("""COMPUTED_VALUE"""),3.5120168E7)</f>
        <v>35120168</v>
      </c>
    </row>
    <row r="1388">
      <c r="A1388" s="3">
        <f>IFERROR(__xludf.DUMMYFUNCTION("""COMPUTED_VALUE"""),112.0)</f>
        <v>112</v>
      </c>
      <c r="B1388" s="2" t="str">
        <f>IFERROR(__xludf.DUMMYFUNCTION("""COMPUTED_VALUE"""),"BRAHMANBARIA")</f>
        <v>BRAHMANBARIA</v>
      </c>
      <c r="C1388" s="4">
        <f>IFERROR(__xludf.DUMMYFUNCTION("""COMPUTED_VALUE"""),35.0)</f>
        <v>35</v>
      </c>
      <c r="D1388" s="2" t="str">
        <f>IFERROR(__xludf.DUMMYFUNCTION("""COMPUTED_VALUE"""),"BANGLADESH KRISHI BANK")</f>
        <v>BANGLADESH KRISHI BANK</v>
      </c>
      <c r="E1388" s="2" t="str">
        <f>IFERROR(__xludf.DUMMYFUNCTION("""COMPUTED_VALUE"""),"BAISHMOUZA BAZAR")</f>
        <v>BAISHMOUZA BAZAR</v>
      </c>
      <c r="F1388" s="4">
        <f>IFERROR(__xludf.DUMMYFUNCTION("""COMPUTED_VALUE"""),22.0)</f>
        <v>22</v>
      </c>
      <c r="G1388" s="5">
        <f>IFERROR(__xludf.DUMMYFUNCTION("""COMPUTED_VALUE"""),3.5120221E7)</f>
        <v>35120221</v>
      </c>
    </row>
    <row r="1389">
      <c r="A1389" s="3">
        <f>IFERROR(__xludf.DUMMYFUNCTION("""COMPUTED_VALUE"""),112.0)</f>
        <v>112</v>
      </c>
      <c r="B1389" s="2" t="str">
        <f>IFERROR(__xludf.DUMMYFUNCTION("""COMPUTED_VALUE"""),"BRAHMANBARIA")</f>
        <v>BRAHMANBARIA</v>
      </c>
      <c r="C1389" s="4">
        <f>IFERROR(__xludf.DUMMYFUNCTION("""COMPUTED_VALUE"""),35.0)</f>
        <v>35</v>
      </c>
      <c r="D1389" s="2" t="str">
        <f>IFERROR(__xludf.DUMMYFUNCTION("""COMPUTED_VALUE"""),"BANGLADESH KRISHI BANK")</f>
        <v>BANGLADESH KRISHI BANK</v>
      </c>
      <c r="E1389" s="2" t="str">
        <f>IFERROR(__xludf.DUMMYFUNCTION("""COMPUTED_VALUE"""),"BANCHARAMPUR")</f>
        <v>BANCHARAMPUR</v>
      </c>
      <c r="F1389" s="4">
        <f>IFERROR(__xludf.DUMMYFUNCTION("""COMPUTED_VALUE"""),25.0)</f>
        <v>25</v>
      </c>
      <c r="G1389" s="5">
        <f>IFERROR(__xludf.DUMMYFUNCTION("""COMPUTED_VALUE"""),3.512025E7)</f>
        <v>35120250</v>
      </c>
    </row>
    <row r="1390">
      <c r="A1390" s="3">
        <f>IFERROR(__xludf.DUMMYFUNCTION("""COMPUTED_VALUE"""),112.0)</f>
        <v>112</v>
      </c>
      <c r="B1390" s="2" t="str">
        <f>IFERROR(__xludf.DUMMYFUNCTION("""COMPUTED_VALUE"""),"BRAHMANBARIA")</f>
        <v>BRAHMANBARIA</v>
      </c>
      <c r="C1390" s="4">
        <f>IFERROR(__xludf.DUMMYFUNCTION("""COMPUTED_VALUE"""),35.0)</f>
        <v>35</v>
      </c>
      <c r="D1390" s="2" t="str">
        <f>IFERROR(__xludf.DUMMYFUNCTION("""COMPUTED_VALUE"""),"BANGLADESH KRISHI BANK")</f>
        <v>BANGLADESH KRISHI BANK</v>
      </c>
      <c r="E1390" s="2" t="str">
        <f>IFERROR(__xludf.DUMMYFUNCTION("""COMPUTED_VALUE"""),"BRAHMANBARIA")</f>
        <v>BRAHMANBARIA</v>
      </c>
      <c r="F1390" s="4">
        <f>IFERROR(__xludf.DUMMYFUNCTION("""COMPUTED_VALUE"""),43.0)</f>
        <v>43</v>
      </c>
      <c r="G1390" s="5">
        <f>IFERROR(__xludf.DUMMYFUNCTION("""COMPUTED_VALUE"""),3.5120434E7)</f>
        <v>35120434</v>
      </c>
    </row>
    <row r="1391">
      <c r="A1391" s="3">
        <f>IFERROR(__xludf.DUMMYFUNCTION("""COMPUTED_VALUE"""),112.0)</f>
        <v>112</v>
      </c>
      <c r="B1391" s="2" t="str">
        <f>IFERROR(__xludf.DUMMYFUNCTION("""COMPUTED_VALUE"""),"BRAHMANBARIA")</f>
        <v>BRAHMANBARIA</v>
      </c>
      <c r="C1391" s="4">
        <f>IFERROR(__xludf.DUMMYFUNCTION("""COMPUTED_VALUE"""),35.0)</f>
        <v>35</v>
      </c>
      <c r="D1391" s="2" t="str">
        <f>IFERROR(__xludf.DUMMYFUNCTION("""COMPUTED_VALUE"""),"BANGLADESH KRISHI BANK")</f>
        <v>BANGLADESH KRISHI BANK</v>
      </c>
      <c r="E1391" s="2" t="str">
        <f>IFERROR(__xludf.DUMMYFUNCTION("""COMPUTED_VALUE"""),"CHAIARKURI BAZAR")</f>
        <v>CHAIARKURI BAZAR</v>
      </c>
      <c r="F1391" s="4">
        <f>IFERROR(__xludf.DUMMYFUNCTION("""COMPUTED_VALUE"""),49.0)</f>
        <v>49</v>
      </c>
      <c r="G1391" s="5">
        <f>IFERROR(__xludf.DUMMYFUNCTION("""COMPUTED_VALUE"""),3.5120492E7)</f>
        <v>35120492</v>
      </c>
    </row>
    <row r="1392">
      <c r="A1392" s="3">
        <f>IFERROR(__xludf.DUMMYFUNCTION("""COMPUTED_VALUE"""),112.0)</f>
        <v>112</v>
      </c>
      <c r="B1392" s="2" t="str">
        <f>IFERROR(__xludf.DUMMYFUNCTION("""COMPUTED_VALUE"""),"BRAHMANBARIA")</f>
        <v>BRAHMANBARIA</v>
      </c>
      <c r="C1392" s="4">
        <f>IFERROR(__xludf.DUMMYFUNCTION("""COMPUTED_VALUE"""),35.0)</f>
        <v>35</v>
      </c>
      <c r="D1392" s="2" t="str">
        <f>IFERROR(__xludf.DUMMYFUNCTION("""COMPUTED_VALUE"""),"BANGLADESH KRISHI BANK")</f>
        <v>BANGLADESH KRISHI BANK</v>
      </c>
      <c r="E1392" s="2" t="str">
        <f>IFERROR(__xludf.DUMMYFUNCTION("""COMPUTED_VALUE"""),"CHANDURA")</f>
        <v>CHANDURA</v>
      </c>
      <c r="F1392" s="4">
        <f>IFERROR(__xludf.DUMMYFUNCTION("""COMPUTED_VALUE"""),55.0)</f>
        <v>55</v>
      </c>
      <c r="G1392" s="5">
        <f>IFERROR(__xludf.DUMMYFUNCTION("""COMPUTED_VALUE"""),3.5120555E7)</f>
        <v>35120555</v>
      </c>
    </row>
    <row r="1393">
      <c r="A1393" s="3">
        <f>IFERROR(__xludf.DUMMYFUNCTION("""COMPUTED_VALUE"""),112.0)</f>
        <v>112</v>
      </c>
      <c r="B1393" s="2" t="str">
        <f>IFERROR(__xludf.DUMMYFUNCTION("""COMPUTED_VALUE"""),"BRAHMANBARIA")</f>
        <v>BRAHMANBARIA</v>
      </c>
      <c r="C1393" s="4">
        <f>IFERROR(__xludf.DUMMYFUNCTION("""COMPUTED_VALUE"""),35.0)</f>
        <v>35</v>
      </c>
      <c r="D1393" s="2" t="str">
        <f>IFERROR(__xludf.DUMMYFUNCTION("""COMPUTED_VALUE"""),"BANGLADESH KRISHI BANK")</f>
        <v>BANGLADESH KRISHI BANK</v>
      </c>
      <c r="E1393" s="2" t="str">
        <f>IFERROR(__xludf.DUMMYFUNCTION("""COMPUTED_VALUE"""),"CHARGACH BAZAR")</f>
        <v>CHARGACH BAZAR</v>
      </c>
      <c r="F1393" s="4">
        <f>IFERROR(__xludf.DUMMYFUNCTION("""COMPUTED_VALUE"""),61.0)</f>
        <v>61</v>
      </c>
      <c r="G1393" s="5">
        <f>IFERROR(__xludf.DUMMYFUNCTION("""COMPUTED_VALUE"""),3.5120618E7)</f>
        <v>35120618</v>
      </c>
    </row>
    <row r="1394">
      <c r="A1394" s="3">
        <f>IFERROR(__xludf.DUMMYFUNCTION("""COMPUTED_VALUE"""),112.0)</f>
        <v>112</v>
      </c>
      <c r="B1394" s="2" t="str">
        <f>IFERROR(__xludf.DUMMYFUNCTION("""COMPUTED_VALUE"""),"BRAHMANBARIA")</f>
        <v>BRAHMANBARIA</v>
      </c>
      <c r="C1394" s="4">
        <f>IFERROR(__xludf.DUMMYFUNCTION("""COMPUTED_VALUE"""),35.0)</f>
        <v>35</v>
      </c>
      <c r="D1394" s="2" t="str">
        <f>IFERROR(__xludf.DUMMYFUNCTION("""COMPUTED_VALUE"""),"BANGLADESH KRISHI BANK")</f>
        <v>BANGLADESH KRISHI BANK</v>
      </c>
      <c r="E1394" s="2" t="str">
        <f>IFERROR(__xludf.DUMMYFUNCTION("""COMPUTED_VALUE"""),"CHATALPAR")</f>
        <v>CHATALPAR</v>
      </c>
      <c r="F1394" s="4">
        <f>IFERROR(__xludf.DUMMYFUNCTION("""COMPUTED_VALUE"""),64.0)</f>
        <v>64</v>
      </c>
      <c r="G1394" s="5">
        <f>IFERROR(__xludf.DUMMYFUNCTION("""COMPUTED_VALUE"""),3.5120647E7)</f>
        <v>35120647</v>
      </c>
    </row>
    <row r="1395">
      <c r="A1395" s="3">
        <f>IFERROR(__xludf.DUMMYFUNCTION("""COMPUTED_VALUE"""),112.0)</f>
        <v>112</v>
      </c>
      <c r="B1395" s="2" t="str">
        <f>IFERROR(__xludf.DUMMYFUNCTION("""COMPUTED_VALUE"""),"BRAHMANBARIA")</f>
        <v>BRAHMANBARIA</v>
      </c>
      <c r="C1395" s="4">
        <f>IFERROR(__xludf.DUMMYFUNCTION("""COMPUTED_VALUE"""),35.0)</f>
        <v>35</v>
      </c>
      <c r="D1395" s="2" t="str">
        <f>IFERROR(__xludf.DUMMYFUNCTION("""COMPUTED_VALUE"""),"BANGLADESH KRISHI BANK")</f>
        <v>BANGLADESH KRISHI BANK</v>
      </c>
      <c r="E1395" s="2" t="str">
        <f>IFERROR(__xludf.DUMMYFUNCTION("""COMPUTED_VALUE"""),"GOPINATHPUR")</f>
        <v>GOPINATHPUR</v>
      </c>
      <c r="F1395" s="4">
        <f>IFERROR(__xludf.DUMMYFUNCTION("""COMPUTED_VALUE"""),82.0)</f>
        <v>82</v>
      </c>
      <c r="G1395" s="5">
        <f>IFERROR(__xludf.DUMMYFUNCTION("""COMPUTED_VALUE"""),3.5120821E7)</f>
        <v>35120821</v>
      </c>
    </row>
    <row r="1396">
      <c r="A1396" s="3">
        <f>IFERROR(__xludf.DUMMYFUNCTION("""COMPUTED_VALUE"""),112.0)</f>
        <v>112</v>
      </c>
      <c r="B1396" s="2" t="str">
        <f>IFERROR(__xludf.DUMMYFUNCTION("""COMPUTED_VALUE"""),"BRAHMANBARIA")</f>
        <v>BRAHMANBARIA</v>
      </c>
      <c r="C1396" s="4">
        <f>IFERROR(__xludf.DUMMYFUNCTION("""COMPUTED_VALUE"""),35.0)</f>
        <v>35</v>
      </c>
      <c r="D1396" s="2" t="str">
        <f>IFERROR(__xludf.DUMMYFUNCTION("""COMPUTED_VALUE"""),"BANGLADESH KRISHI BANK")</f>
        <v>BANGLADESH KRISHI BANK</v>
      </c>
      <c r="E1396" s="2" t="str">
        <f>IFERROR(__xludf.DUMMYFUNCTION("""COMPUTED_VALUE"""),"GOSHAIPUR")</f>
        <v>GOSHAIPUR</v>
      </c>
      <c r="F1396" s="4">
        <f>IFERROR(__xludf.DUMMYFUNCTION("""COMPUTED_VALUE"""),85.0)</f>
        <v>85</v>
      </c>
      <c r="G1396" s="5">
        <f>IFERROR(__xludf.DUMMYFUNCTION("""COMPUTED_VALUE"""),3.512085E7)</f>
        <v>35120850</v>
      </c>
    </row>
    <row r="1397">
      <c r="A1397" s="3">
        <f>IFERROR(__xludf.DUMMYFUNCTION("""COMPUTED_VALUE"""),112.0)</f>
        <v>112</v>
      </c>
      <c r="B1397" s="2" t="str">
        <f>IFERROR(__xludf.DUMMYFUNCTION("""COMPUTED_VALUE"""),"BRAHMANBARIA")</f>
        <v>BRAHMANBARIA</v>
      </c>
      <c r="C1397" s="4">
        <f>IFERROR(__xludf.DUMMYFUNCTION("""COMPUTED_VALUE"""),35.0)</f>
        <v>35</v>
      </c>
      <c r="D1397" s="2" t="str">
        <f>IFERROR(__xludf.DUMMYFUNCTION("""COMPUTED_VALUE"""),"BANGLADESH KRISHI BANK")</f>
        <v>BANGLADESH KRISHI BANK</v>
      </c>
      <c r="E1397" s="2" t="str">
        <f>IFERROR(__xludf.DUMMYFUNCTION("""COMPUTED_VALUE"""),"JIBANGANJ BAZAR")</f>
        <v>JIBANGANJ BAZAR</v>
      </c>
      <c r="F1397" s="4">
        <f>IFERROR(__xludf.DUMMYFUNCTION("""COMPUTED_VALUE"""),94.0)</f>
        <v>94</v>
      </c>
      <c r="G1397" s="5">
        <f>IFERROR(__xludf.DUMMYFUNCTION("""COMPUTED_VALUE"""),3.5120942E7)</f>
        <v>35120942</v>
      </c>
    </row>
    <row r="1398">
      <c r="A1398" s="3">
        <f>IFERROR(__xludf.DUMMYFUNCTION("""COMPUTED_VALUE"""),112.0)</f>
        <v>112</v>
      </c>
      <c r="B1398" s="2" t="str">
        <f>IFERROR(__xludf.DUMMYFUNCTION("""COMPUTED_VALUE"""),"BRAHMANBARIA")</f>
        <v>BRAHMANBARIA</v>
      </c>
      <c r="C1398" s="4">
        <f>IFERROR(__xludf.DUMMYFUNCTION("""COMPUTED_VALUE"""),35.0)</f>
        <v>35</v>
      </c>
      <c r="D1398" s="2" t="str">
        <f>IFERROR(__xludf.DUMMYFUNCTION("""COMPUTED_VALUE"""),"BANGLADESH KRISHI BANK")</f>
        <v>BANGLADESH KRISHI BANK</v>
      </c>
      <c r="E1398" s="2" t="str">
        <f>IFERROR(__xludf.DUMMYFUNCTION("""COMPUTED_VALUE"""),"KAITALA")</f>
        <v>KAITALA</v>
      </c>
      <c r="F1398" s="4">
        <f>IFERROR(__xludf.DUMMYFUNCTION("""COMPUTED_VALUE"""),97.0)</f>
        <v>97</v>
      </c>
      <c r="G1398" s="5">
        <f>IFERROR(__xludf.DUMMYFUNCTION("""COMPUTED_VALUE"""),3.5120971E7)</f>
        <v>35120971</v>
      </c>
    </row>
    <row r="1399">
      <c r="A1399" s="3">
        <f>IFERROR(__xludf.DUMMYFUNCTION("""COMPUTED_VALUE"""),112.0)</f>
        <v>112</v>
      </c>
      <c r="B1399" s="2" t="str">
        <f>IFERROR(__xludf.DUMMYFUNCTION("""COMPUTED_VALUE"""),"BRAHMANBARIA")</f>
        <v>BRAHMANBARIA</v>
      </c>
      <c r="C1399" s="4">
        <f>IFERROR(__xludf.DUMMYFUNCTION("""COMPUTED_VALUE"""),35.0)</f>
        <v>35</v>
      </c>
      <c r="D1399" s="2" t="str">
        <f>IFERROR(__xludf.DUMMYFUNCTION("""COMPUTED_VALUE"""),"BANGLADESH KRISHI BANK")</f>
        <v>BANGLADESH KRISHI BANK</v>
      </c>
      <c r="E1399" s="2" t="str">
        <f>IFERROR(__xludf.DUMMYFUNCTION("""COMPUTED_VALUE"""),"KALIKATCHA")</f>
        <v>KALIKATCHA</v>
      </c>
      <c r="F1399" s="4">
        <f>IFERROR(__xludf.DUMMYFUNCTION("""COMPUTED_VALUE"""),100.0)</f>
        <v>100</v>
      </c>
      <c r="G1399" s="5">
        <f>IFERROR(__xludf.DUMMYFUNCTION("""COMPUTED_VALUE"""),3.5121004E7)</f>
        <v>35121004</v>
      </c>
    </row>
    <row r="1400">
      <c r="A1400" s="3">
        <f>IFERROR(__xludf.DUMMYFUNCTION("""COMPUTED_VALUE"""),112.0)</f>
        <v>112</v>
      </c>
      <c r="B1400" s="2" t="str">
        <f>IFERROR(__xludf.DUMMYFUNCTION("""COMPUTED_VALUE"""),"BRAHMANBARIA")</f>
        <v>BRAHMANBARIA</v>
      </c>
      <c r="C1400" s="4">
        <f>IFERROR(__xludf.DUMMYFUNCTION("""COMPUTED_VALUE"""),35.0)</f>
        <v>35</v>
      </c>
      <c r="D1400" s="2" t="str">
        <f>IFERROR(__xludf.DUMMYFUNCTION("""COMPUTED_VALUE"""),"BANGLADESH KRISHI BANK")</f>
        <v>BANGLADESH KRISHI BANK</v>
      </c>
      <c r="E1400" s="2" t="str">
        <f>IFERROR(__xludf.DUMMYFUNCTION("""COMPUTED_VALUE"""),"KASBA")</f>
        <v>KASBA</v>
      </c>
      <c r="F1400" s="4">
        <f>IFERROR(__xludf.DUMMYFUNCTION("""COMPUTED_VALUE"""),103.0)</f>
        <v>103</v>
      </c>
      <c r="G1400" s="5">
        <f>IFERROR(__xludf.DUMMYFUNCTION("""COMPUTED_VALUE"""),3.5121033E7)</f>
        <v>35121033</v>
      </c>
    </row>
    <row r="1401">
      <c r="A1401" s="3">
        <f>IFERROR(__xludf.DUMMYFUNCTION("""COMPUTED_VALUE"""),112.0)</f>
        <v>112</v>
      </c>
      <c r="B1401" s="2" t="str">
        <f>IFERROR(__xludf.DUMMYFUNCTION("""COMPUTED_VALUE"""),"BRAHMANBARIA")</f>
        <v>BRAHMANBARIA</v>
      </c>
      <c r="C1401" s="4">
        <f>IFERROR(__xludf.DUMMYFUNCTION("""COMPUTED_VALUE"""),35.0)</f>
        <v>35</v>
      </c>
      <c r="D1401" s="2" t="str">
        <f>IFERROR(__xludf.DUMMYFUNCTION("""COMPUTED_VALUE"""),"BANGLADESH KRISHI BANK")</f>
        <v>BANGLADESH KRISHI BANK</v>
      </c>
      <c r="E1401" s="2" t="str">
        <f>IFERROR(__xludf.DUMMYFUNCTION("""COMPUTED_VALUE"""),"KUTI BAZAR")</f>
        <v>KUTI BAZAR</v>
      </c>
      <c r="F1401" s="4">
        <f>IFERROR(__xludf.DUMMYFUNCTION("""COMPUTED_VALUE"""),109.0)</f>
        <v>109</v>
      </c>
      <c r="G1401" s="5">
        <f>IFERROR(__xludf.DUMMYFUNCTION("""COMPUTED_VALUE"""),3.5121091E7)</f>
        <v>35121091</v>
      </c>
    </row>
    <row r="1402">
      <c r="A1402" s="3">
        <f>IFERROR(__xludf.DUMMYFUNCTION("""COMPUTED_VALUE"""),112.0)</f>
        <v>112</v>
      </c>
      <c r="B1402" s="2" t="str">
        <f>IFERROR(__xludf.DUMMYFUNCTION("""COMPUTED_VALUE"""),"BRAHMANBARIA")</f>
        <v>BRAHMANBARIA</v>
      </c>
      <c r="C1402" s="4">
        <f>IFERROR(__xludf.DUMMYFUNCTION("""COMPUTED_VALUE"""),35.0)</f>
        <v>35</v>
      </c>
      <c r="D1402" s="2" t="str">
        <f>IFERROR(__xludf.DUMMYFUNCTION("""COMPUTED_VALUE"""),"BANGLADESH KRISHI BANK")</f>
        <v>BANGLADESH KRISHI BANK</v>
      </c>
      <c r="E1402" s="2" t="str">
        <f>IFERROR(__xludf.DUMMYFUNCTION("""COMPUTED_VALUE"""),"LALPUR BAZAR")</f>
        <v>LALPUR BAZAR</v>
      </c>
      <c r="F1402" s="4">
        <f>IFERROR(__xludf.DUMMYFUNCTION("""COMPUTED_VALUE"""),115.0)</f>
        <v>115</v>
      </c>
      <c r="G1402" s="5">
        <f>IFERROR(__xludf.DUMMYFUNCTION("""COMPUTED_VALUE"""),3.5121154E7)</f>
        <v>35121154</v>
      </c>
    </row>
    <row r="1403">
      <c r="A1403" s="3">
        <f>IFERROR(__xludf.DUMMYFUNCTION("""COMPUTED_VALUE"""),112.0)</f>
        <v>112</v>
      </c>
      <c r="B1403" s="2" t="str">
        <f>IFERROR(__xludf.DUMMYFUNCTION("""COMPUTED_VALUE"""),"BRAHMANBARIA")</f>
        <v>BRAHMANBARIA</v>
      </c>
      <c r="C1403" s="4">
        <f>IFERROR(__xludf.DUMMYFUNCTION("""COMPUTED_VALUE"""),35.0)</f>
        <v>35</v>
      </c>
      <c r="D1403" s="2" t="str">
        <f>IFERROR(__xludf.DUMMYFUNCTION("""COMPUTED_VALUE"""),"BANGLADESH KRISHI BANK")</f>
        <v>BANGLADESH KRISHI BANK</v>
      </c>
      <c r="E1403" s="2" t="str">
        <f>IFERROR(__xludf.DUMMYFUNCTION("""COMPUTED_VALUE"""),"LAURFATEPUR")</f>
        <v>LAURFATEPUR</v>
      </c>
      <c r="F1403" s="4">
        <f>IFERROR(__xludf.DUMMYFUNCTION("""COMPUTED_VALUE"""),118.0)</f>
        <v>118</v>
      </c>
      <c r="G1403" s="5">
        <f>IFERROR(__xludf.DUMMYFUNCTION("""COMPUTED_VALUE"""),3.5121183E7)</f>
        <v>35121183</v>
      </c>
    </row>
    <row r="1404">
      <c r="A1404" s="3">
        <f>IFERROR(__xludf.DUMMYFUNCTION("""COMPUTED_VALUE"""),112.0)</f>
        <v>112</v>
      </c>
      <c r="B1404" s="2" t="str">
        <f>IFERROR(__xludf.DUMMYFUNCTION("""COMPUTED_VALUE"""),"BRAHMANBARIA")</f>
        <v>BRAHMANBARIA</v>
      </c>
      <c r="C1404" s="4">
        <f>IFERROR(__xludf.DUMMYFUNCTION("""COMPUTED_VALUE"""),35.0)</f>
        <v>35</v>
      </c>
      <c r="D1404" s="2" t="str">
        <f>IFERROR(__xludf.DUMMYFUNCTION("""COMPUTED_VALUE"""),"BANGLADESH KRISHI BANK")</f>
        <v>BANGLADESH KRISHI BANK</v>
      </c>
      <c r="E1404" s="2" t="str">
        <f>IFERROR(__xludf.DUMMYFUNCTION("""COMPUTED_VALUE"""),"BISHWAROAD")</f>
        <v>BISHWAROAD</v>
      </c>
      <c r="F1404" s="4">
        <f>IFERROR(__xludf.DUMMYFUNCTION("""COMPUTED_VALUE"""),121.0)</f>
        <v>121</v>
      </c>
      <c r="G1404" s="5">
        <f>IFERROR(__xludf.DUMMYFUNCTION("""COMPUTED_VALUE"""),3.5121217E7)</f>
        <v>35121217</v>
      </c>
    </row>
    <row r="1405">
      <c r="A1405" s="3">
        <f>IFERROR(__xludf.DUMMYFUNCTION("""COMPUTED_VALUE"""),112.0)</f>
        <v>112</v>
      </c>
      <c r="B1405" s="2" t="str">
        <f>IFERROR(__xludf.DUMMYFUNCTION("""COMPUTED_VALUE"""),"BRAHMANBARIA")</f>
        <v>BRAHMANBARIA</v>
      </c>
      <c r="C1405" s="4">
        <f>IFERROR(__xludf.DUMMYFUNCTION("""COMPUTED_VALUE"""),35.0)</f>
        <v>35</v>
      </c>
      <c r="D1405" s="2" t="str">
        <f>IFERROR(__xludf.DUMMYFUNCTION("""COMPUTED_VALUE"""),"BANGLADESH KRISHI BANK")</f>
        <v>BANGLADESH KRISHI BANK</v>
      </c>
      <c r="E1405" s="2" t="str">
        <f>IFERROR(__xludf.DUMMYFUNCTION("""COMPUTED_VALUE"""),"SOYFULLAHKANDI BAZAR")</f>
        <v>SOYFULLAHKANDI BAZAR</v>
      </c>
      <c r="F1405" s="4">
        <f>IFERROR(__xludf.DUMMYFUNCTION("""COMPUTED_VALUE"""),130.0)</f>
        <v>130</v>
      </c>
      <c r="G1405" s="5">
        <f>IFERROR(__xludf.DUMMYFUNCTION("""COMPUTED_VALUE"""),3.5121309E7)</f>
        <v>35121309</v>
      </c>
    </row>
    <row r="1406">
      <c r="A1406" s="3">
        <f>IFERROR(__xludf.DUMMYFUNCTION("""COMPUTED_VALUE"""),112.0)</f>
        <v>112</v>
      </c>
      <c r="B1406" s="2" t="str">
        <f>IFERROR(__xludf.DUMMYFUNCTION("""COMPUTED_VALUE"""),"BRAHMANBARIA")</f>
        <v>BRAHMANBARIA</v>
      </c>
      <c r="C1406" s="4">
        <f>IFERROR(__xludf.DUMMYFUNCTION("""COMPUTED_VALUE"""),35.0)</f>
        <v>35</v>
      </c>
      <c r="D1406" s="2" t="str">
        <f>IFERROR(__xludf.DUMMYFUNCTION("""COMPUTED_VALUE"""),"BANGLADESH KRISHI BANK")</f>
        <v>BANGLADESH KRISHI BANK</v>
      </c>
      <c r="E1406" s="2" t="str">
        <f>IFERROR(__xludf.DUMMYFUNCTION("""COMPUTED_VALUE"""),"NABINAGAR")</f>
        <v>NABINAGAR</v>
      </c>
      <c r="F1406" s="4">
        <f>IFERROR(__xludf.DUMMYFUNCTION("""COMPUTED_VALUE"""),136.0)</f>
        <v>136</v>
      </c>
      <c r="G1406" s="5">
        <f>IFERROR(__xludf.DUMMYFUNCTION("""COMPUTED_VALUE"""),3.5121367E7)</f>
        <v>35121367</v>
      </c>
    </row>
    <row r="1407">
      <c r="A1407" s="3">
        <f>IFERROR(__xludf.DUMMYFUNCTION("""COMPUTED_VALUE"""),112.0)</f>
        <v>112</v>
      </c>
      <c r="B1407" s="2" t="str">
        <f>IFERROR(__xludf.DUMMYFUNCTION("""COMPUTED_VALUE"""),"BRAHMANBARIA")</f>
        <v>BRAHMANBARIA</v>
      </c>
      <c r="C1407" s="4">
        <f>IFERROR(__xludf.DUMMYFUNCTION("""COMPUTED_VALUE"""),35.0)</f>
        <v>35</v>
      </c>
      <c r="D1407" s="2" t="str">
        <f>IFERROR(__xludf.DUMMYFUNCTION("""COMPUTED_VALUE"""),"BANGLADESH KRISHI BANK")</f>
        <v>BANGLADESH KRISHI BANK</v>
      </c>
      <c r="E1407" s="2" t="str">
        <f>IFERROR(__xludf.DUMMYFUNCTION("""COMPUTED_VALUE"""),"NASIR NAGAR")</f>
        <v>NASIR NAGAR</v>
      </c>
      <c r="F1407" s="4">
        <f>IFERROR(__xludf.DUMMYFUNCTION("""COMPUTED_VALUE"""),139.0)</f>
        <v>139</v>
      </c>
      <c r="G1407" s="5">
        <f>IFERROR(__xludf.DUMMYFUNCTION("""COMPUTED_VALUE"""),3.5121396E7)</f>
        <v>35121396</v>
      </c>
    </row>
    <row r="1408">
      <c r="A1408" s="3">
        <f>IFERROR(__xludf.DUMMYFUNCTION("""COMPUTED_VALUE"""),112.0)</f>
        <v>112</v>
      </c>
      <c r="B1408" s="2" t="str">
        <f>IFERROR(__xludf.DUMMYFUNCTION("""COMPUTED_VALUE"""),"BRAHMANBARIA")</f>
        <v>BRAHMANBARIA</v>
      </c>
      <c r="C1408" s="4">
        <f>IFERROR(__xludf.DUMMYFUNCTION("""COMPUTED_VALUE"""),35.0)</f>
        <v>35</v>
      </c>
      <c r="D1408" s="2" t="str">
        <f>IFERROR(__xludf.DUMMYFUNCTION("""COMPUTED_VALUE"""),"BANGLADESH KRISHI BANK")</f>
        <v>BANGLADESH KRISHI BANK</v>
      </c>
      <c r="E1408" s="2" t="str">
        <f>IFERROR(__xludf.DUMMYFUNCTION("""COMPUTED_VALUE"""),"NURPUR BAZAR")</f>
        <v>NURPUR BAZAR</v>
      </c>
      <c r="F1408" s="4">
        <f>IFERROR(__xludf.DUMMYFUNCTION("""COMPUTED_VALUE"""),148.0)</f>
        <v>148</v>
      </c>
      <c r="G1408" s="5">
        <f>IFERROR(__xludf.DUMMYFUNCTION("""COMPUTED_VALUE"""),3.5121488E7)</f>
        <v>35121488</v>
      </c>
    </row>
    <row r="1409">
      <c r="A1409" s="3">
        <f>IFERROR(__xludf.DUMMYFUNCTION("""COMPUTED_VALUE"""),112.0)</f>
        <v>112</v>
      </c>
      <c r="B1409" s="2" t="str">
        <f>IFERROR(__xludf.DUMMYFUNCTION("""COMPUTED_VALUE"""),"BRAHMANBARIA")</f>
        <v>BRAHMANBARIA</v>
      </c>
      <c r="C1409" s="4">
        <f>IFERROR(__xludf.DUMMYFUNCTION("""COMPUTED_VALUE"""),35.0)</f>
        <v>35</v>
      </c>
      <c r="D1409" s="2" t="str">
        <f>IFERROR(__xludf.DUMMYFUNCTION("""COMPUTED_VALUE"""),"BANGLADESH KRISHI BANK")</f>
        <v>BANGLADESH KRISHI BANK</v>
      </c>
      <c r="E1409" s="2" t="str">
        <f>IFERROR(__xludf.DUMMYFUNCTION("""COMPUTED_VALUE"""),"SARAIL")</f>
        <v>SARAIL</v>
      </c>
      <c r="F1409" s="4">
        <f>IFERROR(__xludf.DUMMYFUNCTION("""COMPUTED_VALUE"""),160.0)</f>
        <v>160</v>
      </c>
      <c r="G1409" s="5">
        <f>IFERROR(__xludf.DUMMYFUNCTION("""COMPUTED_VALUE"""),3.5121604E7)</f>
        <v>35121604</v>
      </c>
    </row>
    <row r="1410">
      <c r="A1410" s="3">
        <f>IFERROR(__xludf.DUMMYFUNCTION("""COMPUTED_VALUE"""),112.0)</f>
        <v>112</v>
      </c>
      <c r="B1410" s="2" t="str">
        <f>IFERROR(__xludf.DUMMYFUNCTION("""COMPUTED_VALUE"""),"BRAHMANBARIA")</f>
        <v>BRAHMANBARIA</v>
      </c>
      <c r="C1410" s="4">
        <f>IFERROR(__xludf.DUMMYFUNCTION("""COMPUTED_VALUE"""),35.0)</f>
        <v>35</v>
      </c>
      <c r="D1410" s="2" t="str">
        <f>IFERROR(__xludf.DUMMYFUNCTION("""COMPUTED_VALUE"""),"BANGLADESH KRISHI BANK")</f>
        <v>BANGLADESH KRISHI BANK</v>
      </c>
      <c r="E1410" s="2" t="str">
        <f>IFERROR(__xludf.DUMMYFUNCTION("""COMPUTED_VALUE"""),"SATBORGA BAZAR")</f>
        <v>SATBORGA BAZAR</v>
      </c>
      <c r="F1410" s="4">
        <f>IFERROR(__xludf.DUMMYFUNCTION("""COMPUTED_VALUE"""),169.0)</f>
        <v>169</v>
      </c>
      <c r="G1410" s="5">
        <f>IFERROR(__xludf.DUMMYFUNCTION("""COMPUTED_VALUE"""),3.5121691E7)</f>
        <v>35121691</v>
      </c>
    </row>
    <row r="1411">
      <c r="A1411" s="3">
        <f>IFERROR(__xludf.DUMMYFUNCTION("""COMPUTED_VALUE"""),113.0)</f>
        <v>113</v>
      </c>
      <c r="B1411" s="2" t="str">
        <f>IFERROR(__xludf.DUMMYFUNCTION("""COMPUTED_VALUE"""),"CHANDPUR")</f>
        <v>CHANDPUR</v>
      </c>
      <c r="C1411" s="4">
        <f>IFERROR(__xludf.DUMMYFUNCTION("""COMPUTED_VALUE"""),35.0)</f>
        <v>35</v>
      </c>
      <c r="D1411" s="2" t="str">
        <f>IFERROR(__xludf.DUMMYFUNCTION("""COMPUTED_VALUE"""),"BANGLADESH KRISHI BANK")</f>
        <v>BANGLADESH KRISHI BANK</v>
      </c>
      <c r="E1411" s="2" t="str">
        <f>IFERROR(__xludf.DUMMYFUNCTION("""COMPUTED_VALUE"""),"SHAHARPAR")</f>
        <v>SHAHARPAR</v>
      </c>
      <c r="F1411" s="4">
        <f>IFERROR(__xludf.DUMMYFUNCTION("""COMPUTED_VALUE"""),9.0)</f>
        <v>9</v>
      </c>
      <c r="G1411" s="5">
        <f>IFERROR(__xludf.DUMMYFUNCTION("""COMPUTED_VALUE"""),3.5130095E7)</f>
        <v>35130095</v>
      </c>
    </row>
    <row r="1412">
      <c r="A1412" s="3">
        <f>IFERROR(__xludf.DUMMYFUNCTION("""COMPUTED_VALUE"""),113.0)</f>
        <v>113</v>
      </c>
      <c r="B1412" s="2" t="str">
        <f>IFERROR(__xludf.DUMMYFUNCTION("""COMPUTED_VALUE"""),"CHANDPUR")</f>
        <v>CHANDPUR</v>
      </c>
      <c r="C1412" s="4">
        <f>IFERROR(__xludf.DUMMYFUNCTION("""COMPUTED_VALUE"""),35.0)</f>
        <v>35</v>
      </c>
      <c r="D1412" s="2" t="str">
        <f>IFERROR(__xludf.DUMMYFUNCTION("""COMPUTED_VALUE"""),"BANGLADESH KRISHI BANK")</f>
        <v>BANGLADESH KRISHI BANK</v>
      </c>
      <c r="E1412" s="2" t="str">
        <f>IFERROR(__xludf.DUMMYFUNCTION("""COMPUTED_VALUE"""),"AYNATALI BAZAR")</f>
        <v>AYNATALI BAZAR</v>
      </c>
      <c r="F1412" s="4">
        <f>IFERROR(__xludf.DUMMYFUNCTION("""COMPUTED_VALUE"""),10.0)</f>
        <v>10</v>
      </c>
      <c r="G1412" s="5">
        <f>IFERROR(__xludf.DUMMYFUNCTION("""COMPUTED_VALUE"""),3.5130103E7)</f>
        <v>35130103</v>
      </c>
    </row>
    <row r="1413">
      <c r="A1413" s="3">
        <f>IFERROR(__xludf.DUMMYFUNCTION("""COMPUTED_VALUE"""),113.0)</f>
        <v>113</v>
      </c>
      <c r="B1413" s="2" t="str">
        <f>IFERROR(__xludf.DUMMYFUNCTION("""COMPUTED_VALUE"""),"CHANDPUR")</f>
        <v>CHANDPUR</v>
      </c>
      <c r="C1413" s="4">
        <f>IFERROR(__xludf.DUMMYFUNCTION("""COMPUTED_VALUE"""),35.0)</f>
        <v>35</v>
      </c>
      <c r="D1413" s="2" t="str">
        <f>IFERROR(__xludf.DUMMYFUNCTION("""COMPUTED_VALUE"""),"BANGLADESH KRISHI BANK")</f>
        <v>BANGLADESH KRISHI BANK</v>
      </c>
      <c r="E1413" s="2" t="str">
        <f>IFERROR(__xludf.DUMMYFUNCTION("""COMPUTED_VALUE"""),"BAGRA BAZAR")</f>
        <v>BAGRA BAZAR</v>
      </c>
      <c r="F1413" s="4">
        <f>IFERROR(__xludf.DUMMYFUNCTION("""COMPUTED_VALUE"""),16.0)</f>
        <v>16</v>
      </c>
      <c r="G1413" s="5">
        <f>IFERROR(__xludf.DUMMYFUNCTION("""COMPUTED_VALUE"""),3.5130161E7)</f>
        <v>35130161</v>
      </c>
    </row>
    <row r="1414">
      <c r="A1414" s="3">
        <f>IFERROR(__xludf.DUMMYFUNCTION("""COMPUTED_VALUE"""),113.0)</f>
        <v>113</v>
      </c>
      <c r="B1414" s="2" t="str">
        <f>IFERROR(__xludf.DUMMYFUNCTION("""COMPUTED_VALUE"""),"CHANDPUR")</f>
        <v>CHANDPUR</v>
      </c>
      <c r="C1414" s="4">
        <f>IFERROR(__xludf.DUMMYFUNCTION("""COMPUTED_VALUE"""),35.0)</f>
        <v>35</v>
      </c>
      <c r="D1414" s="2" t="str">
        <f>IFERROR(__xludf.DUMMYFUNCTION("""COMPUTED_VALUE"""),"BANGLADESH KRISHI BANK")</f>
        <v>BANGLADESH KRISHI BANK</v>
      </c>
      <c r="E1414" s="2" t="str">
        <f>IFERROR(__xludf.DUMMYFUNCTION("""COMPUTED_VALUE"""),"BAKILA BAZAR")</f>
        <v>BAKILA BAZAR</v>
      </c>
      <c r="F1414" s="4">
        <f>IFERROR(__xludf.DUMMYFUNCTION("""COMPUTED_VALUE"""),19.0)</f>
        <v>19</v>
      </c>
      <c r="G1414" s="5">
        <f>IFERROR(__xludf.DUMMYFUNCTION("""COMPUTED_VALUE"""),3.513019E7)</f>
        <v>35130190</v>
      </c>
    </row>
    <row r="1415">
      <c r="A1415" s="3">
        <f>IFERROR(__xludf.DUMMYFUNCTION("""COMPUTED_VALUE"""),113.0)</f>
        <v>113</v>
      </c>
      <c r="B1415" s="2" t="str">
        <f>IFERROR(__xludf.DUMMYFUNCTION("""COMPUTED_VALUE"""),"CHANDPUR")</f>
        <v>CHANDPUR</v>
      </c>
      <c r="C1415" s="4">
        <f>IFERROR(__xludf.DUMMYFUNCTION("""COMPUTED_VALUE"""),35.0)</f>
        <v>35</v>
      </c>
      <c r="D1415" s="2" t="str">
        <f>IFERROR(__xludf.DUMMYFUNCTION("""COMPUTED_VALUE"""),"BANGLADESH KRISHI BANK")</f>
        <v>BANGLADESH KRISHI BANK</v>
      </c>
      <c r="E1415" s="2" t="str">
        <f>IFERROR(__xludf.DUMMYFUNCTION("""COMPUTED_VALUE"""),"ASHIKATI")</f>
        <v>ASHIKATI</v>
      </c>
      <c r="F1415" s="4">
        <f>IFERROR(__xludf.DUMMYFUNCTION("""COMPUTED_VALUE"""),28.0)</f>
        <v>28</v>
      </c>
      <c r="G1415" s="5">
        <f>IFERROR(__xludf.DUMMYFUNCTION("""COMPUTED_VALUE"""),3.5130282E7)</f>
        <v>35130282</v>
      </c>
    </row>
    <row r="1416">
      <c r="A1416" s="3">
        <f>IFERROR(__xludf.DUMMYFUNCTION("""COMPUTED_VALUE"""),113.0)</f>
        <v>113</v>
      </c>
      <c r="B1416" s="2" t="str">
        <f>IFERROR(__xludf.DUMMYFUNCTION("""COMPUTED_VALUE"""),"CHANDPUR")</f>
        <v>CHANDPUR</v>
      </c>
      <c r="C1416" s="4">
        <f>IFERROR(__xludf.DUMMYFUNCTION("""COMPUTED_VALUE"""),35.0)</f>
        <v>35</v>
      </c>
      <c r="D1416" s="2" t="str">
        <f>IFERROR(__xludf.DUMMYFUNCTION("""COMPUTED_VALUE"""),"BANGLADESH KRISHI BANK")</f>
        <v>BANGLADESH KRISHI BANK</v>
      </c>
      <c r="E1416" s="2" t="str">
        <f>IFERROR(__xludf.DUMMYFUNCTION("""COMPUTED_VALUE"""),"CHANDPUR")</f>
        <v>CHANDPUR</v>
      </c>
      <c r="F1416" s="4">
        <f>IFERROR(__xludf.DUMMYFUNCTION("""COMPUTED_VALUE"""),31.0)</f>
        <v>31</v>
      </c>
      <c r="G1416" s="5">
        <f>IFERROR(__xludf.DUMMYFUNCTION("""COMPUTED_VALUE"""),3.5130316E7)</f>
        <v>35130316</v>
      </c>
    </row>
    <row r="1417">
      <c r="A1417" s="3">
        <f>IFERROR(__xludf.DUMMYFUNCTION("""COMPUTED_VALUE"""),113.0)</f>
        <v>113</v>
      </c>
      <c r="B1417" s="2" t="str">
        <f>IFERROR(__xludf.DUMMYFUNCTION("""COMPUTED_VALUE"""),"CHANDPUR")</f>
        <v>CHANDPUR</v>
      </c>
      <c r="C1417" s="4">
        <f>IFERROR(__xludf.DUMMYFUNCTION("""COMPUTED_VALUE"""),35.0)</f>
        <v>35</v>
      </c>
      <c r="D1417" s="2" t="str">
        <f>IFERROR(__xludf.DUMMYFUNCTION("""COMPUTED_VALUE"""),"BANGLADESH KRISHI BANK")</f>
        <v>BANGLADESH KRISHI BANK</v>
      </c>
      <c r="E1417" s="2" t="str">
        <f>IFERROR(__xludf.DUMMYFUNCTION("""COMPUTED_VALUE"""),"CHANDRA BAZAR")</f>
        <v>CHANDRA BAZAR</v>
      </c>
      <c r="F1417" s="4">
        <f>IFERROR(__xludf.DUMMYFUNCTION("""COMPUTED_VALUE"""),46.0)</f>
        <v>46</v>
      </c>
      <c r="G1417" s="5">
        <f>IFERROR(__xludf.DUMMYFUNCTION("""COMPUTED_VALUE"""),3.5130466E7)</f>
        <v>35130466</v>
      </c>
    </row>
    <row r="1418">
      <c r="A1418" s="3">
        <f>IFERROR(__xludf.DUMMYFUNCTION("""COMPUTED_VALUE"""),113.0)</f>
        <v>113</v>
      </c>
      <c r="B1418" s="2" t="str">
        <f>IFERROR(__xludf.DUMMYFUNCTION("""COMPUTED_VALUE"""),"CHANDPUR")</f>
        <v>CHANDPUR</v>
      </c>
      <c r="C1418" s="4">
        <f>IFERROR(__xludf.DUMMYFUNCTION("""COMPUTED_VALUE"""),35.0)</f>
        <v>35</v>
      </c>
      <c r="D1418" s="2" t="str">
        <f>IFERROR(__xludf.DUMMYFUNCTION("""COMPUTED_VALUE"""),"BANGLADESH KRISHI BANK")</f>
        <v>BANGLADESH KRISHI BANK</v>
      </c>
      <c r="E1418" s="2" t="str">
        <f>IFERROR(__xludf.DUMMYFUNCTION("""COMPUTED_VALUE"""),"CHANGARCHAR")</f>
        <v>CHANGARCHAR</v>
      </c>
      <c r="F1418" s="4">
        <f>IFERROR(__xludf.DUMMYFUNCTION("""COMPUTED_VALUE"""),49.0)</f>
        <v>49</v>
      </c>
      <c r="G1418" s="5">
        <f>IFERROR(__xludf.DUMMYFUNCTION("""COMPUTED_VALUE"""),3.5130495E7)</f>
        <v>35130495</v>
      </c>
    </row>
    <row r="1419">
      <c r="A1419" s="3">
        <f>IFERROR(__xludf.DUMMYFUNCTION("""COMPUTED_VALUE"""),113.0)</f>
        <v>113</v>
      </c>
      <c r="B1419" s="2" t="str">
        <f>IFERROR(__xludf.DUMMYFUNCTION("""COMPUTED_VALUE"""),"CHANDPUR")</f>
        <v>CHANDPUR</v>
      </c>
      <c r="C1419" s="4">
        <f>IFERROR(__xludf.DUMMYFUNCTION("""COMPUTED_VALUE"""),35.0)</f>
        <v>35</v>
      </c>
      <c r="D1419" s="2" t="str">
        <f>IFERROR(__xludf.DUMMYFUNCTION("""COMPUTED_VALUE"""),"BANGLADESH KRISHI BANK")</f>
        <v>BANGLADESH KRISHI BANK</v>
      </c>
      <c r="E1419" s="2" t="str">
        <f>IFERROR(__xludf.DUMMYFUNCTION("""COMPUTED_VALUE"""),"CHARBHAIRABI BAZAR")</f>
        <v>CHARBHAIRABI BAZAR</v>
      </c>
      <c r="F1419" s="4">
        <f>IFERROR(__xludf.DUMMYFUNCTION("""COMPUTED_VALUE"""),52.0)</f>
        <v>52</v>
      </c>
      <c r="G1419" s="5">
        <f>IFERROR(__xludf.DUMMYFUNCTION("""COMPUTED_VALUE"""),3.5130529E7)</f>
        <v>35130529</v>
      </c>
    </row>
    <row r="1420">
      <c r="A1420" s="3">
        <f>IFERROR(__xludf.DUMMYFUNCTION("""COMPUTED_VALUE"""),113.0)</f>
        <v>113</v>
      </c>
      <c r="B1420" s="2" t="str">
        <f>IFERROR(__xludf.DUMMYFUNCTION("""COMPUTED_VALUE"""),"CHANDPUR")</f>
        <v>CHANDPUR</v>
      </c>
      <c r="C1420" s="4">
        <f>IFERROR(__xludf.DUMMYFUNCTION("""COMPUTED_VALUE"""),35.0)</f>
        <v>35</v>
      </c>
      <c r="D1420" s="2" t="str">
        <f>IFERROR(__xludf.DUMMYFUNCTION("""COMPUTED_VALUE"""),"BANGLADESH KRISHI BANK")</f>
        <v>BANGLADESH KRISHI BANK</v>
      </c>
      <c r="E1420" s="2" t="str">
        <f>IFERROR(__xludf.DUMMYFUNCTION("""COMPUTED_VALUE"""),"CHOTOSUNDAR BAZAR")</f>
        <v>CHOTOSUNDAR BAZAR</v>
      </c>
      <c r="F1420" s="4">
        <f>IFERROR(__xludf.DUMMYFUNCTION("""COMPUTED_VALUE"""),61.0)</f>
        <v>61</v>
      </c>
      <c r="G1420" s="5">
        <f>IFERROR(__xludf.DUMMYFUNCTION("""COMPUTED_VALUE"""),3.5130611E7)</f>
        <v>35130611</v>
      </c>
    </row>
    <row r="1421">
      <c r="A1421" s="3">
        <f>IFERROR(__xludf.DUMMYFUNCTION("""COMPUTED_VALUE"""),113.0)</f>
        <v>113</v>
      </c>
      <c r="B1421" s="2" t="str">
        <f>IFERROR(__xludf.DUMMYFUNCTION("""COMPUTED_VALUE"""),"CHANDPUR")</f>
        <v>CHANDPUR</v>
      </c>
      <c r="C1421" s="4">
        <f>IFERROR(__xludf.DUMMYFUNCTION("""COMPUTED_VALUE"""),35.0)</f>
        <v>35</v>
      </c>
      <c r="D1421" s="2" t="str">
        <f>IFERROR(__xludf.DUMMYFUNCTION("""COMPUTED_VALUE"""),"BANGLADESH KRISHI BANK")</f>
        <v>BANGLADESH KRISHI BANK</v>
      </c>
      <c r="E1421" s="2" t="str">
        <f>IFERROR(__xludf.DUMMYFUNCTION("""COMPUTED_VALUE"""),"FARIDGANJ")</f>
        <v>FARIDGANJ</v>
      </c>
      <c r="F1421" s="4">
        <f>IFERROR(__xludf.DUMMYFUNCTION("""COMPUTED_VALUE"""),67.0)</f>
        <v>67</v>
      </c>
      <c r="G1421" s="5">
        <f>IFERROR(__xludf.DUMMYFUNCTION("""COMPUTED_VALUE"""),3.5130679E7)</f>
        <v>35130679</v>
      </c>
    </row>
    <row r="1422">
      <c r="A1422" s="3">
        <f>IFERROR(__xludf.DUMMYFUNCTION("""COMPUTED_VALUE"""),113.0)</f>
        <v>113</v>
      </c>
      <c r="B1422" s="2" t="str">
        <f>IFERROR(__xludf.DUMMYFUNCTION("""COMPUTED_VALUE"""),"CHANDPUR")</f>
        <v>CHANDPUR</v>
      </c>
      <c r="C1422" s="4">
        <f>IFERROR(__xludf.DUMMYFUNCTION("""COMPUTED_VALUE"""),35.0)</f>
        <v>35</v>
      </c>
      <c r="D1422" s="2" t="str">
        <f>IFERROR(__xludf.DUMMYFUNCTION("""COMPUTED_VALUE"""),"BANGLADESH KRISHI BANK")</f>
        <v>BANGLADESH KRISHI BANK</v>
      </c>
      <c r="E1422" s="2" t="str">
        <f>IFERROR(__xludf.DUMMYFUNCTION("""COMPUTED_VALUE"""),"GAJRABAZAR")</f>
        <v>GAJRABAZAR</v>
      </c>
      <c r="F1422" s="4">
        <f>IFERROR(__xludf.DUMMYFUNCTION("""COMPUTED_VALUE"""),70.0)</f>
        <v>70</v>
      </c>
      <c r="G1422" s="5">
        <f>IFERROR(__xludf.DUMMYFUNCTION("""COMPUTED_VALUE"""),3.5130703E7)</f>
        <v>35130703</v>
      </c>
    </row>
    <row r="1423">
      <c r="A1423" s="3">
        <f>IFERROR(__xludf.DUMMYFUNCTION("""COMPUTED_VALUE"""),113.0)</f>
        <v>113</v>
      </c>
      <c r="B1423" s="2" t="str">
        <f>IFERROR(__xludf.DUMMYFUNCTION("""COMPUTED_VALUE"""),"CHANDPUR")</f>
        <v>CHANDPUR</v>
      </c>
      <c r="C1423" s="4">
        <f>IFERROR(__xludf.DUMMYFUNCTION("""COMPUTED_VALUE"""),35.0)</f>
        <v>35</v>
      </c>
      <c r="D1423" s="2" t="str">
        <f>IFERROR(__xludf.DUMMYFUNCTION("""COMPUTED_VALUE"""),"BANGLADESH KRISHI BANK")</f>
        <v>BANGLADESH KRISHI BANK</v>
      </c>
      <c r="E1423" s="2" t="str">
        <f>IFERROR(__xludf.DUMMYFUNCTION("""COMPUTED_VALUE"""),"GULBAHAR")</f>
        <v>GULBAHAR</v>
      </c>
      <c r="F1423" s="4">
        <f>IFERROR(__xludf.DUMMYFUNCTION("""COMPUTED_VALUE"""),82.0)</f>
        <v>82</v>
      </c>
      <c r="G1423" s="5">
        <f>IFERROR(__xludf.DUMMYFUNCTION("""COMPUTED_VALUE"""),3.5130824E7)</f>
        <v>35130824</v>
      </c>
    </row>
    <row r="1424">
      <c r="A1424" s="3">
        <f>IFERROR(__xludf.DUMMYFUNCTION("""COMPUTED_VALUE"""),113.0)</f>
        <v>113</v>
      </c>
      <c r="B1424" s="2" t="str">
        <f>IFERROR(__xludf.DUMMYFUNCTION("""COMPUTED_VALUE"""),"CHANDPUR")</f>
        <v>CHANDPUR</v>
      </c>
      <c r="C1424" s="4">
        <f>IFERROR(__xludf.DUMMYFUNCTION("""COMPUTED_VALUE"""),35.0)</f>
        <v>35</v>
      </c>
      <c r="D1424" s="2" t="str">
        <f>IFERROR(__xludf.DUMMYFUNCTION("""COMPUTED_VALUE"""),"BANGLADESH KRISHI BANK")</f>
        <v>BANGLADESH KRISHI BANK</v>
      </c>
      <c r="E1424" s="2" t="str">
        <f>IFERROR(__xludf.DUMMYFUNCTION("""COMPUTED_VALUE"""),"HAIMCHAR")</f>
        <v>HAIMCHAR</v>
      </c>
      <c r="F1424" s="4">
        <f>IFERROR(__xludf.DUMMYFUNCTION("""COMPUTED_VALUE"""),85.0)</f>
        <v>85</v>
      </c>
      <c r="G1424" s="5">
        <f>IFERROR(__xludf.DUMMYFUNCTION("""COMPUTED_VALUE"""),3.5130853E7)</f>
        <v>35130853</v>
      </c>
    </row>
    <row r="1425">
      <c r="A1425" s="3">
        <f>IFERROR(__xludf.DUMMYFUNCTION("""COMPUTED_VALUE"""),113.0)</f>
        <v>113</v>
      </c>
      <c r="B1425" s="2" t="str">
        <f>IFERROR(__xludf.DUMMYFUNCTION("""COMPUTED_VALUE"""),"CHANDPUR")</f>
        <v>CHANDPUR</v>
      </c>
      <c r="C1425" s="4">
        <f>IFERROR(__xludf.DUMMYFUNCTION("""COMPUTED_VALUE"""),35.0)</f>
        <v>35</v>
      </c>
      <c r="D1425" s="2" t="str">
        <f>IFERROR(__xludf.DUMMYFUNCTION("""COMPUTED_VALUE"""),"BANGLADESH KRISHI BANK")</f>
        <v>BANGLADESH KRISHI BANK</v>
      </c>
      <c r="E1425" s="2" t="str">
        <f>IFERROR(__xludf.DUMMYFUNCTION("""COMPUTED_VALUE"""),"HAJIGANJ")</f>
        <v>HAJIGANJ</v>
      </c>
      <c r="F1425" s="4">
        <f>IFERROR(__xludf.DUMMYFUNCTION("""COMPUTED_VALUE"""),88.0)</f>
        <v>88</v>
      </c>
      <c r="G1425" s="5">
        <f>IFERROR(__xludf.DUMMYFUNCTION("""COMPUTED_VALUE"""),3.5130882E7)</f>
        <v>35130882</v>
      </c>
    </row>
    <row r="1426">
      <c r="A1426" s="3">
        <f>IFERROR(__xludf.DUMMYFUNCTION("""COMPUTED_VALUE"""),113.0)</f>
        <v>113</v>
      </c>
      <c r="B1426" s="2" t="str">
        <f>IFERROR(__xludf.DUMMYFUNCTION("""COMPUTED_VALUE"""),"CHANDPUR")</f>
        <v>CHANDPUR</v>
      </c>
      <c r="C1426" s="4">
        <f>IFERROR(__xludf.DUMMYFUNCTION("""COMPUTED_VALUE"""),35.0)</f>
        <v>35</v>
      </c>
      <c r="D1426" s="2" t="str">
        <f>IFERROR(__xludf.DUMMYFUNCTION("""COMPUTED_VALUE"""),"BANGLADESH KRISHI BANK")</f>
        <v>BANGLADESH KRISHI BANK</v>
      </c>
      <c r="E1426" s="2" t="str">
        <f>IFERROR(__xludf.DUMMYFUNCTION("""COMPUTED_VALUE"""),"KACHUA")</f>
        <v>KACHUA</v>
      </c>
      <c r="F1426" s="4">
        <f>IFERROR(__xludf.DUMMYFUNCTION("""COMPUTED_VALUE"""),91.0)</f>
        <v>91</v>
      </c>
      <c r="G1426" s="5">
        <f>IFERROR(__xludf.DUMMYFUNCTION("""COMPUTED_VALUE"""),3.5130916E7)</f>
        <v>35130916</v>
      </c>
    </row>
    <row r="1427">
      <c r="A1427" s="3">
        <f>IFERROR(__xludf.DUMMYFUNCTION("""COMPUTED_VALUE"""),113.0)</f>
        <v>113</v>
      </c>
      <c r="B1427" s="2" t="str">
        <f>IFERROR(__xludf.DUMMYFUNCTION("""COMPUTED_VALUE"""),"CHANDPUR")</f>
        <v>CHANDPUR</v>
      </c>
      <c r="C1427" s="4">
        <f>IFERROR(__xludf.DUMMYFUNCTION("""COMPUTED_VALUE"""),35.0)</f>
        <v>35</v>
      </c>
      <c r="D1427" s="2" t="str">
        <f>IFERROR(__xludf.DUMMYFUNCTION("""COMPUTED_VALUE"""),"BANGLADESH KRISHI BANK")</f>
        <v>BANGLADESH KRISHI BANK</v>
      </c>
      <c r="E1427" s="2" t="str">
        <f>IFERROR(__xludf.DUMMYFUNCTION("""COMPUTED_VALUE"""),"KAKAIRTALA BAZAR")</f>
        <v>KAKAIRTALA BAZAR</v>
      </c>
      <c r="F1427" s="4">
        <f>IFERROR(__xludf.DUMMYFUNCTION("""COMPUTED_VALUE"""),94.0)</f>
        <v>94</v>
      </c>
      <c r="G1427" s="5">
        <f>IFERROR(__xludf.DUMMYFUNCTION("""COMPUTED_VALUE"""),3.5130945E7)</f>
        <v>35130945</v>
      </c>
    </row>
    <row r="1428">
      <c r="A1428" s="3">
        <f>IFERROR(__xludf.DUMMYFUNCTION("""COMPUTED_VALUE"""),113.0)</f>
        <v>113</v>
      </c>
      <c r="B1428" s="2" t="str">
        <f>IFERROR(__xludf.DUMMYFUNCTION("""COMPUTED_VALUE"""),"CHANDPUR")</f>
        <v>CHANDPUR</v>
      </c>
      <c r="C1428" s="4">
        <f>IFERROR(__xludf.DUMMYFUNCTION("""COMPUTED_VALUE"""),35.0)</f>
        <v>35</v>
      </c>
      <c r="D1428" s="2" t="str">
        <f>IFERROR(__xludf.DUMMYFUNCTION("""COMPUTED_VALUE"""),"BANGLADESH KRISHI BANK")</f>
        <v>BANGLADESH KRISHI BANK</v>
      </c>
      <c r="E1428" s="2" t="str">
        <f>IFERROR(__xludf.DUMMYFUNCTION("""COMPUTED_VALUE"""),"KALIR BAZAR")</f>
        <v>KALIR BAZAR</v>
      </c>
      <c r="F1428" s="4">
        <f>IFERROR(__xludf.DUMMYFUNCTION("""COMPUTED_VALUE"""),100.0)</f>
        <v>100</v>
      </c>
      <c r="G1428" s="5">
        <f>IFERROR(__xludf.DUMMYFUNCTION("""COMPUTED_VALUE"""),3.5131007E7)</f>
        <v>35131007</v>
      </c>
    </row>
    <row r="1429">
      <c r="A1429" s="3">
        <f>IFERROR(__xludf.DUMMYFUNCTION("""COMPUTED_VALUE"""),113.0)</f>
        <v>113</v>
      </c>
      <c r="B1429" s="2" t="str">
        <f>IFERROR(__xludf.DUMMYFUNCTION("""COMPUTED_VALUE"""),"CHANDPUR")</f>
        <v>CHANDPUR</v>
      </c>
      <c r="C1429" s="4">
        <f>IFERROR(__xludf.DUMMYFUNCTION("""COMPUTED_VALUE"""),35.0)</f>
        <v>35</v>
      </c>
      <c r="D1429" s="2" t="str">
        <f>IFERROR(__xludf.DUMMYFUNCTION("""COMPUTED_VALUE"""),"BANGLADESH KRISHI BANK")</f>
        <v>BANGLADESH KRISHI BANK</v>
      </c>
      <c r="E1429" s="2" t="str">
        <f>IFERROR(__xludf.DUMMYFUNCTION("""COMPUTED_VALUE"""),"MAJHIGACHA BAZAR")</f>
        <v>MAJHIGACHA BAZAR</v>
      </c>
      <c r="F1429" s="4">
        <f>IFERROR(__xludf.DUMMYFUNCTION("""COMPUTED_VALUE"""),113.0)</f>
        <v>113</v>
      </c>
      <c r="G1429" s="5">
        <f>IFERROR(__xludf.DUMMYFUNCTION("""COMPUTED_VALUE"""),3.5131131E7)</f>
        <v>35131131</v>
      </c>
    </row>
    <row r="1430">
      <c r="A1430" s="3">
        <f>IFERROR(__xludf.DUMMYFUNCTION("""COMPUTED_VALUE"""),113.0)</f>
        <v>113</v>
      </c>
      <c r="B1430" s="2" t="str">
        <f>IFERROR(__xludf.DUMMYFUNCTION("""COMPUTED_VALUE"""),"CHANDPUR")</f>
        <v>CHANDPUR</v>
      </c>
      <c r="C1430" s="4">
        <f>IFERROR(__xludf.DUMMYFUNCTION("""COMPUTED_VALUE"""),35.0)</f>
        <v>35</v>
      </c>
      <c r="D1430" s="2" t="str">
        <f>IFERROR(__xludf.DUMMYFUNCTION("""COMPUTED_VALUE"""),"BANGLADESH KRISHI BANK")</f>
        <v>BANGLADESH KRISHI BANK</v>
      </c>
      <c r="E1430" s="2" t="str">
        <f>IFERROR(__xludf.DUMMYFUNCTION("""COMPUTED_VALUE"""),"MASTER BAZAR")</f>
        <v>MASTER BAZAR</v>
      </c>
      <c r="F1430" s="4">
        <f>IFERROR(__xludf.DUMMYFUNCTION("""COMPUTED_VALUE"""),115.0)</f>
        <v>115</v>
      </c>
      <c r="G1430" s="5">
        <f>IFERROR(__xludf.DUMMYFUNCTION("""COMPUTED_VALUE"""),3.5131157E7)</f>
        <v>35131157</v>
      </c>
    </row>
    <row r="1431">
      <c r="A1431" s="3">
        <f>IFERROR(__xludf.DUMMYFUNCTION("""COMPUTED_VALUE"""),113.0)</f>
        <v>113</v>
      </c>
      <c r="B1431" s="2" t="str">
        <f>IFERROR(__xludf.DUMMYFUNCTION("""COMPUTED_VALUE"""),"CHANDPUR")</f>
        <v>CHANDPUR</v>
      </c>
      <c r="C1431" s="4">
        <f>IFERROR(__xludf.DUMMYFUNCTION("""COMPUTED_VALUE"""),35.0)</f>
        <v>35</v>
      </c>
      <c r="D1431" s="2" t="str">
        <f>IFERROR(__xludf.DUMMYFUNCTION("""COMPUTED_VALUE"""),"BANGLADESH KRISHI BANK")</f>
        <v>BANGLADESH KRISHI BANK</v>
      </c>
      <c r="E1431" s="2" t="str">
        <f>IFERROR(__xludf.DUMMYFUNCTION("""COMPUTED_VALUE"""),"MATLAB")</f>
        <v>MATLAB</v>
      </c>
      <c r="F1431" s="4">
        <f>IFERROR(__xludf.DUMMYFUNCTION("""COMPUTED_VALUE"""),118.0)</f>
        <v>118</v>
      </c>
      <c r="G1431" s="5">
        <f>IFERROR(__xludf.DUMMYFUNCTION("""COMPUTED_VALUE"""),3.5131186E7)</f>
        <v>35131186</v>
      </c>
    </row>
    <row r="1432">
      <c r="A1432" s="3">
        <f>IFERROR(__xludf.DUMMYFUNCTION("""COMPUTED_VALUE"""),113.0)</f>
        <v>113</v>
      </c>
      <c r="B1432" s="2" t="str">
        <f>IFERROR(__xludf.DUMMYFUNCTION("""COMPUTED_VALUE"""),"CHANDPUR")</f>
        <v>CHANDPUR</v>
      </c>
      <c r="C1432" s="4">
        <f>IFERROR(__xludf.DUMMYFUNCTION("""COMPUTED_VALUE"""),35.0)</f>
        <v>35</v>
      </c>
      <c r="D1432" s="2" t="str">
        <f>IFERROR(__xludf.DUMMYFUNCTION("""COMPUTED_VALUE"""),"BANGLADESH KRISHI BANK")</f>
        <v>BANGLADESH KRISHI BANK</v>
      </c>
      <c r="E1432" s="2" t="str">
        <f>IFERROR(__xludf.DUMMYFUNCTION("""COMPUTED_VALUE"""),"MUNSHIRHAT")</f>
        <v>MUNSHIRHAT</v>
      </c>
      <c r="F1432" s="4">
        <f>IFERROR(__xludf.DUMMYFUNCTION("""COMPUTED_VALUE"""),133.0)</f>
        <v>133</v>
      </c>
      <c r="G1432" s="5">
        <f>IFERROR(__xludf.DUMMYFUNCTION("""COMPUTED_VALUE"""),3.5131331E7)</f>
        <v>35131331</v>
      </c>
    </row>
    <row r="1433">
      <c r="A1433" s="3">
        <f>IFERROR(__xludf.DUMMYFUNCTION("""COMPUTED_VALUE"""),113.0)</f>
        <v>113</v>
      </c>
      <c r="B1433" s="2" t="str">
        <f>IFERROR(__xludf.DUMMYFUNCTION("""COMPUTED_VALUE"""),"CHANDPUR")</f>
        <v>CHANDPUR</v>
      </c>
      <c r="C1433" s="4">
        <f>IFERROR(__xludf.DUMMYFUNCTION("""COMPUTED_VALUE"""),35.0)</f>
        <v>35</v>
      </c>
      <c r="D1433" s="2" t="str">
        <f>IFERROR(__xludf.DUMMYFUNCTION("""COMPUTED_VALUE"""),"BANGLADESH KRISHI BANK")</f>
        <v>BANGLADESH KRISHI BANK</v>
      </c>
      <c r="E1433" s="2" t="str">
        <f>IFERROR(__xludf.DUMMYFUNCTION("""COMPUTED_VALUE"""),"NAWRI BAZAR")</f>
        <v>NAWRI BAZAR</v>
      </c>
      <c r="F1433" s="4">
        <f>IFERROR(__xludf.DUMMYFUNCTION("""COMPUTED_VALUE"""),151.0)</f>
        <v>151</v>
      </c>
      <c r="G1433" s="5">
        <f>IFERROR(__xludf.DUMMYFUNCTION("""COMPUTED_VALUE"""),3.5131515E7)</f>
        <v>35131515</v>
      </c>
    </row>
    <row r="1434">
      <c r="A1434" s="3">
        <f>IFERROR(__xludf.DUMMYFUNCTION("""COMPUTED_VALUE"""),113.0)</f>
        <v>113</v>
      </c>
      <c r="B1434" s="2" t="str">
        <f>IFERROR(__xludf.DUMMYFUNCTION("""COMPUTED_VALUE"""),"CHANDPUR")</f>
        <v>CHANDPUR</v>
      </c>
      <c r="C1434" s="4">
        <f>IFERROR(__xludf.DUMMYFUNCTION("""COMPUTED_VALUE"""),35.0)</f>
        <v>35</v>
      </c>
      <c r="D1434" s="2" t="str">
        <f>IFERROR(__xludf.DUMMYFUNCTION("""COMPUTED_VALUE"""),"BANGLADESH KRISHI BANK")</f>
        <v>BANGLADESH KRISHI BANK</v>
      </c>
      <c r="E1434" s="2" t="str">
        <f>IFERROR(__xludf.DUMMYFUNCTION("""COMPUTED_VALUE"""),"PIROJPUR BAZAR")</f>
        <v>PIROJPUR BAZAR</v>
      </c>
      <c r="F1434" s="4">
        <f>IFERROR(__xludf.DUMMYFUNCTION("""COMPUTED_VALUE"""),163.0)</f>
        <v>163</v>
      </c>
      <c r="G1434" s="5">
        <f>IFERROR(__xludf.DUMMYFUNCTION("""COMPUTED_VALUE"""),3.5131636E7)</f>
        <v>35131636</v>
      </c>
    </row>
    <row r="1435">
      <c r="A1435" s="3">
        <f>IFERROR(__xludf.DUMMYFUNCTION("""COMPUTED_VALUE"""),113.0)</f>
        <v>113</v>
      </c>
      <c r="B1435" s="2" t="str">
        <f>IFERROR(__xludf.DUMMYFUNCTION("""COMPUTED_VALUE"""),"CHANDPUR")</f>
        <v>CHANDPUR</v>
      </c>
      <c r="C1435" s="4">
        <f>IFERROR(__xludf.DUMMYFUNCTION("""COMPUTED_VALUE"""),35.0)</f>
        <v>35</v>
      </c>
      <c r="D1435" s="2" t="str">
        <f>IFERROR(__xludf.DUMMYFUNCTION("""COMPUTED_VALUE"""),"BANGLADESH KRISHI BANK")</f>
        <v>BANGLADESH KRISHI BANK</v>
      </c>
      <c r="E1435" s="2" t="str">
        <f>IFERROR(__xludf.DUMMYFUNCTION("""COMPUTED_VALUE"""),"PURAN BAZAR")</f>
        <v>PURAN BAZAR</v>
      </c>
      <c r="F1435" s="4">
        <f>IFERROR(__xludf.DUMMYFUNCTION("""COMPUTED_VALUE"""),166.0)</f>
        <v>166</v>
      </c>
      <c r="G1435" s="5">
        <f>IFERROR(__xludf.DUMMYFUNCTION("""COMPUTED_VALUE"""),3.5131665E7)</f>
        <v>35131665</v>
      </c>
    </row>
    <row r="1436">
      <c r="A1436" s="3">
        <f>IFERROR(__xludf.DUMMYFUNCTION("""COMPUTED_VALUE"""),113.0)</f>
        <v>113</v>
      </c>
      <c r="B1436" s="2" t="str">
        <f>IFERROR(__xludf.DUMMYFUNCTION("""COMPUTED_VALUE"""),"CHANDPUR")</f>
        <v>CHANDPUR</v>
      </c>
      <c r="C1436" s="4">
        <f>IFERROR(__xludf.DUMMYFUNCTION("""COMPUTED_VALUE"""),35.0)</f>
        <v>35</v>
      </c>
      <c r="D1436" s="2" t="str">
        <f>IFERROR(__xludf.DUMMYFUNCTION("""COMPUTED_VALUE"""),"BANGLADESH KRISHI BANK")</f>
        <v>BANGLADESH KRISHI BANK</v>
      </c>
      <c r="E1436" s="2" t="str">
        <f>IFERROR(__xludf.DUMMYFUNCTION("""COMPUTED_VALUE"""),"SACHAR BAZAR")</f>
        <v>SACHAR BAZAR</v>
      </c>
      <c r="F1436" s="4">
        <f>IFERROR(__xludf.DUMMYFUNCTION("""COMPUTED_VALUE"""),181.0)</f>
        <v>181</v>
      </c>
      <c r="G1436" s="5">
        <f>IFERROR(__xludf.DUMMYFUNCTION("""COMPUTED_VALUE"""),3.513181E7)</f>
        <v>35131810</v>
      </c>
    </row>
    <row r="1437">
      <c r="A1437" s="3">
        <f>IFERROR(__xludf.DUMMYFUNCTION("""COMPUTED_VALUE"""),113.0)</f>
        <v>113</v>
      </c>
      <c r="B1437" s="2" t="str">
        <f>IFERROR(__xludf.DUMMYFUNCTION("""COMPUTED_VALUE"""),"CHANDPUR")</f>
        <v>CHANDPUR</v>
      </c>
      <c r="C1437" s="4">
        <f>IFERROR(__xludf.DUMMYFUNCTION("""COMPUTED_VALUE"""),35.0)</f>
        <v>35</v>
      </c>
      <c r="D1437" s="2" t="str">
        <f>IFERROR(__xludf.DUMMYFUNCTION("""COMPUTED_VALUE"""),"BANGLADESH KRISHI BANK")</f>
        <v>BANGLADESH KRISHI BANK</v>
      </c>
      <c r="E1437" s="2" t="str">
        <f>IFERROR(__xludf.DUMMYFUNCTION("""COMPUTED_VALUE"""),"SHAHEB BAZAR")</f>
        <v>SHAHEB BAZAR</v>
      </c>
      <c r="F1437" s="4">
        <f>IFERROR(__xludf.DUMMYFUNCTION("""COMPUTED_VALUE"""),196.0)</f>
        <v>196</v>
      </c>
      <c r="G1437" s="5">
        <f>IFERROR(__xludf.DUMMYFUNCTION("""COMPUTED_VALUE"""),3.513196E7)</f>
        <v>35131960</v>
      </c>
    </row>
    <row r="1438">
      <c r="A1438" s="3">
        <f>IFERROR(__xludf.DUMMYFUNCTION("""COMPUTED_VALUE"""),113.0)</f>
        <v>113</v>
      </c>
      <c r="B1438" s="2" t="str">
        <f>IFERROR(__xludf.DUMMYFUNCTION("""COMPUTED_VALUE"""),"CHANDPUR")</f>
        <v>CHANDPUR</v>
      </c>
      <c r="C1438" s="4">
        <f>IFERROR(__xludf.DUMMYFUNCTION("""COMPUTED_VALUE"""),35.0)</f>
        <v>35</v>
      </c>
      <c r="D1438" s="2" t="str">
        <f>IFERROR(__xludf.DUMMYFUNCTION("""COMPUTED_VALUE"""),"BANGLADESH KRISHI BANK")</f>
        <v>BANGLADESH KRISHI BANK</v>
      </c>
      <c r="E1438" s="2" t="str">
        <f>IFERROR(__xludf.DUMMYFUNCTION("""COMPUTED_VALUE"""),"SHAHRASTI")</f>
        <v>SHAHRASTI</v>
      </c>
      <c r="F1438" s="4">
        <f>IFERROR(__xludf.DUMMYFUNCTION("""COMPUTED_VALUE"""),199.0)</f>
        <v>199</v>
      </c>
      <c r="G1438" s="5">
        <f>IFERROR(__xludf.DUMMYFUNCTION("""COMPUTED_VALUE"""),3.5131999E7)</f>
        <v>35131999</v>
      </c>
    </row>
    <row r="1439">
      <c r="A1439" s="3">
        <f>IFERROR(__xludf.DUMMYFUNCTION("""COMPUTED_VALUE"""),215.0)</f>
        <v>215</v>
      </c>
      <c r="B1439" s="2" t="str">
        <f>IFERROR(__xludf.DUMMYFUNCTION("""COMPUTED_VALUE"""),"CHITTAGONG")</f>
        <v>CHITTAGONG</v>
      </c>
      <c r="C1439" s="4">
        <f>IFERROR(__xludf.DUMMYFUNCTION("""COMPUTED_VALUE"""),35.0)</f>
        <v>35</v>
      </c>
      <c r="D1439" s="2" t="str">
        <f>IFERROR(__xludf.DUMMYFUNCTION("""COMPUTED_VALUE"""),"BANGLADESH KRISHI BANK")</f>
        <v>BANGLADESH KRISHI BANK</v>
      </c>
      <c r="E1439" s="2" t="str">
        <f>IFERROR(__xludf.DUMMYFUNCTION("""COMPUTED_VALUE"""),"ABURHAT")</f>
        <v>ABURHAT</v>
      </c>
      <c r="F1439" s="4">
        <f>IFERROR(__xludf.DUMMYFUNCTION("""COMPUTED_VALUE"""),7.0)</f>
        <v>7</v>
      </c>
      <c r="G1439" s="5">
        <f>IFERROR(__xludf.DUMMYFUNCTION("""COMPUTED_VALUE"""),3.5150075E7)</f>
        <v>35150075</v>
      </c>
    </row>
    <row r="1440">
      <c r="A1440" s="3">
        <f>IFERROR(__xludf.DUMMYFUNCTION("""COMPUTED_VALUE"""),215.0)</f>
        <v>215</v>
      </c>
      <c r="B1440" s="2" t="str">
        <f>IFERROR(__xludf.DUMMYFUNCTION("""COMPUTED_VALUE"""),"CHITTAGONG")</f>
        <v>CHITTAGONG</v>
      </c>
      <c r="C1440" s="4">
        <f>IFERROR(__xludf.DUMMYFUNCTION("""COMPUTED_VALUE"""),35.0)</f>
        <v>35</v>
      </c>
      <c r="D1440" s="2" t="str">
        <f>IFERROR(__xludf.DUMMYFUNCTION("""COMPUTED_VALUE"""),"BANGLADESH KRISHI BANK")</f>
        <v>BANGLADESH KRISHI BANK</v>
      </c>
      <c r="E1440" s="2" t="str">
        <f>IFERROR(__xludf.DUMMYFUNCTION("""COMPUTED_VALUE"""),"ABUTORAB BAZAR")</f>
        <v>ABUTORAB BAZAR</v>
      </c>
      <c r="F1440" s="4">
        <f>IFERROR(__xludf.DUMMYFUNCTION("""COMPUTED_VALUE"""),10.0)</f>
        <v>10</v>
      </c>
      <c r="G1440" s="5">
        <f>IFERROR(__xludf.DUMMYFUNCTION("""COMPUTED_VALUE"""),3.5150109E7)</f>
        <v>35150109</v>
      </c>
    </row>
    <row r="1441">
      <c r="A1441" s="3">
        <f>IFERROR(__xludf.DUMMYFUNCTION("""COMPUTED_VALUE"""),215.0)</f>
        <v>215</v>
      </c>
      <c r="B1441" s="2" t="str">
        <f>IFERROR(__xludf.DUMMYFUNCTION("""COMPUTED_VALUE"""),"CHITTAGONG")</f>
        <v>CHITTAGONG</v>
      </c>
      <c r="C1441" s="4">
        <f>IFERROR(__xludf.DUMMYFUNCTION("""COMPUTED_VALUE"""),35.0)</f>
        <v>35</v>
      </c>
      <c r="D1441" s="2" t="str">
        <f>IFERROR(__xludf.DUMMYFUNCTION("""COMPUTED_VALUE"""),"BANGLADESH KRISHI BANK")</f>
        <v>BANGLADESH KRISHI BANK</v>
      </c>
      <c r="E1441" s="2" t="str">
        <f>IFERROR(__xludf.DUMMYFUNCTION("""COMPUTED_VALUE"""),"CHAITONNERHAT")</f>
        <v>CHAITONNERHAT</v>
      </c>
      <c r="F1441" s="4">
        <f>IFERROR(__xludf.DUMMYFUNCTION("""COMPUTED_VALUE"""),11.0)</f>
        <v>11</v>
      </c>
      <c r="G1441" s="5">
        <f>IFERROR(__xludf.DUMMYFUNCTION("""COMPUTED_VALUE"""),3.5150112E7)</f>
        <v>35150112</v>
      </c>
    </row>
    <row r="1442">
      <c r="A1442" s="3">
        <f>IFERROR(__xludf.DUMMYFUNCTION("""COMPUTED_VALUE"""),215.0)</f>
        <v>215</v>
      </c>
      <c r="B1442" s="2" t="str">
        <f>IFERROR(__xludf.DUMMYFUNCTION("""COMPUTED_VALUE"""),"CHITTAGONG")</f>
        <v>CHITTAGONG</v>
      </c>
      <c r="C1442" s="4">
        <f>IFERROR(__xludf.DUMMYFUNCTION("""COMPUTED_VALUE"""),35.0)</f>
        <v>35</v>
      </c>
      <c r="D1442" s="2" t="str">
        <f>IFERROR(__xludf.DUMMYFUNCTION("""COMPUTED_VALUE"""),"BANGLADESH KRISHI BANK")</f>
        <v>BANGLADESH KRISHI BANK</v>
      </c>
      <c r="E1442" s="2" t="str">
        <f>IFERROR(__xludf.DUMMYFUNCTION("""COMPUTED_VALUE"""),"AGRABAD")</f>
        <v>AGRABAD</v>
      </c>
      <c r="F1442" s="4">
        <f>IFERROR(__xludf.DUMMYFUNCTION("""COMPUTED_VALUE"""),13.0)</f>
        <v>13</v>
      </c>
      <c r="G1442" s="5">
        <f>IFERROR(__xludf.DUMMYFUNCTION("""COMPUTED_VALUE"""),3.5150138E7)</f>
        <v>35150138</v>
      </c>
    </row>
    <row r="1443">
      <c r="A1443" s="3">
        <f>IFERROR(__xludf.DUMMYFUNCTION("""COMPUTED_VALUE"""),215.0)</f>
        <v>215</v>
      </c>
      <c r="B1443" s="2" t="str">
        <f>IFERROR(__xludf.DUMMYFUNCTION("""COMPUTED_VALUE"""),"CHITTAGONG")</f>
        <v>CHITTAGONG</v>
      </c>
      <c r="C1443" s="4">
        <f>IFERROR(__xludf.DUMMYFUNCTION("""COMPUTED_VALUE"""),35.0)</f>
        <v>35</v>
      </c>
      <c r="D1443" s="2" t="str">
        <f>IFERROR(__xludf.DUMMYFUNCTION("""COMPUTED_VALUE"""),"BANGLADESH KRISHI BANK")</f>
        <v>BANGLADESH KRISHI BANK</v>
      </c>
      <c r="E1443" s="2" t="str">
        <f>IFERROR(__xludf.DUMMYFUNCTION("""COMPUTED_VALUE"""),"ALAMSHAH PARA MADRASHA")</f>
        <v>ALAMSHAH PARA MADRASHA</v>
      </c>
      <c r="F1443" s="4">
        <f>IFERROR(__xludf.DUMMYFUNCTION("""COMPUTED_VALUE"""),22.0)</f>
        <v>22</v>
      </c>
      <c r="G1443" s="5">
        <f>IFERROR(__xludf.DUMMYFUNCTION("""COMPUTED_VALUE"""),3.515022E7)</f>
        <v>35150220</v>
      </c>
    </row>
    <row r="1444">
      <c r="A1444" s="3">
        <f>IFERROR(__xludf.DUMMYFUNCTION("""COMPUTED_VALUE"""),215.0)</f>
        <v>215</v>
      </c>
      <c r="B1444" s="2" t="str">
        <f>IFERROR(__xludf.DUMMYFUNCTION("""COMPUTED_VALUE"""),"CHITTAGONG")</f>
        <v>CHITTAGONG</v>
      </c>
      <c r="C1444" s="4">
        <f>IFERROR(__xludf.DUMMYFUNCTION("""COMPUTED_VALUE"""),35.0)</f>
        <v>35</v>
      </c>
      <c r="D1444" s="2" t="str">
        <f>IFERROR(__xludf.DUMMYFUNCTION("""COMPUTED_VALUE"""),"BANGLADESH KRISHI BANK")</f>
        <v>BANGLADESH KRISHI BANK</v>
      </c>
      <c r="E1444" s="2" t="str">
        <f>IFERROR(__xludf.DUMMYFUNCTION("""COMPUTED_VALUE"""),"ASRAF ALI CHOWDHURY HAT")</f>
        <v>ASRAF ALI CHOWDHURY HAT</v>
      </c>
      <c r="F1444" s="4">
        <f>IFERROR(__xludf.DUMMYFUNCTION("""COMPUTED_VALUE"""),24.0)</f>
        <v>24</v>
      </c>
      <c r="G1444" s="5">
        <f>IFERROR(__xludf.DUMMYFUNCTION("""COMPUTED_VALUE"""),3.5150246E7)</f>
        <v>35150246</v>
      </c>
    </row>
    <row r="1445">
      <c r="A1445" s="3">
        <f>IFERROR(__xludf.DUMMYFUNCTION("""COMPUTED_VALUE"""),215.0)</f>
        <v>215</v>
      </c>
      <c r="B1445" s="2" t="str">
        <f>IFERROR(__xludf.DUMMYFUNCTION("""COMPUTED_VALUE"""),"CHITTAGONG")</f>
        <v>CHITTAGONG</v>
      </c>
      <c r="C1445" s="4">
        <f>IFERROR(__xludf.DUMMYFUNCTION("""COMPUTED_VALUE"""),35.0)</f>
        <v>35</v>
      </c>
      <c r="D1445" s="2" t="str">
        <f>IFERROR(__xludf.DUMMYFUNCTION("""COMPUTED_VALUE"""),"BANGLADESH KRISHI BANK")</f>
        <v>BANGLADESH KRISHI BANK</v>
      </c>
      <c r="E1445" s="2" t="str">
        <f>IFERROR(__xludf.DUMMYFUNCTION("""COMPUTED_VALUE"""),"ANOWARA")</f>
        <v>ANOWARA</v>
      </c>
      <c r="F1445" s="4">
        <f>IFERROR(__xludf.DUMMYFUNCTION("""COMPUTED_VALUE"""),52.0)</f>
        <v>52</v>
      </c>
      <c r="G1445" s="5">
        <f>IFERROR(__xludf.DUMMYFUNCTION("""COMPUTED_VALUE"""),3.5150525E7)</f>
        <v>35150525</v>
      </c>
    </row>
    <row r="1446">
      <c r="A1446" s="3">
        <f>IFERROR(__xludf.DUMMYFUNCTION("""COMPUTED_VALUE"""),215.0)</f>
        <v>215</v>
      </c>
      <c r="B1446" s="2" t="str">
        <f>IFERROR(__xludf.DUMMYFUNCTION("""COMPUTED_VALUE"""),"CHITTAGONG")</f>
        <v>CHITTAGONG</v>
      </c>
      <c r="C1446" s="4">
        <f>IFERROR(__xludf.DUMMYFUNCTION("""COMPUTED_VALUE"""),35.0)</f>
        <v>35</v>
      </c>
      <c r="D1446" s="2" t="str">
        <f>IFERROR(__xludf.DUMMYFUNCTION("""COMPUTED_VALUE"""),"BANGLADESH KRISHI BANK")</f>
        <v>BANGLADESH KRISHI BANK</v>
      </c>
      <c r="E1446" s="2" t="str">
        <f>IFERROR(__xludf.DUMMYFUNCTION("""COMPUTED_VALUE"""),"AZADI BAZAR")</f>
        <v>AZADI BAZAR</v>
      </c>
      <c r="F1446" s="4">
        <f>IFERROR(__xludf.DUMMYFUNCTION("""COMPUTED_VALUE"""),73.0)</f>
        <v>73</v>
      </c>
      <c r="G1446" s="5">
        <f>IFERROR(__xludf.DUMMYFUNCTION("""COMPUTED_VALUE"""),3.5150738E7)</f>
        <v>35150738</v>
      </c>
    </row>
    <row r="1447">
      <c r="A1447" s="3">
        <f>IFERROR(__xludf.DUMMYFUNCTION("""COMPUTED_VALUE"""),215.0)</f>
        <v>215</v>
      </c>
      <c r="B1447" s="2" t="str">
        <f>IFERROR(__xludf.DUMMYFUNCTION("""COMPUTED_VALUE"""),"CHITTAGONG")</f>
        <v>CHITTAGONG</v>
      </c>
      <c r="C1447" s="4">
        <f>IFERROR(__xludf.DUMMYFUNCTION("""COMPUTED_VALUE"""),35.0)</f>
        <v>35</v>
      </c>
      <c r="D1447" s="2" t="str">
        <f>IFERROR(__xludf.DUMMYFUNCTION("""COMPUTED_VALUE"""),"BANGLADESH KRISHI BANK")</f>
        <v>BANGLADESH KRISHI BANK</v>
      </c>
      <c r="E1447" s="2" t="str">
        <f>IFERROR(__xludf.DUMMYFUNCTION("""COMPUTED_VALUE"""),"BADAMTALI")</f>
        <v>BADAMTALI</v>
      </c>
      <c r="F1447" s="4">
        <f>IFERROR(__xludf.DUMMYFUNCTION("""COMPUTED_VALUE"""),76.0)</f>
        <v>76</v>
      </c>
      <c r="G1447" s="5">
        <f>IFERROR(__xludf.DUMMYFUNCTION("""COMPUTED_VALUE"""),3.5150767E7)</f>
        <v>35150767</v>
      </c>
    </row>
    <row r="1448">
      <c r="A1448" s="3">
        <f>IFERROR(__xludf.DUMMYFUNCTION("""COMPUTED_VALUE"""),215.0)</f>
        <v>215</v>
      </c>
      <c r="B1448" s="2" t="str">
        <f>IFERROR(__xludf.DUMMYFUNCTION("""COMPUTED_VALUE"""),"CHITTAGONG")</f>
        <v>CHITTAGONG</v>
      </c>
      <c r="C1448" s="4">
        <f>IFERROR(__xludf.DUMMYFUNCTION("""COMPUTED_VALUE"""),35.0)</f>
        <v>35</v>
      </c>
      <c r="D1448" s="2" t="str">
        <f>IFERROR(__xludf.DUMMYFUNCTION("""COMPUTED_VALUE"""),"BANGLADESH KRISHI BANK")</f>
        <v>BANGLADESH KRISHI BANK</v>
      </c>
      <c r="E1448" s="2" t="str">
        <f>IFERROR(__xludf.DUMMYFUNCTION("""COMPUTED_VALUE"""),"BAMANSUNDER DAROGA HAT")</f>
        <v>BAMANSUNDER DAROGA HAT</v>
      </c>
      <c r="F1448" s="4">
        <f>IFERROR(__xludf.DUMMYFUNCTION("""COMPUTED_VALUE"""),88.0)</f>
        <v>88</v>
      </c>
      <c r="G1448" s="5">
        <f>IFERROR(__xludf.DUMMYFUNCTION("""COMPUTED_VALUE"""),3.5150888E7)</f>
        <v>35150888</v>
      </c>
    </row>
    <row r="1449">
      <c r="A1449" s="3">
        <f>IFERROR(__xludf.DUMMYFUNCTION("""COMPUTED_VALUE"""),215.0)</f>
        <v>215</v>
      </c>
      <c r="B1449" s="2" t="str">
        <f>IFERROR(__xludf.DUMMYFUNCTION("""COMPUTED_VALUE"""),"CHITTAGONG")</f>
        <v>CHITTAGONG</v>
      </c>
      <c r="C1449" s="4">
        <f>IFERROR(__xludf.DUMMYFUNCTION("""COMPUTED_VALUE"""),35.0)</f>
        <v>35</v>
      </c>
      <c r="D1449" s="2" t="str">
        <f>IFERROR(__xludf.DUMMYFUNCTION("""COMPUTED_VALUE"""),"BANGLADESH KRISHI BANK")</f>
        <v>BANGLADESH KRISHI BANK</v>
      </c>
      <c r="E1449" s="2" t="str">
        <f>IFERROR(__xludf.DUMMYFUNCTION("""COMPUTED_VALUE"""),"BANSHKHALI")</f>
        <v>BANSHKHALI</v>
      </c>
      <c r="F1449" s="4">
        <f>IFERROR(__xludf.DUMMYFUNCTION("""COMPUTED_VALUE"""),97.0)</f>
        <v>97</v>
      </c>
      <c r="G1449" s="5">
        <f>IFERROR(__xludf.DUMMYFUNCTION("""COMPUTED_VALUE"""),3.515097E7)</f>
        <v>35150970</v>
      </c>
    </row>
    <row r="1450">
      <c r="A1450" s="3">
        <f>IFERROR(__xludf.DUMMYFUNCTION("""COMPUTED_VALUE"""),215.0)</f>
        <v>215</v>
      </c>
      <c r="B1450" s="2" t="str">
        <f>IFERROR(__xludf.DUMMYFUNCTION("""COMPUTED_VALUE"""),"CHITTAGONG")</f>
        <v>CHITTAGONG</v>
      </c>
      <c r="C1450" s="4">
        <f>IFERROR(__xludf.DUMMYFUNCTION("""COMPUTED_VALUE"""),35.0)</f>
        <v>35</v>
      </c>
      <c r="D1450" s="2" t="str">
        <f>IFERROR(__xludf.DUMMYFUNCTION("""COMPUTED_VALUE"""),"BANGLADESH KRISHI BANK")</f>
        <v>BANGLADESH KRISHI BANK</v>
      </c>
      <c r="E1450" s="2" t="str">
        <f>IFERROR(__xludf.DUMMYFUNCTION("""COMPUTED_VALUE"""),"BARAIYA DHALA")</f>
        <v>BARAIYA DHALA</v>
      </c>
      <c r="F1450" s="4">
        <f>IFERROR(__xludf.DUMMYFUNCTION("""COMPUTED_VALUE"""),106.0)</f>
        <v>106</v>
      </c>
      <c r="G1450" s="5">
        <f>IFERROR(__xludf.DUMMYFUNCTION("""COMPUTED_VALUE"""),3.5151061E7)</f>
        <v>35151061</v>
      </c>
    </row>
    <row r="1451">
      <c r="A1451" s="3">
        <f>IFERROR(__xludf.DUMMYFUNCTION("""COMPUTED_VALUE"""),215.0)</f>
        <v>215</v>
      </c>
      <c r="B1451" s="2" t="str">
        <f>IFERROR(__xludf.DUMMYFUNCTION("""COMPUTED_VALUE"""),"CHITTAGONG")</f>
        <v>CHITTAGONG</v>
      </c>
      <c r="C1451" s="4">
        <f>IFERROR(__xludf.DUMMYFUNCTION("""COMPUTED_VALUE"""),35.0)</f>
        <v>35</v>
      </c>
      <c r="D1451" s="2" t="str">
        <f>IFERROR(__xludf.DUMMYFUNCTION("""COMPUTED_VALUE"""),"BANGLADESH KRISHI BANK")</f>
        <v>BANGLADESH KRISHI BANK</v>
      </c>
      <c r="E1451" s="2" t="str">
        <f>IFERROR(__xludf.DUMMYFUNCTION("""COMPUTED_VALUE"""),"BARAIYER HAT")</f>
        <v>BARAIYER HAT</v>
      </c>
      <c r="F1451" s="4">
        <f>IFERROR(__xludf.DUMMYFUNCTION("""COMPUTED_VALUE"""),109.0)</f>
        <v>109</v>
      </c>
      <c r="G1451" s="5">
        <f>IFERROR(__xludf.DUMMYFUNCTION("""COMPUTED_VALUE"""),3.515109E7)</f>
        <v>35151090</v>
      </c>
    </row>
    <row r="1452">
      <c r="A1452" s="3">
        <f>IFERROR(__xludf.DUMMYFUNCTION("""COMPUTED_VALUE"""),215.0)</f>
        <v>215</v>
      </c>
      <c r="B1452" s="2" t="str">
        <f>IFERROR(__xludf.DUMMYFUNCTION("""COMPUTED_VALUE"""),"CHITTAGONG")</f>
        <v>CHITTAGONG</v>
      </c>
      <c r="C1452" s="4">
        <f>IFERROR(__xludf.DUMMYFUNCTION("""COMPUTED_VALUE"""),35.0)</f>
        <v>35</v>
      </c>
      <c r="D1452" s="2" t="str">
        <f>IFERROR(__xludf.DUMMYFUNCTION("""COMPUTED_VALUE"""),"BANGLADESH KRISHI BANK")</f>
        <v>BANGLADESH KRISHI BANK</v>
      </c>
      <c r="E1452" s="2" t="str">
        <f>IFERROR(__xludf.DUMMYFUNCTION("""COMPUTED_VALUE"""),"BOALKHALI")</f>
        <v>BOALKHALI</v>
      </c>
      <c r="F1452" s="4">
        <f>IFERROR(__xludf.DUMMYFUNCTION("""COMPUTED_VALUE"""),130.0)</f>
        <v>130</v>
      </c>
      <c r="G1452" s="5">
        <f>IFERROR(__xludf.DUMMYFUNCTION("""COMPUTED_VALUE"""),3.5151308E7)</f>
        <v>35151308</v>
      </c>
    </row>
    <row r="1453">
      <c r="A1453" s="3">
        <f>IFERROR(__xludf.DUMMYFUNCTION("""COMPUTED_VALUE"""),215.0)</f>
        <v>215</v>
      </c>
      <c r="B1453" s="2" t="str">
        <f>IFERROR(__xludf.DUMMYFUNCTION("""COMPUTED_VALUE"""),"CHITTAGONG")</f>
        <v>CHITTAGONG</v>
      </c>
      <c r="C1453" s="4">
        <f>IFERROR(__xludf.DUMMYFUNCTION("""COMPUTED_VALUE"""),35.0)</f>
        <v>35</v>
      </c>
      <c r="D1453" s="2" t="str">
        <f>IFERROR(__xludf.DUMMYFUNCTION("""COMPUTED_VALUE"""),"BANGLADESH KRISHI BANK")</f>
        <v>BANGLADESH KRISHI BANK</v>
      </c>
      <c r="E1453" s="2" t="str">
        <f>IFERROR(__xludf.DUMMYFUNCTION("""COMPUTED_VALUE"""),"BOMANGHAT")</f>
        <v>BOMANGHAT</v>
      </c>
      <c r="F1453" s="4">
        <f>IFERROR(__xludf.DUMMYFUNCTION("""COMPUTED_VALUE"""),133.0)</f>
        <v>133</v>
      </c>
      <c r="G1453" s="5">
        <f>IFERROR(__xludf.DUMMYFUNCTION("""COMPUTED_VALUE"""),3.5151337E7)</f>
        <v>35151337</v>
      </c>
    </row>
    <row r="1454">
      <c r="A1454" s="3">
        <f>IFERROR(__xludf.DUMMYFUNCTION("""COMPUTED_VALUE"""),215.0)</f>
        <v>215</v>
      </c>
      <c r="B1454" s="2" t="str">
        <f>IFERROR(__xludf.DUMMYFUNCTION("""COMPUTED_VALUE"""),"CHITTAGONG")</f>
        <v>CHITTAGONG</v>
      </c>
      <c r="C1454" s="4">
        <f>IFERROR(__xludf.DUMMYFUNCTION("""COMPUTED_VALUE"""),35.0)</f>
        <v>35</v>
      </c>
      <c r="D1454" s="2" t="str">
        <f>IFERROR(__xludf.DUMMYFUNCTION("""COMPUTED_VALUE"""),"BANGLADESH KRISHI BANK")</f>
        <v>BANGLADESH KRISHI BANK</v>
      </c>
      <c r="E1454" s="2" t="str">
        <f>IFERROR(__xludf.DUMMYFUNCTION("""COMPUTED_VALUE"""),"BUDPURA HAT")</f>
        <v>BUDPURA HAT</v>
      </c>
      <c r="F1454" s="4">
        <f>IFERROR(__xludf.DUMMYFUNCTION("""COMPUTED_VALUE"""),142.0)</f>
        <v>142</v>
      </c>
      <c r="G1454" s="5">
        <f>IFERROR(__xludf.DUMMYFUNCTION("""COMPUTED_VALUE"""),3.5151429E7)</f>
        <v>35151429</v>
      </c>
    </row>
    <row r="1455">
      <c r="A1455" s="3">
        <f>IFERROR(__xludf.DUMMYFUNCTION("""COMPUTED_VALUE"""),215.0)</f>
        <v>215</v>
      </c>
      <c r="B1455" s="2" t="str">
        <f>IFERROR(__xludf.DUMMYFUNCTION("""COMPUTED_VALUE"""),"CHITTAGONG")</f>
        <v>CHITTAGONG</v>
      </c>
      <c r="C1455" s="4">
        <f>IFERROR(__xludf.DUMMYFUNCTION("""COMPUTED_VALUE"""),35.0)</f>
        <v>35</v>
      </c>
      <c r="D1455" s="2" t="str">
        <f>IFERROR(__xludf.DUMMYFUNCTION("""COMPUTED_VALUE"""),"BANGLADESH KRISHI BANK")</f>
        <v>BANGLADESH KRISHI BANK</v>
      </c>
      <c r="E1455" s="2" t="str">
        <f>IFERROR(__xludf.DUMMYFUNCTION("""COMPUTED_VALUE"""),"CHAKTAI")</f>
        <v>CHAKTAI</v>
      </c>
      <c r="F1455" s="4">
        <f>IFERROR(__xludf.DUMMYFUNCTION("""COMPUTED_VALUE"""),178.0)</f>
        <v>178</v>
      </c>
      <c r="G1455" s="5">
        <f>IFERROR(__xludf.DUMMYFUNCTION("""COMPUTED_VALUE"""),3.5151782E7)</f>
        <v>35151782</v>
      </c>
    </row>
    <row r="1456">
      <c r="A1456" s="3">
        <f>IFERROR(__xludf.DUMMYFUNCTION("""COMPUTED_VALUE"""),215.0)</f>
        <v>215</v>
      </c>
      <c r="B1456" s="2" t="str">
        <f>IFERROR(__xludf.DUMMYFUNCTION("""COMPUTED_VALUE"""),"CHITTAGONG")</f>
        <v>CHITTAGONG</v>
      </c>
      <c r="C1456" s="4">
        <f>IFERROR(__xludf.DUMMYFUNCTION("""COMPUTED_VALUE"""),35.0)</f>
        <v>35</v>
      </c>
      <c r="D1456" s="2" t="str">
        <f>IFERROR(__xludf.DUMMYFUNCTION("""COMPUTED_VALUE"""),"BANGLADESH KRISHI BANK")</f>
        <v>BANGLADESH KRISHI BANK</v>
      </c>
      <c r="E1456" s="2" t="str">
        <f>IFERROR(__xludf.DUMMYFUNCTION("""COMPUTED_VALUE"""),"CHANDANAISH")</f>
        <v>CHANDANAISH</v>
      </c>
      <c r="F1456" s="4">
        <f>IFERROR(__xludf.DUMMYFUNCTION("""COMPUTED_VALUE"""),181.0)</f>
        <v>181</v>
      </c>
      <c r="G1456" s="5">
        <f>IFERROR(__xludf.DUMMYFUNCTION("""COMPUTED_VALUE"""),3.5151816E7)</f>
        <v>35151816</v>
      </c>
    </row>
    <row r="1457">
      <c r="A1457" s="3">
        <f>IFERROR(__xludf.DUMMYFUNCTION("""COMPUTED_VALUE"""),215.0)</f>
        <v>215</v>
      </c>
      <c r="B1457" s="2" t="str">
        <f>IFERROR(__xludf.DUMMYFUNCTION("""COMPUTED_VALUE"""),"CHITTAGONG")</f>
        <v>CHITTAGONG</v>
      </c>
      <c r="C1457" s="4">
        <f>IFERROR(__xludf.DUMMYFUNCTION("""COMPUTED_VALUE"""),35.0)</f>
        <v>35</v>
      </c>
      <c r="D1457" s="2" t="str">
        <f>IFERROR(__xludf.DUMMYFUNCTION("""COMPUTED_VALUE"""),"BANGLADESH KRISHI BANK")</f>
        <v>BANGLADESH KRISHI BANK</v>
      </c>
      <c r="E1457" s="2" t="str">
        <f>IFERROR(__xludf.DUMMYFUNCTION("""COMPUTED_VALUE"""),"CHATARI")</f>
        <v>CHATARI</v>
      </c>
      <c r="F1457" s="4">
        <f>IFERROR(__xludf.DUMMYFUNCTION("""COMPUTED_VALUE"""),187.0)</f>
        <v>187</v>
      </c>
      <c r="G1457" s="5">
        <f>IFERROR(__xludf.DUMMYFUNCTION("""COMPUTED_VALUE"""),3.5151874E7)</f>
        <v>35151874</v>
      </c>
    </row>
    <row r="1458">
      <c r="A1458" s="3">
        <f>IFERROR(__xludf.DUMMYFUNCTION("""COMPUTED_VALUE"""),215.0)</f>
        <v>215</v>
      </c>
      <c r="B1458" s="2" t="str">
        <f>IFERROR(__xludf.DUMMYFUNCTION("""COMPUTED_VALUE"""),"CHITTAGONG")</f>
        <v>CHITTAGONG</v>
      </c>
      <c r="C1458" s="4">
        <f>IFERROR(__xludf.DUMMYFUNCTION("""COMPUTED_VALUE"""),35.0)</f>
        <v>35</v>
      </c>
      <c r="D1458" s="2" t="str">
        <f>IFERROR(__xludf.DUMMYFUNCTION("""COMPUTED_VALUE"""),"BANGLADESH KRISHI BANK")</f>
        <v>BANGLADESH KRISHI BANK</v>
      </c>
      <c r="E1458" s="2" t="str">
        <f>IFERROR(__xludf.DUMMYFUNCTION("""COMPUTED_VALUE"""),"CHITTAGONG")</f>
        <v>CHITTAGONG</v>
      </c>
      <c r="F1458" s="4">
        <f>IFERROR(__xludf.DUMMYFUNCTION("""COMPUTED_VALUE"""),196.0)</f>
        <v>196</v>
      </c>
      <c r="G1458" s="5">
        <f>IFERROR(__xludf.DUMMYFUNCTION("""COMPUTED_VALUE"""),3.5151966E7)</f>
        <v>35151966</v>
      </c>
    </row>
    <row r="1459">
      <c r="A1459" s="3">
        <f>IFERROR(__xludf.DUMMYFUNCTION("""COMPUTED_VALUE"""),215.0)</f>
        <v>215</v>
      </c>
      <c r="B1459" s="2" t="str">
        <f>IFERROR(__xludf.DUMMYFUNCTION("""COMPUTED_VALUE"""),"CHITTAGONG")</f>
        <v>CHITTAGONG</v>
      </c>
      <c r="C1459" s="4">
        <f>IFERROR(__xludf.DUMMYFUNCTION("""COMPUTED_VALUE"""),35.0)</f>
        <v>35</v>
      </c>
      <c r="D1459" s="2" t="str">
        <f>IFERROR(__xludf.DUMMYFUNCTION("""COMPUTED_VALUE"""),"BANGLADESH KRISHI BANK")</f>
        <v>BANGLADESH KRISHI BANK</v>
      </c>
      <c r="E1459" s="2" t="str">
        <f>IFERROR(__xludf.DUMMYFUNCTION("""COMPUTED_VALUE"""),"COLLEGE BAZAR")</f>
        <v>COLLEGE BAZAR</v>
      </c>
      <c r="F1459" s="4">
        <f>IFERROR(__xludf.DUMMYFUNCTION("""COMPUTED_VALUE"""),223.0)</f>
        <v>223</v>
      </c>
      <c r="G1459" s="5">
        <f>IFERROR(__xludf.DUMMYFUNCTION("""COMPUTED_VALUE"""),3.5152231E7)</f>
        <v>35152231</v>
      </c>
    </row>
    <row r="1460">
      <c r="A1460" s="3">
        <f>IFERROR(__xludf.DUMMYFUNCTION("""COMPUTED_VALUE"""),215.0)</f>
        <v>215</v>
      </c>
      <c r="B1460" s="2" t="str">
        <f>IFERROR(__xludf.DUMMYFUNCTION("""COMPUTED_VALUE"""),"CHITTAGONG")</f>
        <v>CHITTAGONG</v>
      </c>
      <c r="C1460" s="4">
        <f>IFERROR(__xludf.DUMMYFUNCTION("""COMPUTED_VALUE"""),35.0)</f>
        <v>35</v>
      </c>
      <c r="D1460" s="2" t="str">
        <f>IFERROR(__xludf.DUMMYFUNCTION("""COMPUTED_VALUE"""),"BANGLADESH KRISHI BANK")</f>
        <v>BANGLADESH KRISHI BANK</v>
      </c>
      <c r="E1460" s="2" t="str">
        <f>IFERROR(__xludf.DUMMYFUNCTION("""COMPUTED_VALUE"""),"DHOPARHAT")</f>
        <v>DHOPARHAT</v>
      </c>
      <c r="F1460" s="4">
        <f>IFERROR(__xludf.DUMMYFUNCTION("""COMPUTED_VALUE"""),253.0)</f>
        <v>253</v>
      </c>
      <c r="G1460" s="5">
        <f>IFERROR(__xludf.DUMMYFUNCTION("""COMPUTED_VALUE"""),3.5152536E7)</f>
        <v>35152536</v>
      </c>
    </row>
    <row r="1461">
      <c r="A1461" s="3">
        <f>IFERROR(__xludf.DUMMYFUNCTION("""COMPUTED_VALUE"""),215.0)</f>
        <v>215</v>
      </c>
      <c r="B1461" s="2" t="str">
        <f>IFERROR(__xludf.DUMMYFUNCTION("""COMPUTED_VALUE"""),"CHITTAGONG")</f>
        <v>CHITTAGONG</v>
      </c>
      <c r="C1461" s="4">
        <f>IFERROR(__xludf.DUMMYFUNCTION("""COMPUTED_VALUE"""),35.0)</f>
        <v>35</v>
      </c>
      <c r="D1461" s="2" t="str">
        <f>IFERROR(__xludf.DUMMYFUNCTION("""COMPUTED_VALUE"""),"BANGLADESH KRISHI BANK")</f>
        <v>BANGLADESH KRISHI BANK</v>
      </c>
      <c r="E1461" s="2" t="str">
        <f>IFERROR(__xludf.DUMMYFUNCTION("""COMPUTED_VALUE"""),"DOHAZARI")</f>
        <v>DOHAZARI</v>
      </c>
      <c r="F1461" s="4">
        <f>IFERROR(__xludf.DUMMYFUNCTION("""COMPUTED_VALUE"""),256.0)</f>
        <v>256</v>
      </c>
      <c r="G1461" s="5">
        <f>IFERROR(__xludf.DUMMYFUNCTION("""COMPUTED_VALUE"""),3.5152565E7)</f>
        <v>35152565</v>
      </c>
    </row>
    <row r="1462">
      <c r="A1462" s="3">
        <f>IFERROR(__xludf.DUMMYFUNCTION("""COMPUTED_VALUE"""),215.0)</f>
        <v>215</v>
      </c>
      <c r="B1462" s="2" t="str">
        <f>IFERROR(__xludf.DUMMYFUNCTION("""COMPUTED_VALUE"""),"CHITTAGONG")</f>
        <v>CHITTAGONG</v>
      </c>
      <c r="C1462" s="4">
        <f>IFERROR(__xludf.DUMMYFUNCTION("""COMPUTED_VALUE"""),35.0)</f>
        <v>35</v>
      </c>
      <c r="D1462" s="2" t="str">
        <f>IFERROR(__xludf.DUMMYFUNCTION("""COMPUTED_VALUE"""),"BANGLADESH KRISHI BANK")</f>
        <v>BANGLADESH KRISHI BANK</v>
      </c>
      <c r="E1462" s="2" t="str">
        <f>IFERROR(__xludf.DUMMYFUNCTION("""COMPUTED_VALUE"""),"FATIKCHARI")</f>
        <v>FATIKCHARI</v>
      </c>
      <c r="F1462" s="4">
        <f>IFERROR(__xludf.DUMMYFUNCTION("""COMPUTED_VALUE"""),274.0)</f>
        <v>274</v>
      </c>
      <c r="G1462" s="5">
        <f>IFERROR(__xludf.DUMMYFUNCTION("""COMPUTED_VALUE"""),3.5152749E7)</f>
        <v>35152749</v>
      </c>
    </row>
    <row r="1463">
      <c r="A1463" s="3">
        <f>IFERROR(__xludf.DUMMYFUNCTION("""COMPUTED_VALUE"""),215.0)</f>
        <v>215</v>
      </c>
      <c r="B1463" s="2" t="str">
        <f>IFERROR(__xludf.DUMMYFUNCTION("""COMPUTED_VALUE"""),"CHITTAGONG")</f>
        <v>CHITTAGONG</v>
      </c>
      <c r="C1463" s="4">
        <f>IFERROR(__xludf.DUMMYFUNCTION("""COMPUTED_VALUE"""),35.0)</f>
        <v>35</v>
      </c>
      <c r="D1463" s="2" t="str">
        <f>IFERROR(__xludf.DUMMYFUNCTION("""COMPUTED_VALUE"""),"BANGLADESH KRISHI BANK")</f>
        <v>BANGLADESH KRISHI BANK</v>
      </c>
      <c r="E1463" s="2" t="str">
        <f>IFERROR(__xludf.DUMMYFUNCTION("""COMPUTED_VALUE"""),"FAZILKHAR HAT")</f>
        <v>FAZILKHAR HAT</v>
      </c>
      <c r="F1463" s="4">
        <f>IFERROR(__xludf.DUMMYFUNCTION("""COMPUTED_VALUE"""),277.0)</f>
        <v>277</v>
      </c>
      <c r="G1463" s="5">
        <f>IFERROR(__xludf.DUMMYFUNCTION("""COMPUTED_VALUE"""),3.5152778E7)</f>
        <v>35152778</v>
      </c>
    </row>
    <row r="1464">
      <c r="A1464" s="3">
        <f>IFERROR(__xludf.DUMMYFUNCTION("""COMPUTED_VALUE"""),215.0)</f>
        <v>215</v>
      </c>
      <c r="B1464" s="2" t="str">
        <f>IFERROR(__xludf.DUMMYFUNCTION("""COMPUTED_VALUE"""),"CHITTAGONG")</f>
        <v>CHITTAGONG</v>
      </c>
      <c r="C1464" s="4">
        <f>IFERROR(__xludf.DUMMYFUNCTION("""COMPUTED_VALUE"""),35.0)</f>
        <v>35</v>
      </c>
      <c r="D1464" s="2" t="str">
        <f>IFERROR(__xludf.DUMMYFUNCTION("""COMPUTED_VALUE"""),"BANGLADESH KRISHI BANK")</f>
        <v>BANGLADESH KRISHI BANK</v>
      </c>
      <c r="E1464" s="2" t="str">
        <f>IFERROR(__xludf.DUMMYFUNCTION("""COMPUTED_VALUE"""),"GASUA")</f>
        <v>GASUA</v>
      </c>
      <c r="F1464" s="4">
        <f>IFERROR(__xludf.DUMMYFUNCTION("""COMPUTED_VALUE"""),292.0)</f>
        <v>292</v>
      </c>
      <c r="G1464" s="5">
        <f>IFERROR(__xludf.DUMMYFUNCTION("""COMPUTED_VALUE"""),3.5152923E7)</f>
        <v>35152923</v>
      </c>
    </row>
    <row r="1465">
      <c r="A1465" s="3">
        <f>IFERROR(__xludf.DUMMYFUNCTION("""COMPUTED_VALUE"""),215.0)</f>
        <v>215</v>
      </c>
      <c r="B1465" s="2" t="str">
        <f>IFERROR(__xludf.DUMMYFUNCTION("""COMPUTED_VALUE"""),"CHITTAGONG")</f>
        <v>CHITTAGONG</v>
      </c>
      <c r="C1465" s="4">
        <f>IFERROR(__xludf.DUMMYFUNCTION("""COMPUTED_VALUE"""),35.0)</f>
        <v>35</v>
      </c>
      <c r="D1465" s="2" t="str">
        <f>IFERROR(__xludf.DUMMYFUNCTION("""COMPUTED_VALUE"""),"BANGLADESH KRISHI BANK")</f>
        <v>BANGLADESH KRISHI BANK</v>
      </c>
      <c r="E1465" s="2" t="str">
        <f>IFERROR(__xludf.DUMMYFUNCTION("""COMPUTED_VALUE"""),"HATHAZARI")</f>
        <v>HATHAZARI</v>
      </c>
      <c r="F1465" s="4">
        <f>IFERROR(__xludf.DUMMYFUNCTION("""COMPUTED_VALUE"""),322.0)</f>
        <v>322</v>
      </c>
      <c r="G1465" s="5">
        <f>IFERROR(__xludf.DUMMYFUNCTION("""COMPUTED_VALUE"""),3.5153227E7)</f>
        <v>35153227</v>
      </c>
    </row>
    <row r="1466">
      <c r="A1466" s="3">
        <f>IFERROR(__xludf.DUMMYFUNCTION("""COMPUTED_VALUE"""),215.0)</f>
        <v>215</v>
      </c>
      <c r="B1466" s="2" t="str">
        <f>IFERROR(__xludf.DUMMYFUNCTION("""COMPUTED_VALUE"""),"CHITTAGONG")</f>
        <v>CHITTAGONG</v>
      </c>
      <c r="C1466" s="4">
        <f>IFERROR(__xludf.DUMMYFUNCTION("""COMPUTED_VALUE"""),35.0)</f>
        <v>35</v>
      </c>
      <c r="D1466" s="2" t="str">
        <f>IFERROR(__xludf.DUMMYFUNCTION("""COMPUTED_VALUE"""),"BANGLADESH KRISHI BANK")</f>
        <v>BANGLADESH KRISHI BANK</v>
      </c>
      <c r="E1466" s="2" t="str">
        <f>IFERROR(__xludf.DUMMYFUNCTION("""COMPUTED_VALUE"""),"HEAKO")</f>
        <v>HEAKO</v>
      </c>
      <c r="F1466" s="4">
        <f>IFERROR(__xludf.DUMMYFUNCTION("""COMPUTED_VALUE"""),328.0)</f>
        <v>328</v>
      </c>
      <c r="G1466" s="5">
        <f>IFERROR(__xludf.DUMMYFUNCTION("""COMPUTED_VALUE"""),3.5153285E7)</f>
        <v>35153285</v>
      </c>
    </row>
    <row r="1467">
      <c r="A1467" s="3">
        <f>IFERROR(__xludf.DUMMYFUNCTION("""COMPUTED_VALUE"""),215.0)</f>
        <v>215</v>
      </c>
      <c r="B1467" s="2" t="str">
        <f>IFERROR(__xludf.DUMMYFUNCTION("""COMPUTED_VALUE"""),"CHITTAGONG")</f>
        <v>CHITTAGONG</v>
      </c>
      <c r="C1467" s="4">
        <f>IFERROR(__xludf.DUMMYFUNCTION("""COMPUTED_VALUE"""),35.0)</f>
        <v>35</v>
      </c>
      <c r="D1467" s="2" t="str">
        <f>IFERROR(__xludf.DUMMYFUNCTION("""COMPUTED_VALUE"""),"BANGLADESH KRISHI BANK")</f>
        <v>BANGLADESH KRISHI BANK</v>
      </c>
      <c r="E1467" s="2" t="str">
        <f>IFERROR(__xludf.DUMMYFUNCTION("""COMPUTED_VALUE"""),"KALIPUR")</f>
        <v>KALIPUR</v>
      </c>
      <c r="F1467" s="4">
        <f>IFERROR(__xludf.DUMMYFUNCTION("""COMPUTED_VALUE"""),385.0)</f>
        <v>385</v>
      </c>
      <c r="G1467" s="5">
        <f>IFERROR(__xludf.DUMMYFUNCTION("""COMPUTED_VALUE"""),3.5153856E7)</f>
        <v>35153856</v>
      </c>
    </row>
    <row r="1468">
      <c r="A1468" s="3">
        <f>IFERROR(__xludf.DUMMYFUNCTION("""COMPUTED_VALUE"""),215.0)</f>
        <v>215</v>
      </c>
      <c r="B1468" s="2" t="str">
        <f>IFERROR(__xludf.DUMMYFUNCTION("""COMPUTED_VALUE"""),"CHITTAGONG")</f>
        <v>CHITTAGONG</v>
      </c>
      <c r="C1468" s="4">
        <f>IFERROR(__xludf.DUMMYFUNCTION("""COMPUTED_VALUE"""),35.0)</f>
        <v>35</v>
      </c>
      <c r="D1468" s="2" t="str">
        <f>IFERROR(__xludf.DUMMYFUNCTION("""COMPUTED_VALUE"""),"BANGLADESH KRISHI BANK")</f>
        <v>BANGLADESH KRISHI BANK</v>
      </c>
      <c r="E1468" s="2" t="str">
        <f>IFERROR(__xludf.DUMMYFUNCTION("""COMPUTED_VALUE"""),"KAMAL BAZAR")</f>
        <v>KAMAL BAZAR</v>
      </c>
      <c r="F1468" s="4">
        <f>IFERROR(__xludf.DUMMYFUNCTION("""COMPUTED_VALUE"""),397.0)</f>
        <v>397</v>
      </c>
      <c r="G1468" s="5">
        <f>IFERROR(__xludf.DUMMYFUNCTION("""COMPUTED_VALUE"""),3.5153977E7)</f>
        <v>35153977</v>
      </c>
    </row>
    <row r="1469">
      <c r="A1469" s="3">
        <f>IFERROR(__xludf.DUMMYFUNCTION("""COMPUTED_VALUE"""),215.0)</f>
        <v>215</v>
      </c>
      <c r="B1469" s="2" t="str">
        <f>IFERROR(__xludf.DUMMYFUNCTION("""COMPUTED_VALUE"""),"CHITTAGONG")</f>
        <v>CHITTAGONG</v>
      </c>
      <c r="C1469" s="4">
        <f>IFERROR(__xludf.DUMMYFUNCTION("""COMPUTED_VALUE"""),35.0)</f>
        <v>35</v>
      </c>
      <c r="D1469" s="2" t="str">
        <f>IFERROR(__xludf.DUMMYFUNCTION("""COMPUTED_VALUE"""),"BANGLADESH KRISHI BANK")</f>
        <v>BANGLADESH KRISHI BANK</v>
      </c>
      <c r="E1469" s="2" t="str">
        <f>IFERROR(__xludf.DUMMYFUNCTION("""COMPUTED_VALUE"""),"KATIRHAT")</f>
        <v>KATIRHAT</v>
      </c>
      <c r="F1469" s="4">
        <f>IFERROR(__xludf.DUMMYFUNCTION("""COMPUTED_VALUE"""),412.0)</f>
        <v>412</v>
      </c>
      <c r="G1469" s="5">
        <f>IFERROR(__xludf.DUMMYFUNCTION("""COMPUTED_VALUE"""),3.5154121E7)</f>
        <v>35154121</v>
      </c>
    </row>
    <row r="1470">
      <c r="A1470" s="3">
        <f>IFERROR(__xludf.DUMMYFUNCTION("""COMPUTED_VALUE"""),215.0)</f>
        <v>215</v>
      </c>
      <c r="B1470" s="2" t="str">
        <f>IFERROR(__xludf.DUMMYFUNCTION("""COMPUTED_VALUE"""),"CHITTAGONG")</f>
        <v>CHITTAGONG</v>
      </c>
      <c r="C1470" s="4">
        <f>IFERROR(__xludf.DUMMYFUNCTION("""COMPUTED_VALUE"""),35.0)</f>
        <v>35</v>
      </c>
      <c r="D1470" s="2" t="str">
        <f>IFERROR(__xludf.DUMMYFUNCTION("""COMPUTED_VALUE"""),"BANGLADESH KRISHI BANK")</f>
        <v>BANGLADESH KRISHI BANK</v>
      </c>
      <c r="E1470" s="2" t="str">
        <f>IFERROR(__xludf.DUMMYFUNCTION("""COMPUTED_VALUE"""),"KERANIHAT")</f>
        <v>KERANIHAT</v>
      </c>
      <c r="F1470" s="4">
        <f>IFERROR(__xludf.DUMMYFUNCTION("""COMPUTED_VALUE"""),418.0)</f>
        <v>418</v>
      </c>
      <c r="G1470" s="5">
        <f>IFERROR(__xludf.DUMMYFUNCTION("""COMPUTED_VALUE"""),3.5154189E7)</f>
        <v>35154189</v>
      </c>
    </row>
    <row r="1471">
      <c r="A1471" s="3">
        <f>IFERROR(__xludf.DUMMYFUNCTION("""COMPUTED_VALUE"""),215.0)</f>
        <v>215</v>
      </c>
      <c r="B1471" s="2" t="str">
        <f>IFERROR(__xludf.DUMMYFUNCTION("""COMPUTED_VALUE"""),"CHITTAGONG")</f>
        <v>CHITTAGONG</v>
      </c>
      <c r="C1471" s="4">
        <f>IFERROR(__xludf.DUMMYFUNCTION("""COMPUTED_VALUE"""),35.0)</f>
        <v>35</v>
      </c>
      <c r="D1471" s="2" t="str">
        <f>IFERROR(__xludf.DUMMYFUNCTION("""COMPUTED_VALUE"""),"BANGLADESH KRISHI BANK")</f>
        <v>BANGLADESH KRISHI BANK</v>
      </c>
      <c r="E1471" s="2" t="str">
        <f>IFERROR(__xludf.DUMMYFUNCTION("""COMPUTED_VALUE"""),"KHATUNGANJ")</f>
        <v>KHATUNGANJ</v>
      </c>
      <c r="F1471" s="4">
        <f>IFERROR(__xludf.DUMMYFUNCTION("""COMPUTED_VALUE"""),427.0)</f>
        <v>427</v>
      </c>
      <c r="G1471" s="5">
        <f>IFERROR(__xludf.DUMMYFUNCTION("""COMPUTED_VALUE"""),3.5154271E7)</f>
        <v>35154271</v>
      </c>
    </row>
    <row r="1472">
      <c r="A1472" s="3">
        <f>IFERROR(__xludf.DUMMYFUNCTION("""COMPUTED_VALUE"""),215.0)</f>
        <v>215</v>
      </c>
      <c r="B1472" s="2" t="str">
        <f>IFERROR(__xludf.DUMMYFUNCTION("""COMPUTED_VALUE"""),"CHITTAGONG")</f>
        <v>CHITTAGONG</v>
      </c>
      <c r="C1472" s="4">
        <f>IFERROR(__xludf.DUMMYFUNCTION("""COMPUTED_VALUE"""),35.0)</f>
        <v>35</v>
      </c>
      <c r="D1472" s="2" t="str">
        <f>IFERROR(__xludf.DUMMYFUNCTION("""COMPUTED_VALUE"""),"BANGLADESH KRISHI BANK")</f>
        <v>BANGLADESH KRISHI BANK</v>
      </c>
      <c r="E1472" s="2" t="str">
        <f>IFERROR(__xludf.DUMMYFUNCTION("""COMPUTED_VALUE"""),"KHODARHAT")</f>
        <v>KHODARHAT</v>
      </c>
      <c r="F1472" s="4">
        <f>IFERROR(__xludf.DUMMYFUNCTION("""COMPUTED_VALUE"""),433.0)</f>
        <v>433</v>
      </c>
      <c r="G1472" s="5">
        <f>IFERROR(__xludf.DUMMYFUNCTION("""COMPUTED_VALUE"""),3.5154334E7)</f>
        <v>35154334</v>
      </c>
    </row>
    <row r="1473">
      <c r="A1473" s="3">
        <f>IFERROR(__xludf.DUMMYFUNCTION("""COMPUTED_VALUE"""),215.0)</f>
        <v>215</v>
      </c>
      <c r="B1473" s="2" t="str">
        <f>IFERROR(__xludf.DUMMYFUNCTION("""COMPUTED_VALUE"""),"CHITTAGONG")</f>
        <v>CHITTAGONG</v>
      </c>
      <c r="C1473" s="4">
        <f>IFERROR(__xludf.DUMMYFUNCTION("""COMPUTED_VALUE"""),35.0)</f>
        <v>35</v>
      </c>
      <c r="D1473" s="2" t="str">
        <f>IFERROR(__xludf.DUMMYFUNCTION("""COMPUTED_VALUE"""),"BANGLADESH KRISHI BANK")</f>
        <v>BANGLADESH KRISHI BANK</v>
      </c>
      <c r="E1473" s="2" t="str">
        <f>IFERROR(__xludf.DUMMYFUNCTION("""COMPUTED_VALUE"""),"KUMIRA")</f>
        <v>KUMIRA</v>
      </c>
      <c r="F1473" s="4">
        <f>IFERROR(__xludf.DUMMYFUNCTION("""COMPUTED_VALUE"""),445.0)</f>
        <v>445</v>
      </c>
      <c r="G1473" s="5">
        <f>IFERROR(__xludf.DUMMYFUNCTION("""COMPUTED_VALUE"""),3.5154455E7)</f>
        <v>35154455</v>
      </c>
    </row>
    <row r="1474">
      <c r="A1474" s="3">
        <f>IFERROR(__xludf.DUMMYFUNCTION("""COMPUTED_VALUE"""),215.0)</f>
        <v>215</v>
      </c>
      <c r="B1474" s="2" t="str">
        <f>IFERROR(__xludf.DUMMYFUNCTION("""COMPUTED_VALUE"""),"CHITTAGONG")</f>
        <v>CHITTAGONG</v>
      </c>
      <c r="C1474" s="4">
        <f>IFERROR(__xludf.DUMMYFUNCTION("""COMPUTED_VALUE"""),35.0)</f>
        <v>35</v>
      </c>
      <c r="D1474" s="2" t="str">
        <f>IFERROR(__xludf.DUMMYFUNCTION("""COMPUTED_VALUE"""),"BANGLADESH KRISHI BANK")</f>
        <v>BANGLADESH KRISHI BANK</v>
      </c>
      <c r="E1474" s="2" t="str">
        <f>IFERROR(__xludf.DUMMYFUNCTION("""COMPUTED_VALUE"""),"LOHA GARA")</f>
        <v>LOHA GARA</v>
      </c>
      <c r="F1474" s="4">
        <f>IFERROR(__xludf.DUMMYFUNCTION("""COMPUTED_VALUE"""),466.0)</f>
        <v>466</v>
      </c>
      <c r="G1474" s="5">
        <f>IFERROR(__xludf.DUMMYFUNCTION("""COMPUTED_VALUE"""),3.5154668E7)</f>
        <v>35154668</v>
      </c>
    </row>
    <row r="1475">
      <c r="A1475" s="3">
        <f>IFERROR(__xludf.DUMMYFUNCTION("""COMPUTED_VALUE"""),215.0)</f>
        <v>215</v>
      </c>
      <c r="B1475" s="2" t="str">
        <f>IFERROR(__xludf.DUMMYFUNCTION("""COMPUTED_VALUE"""),"CHITTAGONG")</f>
        <v>CHITTAGONG</v>
      </c>
      <c r="C1475" s="4">
        <f>IFERROR(__xludf.DUMMYFUNCTION("""COMPUTED_VALUE"""),35.0)</f>
        <v>35</v>
      </c>
      <c r="D1475" s="2" t="str">
        <f>IFERROR(__xludf.DUMMYFUNCTION("""COMPUTED_VALUE"""),"BANGLADESH KRISHI BANK")</f>
        <v>BANGLADESH KRISHI BANK</v>
      </c>
      <c r="E1475" s="2" t="str">
        <f>IFERROR(__xludf.DUMMYFUNCTION("""COMPUTED_VALUE"""),"MADAN HAT")</f>
        <v>MADAN HAT</v>
      </c>
      <c r="F1475" s="4">
        <f>IFERROR(__xludf.DUMMYFUNCTION("""COMPUTED_VALUE"""),472.0)</f>
        <v>472</v>
      </c>
      <c r="G1475" s="5">
        <f>IFERROR(__xludf.DUMMYFUNCTION("""COMPUTED_VALUE"""),3.5154721E7)</f>
        <v>35154721</v>
      </c>
    </row>
    <row r="1476">
      <c r="A1476" s="3">
        <f>IFERROR(__xludf.DUMMYFUNCTION("""COMPUTED_VALUE"""),215.0)</f>
        <v>215</v>
      </c>
      <c r="B1476" s="2" t="str">
        <f>IFERROR(__xludf.DUMMYFUNCTION("""COMPUTED_VALUE"""),"CHITTAGONG")</f>
        <v>CHITTAGONG</v>
      </c>
      <c r="C1476" s="4">
        <f>IFERROR(__xludf.DUMMYFUNCTION("""COMPUTED_VALUE"""),35.0)</f>
        <v>35</v>
      </c>
      <c r="D1476" s="2" t="str">
        <f>IFERROR(__xludf.DUMMYFUNCTION("""COMPUTED_VALUE"""),"BANGLADESH KRISHI BANK")</f>
        <v>BANGLADESH KRISHI BANK</v>
      </c>
      <c r="E1476" s="2" t="str">
        <f>IFERROR(__xludf.DUMMYFUNCTION("""COMPUTED_VALUE"""),"NANUPUR BAZAR")</f>
        <v>NANUPUR BAZAR</v>
      </c>
      <c r="F1476" s="4">
        <f>IFERROR(__xludf.DUMMYFUNCTION("""COMPUTED_VALUE"""),478.0)</f>
        <v>478</v>
      </c>
      <c r="G1476" s="5">
        <f>IFERROR(__xludf.DUMMYFUNCTION("""COMPUTED_VALUE"""),3.5154789E7)</f>
        <v>35154789</v>
      </c>
    </row>
    <row r="1477">
      <c r="A1477" s="3">
        <f>IFERROR(__xludf.DUMMYFUNCTION("""COMPUTED_VALUE"""),215.0)</f>
        <v>215</v>
      </c>
      <c r="B1477" s="2" t="str">
        <f>IFERROR(__xludf.DUMMYFUNCTION("""COMPUTED_VALUE"""),"CHITTAGONG")</f>
        <v>CHITTAGONG</v>
      </c>
      <c r="C1477" s="4">
        <f>IFERROR(__xludf.DUMMYFUNCTION("""COMPUTED_VALUE"""),35.0)</f>
        <v>35</v>
      </c>
      <c r="D1477" s="2" t="str">
        <f>IFERROR(__xludf.DUMMYFUNCTION("""COMPUTED_VALUE"""),"BANGLADESH KRISHI BANK")</f>
        <v>BANGLADESH KRISHI BANK</v>
      </c>
      <c r="E1477" s="2" t="str">
        <f>IFERROR(__xludf.DUMMYFUNCTION("""COMPUTED_VALUE"""),"MIRSARAI")</f>
        <v>MIRSARAI</v>
      </c>
      <c r="F1477" s="4">
        <f>IFERROR(__xludf.DUMMYFUNCTION("""COMPUTED_VALUE"""),505.0)</f>
        <v>505</v>
      </c>
      <c r="G1477" s="5">
        <f>IFERROR(__xludf.DUMMYFUNCTION("""COMPUTED_VALUE"""),3.5155054E7)</f>
        <v>35155054</v>
      </c>
    </row>
    <row r="1478">
      <c r="A1478" s="3">
        <f>IFERROR(__xludf.DUMMYFUNCTION("""COMPUTED_VALUE"""),215.0)</f>
        <v>215</v>
      </c>
      <c r="B1478" s="2" t="str">
        <f>IFERROR(__xludf.DUMMYFUNCTION("""COMPUTED_VALUE"""),"CHITTAGONG")</f>
        <v>CHITTAGONG</v>
      </c>
      <c r="C1478" s="4">
        <f>IFERROR(__xludf.DUMMYFUNCTION("""COMPUTED_VALUE"""),35.0)</f>
        <v>35</v>
      </c>
      <c r="D1478" s="2" t="str">
        <f>IFERROR(__xludf.DUMMYFUNCTION("""COMPUTED_VALUE"""),"BANGLADESH KRISHI BANK")</f>
        <v>BANGLADESH KRISHI BANK</v>
      </c>
      <c r="E1478" s="2" t="str">
        <f>IFERROR(__xludf.DUMMYFUNCTION("""COMPUTED_VALUE"""),"NAPORA BAZAR")</f>
        <v>NAPORA BAZAR</v>
      </c>
      <c r="F1478" s="4">
        <f>IFERROR(__xludf.DUMMYFUNCTION("""COMPUTED_VALUE"""),547.0)</f>
        <v>547</v>
      </c>
      <c r="G1478" s="5">
        <f>IFERROR(__xludf.DUMMYFUNCTION("""COMPUTED_VALUE"""),3.515547E7)</f>
        <v>35155470</v>
      </c>
    </row>
    <row r="1479">
      <c r="A1479" s="3">
        <f>IFERROR(__xludf.DUMMYFUNCTION("""COMPUTED_VALUE"""),215.0)</f>
        <v>215</v>
      </c>
      <c r="B1479" s="2" t="str">
        <f>IFERROR(__xludf.DUMMYFUNCTION("""COMPUTED_VALUE"""),"CHITTAGONG")</f>
        <v>CHITTAGONG</v>
      </c>
      <c r="C1479" s="4">
        <f>IFERROR(__xludf.DUMMYFUNCTION("""COMPUTED_VALUE"""),35.0)</f>
        <v>35</v>
      </c>
      <c r="D1479" s="2" t="str">
        <f>IFERROR(__xludf.DUMMYFUNCTION("""COMPUTED_VALUE"""),"BANGLADESH KRISHI BANK")</f>
        <v>BANGLADESH KRISHI BANK</v>
      </c>
      <c r="E1479" s="2" t="str">
        <f>IFERROR(__xludf.DUMMYFUNCTION("""COMPUTED_VALUE"""),"NARAYANHAT")</f>
        <v>NARAYANHAT</v>
      </c>
      <c r="F1479" s="4">
        <f>IFERROR(__xludf.DUMMYFUNCTION("""COMPUTED_VALUE"""),550.0)</f>
        <v>550</v>
      </c>
      <c r="G1479" s="5">
        <f>IFERROR(__xludf.DUMMYFUNCTION("""COMPUTED_VALUE"""),3.5155504E7)</f>
        <v>35155504</v>
      </c>
    </row>
    <row r="1480">
      <c r="A1480" s="3">
        <f>IFERROR(__xludf.DUMMYFUNCTION("""COMPUTED_VALUE"""),215.0)</f>
        <v>215</v>
      </c>
      <c r="B1480" s="2" t="str">
        <f>IFERROR(__xludf.DUMMYFUNCTION("""COMPUTED_VALUE"""),"CHITTAGONG")</f>
        <v>CHITTAGONG</v>
      </c>
      <c r="C1480" s="4">
        <f>IFERROR(__xludf.DUMMYFUNCTION("""COMPUTED_VALUE"""),35.0)</f>
        <v>35</v>
      </c>
      <c r="D1480" s="2" t="str">
        <f>IFERROR(__xludf.DUMMYFUNCTION("""COMPUTED_VALUE"""),"BANGLADESH KRISHI BANK")</f>
        <v>BANGLADESH KRISHI BANK</v>
      </c>
      <c r="E1480" s="2" t="str">
        <f>IFERROR(__xludf.DUMMYFUNCTION("""COMPUTED_VALUE"""),"NAZIR HAT")</f>
        <v>NAZIR HAT</v>
      </c>
      <c r="F1480" s="4">
        <f>IFERROR(__xludf.DUMMYFUNCTION("""COMPUTED_VALUE"""),559.0)</f>
        <v>559</v>
      </c>
      <c r="G1480" s="5">
        <f>IFERROR(__xludf.DUMMYFUNCTION("""COMPUTED_VALUE"""),3.5155591E7)</f>
        <v>35155591</v>
      </c>
    </row>
    <row r="1481">
      <c r="A1481" s="3">
        <f>IFERROR(__xludf.DUMMYFUNCTION("""COMPUTED_VALUE"""),215.0)</f>
        <v>215</v>
      </c>
      <c r="B1481" s="2" t="str">
        <f>IFERROR(__xludf.DUMMYFUNCTION("""COMPUTED_VALUE"""),"CHITTAGONG")</f>
        <v>CHITTAGONG</v>
      </c>
      <c r="C1481" s="4">
        <f>IFERROR(__xludf.DUMMYFUNCTION("""COMPUTED_VALUE"""),35.0)</f>
        <v>35</v>
      </c>
      <c r="D1481" s="2" t="str">
        <f>IFERROR(__xludf.DUMMYFUNCTION("""COMPUTED_VALUE"""),"BANGLADESH KRISHI BANK")</f>
        <v>BANGLADESH KRISHI BANK</v>
      </c>
      <c r="E1481" s="2" t="str">
        <f>IFERROR(__xludf.DUMMYFUNCTION("""COMPUTED_VALUE"""),"NAZU MEA HAT")</f>
        <v>NAZU MEA HAT</v>
      </c>
      <c r="F1481" s="4">
        <f>IFERROR(__xludf.DUMMYFUNCTION("""COMPUTED_VALUE"""),562.0)</f>
        <v>562</v>
      </c>
      <c r="G1481" s="5">
        <f>IFERROR(__xludf.DUMMYFUNCTION("""COMPUTED_VALUE"""),3.5155625E7)</f>
        <v>35155625</v>
      </c>
    </row>
    <row r="1482">
      <c r="A1482" s="3">
        <f>IFERROR(__xludf.DUMMYFUNCTION("""COMPUTED_VALUE"""),215.0)</f>
        <v>215</v>
      </c>
      <c r="B1482" s="2" t="str">
        <f>IFERROR(__xludf.DUMMYFUNCTION("""COMPUTED_VALUE"""),"CHITTAGONG")</f>
        <v>CHITTAGONG</v>
      </c>
      <c r="C1482" s="4">
        <f>IFERROR(__xludf.DUMMYFUNCTION("""COMPUTED_VALUE"""),35.0)</f>
        <v>35</v>
      </c>
      <c r="D1482" s="2" t="str">
        <f>IFERROR(__xludf.DUMMYFUNCTION("""COMPUTED_VALUE"""),"BANGLADESH KRISHI BANK")</f>
        <v>BANGLADESH KRISHI BANK</v>
      </c>
      <c r="E1482" s="2" t="str">
        <f>IFERROR(__xludf.DUMMYFUNCTION("""COMPUTED_VALUE"""),"PAHARTALI CHOUMOHONI")</f>
        <v>PAHARTALI CHOUMOHONI</v>
      </c>
      <c r="F1482" s="4">
        <f>IFERROR(__xludf.DUMMYFUNCTION("""COMPUTED_VALUE"""),595.0)</f>
        <v>595</v>
      </c>
      <c r="G1482" s="5">
        <f>IFERROR(__xludf.DUMMYFUNCTION("""COMPUTED_VALUE"""),3.5155959E7)</f>
        <v>35155959</v>
      </c>
    </row>
    <row r="1483">
      <c r="A1483" s="3">
        <f>IFERROR(__xludf.DUMMYFUNCTION("""COMPUTED_VALUE"""),215.0)</f>
        <v>215</v>
      </c>
      <c r="B1483" s="2" t="str">
        <f>IFERROR(__xludf.DUMMYFUNCTION("""COMPUTED_VALUE"""),"CHITTAGONG")</f>
        <v>CHITTAGONG</v>
      </c>
      <c r="C1483" s="4">
        <f>IFERROR(__xludf.DUMMYFUNCTION("""COMPUTED_VALUE"""),35.0)</f>
        <v>35</v>
      </c>
      <c r="D1483" s="2" t="str">
        <f>IFERROR(__xludf.DUMMYFUNCTION("""COMPUTED_VALUE"""),"BANGLADESH KRISHI BANK")</f>
        <v>BANGLADESH KRISHI BANK</v>
      </c>
      <c r="E1483" s="2" t="str">
        <f>IFERROR(__xludf.DUMMYFUNCTION("""COMPUTED_VALUE"""),"PANCHURIA DIGHIRPAR")</f>
        <v>PANCHURIA DIGHIRPAR</v>
      </c>
      <c r="F1483" s="4">
        <f>IFERROR(__xludf.DUMMYFUNCTION("""COMPUTED_VALUE"""),607.0)</f>
        <v>607</v>
      </c>
      <c r="G1483" s="5">
        <f>IFERROR(__xludf.DUMMYFUNCTION("""COMPUTED_VALUE"""),3.5156079E7)</f>
        <v>35156079</v>
      </c>
    </row>
    <row r="1484">
      <c r="A1484" s="3">
        <f>IFERROR(__xludf.DUMMYFUNCTION("""COMPUTED_VALUE"""),215.0)</f>
        <v>215</v>
      </c>
      <c r="B1484" s="2" t="str">
        <f>IFERROR(__xludf.DUMMYFUNCTION("""COMPUTED_VALUE"""),"CHITTAGONG")</f>
        <v>CHITTAGONG</v>
      </c>
      <c r="C1484" s="4">
        <f>IFERROR(__xludf.DUMMYFUNCTION("""COMPUTED_VALUE"""),35.0)</f>
        <v>35</v>
      </c>
      <c r="D1484" s="2" t="str">
        <f>IFERROR(__xludf.DUMMYFUNCTION("""COMPUTED_VALUE"""),"BANGLADESH KRISHI BANK")</f>
        <v>BANGLADESH KRISHI BANK</v>
      </c>
      <c r="E1484" s="2" t="str">
        <f>IFERROR(__xludf.DUMMYFUNCTION("""COMPUTED_VALUE"""),"PATHERHAT")</f>
        <v>PATHERHAT</v>
      </c>
      <c r="F1484" s="4">
        <f>IFERROR(__xludf.DUMMYFUNCTION("""COMPUTED_VALUE"""),613.0)</f>
        <v>613</v>
      </c>
      <c r="G1484" s="5">
        <f>IFERROR(__xludf.DUMMYFUNCTION("""COMPUTED_VALUE"""),3.5156132E7)</f>
        <v>35156132</v>
      </c>
    </row>
    <row r="1485">
      <c r="A1485" s="3">
        <f>IFERROR(__xludf.DUMMYFUNCTION("""COMPUTED_VALUE"""),215.0)</f>
        <v>215</v>
      </c>
      <c r="B1485" s="2" t="str">
        <f>IFERROR(__xludf.DUMMYFUNCTION("""COMPUTED_VALUE"""),"CHITTAGONG")</f>
        <v>CHITTAGONG</v>
      </c>
      <c r="C1485" s="4">
        <f>IFERROR(__xludf.DUMMYFUNCTION("""COMPUTED_VALUE"""),35.0)</f>
        <v>35</v>
      </c>
      <c r="D1485" s="2" t="str">
        <f>IFERROR(__xludf.DUMMYFUNCTION("""COMPUTED_VALUE"""),"BANGLADESH KRISHI BANK")</f>
        <v>BANGLADESH KRISHI BANK</v>
      </c>
      <c r="E1485" s="2" t="str">
        <f>IFERROR(__xludf.DUMMYFUNCTION("""COMPUTED_VALUE"""),"PATIYA")</f>
        <v>PATIYA</v>
      </c>
      <c r="F1485" s="4">
        <f>IFERROR(__xludf.DUMMYFUNCTION("""COMPUTED_VALUE"""),616.0)</f>
        <v>616</v>
      </c>
      <c r="G1485" s="5">
        <f>IFERROR(__xludf.DUMMYFUNCTION("""COMPUTED_VALUE"""),3.5156161E7)</f>
        <v>35156161</v>
      </c>
    </row>
    <row r="1486">
      <c r="A1486" s="3">
        <f>IFERROR(__xludf.DUMMYFUNCTION("""COMPUTED_VALUE"""),215.0)</f>
        <v>215</v>
      </c>
      <c r="B1486" s="2" t="str">
        <f>IFERROR(__xludf.DUMMYFUNCTION("""COMPUTED_VALUE"""),"CHITTAGONG")</f>
        <v>CHITTAGONG</v>
      </c>
      <c r="C1486" s="4">
        <f>IFERROR(__xludf.DUMMYFUNCTION("""COMPUTED_VALUE"""),35.0)</f>
        <v>35</v>
      </c>
      <c r="D1486" s="2" t="str">
        <f>IFERROR(__xludf.DUMMYFUNCTION("""COMPUTED_VALUE"""),"BANGLADESH KRISHI BANK")</f>
        <v>BANGLADESH KRISHI BANK</v>
      </c>
      <c r="E1486" s="2" t="str">
        <f>IFERROR(__xludf.DUMMYFUNCTION("""COMPUTED_VALUE"""),"POMRA")</f>
        <v>POMRA</v>
      </c>
      <c r="F1486" s="4">
        <f>IFERROR(__xludf.DUMMYFUNCTION("""COMPUTED_VALUE"""),619.0)</f>
        <v>619</v>
      </c>
      <c r="G1486" s="5">
        <f>IFERROR(__xludf.DUMMYFUNCTION("""COMPUTED_VALUE"""),3.515619E7)</f>
        <v>35156190</v>
      </c>
    </row>
    <row r="1487">
      <c r="A1487" s="3">
        <f>IFERROR(__xludf.DUMMYFUNCTION("""COMPUTED_VALUE"""),215.0)</f>
        <v>215</v>
      </c>
      <c r="B1487" s="2" t="str">
        <f>IFERROR(__xludf.DUMMYFUNCTION("""COMPUTED_VALUE"""),"CHITTAGONG")</f>
        <v>CHITTAGONG</v>
      </c>
      <c r="C1487" s="4">
        <f>IFERROR(__xludf.DUMMYFUNCTION("""COMPUTED_VALUE"""),35.0)</f>
        <v>35</v>
      </c>
      <c r="D1487" s="2" t="str">
        <f>IFERROR(__xludf.DUMMYFUNCTION("""COMPUTED_VALUE"""),"BANGLADESH KRISHI BANK")</f>
        <v>BANGLADESH KRISHI BANK</v>
      </c>
      <c r="E1487" s="2" t="str">
        <f>IFERROR(__xludf.DUMMYFUNCTION("""COMPUTED_VALUE"""),"RANGUNIA")</f>
        <v>RANGUNIA</v>
      </c>
      <c r="F1487" s="4">
        <f>IFERROR(__xludf.DUMMYFUNCTION("""COMPUTED_VALUE"""),640.0)</f>
        <v>640</v>
      </c>
      <c r="G1487" s="5">
        <f>IFERROR(__xludf.DUMMYFUNCTION("""COMPUTED_VALUE"""),3.5156408E7)</f>
        <v>35156408</v>
      </c>
    </row>
    <row r="1488">
      <c r="A1488" s="3">
        <f>IFERROR(__xludf.DUMMYFUNCTION("""COMPUTED_VALUE"""),215.0)</f>
        <v>215</v>
      </c>
      <c r="B1488" s="2" t="str">
        <f>IFERROR(__xludf.DUMMYFUNCTION("""COMPUTED_VALUE"""),"CHITTAGONG")</f>
        <v>CHITTAGONG</v>
      </c>
      <c r="C1488" s="4">
        <f>IFERROR(__xludf.DUMMYFUNCTION("""COMPUTED_VALUE"""),35.0)</f>
        <v>35</v>
      </c>
      <c r="D1488" s="2" t="str">
        <f>IFERROR(__xludf.DUMMYFUNCTION("""COMPUTED_VALUE"""),"BANGLADESH KRISHI BANK")</f>
        <v>BANGLADESH KRISHI BANK</v>
      </c>
      <c r="E1488" s="2" t="str">
        <f>IFERROR(__xludf.DUMMYFUNCTION("""COMPUTED_VALUE"""),"RANGUNIA COLLEGE")</f>
        <v>RANGUNIA COLLEGE</v>
      </c>
      <c r="F1488" s="4">
        <f>IFERROR(__xludf.DUMMYFUNCTION("""COMPUTED_VALUE"""),643.0)</f>
        <v>643</v>
      </c>
      <c r="G1488" s="5">
        <f>IFERROR(__xludf.DUMMYFUNCTION("""COMPUTED_VALUE"""),3.5156437E7)</f>
        <v>35156437</v>
      </c>
    </row>
    <row r="1489">
      <c r="A1489" s="3">
        <f>IFERROR(__xludf.DUMMYFUNCTION("""COMPUTED_VALUE"""),215.0)</f>
        <v>215</v>
      </c>
      <c r="B1489" s="2" t="str">
        <f>IFERROR(__xludf.DUMMYFUNCTION("""COMPUTED_VALUE"""),"CHITTAGONG")</f>
        <v>CHITTAGONG</v>
      </c>
      <c r="C1489" s="4">
        <f>IFERROR(__xludf.DUMMYFUNCTION("""COMPUTED_VALUE"""),35.0)</f>
        <v>35</v>
      </c>
      <c r="D1489" s="2" t="str">
        <f>IFERROR(__xludf.DUMMYFUNCTION("""COMPUTED_VALUE"""),"BANGLADESH KRISHI BANK")</f>
        <v>BANGLADESH KRISHI BANK</v>
      </c>
      <c r="E1489" s="2" t="str">
        <f>IFERROR(__xludf.DUMMYFUNCTION("""COMPUTED_VALUE"""),"RAOZAN")</f>
        <v>RAOZAN</v>
      </c>
      <c r="F1489" s="4">
        <f>IFERROR(__xludf.DUMMYFUNCTION("""COMPUTED_VALUE"""),649.0)</f>
        <v>649</v>
      </c>
      <c r="G1489" s="5">
        <f>IFERROR(__xludf.DUMMYFUNCTION("""COMPUTED_VALUE"""),3.5156495E7)</f>
        <v>35156495</v>
      </c>
    </row>
    <row r="1490">
      <c r="A1490" s="3">
        <f>IFERROR(__xludf.DUMMYFUNCTION("""COMPUTED_VALUE"""),215.0)</f>
        <v>215</v>
      </c>
      <c r="B1490" s="2" t="str">
        <f>IFERROR(__xludf.DUMMYFUNCTION("""COMPUTED_VALUE"""),"CHITTAGONG")</f>
        <v>CHITTAGONG</v>
      </c>
      <c r="C1490" s="4">
        <f>IFERROR(__xludf.DUMMYFUNCTION("""COMPUTED_VALUE"""),35.0)</f>
        <v>35</v>
      </c>
      <c r="D1490" s="2" t="str">
        <f>IFERROR(__xludf.DUMMYFUNCTION("""COMPUTED_VALUE"""),"BANGLADESH KRISHI BANK")</f>
        <v>BANGLADESH KRISHI BANK</v>
      </c>
      <c r="E1490" s="2" t="str">
        <f>IFERROR(__xludf.DUMMYFUNCTION("""COMPUTED_VALUE"""),"SANDWIP")</f>
        <v>SANDWIP</v>
      </c>
      <c r="F1490" s="4">
        <f>IFERROR(__xludf.DUMMYFUNCTION("""COMPUTED_VALUE"""),691.0)</f>
        <v>691</v>
      </c>
      <c r="G1490" s="5">
        <f>IFERROR(__xludf.DUMMYFUNCTION("""COMPUTED_VALUE"""),3.5156916E7)</f>
        <v>35156916</v>
      </c>
    </row>
    <row r="1491">
      <c r="A1491" s="3">
        <f>IFERROR(__xludf.DUMMYFUNCTION("""COMPUTED_VALUE"""),215.0)</f>
        <v>215</v>
      </c>
      <c r="B1491" s="2" t="str">
        <f>IFERROR(__xludf.DUMMYFUNCTION("""COMPUTED_VALUE"""),"CHITTAGONG")</f>
        <v>CHITTAGONG</v>
      </c>
      <c r="C1491" s="4">
        <f>IFERROR(__xludf.DUMMYFUNCTION("""COMPUTED_VALUE"""),35.0)</f>
        <v>35</v>
      </c>
      <c r="D1491" s="2" t="str">
        <f>IFERROR(__xludf.DUMMYFUNCTION("""COMPUTED_VALUE"""),"BANGLADESH KRISHI BANK")</f>
        <v>BANGLADESH KRISHI BANK</v>
      </c>
      <c r="E1491" s="2" t="str">
        <f>IFERROR(__xludf.DUMMYFUNCTION("""COMPUTED_VALUE"""),"SATKANIA")</f>
        <v>SATKANIA</v>
      </c>
      <c r="F1491" s="4">
        <f>IFERROR(__xludf.DUMMYFUNCTION("""COMPUTED_VALUE"""),706.0)</f>
        <v>706</v>
      </c>
      <c r="G1491" s="5">
        <f>IFERROR(__xludf.DUMMYFUNCTION("""COMPUTED_VALUE"""),3.5157065E7)</f>
        <v>35157065</v>
      </c>
    </row>
    <row r="1492">
      <c r="A1492" s="3">
        <f>IFERROR(__xludf.DUMMYFUNCTION("""COMPUTED_VALUE"""),215.0)</f>
        <v>215</v>
      </c>
      <c r="B1492" s="2" t="str">
        <f>IFERROR(__xludf.DUMMYFUNCTION("""COMPUTED_VALUE"""),"CHITTAGONG")</f>
        <v>CHITTAGONG</v>
      </c>
      <c r="C1492" s="4">
        <f>IFERROR(__xludf.DUMMYFUNCTION("""COMPUTED_VALUE"""),35.0)</f>
        <v>35</v>
      </c>
      <c r="D1492" s="2" t="str">
        <f>IFERROR(__xludf.DUMMYFUNCTION("""COMPUTED_VALUE"""),"BANGLADESH KRISHI BANK")</f>
        <v>BANGLADESH KRISHI BANK</v>
      </c>
      <c r="E1492" s="2" t="str">
        <f>IFERROR(__xludf.DUMMYFUNCTION("""COMPUTED_VALUE"""),"SHIBERHAT")</f>
        <v>SHIBERHAT</v>
      </c>
      <c r="F1492" s="4">
        <f>IFERROR(__xludf.DUMMYFUNCTION("""COMPUTED_VALUE"""),730.0)</f>
        <v>730</v>
      </c>
      <c r="G1492" s="5">
        <f>IFERROR(__xludf.DUMMYFUNCTION("""COMPUTED_VALUE"""),3.5157302E7)</f>
        <v>35157302</v>
      </c>
    </row>
    <row r="1493">
      <c r="A1493" s="3">
        <f>IFERROR(__xludf.DUMMYFUNCTION("""COMPUTED_VALUE"""),215.0)</f>
        <v>215</v>
      </c>
      <c r="B1493" s="2" t="str">
        <f>IFERROR(__xludf.DUMMYFUNCTION("""COMPUTED_VALUE"""),"CHITTAGONG")</f>
        <v>CHITTAGONG</v>
      </c>
      <c r="C1493" s="4">
        <f>IFERROR(__xludf.DUMMYFUNCTION("""COMPUTED_VALUE"""),35.0)</f>
        <v>35</v>
      </c>
      <c r="D1493" s="2" t="str">
        <f>IFERROR(__xludf.DUMMYFUNCTION("""COMPUTED_VALUE"""),"BANGLADESH KRISHI BANK")</f>
        <v>BANGLADESH KRISHI BANK</v>
      </c>
      <c r="E1493" s="2" t="str">
        <f>IFERROR(__xludf.DUMMYFUNCTION("""COMPUTED_VALUE"""),"SHOLA SAHAR")</f>
        <v>SHOLA SAHAR</v>
      </c>
      <c r="F1493" s="4">
        <f>IFERROR(__xludf.DUMMYFUNCTION("""COMPUTED_VALUE"""),733.0)</f>
        <v>733</v>
      </c>
      <c r="G1493" s="5">
        <f>IFERROR(__xludf.DUMMYFUNCTION("""COMPUTED_VALUE"""),3.5157331E7)</f>
        <v>35157331</v>
      </c>
    </row>
    <row r="1494">
      <c r="A1494" s="3">
        <f>IFERROR(__xludf.DUMMYFUNCTION("""COMPUTED_VALUE"""),215.0)</f>
        <v>215</v>
      </c>
      <c r="B1494" s="2" t="str">
        <f>IFERROR(__xludf.DUMMYFUNCTION("""COMPUTED_VALUE"""),"CHITTAGONG")</f>
        <v>CHITTAGONG</v>
      </c>
      <c r="C1494" s="4">
        <f>IFERROR(__xludf.DUMMYFUNCTION("""COMPUTED_VALUE"""),35.0)</f>
        <v>35</v>
      </c>
      <c r="D1494" s="2" t="str">
        <f>IFERROR(__xludf.DUMMYFUNCTION("""COMPUTED_VALUE"""),"BANGLADESH KRISHI BANK")</f>
        <v>BANGLADESH KRISHI BANK</v>
      </c>
      <c r="E1494" s="2" t="str">
        <f>IFERROR(__xludf.DUMMYFUNCTION("""COMPUTED_VALUE"""),"SITAKUNDA")</f>
        <v>SITAKUNDA</v>
      </c>
      <c r="F1494" s="4">
        <f>IFERROR(__xludf.DUMMYFUNCTION("""COMPUTED_VALUE"""),739.0)</f>
        <v>739</v>
      </c>
      <c r="G1494" s="5">
        <f>IFERROR(__xludf.DUMMYFUNCTION("""COMPUTED_VALUE"""),3.5157399E7)</f>
        <v>35157399</v>
      </c>
    </row>
    <row r="1495">
      <c r="A1495" s="3">
        <f>IFERROR(__xludf.DUMMYFUNCTION("""COMPUTED_VALUE"""),215.0)</f>
        <v>215</v>
      </c>
      <c r="B1495" s="2" t="str">
        <f>IFERROR(__xludf.DUMMYFUNCTION("""COMPUTED_VALUE"""),"CHITTAGONG")</f>
        <v>CHITTAGONG</v>
      </c>
      <c r="C1495" s="4">
        <f>IFERROR(__xludf.DUMMYFUNCTION("""COMPUTED_VALUE"""),35.0)</f>
        <v>35</v>
      </c>
      <c r="D1495" s="2" t="str">
        <f>IFERROR(__xludf.DUMMYFUNCTION("""COMPUTED_VALUE"""),"BANGLADESH KRISHI BANK")</f>
        <v>BANGLADESH KRISHI BANK</v>
      </c>
      <c r="E1495" s="2" t="str">
        <f>IFERROR(__xludf.DUMMYFUNCTION("""COMPUTED_VALUE"""),"TEA BOARD")</f>
        <v>TEA BOARD</v>
      </c>
      <c r="F1495" s="4">
        <f>IFERROR(__xludf.DUMMYFUNCTION("""COMPUTED_VALUE"""),760.0)</f>
        <v>760</v>
      </c>
      <c r="G1495" s="5">
        <f>IFERROR(__xludf.DUMMYFUNCTION("""COMPUTED_VALUE"""),3.5157607E7)</f>
        <v>35157607</v>
      </c>
    </row>
    <row r="1496">
      <c r="A1496" s="3">
        <f>IFERROR(__xludf.DUMMYFUNCTION("""COMPUTED_VALUE"""),215.0)</f>
        <v>215</v>
      </c>
      <c r="B1496" s="2" t="str">
        <f>IFERROR(__xludf.DUMMYFUNCTION("""COMPUTED_VALUE"""),"CHITTAGONG")</f>
        <v>CHITTAGONG</v>
      </c>
      <c r="C1496" s="4">
        <f>IFERROR(__xludf.DUMMYFUNCTION("""COMPUTED_VALUE"""),35.0)</f>
        <v>35</v>
      </c>
      <c r="D1496" s="2" t="str">
        <f>IFERROR(__xludf.DUMMYFUNCTION("""COMPUTED_VALUE"""),"BANGLADESH KRISHI BANK")</f>
        <v>BANGLADESH KRISHI BANK</v>
      </c>
      <c r="E1496" s="2" t="str">
        <f>IFERROR(__xludf.DUMMYFUNCTION("""COMPUTED_VALUE"""),"WAHEDPUR")</f>
        <v>WAHEDPUR</v>
      </c>
      <c r="F1496" s="4">
        <f>IFERROR(__xludf.DUMMYFUNCTION("""COMPUTED_VALUE"""),772.0)</f>
        <v>772</v>
      </c>
      <c r="G1496" s="5">
        <f>IFERROR(__xludf.DUMMYFUNCTION("""COMPUTED_VALUE"""),3.5157728E7)</f>
        <v>35157728</v>
      </c>
    </row>
    <row r="1497">
      <c r="A1497" s="3">
        <f>IFERROR(__xludf.DUMMYFUNCTION("""COMPUTED_VALUE"""),418.0)</f>
        <v>418</v>
      </c>
      <c r="B1497" s="2" t="str">
        <f>IFERROR(__xludf.DUMMYFUNCTION("""COMPUTED_VALUE"""),"CHUADANGA")</f>
        <v>CHUADANGA</v>
      </c>
      <c r="C1497" s="4">
        <f>IFERROR(__xludf.DUMMYFUNCTION("""COMPUTED_VALUE"""),35.0)</f>
        <v>35</v>
      </c>
      <c r="D1497" s="2" t="str">
        <f>IFERROR(__xludf.DUMMYFUNCTION("""COMPUTED_VALUE"""),"BANGLADESH KRISHI BANK")</f>
        <v>BANGLADESH KRISHI BANK</v>
      </c>
      <c r="E1497" s="2" t="str">
        <f>IFERROR(__xludf.DUMMYFUNCTION("""COMPUTED_VALUE"""),"ALAMDANGA")</f>
        <v>ALAMDANGA</v>
      </c>
      <c r="F1497" s="4">
        <f>IFERROR(__xludf.DUMMYFUNCTION("""COMPUTED_VALUE"""),4.0)</f>
        <v>4</v>
      </c>
      <c r="G1497" s="5">
        <f>IFERROR(__xludf.DUMMYFUNCTION("""COMPUTED_VALUE"""),3.5180045E7)</f>
        <v>35180045</v>
      </c>
    </row>
    <row r="1498">
      <c r="A1498" s="3">
        <f>IFERROR(__xludf.DUMMYFUNCTION("""COMPUTED_VALUE"""),418.0)</f>
        <v>418</v>
      </c>
      <c r="B1498" s="2" t="str">
        <f>IFERROR(__xludf.DUMMYFUNCTION("""COMPUTED_VALUE"""),"CHUADANGA")</f>
        <v>CHUADANGA</v>
      </c>
      <c r="C1498" s="4">
        <f>IFERROR(__xludf.DUMMYFUNCTION("""COMPUTED_VALUE"""),35.0)</f>
        <v>35</v>
      </c>
      <c r="D1498" s="2" t="str">
        <f>IFERROR(__xludf.DUMMYFUNCTION("""COMPUTED_VALUE"""),"BANGLADESH KRISHI BANK")</f>
        <v>BANGLADESH KRISHI BANK</v>
      </c>
      <c r="E1498" s="2" t="str">
        <f>IFERROR(__xludf.DUMMYFUNCTION("""COMPUTED_VALUE"""),"BADARGANJ BAZAR")</f>
        <v>BADARGANJ BAZAR</v>
      </c>
      <c r="F1498" s="4">
        <f>IFERROR(__xludf.DUMMYFUNCTION("""COMPUTED_VALUE"""),16.0)</f>
        <v>16</v>
      </c>
      <c r="G1498" s="5">
        <f>IFERROR(__xludf.DUMMYFUNCTION("""COMPUTED_VALUE"""),3.5180166E7)</f>
        <v>35180166</v>
      </c>
    </row>
    <row r="1499">
      <c r="A1499" s="3">
        <f>IFERROR(__xludf.DUMMYFUNCTION("""COMPUTED_VALUE"""),418.0)</f>
        <v>418</v>
      </c>
      <c r="B1499" s="2" t="str">
        <f>IFERROR(__xludf.DUMMYFUNCTION("""COMPUTED_VALUE"""),"CHUADANGA")</f>
        <v>CHUADANGA</v>
      </c>
      <c r="C1499" s="4">
        <f>IFERROR(__xludf.DUMMYFUNCTION("""COMPUTED_VALUE"""),35.0)</f>
        <v>35</v>
      </c>
      <c r="D1499" s="2" t="str">
        <f>IFERROR(__xludf.DUMMYFUNCTION("""COMPUTED_VALUE"""),"BANGLADESH KRISHI BANK")</f>
        <v>BANGLADESH KRISHI BANK</v>
      </c>
      <c r="E1499" s="2" t="str">
        <f>IFERROR(__xludf.DUMMYFUNCTION("""COMPUTED_VALUE"""),"CHUADANGA")</f>
        <v>CHUADANGA</v>
      </c>
      <c r="F1499" s="4">
        <f>IFERROR(__xludf.DUMMYFUNCTION("""COMPUTED_VALUE"""),19.0)</f>
        <v>19</v>
      </c>
      <c r="G1499" s="5">
        <f>IFERROR(__xludf.DUMMYFUNCTION("""COMPUTED_VALUE"""),3.5180195E7)</f>
        <v>35180195</v>
      </c>
    </row>
    <row r="1500">
      <c r="A1500" s="3">
        <f>IFERROR(__xludf.DUMMYFUNCTION("""COMPUTED_VALUE"""),418.0)</f>
        <v>418</v>
      </c>
      <c r="B1500" s="2" t="str">
        <f>IFERROR(__xludf.DUMMYFUNCTION("""COMPUTED_VALUE"""),"CHUADANGA")</f>
        <v>CHUADANGA</v>
      </c>
      <c r="C1500" s="4">
        <f>IFERROR(__xludf.DUMMYFUNCTION("""COMPUTED_VALUE"""),35.0)</f>
        <v>35</v>
      </c>
      <c r="D1500" s="2" t="str">
        <f>IFERROR(__xludf.DUMMYFUNCTION("""COMPUTED_VALUE"""),"BANGLADESH KRISHI BANK")</f>
        <v>BANGLADESH KRISHI BANK</v>
      </c>
      <c r="E1500" s="2" t="str">
        <f>IFERROR(__xludf.DUMMYFUNCTION("""COMPUTED_VALUE"""),"DAMURHUDA")</f>
        <v>DAMURHUDA</v>
      </c>
      <c r="F1500" s="4">
        <f>IFERROR(__xludf.DUMMYFUNCTION("""COMPUTED_VALUE"""),28.0)</f>
        <v>28</v>
      </c>
      <c r="G1500" s="5">
        <f>IFERROR(__xludf.DUMMYFUNCTION("""COMPUTED_VALUE"""),3.5180287E7)</f>
        <v>35180287</v>
      </c>
    </row>
    <row r="1501">
      <c r="A1501" s="3">
        <f>IFERROR(__xludf.DUMMYFUNCTION("""COMPUTED_VALUE"""),418.0)</f>
        <v>418</v>
      </c>
      <c r="B1501" s="2" t="str">
        <f>IFERROR(__xludf.DUMMYFUNCTION("""COMPUTED_VALUE"""),"CHUADANGA")</f>
        <v>CHUADANGA</v>
      </c>
      <c r="C1501" s="4">
        <f>IFERROR(__xludf.DUMMYFUNCTION("""COMPUTED_VALUE"""),35.0)</f>
        <v>35</v>
      </c>
      <c r="D1501" s="2" t="str">
        <f>IFERROR(__xludf.DUMMYFUNCTION("""COMPUTED_VALUE"""),"BANGLADESH KRISHI BANK")</f>
        <v>BANGLADESH KRISHI BANK</v>
      </c>
      <c r="E1501" s="2" t="str">
        <f>IFERROR(__xludf.DUMMYFUNCTION("""COMPUTED_VALUE"""),"GHOLDARI BAZAR")</f>
        <v>GHOLDARI BAZAR</v>
      </c>
      <c r="F1501" s="4">
        <f>IFERROR(__xludf.DUMMYFUNCTION("""COMPUTED_VALUE"""),37.0)</f>
        <v>37</v>
      </c>
      <c r="G1501" s="5">
        <f>IFERROR(__xludf.DUMMYFUNCTION("""COMPUTED_VALUE"""),3.5180379E7)</f>
        <v>35180379</v>
      </c>
    </row>
    <row r="1502">
      <c r="A1502" s="3">
        <f>IFERROR(__xludf.DUMMYFUNCTION("""COMPUTED_VALUE"""),418.0)</f>
        <v>418</v>
      </c>
      <c r="B1502" s="2" t="str">
        <f>IFERROR(__xludf.DUMMYFUNCTION("""COMPUTED_VALUE"""),"CHUADANGA")</f>
        <v>CHUADANGA</v>
      </c>
      <c r="C1502" s="4">
        <f>IFERROR(__xludf.DUMMYFUNCTION("""COMPUTED_VALUE"""),35.0)</f>
        <v>35</v>
      </c>
      <c r="D1502" s="2" t="str">
        <f>IFERROR(__xludf.DUMMYFUNCTION("""COMPUTED_VALUE"""),"BANGLADESH KRISHI BANK")</f>
        <v>BANGLADESH KRISHI BANK</v>
      </c>
      <c r="E1502" s="2" t="str">
        <f>IFERROR(__xludf.DUMMYFUNCTION("""COMPUTED_VALUE"""),"HIZALGARI")</f>
        <v>HIZALGARI</v>
      </c>
      <c r="F1502" s="4">
        <f>IFERROR(__xludf.DUMMYFUNCTION("""COMPUTED_VALUE"""),52.0)</f>
        <v>52</v>
      </c>
      <c r="G1502" s="5">
        <f>IFERROR(__xludf.DUMMYFUNCTION("""COMPUTED_VALUE"""),3.5180524E7)</f>
        <v>35180524</v>
      </c>
    </row>
    <row r="1503">
      <c r="A1503" s="3">
        <f>IFERROR(__xludf.DUMMYFUNCTION("""COMPUTED_VALUE"""),418.0)</f>
        <v>418</v>
      </c>
      <c r="B1503" s="2" t="str">
        <f>IFERROR(__xludf.DUMMYFUNCTION("""COMPUTED_VALUE"""),"CHUADANGA")</f>
        <v>CHUADANGA</v>
      </c>
      <c r="C1503" s="4">
        <f>IFERROR(__xludf.DUMMYFUNCTION("""COMPUTED_VALUE"""),35.0)</f>
        <v>35</v>
      </c>
      <c r="D1503" s="2" t="str">
        <f>IFERROR(__xludf.DUMMYFUNCTION("""COMPUTED_VALUE"""),"BANGLADESH KRISHI BANK")</f>
        <v>BANGLADESH KRISHI BANK</v>
      </c>
      <c r="E1503" s="2" t="str">
        <f>IFERROR(__xludf.DUMMYFUNCTION("""COMPUTED_VALUE"""),"JAMJAMI BAZAR")</f>
        <v>JAMJAMI BAZAR</v>
      </c>
      <c r="F1503" s="4">
        <f>IFERROR(__xludf.DUMMYFUNCTION("""COMPUTED_VALUE"""),55.0)</f>
        <v>55</v>
      </c>
      <c r="G1503" s="5">
        <f>IFERROR(__xludf.DUMMYFUNCTION("""COMPUTED_VALUE"""),3.5180553E7)</f>
        <v>35180553</v>
      </c>
    </row>
    <row r="1504">
      <c r="A1504" s="3">
        <f>IFERROR(__xludf.DUMMYFUNCTION("""COMPUTED_VALUE"""),418.0)</f>
        <v>418</v>
      </c>
      <c r="B1504" s="2" t="str">
        <f>IFERROR(__xludf.DUMMYFUNCTION("""COMPUTED_VALUE"""),"CHUADANGA")</f>
        <v>CHUADANGA</v>
      </c>
      <c r="C1504" s="4">
        <f>IFERROR(__xludf.DUMMYFUNCTION("""COMPUTED_VALUE"""),35.0)</f>
        <v>35</v>
      </c>
      <c r="D1504" s="2" t="str">
        <f>IFERROR(__xludf.DUMMYFUNCTION("""COMPUTED_VALUE"""),"BANGLADESH KRISHI BANK")</f>
        <v>BANGLADESH KRISHI BANK</v>
      </c>
      <c r="E1504" s="2" t="str">
        <f>IFERROR(__xludf.DUMMYFUNCTION("""COMPUTED_VALUE"""),"JIBAN NAGAR")</f>
        <v>JIBAN NAGAR</v>
      </c>
      <c r="F1504" s="4">
        <f>IFERROR(__xludf.DUMMYFUNCTION("""COMPUTED_VALUE"""),58.0)</f>
        <v>58</v>
      </c>
      <c r="G1504" s="5">
        <f>IFERROR(__xludf.DUMMYFUNCTION("""COMPUTED_VALUE"""),3.5180582E7)</f>
        <v>35180582</v>
      </c>
    </row>
    <row r="1505">
      <c r="A1505" s="3">
        <f>IFERROR(__xludf.DUMMYFUNCTION("""COMPUTED_VALUE"""),418.0)</f>
        <v>418</v>
      </c>
      <c r="B1505" s="2" t="str">
        <f>IFERROR(__xludf.DUMMYFUNCTION("""COMPUTED_VALUE"""),"CHUADANGA")</f>
        <v>CHUADANGA</v>
      </c>
      <c r="C1505" s="4">
        <f>IFERROR(__xludf.DUMMYFUNCTION("""COMPUTED_VALUE"""),35.0)</f>
        <v>35</v>
      </c>
      <c r="D1505" s="2" t="str">
        <f>IFERROR(__xludf.DUMMYFUNCTION("""COMPUTED_VALUE"""),"BANGLADESH KRISHI BANK")</f>
        <v>BANGLADESH KRISHI BANK</v>
      </c>
      <c r="E1505" s="2" t="str">
        <f>IFERROR(__xludf.DUMMYFUNCTION("""COMPUTED_VALUE"""),"JOGANNATHPUR")</f>
        <v>JOGANNATHPUR</v>
      </c>
      <c r="F1505" s="4">
        <f>IFERROR(__xludf.DUMMYFUNCTION("""COMPUTED_VALUE"""),61.0)</f>
        <v>61</v>
      </c>
      <c r="G1505" s="5">
        <f>IFERROR(__xludf.DUMMYFUNCTION("""COMPUTED_VALUE"""),3.5180616E7)</f>
        <v>35180616</v>
      </c>
    </row>
    <row r="1506">
      <c r="A1506" s="3">
        <f>IFERROR(__xludf.DUMMYFUNCTION("""COMPUTED_VALUE"""),418.0)</f>
        <v>418</v>
      </c>
      <c r="B1506" s="2" t="str">
        <f>IFERROR(__xludf.DUMMYFUNCTION("""COMPUTED_VALUE"""),"CHUADANGA")</f>
        <v>CHUADANGA</v>
      </c>
      <c r="C1506" s="4">
        <f>IFERROR(__xludf.DUMMYFUNCTION("""COMPUTED_VALUE"""),35.0)</f>
        <v>35</v>
      </c>
      <c r="D1506" s="2" t="str">
        <f>IFERROR(__xludf.DUMMYFUNCTION("""COMPUTED_VALUE"""),"BANGLADESH KRISHI BANK")</f>
        <v>BANGLADESH KRISHI BANK</v>
      </c>
      <c r="E1506" s="2" t="str">
        <f>IFERROR(__xludf.DUMMYFUNCTION("""COMPUTED_VALUE"""),"JURANPUR")</f>
        <v>JURANPUR</v>
      </c>
      <c r="F1506" s="4">
        <f>IFERROR(__xludf.DUMMYFUNCTION("""COMPUTED_VALUE"""),64.0)</f>
        <v>64</v>
      </c>
      <c r="G1506" s="5">
        <f>IFERROR(__xludf.DUMMYFUNCTION("""COMPUTED_VALUE"""),3.5180645E7)</f>
        <v>35180645</v>
      </c>
    </row>
    <row r="1507">
      <c r="A1507" s="3">
        <f>IFERROR(__xludf.DUMMYFUNCTION("""COMPUTED_VALUE"""),418.0)</f>
        <v>418</v>
      </c>
      <c r="B1507" s="2" t="str">
        <f>IFERROR(__xludf.DUMMYFUNCTION("""COMPUTED_VALUE"""),"CHUADANGA")</f>
        <v>CHUADANGA</v>
      </c>
      <c r="C1507" s="4">
        <f>IFERROR(__xludf.DUMMYFUNCTION("""COMPUTED_VALUE"""),35.0)</f>
        <v>35</v>
      </c>
      <c r="D1507" s="2" t="str">
        <f>IFERROR(__xludf.DUMMYFUNCTION("""COMPUTED_VALUE"""),"BANGLADESH KRISHI BANK")</f>
        <v>BANGLADESH KRISHI BANK</v>
      </c>
      <c r="E1507" s="2" t="str">
        <f>IFERROR(__xludf.DUMMYFUNCTION("""COMPUTED_VALUE"""),"UTHALI")</f>
        <v>UTHALI</v>
      </c>
      <c r="F1507" s="4">
        <f>IFERROR(__xludf.DUMMYFUNCTION("""COMPUTED_VALUE"""),88.0)</f>
        <v>88</v>
      </c>
      <c r="G1507" s="5">
        <f>IFERROR(__xludf.DUMMYFUNCTION("""COMPUTED_VALUE"""),3.5180887E7)</f>
        <v>35180887</v>
      </c>
    </row>
    <row r="1508">
      <c r="A1508" s="3">
        <f>IFERROR(__xludf.DUMMYFUNCTION("""COMPUTED_VALUE"""),119.0)</f>
        <v>119</v>
      </c>
      <c r="B1508" s="2" t="str">
        <f>IFERROR(__xludf.DUMMYFUNCTION("""COMPUTED_VALUE"""),"COMILLA")</f>
        <v>COMILLA</v>
      </c>
      <c r="C1508" s="4">
        <f>IFERROR(__xludf.DUMMYFUNCTION("""COMPUTED_VALUE"""),35.0)</f>
        <v>35</v>
      </c>
      <c r="D1508" s="2" t="str">
        <f>IFERROR(__xludf.DUMMYFUNCTION("""COMPUTED_VALUE"""),"BANGLADESH KRISHI BANK")</f>
        <v>BANGLADESH KRISHI BANK</v>
      </c>
      <c r="E1508" s="2" t="str">
        <f>IFERROR(__xludf.DUMMYFUNCTION("""COMPUTED_VALUE"""),"ADDA BAZAR")</f>
        <v>ADDA BAZAR</v>
      </c>
      <c r="F1508" s="4">
        <f>IFERROR(__xludf.DUMMYFUNCTION("""COMPUTED_VALUE"""),7.0)</f>
        <v>7</v>
      </c>
      <c r="G1508" s="5">
        <f>IFERROR(__xludf.DUMMYFUNCTION("""COMPUTED_VALUE"""),3.5190077E7)</f>
        <v>35190077</v>
      </c>
    </row>
    <row r="1509">
      <c r="A1509" s="3">
        <f>IFERROR(__xludf.DUMMYFUNCTION("""COMPUTED_VALUE"""),119.0)</f>
        <v>119</v>
      </c>
      <c r="B1509" s="2" t="str">
        <f>IFERROR(__xludf.DUMMYFUNCTION("""COMPUTED_VALUE"""),"COMILLA")</f>
        <v>COMILLA</v>
      </c>
      <c r="C1509" s="4">
        <f>IFERROR(__xludf.DUMMYFUNCTION("""COMPUTED_VALUE"""),35.0)</f>
        <v>35</v>
      </c>
      <c r="D1509" s="2" t="str">
        <f>IFERROR(__xludf.DUMMYFUNCTION("""COMPUTED_VALUE"""),"BANGLADESH KRISHI BANK")</f>
        <v>BANGLADESH KRISHI BANK</v>
      </c>
      <c r="E1509" s="2" t="str">
        <f>IFERROR(__xludf.DUMMYFUNCTION("""COMPUTED_VALUE"""),"KHOSBASH")</f>
        <v>KHOSBASH</v>
      </c>
      <c r="F1509" s="4">
        <f>IFERROR(__xludf.DUMMYFUNCTION("""COMPUTED_VALUE"""),8.0)</f>
        <v>8</v>
      </c>
      <c r="G1509" s="5">
        <f>IFERROR(__xludf.DUMMYFUNCTION("""COMPUTED_VALUE"""),3.519008E7)</f>
        <v>35190080</v>
      </c>
    </row>
    <row r="1510">
      <c r="A1510" s="3">
        <f>IFERROR(__xludf.DUMMYFUNCTION("""COMPUTED_VALUE"""),119.0)</f>
        <v>119</v>
      </c>
      <c r="B1510" s="2" t="str">
        <f>IFERROR(__xludf.DUMMYFUNCTION("""COMPUTED_VALUE"""),"COMILLA")</f>
        <v>COMILLA</v>
      </c>
      <c r="C1510" s="4">
        <f>IFERROR(__xludf.DUMMYFUNCTION("""COMPUTED_VALUE"""),35.0)</f>
        <v>35</v>
      </c>
      <c r="D1510" s="2" t="str">
        <f>IFERROR(__xludf.DUMMYFUNCTION("""COMPUTED_VALUE"""),"BANGLADESH KRISHI BANK")</f>
        <v>BANGLADESH KRISHI BANK</v>
      </c>
      <c r="E1510" s="2" t="str">
        <f>IFERROR(__xludf.DUMMYFUNCTION("""COMPUTED_VALUE"""),"BAGHMARA BAZAR")</f>
        <v>BAGHMARA BAZAR</v>
      </c>
      <c r="F1510" s="4">
        <f>IFERROR(__xludf.DUMMYFUNCTION("""COMPUTED_VALUE"""),9.0)</f>
        <v>9</v>
      </c>
      <c r="G1510" s="5">
        <f>IFERROR(__xludf.DUMMYFUNCTION("""COMPUTED_VALUE"""),3.5190093E7)</f>
        <v>35190093</v>
      </c>
    </row>
    <row r="1511">
      <c r="A1511" s="3">
        <f>IFERROR(__xludf.DUMMYFUNCTION("""COMPUTED_VALUE"""),119.0)</f>
        <v>119</v>
      </c>
      <c r="B1511" s="2" t="str">
        <f>IFERROR(__xludf.DUMMYFUNCTION("""COMPUTED_VALUE"""),"COMILLA")</f>
        <v>COMILLA</v>
      </c>
      <c r="C1511" s="4">
        <f>IFERROR(__xludf.DUMMYFUNCTION("""COMPUTED_VALUE"""),35.0)</f>
        <v>35</v>
      </c>
      <c r="D1511" s="2" t="str">
        <f>IFERROR(__xludf.DUMMYFUNCTION("""COMPUTED_VALUE"""),"BANGLADESH KRISHI BANK")</f>
        <v>BANGLADESH KRISHI BANK</v>
      </c>
      <c r="E1511" s="2" t="str">
        <f>IFERROR(__xludf.DUMMYFUNCTION("""COMPUTED_VALUE"""),"ALISSHAR BAZAR")</f>
        <v>ALISSHAR BAZAR</v>
      </c>
      <c r="F1511" s="4">
        <f>IFERROR(__xludf.DUMMYFUNCTION("""COMPUTED_VALUE"""),11.0)</f>
        <v>11</v>
      </c>
      <c r="G1511" s="5">
        <f>IFERROR(__xludf.DUMMYFUNCTION("""COMPUTED_VALUE"""),3.5190114E7)</f>
        <v>35190114</v>
      </c>
    </row>
    <row r="1512">
      <c r="A1512" s="3">
        <f>IFERROR(__xludf.DUMMYFUNCTION("""COMPUTED_VALUE"""),119.0)</f>
        <v>119</v>
      </c>
      <c r="B1512" s="2" t="str">
        <f>IFERROR(__xludf.DUMMYFUNCTION("""COMPUTED_VALUE"""),"COMILLA")</f>
        <v>COMILLA</v>
      </c>
      <c r="C1512" s="4">
        <f>IFERROR(__xludf.DUMMYFUNCTION("""COMPUTED_VALUE"""),35.0)</f>
        <v>35</v>
      </c>
      <c r="D1512" s="2" t="str">
        <f>IFERROR(__xludf.DUMMYFUNCTION("""COMPUTED_VALUE"""),"BANGLADESH KRISHI BANK")</f>
        <v>BANGLADESH KRISHI BANK</v>
      </c>
      <c r="E1512" s="2" t="str">
        <f>IFERROR(__xludf.DUMMYFUNCTION("""COMPUTED_VALUE"""),"AMRATALI")</f>
        <v>AMRATALI</v>
      </c>
      <c r="F1512" s="4">
        <f>IFERROR(__xludf.DUMMYFUNCTION("""COMPUTED_VALUE"""),13.0)</f>
        <v>13</v>
      </c>
      <c r="G1512" s="5">
        <f>IFERROR(__xludf.DUMMYFUNCTION("""COMPUTED_VALUE"""),3.519013E7)</f>
        <v>35190130</v>
      </c>
    </row>
    <row r="1513">
      <c r="A1513" s="3">
        <f>IFERROR(__xludf.DUMMYFUNCTION("""COMPUTED_VALUE"""),119.0)</f>
        <v>119</v>
      </c>
      <c r="B1513" s="2" t="str">
        <f>IFERROR(__xludf.DUMMYFUNCTION("""COMPUTED_VALUE"""),"COMILLA")</f>
        <v>COMILLA</v>
      </c>
      <c r="C1513" s="4">
        <f>IFERROR(__xludf.DUMMYFUNCTION("""COMPUTED_VALUE"""),35.0)</f>
        <v>35</v>
      </c>
      <c r="D1513" s="2" t="str">
        <f>IFERROR(__xludf.DUMMYFUNCTION("""COMPUTED_VALUE"""),"BANGLADESH KRISHI BANK")</f>
        <v>BANGLADESH KRISHI BANK</v>
      </c>
      <c r="E1513" s="2" t="str">
        <f>IFERROR(__xludf.DUMMYFUNCTION("""COMPUTED_VALUE"""),"ASMANIA BAZAR")</f>
        <v>ASMANIA BAZAR</v>
      </c>
      <c r="F1513" s="4">
        <f>IFERROR(__xludf.DUMMYFUNCTION("""COMPUTED_VALUE"""),19.0)</f>
        <v>19</v>
      </c>
      <c r="G1513" s="5">
        <f>IFERROR(__xludf.DUMMYFUNCTION("""COMPUTED_VALUE"""),3.5190198E7)</f>
        <v>35190198</v>
      </c>
    </row>
    <row r="1514">
      <c r="A1514" s="3">
        <f>IFERROR(__xludf.DUMMYFUNCTION("""COMPUTED_VALUE"""),119.0)</f>
        <v>119</v>
      </c>
      <c r="B1514" s="2" t="str">
        <f>IFERROR(__xludf.DUMMYFUNCTION("""COMPUTED_VALUE"""),"COMILLA")</f>
        <v>COMILLA</v>
      </c>
      <c r="C1514" s="4">
        <f>IFERROR(__xludf.DUMMYFUNCTION("""COMPUTED_VALUE"""),35.0)</f>
        <v>35</v>
      </c>
      <c r="D1514" s="2" t="str">
        <f>IFERROR(__xludf.DUMMYFUNCTION("""COMPUTED_VALUE"""),"BANGLADESH KRISHI BANK")</f>
        <v>BANGLADESH KRISHI BANK</v>
      </c>
      <c r="E1514" s="2" t="str">
        <f>IFERROR(__xludf.DUMMYFUNCTION("""COMPUTED_VALUE"""),"HASNABAD")</f>
        <v>HASNABAD</v>
      </c>
      <c r="F1514" s="4">
        <f>IFERROR(__xludf.DUMMYFUNCTION("""COMPUTED_VALUE"""),20.0)</f>
        <v>20</v>
      </c>
      <c r="G1514" s="5">
        <f>IFERROR(__xludf.DUMMYFUNCTION("""COMPUTED_VALUE"""),3.5190206E7)</f>
        <v>35190206</v>
      </c>
    </row>
    <row r="1515">
      <c r="A1515" s="3">
        <f>IFERROR(__xludf.DUMMYFUNCTION("""COMPUTED_VALUE"""),119.0)</f>
        <v>119</v>
      </c>
      <c r="B1515" s="2" t="str">
        <f>IFERROR(__xludf.DUMMYFUNCTION("""COMPUTED_VALUE"""),"COMILLA")</f>
        <v>COMILLA</v>
      </c>
      <c r="C1515" s="4">
        <f>IFERROR(__xludf.DUMMYFUNCTION("""COMPUTED_VALUE"""),35.0)</f>
        <v>35</v>
      </c>
      <c r="D1515" s="2" t="str">
        <f>IFERROR(__xludf.DUMMYFUNCTION("""COMPUTED_VALUE"""),"BANGLADESH KRISHI BANK")</f>
        <v>BANGLADESH KRISHI BANK</v>
      </c>
      <c r="E1515" s="2" t="str">
        <f>IFERROR(__xludf.DUMMYFUNCTION("""COMPUTED_VALUE"""),"KADAIR BAZAR")</f>
        <v>KADAIR BAZAR</v>
      </c>
      <c r="F1515" s="4">
        <f>IFERROR(__xludf.DUMMYFUNCTION("""COMPUTED_VALUE"""),21.0)</f>
        <v>21</v>
      </c>
      <c r="G1515" s="5">
        <f>IFERROR(__xludf.DUMMYFUNCTION("""COMPUTED_VALUE"""),3.5190219E7)</f>
        <v>35190219</v>
      </c>
    </row>
    <row r="1516">
      <c r="A1516" s="3">
        <f>IFERROR(__xludf.DUMMYFUNCTION("""COMPUTED_VALUE"""),119.0)</f>
        <v>119</v>
      </c>
      <c r="B1516" s="2" t="str">
        <f>IFERROR(__xludf.DUMMYFUNCTION("""COMPUTED_VALUE"""),"COMILLA")</f>
        <v>COMILLA</v>
      </c>
      <c r="C1516" s="4">
        <f>IFERROR(__xludf.DUMMYFUNCTION("""COMPUTED_VALUE"""),35.0)</f>
        <v>35</v>
      </c>
      <c r="D1516" s="2" t="str">
        <f>IFERROR(__xludf.DUMMYFUNCTION("""COMPUTED_VALUE"""),"BANGLADESH KRISHI BANK")</f>
        <v>BANGLADESH KRISHI BANK</v>
      </c>
      <c r="E1516" s="2" t="str">
        <f>IFERROR(__xludf.DUMMYFUNCTION("""COMPUTED_VALUE"""),"BADARPUR BAZAR")</f>
        <v>BADARPUR BAZAR</v>
      </c>
      <c r="F1516" s="4">
        <f>IFERROR(__xludf.DUMMYFUNCTION("""COMPUTED_VALUE"""),28.0)</f>
        <v>28</v>
      </c>
      <c r="G1516" s="5">
        <f>IFERROR(__xludf.DUMMYFUNCTION("""COMPUTED_VALUE"""),3.519028E7)</f>
        <v>35190280</v>
      </c>
    </row>
    <row r="1517">
      <c r="A1517" s="3">
        <f>IFERROR(__xludf.DUMMYFUNCTION("""COMPUTED_VALUE"""),119.0)</f>
        <v>119</v>
      </c>
      <c r="B1517" s="2" t="str">
        <f>IFERROR(__xludf.DUMMYFUNCTION("""COMPUTED_VALUE"""),"COMILLA")</f>
        <v>COMILLA</v>
      </c>
      <c r="C1517" s="4">
        <f>IFERROR(__xludf.DUMMYFUNCTION("""COMPUTED_VALUE"""),35.0)</f>
        <v>35</v>
      </c>
      <c r="D1517" s="2" t="str">
        <f>IFERROR(__xludf.DUMMYFUNCTION("""COMPUTED_VALUE"""),"BANGLADESH KRISHI BANK")</f>
        <v>BANGLADESH KRISHI BANK</v>
      </c>
      <c r="E1517" s="2" t="str">
        <f>IFERROR(__xludf.DUMMYFUNCTION("""COMPUTED_VALUE"""),"BATISHA")</f>
        <v>BATISHA</v>
      </c>
      <c r="F1517" s="4">
        <f>IFERROR(__xludf.DUMMYFUNCTION("""COMPUTED_VALUE"""),29.0)</f>
        <v>29</v>
      </c>
      <c r="G1517" s="5">
        <f>IFERROR(__xludf.DUMMYFUNCTION("""COMPUTED_VALUE"""),3.5190293E7)</f>
        <v>35190293</v>
      </c>
    </row>
    <row r="1518">
      <c r="A1518" s="3">
        <f>IFERROR(__xludf.DUMMYFUNCTION("""COMPUTED_VALUE"""),119.0)</f>
        <v>119</v>
      </c>
      <c r="B1518" s="2" t="str">
        <f>IFERROR(__xludf.DUMMYFUNCTION("""COMPUTED_VALUE"""),"COMILLA")</f>
        <v>COMILLA</v>
      </c>
      <c r="C1518" s="4">
        <f>IFERROR(__xludf.DUMMYFUNCTION("""COMPUTED_VALUE"""),35.0)</f>
        <v>35</v>
      </c>
      <c r="D1518" s="2" t="str">
        <f>IFERROR(__xludf.DUMMYFUNCTION("""COMPUTED_VALUE"""),"BANGLADESH KRISHI BANK")</f>
        <v>BANGLADESH KRISHI BANK</v>
      </c>
      <c r="E1518" s="2" t="str">
        <f>IFERROR(__xludf.DUMMYFUNCTION("""COMPUTED_VALUE"""),"BANGADDA BAZAR")</f>
        <v>BANGADDA BAZAR</v>
      </c>
      <c r="F1518" s="4">
        <f>IFERROR(__xludf.DUMMYFUNCTION("""COMPUTED_VALUE"""),40.0)</f>
        <v>40</v>
      </c>
      <c r="G1518" s="5">
        <f>IFERROR(__xludf.DUMMYFUNCTION("""COMPUTED_VALUE"""),3.5190406E7)</f>
        <v>35190406</v>
      </c>
    </row>
    <row r="1519">
      <c r="A1519" s="3">
        <f>IFERROR(__xludf.DUMMYFUNCTION("""COMPUTED_VALUE"""),119.0)</f>
        <v>119</v>
      </c>
      <c r="B1519" s="2" t="str">
        <f>IFERROR(__xludf.DUMMYFUNCTION("""COMPUTED_VALUE"""),"COMILLA")</f>
        <v>COMILLA</v>
      </c>
      <c r="C1519" s="4">
        <f>IFERROR(__xludf.DUMMYFUNCTION("""COMPUTED_VALUE"""),35.0)</f>
        <v>35</v>
      </c>
      <c r="D1519" s="2" t="str">
        <f>IFERROR(__xludf.DUMMYFUNCTION("""COMPUTED_VALUE"""),"BANGLADESH KRISHI BANK")</f>
        <v>BANGLADESH KRISHI BANK</v>
      </c>
      <c r="E1519" s="2" t="str">
        <f>IFERROR(__xludf.DUMMYFUNCTION("""COMPUTED_VALUE"""),"BARASHALGHAR")</f>
        <v>BARASHALGHAR</v>
      </c>
      <c r="F1519" s="4">
        <f>IFERROR(__xludf.DUMMYFUNCTION("""COMPUTED_VALUE"""),43.0)</f>
        <v>43</v>
      </c>
      <c r="G1519" s="5">
        <f>IFERROR(__xludf.DUMMYFUNCTION("""COMPUTED_VALUE"""),3.5190435E7)</f>
        <v>35190435</v>
      </c>
    </row>
    <row r="1520">
      <c r="A1520" s="3">
        <f>IFERROR(__xludf.DUMMYFUNCTION("""COMPUTED_VALUE"""),119.0)</f>
        <v>119</v>
      </c>
      <c r="B1520" s="2" t="str">
        <f>IFERROR(__xludf.DUMMYFUNCTION("""COMPUTED_VALUE"""),"COMILLA")</f>
        <v>COMILLA</v>
      </c>
      <c r="C1520" s="4">
        <f>IFERROR(__xludf.DUMMYFUNCTION("""COMPUTED_VALUE"""),35.0)</f>
        <v>35</v>
      </c>
      <c r="D1520" s="2" t="str">
        <f>IFERROR(__xludf.DUMMYFUNCTION("""COMPUTED_VALUE"""),"BANGLADESH KRISHI BANK")</f>
        <v>BANGLADESH KRISHI BANK</v>
      </c>
      <c r="E1520" s="2" t="str">
        <f>IFERROR(__xludf.DUMMYFUNCTION("""COMPUTED_VALUE"""),"BARURA")</f>
        <v>BARURA</v>
      </c>
      <c r="F1520" s="4">
        <f>IFERROR(__xludf.DUMMYFUNCTION("""COMPUTED_VALUE"""),49.0)</f>
        <v>49</v>
      </c>
      <c r="G1520" s="5">
        <f>IFERROR(__xludf.DUMMYFUNCTION("""COMPUTED_VALUE"""),3.5190493E7)</f>
        <v>35190493</v>
      </c>
    </row>
    <row r="1521">
      <c r="A1521" s="3">
        <f>IFERROR(__xludf.DUMMYFUNCTION("""COMPUTED_VALUE"""),119.0)</f>
        <v>119</v>
      </c>
      <c r="B1521" s="2" t="str">
        <f>IFERROR(__xludf.DUMMYFUNCTION("""COMPUTED_VALUE"""),"COMILLA")</f>
        <v>COMILLA</v>
      </c>
      <c r="C1521" s="4">
        <f>IFERROR(__xludf.DUMMYFUNCTION("""COMPUTED_VALUE"""),35.0)</f>
        <v>35</v>
      </c>
      <c r="D1521" s="2" t="str">
        <f>IFERROR(__xludf.DUMMYFUNCTION("""COMPUTED_VALUE"""),"BANGLADESH KRISHI BANK")</f>
        <v>BANGLADESH KRISHI BANK</v>
      </c>
      <c r="E1521" s="2" t="str">
        <f>IFERROR(__xludf.DUMMYFUNCTION("""COMPUTED_VALUE"""),"BAUKSHAR BAZAR")</f>
        <v>BAUKSHAR BAZAR</v>
      </c>
      <c r="F1521" s="4">
        <f>IFERROR(__xludf.DUMMYFUNCTION("""COMPUTED_VALUE"""),58.0)</f>
        <v>58</v>
      </c>
      <c r="G1521" s="5">
        <f>IFERROR(__xludf.DUMMYFUNCTION("""COMPUTED_VALUE"""),3.5190585E7)</f>
        <v>35190585</v>
      </c>
    </row>
    <row r="1522">
      <c r="A1522" s="3">
        <f>IFERROR(__xludf.DUMMYFUNCTION("""COMPUTED_VALUE"""),119.0)</f>
        <v>119</v>
      </c>
      <c r="B1522" s="2" t="str">
        <f>IFERROR(__xludf.DUMMYFUNCTION("""COMPUTED_VALUE"""),"COMILLA")</f>
        <v>COMILLA</v>
      </c>
      <c r="C1522" s="4">
        <f>IFERROR(__xludf.DUMMYFUNCTION("""COMPUTED_VALUE"""),35.0)</f>
        <v>35</v>
      </c>
      <c r="D1522" s="2" t="str">
        <f>IFERROR(__xludf.DUMMYFUNCTION("""COMPUTED_VALUE"""),"BANGLADESH KRISHI BANK")</f>
        <v>BANGLADESH KRISHI BANK</v>
      </c>
      <c r="E1522" s="2" t="str">
        <f>IFERROR(__xludf.DUMMYFUNCTION("""COMPUTED_VALUE"""),"BIZRA BAZAR")</f>
        <v>BIZRA BAZAR</v>
      </c>
      <c r="F1522" s="4">
        <f>IFERROR(__xludf.DUMMYFUNCTION("""COMPUTED_VALUE"""),70.0)</f>
        <v>70</v>
      </c>
      <c r="G1522" s="5">
        <f>IFERROR(__xludf.DUMMYFUNCTION("""COMPUTED_VALUE"""),3.5190701E7)</f>
        <v>35190701</v>
      </c>
    </row>
    <row r="1523">
      <c r="A1523" s="3">
        <f>IFERROR(__xludf.DUMMYFUNCTION("""COMPUTED_VALUE"""),119.0)</f>
        <v>119</v>
      </c>
      <c r="B1523" s="2" t="str">
        <f>IFERROR(__xludf.DUMMYFUNCTION("""COMPUTED_VALUE"""),"COMILLA")</f>
        <v>COMILLA</v>
      </c>
      <c r="C1523" s="4">
        <f>IFERROR(__xludf.DUMMYFUNCTION("""COMPUTED_VALUE"""),35.0)</f>
        <v>35</v>
      </c>
      <c r="D1523" s="2" t="str">
        <f>IFERROR(__xludf.DUMMYFUNCTION("""COMPUTED_VALUE"""),"BANGLADESH KRISHI BANK")</f>
        <v>BANGLADESH KRISHI BANK</v>
      </c>
      <c r="E1523" s="2" t="str">
        <f>IFERROR(__xludf.DUMMYFUNCTION("""COMPUTED_VALUE"""),"BRAHMAN PARA")</f>
        <v>BRAHMAN PARA</v>
      </c>
      <c r="F1523" s="4">
        <f>IFERROR(__xludf.DUMMYFUNCTION("""COMPUTED_VALUE"""),76.0)</f>
        <v>76</v>
      </c>
      <c r="G1523" s="5">
        <f>IFERROR(__xludf.DUMMYFUNCTION("""COMPUTED_VALUE"""),3.5190769E7)</f>
        <v>35190769</v>
      </c>
    </row>
    <row r="1524">
      <c r="A1524" s="3">
        <f>IFERROR(__xludf.DUMMYFUNCTION("""COMPUTED_VALUE"""),119.0)</f>
        <v>119</v>
      </c>
      <c r="B1524" s="2" t="str">
        <f>IFERROR(__xludf.DUMMYFUNCTION("""COMPUTED_VALUE"""),"COMILLA")</f>
        <v>COMILLA</v>
      </c>
      <c r="C1524" s="4">
        <f>IFERROR(__xludf.DUMMYFUNCTION("""COMPUTED_VALUE"""),35.0)</f>
        <v>35</v>
      </c>
      <c r="D1524" s="2" t="str">
        <f>IFERROR(__xludf.DUMMYFUNCTION("""COMPUTED_VALUE"""),"BANGLADESH KRISHI BANK")</f>
        <v>BANGLADESH KRISHI BANK</v>
      </c>
      <c r="E1524" s="2" t="str">
        <f>IFERROR(__xludf.DUMMYFUNCTION("""COMPUTED_VALUE"""),"BURICHANG")</f>
        <v>BURICHANG</v>
      </c>
      <c r="F1524" s="4">
        <f>IFERROR(__xludf.DUMMYFUNCTION("""COMPUTED_VALUE"""),82.0)</f>
        <v>82</v>
      </c>
      <c r="G1524" s="5">
        <f>IFERROR(__xludf.DUMMYFUNCTION("""COMPUTED_VALUE"""),3.5190822E7)</f>
        <v>35190822</v>
      </c>
    </row>
    <row r="1525">
      <c r="A1525" s="3">
        <f>IFERROR(__xludf.DUMMYFUNCTION("""COMPUTED_VALUE"""),119.0)</f>
        <v>119</v>
      </c>
      <c r="B1525" s="2" t="str">
        <f>IFERROR(__xludf.DUMMYFUNCTION("""COMPUTED_VALUE"""),"COMILLA")</f>
        <v>COMILLA</v>
      </c>
      <c r="C1525" s="4">
        <f>IFERROR(__xludf.DUMMYFUNCTION("""COMPUTED_VALUE"""),35.0)</f>
        <v>35</v>
      </c>
      <c r="D1525" s="2" t="str">
        <f>IFERROR(__xludf.DUMMYFUNCTION("""COMPUTED_VALUE"""),"BANGLADESH KRISHI BANK")</f>
        <v>BANGLADESH KRISHI BANK</v>
      </c>
      <c r="E1525" s="2" t="str">
        <f>IFERROR(__xludf.DUMMYFUNCTION("""COMPUTED_VALUE"""),"CHANDINA")</f>
        <v>CHANDINA</v>
      </c>
      <c r="F1525" s="4">
        <f>IFERROR(__xludf.DUMMYFUNCTION("""COMPUTED_VALUE"""),88.0)</f>
        <v>88</v>
      </c>
      <c r="G1525" s="5">
        <f>IFERROR(__xludf.DUMMYFUNCTION("""COMPUTED_VALUE"""),3.519088E7)</f>
        <v>35190880</v>
      </c>
    </row>
    <row r="1526">
      <c r="A1526" s="3">
        <f>IFERROR(__xludf.DUMMYFUNCTION("""COMPUTED_VALUE"""),119.0)</f>
        <v>119</v>
      </c>
      <c r="B1526" s="2" t="str">
        <f>IFERROR(__xludf.DUMMYFUNCTION("""COMPUTED_VALUE"""),"COMILLA")</f>
        <v>COMILLA</v>
      </c>
      <c r="C1526" s="4">
        <f>IFERROR(__xludf.DUMMYFUNCTION("""COMPUTED_VALUE"""),35.0)</f>
        <v>35</v>
      </c>
      <c r="D1526" s="2" t="str">
        <f>IFERROR(__xludf.DUMMYFUNCTION("""COMPUTED_VALUE"""),"BANGLADESH KRISHI BANK")</f>
        <v>BANGLADESH KRISHI BANK</v>
      </c>
      <c r="E1526" s="2" t="str">
        <f>IFERROR(__xludf.DUMMYFUNCTION("""COMPUTED_VALUE"""),"CHANDLA")</f>
        <v>CHANDLA</v>
      </c>
      <c r="F1526" s="4">
        <f>IFERROR(__xludf.DUMMYFUNCTION("""COMPUTED_VALUE"""),94.0)</f>
        <v>94</v>
      </c>
      <c r="G1526" s="5">
        <f>IFERROR(__xludf.DUMMYFUNCTION("""COMPUTED_VALUE"""),3.5190943E7)</f>
        <v>35190943</v>
      </c>
    </row>
    <row r="1527">
      <c r="A1527" s="3">
        <f>IFERROR(__xludf.DUMMYFUNCTION("""COMPUTED_VALUE"""),119.0)</f>
        <v>119</v>
      </c>
      <c r="B1527" s="2" t="str">
        <f>IFERROR(__xludf.DUMMYFUNCTION("""COMPUTED_VALUE"""),"COMILLA")</f>
        <v>COMILLA</v>
      </c>
      <c r="C1527" s="4">
        <f>IFERROR(__xludf.DUMMYFUNCTION("""COMPUTED_VALUE"""),35.0)</f>
        <v>35</v>
      </c>
      <c r="D1527" s="2" t="str">
        <f>IFERROR(__xludf.DUMMYFUNCTION("""COMPUTED_VALUE"""),"BANGLADESH KRISHI BANK")</f>
        <v>BANGLADESH KRISHI BANK</v>
      </c>
      <c r="E1527" s="2" t="str">
        <f>IFERROR(__xludf.DUMMYFUNCTION("""COMPUTED_VALUE"""),"CHHALIA KANDI")</f>
        <v>CHHALIA KANDI</v>
      </c>
      <c r="F1527" s="4">
        <f>IFERROR(__xludf.DUMMYFUNCTION("""COMPUTED_VALUE"""),103.0)</f>
        <v>103</v>
      </c>
      <c r="G1527" s="5">
        <f>IFERROR(__xludf.DUMMYFUNCTION("""COMPUTED_VALUE"""),3.5191034E7)</f>
        <v>35191034</v>
      </c>
    </row>
    <row r="1528">
      <c r="A1528" s="3">
        <f>IFERROR(__xludf.DUMMYFUNCTION("""COMPUTED_VALUE"""),119.0)</f>
        <v>119</v>
      </c>
      <c r="B1528" s="2" t="str">
        <f>IFERROR(__xludf.DUMMYFUNCTION("""COMPUTED_VALUE"""),"COMILLA")</f>
        <v>COMILLA</v>
      </c>
      <c r="C1528" s="4">
        <f>IFERROR(__xludf.DUMMYFUNCTION("""COMPUTED_VALUE"""),35.0)</f>
        <v>35</v>
      </c>
      <c r="D1528" s="2" t="str">
        <f>IFERROR(__xludf.DUMMYFUNCTION("""COMPUTED_VALUE"""),"BANGLADESH KRISHI BANK")</f>
        <v>BANGLADESH KRISHI BANK</v>
      </c>
      <c r="E1528" s="2" t="str">
        <f>IFERROR(__xludf.DUMMYFUNCTION("""COMPUTED_VALUE"""),"CHOUDDAGRAM")</f>
        <v>CHOUDDAGRAM</v>
      </c>
      <c r="F1528" s="4">
        <f>IFERROR(__xludf.DUMMYFUNCTION("""COMPUTED_VALUE"""),106.0)</f>
        <v>106</v>
      </c>
      <c r="G1528" s="5">
        <f>IFERROR(__xludf.DUMMYFUNCTION("""COMPUTED_VALUE"""),3.5191063E7)</f>
        <v>35191063</v>
      </c>
    </row>
    <row r="1529">
      <c r="A1529" s="3">
        <f>IFERROR(__xludf.DUMMYFUNCTION("""COMPUTED_VALUE"""),119.0)</f>
        <v>119</v>
      </c>
      <c r="B1529" s="2" t="str">
        <f>IFERROR(__xludf.DUMMYFUNCTION("""COMPUTED_VALUE"""),"COMILLA")</f>
        <v>COMILLA</v>
      </c>
      <c r="C1529" s="4">
        <f>IFERROR(__xludf.DUMMYFUNCTION("""COMPUTED_VALUE"""),35.0)</f>
        <v>35</v>
      </c>
      <c r="D1529" s="2" t="str">
        <f>IFERROR(__xludf.DUMMYFUNCTION("""COMPUTED_VALUE"""),"BANGLADESH KRISHI BANK")</f>
        <v>BANGLADESH KRISHI BANK</v>
      </c>
      <c r="E1529" s="2" t="str">
        <f>IFERROR(__xludf.DUMMYFUNCTION("""COMPUTED_VALUE"""),"CHOWDHURY BAZAR")</f>
        <v>CHOWDHURY BAZAR</v>
      </c>
      <c r="F1529" s="4">
        <f>IFERROR(__xludf.DUMMYFUNCTION("""COMPUTED_VALUE"""),112.0)</f>
        <v>112</v>
      </c>
      <c r="G1529" s="5">
        <f>IFERROR(__xludf.DUMMYFUNCTION("""COMPUTED_VALUE"""),3.5191126E7)</f>
        <v>35191126</v>
      </c>
    </row>
    <row r="1530">
      <c r="A1530" s="3">
        <f>IFERROR(__xludf.DUMMYFUNCTION("""COMPUTED_VALUE"""),119.0)</f>
        <v>119</v>
      </c>
      <c r="B1530" s="2" t="str">
        <f>IFERROR(__xludf.DUMMYFUNCTION("""COMPUTED_VALUE"""),"COMILLA")</f>
        <v>COMILLA</v>
      </c>
      <c r="C1530" s="4">
        <f>IFERROR(__xludf.DUMMYFUNCTION("""COMPUTED_VALUE"""),35.0)</f>
        <v>35</v>
      </c>
      <c r="D1530" s="2" t="str">
        <f>IFERROR(__xludf.DUMMYFUNCTION("""COMPUTED_VALUE"""),"BANGLADESH KRISHI BANK")</f>
        <v>BANGLADESH KRISHI BANK</v>
      </c>
      <c r="E1530" s="2" t="str">
        <f>IFERROR(__xludf.DUMMYFUNCTION("""COMPUTED_VALUE"""),"COMILLA")</f>
        <v>COMILLA</v>
      </c>
      <c r="F1530" s="4">
        <f>IFERROR(__xludf.DUMMYFUNCTION("""COMPUTED_VALUE"""),115.0)</f>
        <v>115</v>
      </c>
      <c r="G1530" s="5">
        <f>IFERROR(__xludf.DUMMYFUNCTION("""COMPUTED_VALUE"""),3.5191155E7)</f>
        <v>35191155</v>
      </c>
    </row>
    <row r="1531">
      <c r="A1531" s="3">
        <f>IFERROR(__xludf.DUMMYFUNCTION("""COMPUTED_VALUE"""),119.0)</f>
        <v>119</v>
      </c>
      <c r="B1531" s="2" t="str">
        <f>IFERROR(__xludf.DUMMYFUNCTION("""COMPUTED_VALUE"""),"COMILLA")</f>
        <v>COMILLA</v>
      </c>
      <c r="C1531" s="4">
        <f>IFERROR(__xludf.DUMMYFUNCTION("""COMPUTED_VALUE"""),35.0)</f>
        <v>35</v>
      </c>
      <c r="D1531" s="2" t="str">
        <f>IFERROR(__xludf.DUMMYFUNCTION("""COMPUTED_VALUE"""),"BANGLADESH KRISHI BANK")</f>
        <v>BANGLADESH KRISHI BANK</v>
      </c>
      <c r="E1531" s="2" t="str">
        <f>IFERROR(__xludf.DUMMYFUNCTION("""COMPUTED_VALUE"""),"DARORA BAZAR")</f>
        <v>DARORA BAZAR</v>
      </c>
      <c r="F1531" s="4">
        <f>IFERROR(__xludf.DUMMYFUNCTION("""COMPUTED_VALUE"""),148.0)</f>
        <v>148</v>
      </c>
      <c r="G1531" s="5">
        <f>IFERROR(__xludf.DUMMYFUNCTION("""COMPUTED_VALUE"""),3.5191489E7)</f>
        <v>35191489</v>
      </c>
    </row>
    <row r="1532">
      <c r="A1532" s="3">
        <f>IFERROR(__xludf.DUMMYFUNCTION("""COMPUTED_VALUE"""),119.0)</f>
        <v>119</v>
      </c>
      <c r="B1532" s="2" t="str">
        <f>IFERROR(__xludf.DUMMYFUNCTION("""COMPUTED_VALUE"""),"COMILLA")</f>
        <v>COMILLA</v>
      </c>
      <c r="C1532" s="4">
        <f>IFERROR(__xludf.DUMMYFUNCTION("""COMPUTED_VALUE"""),35.0)</f>
        <v>35</v>
      </c>
      <c r="D1532" s="2" t="str">
        <f>IFERROR(__xludf.DUMMYFUNCTION("""COMPUTED_VALUE"""),"BANGLADESH KRISHI BANK")</f>
        <v>BANGLADESH KRISHI BANK</v>
      </c>
      <c r="E1532" s="2" t="str">
        <f>IFERROR(__xludf.DUMMYFUNCTION("""COMPUTED_VALUE"""),"DAUDKANDI")</f>
        <v>DAUDKANDI</v>
      </c>
      <c r="F1532" s="4">
        <f>IFERROR(__xludf.DUMMYFUNCTION("""COMPUTED_VALUE"""),151.0)</f>
        <v>151</v>
      </c>
      <c r="G1532" s="5">
        <f>IFERROR(__xludf.DUMMYFUNCTION("""COMPUTED_VALUE"""),3.5191513E7)</f>
        <v>35191513</v>
      </c>
    </row>
    <row r="1533">
      <c r="A1533" s="3">
        <f>IFERROR(__xludf.DUMMYFUNCTION("""COMPUTED_VALUE"""),119.0)</f>
        <v>119</v>
      </c>
      <c r="B1533" s="2" t="str">
        <f>IFERROR(__xludf.DUMMYFUNCTION("""COMPUTED_VALUE"""),"COMILLA")</f>
        <v>COMILLA</v>
      </c>
      <c r="C1533" s="4">
        <f>IFERROR(__xludf.DUMMYFUNCTION("""COMPUTED_VALUE"""),35.0)</f>
        <v>35</v>
      </c>
      <c r="D1533" s="2" t="str">
        <f>IFERROR(__xludf.DUMMYFUNCTION("""COMPUTED_VALUE"""),"BANGLADESH KRISHI BANK")</f>
        <v>BANGLADESH KRISHI BANK</v>
      </c>
      <c r="E1533" s="2" t="str">
        <f>IFERROR(__xludf.DUMMYFUNCTION("""COMPUTED_VALUE"""),"DEBIDWAR")</f>
        <v>DEBIDWAR</v>
      </c>
      <c r="F1533" s="4">
        <f>IFERROR(__xludf.DUMMYFUNCTION("""COMPUTED_VALUE"""),160.0)</f>
        <v>160</v>
      </c>
      <c r="G1533" s="5">
        <f>IFERROR(__xludf.DUMMYFUNCTION("""COMPUTED_VALUE"""),3.5191605E7)</f>
        <v>35191605</v>
      </c>
    </row>
    <row r="1534">
      <c r="A1534" s="3">
        <f>IFERROR(__xludf.DUMMYFUNCTION("""COMPUTED_VALUE"""),119.0)</f>
        <v>119</v>
      </c>
      <c r="B1534" s="2" t="str">
        <f>IFERROR(__xludf.DUMMYFUNCTION("""COMPUTED_VALUE"""),"COMILLA")</f>
        <v>COMILLA</v>
      </c>
      <c r="C1534" s="4">
        <f>IFERROR(__xludf.DUMMYFUNCTION("""COMPUTED_VALUE"""),35.0)</f>
        <v>35</v>
      </c>
      <c r="D1534" s="2" t="str">
        <f>IFERROR(__xludf.DUMMYFUNCTION("""COMPUTED_VALUE"""),"BANGLADESH KRISHI BANK")</f>
        <v>BANGLADESH KRISHI BANK</v>
      </c>
      <c r="E1534" s="2" t="str">
        <f>IFERROR(__xludf.DUMMYFUNCTION("""COMPUTED_VALUE"""),"DHALUA")</f>
        <v>DHALUA</v>
      </c>
      <c r="F1534" s="4">
        <f>IFERROR(__xludf.DUMMYFUNCTION("""COMPUTED_VALUE"""),166.0)</f>
        <v>166</v>
      </c>
      <c r="G1534" s="5">
        <f>IFERROR(__xludf.DUMMYFUNCTION("""COMPUTED_VALUE"""),3.5191663E7)</f>
        <v>35191663</v>
      </c>
    </row>
    <row r="1535">
      <c r="A1535" s="3">
        <f>IFERROR(__xludf.DUMMYFUNCTION("""COMPUTED_VALUE"""),119.0)</f>
        <v>119</v>
      </c>
      <c r="B1535" s="2" t="str">
        <f>IFERROR(__xludf.DUMMYFUNCTION("""COMPUTED_VALUE"""),"COMILLA")</f>
        <v>COMILLA</v>
      </c>
      <c r="C1535" s="4">
        <f>IFERROR(__xludf.DUMMYFUNCTION("""COMPUTED_VALUE"""),35.0)</f>
        <v>35</v>
      </c>
      <c r="D1535" s="2" t="str">
        <f>IFERROR(__xludf.DUMMYFUNCTION("""COMPUTED_VALUE"""),"BANGLADESH KRISHI BANK")</f>
        <v>BANGLADESH KRISHI BANK</v>
      </c>
      <c r="E1535" s="2" t="str">
        <f>IFERROR(__xludf.DUMMYFUNCTION("""COMPUTED_VALUE"""),"DHAMTI MADRASA")</f>
        <v>DHAMTI MADRASA</v>
      </c>
      <c r="F1535" s="4">
        <f>IFERROR(__xludf.DUMMYFUNCTION("""COMPUTED_VALUE"""),169.0)</f>
        <v>169</v>
      </c>
      <c r="G1535" s="5">
        <f>IFERROR(__xludf.DUMMYFUNCTION("""COMPUTED_VALUE"""),3.5191692E7)</f>
        <v>35191692</v>
      </c>
    </row>
    <row r="1536">
      <c r="A1536" s="3">
        <f>IFERROR(__xludf.DUMMYFUNCTION("""COMPUTED_VALUE"""),119.0)</f>
        <v>119</v>
      </c>
      <c r="B1536" s="2" t="str">
        <f>IFERROR(__xludf.DUMMYFUNCTION("""COMPUTED_VALUE"""),"COMILLA")</f>
        <v>COMILLA</v>
      </c>
      <c r="C1536" s="4">
        <f>IFERROR(__xludf.DUMMYFUNCTION("""COMPUTED_VALUE"""),35.0)</f>
        <v>35</v>
      </c>
      <c r="D1536" s="2" t="str">
        <f>IFERROR(__xludf.DUMMYFUNCTION("""COMPUTED_VALUE"""),"BANGLADESH KRISHI BANK")</f>
        <v>BANGLADESH KRISHI BANK</v>
      </c>
      <c r="E1536" s="2" t="str">
        <f>IFERROR(__xludf.DUMMYFUNCTION("""COMPUTED_VALUE"""),"BABURCHI BAZAR")</f>
        <v>BABURCHI BAZAR</v>
      </c>
      <c r="F1536" s="4">
        <f>IFERROR(__xludf.DUMMYFUNCTION("""COMPUTED_VALUE"""),172.0)</f>
        <v>172</v>
      </c>
      <c r="G1536" s="5">
        <f>IFERROR(__xludf.DUMMYFUNCTION("""COMPUTED_VALUE"""),3.5191726E7)</f>
        <v>35191726</v>
      </c>
    </row>
    <row r="1537">
      <c r="A1537" s="3">
        <f>IFERROR(__xludf.DUMMYFUNCTION("""COMPUTED_VALUE"""),119.0)</f>
        <v>119</v>
      </c>
      <c r="B1537" s="2" t="str">
        <f>IFERROR(__xludf.DUMMYFUNCTION("""COMPUTED_VALUE"""),"COMILLA")</f>
        <v>COMILLA</v>
      </c>
      <c r="C1537" s="4">
        <f>IFERROR(__xludf.DUMMYFUNCTION("""COMPUTED_VALUE"""),35.0)</f>
        <v>35</v>
      </c>
      <c r="D1537" s="2" t="str">
        <f>IFERROR(__xludf.DUMMYFUNCTION("""COMPUTED_VALUE"""),"BANGLADESH KRISHI BANK")</f>
        <v>BANGLADESH KRISHI BANK</v>
      </c>
      <c r="E1537" s="2" t="str">
        <f>IFERROR(__xludf.DUMMYFUNCTION("""COMPUTED_VALUE"""),"DOLLAI NABABPUR DAKHIN BAZAR")</f>
        <v>DOLLAI NABABPUR DAKHIN BAZAR</v>
      </c>
      <c r="F1537" s="4">
        <f>IFERROR(__xludf.DUMMYFUNCTION("""COMPUTED_VALUE"""),184.0)</f>
        <v>184</v>
      </c>
      <c r="G1537" s="5">
        <f>IFERROR(__xludf.DUMMYFUNCTION("""COMPUTED_VALUE"""),3.5191847E7)</f>
        <v>35191847</v>
      </c>
    </row>
    <row r="1538">
      <c r="A1538" s="3">
        <f>IFERROR(__xludf.DUMMYFUNCTION("""COMPUTED_VALUE"""),119.0)</f>
        <v>119</v>
      </c>
      <c r="B1538" s="2" t="str">
        <f>IFERROR(__xludf.DUMMYFUNCTION("""COMPUTED_VALUE"""),"COMILLA")</f>
        <v>COMILLA</v>
      </c>
      <c r="C1538" s="4">
        <f>IFERROR(__xludf.DUMMYFUNCTION("""COMPUTED_VALUE"""),35.0)</f>
        <v>35</v>
      </c>
      <c r="D1538" s="2" t="str">
        <f>IFERROR(__xludf.DUMMYFUNCTION("""COMPUTED_VALUE"""),"BANGLADESH KRISHI BANK")</f>
        <v>BANGLADESH KRISHI BANK</v>
      </c>
      <c r="E1538" s="2" t="str">
        <f>IFERROR(__xludf.DUMMYFUNCTION("""COMPUTED_VALUE"""),"GAIRBHANGA BAZAR")</f>
        <v>GAIRBHANGA BAZAR</v>
      </c>
      <c r="F1538" s="4">
        <f>IFERROR(__xludf.DUMMYFUNCTION("""COMPUTED_VALUE"""),196.0)</f>
        <v>196</v>
      </c>
      <c r="G1538" s="5">
        <f>IFERROR(__xludf.DUMMYFUNCTION("""COMPUTED_VALUE"""),3.5191968E7)</f>
        <v>35191968</v>
      </c>
    </row>
    <row r="1539">
      <c r="A1539" s="3">
        <f>IFERROR(__xludf.DUMMYFUNCTION("""COMPUTED_VALUE"""),119.0)</f>
        <v>119</v>
      </c>
      <c r="B1539" s="2" t="str">
        <f>IFERROR(__xludf.DUMMYFUNCTION("""COMPUTED_VALUE"""),"COMILLA")</f>
        <v>COMILLA</v>
      </c>
      <c r="C1539" s="4">
        <f>IFERROR(__xludf.DUMMYFUNCTION("""COMPUTED_VALUE"""),35.0)</f>
        <v>35</v>
      </c>
      <c r="D1539" s="2" t="str">
        <f>IFERROR(__xludf.DUMMYFUNCTION("""COMPUTED_VALUE"""),"BANGLADESH KRISHI BANK")</f>
        <v>BANGLADESH KRISHI BANK</v>
      </c>
      <c r="E1539" s="2" t="str">
        <f>IFERROR(__xludf.DUMMYFUNCTION("""COMPUTED_VALUE"""),"GALIARA")</f>
        <v>GALIARA</v>
      </c>
      <c r="F1539" s="4">
        <f>IFERROR(__xludf.DUMMYFUNCTION("""COMPUTED_VALUE"""),199.0)</f>
        <v>199</v>
      </c>
      <c r="G1539" s="5">
        <f>IFERROR(__xludf.DUMMYFUNCTION("""COMPUTED_VALUE"""),3.5191997E7)</f>
        <v>35191997</v>
      </c>
    </row>
    <row r="1540">
      <c r="A1540" s="3">
        <f>IFERROR(__xludf.DUMMYFUNCTION("""COMPUTED_VALUE"""),119.0)</f>
        <v>119</v>
      </c>
      <c r="B1540" s="2" t="str">
        <f>IFERROR(__xludf.DUMMYFUNCTION("""COMPUTED_VALUE"""),"COMILLA")</f>
        <v>COMILLA</v>
      </c>
      <c r="C1540" s="4">
        <f>IFERROR(__xludf.DUMMYFUNCTION("""COMPUTED_VALUE"""),35.0)</f>
        <v>35</v>
      </c>
      <c r="D1540" s="2" t="str">
        <f>IFERROR(__xludf.DUMMYFUNCTION("""COMPUTED_VALUE"""),"BANGLADESH KRISHI BANK")</f>
        <v>BANGLADESH KRISHI BANK</v>
      </c>
      <c r="E1540" s="2" t="str">
        <f>IFERROR(__xludf.DUMMYFUNCTION("""COMPUTED_VALUE"""),"HOMNA")</f>
        <v>HOMNA</v>
      </c>
      <c r="F1540" s="4">
        <f>IFERROR(__xludf.DUMMYFUNCTION("""COMPUTED_VALUE"""),223.0)</f>
        <v>223</v>
      </c>
      <c r="G1540" s="5">
        <f>IFERROR(__xludf.DUMMYFUNCTION("""COMPUTED_VALUE"""),3.5192233E7)</f>
        <v>35192233</v>
      </c>
    </row>
    <row r="1541">
      <c r="A1541" s="3">
        <f>IFERROR(__xludf.DUMMYFUNCTION("""COMPUTED_VALUE"""),119.0)</f>
        <v>119</v>
      </c>
      <c r="B1541" s="2" t="str">
        <f>IFERROR(__xludf.DUMMYFUNCTION("""COMPUTED_VALUE"""),"COMILLA")</f>
        <v>COMILLA</v>
      </c>
      <c r="C1541" s="4">
        <f>IFERROR(__xludf.DUMMYFUNCTION("""COMPUTED_VALUE"""),35.0)</f>
        <v>35</v>
      </c>
      <c r="D1541" s="2" t="str">
        <f>IFERROR(__xludf.DUMMYFUNCTION("""COMPUTED_VALUE"""),"BANGLADESH KRISHI BANK")</f>
        <v>BANGLADESH KRISHI BANK</v>
      </c>
      <c r="E1541" s="2" t="str">
        <f>IFERROR(__xludf.DUMMYFUNCTION("""COMPUTED_VALUE"""),"HYDRABAD")</f>
        <v>HYDRABAD</v>
      </c>
      <c r="F1541" s="4">
        <f>IFERROR(__xludf.DUMMYFUNCTION("""COMPUTED_VALUE"""),229.0)</f>
        <v>229</v>
      </c>
      <c r="G1541" s="5">
        <f>IFERROR(__xludf.DUMMYFUNCTION("""COMPUTED_VALUE"""),3.5192291E7)</f>
        <v>35192291</v>
      </c>
    </row>
    <row r="1542">
      <c r="A1542" s="3">
        <f>IFERROR(__xludf.DUMMYFUNCTION("""COMPUTED_VALUE"""),119.0)</f>
        <v>119</v>
      </c>
      <c r="B1542" s="2" t="str">
        <f>IFERROR(__xludf.DUMMYFUNCTION("""COMPUTED_VALUE"""),"COMILLA")</f>
        <v>COMILLA</v>
      </c>
      <c r="C1542" s="4">
        <f>IFERROR(__xludf.DUMMYFUNCTION("""COMPUTED_VALUE"""),35.0)</f>
        <v>35</v>
      </c>
      <c r="D1542" s="2" t="str">
        <f>IFERROR(__xludf.DUMMYFUNCTION("""COMPUTED_VALUE"""),"BANGLADESH KRISHI BANK")</f>
        <v>BANGLADESH KRISHI BANK</v>
      </c>
      <c r="E1542" s="2" t="str">
        <f>IFERROR(__xludf.DUMMYFUNCTION("""COMPUTED_VALUE"""),"JOYAG BAZAR")</f>
        <v>JOYAG BAZAR</v>
      </c>
      <c r="F1542" s="4">
        <f>IFERROR(__xludf.DUMMYFUNCTION("""COMPUTED_VALUE"""),239.0)</f>
        <v>239</v>
      </c>
      <c r="G1542" s="5">
        <f>IFERROR(__xludf.DUMMYFUNCTION("""COMPUTED_VALUE"""),3.5192396E7)</f>
        <v>35192396</v>
      </c>
    </row>
    <row r="1543">
      <c r="A1543" s="3">
        <f>IFERROR(__xludf.DUMMYFUNCTION("""COMPUTED_VALUE"""),119.0)</f>
        <v>119</v>
      </c>
      <c r="B1543" s="2" t="str">
        <f>IFERROR(__xludf.DUMMYFUNCTION("""COMPUTED_VALUE"""),"COMILLA")</f>
        <v>COMILLA</v>
      </c>
      <c r="C1543" s="4">
        <f>IFERROR(__xludf.DUMMYFUNCTION("""COMPUTED_VALUE"""),35.0)</f>
        <v>35</v>
      </c>
      <c r="D1543" s="2" t="str">
        <f>IFERROR(__xludf.DUMMYFUNCTION("""COMPUTED_VALUE"""),"BANGLADESH KRISHI BANK")</f>
        <v>BANGLADESH KRISHI BANK</v>
      </c>
      <c r="E1543" s="2" t="str">
        <f>IFERROR(__xludf.DUMMYFUNCTION("""COMPUTED_VALUE"""),"JURANPUR")</f>
        <v>JURANPUR</v>
      </c>
      <c r="F1543" s="4">
        <f>IFERROR(__xludf.DUMMYFUNCTION("""COMPUTED_VALUE"""),241.0)</f>
        <v>241</v>
      </c>
      <c r="G1543" s="5">
        <f>IFERROR(__xludf.DUMMYFUNCTION("""COMPUTED_VALUE"""),3.5192417E7)</f>
        <v>35192417</v>
      </c>
    </row>
    <row r="1544">
      <c r="A1544" s="3">
        <f>IFERROR(__xludf.DUMMYFUNCTION("""COMPUTED_VALUE"""),119.0)</f>
        <v>119</v>
      </c>
      <c r="B1544" s="2" t="str">
        <f>IFERROR(__xludf.DUMMYFUNCTION("""COMPUTED_VALUE"""),"COMILLA")</f>
        <v>COMILLA</v>
      </c>
      <c r="C1544" s="4">
        <f>IFERROR(__xludf.DUMMYFUNCTION("""COMPUTED_VALUE"""),35.0)</f>
        <v>35</v>
      </c>
      <c r="D1544" s="2" t="str">
        <f>IFERROR(__xludf.DUMMYFUNCTION("""COMPUTED_VALUE"""),"BANGLADESH KRISHI BANK")</f>
        <v>BANGLADESH KRISHI BANK</v>
      </c>
      <c r="E1544" s="2" t="str">
        <f>IFERROR(__xludf.DUMMYFUNCTION("""COMPUTED_VALUE"""),"NIMSHAR BAZAR")</f>
        <v>NIMSHAR BAZAR</v>
      </c>
      <c r="F1544" s="4">
        <f>IFERROR(__xludf.DUMMYFUNCTION("""COMPUTED_VALUE"""),244.0)</f>
        <v>244</v>
      </c>
      <c r="G1544" s="5">
        <f>IFERROR(__xludf.DUMMYFUNCTION("""COMPUTED_VALUE"""),3.5192446E7)</f>
        <v>35192446</v>
      </c>
    </row>
    <row r="1545">
      <c r="A1545" s="3">
        <f>IFERROR(__xludf.DUMMYFUNCTION("""COMPUTED_VALUE"""),119.0)</f>
        <v>119</v>
      </c>
      <c r="B1545" s="2" t="str">
        <f>IFERROR(__xludf.DUMMYFUNCTION("""COMPUTED_VALUE"""),"COMILLA")</f>
        <v>COMILLA</v>
      </c>
      <c r="C1545" s="4">
        <f>IFERROR(__xludf.DUMMYFUNCTION("""COMPUTED_VALUE"""),35.0)</f>
        <v>35</v>
      </c>
      <c r="D1545" s="2" t="str">
        <f>IFERROR(__xludf.DUMMYFUNCTION("""COMPUTED_VALUE"""),"BANGLADESH KRISHI BANK")</f>
        <v>BANGLADESH KRISHI BANK</v>
      </c>
      <c r="E1545" s="2" t="str">
        <f>IFERROR(__xludf.DUMMYFUNCTION("""COMPUTED_VALUE"""),"KANKAPAITH BAZAR")</f>
        <v>KANKAPAITH BAZAR</v>
      </c>
      <c r="F1545" s="4">
        <f>IFERROR(__xludf.DUMMYFUNCTION("""COMPUTED_VALUE"""),256.0)</f>
        <v>256</v>
      </c>
      <c r="G1545" s="5">
        <f>IFERROR(__xludf.DUMMYFUNCTION("""COMPUTED_VALUE"""),3.5192567E7)</f>
        <v>35192567</v>
      </c>
    </row>
    <row r="1546">
      <c r="A1546" s="3">
        <f>IFERROR(__xludf.DUMMYFUNCTION("""COMPUTED_VALUE"""),119.0)</f>
        <v>119</v>
      </c>
      <c r="B1546" s="2" t="str">
        <f>IFERROR(__xludf.DUMMYFUNCTION("""COMPUTED_VALUE"""),"COMILLA")</f>
        <v>COMILLA</v>
      </c>
      <c r="C1546" s="4">
        <f>IFERROR(__xludf.DUMMYFUNCTION("""COMPUTED_VALUE"""),35.0)</f>
        <v>35</v>
      </c>
      <c r="D1546" s="2" t="str">
        <f>IFERROR(__xludf.DUMMYFUNCTION("""COMPUTED_VALUE"""),"BANGLADESH KRISHI BANK")</f>
        <v>BANGLADESH KRISHI BANK</v>
      </c>
      <c r="E1546" s="2" t="str">
        <f>IFERROR(__xludf.DUMMYFUNCTION("""COMPUTED_VALUE"""),"KASHINAGAR")</f>
        <v>KASHINAGAR</v>
      </c>
      <c r="F1546" s="4">
        <f>IFERROR(__xludf.DUMMYFUNCTION("""COMPUTED_VALUE"""),259.0)</f>
        <v>259</v>
      </c>
      <c r="G1546" s="5">
        <f>IFERROR(__xludf.DUMMYFUNCTION("""COMPUTED_VALUE"""),3.5192596E7)</f>
        <v>35192596</v>
      </c>
    </row>
    <row r="1547">
      <c r="A1547" s="3">
        <f>IFERROR(__xludf.DUMMYFUNCTION("""COMPUTED_VALUE"""),119.0)</f>
        <v>119</v>
      </c>
      <c r="B1547" s="2" t="str">
        <f>IFERROR(__xludf.DUMMYFUNCTION("""COMPUTED_VALUE"""),"COMILLA")</f>
        <v>COMILLA</v>
      </c>
      <c r="C1547" s="4">
        <f>IFERROR(__xludf.DUMMYFUNCTION("""COMPUTED_VALUE"""),35.0)</f>
        <v>35</v>
      </c>
      <c r="D1547" s="2" t="str">
        <f>IFERROR(__xludf.DUMMYFUNCTION("""COMPUTED_VALUE"""),"BANGLADESH KRISHI BANK")</f>
        <v>BANGLADESH KRISHI BANK</v>
      </c>
      <c r="E1547" s="2" t="str">
        <f>IFERROR(__xludf.DUMMYFUNCTION("""COMPUTED_VALUE"""),"LAKHANPUR BAZAR")</f>
        <v>LAKHANPUR BAZAR</v>
      </c>
      <c r="F1547" s="4">
        <f>IFERROR(__xludf.DUMMYFUNCTION("""COMPUTED_VALUE"""),268.0)</f>
        <v>268</v>
      </c>
      <c r="G1547" s="5">
        <f>IFERROR(__xludf.DUMMYFUNCTION("""COMPUTED_VALUE"""),3.5192688E7)</f>
        <v>35192688</v>
      </c>
    </row>
    <row r="1548">
      <c r="A1548" s="3">
        <f>IFERROR(__xludf.DUMMYFUNCTION("""COMPUTED_VALUE"""),119.0)</f>
        <v>119</v>
      </c>
      <c r="B1548" s="2" t="str">
        <f>IFERROR(__xludf.DUMMYFUNCTION("""COMPUTED_VALUE"""),"COMILLA")</f>
        <v>COMILLA</v>
      </c>
      <c r="C1548" s="4">
        <f>IFERROR(__xludf.DUMMYFUNCTION("""COMPUTED_VALUE"""),35.0)</f>
        <v>35</v>
      </c>
      <c r="D1548" s="2" t="str">
        <f>IFERROR(__xludf.DUMMYFUNCTION("""COMPUTED_VALUE"""),"BANGLADESH KRISHI BANK")</f>
        <v>BANGLADESH KRISHI BANK</v>
      </c>
      <c r="E1548" s="2" t="str">
        <f>IFERROR(__xludf.DUMMYFUNCTION("""COMPUTED_VALUE"""),"LAKSAM")</f>
        <v>LAKSAM</v>
      </c>
      <c r="F1548" s="4">
        <f>IFERROR(__xludf.DUMMYFUNCTION("""COMPUTED_VALUE"""),271.0)</f>
        <v>271</v>
      </c>
      <c r="G1548" s="5">
        <f>IFERROR(__xludf.DUMMYFUNCTION("""COMPUTED_VALUE"""),3.5192712E7)</f>
        <v>35192712</v>
      </c>
    </row>
    <row r="1549">
      <c r="A1549" s="3">
        <f>IFERROR(__xludf.DUMMYFUNCTION("""COMPUTED_VALUE"""),119.0)</f>
        <v>119</v>
      </c>
      <c r="B1549" s="2" t="str">
        <f>IFERROR(__xludf.DUMMYFUNCTION("""COMPUTED_VALUE"""),"COMILLA")</f>
        <v>COMILLA</v>
      </c>
      <c r="C1549" s="4">
        <f>IFERROR(__xludf.DUMMYFUNCTION("""COMPUTED_VALUE"""),35.0)</f>
        <v>35</v>
      </c>
      <c r="D1549" s="2" t="str">
        <f>IFERROR(__xludf.DUMMYFUNCTION("""COMPUTED_VALUE"""),"BANGLADESH KRISHI BANK")</f>
        <v>BANGLADESH KRISHI BANK</v>
      </c>
      <c r="E1549" s="2" t="str">
        <f>IFERROR(__xludf.DUMMYFUNCTION("""COMPUTED_VALUE"""),"MACHIMPUR")</f>
        <v>MACHIMPUR</v>
      </c>
      <c r="F1549" s="4">
        <f>IFERROR(__xludf.DUMMYFUNCTION("""COMPUTED_VALUE"""),274.0)</f>
        <v>274</v>
      </c>
      <c r="G1549" s="5">
        <f>IFERROR(__xludf.DUMMYFUNCTION("""COMPUTED_VALUE"""),3.5192741E7)</f>
        <v>35192741</v>
      </c>
    </row>
    <row r="1550">
      <c r="A1550" s="3">
        <f>IFERROR(__xludf.DUMMYFUNCTION("""COMPUTED_VALUE"""),119.0)</f>
        <v>119</v>
      </c>
      <c r="B1550" s="2" t="str">
        <f>IFERROR(__xludf.DUMMYFUNCTION("""COMPUTED_VALUE"""),"COMILLA")</f>
        <v>COMILLA</v>
      </c>
      <c r="C1550" s="4">
        <f>IFERROR(__xludf.DUMMYFUNCTION("""COMPUTED_VALUE"""),35.0)</f>
        <v>35</v>
      </c>
      <c r="D1550" s="2" t="str">
        <f>IFERROR(__xludf.DUMMYFUNCTION("""COMPUTED_VALUE"""),"BANGLADESH KRISHI BANK")</f>
        <v>BANGLADESH KRISHI BANK</v>
      </c>
      <c r="E1550" s="2" t="str">
        <f>IFERROR(__xludf.DUMMYFUNCTION("""COMPUTED_VALUE"""),"MAWLANA SAHEB BAZAR")</f>
        <v>MAWLANA SAHEB BAZAR</v>
      </c>
      <c r="F1550" s="4">
        <f>IFERROR(__xludf.DUMMYFUNCTION("""COMPUTED_VALUE"""),289.0)</f>
        <v>289</v>
      </c>
      <c r="G1550" s="5">
        <f>IFERROR(__xludf.DUMMYFUNCTION("""COMPUTED_VALUE"""),3.5192891E7)</f>
        <v>35192891</v>
      </c>
    </row>
    <row r="1551">
      <c r="A1551" s="3">
        <f>IFERROR(__xludf.DUMMYFUNCTION("""COMPUTED_VALUE"""),119.0)</f>
        <v>119</v>
      </c>
      <c r="B1551" s="2" t="str">
        <f>IFERROR(__xludf.DUMMYFUNCTION("""COMPUTED_VALUE"""),"COMILLA")</f>
        <v>COMILLA</v>
      </c>
      <c r="C1551" s="4">
        <f>IFERROR(__xludf.DUMMYFUNCTION("""COMPUTED_VALUE"""),35.0)</f>
        <v>35</v>
      </c>
      <c r="D1551" s="2" t="str">
        <f>IFERROR(__xludf.DUMMYFUNCTION("""COMPUTED_VALUE"""),"BANGLADESH KRISHI BANK")</f>
        <v>BANGLADESH KRISHI BANK</v>
      </c>
      <c r="E1551" s="2" t="str">
        <f>IFERROR(__xludf.DUMMYFUNCTION("""COMPUTED_VALUE"""),"MEGNA")</f>
        <v>MEGNA</v>
      </c>
      <c r="F1551" s="4">
        <f>IFERROR(__xludf.DUMMYFUNCTION("""COMPUTED_VALUE"""),295.0)</f>
        <v>295</v>
      </c>
      <c r="G1551" s="5">
        <f>IFERROR(__xludf.DUMMYFUNCTION("""COMPUTED_VALUE"""),3.5192954E7)</f>
        <v>35192954</v>
      </c>
    </row>
    <row r="1552">
      <c r="A1552" s="3">
        <f>IFERROR(__xludf.DUMMYFUNCTION("""COMPUTED_VALUE"""),119.0)</f>
        <v>119</v>
      </c>
      <c r="B1552" s="2" t="str">
        <f>IFERROR(__xludf.DUMMYFUNCTION("""COMPUTED_VALUE"""),"COMILLA")</f>
        <v>COMILLA</v>
      </c>
      <c r="C1552" s="4">
        <f>IFERROR(__xludf.DUMMYFUNCTION("""COMPUTED_VALUE"""),35.0)</f>
        <v>35</v>
      </c>
      <c r="D1552" s="2" t="str">
        <f>IFERROR(__xludf.DUMMYFUNCTION("""COMPUTED_VALUE"""),"BANGLADESH KRISHI BANK")</f>
        <v>BANGLADESH KRISHI BANK</v>
      </c>
      <c r="E1552" s="2" t="str">
        <f>IFERROR(__xludf.DUMMYFUNCTION("""COMPUTED_VALUE"""),"MOHICHAIL")</f>
        <v>MOHICHAIL</v>
      </c>
      <c r="F1552" s="4">
        <f>IFERROR(__xludf.DUMMYFUNCTION("""COMPUTED_VALUE"""),301.0)</f>
        <v>301</v>
      </c>
      <c r="G1552" s="5">
        <f>IFERROR(__xludf.DUMMYFUNCTION("""COMPUTED_VALUE"""),3.5193016E7)</f>
        <v>35193016</v>
      </c>
    </row>
    <row r="1553">
      <c r="A1553" s="3">
        <f>IFERROR(__xludf.DUMMYFUNCTION("""COMPUTED_VALUE"""),119.0)</f>
        <v>119</v>
      </c>
      <c r="B1553" s="2" t="str">
        <f>IFERROR(__xludf.DUMMYFUNCTION("""COMPUTED_VALUE"""),"COMILLA")</f>
        <v>COMILLA</v>
      </c>
      <c r="C1553" s="4">
        <f>IFERROR(__xludf.DUMMYFUNCTION("""COMPUTED_VALUE"""),35.0)</f>
        <v>35</v>
      </c>
      <c r="D1553" s="2" t="str">
        <f>IFERROR(__xludf.DUMMYFUNCTION("""COMPUTED_VALUE"""),"BANGLADESH KRISHI BANK")</f>
        <v>BANGLADESH KRISHI BANK</v>
      </c>
      <c r="E1553" s="2" t="str">
        <f>IFERROR(__xludf.DUMMYFUNCTION("""COMPUTED_VALUE"""),"MONOHARGANJ")</f>
        <v>MONOHARGANJ</v>
      </c>
      <c r="F1553" s="4">
        <f>IFERROR(__xludf.DUMMYFUNCTION("""COMPUTED_VALUE"""),304.0)</f>
        <v>304</v>
      </c>
      <c r="G1553" s="5">
        <f>IFERROR(__xludf.DUMMYFUNCTION("""COMPUTED_VALUE"""),3.5193045E7)</f>
        <v>35193045</v>
      </c>
    </row>
    <row r="1554">
      <c r="A1554" s="3">
        <f>IFERROR(__xludf.DUMMYFUNCTION("""COMPUTED_VALUE"""),119.0)</f>
        <v>119</v>
      </c>
      <c r="B1554" s="2" t="str">
        <f>IFERROR(__xludf.DUMMYFUNCTION("""COMPUTED_VALUE"""),"COMILLA")</f>
        <v>COMILLA</v>
      </c>
      <c r="C1554" s="4">
        <f>IFERROR(__xludf.DUMMYFUNCTION("""COMPUTED_VALUE"""),35.0)</f>
        <v>35</v>
      </c>
      <c r="D1554" s="2" t="str">
        <f>IFERROR(__xludf.DUMMYFUNCTION("""COMPUTED_VALUE"""),"BANGLADESH KRISHI BANK")</f>
        <v>BANGLADESH KRISHI BANK</v>
      </c>
      <c r="E1554" s="2" t="str">
        <f>IFERROR(__xludf.DUMMYFUNCTION("""COMPUTED_VALUE"""),"MURAD NAGAR")</f>
        <v>MURAD NAGAR</v>
      </c>
      <c r="F1554" s="4">
        <f>IFERROR(__xludf.DUMMYFUNCTION("""COMPUTED_VALUE"""),316.0)</f>
        <v>316</v>
      </c>
      <c r="G1554" s="5">
        <f>IFERROR(__xludf.DUMMYFUNCTION("""COMPUTED_VALUE"""),3.5193166E7)</f>
        <v>35193166</v>
      </c>
    </row>
    <row r="1555">
      <c r="A1555" s="3">
        <f>IFERROR(__xludf.DUMMYFUNCTION("""COMPUTED_VALUE"""),119.0)</f>
        <v>119</v>
      </c>
      <c r="B1555" s="2" t="str">
        <f>IFERROR(__xludf.DUMMYFUNCTION("""COMPUTED_VALUE"""),"COMILLA")</f>
        <v>COMILLA</v>
      </c>
      <c r="C1555" s="4">
        <f>IFERROR(__xludf.DUMMYFUNCTION("""COMPUTED_VALUE"""),35.0)</f>
        <v>35</v>
      </c>
      <c r="D1555" s="2" t="str">
        <f>IFERROR(__xludf.DUMMYFUNCTION("""COMPUTED_VALUE"""),"BANGLADESH KRISHI BANK")</f>
        <v>BANGLADESH KRISHI BANK</v>
      </c>
      <c r="E1555" s="2" t="str">
        <f>IFERROR(__xludf.DUMMYFUNCTION("""COMPUTED_VALUE"""),"NAIYER BAZAR")</f>
        <v>NAIYER BAZAR</v>
      </c>
      <c r="F1555" s="4">
        <f>IFERROR(__xludf.DUMMYFUNCTION("""COMPUTED_VALUE"""),319.0)</f>
        <v>319</v>
      </c>
      <c r="G1555" s="5">
        <f>IFERROR(__xludf.DUMMYFUNCTION("""COMPUTED_VALUE"""),3.5193195E7)</f>
        <v>35193195</v>
      </c>
    </row>
    <row r="1556">
      <c r="A1556" s="3">
        <f>IFERROR(__xludf.DUMMYFUNCTION("""COMPUTED_VALUE"""),119.0)</f>
        <v>119</v>
      </c>
      <c r="B1556" s="2" t="str">
        <f>IFERROR(__xludf.DUMMYFUNCTION("""COMPUTED_VALUE"""),"COMILLA")</f>
        <v>COMILLA</v>
      </c>
      <c r="C1556" s="4">
        <f>IFERROR(__xludf.DUMMYFUNCTION("""COMPUTED_VALUE"""),35.0)</f>
        <v>35</v>
      </c>
      <c r="D1556" s="2" t="str">
        <f>IFERROR(__xludf.DUMMYFUNCTION("""COMPUTED_VALUE"""),"BANGLADESH KRISHI BANK")</f>
        <v>BANGLADESH KRISHI BANK</v>
      </c>
      <c r="E1556" s="2" t="str">
        <f>IFERROR(__xludf.DUMMYFUNCTION("""COMPUTED_VALUE"""),"NANGALKOT")</f>
        <v>NANGALKOT</v>
      </c>
      <c r="F1556" s="4">
        <f>IFERROR(__xludf.DUMMYFUNCTION("""COMPUTED_VALUE"""),325.0)</f>
        <v>325</v>
      </c>
      <c r="G1556" s="5">
        <f>IFERROR(__xludf.DUMMYFUNCTION("""COMPUTED_VALUE"""),3.5193258E7)</f>
        <v>35193258</v>
      </c>
    </row>
    <row r="1557">
      <c r="A1557" s="3">
        <f>IFERROR(__xludf.DUMMYFUNCTION("""COMPUTED_VALUE"""),119.0)</f>
        <v>119</v>
      </c>
      <c r="B1557" s="2" t="str">
        <f>IFERROR(__xludf.DUMMYFUNCTION("""COMPUTED_VALUE"""),"COMILLA")</f>
        <v>COMILLA</v>
      </c>
      <c r="C1557" s="4">
        <f>IFERROR(__xludf.DUMMYFUNCTION("""COMPUTED_VALUE"""),35.0)</f>
        <v>35</v>
      </c>
      <c r="D1557" s="2" t="str">
        <f>IFERROR(__xludf.DUMMYFUNCTION("""COMPUTED_VALUE"""),"BANGLADESH KRISHI BANK")</f>
        <v>BANGLADESH KRISHI BANK</v>
      </c>
      <c r="E1557" s="2" t="str">
        <f>IFERROR(__xludf.DUMMYFUNCTION("""COMPUTED_VALUE"""),"NATHERPETUA")</f>
        <v>NATHERPETUA</v>
      </c>
      <c r="F1557" s="4">
        <f>IFERROR(__xludf.DUMMYFUNCTION("""COMPUTED_VALUE"""),331.0)</f>
        <v>331</v>
      </c>
      <c r="G1557" s="5">
        <f>IFERROR(__xludf.DUMMYFUNCTION("""COMPUTED_VALUE"""),3.5193311E7)</f>
        <v>35193311</v>
      </c>
    </row>
    <row r="1558">
      <c r="A1558" s="3">
        <f>IFERROR(__xludf.DUMMYFUNCTION("""COMPUTED_VALUE"""),119.0)</f>
        <v>119</v>
      </c>
      <c r="B1558" s="2" t="str">
        <f>IFERROR(__xludf.DUMMYFUNCTION("""COMPUTED_VALUE"""),"COMILLA")</f>
        <v>COMILLA</v>
      </c>
      <c r="C1558" s="4">
        <f>IFERROR(__xludf.DUMMYFUNCTION("""COMPUTED_VALUE"""),35.0)</f>
        <v>35</v>
      </c>
      <c r="D1558" s="2" t="str">
        <f>IFERROR(__xludf.DUMMYFUNCTION("""COMPUTED_VALUE"""),"BANGLADESH KRISHI BANK")</f>
        <v>BANGLADESH KRISHI BANK</v>
      </c>
      <c r="E1558" s="2" t="str">
        <f>IFERROR(__xludf.DUMMYFUNCTION("""COMPUTED_VALUE"""),"POLICELINE")</f>
        <v>POLICELINE</v>
      </c>
      <c r="F1558" s="4">
        <f>IFERROR(__xludf.DUMMYFUNCTION("""COMPUTED_VALUE"""),352.0)</f>
        <v>352</v>
      </c>
      <c r="G1558" s="5">
        <f>IFERROR(__xludf.DUMMYFUNCTION("""COMPUTED_VALUE"""),3.5193524E7)</f>
        <v>35193524</v>
      </c>
    </row>
    <row r="1559">
      <c r="A1559" s="3">
        <f>IFERROR(__xludf.DUMMYFUNCTION("""COMPUTED_VALUE"""),119.0)</f>
        <v>119</v>
      </c>
      <c r="B1559" s="2" t="str">
        <f>IFERROR(__xludf.DUMMYFUNCTION("""COMPUTED_VALUE"""),"COMILLA")</f>
        <v>COMILLA</v>
      </c>
      <c r="C1559" s="4">
        <f>IFERROR(__xludf.DUMMYFUNCTION("""COMPUTED_VALUE"""),35.0)</f>
        <v>35</v>
      </c>
      <c r="D1559" s="2" t="str">
        <f>IFERROR(__xludf.DUMMYFUNCTION("""COMPUTED_VALUE"""),"BANGLADESH KRISHI BANK")</f>
        <v>BANGLADESH KRISHI BANK</v>
      </c>
      <c r="E1559" s="2" t="str">
        <f>IFERROR(__xludf.DUMMYFUNCTION("""COMPUTED_VALUE"""),"SHIDLAI")</f>
        <v>SHIDLAI</v>
      </c>
      <c r="F1559" s="4">
        <f>IFERROR(__xludf.DUMMYFUNCTION("""COMPUTED_VALUE"""),391.0)</f>
        <v>391</v>
      </c>
      <c r="G1559" s="5">
        <f>IFERROR(__xludf.DUMMYFUNCTION("""COMPUTED_VALUE"""),3.5193911E7)</f>
        <v>35193911</v>
      </c>
    </row>
    <row r="1560">
      <c r="A1560" s="3">
        <f>IFERROR(__xludf.DUMMYFUNCTION("""COMPUTED_VALUE"""),119.0)</f>
        <v>119</v>
      </c>
      <c r="B1560" s="2" t="str">
        <f>IFERROR(__xludf.DUMMYFUNCTION("""COMPUTED_VALUE"""),"COMILLA")</f>
        <v>COMILLA</v>
      </c>
      <c r="C1560" s="4">
        <f>IFERROR(__xludf.DUMMYFUNCTION("""COMPUTED_VALUE"""),35.0)</f>
        <v>35</v>
      </c>
      <c r="D1560" s="2" t="str">
        <f>IFERROR(__xludf.DUMMYFUNCTION("""COMPUTED_VALUE"""),"BANGLADESH KRISHI BANK")</f>
        <v>BANGLADESH KRISHI BANK</v>
      </c>
      <c r="E1560" s="2" t="str">
        <f>IFERROR(__xludf.DUMMYFUNCTION("""COMPUTED_VALUE"""),"SONAIMURI BAZAR")</f>
        <v>SONAIMURI BAZAR</v>
      </c>
      <c r="F1560" s="4">
        <f>IFERROR(__xludf.DUMMYFUNCTION("""COMPUTED_VALUE"""),394.0)</f>
        <v>394</v>
      </c>
      <c r="G1560" s="5">
        <f>IFERROR(__xludf.DUMMYFUNCTION("""COMPUTED_VALUE"""),3.519394E7)</f>
        <v>35193940</v>
      </c>
    </row>
    <row r="1561">
      <c r="A1561" s="3">
        <f>IFERROR(__xludf.DUMMYFUNCTION("""COMPUTED_VALUE"""),119.0)</f>
        <v>119</v>
      </c>
      <c r="B1561" s="2" t="str">
        <f>IFERROR(__xludf.DUMMYFUNCTION("""COMPUTED_VALUE"""),"COMILLA")</f>
        <v>COMILLA</v>
      </c>
      <c r="C1561" s="4">
        <f>IFERROR(__xludf.DUMMYFUNCTION("""COMPUTED_VALUE"""),35.0)</f>
        <v>35</v>
      </c>
      <c r="D1561" s="2" t="str">
        <f>IFERROR(__xludf.DUMMYFUNCTION("""COMPUTED_VALUE"""),"BANGLADESH KRISHI BANK")</f>
        <v>BANGLADESH KRISHI BANK</v>
      </c>
      <c r="E1561" s="2" t="str">
        <f>IFERROR(__xludf.DUMMYFUNCTION("""COMPUTED_VALUE"""),"MIAH BAZAR")</f>
        <v>MIAH BAZAR</v>
      </c>
      <c r="F1561" s="3">
        <f>IFERROR(__xludf.DUMMYFUNCTION("""COMPUTED_VALUE"""),412.0)</f>
        <v>412</v>
      </c>
      <c r="G1561" s="5">
        <f>IFERROR(__xludf.DUMMYFUNCTION("""COMPUTED_VALUE"""),3.5194123E7)</f>
        <v>35194123</v>
      </c>
    </row>
    <row r="1562">
      <c r="A1562" s="3">
        <f>IFERROR(__xludf.DUMMYFUNCTION("""COMPUTED_VALUE"""),222.0)</f>
        <v>222</v>
      </c>
      <c r="B1562" s="2" t="str">
        <f>IFERROR(__xludf.DUMMYFUNCTION("""COMPUTED_VALUE"""),"COXS BAZAR")</f>
        <v>COXS BAZAR</v>
      </c>
      <c r="C1562" s="4">
        <f>IFERROR(__xludf.DUMMYFUNCTION("""COMPUTED_VALUE"""),35.0)</f>
        <v>35</v>
      </c>
      <c r="D1562" s="2" t="str">
        <f>IFERROR(__xludf.DUMMYFUNCTION("""COMPUTED_VALUE"""),"BANGLADESH KRISHI BANK")</f>
        <v>BANGLADESH KRISHI BANK</v>
      </c>
      <c r="E1562" s="2" t="str">
        <f>IFERROR(__xludf.DUMMYFUNCTION("""COMPUTED_VALUE"""),"BANGLA BAZAR")</f>
        <v>BANGLA BAZAR</v>
      </c>
      <c r="F1562" s="3">
        <f>IFERROR(__xludf.DUMMYFUNCTION("""COMPUTED_VALUE"""),7.0)</f>
        <v>7</v>
      </c>
      <c r="G1562" s="5">
        <f>IFERROR(__xludf.DUMMYFUNCTION("""COMPUTED_VALUE"""),3.5220071E7)</f>
        <v>35220071</v>
      </c>
    </row>
    <row r="1563">
      <c r="A1563" s="3">
        <f>IFERROR(__xludf.DUMMYFUNCTION("""COMPUTED_VALUE"""),222.0)</f>
        <v>222</v>
      </c>
      <c r="B1563" s="2" t="str">
        <f>IFERROR(__xludf.DUMMYFUNCTION("""COMPUTED_VALUE"""),"COXS BAZAR")</f>
        <v>COXS BAZAR</v>
      </c>
      <c r="C1563" s="4">
        <f>IFERROR(__xludf.DUMMYFUNCTION("""COMPUTED_VALUE"""),35.0)</f>
        <v>35</v>
      </c>
      <c r="D1563" s="2" t="str">
        <f>IFERROR(__xludf.DUMMYFUNCTION("""COMPUTED_VALUE"""),"BANGLADESH KRISHI BANK")</f>
        <v>BANGLADESH KRISHI BANK</v>
      </c>
      <c r="E1563" s="2" t="str">
        <f>IFERROR(__xludf.DUMMYFUNCTION("""COMPUTED_VALUE"""),"BARA MAHESH KHALI")</f>
        <v>BARA MAHESH KHALI</v>
      </c>
      <c r="F1563" s="3">
        <f>IFERROR(__xludf.DUMMYFUNCTION("""COMPUTED_VALUE"""),10.0)</f>
        <v>10</v>
      </c>
      <c r="G1563" s="5">
        <f>IFERROR(__xludf.DUMMYFUNCTION("""COMPUTED_VALUE"""),3.5220105E7)</f>
        <v>35220105</v>
      </c>
    </row>
    <row r="1564">
      <c r="A1564" s="3">
        <f>IFERROR(__xludf.DUMMYFUNCTION("""COMPUTED_VALUE"""),222.0)</f>
        <v>222</v>
      </c>
      <c r="B1564" s="2" t="str">
        <f>IFERROR(__xludf.DUMMYFUNCTION("""COMPUTED_VALUE"""),"COXS BAZAR")</f>
        <v>COXS BAZAR</v>
      </c>
      <c r="C1564" s="4">
        <f>IFERROR(__xludf.DUMMYFUNCTION("""COMPUTED_VALUE"""),35.0)</f>
        <v>35</v>
      </c>
      <c r="D1564" s="2" t="str">
        <f>IFERROR(__xludf.DUMMYFUNCTION("""COMPUTED_VALUE"""),"BANGLADESH KRISHI BANK")</f>
        <v>BANGLADESH KRISHI BANK</v>
      </c>
      <c r="E1564" s="2" t="str">
        <f>IFERROR(__xludf.DUMMYFUNCTION("""COMPUTED_VALUE"""),"CHIRINGA")</f>
        <v>CHIRINGA</v>
      </c>
      <c r="F1564" s="3">
        <f>IFERROR(__xludf.DUMMYFUNCTION("""COMPUTED_VALUE"""),19.0)</f>
        <v>19</v>
      </c>
      <c r="G1564" s="5">
        <f>IFERROR(__xludf.DUMMYFUNCTION("""COMPUTED_VALUE"""),3.5220192E7)</f>
        <v>35220192</v>
      </c>
    </row>
    <row r="1565">
      <c r="A1565" s="3">
        <f>IFERROR(__xludf.DUMMYFUNCTION("""COMPUTED_VALUE"""),222.0)</f>
        <v>222</v>
      </c>
      <c r="B1565" s="2" t="str">
        <f>IFERROR(__xludf.DUMMYFUNCTION("""COMPUTED_VALUE"""),"COXS BAZAR")</f>
        <v>COXS BAZAR</v>
      </c>
      <c r="C1565" s="4">
        <f>IFERROR(__xludf.DUMMYFUNCTION("""COMPUTED_VALUE"""),35.0)</f>
        <v>35</v>
      </c>
      <c r="D1565" s="2" t="str">
        <f>IFERROR(__xludf.DUMMYFUNCTION("""COMPUTED_VALUE"""),"BANGLADESH KRISHI BANK")</f>
        <v>BANGLADESH KRISHI BANK</v>
      </c>
      <c r="E1565" s="2" t="str">
        <f>IFERROR(__xludf.DUMMYFUNCTION("""COMPUTED_VALUE"""),"COXS BAZAR")</f>
        <v>COXS BAZAR</v>
      </c>
      <c r="F1565" s="3">
        <f>IFERROR(__xludf.DUMMYFUNCTION("""COMPUTED_VALUE"""),25.0)</f>
        <v>25</v>
      </c>
      <c r="G1565" s="5">
        <f>IFERROR(__xludf.DUMMYFUNCTION("""COMPUTED_VALUE"""),3.5220255E7)</f>
        <v>35220255</v>
      </c>
    </row>
    <row r="1566">
      <c r="A1566" s="3">
        <f>IFERROR(__xludf.DUMMYFUNCTION("""COMPUTED_VALUE"""),222.0)</f>
        <v>222</v>
      </c>
      <c r="B1566" s="2" t="str">
        <f>IFERROR(__xludf.DUMMYFUNCTION("""COMPUTED_VALUE"""),"COXS BAZAR")</f>
        <v>COXS BAZAR</v>
      </c>
      <c r="C1566" s="4">
        <f>IFERROR(__xludf.DUMMYFUNCTION("""COMPUTED_VALUE"""),35.0)</f>
        <v>35</v>
      </c>
      <c r="D1566" s="2" t="str">
        <f>IFERROR(__xludf.DUMMYFUNCTION("""COMPUTED_VALUE"""),"BANGLADESH KRISHI BANK")</f>
        <v>BANGLADESH KRISHI BANK</v>
      </c>
      <c r="E1566" s="2" t="str">
        <f>IFERROR(__xludf.DUMMYFUNCTION("""COMPUTED_VALUE"""),"DHURONG BAZAR")</f>
        <v>DHURONG BAZAR</v>
      </c>
      <c r="F1566" s="3">
        <f>IFERROR(__xludf.DUMMYFUNCTION("""COMPUTED_VALUE"""),34.0)</f>
        <v>34</v>
      </c>
      <c r="G1566" s="5">
        <f>IFERROR(__xludf.DUMMYFUNCTION("""COMPUTED_VALUE"""),3.5220347E7)</f>
        <v>35220347</v>
      </c>
    </row>
    <row r="1567">
      <c r="A1567" s="3">
        <f>IFERROR(__xludf.DUMMYFUNCTION("""COMPUTED_VALUE"""),222.0)</f>
        <v>222</v>
      </c>
      <c r="B1567" s="2" t="str">
        <f>IFERROR(__xludf.DUMMYFUNCTION("""COMPUTED_VALUE"""),"COXS BAZAR")</f>
        <v>COXS BAZAR</v>
      </c>
      <c r="C1567" s="4">
        <f>IFERROR(__xludf.DUMMYFUNCTION("""COMPUTED_VALUE"""),35.0)</f>
        <v>35</v>
      </c>
      <c r="D1567" s="2" t="str">
        <f>IFERROR(__xludf.DUMMYFUNCTION("""COMPUTED_VALUE"""),"BANGLADESH KRISHI BANK")</f>
        <v>BANGLADESH KRISHI BANK</v>
      </c>
      <c r="E1567" s="2" t="str">
        <f>IFERROR(__xludf.DUMMYFUNCTION("""COMPUTED_VALUE"""),"DULHAZRA")</f>
        <v>DULHAZRA</v>
      </c>
      <c r="F1567" s="3">
        <f>IFERROR(__xludf.DUMMYFUNCTION("""COMPUTED_VALUE"""),37.0)</f>
        <v>37</v>
      </c>
      <c r="G1567" s="5">
        <f>IFERROR(__xludf.DUMMYFUNCTION("""COMPUTED_VALUE"""),3.5220376E7)</f>
        <v>35220376</v>
      </c>
    </row>
    <row r="1568">
      <c r="A1568" s="3">
        <f>IFERROR(__xludf.DUMMYFUNCTION("""COMPUTED_VALUE"""),222.0)</f>
        <v>222</v>
      </c>
      <c r="B1568" s="2" t="str">
        <f>IFERROR(__xludf.DUMMYFUNCTION("""COMPUTED_VALUE"""),"COXS BAZAR")</f>
        <v>COXS BAZAR</v>
      </c>
      <c r="C1568" s="4">
        <f>IFERROR(__xludf.DUMMYFUNCTION("""COMPUTED_VALUE"""),35.0)</f>
        <v>35</v>
      </c>
      <c r="D1568" s="2" t="str">
        <f>IFERROR(__xludf.DUMMYFUNCTION("""COMPUTED_VALUE"""),"BANGLADESH KRISHI BANK")</f>
        <v>BANGLADESH KRISHI BANK</v>
      </c>
      <c r="E1568" s="2" t="str">
        <f>IFERROR(__xludf.DUMMYFUNCTION("""COMPUTED_VALUE"""),"EIDGAON")</f>
        <v>EIDGAON</v>
      </c>
      <c r="F1568" s="3">
        <f>IFERROR(__xludf.DUMMYFUNCTION("""COMPUTED_VALUE"""),40.0)</f>
        <v>40</v>
      </c>
      <c r="G1568" s="5">
        <f>IFERROR(__xludf.DUMMYFUNCTION("""COMPUTED_VALUE"""),3.52204E7)</f>
        <v>35220400</v>
      </c>
    </row>
    <row r="1569">
      <c r="A1569" s="3">
        <f>IFERROR(__xludf.DUMMYFUNCTION("""COMPUTED_VALUE"""),222.0)</f>
        <v>222</v>
      </c>
      <c r="B1569" s="2" t="str">
        <f>IFERROR(__xludf.DUMMYFUNCTION("""COMPUTED_VALUE"""),"COXS BAZAR")</f>
        <v>COXS BAZAR</v>
      </c>
      <c r="C1569" s="4">
        <f>IFERROR(__xludf.DUMMYFUNCTION("""COMPUTED_VALUE"""),35.0)</f>
        <v>35</v>
      </c>
      <c r="D1569" s="2" t="str">
        <f>IFERROR(__xludf.DUMMYFUNCTION("""COMPUTED_VALUE"""),"BANGLADESH KRISHI BANK")</f>
        <v>BANGLADESH KRISHI BANK</v>
      </c>
      <c r="E1569" s="2" t="str">
        <f>IFERROR(__xludf.DUMMYFUNCTION("""COMPUTED_VALUE"""),"GORAKGHATA")</f>
        <v>GORAKGHATA</v>
      </c>
      <c r="F1569" s="3">
        <f>IFERROR(__xludf.DUMMYFUNCTION("""COMPUTED_VALUE"""),43.0)</f>
        <v>43</v>
      </c>
      <c r="G1569" s="5">
        <f>IFERROR(__xludf.DUMMYFUNCTION("""COMPUTED_VALUE"""),3.5220439E7)</f>
        <v>35220439</v>
      </c>
    </row>
    <row r="1570">
      <c r="A1570" s="3">
        <f>IFERROR(__xludf.DUMMYFUNCTION("""COMPUTED_VALUE"""),222.0)</f>
        <v>222</v>
      </c>
      <c r="B1570" s="2" t="str">
        <f>IFERROR(__xludf.DUMMYFUNCTION("""COMPUTED_VALUE"""),"COXS BAZAR")</f>
        <v>COXS BAZAR</v>
      </c>
      <c r="C1570" s="4">
        <f>IFERROR(__xludf.DUMMYFUNCTION("""COMPUTED_VALUE"""),35.0)</f>
        <v>35</v>
      </c>
      <c r="D1570" s="2" t="str">
        <f>IFERROR(__xludf.DUMMYFUNCTION("""COMPUTED_VALUE"""),"BANGLADESH KRISHI BANK")</f>
        <v>BANGLADESH KRISHI BANK</v>
      </c>
      <c r="E1570" s="2" t="str">
        <f>IFERROR(__xludf.DUMMYFUNCTION("""COMPUTED_VALUE"""),"GORZANIA BAZAR")</f>
        <v>GORZANIA BAZAR</v>
      </c>
      <c r="F1570" s="3">
        <f>IFERROR(__xludf.DUMMYFUNCTION("""COMPUTED_VALUE"""),46.0)</f>
        <v>46</v>
      </c>
      <c r="G1570" s="5">
        <f>IFERROR(__xludf.DUMMYFUNCTION("""COMPUTED_VALUE"""),3.5220468E7)</f>
        <v>35220468</v>
      </c>
    </row>
    <row r="1571">
      <c r="A1571" s="3">
        <f>IFERROR(__xludf.DUMMYFUNCTION("""COMPUTED_VALUE"""),222.0)</f>
        <v>222</v>
      </c>
      <c r="B1571" s="2" t="str">
        <f>IFERROR(__xludf.DUMMYFUNCTION("""COMPUTED_VALUE"""),"COXS BAZAR")</f>
        <v>COXS BAZAR</v>
      </c>
      <c r="C1571" s="4">
        <f>IFERROR(__xludf.DUMMYFUNCTION("""COMPUTED_VALUE"""),35.0)</f>
        <v>35</v>
      </c>
      <c r="D1571" s="2" t="str">
        <f>IFERROR(__xludf.DUMMYFUNCTION("""COMPUTED_VALUE"""),"BANGLADESH KRISHI BANK")</f>
        <v>BANGLADESH KRISHI BANK</v>
      </c>
      <c r="E1571" s="2" t="str">
        <f>IFERROR(__xludf.DUMMYFUNCTION("""COMPUTED_VALUE"""),"HANILA")</f>
        <v>HANILA</v>
      </c>
      <c r="F1571" s="3">
        <f>IFERROR(__xludf.DUMMYFUNCTION("""COMPUTED_VALUE"""),49.0)</f>
        <v>49</v>
      </c>
      <c r="G1571" s="5">
        <f>IFERROR(__xludf.DUMMYFUNCTION("""COMPUTED_VALUE"""),3.5220497E7)</f>
        <v>35220497</v>
      </c>
    </row>
    <row r="1572">
      <c r="A1572" s="3">
        <f>IFERROR(__xludf.DUMMYFUNCTION("""COMPUTED_VALUE"""),222.0)</f>
        <v>222</v>
      </c>
      <c r="B1572" s="2" t="str">
        <f>IFERROR(__xludf.DUMMYFUNCTION("""COMPUTED_VALUE"""),"COXS BAZAR")</f>
        <v>COXS BAZAR</v>
      </c>
      <c r="C1572" s="4">
        <f>IFERROR(__xludf.DUMMYFUNCTION("""COMPUTED_VALUE"""),35.0)</f>
        <v>35</v>
      </c>
      <c r="D1572" s="2" t="str">
        <f>IFERROR(__xludf.DUMMYFUNCTION("""COMPUTED_VALUE"""),"BANGLADESH KRISHI BANK")</f>
        <v>BANGLADESH KRISHI BANK</v>
      </c>
      <c r="E1572" s="2" t="str">
        <f>IFERROR(__xludf.DUMMYFUNCTION("""COMPUTED_VALUE"""),"HARBUNG")</f>
        <v>HARBUNG</v>
      </c>
      <c r="F1572" s="3">
        <f>IFERROR(__xludf.DUMMYFUNCTION("""COMPUTED_VALUE"""),52.0)</f>
        <v>52</v>
      </c>
      <c r="G1572" s="5">
        <f>IFERROR(__xludf.DUMMYFUNCTION("""COMPUTED_VALUE"""),3.5220521E7)</f>
        <v>35220521</v>
      </c>
    </row>
    <row r="1573">
      <c r="A1573" s="3">
        <f>IFERROR(__xludf.DUMMYFUNCTION("""COMPUTED_VALUE"""),222.0)</f>
        <v>222</v>
      </c>
      <c r="B1573" s="2" t="str">
        <f>IFERROR(__xludf.DUMMYFUNCTION("""COMPUTED_VALUE"""),"COXS BAZAR")</f>
        <v>COXS BAZAR</v>
      </c>
      <c r="C1573" s="4">
        <f>IFERROR(__xludf.DUMMYFUNCTION("""COMPUTED_VALUE"""),35.0)</f>
        <v>35</v>
      </c>
      <c r="D1573" s="2" t="str">
        <f>IFERROR(__xludf.DUMMYFUNCTION("""COMPUTED_VALUE"""),"BANGLADESH KRISHI BANK")</f>
        <v>BANGLADESH KRISHI BANK</v>
      </c>
      <c r="E1573" s="2" t="str">
        <f>IFERROR(__xludf.DUMMYFUNCTION("""COMPUTED_VALUE"""),"HOANAK")</f>
        <v>HOANAK</v>
      </c>
      <c r="F1573" s="3">
        <f>IFERROR(__xludf.DUMMYFUNCTION("""COMPUTED_VALUE"""),55.0)</f>
        <v>55</v>
      </c>
      <c r="G1573" s="5">
        <f>IFERROR(__xludf.DUMMYFUNCTION("""COMPUTED_VALUE"""),3.522055E7)</f>
        <v>35220550</v>
      </c>
    </row>
    <row r="1574">
      <c r="A1574" s="3">
        <f>IFERROR(__xludf.DUMMYFUNCTION("""COMPUTED_VALUE"""),222.0)</f>
        <v>222</v>
      </c>
      <c r="B1574" s="2" t="str">
        <f>IFERROR(__xludf.DUMMYFUNCTION("""COMPUTED_VALUE"""),"COXS BAZAR")</f>
        <v>COXS BAZAR</v>
      </c>
      <c r="C1574" s="4">
        <f>IFERROR(__xludf.DUMMYFUNCTION("""COMPUTED_VALUE"""),35.0)</f>
        <v>35</v>
      </c>
      <c r="D1574" s="2" t="str">
        <f>IFERROR(__xludf.DUMMYFUNCTION("""COMPUTED_VALUE"""),"BANGLADESH KRISHI BANK")</f>
        <v>BANGLADESH KRISHI BANK</v>
      </c>
      <c r="E1574" s="2" t="str">
        <f>IFERROR(__xludf.DUMMYFUNCTION("""COMPUTED_VALUE"""),"KALARMARCHARA")</f>
        <v>KALARMARCHARA</v>
      </c>
      <c r="F1574" s="3">
        <f>IFERROR(__xludf.DUMMYFUNCTION("""COMPUTED_VALUE"""),61.0)</f>
        <v>61</v>
      </c>
      <c r="G1574" s="5">
        <f>IFERROR(__xludf.DUMMYFUNCTION("""COMPUTED_VALUE"""),3.5220613E7)</f>
        <v>35220613</v>
      </c>
    </row>
    <row r="1575">
      <c r="A1575" s="3">
        <f>IFERROR(__xludf.DUMMYFUNCTION("""COMPUTED_VALUE"""),222.0)</f>
        <v>222</v>
      </c>
      <c r="B1575" s="2" t="str">
        <f>IFERROR(__xludf.DUMMYFUNCTION("""COMPUTED_VALUE"""),"COXS BAZAR")</f>
        <v>COXS BAZAR</v>
      </c>
      <c r="C1575" s="4">
        <f>IFERROR(__xludf.DUMMYFUNCTION("""COMPUTED_VALUE"""),35.0)</f>
        <v>35</v>
      </c>
      <c r="D1575" s="2" t="str">
        <f>IFERROR(__xludf.DUMMYFUNCTION("""COMPUTED_VALUE"""),"BANGLADESH KRISHI BANK")</f>
        <v>BANGLADESH KRISHI BANK</v>
      </c>
      <c r="E1575" s="2" t="str">
        <f>IFERROR(__xludf.DUMMYFUNCTION("""COMPUTED_VALUE"""),"KUTUBDIA")</f>
        <v>KUTUBDIA</v>
      </c>
      <c r="F1575" s="3">
        <f>IFERROR(__xludf.DUMMYFUNCTION("""COMPUTED_VALUE"""),67.0)</f>
        <v>67</v>
      </c>
      <c r="G1575" s="5">
        <f>IFERROR(__xludf.DUMMYFUNCTION("""COMPUTED_VALUE"""),3.5220671E7)</f>
        <v>35220671</v>
      </c>
    </row>
    <row r="1576">
      <c r="A1576" s="3">
        <f>IFERROR(__xludf.DUMMYFUNCTION("""COMPUTED_VALUE"""),222.0)</f>
        <v>222</v>
      </c>
      <c r="B1576" s="2" t="str">
        <f>IFERROR(__xludf.DUMMYFUNCTION("""COMPUTED_VALUE"""),"COXS BAZAR")</f>
        <v>COXS BAZAR</v>
      </c>
      <c r="C1576" s="4">
        <f>IFERROR(__xludf.DUMMYFUNCTION("""COMPUTED_VALUE"""),35.0)</f>
        <v>35</v>
      </c>
      <c r="D1576" s="2" t="str">
        <f>IFERROR(__xludf.DUMMYFUNCTION("""COMPUTED_VALUE"""),"BANGLADESH KRISHI BANK")</f>
        <v>BANGLADESH KRISHI BANK</v>
      </c>
      <c r="E1576" s="2" t="str">
        <f>IFERROR(__xludf.DUMMYFUNCTION("""COMPUTED_VALUE"""),"MATAR BARI")</f>
        <v>MATAR BARI</v>
      </c>
      <c r="F1576" s="3">
        <f>IFERROR(__xludf.DUMMYFUNCTION("""COMPUTED_VALUE"""),73.0)</f>
        <v>73</v>
      </c>
      <c r="G1576" s="5">
        <f>IFERROR(__xludf.DUMMYFUNCTION("""COMPUTED_VALUE"""),3.5220734E7)</f>
        <v>35220734</v>
      </c>
    </row>
    <row r="1577">
      <c r="A1577" s="3">
        <f>IFERROR(__xludf.DUMMYFUNCTION("""COMPUTED_VALUE"""),222.0)</f>
        <v>222</v>
      </c>
      <c r="B1577" s="2" t="str">
        <f>IFERROR(__xludf.DUMMYFUNCTION("""COMPUTED_VALUE"""),"COXS BAZAR")</f>
        <v>COXS BAZAR</v>
      </c>
      <c r="C1577" s="4">
        <f>IFERROR(__xludf.DUMMYFUNCTION("""COMPUTED_VALUE"""),35.0)</f>
        <v>35</v>
      </c>
      <c r="D1577" s="2" t="str">
        <f>IFERROR(__xludf.DUMMYFUNCTION("""COMPUTED_VALUE"""),"BANGLADESH KRISHI BANK")</f>
        <v>BANGLADESH KRISHI BANK</v>
      </c>
      <c r="E1577" s="2" t="str">
        <f>IFERROR(__xludf.DUMMYFUNCTION("""COMPUTED_VALUE"""),"PEKUYA")</f>
        <v>PEKUYA</v>
      </c>
      <c r="F1577" s="3">
        <f>IFERROR(__xludf.DUMMYFUNCTION("""COMPUTED_VALUE"""),82.0)</f>
        <v>82</v>
      </c>
      <c r="G1577" s="5">
        <f>IFERROR(__xludf.DUMMYFUNCTION("""COMPUTED_VALUE"""),3.5220826E7)</f>
        <v>35220826</v>
      </c>
    </row>
    <row r="1578">
      <c r="A1578" s="3">
        <f>IFERROR(__xludf.DUMMYFUNCTION("""COMPUTED_VALUE"""),222.0)</f>
        <v>222</v>
      </c>
      <c r="B1578" s="2" t="str">
        <f>IFERROR(__xludf.DUMMYFUNCTION("""COMPUTED_VALUE"""),"COXS BAZAR")</f>
        <v>COXS BAZAR</v>
      </c>
      <c r="C1578" s="4">
        <f>IFERROR(__xludf.DUMMYFUNCTION("""COMPUTED_VALUE"""),35.0)</f>
        <v>35</v>
      </c>
      <c r="D1578" s="2" t="str">
        <f>IFERROR(__xludf.DUMMYFUNCTION("""COMPUTED_VALUE"""),"BANGLADESH KRISHI BANK")</f>
        <v>BANGLADESH KRISHI BANK</v>
      </c>
      <c r="E1578" s="2" t="str">
        <f>IFERROR(__xludf.DUMMYFUNCTION("""COMPUTED_VALUE"""),"RAMU")</f>
        <v>RAMU</v>
      </c>
      <c r="F1578" s="3">
        <f>IFERROR(__xludf.DUMMYFUNCTION("""COMPUTED_VALUE"""),85.0)</f>
        <v>85</v>
      </c>
      <c r="G1578" s="5">
        <f>IFERROR(__xludf.DUMMYFUNCTION("""COMPUTED_VALUE"""),3.5220855E7)</f>
        <v>35220855</v>
      </c>
    </row>
    <row r="1579">
      <c r="A1579" s="3">
        <f>IFERROR(__xludf.DUMMYFUNCTION("""COMPUTED_VALUE"""),222.0)</f>
        <v>222</v>
      </c>
      <c r="B1579" s="2" t="str">
        <f>IFERROR(__xludf.DUMMYFUNCTION("""COMPUTED_VALUE"""),"COXS BAZAR")</f>
        <v>COXS BAZAR</v>
      </c>
      <c r="C1579" s="4">
        <f>IFERROR(__xludf.DUMMYFUNCTION("""COMPUTED_VALUE"""),35.0)</f>
        <v>35</v>
      </c>
      <c r="D1579" s="2" t="str">
        <f>IFERROR(__xludf.DUMMYFUNCTION("""COMPUTED_VALUE"""),"BANGLADESH KRISHI BANK")</f>
        <v>BANGLADESH KRISHI BANK</v>
      </c>
      <c r="E1579" s="2" t="str">
        <f>IFERROR(__xludf.DUMMYFUNCTION("""COMPUTED_VALUE"""),"TEKNAF")</f>
        <v>TEKNAF</v>
      </c>
      <c r="F1579" s="3">
        <f>IFERROR(__xludf.DUMMYFUNCTION("""COMPUTED_VALUE"""),91.0)</f>
        <v>91</v>
      </c>
      <c r="G1579" s="5">
        <f>IFERROR(__xludf.DUMMYFUNCTION("""COMPUTED_VALUE"""),3.5220918E7)</f>
        <v>35220918</v>
      </c>
    </row>
    <row r="1580">
      <c r="A1580" s="3">
        <f>IFERROR(__xludf.DUMMYFUNCTION("""COMPUTED_VALUE"""),222.0)</f>
        <v>222</v>
      </c>
      <c r="B1580" s="2" t="str">
        <f>IFERROR(__xludf.DUMMYFUNCTION("""COMPUTED_VALUE"""),"COXS BAZAR")</f>
        <v>COXS BAZAR</v>
      </c>
      <c r="C1580" s="4">
        <f>IFERROR(__xludf.DUMMYFUNCTION("""COMPUTED_VALUE"""),35.0)</f>
        <v>35</v>
      </c>
      <c r="D1580" s="2" t="str">
        <f>IFERROR(__xludf.DUMMYFUNCTION("""COMPUTED_VALUE"""),"BANGLADESH KRISHI BANK")</f>
        <v>BANGLADESH KRISHI BANK</v>
      </c>
      <c r="E1580" s="2" t="str">
        <f>IFERROR(__xludf.DUMMYFUNCTION("""COMPUTED_VALUE"""),"UKHIYA")</f>
        <v>UKHIYA</v>
      </c>
      <c r="F1580" s="3">
        <f>IFERROR(__xludf.DUMMYFUNCTION("""COMPUTED_VALUE"""),94.0)</f>
        <v>94</v>
      </c>
      <c r="G1580" s="5">
        <f>IFERROR(__xludf.DUMMYFUNCTION("""COMPUTED_VALUE"""),3.5220947E7)</f>
        <v>35220947</v>
      </c>
    </row>
    <row r="1581">
      <c r="A1581" s="3">
        <f>IFERROR(__xludf.DUMMYFUNCTION("""COMPUTED_VALUE"""),126.0)</f>
        <v>126</v>
      </c>
      <c r="B1581" s="2" t="str">
        <f>IFERROR(__xludf.DUMMYFUNCTION("""COMPUTED_VALUE"""),"DHAKA-NORTH")</f>
        <v>DHAKA-NORTH</v>
      </c>
      <c r="C1581" s="4">
        <f>IFERROR(__xludf.DUMMYFUNCTION("""COMPUTED_VALUE"""),35.0)</f>
        <v>35</v>
      </c>
      <c r="D1581" s="2" t="str">
        <f>IFERROR(__xludf.DUMMYFUNCTION("""COMPUTED_VALUE"""),"BANGLADESH KRISHI BANK")</f>
        <v>BANGLADESH KRISHI BANK</v>
      </c>
      <c r="E1581" s="2" t="str">
        <f>IFERROR(__xludf.DUMMYFUNCTION("""COMPUTED_VALUE"""),"ASHULIA BAZAR")</f>
        <v>ASHULIA BAZAR</v>
      </c>
      <c r="F1581" s="3">
        <f>IFERROR(__xludf.DUMMYFUNCTION("""COMPUTED_VALUE"""),25.0)</f>
        <v>25</v>
      </c>
      <c r="G1581" s="5">
        <f>IFERROR(__xludf.DUMMYFUNCTION("""COMPUTED_VALUE"""),3.5260257E7)</f>
        <v>35260257</v>
      </c>
    </row>
    <row r="1582">
      <c r="A1582" s="3">
        <f>IFERROR(__xludf.DUMMYFUNCTION("""COMPUTED_VALUE"""),126.0)</f>
        <v>126</v>
      </c>
      <c r="B1582" s="2" t="str">
        <f>IFERROR(__xludf.DUMMYFUNCTION("""COMPUTED_VALUE"""),"DHAKA-NORTH")</f>
        <v>DHAKA-NORTH</v>
      </c>
      <c r="C1582" s="4">
        <f>IFERROR(__xludf.DUMMYFUNCTION("""COMPUTED_VALUE"""),35.0)</f>
        <v>35</v>
      </c>
      <c r="D1582" s="2" t="str">
        <f>IFERROR(__xludf.DUMMYFUNCTION("""COMPUTED_VALUE"""),"BANGLADESH KRISHI BANK")</f>
        <v>BANGLADESH KRISHI BANK</v>
      </c>
      <c r="E1582" s="2" t="str">
        <f>IFERROR(__xludf.DUMMYFUNCTION("""COMPUTED_VALUE"""),"BADDA")</f>
        <v>BADDA</v>
      </c>
      <c r="F1582" s="3">
        <f>IFERROR(__xludf.DUMMYFUNCTION("""COMPUTED_VALUE"""),34.0)</f>
        <v>34</v>
      </c>
      <c r="G1582" s="5">
        <f>IFERROR(__xludf.DUMMYFUNCTION("""COMPUTED_VALUE"""),3.5260349E7)</f>
        <v>35260349</v>
      </c>
    </row>
    <row r="1583">
      <c r="A1583" s="3">
        <f>IFERROR(__xludf.DUMMYFUNCTION("""COMPUTED_VALUE"""),126.0)</f>
        <v>126</v>
      </c>
      <c r="B1583" s="2" t="str">
        <f>IFERROR(__xludf.DUMMYFUNCTION("""COMPUTED_VALUE"""),"DHAKA-NORTH")</f>
        <v>DHAKA-NORTH</v>
      </c>
      <c r="C1583" s="4">
        <f>IFERROR(__xludf.DUMMYFUNCTION("""COMPUTED_VALUE"""),35.0)</f>
        <v>35</v>
      </c>
      <c r="D1583" s="2" t="str">
        <f>IFERROR(__xludf.DUMMYFUNCTION("""COMPUTED_VALUE"""),"BANGLADESH KRISHI BANK")</f>
        <v>BANGLADESH KRISHI BANK</v>
      </c>
      <c r="E1583" s="2" t="str">
        <f>IFERROR(__xludf.DUMMYFUNCTION("""COMPUTED_VALUE"""),"BALIA")</f>
        <v>BALIA</v>
      </c>
      <c r="F1583" s="3">
        <f>IFERROR(__xludf.DUMMYFUNCTION("""COMPUTED_VALUE"""),40.0)</f>
        <v>40</v>
      </c>
      <c r="G1583" s="5">
        <f>IFERROR(__xludf.DUMMYFUNCTION("""COMPUTED_VALUE"""),3.5260402E7)</f>
        <v>35260402</v>
      </c>
    </row>
    <row r="1584">
      <c r="A1584" s="3">
        <f>IFERROR(__xludf.DUMMYFUNCTION("""COMPUTED_VALUE"""),126.0)</f>
        <v>126</v>
      </c>
      <c r="B1584" s="2" t="str">
        <f>IFERROR(__xludf.DUMMYFUNCTION("""COMPUTED_VALUE"""),"DHAKA-NORTH")</f>
        <v>DHAKA-NORTH</v>
      </c>
      <c r="C1584" s="4">
        <f>IFERROR(__xludf.DUMMYFUNCTION("""COMPUTED_VALUE"""),35.0)</f>
        <v>35</v>
      </c>
      <c r="D1584" s="2" t="str">
        <f>IFERROR(__xludf.DUMMYFUNCTION("""COMPUTED_VALUE"""),"BANGLADESH KRISHI BANK")</f>
        <v>BANGLADESH KRISHI BANK</v>
      </c>
      <c r="E1584" s="2" t="str">
        <f>IFERROR(__xludf.DUMMYFUNCTION("""COMPUTED_VALUE"""),"BANANI")</f>
        <v>BANANI</v>
      </c>
      <c r="F1584" s="3">
        <f>IFERROR(__xludf.DUMMYFUNCTION("""COMPUTED_VALUE"""),43.0)</f>
        <v>43</v>
      </c>
      <c r="G1584" s="5">
        <f>IFERROR(__xludf.DUMMYFUNCTION("""COMPUTED_VALUE"""),3.5260431E7)</f>
        <v>35260431</v>
      </c>
    </row>
    <row r="1585">
      <c r="A1585" s="3">
        <f>IFERROR(__xludf.DUMMYFUNCTION("""COMPUTED_VALUE"""),126.0)</f>
        <v>126</v>
      </c>
      <c r="B1585" s="2" t="str">
        <f>IFERROR(__xludf.DUMMYFUNCTION("""COMPUTED_VALUE"""),"DHAKA-NORTH")</f>
        <v>DHAKA-NORTH</v>
      </c>
      <c r="C1585" s="4">
        <f>IFERROR(__xludf.DUMMYFUNCTION("""COMPUTED_VALUE"""),35.0)</f>
        <v>35</v>
      </c>
      <c r="D1585" s="2" t="str">
        <f>IFERROR(__xludf.DUMMYFUNCTION("""COMPUTED_VALUE"""),"BANGLADESH KRISHI BANK")</f>
        <v>BANGLADESH KRISHI BANK</v>
      </c>
      <c r="E1585" s="2" t="str">
        <f>IFERROR(__xludf.DUMMYFUNCTION("""COMPUTED_VALUE"""),"BELESHWAR")</f>
        <v>BELESHWAR</v>
      </c>
      <c r="F1585" s="3">
        <f>IFERROR(__xludf.DUMMYFUNCTION("""COMPUTED_VALUE"""),70.0)</f>
        <v>70</v>
      </c>
      <c r="G1585" s="5">
        <f>IFERROR(__xludf.DUMMYFUNCTION("""COMPUTED_VALUE"""),3.5260707E7)</f>
        <v>35260707</v>
      </c>
    </row>
    <row r="1586">
      <c r="A1586" s="3">
        <f>IFERROR(__xludf.DUMMYFUNCTION("""COMPUTED_VALUE"""),126.0)</f>
        <v>126</v>
      </c>
      <c r="B1586" s="2" t="str">
        <f>IFERROR(__xludf.DUMMYFUNCTION("""COMPUTED_VALUE"""),"DHAKA-NORTH")</f>
        <v>DHAKA-NORTH</v>
      </c>
      <c r="C1586" s="4">
        <f>IFERROR(__xludf.DUMMYFUNCTION("""COMPUTED_VALUE"""),35.0)</f>
        <v>35</v>
      </c>
      <c r="D1586" s="2" t="str">
        <f>IFERROR(__xludf.DUMMYFUNCTION("""COMPUTED_VALUE"""),"BANGLADESH KRISHI BANK")</f>
        <v>BANGLADESH KRISHI BANK</v>
      </c>
      <c r="E1586" s="2" t="str">
        <f>IFERROR(__xludf.DUMMYFUNCTION("""COMPUTED_VALUE"""),"DHAMRAI")</f>
        <v>DHAMRAI</v>
      </c>
      <c r="F1586" s="3">
        <f>IFERROR(__xludf.DUMMYFUNCTION("""COMPUTED_VALUE"""),115.0)</f>
        <v>115</v>
      </c>
      <c r="G1586" s="5">
        <f>IFERROR(__xludf.DUMMYFUNCTION("""COMPUTED_VALUE"""),3.5261151E7)</f>
        <v>35261151</v>
      </c>
    </row>
    <row r="1587">
      <c r="A1587" s="3">
        <f>IFERROR(__xludf.DUMMYFUNCTION("""COMPUTED_VALUE"""),126.0)</f>
        <v>126</v>
      </c>
      <c r="B1587" s="2" t="str">
        <f>IFERROR(__xludf.DUMMYFUNCTION("""COMPUTED_VALUE"""),"DHAKA-NORTH")</f>
        <v>DHAKA-NORTH</v>
      </c>
      <c r="C1587" s="4">
        <f>IFERROR(__xludf.DUMMYFUNCTION("""COMPUTED_VALUE"""),35.0)</f>
        <v>35</v>
      </c>
      <c r="D1587" s="2" t="str">
        <f>IFERROR(__xludf.DUMMYFUNCTION("""COMPUTED_VALUE"""),"BANGLADESH KRISHI BANK")</f>
        <v>BANGLADESH KRISHI BANK</v>
      </c>
      <c r="E1587" s="2" t="str">
        <f>IFERROR(__xludf.DUMMYFUNCTION("""COMPUTED_VALUE"""),"KARWAN BAZAR")</f>
        <v>KARWAN BAZAR</v>
      </c>
      <c r="F1587" s="3">
        <f>IFERROR(__xludf.DUMMYFUNCTION("""COMPUTED_VALUE"""),253.0)</f>
        <v>253</v>
      </c>
      <c r="G1587" s="5">
        <f>IFERROR(__xludf.DUMMYFUNCTION("""COMPUTED_VALUE"""),3.5262534E7)</f>
        <v>35262534</v>
      </c>
    </row>
    <row r="1588">
      <c r="A1588" s="3">
        <f>IFERROR(__xludf.DUMMYFUNCTION("""COMPUTED_VALUE"""),126.0)</f>
        <v>126</v>
      </c>
      <c r="B1588" s="2" t="str">
        <f>IFERROR(__xludf.DUMMYFUNCTION("""COMPUTED_VALUE"""),"DHAKA-NORTH")</f>
        <v>DHAKA-NORTH</v>
      </c>
      <c r="C1588" s="4">
        <f>IFERROR(__xludf.DUMMYFUNCTION("""COMPUTED_VALUE"""),35.0)</f>
        <v>35</v>
      </c>
      <c r="D1588" s="2" t="str">
        <f>IFERROR(__xludf.DUMMYFUNCTION("""COMPUTED_VALUE"""),"BANGLADESH KRISHI BANK")</f>
        <v>BANGLADESH KRISHI BANK</v>
      </c>
      <c r="E1588" s="2" t="str">
        <f>IFERROR(__xludf.DUMMYFUNCTION("""COMPUTED_VALUE"""),"KHAMARBARI")</f>
        <v>KHAMARBARI</v>
      </c>
      <c r="F1588" s="3">
        <f>IFERROR(__xludf.DUMMYFUNCTION("""COMPUTED_VALUE"""),259.0)</f>
        <v>259</v>
      </c>
      <c r="G1588" s="5">
        <f>IFERROR(__xludf.DUMMYFUNCTION("""COMPUTED_VALUE"""),3.5262592E7)</f>
        <v>35262592</v>
      </c>
    </row>
    <row r="1589">
      <c r="A1589" s="3">
        <f>IFERROR(__xludf.DUMMYFUNCTION("""COMPUTED_VALUE"""),126.0)</f>
        <v>126</v>
      </c>
      <c r="B1589" s="2" t="str">
        <f>IFERROR(__xludf.DUMMYFUNCTION("""COMPUTED_VALUE"""),"DHAKA-NORTH")</f>
        <v>DHAKA-NORTH</v>
      </c>
      <c r="C1589" s="4">
        <f>IFERROR(__xludf.DUMMYFUNCTION("""COMPUTED_VALUE"""),35.0)</f>
        <v>35</v>
      </c>
      <c r="D1589" s="2" t="str">
        <f>IFERROR(__xludf.DUMMYFUNCTION("""COMPUTED_VALUE"""),"BANGLADESH KRISHI BANK")</f>
        <v>BANGLADESH KRISHI BANK</v>
      </c>
      <c r="E1589" s="2" t="str">
        <f>IFERROR(__xludf.DUMMYFUNCTION("""COMPUTED_VALUE"""),"MIRPUR")</f>
        <v>MIRPUR</v>
      </c>
      <c r="F1589" s="3">
        <f>IFERROR(__xludf.DUMMYFUNCTION("""COMPUTED_VALUE"""),298.0)</f>
        <v>298</v>
      </c>
      <c r="G1589" s="5">
        <f>IFERROR(__xludf.DUMMYFUNCTION("""COMPUTED_VALUE"""),3.5262989E7)</f>
        <v>35262989</v>
      </c>
    </row>
    <row r="1590">
      <c r="A1590" s="3">
        <f>IFERROR(__xludf.DUMMYFUNCTION("""COMPUTED_VALUE"""),126.0)</f>
        <v>126</v>
      </c>
      <c r="B1590" s="2" t="str">
        <f>IFERROR(__xludf.DUMMYFUNCTION("""COMPUTED_VALUE"""),"DHAKA-NORTH")</f>
        <v>DHAKA-NORTH</v>
      </c>
      <c r="C1590" s="4">
        <f>IFERROR(__xludf.DUMMYFUNCTION("""COMPUTED_VALUE"""),35.0)</f>
        <v>35</v>
      </c>
      <c r="D1590" s="2" t="str">
        <f>IFERROR(__xludf.DUMMYFUNCTION("""COMPUTED_VALUE"""),"BANGLADESH KRISHI BANK")</f>
        <v>BANGLADESH KRISHI BANK</v>
      </c>
      <c r="E1590" s="2" t="str">
        <f>IFERROR(__xludf.DUMMYFUNCTION("""COMPUTED_VALUE"""),"SAVAR")</f>
        <v>SAVAR</v>
      </c>
      <c r="F1590" s="3">
        <f>IFERROR(__xludf.DUMMYFUNCTION("""COMPUTED_VALUE"""),409.0)</f>
        <v>409</v>
      </c>
      <c r="G1590" s="5">
        <f>IFERROR(__xludf.DUMMYFUNCTION("""COMPUTED_VALUE"""),3.5264095E7)</f>
        <v>35264095</v>
      </c>
    </row>
    <row r="1591">
      <c r="A1591" s="3">
        <f>IFERROR(__xludf.DUMMYFUNCTION("""COMPUTED_VALUE"""),126.0)</f>
        <v>126</v>
      </c>
      <c r="B1591" s="2" t="str">
        <f>IFERROR(__xludf.DUMMYFUNCTION("""COMPUTED_VALUE"""),"DHAKA-NORTH")</f>
        <v>DHAKA-NORTH</v>
      </c>
      <c r="C1591" s="4">
        <f>IFERROR(__xludf.DUMMYFUNCTION("""COMPUTED_VALUE"""),35.0)</f>
        <v>35</v>
      </c>
      <c r="D1591" s="2" t="str">
        <f>IFERROR(__xludf.DUMMYFUNCTION("""COMPUTED_VALUE"""),"BANGLADESH KRISHI BANK")</f>
        <v>BANGLADESH KRISHI BANK</v>
      </c>
      <c r="E1591" s="2" t="str">
        <f>IFERROR(__xludf.DUMMYFUNCTION("""COMPUTED_VALUE"""),"SHYAMALI")</f>
        <v>SHYAMALI</v>
      </c>
      <c r="F1591" s="3">
        <f>IFERROR(__xludf.DUMMYFUNCTION("""COMPUTED_VALUE"""),430.0)</f>
        <v>430</v>
      </c>
      <c r="G1591" s="5">
        <f>IFERROR(__xludf.DUMMYFUNCTION("""COMPUTED_VALUE"""),3.5264303E7)</f>
        <v>35264303</v>
      </c>
    </row>
    <row r="1592">
      <c r="A1592" s="3">
        <f>IFERROR(__xludf.DUMMYFUNCTION("""COMPUTED_VALUE"""),126.0)</f>
        <v>126</v>
      </c>
      <c r="B1592" s="2" t="str">
        <f>IFERROR(__xludf.DUMMYFUNCTION("""COMPUTED_VALUE"""),"DHAKA-NORTH")</f>
        <v>DHAKA-NORTH</v>
      </c>
      <c r="C1592" s="4">
        <f>IFERROR(__xludf.DUMMYFUNCTION("""COMPUTED_VALUE"""),35.0)</f>
        <v>35</v>
      </c>
      <c r="D1592" s="2" t="str">
        <f>IFERROR(__xludf.DUMMYFUNCTION("""COMPUTED_VALUE"""),"BANGLADESH KRISHI BANK")</f>
        <v>BANGLADESH KRISHI BANK</v>
      </c>
      <c r="E1592" s="2" t="str">
        <f>IFERROR(__xludf.DUMMYFUNCTION("""COMPUTED_VALUE"""),"TAJMOHAL ROAD")</f>
        <v>TAJMOHAL ROAD</v>
      </c>
      <c r="F1592" s="3">
        <f>IFERROR(__xludf.DUMMYFUNCTION("""COMPUTED_VALUE"""),445.0)</f>
        <v>445</v>
      </c>
      <c r="G1592" s="5">
        <f>IFERROR(__xludf.DUMMYFUNCTION("""COMPUTED_VALUE"""),3.5264453E7)</f>
        <v>35264453</v>
      </c>
    </row>
    <row r="1593">
      <c r="A1593" s="3">
        <f>IFERROR(__xludf.DUMMYFUNCTION("""COMPUTED_VALUE"""),126.0)</f>
        <v>126</v>
      </c>
      <c r="B1593" s="2" t="str">
        <f>IFERROR(__xludf.DUMMYFUNCTION("""COMPUTED_VALUE"""),"DHAKA-NORTH")</f>
        <v>DHAKA-NORTH</v>
      </c>
      <c r="C1593" s="4">
        <f>IFERROR(__xludf.DUMMYFUNCTION("""COMPUTED_VALUE"""),35.0)</f>
        <v>35</v>
      </c>
      <c r="D1593" s="2" t="str">
        <f>IFERROR(__xludf.DUMMYFUNCTION("""COMPUTED_VALUE"""),"BANGLADESH KRISHI BANK")</f>
        <v>BANGLADESH KRISHI BANK</v>
      </c>
      <c r="E1593" s="2" t="str">
        <f>IFERROR(__xludf.DUMMYFUNCTION("""COMPUTED_VALUE"""),"STAFF COLLEGE")</f>
        <v>STAFF COLLEGE</v>
      </c>
      <c r="F1593" s="3">
        <f>IFERROR(__xludf.DUMMYFUNCTION("""COMPUTED_VALUE"""),454.0)</f>
        <v>454</v>
      </c>
      <c r="G1593" s="5">
        <f>IFERROR(__xludf.DUMMYFUNCTION("""COMPUTED_VALUE"""),3.5264545E7)</f>
        <v>35264545</v>
      </c>
    </row>
    <row r="1594">
      <c r="A1594" s="3">
        <f>IFERROR(__xludf.DUMMYFUNCTION("""COMPUTED_VALUE"""),126.0)</f>
        <v>126</v>
      </c>
      <c r="B1594" s="2" t="str">
        <f>IFERROR(__xludf.DUMMYFUNCTION("""COMPUTED_VALUE"""),"DHAKA-NORTH")</f>
        <v>DHAKA-NORTH</v>
      </c>
      <c r="C1594" s="4">
        <f>IFERROR(__xludf.DUMMYFUNCTION("""COMPUTED_VALUE"""),35.0)</f>
        <v>35</v>
      </c>
      <c r="D1594" s="2" t="str">
        <f>IFERROR(__xludf.DUMMYFUNCTION("""COMPUTED_VALUE"""),"BANGLADESH KRISHI BANK")</f>
        <v>BANGLADESH KRISHI BANK</v>
      </c>
      <c r="E1594" s="2" t="str">
        <f>IFERROR(__xludf.DUMMYFUNCTION("""COMPUTED_VALUE"""),"UTTARA")</f>
        <v>UTTARA</v>
      </c>
      <c r="F1594" s="3">
        <f>IFERROR(__xludf.DUMMYFUNCTION("""COMPUTED_VALUE"""),463.0)</f>
        <v>463</v>
      </c>
      <c r="G1594" s="5">
        <f>IFERROR(__xludf.DUMMYFUNCTION("""COMPUTED_VALUE"""),3.5264637E7)</f>
        <v>35264637</v>
      </c>
    </row>
    <row r="1595">
      <c r="A1595" s="3">
        <f>IFERROR(__xludf.DUMMYFUNCTION("""COMPUTED_VALUE"""),127.0)</f>
        <v>127</v>
      </c>
      <c r="B1595" s="2" t="str">
        <f>IFERROR(__xludf.DUMMYFUNCTION("""COMPUTED_VALUE"""),"DHAKA-SOUTH")</f>
        <v>DHAKA-SOUTH</v>
      </c>
      <c r="C1595" s="4">
        <f>IFERROR(__xludf.DUMMYFUNCTION("""COMPUTED_VALUE"""),35.0)</f>
        <v>35</v>
      </c>
      <c r="D1595" s="2" t="str">
        <f>IFERROR(__xludf.DUMMYFUNCTION("""COMPUTED_VALUE"""),"BANGLADESH KRISHI BANK")</f>
        <v>BANGLADESH KRISHI BANK</v>
      </c>
      <c r="E1595" s="2" t="str">
        <f>IFERROR(__xludf.DUMMYFUNCTION("""COMPUTED_VALUE"""),"TRUNCATION POINT")</f>
        <v>TRUNCATION POINT</v>
      </c>
      <c r="F1595" s="3">
        <f>IFERROR(__xludf.DUMMYFUNCTION("""COMPUTED_VALUE"""),0.0)</f>
        <v>0</v>
      </c>
      <c r="G1595" s="5">
        <f>IFERROR(__xludf.DUMMYFUNCTION("""COMPUTED_VALUE"""),3.5270005E7)</f>
        <v>35270005</v>
      </c>
    </row>
    <row r="1596">
      <c r="A1596" s="3">
        <f>IFERROR(__xludf.DUMMYFUNCTION("""COMPUTED_VALUE"""),127.0)</f>
        <v>127</v>
      </c>
      <c r="B1596" s="2" t="str">
        <f>IFERROR(__xludf.DUMMYFUNCTION("""COMPUTED_VALUE"""),"DHAKA-SOUTH")</f>
        <v>DHAKA-SOUTH</v>
      </c>
      <c r="C1596" s="4">
        <f>IFERROR(__xludf.DUMMYFUNCTION("""COMPUTED_VALUE"""),35.0)</f>
        <v>35</v>
      </c>
      <c r="D1596" s="2" t="str">
        <f>IFERROR(__xludf.DUMMYFUNCTION("""COMPUTED_VALUE"""),"BANGLADESH KRISHI BANK")</f>
        <v>BANGLADESH KRISHI BANK</v>
      </c>
      <c r="E1596" s="2" t="str">
        <f>IFERROR(__xludf.DUMMYFUNCTION("""COMPUTED_VALUE"""),"BANDURAHAT")</f>
        <v>BANDURAHAT</v>
      </c>
      <c r="F1596" s="3">
        <f>IFERROR(__xludf.DUMMYFUNCTION("""COMPUTED_VALUE"""),67.0)</f>
        <v>67</v>
      </c>
      <c r="G1596" s="5">
        <f>IFERROR(__xludf.DUMMYFUNCTION("""COMPUTED_VALUE"""),3.5270676E7)</f>
        <v>35270676</v>
      </c>
    </row>
    <row r="1597">
      <c r="A1597" s="3">
        <f>IFERROR(__xludf.DUMMYFUNCTION("""COMPUTED_VALUE"""),127.0)</f>
        <v>127</v>
      </c>
      <c r="B1597" s="2" t="str">
        <f>IFERROR(__xludf.DUMMYFUNCTION("""COMPUTED_VALUE"""),"DHAKA-SOUTH")</f>
        <v>DHAKA-SOUTH</v>
      </c>
      <c r="C1597" s="4">
        <f>IFERROR(__xludf.DUMMYFUNCTION("""COMPUTED_VALUE"""),35.0)</f>
        <v>35</v>
      </c>
      <c r="D1597" s="2" t="str">
        <f>IFERROR(__xludf.DUMMYFUNCTION("""COMPUTED_VALUE"""),"BANGLADESH KRISHI BANK")</f>
        <v>BANGLADESH KRISHI BANK</v>
      </c>
      <c r="E1597" s="2" t="str">
        <f>IFERROR(__xludf.DUMMYFUNCTION("""COMPUTED_VALUE"""),"CHAWK BAZAR")</f>
        <v>CHAWK BAZAR</v>
      </c>
      <c r="F1597" s="3">
        <f>IFERROR(__xludf.DUMMYFUNCTION("""COMPUTED_VALUE"""),127.0)</f>
        <v>127</v>
      </c>
      <c r="G1597" s="5">
        <f>IFERROR(__xludf.DUMMYFUNCTION("""COMPUTED_VALUE"""),3.5271275E7)</f>
        <v>35271275</v>
      </c>
    </row>
    <row r="1598">
      <c r="A1598" s="3">
        <f>IFERROR(__xludf.DUMMYFUNCTION("""COMPUTED_VALUE"""),127.0)</f>
        <v>127</v>
      </c>
      <c r="B1598" s="2" t="str">
        <f>IFERROR(__xludf.DUMMYFUNCTION("""COMPUTED_VALUE"""),"DHAKA-SOUTH")</f>
        <v>DHAKA-SOUTH</v>
      </c>
      <c r="C1598" s="4">
        <f>IFERROR(__xludf.DUMMYFUNCTION("""COMPUTED_VALUE"""),35.0)</f>
        <v>35</v>
      </c>
      <c r="D1598" s="2" t="str">
        <f>IFERROR(__xludf.DUMMYFUNCTION("""COMPUTED_VALUE"""),"BANGLADESH KRISHI BANK")</f>
        <v>BANGLADESH KRISHI BANK</v>
      </c>
      <c r="E1598" s="2" t="str">
        <f>IFERROR(__xludf.DUMMYFUNCTION("""COMPUTED_VALUE"""),"DEMRA BAZAR")</f>
        <v>DEMRA BAZAR</v>
      </c>
      <c r="F1598" s="3">
        <f>IFERROR(__xludf.DUMMYFUNCTION("""COMPUTED_VALUE"""),148.0)</f>
        <v>148</v>
      </c>
      <c r="G1598" s="5">
        <f>IFERROR(__xludf.DUMMYFUNCTION("""COMPUTED_VALUE"""),3.5271488E7)</f>
        <v>35271488</v>
      </c>
    </row>
    <row r="1599">
      <c r="A1599" s="3">
        <f>IFERROR(__xludf.DUMMYFUNCTION("""COMPUTED_VALUE"""),127.0)</f>
        <v>127</v>
      </c>
      <c r="B1599" s="2" t="str">
        <f>IFERROR(__xludf.DUMMYFUNCTION("""COMPUTED_VALUE"""),"DHAKA-SOUTH")</f>
        <v>DHAKA-SOUTH</v>
      </c>
      <c r="C1599" s="4">
        <f>IFERROR(__xludf.DUMMYFUNCTION("""COMPUTED_VALUE"""),35.0)</f>
        <v>35</v>
      </c>
      <c r="D1599" s="2" t="str">
        <f>IFERROR(__xludf.DUMMYFUNCTION("""COMPUTED_VALUE"""),"BANGLADESH KRISHI BANK")</f>
        <v>BANGLADESH KRISHI BANK</v>
      </c>
      <c r="E1599" s="2" t="str">
        <f>IFERROR(__xludf.DUMMYFUNCTION("""COMPUTED_VALUE"""),"DOHAR")</f>
        <v>DOHAR</v>
      </c>
      <c r="F1599" s="3">
        <f>IFERROR(__xludf.DUMMYFUNCTION("""COMPUTED_VALUE"""),205.0)</f>
        <v>205</v>
      </c>
      <c r="G1599" s="5">
        <f>IFERROR(__xludf.DUMMYFUNCTION("""COMPUTED_VALUE"""),3.5272058E7)</f>
        <v>35272058</v>
      </c>
    </row>
    <row r="1600">
      <c r="A1600" s="3">
        <f>IFERROR(__xludf.DUMMYFUNCTION("""COMPUTED_VALUE"""),127.0)</f>
        <v>127</v>
      </c>
      <c r="B1600" s="2" t="str">
        <f>IFERROR(__xludf.DUMMYFUNCTION("""COMPUTED_VALUE"""),"DHAKA-SOUTH")</f>
        <v>DHAKA-SOUTH</v>
      </c>
      <c r="C1600" s="4">
        <f>IFERROR(__xludf.DUMMYFUNCTION("""COMPUTED_VALUE"""),35.0)</f>
        <v>35</v>
      </c>
      <c r="D1600" s="2" t="str">
        <f>IFERROR(__xludf.DUMMYFUNCTION("""COMPUTED_VALUE"""),"BANGLADESH KRISHI BANK")</f>
        <v>BANGLADESH KRISHI BANK</v>
      </c>
      <c r="E1600" s="2" t="str">
        <f>IFERROR(__xludf.DUMMYFUNCTION("""COMPUTED_VALUE"""),"FARASHGANJ")</f>
        <v>FARASHGANJ</v>
      </c>
      <c r="F1600" s="3">
        <f>IFERROR(__xludf.DUMMYFUNCTION("""COMPUTED_VALUE"""),223.0)</f>
        <v>223</v>
      </c>
      <c r="G1600" s="5">
        <f>IFERROR(__xludf.DUMMYFUNCTION("""COMPUTED_VALUE"""),3.5272232E7)</f>
        <v>35272232</v>
      </c>
    </row>
    <row r="1601">
      <c r="A1601" s="3">
        <f>IFERROR(__xludf.DUMMYFUNCTION("""COMPUTED_VALUE"""),127.0)</f>
        <v>127</v>
      </c>
      <c r="B1601" s="2" t="str">
        <f>IFERROR(__xludf.DUMMYFUNCTION("""COMPUTED_VALUE"""),"DHAKA-SOUTH")</f>
        <v>DHAKA-SOUTH</v>
      </c>
      <c r="C1601" s="4">
        <f>IFERROR(__xludf.DUMMYFUNCTION("""COMPUTED_VALUE"""),35.0)</f>
        <v>35</v>
      </c>
      <c r="D1601" s="2" t="str">
        <f>IFERROR(__xludf.DUMMYFUNCTION("""COMPUTED_VALUE"""),"BANGLADESH KRISHI BANK")</f>
        <v>BANGLADESH KRISHI BANK</v>
      </c>
      <c r="E1601" s="2" t="str">
        <f>IFERROR(__xludf.DUMMYFUNCTION("""COMPUTED_VALUE"""),"HAZRATPUR")</f>
        <v>HAZRATPUR</v>
      </c>
      <c r="F1601" s="3">
        <f>IFERROR(__xludf.DUMMYFUNCTION("""COMPUTED_VALUE"""),265.0)</f>
        <v>265</v>
      </c>
      <c r="G1601" s="5">
        <f>IFERROR(__xludf.DUMMYFUNCTION("""COMPUTED_VALUE"""),3.5272658E7)</f>
        <v>35272658</v>
      </c>
    </row>
    <row r="1602">
      <c r="A1602" s="3">
        <f>IFERROR(__xludf.DUMMYFUNCTION("""COMPUTED_VALUE"""),127.0)</f>
        <v>127</v>
      </c>
      <c r="B1602" s="2" t="str">
        <f>IFERROR(__xludf.DUMMYFUNCTION("""COMPUTED_VALUE"""),"DHAKA-SOUTH")</f>
        <v>DHAKA-SOUTH</v>
      </c>
      <c r="C1602" s="4">
        <f>IFERROR(__xludf.DUMMYFUNCTION("""COMPUTED_VALUE"""),35.0)</f>
        <v>35</v>
      </c>
      <c r="D1602" s="2" t="str">
        <f>IFERROR(__xludf.DUMMYFUNCTION("""COMPUTED_VALUE"""),"BANGLADESH KRISHI BANK")</f>
        <v>BANGLADESH KRISHI BANK</v>
      </c>
      <c r="E1602" s="2" t="str">
        <f>IFERROR(__xludf.DUMMYFUNCTION("""COMPUTED_VALUE"""),"JURAIN")</f>
        <v>JURAIN</v>
      </c>
      <c r="F1602" s="3">
        <f>IFERROR(__xludf.DUMMYFUNCTION("""COMPUTED_VALUE"""),331.0)</f>
        <v>331</v>
      </c>
      <c r="G1602" s="5">
        <f>IFERROR(__xludf.DUMMYFUNCTION("""COMPUTED_VALUE"""),3.527331E7)</f>
        <v>35273310</v>
      </c>
    </row>
    <row r="1603">
      <c r="A1603" s="3">
        <f>IFERROR(__xludf.DUMMYFUNCTION("""COMPUTED_VALUE"""),127.0)</f>
        <v>127</v>
      </c>
      <c r="B1603" s="2" t="str">
        <f>IFERROR(__xludf.DUMMYFUNCTION("""COMPUTED_VALUE"""),"DHAKA-SOUTH")</f>
        <v>DHAKA-SOUTH</v>
      </c>
      <c r="C1603" s="4">
        <f>IFERROR(__xludf.DUMMYFUNCTION("""COMPUTED_VALUE"""),35.0)</f>
        <v>35</v>
      </c>
      <c r="D1603" s="2" t="str">
        <f>IFERROR(__xludf.DUMMYFUNCTION("""COMPUTED_VALUE"""),"BANGLADESH KRISHI BANK")</f>
        <v>BANGLADESH KRISHI BANK</v>
      </c>
      <c r="E1603" s="2" t="str">
        <f>IFERROR(__xludf.DUMMYFUNCTION("""COMPUTED_VALUE"""),"KAMRANGIRCHAR")</f>
        <v>KAMRANGIRCHAR</v>
      </c>
      <c r="F1603" s="3">
        <f>IFERROR(__xludf.DUMMYFUNCTION("""COMPUTED_VALUE"""),358.0)</f>
        <v>358</v>
      </c>
      <c r="G1603" s="5">
        <f>IFERROR(__xludf.DUMMYFUNCTION("""COMPUTED_VALUE"""),3.5273581E7)</f>
        <v>35273581</v>
      </c>
    </row>
    <row r="1604">
      <c r="A1604" s="3">
        <f>IFERROR(__xludf.DUMMYFUNCTION("""COMPUTED_VALUE"""),127.0)</f>
        <v>127</v>
      </c>
      <c r="B1604" s="2" t="str">
        <f>IFERROR(__xludf.DUMMYFUNCTION("""COMPUTED_VALUE"""),"DHAKA-SOUTH")</f>
        <v>DHAKA-SOUTH</v>
      </c>
      <c r="C1604" s="4">
        <f>IFERROR(__xludf.DUMMYFUNCTION("""COMPUTED_VALUE"""),35.0)</f>
        <v>35</v>
      </c>
      <c r="D1604" s="2" t="str">
        <f>IFERROR(__xludf.DUMMYFUNCTION("""COMPUTED_VALUE"""),"BANGLADESH KRISHI BANK")</f>
        <v>BANGLADESH KRISHI BANK</v>
      </c>
      <c r="E1604" s="2" t="str">
        <f>IFERROR(__xludf.DUMMYFUNCTION("""COMPUTED_VALUE"""),"KERANIGANJ")</f>
        <v>KERANIGANJ</v>
      </c>
      <c r="F1604" s="3">
        <f>IFERROR(__xludf.DUMMYFUNCTION("""COMPUTED_VALUE"""),364.0)</f>
        <v>364</v>
      </c>
      <c r="G1604" s="5">
        <f>IFERROR(__xludf.DUMMYFUNCTION("""COMPUTED_VALUE"""),3.5273644E7)</f>
        <v>35273644</v>
      </c>
    </row>
    <row r="1605">
      <c r="A1605" s="3">
        <f>IFERROR(__xludf.DUMMYFUNCTION("""COMPUTED_VALUE"""),127.0)</f>
        <v>127</v>
      </c>
      <c r="B1605" s="2" t="str">
        <f>IFERROR(__xludf.DUMMYFUNCTION("""COMPUTED_VALUE"""),"DHAKA-SOUTH")</f>
        <v>DHAKA-SOUTH</v>
      </c>
      <c r="C1605" s="4">
        <f>IFERROR(__xludf.DUMMYFUNCTION("""COMPUTED_VALUE"""),35.0)</f>
        <v>35</v>
      </c>
      <c r="D1605" s="2" t="str">
        <f>IFERROR(__xludf.DUMMYFUNCTION("""COMPUTED_VALUE"""),"BANGLADESH KRISHI BANK")</f>
        <v>BANGLADESH KRISHI BANK</v>
      </c>
      <c r="E1605" s="2" t="str">
        <f>IFERROR(__xludf.DUMMYFUNCTION("""COMPUTED_VALUE"""),"KOMARGANJ HAT")</f>
        <v>KOMARGANJ HAT</v>
      </c>
      <c r="F1605" s="3">
        <f>IFERROR(__xludf.DUMMYFUNCTION("""COMPUTED_VALUE"""),370.0)</f>
        <v>370</v>
      </c>
      <c r="G1605" s="5">
        <f>IFERROR(__xludf.DUMMYFUNCTION("""COMPUTED_VALUE"""),3.5273707E7)</f>
        <v>35273707</v>
      </c>
    </row>
    <row r="1606">
      <c r="A1606" s="3">
        <f>IFERROR(__xludf.DUMMYFUNCTION("""COMPUTED_VALUE"""),127.0)</f>
        <v>127</v>
      </c>
      <c r="B1606" s="2" t="str">
        <f>IFERROR(__xludf.DUMMYFUNCTION("""COMPUTED_VALUE"""),"DHAKA-SOUTH")</f>
        <v>DHAKA-SOUTH</v>
      </c>
      <c r="C1606" s="4">
        <f>IFERROR(__xludf.DUMMYFUNCTION("""COMPUTED_VALUE"""),35.0)</f>
        <v>35</v>
      </c>
      <c r="D1606" s="2" t="str">
        <f>IFERROR(__xludf.DUMMYFUNCTION("""COMPUTED_VALUE"""),"BANGLADESH KRISHI BANK")</f>
        <v>BANGLADESH KRISHI BANK</v>
      </c>
      <c r="E1606" s="2" t="str">
        <f>IFERROR(__xludf.DUMMYFUNCTION("""COMPUTED_VALUE"""),"LOCAL PRINCIPAL OFFICE")</f>
        <v>LOCAL PRINCIPAL OFFICE</v>
      </c>
      <c r="F1606" s="3">
        <f>IFERROR(__xludf.DUMMYFUNCTION("""COMPUTED_VALUE"""),391.0)</f>
        <v>391</v>
      </c>
      <c r="G1606" s="5">
        <f>IFERROR(__xludf.DUMMYFUNCTION("""COMPUTED_VALUE"""),3.527391E7)</f>
        <v>35273910</v>
      </c>
    </row>
    <row r="1607">
      <c r="A1607" s="3">
        <f>IFERROR(__xludf.DUMMYFUNCTION("""COMPUTED_VALUE"""),127.0)</f>
        <v>127</v>
      </c>
      <c r="B1607" s="2" t="str">
        <f>IFERROR(__xludf.DUMMYFUNCTION("""COMPUTED_VALUE"""),"DHAKA-SOUTH")</f>
        <v>DHAKA-SOUTH</v>
      </c>
      <c r="C1607" s="4">
        <f>IFERROR(__xludf.DUMMYFUNCTION("""COMPUTED_VALUE"""),35.0)</f>
        <v>35</v>
      </c>
      <c r="D1607" s="2" t="str">
        <f>IFERROR(__xludf.DUMMYFUNCTION("""COMPUTED_VALUE"""),"BANGLADESH KRISHI BANK")</f>
        <v>BANGLADESH KRISHI BANK</v>
      </c>
      <c r="E1607" s="2" t="str">
        <f>IFERROR(__xludf.DUMMYFUNCTION("""COMPUTED_VALUE"""),"NANDIPARA")</f>
        <v>NANDIPARA</v>
      </c>
      <c r="F1607" s="3">
        <f>IFERROR(__xludf.DUMMYFUNCTION("""COMPUTED_VALUE"""),460.0)</f>
        <v>460</v>
      </c>
      <c r="G1607" s="5">
        <f>IFERROR(__xludf.DUMMYFUNCTION("""COMPUTED_VALUE"""),3.5274601E7)</f>
        <v>35274601</v>
      </c>
    </row>
    <row r="1608">
      <c r="A1608" s="3">
        <f>IFERROR(__xludf.DUMMYFUNCTION("""COMPUTED_VALUE"""),127.0)</f>
        <v>127</v>
      </c>
      <c r="B1608" s="2" t="str">
        <f>IFERROR(__xludf.DUMMYFUNCTION("""COMPUTED_VALUE"""),"DHAKA-SOUTH")</f>
        <v>DHAKA-SOUTH</v>
      </c>
      <c r="C1608" s="4">
        <f>IFERROR(__xludf.DUMMYFUNCTION("""COMPUTED_VALUE"""),35.0)</f>
        <v>35</v>
      </c>
      <c r="D1608" s="2" t="str">
        <f>IFERROR(__xludf.DUMMYFUNCTION("""COMPUTED_VALUE"""),"BANGLADESH KRISHI BANK")</f>
        <v>BANGLADESH KRISHI BANK</v>
      </c>
      <c r="E1608" s="2" t="str">
        <f>IFERROR(__xludf.DUMMYFUNCTION("""COMPUTED_VALUE"""),"NAWABGANJ")</f>
        <v>NAWABGANJ</v>
      </c>
      <c r="F1608" s="3">
        <f>IFERROR(__xludf.DUMMYFUNCTION("""COMPUTED_VALUE"""),469.0)</f>
        <v>469</v>
      </c>
      <c r="G1608" s="5">
        <f>IFERROR(__xludf.DUMMYFUNCTION("""COMPUTED_VALUE"""),3.5274698E7)</f>
        <v>35274698</v>
      </c>
    </row>
    <row r="1609">
      <c r="A1609" s="3">
        <f>IFERROR(__xludf.DUMMYFUNCTION("""COMPUTED_VALUE"""),127.0)</f>
        <v>127</v>
      </c>
      <c r="B1609" s="2" t="str">
        <f>IFERROR(__xludf.DUMMYFUNCTION("""COMPUTED_VALUE"""),"DHAKA-SOUTH")</f>
        <v>DHAKA-SOUTH</v>
      </c>
      <c r="C1609" s="4">
        <f>IFERROR(__xludf.DUMMYFUNCTION("""COMPUTED_VALUE"""),35.0)</f>
        <v>35</v>
      </c>
      <c r="D1609" s="2" t="str">
        <f>IFERROR(__xludf.DUMMYFUNCTION("""COMPUTED_VALUE"""),"BANGLADESH KRISHI BANK")</f>
        <v>BANGLADESH KRISHI BANK</v>
      </c>
      <c r="E1609" s="2" t="str">
        <f>IFERROR(__xludf.DUMMYFUNCTION("""COMPUTED_VALUE"""),"SHANIR AKHRA")</f>
        <v>SHANIR AKHRA</v>
      </c>
      <c r="F1609" s="3">
        <f>IFERROR(__xludf.DUMMYFUNCTION("""COMPUTED_VALUE"""),631.0)</f>
        <v>631</v>
      </c>
      <c r="G1609" s="5">
        <f>IFERROR(__xludf.DUMMYFUNCTION("""COMPUTED_VALUE"""),3.5276317E7)</f>
        <v>35276317</v>
      </c>
    </row>
    <row r="1610">
      <c r="A1610" s="3">
        <f>IFERROR(__xludf.DUMMYFUNCTION("""COMPUTED_VALUE"""),127.0)</f>
        <v>127</v>
      </c>
      <c r="B1610" s="2" t="str">
        <f>IFERROR(__xludf.DUMMYFUNCTION("""COMPUTED_VALUE"""),"DHAKA-SOUTH")</f>
        <v>DHAKA-SOUTH</v>
      </c>
      <c r="C1610" s="4">
        <f>IFERROR(__xludf.DUMMYFUNCTION("""COMPUTED_VALUE"""),35.0)</f>
        <v>35</v>
      </c>
      <c r="D1610" s="2" t="str">
        <f>IFERROR(__xludf.DUMMYFUNCTION("""COMPUTED_VALUE"""),"BANGLADESH KRISHI BANK")</f>
        <v>BANGLADESH KRISHI BANK</v>
      </c>
      <c r="E1610" s="2" t="str">
        <f>IFERROR(__xludf.DUMMYFUNCTION("""COMPUTED_VALUE"""),"SHOLLA BAZAR")</f>
        <v>SHOLLA BAZAR</v>
      </c>
      <c r="F1610" s="3">
        <f>IFERROR(__xludf.DUMMYFUNCTION("""COMPUTED_VALUE"""),649.0)</f>
        <v>649</v>
      </c>
      <c r="G1610" s="5">
        <f>IFERROR(__xludf.DUMMYFUNCTION("""COMPUTED_VALUE"""),3.5276496E7)</f>
        <v>35276496</v>
      </c>
    </row>
    <row r="1611">
      <c r="A1611" s="3">
        <f>IFERROR(__xludf.DUMMYFUNCTION("""COMPUTED_VALUE"""),329.0)</f>
        <v>329</v>
      </c>
      <c r="B1611" s="2" t="str">
        <f>IFERROR(__xludf.DUMMYFUNCTION("""COMPUTED_VALUE"""),"FARIDPUR")</f>
        <v>FARIDPUR</v>
      </c>
      <c r="C1611" s="4">
        <f>IFERROR(__xludf.DUMMYFUNCTION("""COMPUTED_VALUE"""),35.0)</f>
        <v>35</v>
      </c>
      <c r="D1611" s="2" t="str">
        <f>IFERROR(__xludf.DUMMYFUNCTION("""COMPUTED_VALUE"""),"BANGLADESH KRISHI BANK")</f>
        <v>BANGLADESH KRISHI BANK</v>
      </c>
      <c r="E1611" s="2" t="str">
        <f>IFERROR(__xludf.DUMMYFUNCTION("""COMPUTED_VALUE"""),"ALFADANGA")</f>
        <v>ALFADANGA</v>
      </c>
      <c r="F1611" s="3">
        <f>IFERROR(__xludf.DUMMYFUNCTION("""COMPUTED_VALUE"""),4.0)</f>
        <v>4</v>
      </c>
      <c r="G1611" s="5">
        <f>IFERROR(__xludf.DUMMYFUNCTION("""COMPUTED_VALUE"""),3.5290043E7)</f>
        <v>35290043</v>
      </c>
    </row>
    <row r="1612">
      <c r="A1612" s="3">
        <f>IFERROR(__xludf.DUMMYFUNCTION("""COMPUTED_VALUE"""),329.0)</f>
        <v>329</v>
      </c>
      <c r="B1612" s="2" t="str">
        <f>IFERROR(__xludf.DUMMYFUNCTION("""COMPUTED_VALUE"""),"FARIDPUR")</f>
        <v>FARIDPUR</v>
      </c>
      <c r="C1612" s="4">
        <f>IFERROR(__xludf.DUMMYFUNCTION("""COMPUTED_VALUE"""),35.0)</f>
        <v>35</v>
      </c>
      <c r="D1612" s="2" t="str">
        <f>IFERROR(__xludf.DUMMYFUNCTION("""COMPUTED_VALUE"""),"BANGLADESH KRISHI BANK")</f>
        <v>BANGLADESH KRISHI BANK</v>
      </c>
      <c r="E1612" s="2" t="str">
        <f>IFERROR(__xludf.DUMMYFUNCTION("""COMPUTED_VALUE"""),"PURAPARA BAZAR")</f>
        <v>PURAPARA BAZAR</v>
      </c>
      <c r="F1612" s="3">
        <f>IFERROR(__xludf.DUMMYFUNCTION("""COMPUTED_VALUE"""),5.0)</f>
        <v>5</v>
      </c>
      <c r="G1612" s="5">
        <f>IFERROR(__xludf.DUMMYFUNCTION("""COMPUTED_VALUE"""),3.5290056E7)</f>
        <v>35290056</v>
      </c>
    </row>
    <row r="1613">
      <c r="A1613" s="3">
        <f>IFERROR(__xludf.DUMMYFUNCTION("""COMPUTED_VALUE"""),329.0)</f>
        <v>329</v>
      </c>
      <c r="B1613" s="2" t="str">
        <f>IFERROR(__xludf.DUMMYFUNCTION("""COMPUTED_VALUE"""),"FARIDPUR")</f>
        <v>FARIDPUR</v>
      </c>
      <c r="C1613" s="4">
        <f>IFERROR(__xludf.DUMMYFUNCTION("""COMPUTED_VALUE"""),35.0)</f>
        <v>35</v>
      </c>
      <c r="D1613" s="2" t="str">
        <f>IFERROR(__xludf.DUMMYFUNCTION("""COMPUTED_VALUE"""),"BANGLADESH KRISHI BANK")</f>
        <v>BANGLADESH KRISHI BANK</v>
      </c>
      <c r="E1613" s="2" t="str">
        <f>IFERROR(__xludf.DUMMYFUNCTION("""COMPUTED_VALUE"""),"BABUR CHAR")</f>
        <v>BABUR CHAR</v>
      </c>
      <c r="F1613" s="3">
        <f>IFERROR(__xludf.DUMMYFUNCTION("""COMPUTED_VALUE"""),13.0)</f>
        <v>13</v>
      </c>
      <c r="G1613" s="5">
        <f>IFERROR(__xludf.DUMMYFUNCTION("""COMPUTED_VALUE"""),3.5290135E7)</f>
        <v>35290135</v>
      </c>
    </row>
    <row r="1614">
      <c r="A1614" s="3">
        <f>IFERROR(__xludf.DUMMYFUNCTION("""COMPUTED_VALUE"""),329.0)</f>
        <v>329</v>
      </c>
      <c r="B1614" s="2" t="str">
        <f>IFERROR(__xludf.DUMMYFUNCTION("""COMPUTED_VALUE"""),"FARIDPUR")</f>
        <v>FARIDPUR</v>
      </c>
      <c r="C1614" s="4">
        <f>IFERROR(__xludf.DUMMYFUNCTION("""COMPUTED_VALUE"""),35.0)</f>
        <v>35</v>
      </c>
      <c r="D1614" s="2" t="str">
        <f>IFERROR(__xludf.DUMMYFUNCTION("""COMPUTED_VALUE"""),"BANGLADESH KRISHI BANK")</f>
        <v>BANGLADESH KRISHI BANK</v>
      </c>
      <c r="E1614" s="2" t="str">
        <f>IFERROR(__xludf.DUMMYFUNCTION("""COMPUTED_VALUE"""),"BAGAT")</f>
        <v>BAGAT</v>
      </c>
      <c r="F1614" s="3">
        <f>IFERROR(__xludf.DUMMYFUNCTION("""COMPUTED_VALUE"""),19.0)</f>
        <v>19</v>
      </c>
      <c r="G1614" s="5">
        <f>IFERROR(__xludf.DUMMYFUNCTION("""COMPUTED_VALUE"""),3.5290193E7)</f>
        <v>35290193</v>
      </c>
    </row>
    <row r="1615">
      <c r="A1615" s="3">
        <f>IFERROR(__xludf.DUMMYFUNCTION("""COMPUTED_VALUE"""),329.0)</f>
        <v>329</v>
      </c>
      <c r="B1615" s="2" t="str">
        <f>IFERROR(__xludf.DUMMYFUNCTION("""COMPUTED_VALUE"""),"FARIDPUR")</f>
        <v>FARIDPUR</v>
      </c>
      <c r="C1615" s="4">
        <f>IFERROR(__xludf.DUMMYFUNCTION("""COMPUTED_VALUE"""),35.0)</f>
        <v>35</v>
      </c>
      <c r="D1615" s="2" t="str">
        <f>IFERROR(__xludf.DUMMYFUNCTION("""COMPUTED_VALUE"""),"BANGLADESH KRISHI BANK")</f>
        <v>BANGLADESH KRISHI BANK</v>
      </c>
      <c r="E1615" s="2" t="str">
        <f>IFERROR(__xludf.DUMMYFUNCTION("""COMPUTED_VALUE"""),"BAITUL AMAN")</f>
        <v>BAITUL AMAN</v>
      </c>
      <c r="F1615" s="3">
        <f>IFERROR(__xludf.DUMMYFUNCTION("""COMPUTED_VALUE"""),22.0)</f>
        <v>22</v>
      </c>
      <c r="G1615" s="5">
        <f>IFERROR(__xludf.DUMMYFUNCTION("""COMPUTED_VALUE"""),3.5290227E7)</f>
        <v>35290227</v>
      </c>
    </row>
    <row r="1616">
      <c r="A1616" s="3">
        <f>IFERROR(__xludf.DUMMYFUNCTION("""COMPUTED_VALUE"""),329.0)</f>
        <v>329</v>
      </c>
      <c r="B1616" s="2" t="str">
        <f>IFERROR(__xludf.DUMMYFUNCTION("""COMPUTED_VALUE"""),"FARIDPUR")</f>
        <v>FARIDPUR</v>
      </c>
      <c r="C1616" s="4">
        <f>IFERROR(__xludf.DUMMYFUNCTION("""COMPUTED_VALUE"""),35.0)</f>
        <v>35</v>
      </c>
      <c r="D1616" s="2" t="str">
        <f>IFERROR(__xludf.DUMMYFUNCTION("""COMPUTED_VALUE"""),"BANGLADESH KRISHI BANK")</f>
        <v>BANGLADESH KRISHI BANK</v>
      </c>
      <c r="E1616" s="2" t="str">
        <f>IFERROR(__xludf.DUMMYFUNCTION("""COMPUTED_VALUE"""),"BAKHUNDA BAZAR")</f>
        <v>BAKHUNDA BAZAR</v>
      </c>
      <c r="F1616" s="3">
        <f>IFERROR(__xludf.DUMMYFUNCTION("""COMPUTED_VALUE"""),25.0)</f>
        <v>25</v>
      </c>
      <c r="G1616" s="5">
        <f>IFERROR(__xludf.DUMMYFUNCTION("""COMPUTED_VALUE"""),3.5290256E7)</f>
        <v>35290256</v>
      </c>
    </row>
    <row r="1617">
      <c r="A1617" s="3">
        <f>IFERROR(__xludf.DUMMYFUNCTION("""COMPUTED_VALUE"""),329.0)</f>
        <v>329</v>
      </c>
      <c r="B1617" s="2" t="str">
        <f>IFERROR(__xludf.DUMMYFUNCTION("""COMPUTED_VALUE"""),"FARIDPUR")</f>
        <v>FARIDPUR</v>
      </c>
      <c r="C1617" s="4">
        <f>IFERROR(__xludf.DUMMYFUNCTION("""COMPUTED_VALUE"""),35.0)</f>
        <v>35</v>
      </c>
      <c r="D1617" s="2" t="str">
        <f>IFERROR(__xludf.DUMMYFUNCTION("""COMPUTED_VALUE"""),"BANGLADESH KRISHI BANK")</f>
        <v>BANGLADESH KRISHI BANK</v>
      </c>
      <c r="E1617" s="2" t="str">
        <f>IFERROR(__xludf.DUMMYFUNCTION("""COMPUTED_VALUE"""),"BHANGA")</f>
        <v>BHANGA</v>
      </c>
      <c r="F1617" s="4">
        <f>IFERROR(__xludf.DUMMYFUNCTION("""COMPUTED_VALUE"""),28.0)</f>
        <v>28</v>
      </c>
      <c r="G1617" s="5">
        <f>IFERROR(__xludf.DUMMYFUNCTION("""COMPUTED_VALUE"""),3.5290285E7)</f>
        <v>35290285</v>
      </c>
    </row>
    <row r="1618">
      <c r="A1618" s="3">
        <f>IFERROR(__xludf.DUMMYFUNCTION("""COMPUTED_VALUE"""),329.0)</f>
        <v>329</v>
      </c>
      <c r="B1618" s="2" t="str">
        <f>IFERROR(__xludf.DUMMYFUNCTION("""COMPUTED_VALUE"""),"FARIDPUR")</f>
        <v>FARIDPUR</v>
      </c>
      <c r="C1618" s="4">
        <f>IFERROR(__xludf.DUMMYFUNCTION("""COMPUTED_VALUE"""),35.0)</f>
        <v>35</v>
      </c>
      <c r="D1618" s="2" t="str">
        <f>IFERROR(__xludf.DUMMYFUNCTION("""COMPUTED_VALUE"""),"BANGLADESH KRISHI BANK")</f>
        <v>BANGLADESH KRISHI BANK</v>
      </c>
      <c r="E1618" s="2" t="str">
        <f>IFERROR(__xludf.DUMMYFUNCTION("""COMPUTED_VALUE"""),"BILGOBINDAPUR")</f>
        <v>BILGOBINDAPUR</v>
      </c>
      <c r="F1618" s="4">
        <f>IFERROR(__xludf.DUMMYFUNCTION("""COMPUTED_VALUE"""),31.0)</f>
        <v>31</v>
      </c>
      <c r="G1618" s="5">
        <f>IFERROR(__xludf.DUMMYFUNCTION("""COMPUTED_VALUE"""),3.5290319E7)</f>
        <v>35290319</v>
      </c>
    </row>
    <row r="1619">
      <c r="A1619" s="3">
        <f>IFERROR(__xludf.DUMMYFUNCTION("""COMPUTED_VALUE"""),329.0)</f>
        <v>329</v>
      </c>
      <c r="B1619" s="2" t="str">
        <f>IFERROR(__xludf.DUMMYFUNCTION("""COMPUTED_VALUE"""),"FARIDPUR")</f>
        <v>FARIDPUR</v>
      </c>
      <c r="C1619" s="4">
        <f>IFERROR(__xludf.DUMMYFUNCTION("""COMPUTED_VALUE"""),35.0)</f>
        <v>35</v>
      </c>
      <c r="D1619" s="2" t="str">
        <f>IFERROR(__xludf.DUMMYFUNCTION("""COMPUTED_VALUE"""),"BANGLADESH KRISHI BANK")</f>
        <v>BANGLADESH KRISHI BANK</v>
      </c>
      <c r="E1619" s="2" t="str">
        <f>IFERROR(__xludf.DUMMYFUNCTION("""COMPUTED_VALUE"""),"BOALMARI")</f>
        <v>BOALMARI</v>
      </c>
      <c r="F1619" s="4">
        <f>IFERROR(__xludf.DUMMYFUNCTION("""COMPUTED_VALUE"""),34.0)</f>
        <v>34</v>
      </c>
      <c r="G1619" s="5">
        <f>IFERROR(__xludf.DUMMYFUNCTION("""COMPUTED_VALUE"""),3.5290348E7)</f>
        <v>35290348</v>
      </c>
    </row>
    <row r="1620">
      <c r="A1620" s="3">
        <f>IFERROR(__xludf.DUMMYFUNCTION("""COMPUTED_VALUE"""),329.0)</f>
        <v>329</v>
      </c>
      <c r="B1620" s="2" t="str">
        <f>IFERROR(__xludf.DUMMYFUNCTION("""COMPUTED_VALUE"""),"FARIDPUR")</f>
        <v>FARIDPUR</v>
      </c>
      <c r="C1620" s="4">
        <f>IFERROR(__xludf.DUMMYFUNCTION("""COMPUTED_VALUE"""),35.0)</f>
        <v>35</v>
      </c>
      <c r="D1620" s="2" t="str">
        <f>IFERROR(__xludf.DUMMYFUNCTION("""COMPUTED_VALUE"""),"BANGLADESH KRISHI BANK")</f>
        <v>BANGLADESH KRISHI BANK</v>
      </c>
      <c r="E1620" s="2" t="str">
        <f>IFERROR(__xludf.DUMMYFUNCTION("""COMPUTED_VALUE"""),"CHAND HAT")</f>
        <v>CHAND HAT</v>
      </c>
      <c r="F1620" s="4">
        <f>IFERROR(__xludf.DUMMYFUNCTION("""COMPUTED_VALUE"""),40.0)</f>
        <v>40</v>
      </c>
      <c r="G1620" s="5">
        <f>IFERROR(__xludf.DUMMYFUNCTION("""COMPUTED_VALUE"""),3.5290401E7)</f>
        <v>35290401</v>
      </c>
    </row>
    <row r="1621">
      <c r="A1621" s="3">
        <f>IFERROR(__xludf.DUMMYFUNCTION("""COMPUTED_VALUE"""),329.0)</f>
        <v>329</v>
      </c>
      <c r="B1621" s="2" t="str">
        <f>IFERROR(__xludf.DUMMYFUNCTION("""COMPUTED_VALUE"""),"FARIDPUR")</f>
        <v>FARIDPUR</v>
      </c>
      <c r="C1621" s="4">
        <f>IFERROR(__xludf.DUMMYFUNCTION("""COMPUTED_VALUE"""),35.0)</f>
        <v>35</v>
      </c>
      <c r="D1621" s="2" t="str">
        <f>IFERROR(__xludf.DUMMYFUNCTION("""COMPUTED_VALUE"""),"BANGLADESH KRISHI BANK")</f>
        <v>BANGLADESH KRISHI BANK</v>
      </c>
      <c r="E1621" s="2" t="str">
        <f>IFERROR(__xludf.DUMMYFUNCTION("""COMPUTED_VALUE"""),"CHAR BHADRASAN")</f>
        <v>CHAR BHADRASAN</v>
      </c>
      <c r="F1621" s="4">
        <f>IFERROR(__xludf.DUMMYFUNCTION("""COMPUTED_VALUE"""),43.0)</f>
        <v>43</v>
      </c>
      <c r="G1621" s="5">
        <f>IFERROR(__xludf.DUMMYFUNCTION("""COMPUTED_VALUE"""),3.529043E7)</f>
        <v>35290430</v>
      </c>
    </row>
    <row r="1622">
      <c r="A1622" s="3">
        <f>IFERROR(__xludf.DUMMYFUNCTION("""COMPUTED_VALUE"""),329.0)</f>
        <v>329</v>
      </c>
      <c r="B1622" s="2" t="str">
        <f>IFERROR(__xludf.DUMMYFUNCTION("""COMPUTED_VALUE"""),"FARIDPUR")</f>
        <v>FARIDPUR</v>
      </c>
      <c r="C1622" s="4">
        <f>IFERROR(__xludf.DUMMYFUNCTION("""COMPUTED_VALUE"""),35.0)</f>
        <v>35</v>
      </c>
      <c r="D1622" s="2" t="str">
        <f>IFERROR(__xludf.DUMMYFUNCTION("""COMPUTED_VALUE"""),"BANGLADESH KRISHI BANK")</f>
        <v>BANGLADESH KRISHI BANK</v>
      </c>
      <c r="E1622" s="2" t="str">
        <f>IFERROR(__xludf.DUMMYFUNCTION("""COMPUTED_VALUE"""),"FARIDPUR")</f>
        <v>FARIDPUR</v>
      </c>
      <c r="F1622" s="4">
        <f>IFERROR(__xludf.DUMMYFUNCTION("""COMPUTED_VALUE"""),52.0)</f>
        <v>52</v>
      </c>
      <c r="G1622" s="5">
        <f>IFERROR(__xludf.DUMMYFUNCTION("""COMPUTED_VALUE"""),3.5290522E7)</f>
        <v>35290522</v>
      </c>
    </row>
    <row r="1623">
      <c r="A1623" s="3">
        <f>IFERROR(__xludf.DUMMYFUNCTION("""COMPUTED_VALUE"""),329.0)</f>
        <v>329</v>
      </c>
      <c r="B1623" s="2" t="str">
        <f>IFERROR(__xludf.DUMMYFUNCTION("""COMPUTED_VALUE"""),"FARIDPUR")</f>
        <v>FARIDPUR</v>
      </c>
      <c r="C1623" s="4">
        <f>IFERROR(__xludf.DUMMYFUNCTION("""COMPUTED_VALUE"""),35.0)</f>
        <v>35</v>
      </c>
      <c r="D1623" s="2" t="str">
        <f>IFERROR(__xludf.DUMMYFUNCTION("""COMPUTED_VALUE"""),"BANGLADESH KRISHI BANK")</f>
        <v>BANGLADESH KRISHI BANK</v>
      </c>
      <c r="E1623" s="2" t="str">
        <f>IFERROR(__xludf.DUMMYFUNCTION("""COMPUTED_VALUE"""),"GOPALPUR BAZAR")</f>
        <v>GOPALPUR BAZAR</v>
      </c>
      <c r="F1623" s="4">
        <f>IFERROR(__xludf.DUMMYFUNCTION("""COMPUTED_VALUE"""),64.0)</f>
        <v>64</v>
      </c>
      <c r="G1623" s="5">
        <f>IFERROR(__xludf.DUMMYFUNCTION("""COMPUTED_VALUE"""),3.5290643E7)</f>
        <v>35290643</v>
      </c>
    </row>
    <row r="1624">
      <c r="A1624" s="3">
        <f>IFERROR(__xludf.DUMMYFUNCTION("""COMPUTED_VALUE"""),329.0)</f>
        <v>329</v>
      </c>
      <c r="B1624" s="2" t="str">
        <f>IFERROR(__xludf.DUMMYFUNCTION("""COMPUTED_VALUE"""),"FARIDPUR")</f>
        <v>FARIDPUR</v>
      </c>
      <c r="C1624" s="4">
        <f>IFERROR(__xludf.DUMMYFUNCTION("""COMPUTED_VALUE"""),35.0)</f>
        <v>35</v>
      </c>
      <c r="D1624" s="2" t="str">
        <f>IFERROR(__xludf.DUMMYFUNCTION("""COMPUTED_VALUE"""),"BANGLADESH KRISHI BANK")</f>
        <v>BANGLADESH KRISHI BANK</v>
      </c>
      <c r="E1624" s="2" t="str">
        <f>IFERROR(__xludf.DUMMYFUNCTION("""COMPUTED_VALUE"""),"HATKRISHNAPUR")</f>
        <v>HATKRISHNAPUR</v>
      </c>
      <c r="F1624" s="4">
        <f>IFERROR(__xludf.DUMMYFUNCTION("""COMPUTED_VALUE"""),73.0)</f>
        <v>73</v>
      </c>
      <c r="G1624" s="5">
        <f>IFERROR(__xludf.DUMMYFUNCTION("""COMPUTED_VALUE"""),3.5290735E7)</f>
        <v>35290735</v>
      </c>
    </row>
    <row r="1625">
      <c r="A1625" s="3">
        <f>IFERROR(__xludf.DUMMYFUNCTION("""COMPUTED_VALUE"""),329.0)</f>
        <v>329</v>
      </c>
      <c r="B1625" s="2" t="str">
        <f>IFERROR(__xludf.DUMMYFUNCTION("""COMPUTED_VALUE"""),"FARIDPUR")</f>
        <v>FARIDPUR</v>
      </c>
      <c r="C1625" s="4">
        <f>IFERROR(__xludf.DUMMYFUNCTION("""COMPUTED_VALUE"""),35.0)</f>
        <v>35</v>
      </c>
      <c r="D1625" s="2" t="str">
        <f>IFERROR(__xludf.DUMMYFUNCTION("""COMPUTED_VALUE"""),"BANGLADESH KRISHI BANK")</f>
        <v>BANGLADESH KRISHI BANK</v>
      </c>
      <c r="E1625" s="2" t="str">
        <f>IFERROR(__xludf.DUMMYFUNCTION("""COMPUTED_VALUE"""),"HAZIGANJ BAZAR")</f>
        <v>HAZIGANJ BAZAR</v>
      </c>
      <c r="F1625" s="4">
        <f>IFERROR(__xludf.DUMMYFUNCTION("""COMPUTED_VALUE"""),76.0)</f>
        <v>76</v>
      </c>
      <c r="G1625" s="5">
        <f>IFERROR(__xludf.DUMMYFUNCTION("""COMPUTED_VALUE"""),3.5290764E7)</f>
        <v>35290764</v>
      </c>
    </row>
    <row r="1626">
      <c r="A1626" s="3">
        <f>IFERROR(__xludf.DUMMYFUNCTION("""COMPUTED_VALUE"""),329.0)</f>
        <v>329</v>
      </c>
      <c r="B1626" s="2" t="str">
        <f>IFERROR(__xludf.DUMMYFUNCTION("""COMPUTED_VALUE"""),"FARIDPUR")</f>
        <v>FARIDPUR</v>
      </c>
      <c r="C1626" s="4">
        <f>IFERROR(__xludf.DUMMYFUNCTION("""COMPUTED_VALUE"""),35.0)</f>
        <v>35</v>
      </c>
      <c r="D1626" s="2" t="str">
        <f>IFERROR(__xludf.DUMMYFUNCTION("""COMPUTED_VALUE"""),"BANGLADESH KRISHI BANK")</f>
        <v>BANGLADESH KRISHI BANK</v>
      </c>
      <c r="E1626" s="2" t="str">
        <f>IFERROR(__xludf.DUMMYFUNCTION("""COMPUTED_VALUE"""),"ISHAN GOPALPUR")</f>
        <v>ISHAN GOPALPUR</v>
      </c>
      <c r="F1626" s="4">
        <f>IFERROR(__xludf.DUMMYFUNCTION("""COMPUTED_VALUE"""),79.0)</f>
        <v>79</v>
      </c>
      <c r="G1626" s="5">
        <f>IFERROR(__xludf.DUMMYFUNCTION("""COMPUTED_VALUE"""),3.5290793E7)</f>
        <v>35290793</v>
      </c>
    </row>
    <row r="1627">
      <c r="A1627" s="3">
        <f>IFERROR(__xludf.DUMMYFUNCTION("""COMPUTED_VALUE"""),329.0)</f>
        <v>329</v>
      </c>
      <c r="B1627" s="2" t="str">
        <f>IFERROR(__xludf.DUMMYFUNCTION("""COMPUTED_VALUE"""),"FARIDPUR")</f>
        <v>FARIDPUR</v>
      </c>
      <c r="C1627" s="4">
        <f>IFERROR(__xludf.DUMMYFUNCTION("""COMPUTED_VALUE"""),35.0)</f>
        <v>35</v>
      </c>
      <c r="D1627" s="2" t="str">
        <f>IFERROR(__xludf.DUMMYFUNCTION("""COMPUTED_VALUE"""),"BANGLADESH KRISHI BANK")</f>
        <v>BANGLADESH KRISHI BANK</v>
      </c>
      <c r="E1627" s="2" t="str">
        <f>IFERROR(__xludf.DUMMYFUNCTION("""COMPUTED_VALUE"""),"KADIRDI BAZAR")</f>
        <v>KADIRDI BAZAR</v>
      </c>
      <c r="F1627" s="4">
        <f>IFERROR(__xludf.DUMMYFUNCTION("""COMPUTED_VALUE"""),82.0)</f>
        <v>82</v>
      </c>
      <c r="G1627" s="5">
        <f>IFERROR(__xludf.DUMMYFUNCTION("""COMPUTED_VALUE"""),3.5290827E7)</f>
        <v>35290827</v>
      </c>
    </row>
    <row r="1628">
      <c r="A1628" s="3">
        <f>IFERROR(__xludf.DUMMYFUNCTION("""COMPUTED_VALUE"""),329.0)</f>
        <v>329</v>
      </c>
      <c r="B1628" s="2" t="str">
        <f>IFERROR(__xludf.DUMMYFUNCTION("""COMPUTED_VALUE"""),"FARIDPUR")</f>
        <v>FARIDPUR</v>
      </c>
      <c r="C1628" s="4">
        <f>IFERROR(__xludf.DUMMYFUNCTION("""COMPUTED_VALUE"""),35.0)</f>
        <v>35</v>
      </c>
      <c r="D1628" s="2" t="str">
        <f>IFERROR(__xludf.DUMMYFUNCTION("""COMPUTED_VALUE"""),"BANGLADESH KRISHI BANK")</f>
        <v>BANGLADESH KRISHI BANK</v>
      </c>
      <c r="E1628" s="2" t="str">
        <f>IFERROR(__xludf.DUMMYFUNCTION("""COMPUTED_VALUE"""),"KAOLIBERA")</f>
        <v>KAOLIBERA</v>
      </c>
      <c r="F1628" s="4">
        <f>IFERROR(__xludf.DUMMYFUNCTION("""COMPUTED_VALUE"""),94.0)</f>
        <v>94</v>
      </c>
      <c r="G1628" s="5">
        <f>IFERROR(__xludf.DUMMYFUNCTION("""COMPUTED_VALUE"""),3.5290948E7)</f>
        <v>35290948</v>
      </c>
    </row>
    <row r="1629">
      <c r="A1629" s="3">
        <f>IFERROR(__xludf.DUMMYFUNCTION("""COMPUTED_VALUE"""),329.0)</f>
        <v>329</v>
      </c>
      <c r="B1629" s="2" t="str">
        <f>IFERROR(__xludf.DUMMYFUNCTION("""COMPUTED_VALUE"""),"FARIDPUR")</f>
        <v>FARIDPUR</v>
      </c>
      <c r="C1629" s="4">
        <f>IFERROR(__xludf.DUMMYFUNCTION("""COMPUTED_VALUE"""),35.0)</f>
        <v>35</v>
      </c>
      <c r="D1629" s="2" t="str">
        <f>IFERROR(__xludf.DUMMYFUNCTION("""COMPUTED_VALUE"""),"BANGLADESH KRISHI BANK")</f>
        <v>BANGLADESH KRISHI BANK</v>
      </c>
      <c r="E1629" s="2" t="str">
        <f>IFERROR(__xludf.DUMMYFUNCTION("""COMPUTED_VALUE"""),"KHALILPUR BAZAR")</f>
        <v>KHALILPUR BAZAR</v>
      </c>
      <c r="F1629" s="4">
        <f>IFERROR(__xludf.DUMMYFUNCTION("""COMPUTED_VALUE"""),100.0)</f>
        <v>100</v>
      </c>
      <c r="G1629" s="5">
        <f>IFERROR(__xludf.DUMMYFUNCTION("""COMPUTED_VALUE"""),3.5291E7)</f>
        <v>35291000</v>
      </c>
    </row>
    <row r="1630">
      <c r="A1630" s="3">
        <f>IFERROR(__xludf.DUMMYFUNCTION("""COMPUTED_VALUE"""),329.0)</f>
        <v>329</v>
      </c>
      <c r="B1630" s="2" t="str">
        <f>IFERROR(__xludf.DUMMYFUNCTION("""COMPUTED_VALUE"""),"FARIDPUR")</f>
        <v>FARIDPUR</v>
      </c>
      <c r="C1630" s="4">
        <f>IFERROR(__xludf.DUMMYFUNCTION("""COMPUTED_VALUE"""),35.0)</f>
        <v>35</v>
      </c>
      <c r="D1630" s="2" t="str">
        <f>IFERROR(__xludf.DUMMYFUNCTION("""COMPUTED_VALUE"""),"BANGLADESH KRISHI BANK")</f>
        <v>BANGLADESH KRISHI BANK</v>
      </c>
      <c r="E1630" s="2" t="str">
        <f>IFERROR(__xludf.DUMMYFUNCTION("""COMPUTED_VALUE"""),"LASKARDIA BAZAR")</f>
        <v>LASKARDIA BAZAR</v>
      </c>
      <c r="F1630" s="4">
        <f>IFERROR(__xludf.DUMMYFUNCTION("""COMPUTED_VALUE"""),103.0)</f>
        <v>103</v>
      </c>
      <c r="G1630" s="5">
        <f>IFERROR(__xludf.DUMMYFUNCTION("""COMPUTED_VALUE"""),3.5291039E7)</f>
        <v>35291039</v>
      </c>
    </row>
    <row r="1631">
      <c r="A1631" s="3">
        <f>IFERROR(__xludf.DUMMYFUNCTION("""COMPUTED_VALUE"""),329.0)</f>
        <v>329</v>
      </c>
      <c r="B1631" s="2" t="str">
        <f>IFERROR(__xludf.DUMMYFUNCTION("""COMPUTED_VALUE"""),"FARIDPUR")</f>
        <v>FARIDPUR</v>
      </c>
      <c r="C1631" s="4">
        <f>IFERROR(__xludf.DUMMYFUNCTION("""COMPUTED_VALUE"""),35.0)</f>
        <v>35</v>
      </c>
      <c r="D1631" s="2" t="str">
        <f>IFERROR(__xludf.DUMMYFUNCTION("""COMPUTED_VALUE"""),"BANGLADESH KRISHI BANK")</f>
        <v>BANGLADESH KRISHI BANK</v>
      </c>
      <c r="E1631" s="2" t="str">
        <f>IFERROR(__xludf.DUMMYFUNCTION("""COMPUTED_VALUE"""),"MADHUKHALI")</f>
        <v>MADHUKHALI</v>
      </c>
      <c r="F1631" s="4">
        <f>IFERROR(__xludf.DUMMYFUNCTION("""COMPUTED_VALUE"""),109.0)</f>
        <v>109</v>
      </c>
      <c r="G1631" s="5">
        <f>IFERROR(__xludf.DUMMYFUNCTION("""COMPUTED_VALUE"""),3.5291097E7)</f>
        <v>35291097</v>
      </c>
    </row>
    <row r="1632">
      <c r="A1632" s="3">
        <f>IFERROR(__xludf.DUMMYFUNCTION("""COMPUTED_VALUE"""),329.0)</f>
        <v>329</v>
      </c>
      <c r="B1632" s="2" t="str">
        <f>IFERROR(__xludf.DUMMYFUNCTION("""COMPUTED_VALUE"""),"FARIDPUR")</f>
        <v>FARIDPUR</v>
      </c>
      <c r="C1632" s="4">
        <f>IFERROR(__xludf.DUMMYFUNCTION("""COMPUTED_VALUE"""),35.0)</f>
        <v>35</v>
      </c>
      <c r="D1632" s="2" t="str">
        <f>IFERROR(__xludf.DUMMYFUNCTION("""COMPUTED_VALUE"""),"BANGLADESH KRISHI BANK")</f>
        <v>BANGLADESH KRISHI BANK</v>
      </c>
      <c r="E1632" s="2" t="str">
        <f>IFERROR(__xludf.DUMMYFUNCTION("""COMPUTED_VALUE"""),"NAGARKANDA")</f>
        <v>NAGARKANDA</v>
      </c>
      <c r="F1632" s="4">
        <f>IFERROR(__xludf.DUMMYFUNCTION("""COMPUTED_VALUE"""),118.0)</f>
        <v>118</v>
      </c>
      <c r="G1632" s="5">
        <f>IFERROR(__xludf.DUMMYFUNCTION("""COMPUTED_VALUE"""),3.5291189E7)</f>
        <v>35291189</v>
      </c>
    </row>
    <row r="1633">
      <c r="A1633" s="3">
        <f>IFERROR(__xludf.DUMMYFUNCTION("""COMPUTED_VALUE"""),329.0)</f>
        <v>329</v>
      </c>
      <c r="B1633" s="2" t="str">
        <f>IFERROR(__xludf.DUMMYFUNCTION("""COMPUTED_VALUE"""),"FARIDPUR")</f>
        <v>FARIDPUR</v>
      </c>
      <c r="C1633" s="4">
        <f>IFERROR(__xludf.DUMMYFUNCTION("""COMPUTED_VALUE"""),35.0)</f>
        <v>35</v>
      </c>
      <c r="D1633" s="2" t="str">
        <f>IFERROR(__xludf.DUMMYFUNCTION("""COMPUTED_VALUE"""),"BANGLADESH KRISHI BANK")</f>
        <v>BANGLADESH KRISHI BANK</v>
      </c>
      <c r="E1633" s="2" t="str">
        <f>IFERROR(__xludf.DUMMYFUNCTION("""COMPUTED_VALUE"""),"PUKHURIA")</f>
        <v>PUKHURIA</v>
      </c>
      <c r="F1633" s="4">
        <f>IFERROR(__xludf.DUMMYFUNCTION("""COMPUTED_VALUE"""),121.0)</f>
        <v>121</v>
      </c>
      <c r="G1633" s="5">
        <f>IFERROR(__xludf.DUMMYFUNCTION("""COMPUTED_VALUE"""),3.5291213E7)</f>
        <v>35291213</v>
      </c>
    </row>
    <row r="1634">
      <c r="A1634" s="3">
        <f>IFERROR(__xludf.DUMMYFUNCTION("""COMPUTED_VALUE"""),329.0)</f>
        <v>329</v>
      </c>
      <c r="B1634" s="2" t="str">
        <f>IFERROR(__xludf.DUMMYFUNCTION("""COMPUTED_VALUE"""),"FARIDPUR")</f>
        <v>FARIDPUR</v>
      </c>
      <c r="C1634" s="4">
        <f>IFERROR(__xludf.DUMMYFUNCTION("""COMPUTED_VALUE"""),35.0)</f>
        <v>35</v>
      </c>
      <c r="D1634" s="2" t="str">
        <f>IFERROR(__xludf.DUMMYFUNCTION("""COMPUTED_VALUE"""),"BANGLADESH KRISHI BANK")</f>
        <v>BANGLADESH KRISHI BANK</v>
      </c>
      <c r="E1634" s="2" t="str">
        <f>IFERROR(__xludf.DUMMYFUNCTION("""COMPUTED_VALUE"""),"SADARPUR")</f>
        <v>SADARPUR</v>
      </c>
      <c r="F1634" s="4">
        <f>IFERROR(__xludf.DUMMYFUNCTION("""COMPUTED_VALUE"""),127.0)</f>
        <v>127</v>
      </c>
      <c r="G1634" s="5">
        <f>IFERROR(__xludf.DUMMYFUNCTION("""COMPUTED_VALUE"""),3.5291271E7)</f>
        <v>35291271</v>
      </c>
    </row>
    <row r="1635">
      <c r="A1635" s="3">
        <f>IFERROR(__xludf.DUMMYFUNCTION("""COMPUTED_VALUE"""),329.0)</f>
        <v>329</v>
      </c>
      <c r="B1635" s="2" t="str">
        <f>IFERROR(__xludf.DUMMYFUNCTION("""COMPUTED_VALUE"""),"FARIDPUR")</f>
        <v>FARIDPUR</v>
      </c>
      <c r="C1635" s="4">
        <f>IFERROR(__xludf.DUMMYFUNCTION("""COMPUTED_VALUE"""),35.0)</f>
        <v>35</v>
      </c>
      <c r="D1635" s="2" t="str">
        <f>IFERROR(__xludf.DUMMYFUNCTION("""COMPUTED_VALUE"""),"BANGLADESH KRISHI BANK")</f>
        <v>BANGLADESH KRISHI BANK</v>
      </c>
      <c r="E1635" s="2" t="str">
        <f>IFERROR(__xludf.DUMMYFUNCTION("""COMPUTED_VALUE"""),"SALTA BAZAR")</f>
        <v>SALTA BAZAR</v>
      </c>
      <c r="F1635" s="4">
        <f>IFERROR(__xludf.DUMMYFUNCTION("""COMPUTED_VALUE"""),130.0)</f>
        <v>130</v>
      </c>
      <c r="G1635" s="5">
        <f>IFERROR(__xludf.DUMMYFUNCTION("""COMPUTED_VALUE"""),3.5291305E7)</f>
        <v>35291305</v>
      </c>
    </row>
    <row r="1636">
      <c r="A1636" s="3">
        <f>IFERROR(__xludf.DUMMYFUNCTION("""COMPUTED_VALUE"""),329.0)</f>
        <v>329</v>
      </c>
      <c r="B1636" s="2" t="str">
        <f>IFERROR(__xludf.DUMMYFUNCTION("""COMPUTED_VALUE"""),"FARIDPUR")</f>
        <v>FARIDPUR</v>
      </c>
      <c r="C1636" s="4">
        <f>IFERROR(__xludf.DUMMYFUNCTION("""COMPUTED_VALUE"""),35.0)</f>
        <v>35</v>
      </c>
      <c r="D1636" s="2" t="str">
        <f>IFERROR(__xludf.DUMMYFUNCTION("""COMPUTED_VALUE"""),"BANGLADESH KRISHI BANK")</f>
        <v>BANGLADESH KRISHI BANK</v>
      </c>
      <c r="E1636" s="2" t="str">
        <f>IFERROR(__xludf.DUMMYFUNCTION("""COMPUTED_VALUE"""),"TALMA")</f>
        <v>TALMA</v>
      </c>
      <c r="F1636" s="4">
        <f>IFERROR(__xludf.DUMMYFUNCTION("""COMPUTED_VALUE"""),142.0)</f>
        <v>142</v>
      </c>
      <c r="G1636" s="5">
        <f>IFERROR(__xludf.DUMMYFUNCTION("""COMPUTED_VALUE"""),3.5291426E7)</f>
        <v>35291426</v>
      </c>
    </row>
    <row r="1637">
      <c r="A1637" s="3">
        <f>IFERROR(__xludf.DUMMYFUNCTION("""COMPUTED_VALUE"""),329.0)</f>
        <v>329</v>
      </c>
      <c r="B1637" s="2" t="str">
        <f>IFERROR(__xludf.DUMMYFUNCTION("""COMPUTED_VALUE"""),"FARIDPUR")</f>
        <v>FARIDPUR</v>
      </c>
      <c r="C1637" s="4">
        <f>IFERROR(__xludf.DUMMYFUNCTION("""COMPUTED_VALUE"""),35.0)</f>
        <v>35</v>
      </c>
      <c r="D1637" s="2" t="str">
        <f>IFERROR(__xludf.DUMMYFUNCTION("""COMPUTED_VALUE"""),"BANGLADESH KRISHI BANK")</f>
        <v>BANGLADESH KRISHI BANK</v>
      </c>
      <c r="E1637" s="2" t="str">
        <f>IFERROR(__xludf.DUMMYFUNCTION("""COMPUTED_VALUE"""),"TAMBULKHANA BAZAR")</f>
        <v>TAMBULKHANA BAZAR</v>
      </c>
      <c r="F1637" s="4">
        <f>IFERROR(__xludf.DUMMYFUNCTION("""COMPUTED_VALUE"""),143.0)</f>
        <v>143</v>
      </c>
      <c r="G1637" s="5">
        <f>IFERROR(__xludf.DUMMYFUNCTION("""COMPUTED_VALUE"""),3.5291439E7)</f>
        <v>35291439</v>
      </c>
    </row>
    <row r="1638">
      <c r="A1638" s="3">
        <f>IFERROR(__xludf.DUMMYFUNCTION("""COMPUTED_VALUE"""),230.0)</f>
        <v>230</v>
      </c>
      <c r="B1638" s="2" t="str">
        <f>IFERROR(__xludf.DUMMYFUNCTION("""COMPUTED_VALUE"""),"FENI")</f>
        <v>FENI</v>
      </c>
      <c r="C1638" s="4">
        <f>IFERROR(__xludf.DUMMYFUNCTION("""COMPUTED_VALUE"""),35.0)</f>
        <v>35</v>
      </c>
      <c r="D1638" s="2" t="str">
        <f>IFERROR(__xludf.DUMMYFUNCTION("""COMPUTED_VALUE"""),"BANGLADESH KRISHI BANK")</f>
        <v>BANGLADESH KRISHI BANK</v>
      </c>
      <c r="E1638" s="2" t="str">
        <f>IFERROR(__xludf.DUMMYFUNCTION("""COMPUTED_VALUE"""),"AFTAB BIBIR HAT")</f>
        <v>AFTAB BIBIR HAT</v>
      </c>
      <c r="F1638" s="4">
        <f>IFERROR(__xludf.DUMMYFUNCTION("""COMPUTED_VALUE"""),4.0)</f>
        <v>4</v>
      </c>
      <c r="G1638" s="5">
        <f>IFERROR(__xludf.DUMMYFUNCTION("""COMPUTED_VALUE"""),3.5300041E7)</f>
        <v>35300041</v>
      </c>
    </row>
    <row r="1639">
      <c r="A1639" s="3">
        <f>IFERROR(__xludf.DUMMYFUNCTION("""COMPUTED_VALUE"""),230.0)</f>
        <v>230</v>
      </c>
      <c r="B1639" s="2" t="str">
        <f>IFERROR(__xludf.DUMMYFUNCTION("""COMPUTED_VALUE"""),"FENI")</f>
        <v>FENI</v>
      </c>
      <c r="C1639" s="4">
        <f>IFERROR(__xludf.DUMMYFUNCTION("""COMPUTED_VALUE"""),35.0)</f>
        <v>35</v>
      </c>
      <c r="D1639" s="2" t="str">
        <f>IFERROR(__xludf.DUMMYFUNCTION("""COMPUTED_VALUE"""),"BANGLADESH KRISHI BANK")</f>
        <v>BANGLADESH KRISHI BANK</v>
      </c>
      <c r="E1639" s="2" t="str">
        <f>IFERROR(__xludf.DUMMYFUNCTION("""COMPUTED_VALUE"""),"AMZADHAT")</f>
        <v>AMZADHAT</v>
      </c>
      <c r="F1639" s="4">
        <f>IFERROR(__xludf.DUMMYFUNCTION("""COMPUTED_VALUE"""),10.0)</f>
        <v>10</v>
      </c>
      <c r="G1639" s="5">
        <f>IFERROR(__xludf.DUMMYFUNCTION("""COMPUTED_VALUE"""),3.5300104E7)</f>
        <v>35300104</v>
      </c>
    </row>
    <row r="1640">
      <c r="A1640" s="3">
        <f>IFERROR(__xludf.DUMMYFUNCTION("""COMPUTED_VALUE"""),230.0)</f>
        <v>230</v>
      </c>
      <c r="B1640" s="2" t="str">
        <f>IFERROR(__xludf.DUMMYFUNCTION("""COMPUTED_VALUE"""),"FENI")</f>
        <v>FENI</v>
      </c>
      <c r="C1640" s="4">
        <f>IFERROR(__xludf.DUMMYFUNCTION("""COMPUTED_VALUE"""),35.0)</f>
        <v>35</v>
      </c>
      <c r="D1640" s="2" t="str">
        <f>IFERROR(__xludf.DUMMYFUNCTION("""COMPUTED_VALUE"""),"BANGLADESH KRISHI BANK")</f>
        <v>BANGLADESH KRISHI BANK</v>
      </c>
      <c r="E1640" s="2" t="str">
        <f>IFERROR(__xludf.DUMMYFUNCTION("""COMPUTED_VALUE"""),"BOX MAHMUD BAZAR")</f>
        <v>BOX MAHMUD BAZAR</v>
      </c>
      <c r="F1640" s="4">
        <f>IFERROR(__xludf.DUMMYFUNCTION("""COMPUTED_VALUE"""),28.0)</f>
        <v>28</v>
      </c>
      <c r="G1640" s="5">
        <f>IFERROR(__xludf.DUMMYFUNCTION("""COMPUTED_VALUE"""),3.5300283E7)</f>
        <v>35300283</v>
      </c>
    </row>
    <row r="1641">
      <c r="A1641" s="3">
        <f>IFERROR(__xludf.DUMMYFUNCTION("""COMPUTED_VALUE"""),230.0)</f>
        <v>230</v>
      </c>
      <c r="B1641" s="2" t="str">
        <f>IFERROR(__xludf.DUMMYFUNCTION("""COMPUTED_VALUE"""),"FENI")</f>
        <v>FENI</v>
      </c>
      <c r="C1641" s="4">
        <f>IFERROR(__xludf.DUMMYFUNCTION("""COMPUTED_VALUE"""),35.0)</f>
        <v>35</v>
      </c>
      <c r="D1641" s="2" t="str">
        <f>IFERROR(__xludf.DUMMYFUNCTION("""COMPUTED_VALUE"""),"BANGLADESH KRISHI BANK")</f>
        <v>BANGLADESH KRISHI BANK</v>
      </c>
      <c r="E1641" s="2" t="str">
        <f>IFERROR(__xludf.DUMMYFUNCTION("""COMPUTED_VALUE"""),"CHHAGALNAIYA")</f>
        <v>CHHAGALNAIYA</v>
      </c>
      <c r="F1641" s="4">
        <f>IFERROR(__xludf.DUMMYFUNCTION("""COMPUTED_VALUE"""),31.0)</f>
        <v>31</v>
      </c>
      <c r="G1641" s="5">
        <f>IFERROR(__xludf.DUMMYFUNCTION("""COMPUTED_VALUE"""),3.5300317E7)</f>
        <v>35300317</v>
      </c>
    </row>
    <row r="1642">
      <c r="A1642" s="3">
        <f>IFERROR(__xludf.DUMMYFUNCTION("""COMPUTED_VALUE"""),230.0)</f>
        <v>230</v>
      </c>
      <c r="B1642" s="2" t="str">
        <f>IFERROR(__xludf.DUMMYFUNCTION("""COMPUTED_VALUE"""),"FENI")</f>
        <v>FENI</v>
      </c>
      <c r="C1642" s="4">
        <f>IFERROR(__xludf.DUMMYFUNCTION("""COMPUTED_VALUE"""),35.0)</f>
        <v>35</v>
      </c>
      <c r="D1642" s="2" t="str">
        <f>IFERROR(__xludf.DUMMYFUNCTION("""COMPUTED_VALUE"""),"BANGLADESH KRISHI BANK")</f>
        <v>BANGLADESH KRISHI BANK</v>
      </c>
      <c r="E1642" s="2" t="str">
        <f>IFERROR(__xludf.DUMMYFUNCTION("""COMPUTED_VALUE"""),"DAGANBHUIYAN")</f>
        <v>DAGANBHUIYAN</v>
      </c>
      <c r="F1642" s="4">
        <f>IFERROR(__xludf.DUMMYFUNCTION("""COMPUTED_VALUE"""),37.0)</f>
        <v>37</v>
      </c>
      <c r="G1642" s="5">
        <f>IFERROR(__xludf.DUMMYFUNCTION("""COMPUTED_VALUE"""),3.5300375E7)</f>
        <v>35300375</v>
      </c>
    </row>
    <row r="1643">
      <c r="A1643" s="3">
        <f>IFERROR(__xludf.DUMMYFUNCTION("""COMPUTED_VALUE"""),230.0)</f>
        <v>230</v>
      </c>
      <c r="B1643" s="2" t="str">
        <f>IFERROR(__xludf.DUMMYFUNCTION("""COMPUTED_VALUE"""),"FENI")</f>
        <v>FENI</v>
      </c>
      <c r="C1643" s="4">
        <f>IFERROR(__xludf.DUMMYFUNCTION("""COMPUTED_VALUE"""),35.0)</f>
        <v>35</v>
      </c>
      <c r="D1643" s="2" t="str">
        <f>IFERROR(__xludf.DUMMYFUNCTION("""COMPUTED_VALUE"""),"BANGLADESH KRISHI BANK")</f>
        <v>BANGLADESH KRISHI BANK</v>
      </c>
      <c r="E1643" s="2" t="str">
        <f>IFERROR(__xludf.DUMMYFUNCTION("""COMPUTED_VALUE"""),"DUDMUKHA BAZAR")</f>
        <v>DUDMUKHA BAZAR</v>
      </c>
      <c r="F1643" s="4">
        <f>IFERROR(__xludf.DUMMYFUNCTION("""COMPUTED_VALUE"""),46.0)</f>
        <v>46</v>
      </c>
      <c r="G1643" s="5">
        <f>IFERROR(__xludf.DUMMYFUNCTION("""COMPUTED_VALUE"""),3.5300467E7)</f>
        <v>35300467</v>
      </c>
    </row>
    <row r="1644">
      <c r="A1644" s="3">
        <f>IFERROR(__xludf.DUMMYFUNCTION("""COMPUTED_VALUE"""),230.0)</f>
        <v>230</v>
      </c>
      <c r="B1644" s="2" t="str">
        <f>IFERROR(__xludf.DUMMYFUNCTION("""COMPUTED_VALUE"""),"FENI")</f>
        <v>FENI</v>
      </c>
      <c r="C1644" s="4">
        <f>IFERROR(__xludf.DUMMYFUNCTION("""COMPUTED_VALUE"""),35.0)</f>
        <v>35</v>
      </c>
      <c r="D1644" s="2" t="str">
        <f>IFERROR(__xludf.DUMMYFUNCTION("""COMPUTED_VALUE"""),"BANGLADESH KRISHI BANK")</f>
        <v>BANGLADESH KRISHI BANK</v>
      </c>
      <c r="E1644" s="2" t="str">
        <f>IFERROR(__xludf.DUMMYFUNCTION("""COMPUTED_VALUE"""),"FAZILPUR BAZAR")</f>
        <v>FAZILPUR BAZAR</v>
      </c>
      <c r="F1644" s="4">
        <f>IFERROR(__xludf.DUMMYFUNCTION("""COMPUTED_VALUE"""),49.0)</f>
        <v>49</v>
      </c>
      <c r="G1644" s="5">
        <f>IFERROR(__xludf.DUMMYFUNCTION("""COMPUTED_VALUE"""),3.5300496E7)</f>
        <v>35300496</v>
      </c>
    </row>
    <row r="1645">
      <c r="A1645" s="3">
        <f>IFERROR(__xludf.DUMMYFUNCTION("""COMPUTED_VALUE"""),230.0)</f>
        <v>230</v>
      </c>
      <c r="B1645" s="2" t="str">
        <f>IFERROR(__xludf.DUMMYFUNCTION("""COMPUTED_VALUE"""),"FENI")</f>
        <v>FENI</v>
      </c>
      <c r="C1645" s="4">
        <f>IFERROR(__xludf.DUMMYFUNCTION("""COMPUTED_VALUE"""),35.0)</f>
        <v>35</v>
      </c>
      <c r="D1645" s="2" t="str">
        <f>IFERROR(__xludf.DUMMYFUNCTION("""COMPUTED_VALUE"""),"BANGLADESH KRISHI BANK")</f>
        <v>BANGLADESH KRISHI BANK</v>
      </c>
      <c r="E1645" s="2" t="str">
        <f>IFERROR(__xludf.DUMMYFUNCTION("""COMPUTED_VALUE"""),"FENI")</f>
        <v>FENI</v>
      </c>
      <c r="F1645" s="4">
        <f>IFERROR(__xludf.DUMMYFUNCTION("""COMPUTED_VALUE"""),52.0)</f>
        <v>52</v>
      </c>
      <c r="G1645" s="5">
        <f>IFERROR(__xludf.DUMMYFUNCTION("""COMPUTED_VALUE"""),3.530052E7)</f>
        <v>35300520</v>
      </c>
    </row>
    <row r="1646">
      <c r="A1646" s="3">
        <f>IFERROR(__xludf.DUMMYFUNCTION("""COMPUTED_VALUE"""),230.0)</f>
        <v>230</v>
      </c>
      <c r="B1646" s="2" t="str">
        <f>IFERROR(__xludf.DUMMYFUNCTION("""COMPUTED_VALUE"""),"FENI")</f>
        <v>FENI</v>
      </c>
      <c r="C1646" s="4">
        <f>IFERROR(__xludf.DUMMYFUNCTION("""COMPUTED_VALUE"""),35.0)</f>
        <v>35</v>
      </c>
      <c r="D1646" s="2" t="str">
        <f>IFERROR(__xludf.DUMMYFUNCTION("""COMPUTED_VALUE"""),"BANGLADESH KRISHI BANK")</f>
        <v>BANGLADESH KRISHI BANK</v>
      </c>
      <c r="E1646" s="2" t="str">
        <f>IFERROR(__xludf.DUMMYFUNCTION("""COMPUTED_VALUE"""),"FULGAZI")</f>
        <v>FULGAZI</v>
      </c>
      <c r="F1646" s="4">
        <f>IFERROR(__xludf.DUMMYFUNCTION("""COMPUTED_VALUE"""),61.0)</f>
        <v>61</v>
      </c>
      <c r="G1646" s="5">
        <f>IFERROR(__xludf.DUMMYFUNCTION("""COMPUTED_VALUE"""),3.5300612E7)</f>
        <v>35300612</v>
      </c>
    </row>
    <row r="1647">
      <c r="A1647" s="3">
        <f>IFERROR(__xludf.DUMMYFUNCTION("""COMPUTED_VALUE"""),230.0)</f>
        <v>230</v>
      </c>
      <c r="B1647" s="2" t="str">
        <f>IFERROR(__xludf.DUMMYFUNCTION("""COMPUTED_VALUE"""),"FENI")</f>
        <v>FENI</v>
      </c>
      <c r="C1647" s="4">
        <f>IFERROR(__xludf.DUMMYFUNCTION("""COMPUTED_VALUE"""),35.0)</f>
        <v>35</v>
      </c>
      <c r="D1647" s="2" t="str">
        <f>IFERROR(__xludf.DUMMYFUNCTION("""COMPUTED_VALUE"""),"BANGLADESH KRISHI BANK")</f>
        <v>BANGLADESH KRISHI BANK</v>
      </c>
      <c r="E1647" s="2" t="str">
        <f>IFERROR(__xludf.DUMMYFUNCTION("""COMPUTED_VALUE"""),"G.M.HAT")</f>
        <v>G.M.HAT</v>
      </c>
      <c r="F1647" s="4">
        <f>IFERROR(__xludf.DUMMYFUNCTION("""COMPUTED_VALUE"""),64.0)</f>
        <v>64</v>
      </c>
      <c r="G1647" s="5">
        <f>IFERROR(__xludf.DUMMYFUNCTION("""COMPUTED_VALUE"""),3.5300641E7)</f>
        <v>35300641</v>
      </c>
    </row>
    <row r="1648">
      <c r="A1648" s="3">
        <f>IFERROR(__xludf.DUMMYFUNCTION("""COMPUTED_VALUE"""),230.0)</f>
        <v>230</v>
      </c>
      <c r="B1648" s="2" t="str">
        <f>IFERROR(__xludf.DUMMYFUNCTION("""COMPUTED_VALUE"""),"FENI")</f>
        <v>FENI</v>
      </c>
      <c r="C1648" s="4">
        <f>IFERROR(__xludf.DUMMYFUNCTION("""COMPUTED_VALUE"""),35.0)</f>
        <v>35</v>
      </c>
      <c r="D1648" s="2" t="str">
        <f>IFERROR(__xludf.DUMMYFUNCTION("""COMPUTED_VALUE"""),"BANGLADESH KRISHI BANK")</f>
        <v>BANGLADESH KRISHI BANK</v>
      </c>
      <c r="E1648" s="2" t="str">
        <f>IFERROR(__xludf.DUMMYFUNCTION("""COMPUTED_VALUE"""),"JAYLASKER")</f>
        <v>JAYLASKER</v>
      </c>
      <c r="F1648" s="4">
        <f>IFERROR(__xludf.DUMMYFUNCTION("""COMPUTED_VALUE"""),76.0)</f>
        <v>76</v>
      </c>
      <c r="G1648" s="5">
        <f>IFERROR(__xludf.DUMMYFUNCTION("""COMPUTED_VALUE"""),3.5300762E7)</f>
        <v>35300762</v>
      </c>
    </row>
    <row r="1649">
      <c r="A1649" s="3">
        <f>IFERROR(__xludf.DUMMYFUNCTION("""COMPUTED_VALUE"""),230.0)</f>
        <v>230</v>
      </c>
      <c r="B1649" s="2" t="str">
        <f>IFERROR(__xludf.DUMMYFUNCTION("""COMPUTED_VALUE"""),"FENI")</f>
        <v>FENI</v>
      </c>
      <c r="C1649" s="4">
        <f>IFERROR(__xludf.DUMMYFUNCTION("""COMPUTED_VALUE"""),35.0)</f>
        <v>35</v>
      </c>
      <c r="D1649" s="2" t="str">
        <f>IFERROR(__xludf.DUMMYFUNCTION("""COMPUTED_VALUE"""),"BANGLADESH KRISHI BANK")</f>
        <v>BANGLADESH KRISHI BANK</v>
      </c>
      <c r="E1649" s="2" t="str">
        <f>IFERROR(__xludf.DUMMYFUNCTION("""COMPUTED_VALUE"""),"KUHUMA SANTIR BAZAR")</f>
        <v>KUHUMA SANTIR BAZAR</v>
      </c>
      <c r="F1649" s="4">
        <f>IFERROR(__xludf.DUMMYFUNCTION("""COMPUTED_VALUE"""),91.0)</f>
        <v>91</v>
      </c>
      <c r="G1649" s="5">
        <f>IFERROR(__xludf.DUMMYFUNCTION("""COMPUTED_VALUE"""),3.5300917E7)</f>
        <v>35300917</v>
      </c>
    </row>
    <row r="1650">
      <c r="A1650" s="3">
        <f>IFERROR(__xludf.DUMMYFUNCTION("""COMPUTED_VALUE"""),230.0)</f>
        <v>230</v>
      </c>
      <c r="B1650" s="2" t="str">
        <f>IFERROR(__xludf.DUMMYFUNCTION("""COMPUTED_VALUE"""),"FENI")</f>
        <v>FENI</v>
      </c>
      <c r="C1650" s="4">
        <f>IFERROR(__xludf.DUMMYFUNCTION("""COMPUTED_VALUE"""),35.0)</f>
        <v>35</v>
      </c>
      <c r="D1650" s="2" t="str">
        <f>IFERROR(__xludf.DUMMYFUNCTION("""COMPUTED_VALUE"""),"BANGLADESH KRISHI BANK")</f>
        <v>BANGLADESH KRISHI BANK</v>
      </c>
      <c r="E1650" s="2" t="str">
        <f>IFERROR(__xludf.DUMMYFUNCTION("""COMPUTED_VALUE"""),"KURAISH MUNSHI BAZAR")</f>
        <v>KURAISH MUNSHI BAZAR</v>
      </c>
      <c r="F1650" s="4">
        <f>IFERROR(__xludf.DUMMYFUNCTION("""COMPUTED_VALUE"""),92.0)</f>
        <v>92</v>
      </c>
      <c r="G1650" s="5">
        <f>IFERROR(__xludf.DUMMYFUNCTION("""COMPUTED_VALUE"""),3.530092E7)</f>
        <v>35300920</v>
      </c>
    </row>
    <row r="1651">
      <c r="A1651" s="3">
        <f>IFERROR(__xludf.DUMMYFUNCTION("""COMPUTED_VALUE"""),230.0)</f>
        <v>230</v>
      </c>
      <c r="B1651" s="2" t="str">
        <f>IFERROR(__xludf.DUMMYFUNCTION("""COMPUTED_VALUE"""),"FENI")</f>
        <v>FENI</v>
      </c>
      <c r="C1651" s="4">
        <f>IFERROR(__xludf.DUMMYFUNCTION("""COMPUTED_VALUE"""),35.0)</f>
        <v>35</v>
      </c>
      <c r="D1651" s="2" t="str">
        <f>IFERROR(__xludf.DUMMYFUNCTION("""COMPUTED_VALUE"""),"BANGLADESH KRISHI BANK")</f>
        <v>BANGLADESH KRISHI BANK</v>
      </c>
      <c r="E1651" s="2" t="str">
        <f>IFERROR(__xludf.DUMMYFUNCTION("""COMPUTED_VALUE"""),"KUTHIRHAT")</f>
        <v>KUTHIRHAT</v>
      </c>
      <c r="F1651" s="4">
        <f>IFERROR(__xludf.DUMMYFUNCTION("""COMPUTED_VALUE"""),94.0)</f>
        <v>94</v>
      </c>
      <c r="G1651" s="5">
        <f>IFERROR(__xludf.DUMMYFUNCTION("""COMPUTED_VALUE"""),3.5300946E7)</f>
        <v>35300946</v>
      </c>
    </row>
    <row r="1652">
      <c r="A1652" s="3">
        <f>IFERROR(__xludf.DUMMYFUNCTION("""COMPUTED_VALUE"""),230.0)</f>
        <v>230</v>
      </c>
      <c r="B1652" s="2" t="str">
        <f>IFERROR(__xludf.DUMMYFUNCTION("""COMPUTED_VALUE"""),"FENI")</f>
        <v>FENI</v>
      </c>
      <c r="C1652" s="4">
        <f>IFERROR(__xludf.DUMMYFUNCTION("""COMPUTED_VALUE"""),35.0)</f>
        <v>35</v>
      </c>
      <c r="D1652" s="2" t="str">
        <f>IFERROR(__xludf.DUMMYFUNCTION("""COMPUTED_VALUE"""),"BANGLADESH KRISHI BANK")</f>
        <v>BANGLADESH KRISHI BANK</v>
      </c>
      <c r="E1652" s="2" t="str">
        <f>IFERROR(__xludf.DUMMYFUNCTION("""COMPUTED_VALUE"""),"MUKTO BAZAR")</f>
        <v>MUKTO BAZAR</v>
      </c>
      <c r="F1652" s="4">
        <f>IFERROR(__xludf.DUMMYFUNCTION("""COMPUTED_VALUE"""),114.0)</f>
        <v>114</v>
      </c>
      <c r="G1652" s="5">
        <f>IFERROR(__xludf.DUMMYFUNCTION("""COMPUTED_VALUE"""),3.5301145E7)</f>
        <v>35301145</v>
      </c>
    </row>
    <row r="1653">
      <c r="A1653" s="3">
        <f>IFERROR(__xludf.DUMMYFUNCTION("""COMPUTED_VALUE"""),230.0)</f>
        <v>230</v>
      </c>
      <c r="B1653" s="2" t="str">
        <f>IFERROR(__xludf.DUMMYFUNCTION("""COMPUTED_VALUE"""),"FENI")</f>
        <v>FENI</v>
      </c>
      <c r="C1653" s="4">
        <f>IFERROR(__xludf.DUMMYFUNCTION("""COMPUTED_VALUE"""),35.0)</f>
        <v>35</v>
      </c>
      <c r="D1653" s="2" t="str">
        <f>IFERROR(__xludf.DUMMYFUNCTION("""COMPUTED_VALUE"""),"BANGLADESH KRISHI BANK")</f>
        <v>BANGLADESH KRISHI BANK</v>
      </c>
      <c r="E1653" s="2" t="str">
        <f>IFERROR(__xludf.DUMMYFUNCTION("""COMPUTED_VALUE"""),"PARSHURAM")</f>
        <v>PARSHURAM</v>
      </c>
      <c r="F1653" s="4">
        <f>IFERROR(__xludf.DUMMYFUNCTION("""COMPUTED_VALUE"""),127.0)</f>
        <v>127</v>
      </c>
      <c r="G1653" s="5">
        <f>IFERROR(__xludf.DUMMYFUNCTION("""COMPUTED_VALUE"""),3.5301279E7)</f>
        <v>35301279</v>
      </c>
    </row>
    <row r="1654">
      <c r="A1654" s="3">
        <f>IFERROR(__xludf.DUMMYFUNCTION("""COMPUTED_VALUE"""),230.0)</f>
        <v>230</v>
      </c>
      <c r="B1654" s="2" t="str">
        <f>IFERROR(__xludf.DUMMYFUNCTION("""COMPUTED_VALUE"""),"FENI")</f>
        <v>FENI</v>
      </c>
      <c r="C1654" s="4">
        <f>IFERROR(__xludf.DUMMYFUNCTION("""COMPUTED_VALUE"""),35.0)</f>
        <v>35</v>
      </c>
      <c r="D1654" s="2" t="str">
        <f>IFERROR(__xludf.DUMMYFUNCTION("""COMPUTED_VALUE"""),"BANGLADESH KRISHI BANK")</f>
        <v>BANGLADESH KRISHI BANK</v>
      </c>
      <c r="E1654" s="2" t="str">
        <f>IFERROR(__xludf.DUMMYFUNCTION("""COMPUTED_VALUE"""),"SHUVAPUR")</f>
        <v>SHUVAPUR</v>
      </c>
      <c r="F1654" s="4">
        <f>IFERROR(__xludf.DUMMYFUNCTION("""COMPUTED_VALUE"""),145.0)</f>
        <v>145</v>
      </c>
      <c r="G1654" s="5">
        <f>IFERROR(__xludf.DUMMYFUNCTION("""COMPUTED_VALUE"""),3.5301453E7)</f>
        <v>35301453</v>
      </c>
    </row>
    <row r="1655">
      <c r="A1655" s="3">
        <f>IFERROR(__xludf.DUMMYFUNCTION("""COMPUTED_VALUE"""),230.0)</f>
        <v>230</v>
      </c>
      <c r="B1655" s="2" t="str">
        <f>IFERROR(__xludf.DUMMYFUNCTION("""COMPUTED_VALUE"""),"FENI")</f>
        <v>FENI</v>
      </c>
      <c r="C1655" s="4">
        <f>IFERROR(__xludf.DUMMYFUNCTION("""COMPUTED_VALUE"""),35.0)</f>
        <v>35</v>
      </c>
      <c r="D1655" s="2" t="str">
        <f>IFERROR(__xludf.DUMMYFUNCTION("""COMPUTED_VALUE"""),"BANGLADESH KRISHI BANK")</f>
        <v>BANGLADESH KRISHI BANK</v>
      </c>
      <c r="E1655" s="2" t="str">
        <f>IFERROR(__xludf.DUMMYFUNCTION("""COMPUTED_VALUE"""),"SONAGAZI")</f>
        <v>SONAGAZI</v>
      </c>
      <c r="F1655" s="4">
        <f>IFERROR(__xludf.DUMMYFUNCTION("""COMPUTED_VALUE"""),148.0)</f>
        <v>148</v>
      </c>
      <c r="G1655" s="5">
        <f>IFERROR(__xludf.DUMMYFUNCTION("""COMPUTED_VALUE"""),3.5301482E7)</f>
        <v>35301482</v>
      </c>
    </row>
    <row r="1656">
      <c r="A1656" s="3">
        <f>IFERROR(__xludf.DUMMYFUNCTION("""COMPUTED_VALUE"""),133.0)</f>
        <v>133</v>
      </c>
      <c r="B1656" s="2" t="str">
        <f>IFERROR(__xludf.DUMMYFUNCTION("""COMPUTED_VALUE"""),"GAZIPUR")</f>
        <v>GAZIPUR</v>
      </c>
      <c r="C1656" s="4">
        <f>IFERROR(__xludf.DUMMYFUNCTION("""COMPUTED_VALUE"""),35.0)</f>
        <v>35</v>
      </c>
      <c r="D1656" s="2" t="str">
        <f>IFERROR(__xludf.DUMMYFUNCTION("""COMPUTED_VALUE"""),"BANGLADESH KRISHI BANK")</f>
        <v>BANGLADESH KRISHI BANK</v>
      </c>
      <c r="E1656" s="2" t="str">
        <f>IFERROR(__xludf.DUMMYFUNCTION("""COMPUTED_VALUE"""),"AMRAID BAZAR")</f>
        <v>AMRAID BAZAR</v>
      </c>
      <c r="F1656" s="4">
        <f>IFERROR(__xludf.DUMMYFUNCTION("""COMPUTED_VALUE"""),4.0)</f>
        <v>4</v>
      </c>
      <c r="G1656" s="5">
        <f>IFERROR(__xludf.DUMMYFUNCTION("""COMPUTED_VALUE"""),3.533004E7)</f>
        <v>35330040</v>
      </c>
    </row>
    <row r="1657">
      <c r="A1657" s="3">
        <f>IFERROR(__xludf.DUMMYFUNCTION("""COMPUTED_VALUE"""),133.0)</f>
        <v>133</v>
      </c>
      <c r="B1657" s="2" t="str">
        <f>IFERROR(__xludf.DUMMYFUNCTION("""COMPUTED_VALUE"""),"GAZIPUR")</f>
        <v>GAZIPUR</v>
      </c>
      <c r="C1657" s="4">
        <f>IFERROR(__xludf.DUMMYFUNCTION("""COMPUTED_VALUE"""),35.0)</f>
        <v>35</v>
      </c>
      <c r="D1657" s="2" t="str">
        <f>IFERROR(__xludf.DUMMYFUNCTION("""COMPUTED_VALUE"""),"BANGLADESH KRISHI BANK")</f>
        <v>BANGLADESH KRISHI BANK</v>
      </c>
      <c r="E1657" s="2" t="str">
        <f>IFERROR(__xludf.DUMMYFUNCTION("""COMPUTED_VALUE"""),"AOWRAKHALI BAZAR")</f>
        <v>AOWRAKHALI BAZAR</v>
      </c>
      <c r="F1657" s="4">
        <f>IFERROR(__xludf.DUMMYFUNCTION("""COMPUTED_VALUE"""),7.0)</f>
        <v>7</v>
      </c>
      <c r="G1657" s="5">
        <f>IFERROR(__xludf.DUMMYFUNCTION("""COMPUTED_VALUE"""),3.5330079E7)</f>
        <v>35330079</v>
      </c>
    </row>
    <row r="1658">
      <c r="A1658" s="3">
        <f>IFERROR(__xludf.DUMMYFUNCTION("""COMPUTED_VALUE"""),133.0)</f>
        <v>133</v>
      </c>
      <c r="B1658" s="2" t="str">
        <f>IFERROR(__xludf.DUMMYFUNCTION("""COMPUTED_VALUE"""),"GAZIPUR")</f>
        <v>GAZIPUR</v>
      </c>
      <c r="C1658" s="4">
        <f>IFERROR(__xludf.DUMMYFUNCTION("""COMPUTED_VALUE"""),35.0)</f>
        <v>35</v>
      </c>
      <c r="D1658" s="2" t="str">
        <f>IFERROR(__xludf.DUMMYFUNCTION("""COMPUTED_VALUE"""),"BANGLADESH KRISHI BANK")</f>
        <v>BANGLADESH KRISHI BANK</v>
      </c>
      <c r="E1658" s="2" t="str">
        <f>IFERROR(__xludf.DUMMYFUNCTION("""COMPUTED_VALUE"""),"FHULBARIA BAZAR")</f>
        <v>FHULBARIA BAZAR</v>
      </c>
      <c r="F1658" s="4">
        <f>IFERROR(__xludf.DUMMYFUNCTION("""COMPUTED_VALUE"""),46.0)</f>
        <v>46</v>
      </c>
      <c r="G1658" s="5">
        <f>IFERROR(__xludf.DUMMYFUNCTION("""COMPUTED_VALUE"""),3.5330466E7)</f>
        <v>35330466</v>
      </c>
    </row>
    <row r="1659">
      <c r="A1659" s="3">
        <f>IFERROR(__xludf.DUMMYFUNCTION("""COMPUTED_VALUE"""),133.0)</f>
        <v>133</v>
      </c>
      <c r="B1659" s="2" t="str">
        <f>IFERROR(__xludf.DUMMYFUNCTION("""COMPUTED_VALUE"""),"GAZIPUR")</f>
        <v>GAZIPUR</v>
      </c>
      <c r="C1659" s="4">
        <f>IFERROR(__xludf.DUMMYFUNCTION("""COMPUTED_VALUE"""),35.0)</f>
        <v>35</v>
      </c>
      <c r="D1659" s="2" t="str">
        <f>IFERROR(__xludf.DUMMYFUNCTION("""COMPUTED_VALUE"""),"BANGLADESH KRISHI BANK")</f>
        <v>BANGLADESH KRISHI BANK</v>
      </c>
      <c r="E1659" s="2" t="str">
        <f>IFERROR(__xludf.DUMMYFUNCTION("""COMPUTED_VALUE"""),"JAINA BAZAR")</f>
        <v>JAINA BAZAR</v>
      </c>
      <c r="F1659" s="4">
        <f>IFERROR(__xludf.DUMMYFUNCTION("""COMPUTED_VALUE"""),67.0)</f>
        <v>67</v>
      </c>
      <c r="G1659" s="5">
        <f>IFERROR(__xludf.DUMMYFUNCTION("""COMPUTED_VALUE"""),3.5330679E7)</f>
        <v>35330679</v>
      </c>
    </row>
    <row r="1660">
      <c r="A1660" s="3">
        <f>IFERROR(__xludf.DUMMYFUNCTION("""COMPUTED_VALUE"""),133.0)</f>
        <v>133</v>
      </c>
      <c r="B1660" s="2" t="str">
        <f>IFERROR(__xludf.DUMMYFUNCTION("""COMPUTED_VALUE"""),"GAZIPUR")</f>
        <v>GAZIPUR</v>
      </c>
      <c r="C1660" s="4">
        <f>IFERROR(__xludf.DUMMYFUNCTION("""COMPUTED_VALUE"""),35.0)</f>
        <v>35</v>
      </c>
      <c r="D1660" s="2" t="str">
        <f>IFERROR(__xludf.DUMMYFUNCTION("""COMPUTED_VALUE"""),"BANGLADESH KRISHI BANK")</f>
        <v>BANGLADESH KRISHI BANK</v>
      </c>
      <c r="E1660" s="2" t="str">
        <f>IFERROR(__xludf.DUMMYFUNCTION("""COMPUTED_VALUE"""),"GAZIPUR")</f>
        <v>GAZIPUR</v>
      </c>
      <c r="F1660" s="4">
        <f>IFERROR(__xludf.DUMMYFUNCTION("""COMPUTED_VALUE"""),73.0)</f>
        <v>73</v>
      </c>
      <c r="G1660" s="5">
        <f>IFERROR(__xludf.DUMMYFUNCTION("""COMPUTED_VALUE"""),3.5330732E7)</f>
        <v>35330732</v>
      </c>
    </row>
    <row r="1661">
      <c r="A1661" s="3">
        <f>IFERROR(__xludf.DUMMYFUNCTION("""COMPUTED_VALUE"""),133.0)</f>
        <v>133</v>
      </c>
      <c r="B1661" s="2" t="str">
        <f>IFERROR(__xludf.DUMMYFUNCTION("""COMPUTED_VALUE"""),"GAZIPUR")</f>
        <v>GAZIPUR</v>
      </c>
      <c r="C1661" s="4">
        <f>IFERROR(__xludf.DUMMYFUNCTION("""COMPUTED_VALUE"""),35.0)</f>
        <v>35</v>
      </c>
      <c r="D1661" s="2" t="str">
        <f>IFERROR(__xludf.DUMMYFUNCTION("""COMPUTED_VALUE"""),"BANGLADESH KRISHI BANK")</f>
        <v>BANGLADESH KRISHI BANK</v>
      </c>
      <c r="E1661" s="2" t="str">
        <f>IFERROR(__xludf.DUMMYFUNCTION("""COMPUTED_VALUE"""),"KALIAKOIR")</f>
        <v>KALIAKOIR</v>
      </c>
      <c r="F1661" s="4">
        <f>IFERROR(__xludf.DUMMYFUNCTION("""COMPUTED_VALUE"""),79.0)</f>
        <v>79</v>
      </c>
      <c r="G1661" s="5">
        <f>IFERROR(__xludf.DUMMYFUNCTION("""COMPUTED_VALUE"""),3.533079E7)</f>
        <v>35330790</v>
      </c>
    </row>
    <row r="1662">
      <c r="A1662" s="3">
        <f>IFERROR(__xludf.DUMMYFUNCTION("""COMPUTED_VALUE"""),133.0)</f>
        <v>133</v>
      </c>
      <c r="B1662" s="2" t="str">
        <f>IFERROR(__xludf.DUMMYFUNCTION("""COMPUTED_VALUE"""),"GAZIPUR")</f>
        <v>GAZIPUR</v>
      </c>
      <c r="C1662" s="4">
        <f>IFERROR(__xludf.DUMMYFUNCTION("""COMPUTED_VALUE"""),35.0)</f>
        <v>35</v>
      </c>
      <c r="D1662" s="2" t="str">
        <f>IFERROR(__xludf.DUMMYFUNCTION("""COMPUTED_VALUE"""),"BANGLADESH KRISHI BANK")</f>
        <v>BANGLADESH KRISHI BANK</v>
      </c>
      <c r="E1662" s="2" t="str">
        <f>IFERROR(__xludf.DUMMYFUNCTION("""COMPUTED_VALUE"""),"KALIGANJ")</f>
        <v>KALIGANJ</v>
      </c>
      <c r="F1662" s="4">
        <f>IFERROR(__xludf.DUMMYFUNCTION("""COMPUTED_VALUE"""),82.0)</f>
        <v>82</v>
      </c>
      <c r="G1662" s="5">
        <f>IFERROR(__xludf.DUMMYFUNCTION("""COMPUTED_VALUE"""),3.5330824E7)</f>
        <v>35330824</v>
      </c>
    </row>
    <row r="1663">
      <c r="A1663" s="3">
        <f>IFERROR(__xludf.DUMMYFUNCTION("""COMPUTED_VALUE"""),133.0)</f>
        <v>133</v>
      </c>
      <c r="B1663" s="2" t="str">
        <f>IFERROR(__xludf.DUMMYFUNCTION("""COMPUTED_VALUE"""),"GAZIPUR")</f>
        <v>GAZIPUR</v>
      </c>
      <c r="C1663" s="4">
        <f>IFERROR(__xludf.DUMMYFUNCTION("""COMPUTED_VALUE"""),35.0)</f>
        <v>35</v>
      </c>
      <c r="D1663" s="2" t="str">
        <f>IFERROR(__xludf.DUMMYFUNCTION("""COMPUTED_VALUE"""),"BANGLADESH KRISHI BANK")</f>
        <v>BANGLADESH KRISHI BANK</v>
      </c>
      <c r="E1663" s="2" t="str">
        <f>IFERROR(__xludf.DUMMYFUNCTION("""COMPUTED_VALUE"""),"KAPASIA")</f>
        <v>KAPASIA</v>
      </c>
      <c r="F1663" s="4">
        <f>IFERROR(__xludf.DUMMYFUNCTION("""COMPUTED_VALUE"""),88.0)</f>
        <v>88</v>
      </c>
      <c r="G1663" s="5">
        <f>IFERROR(__xludf.DUMMYFUNCTION("""COMPUTED_VALUE"""),3.5330882E7)</f>
        <v>35330882</v>
      </c>
    </row>
    <row r="1664">
      <c r="A1664" s="3">
        <f>IFERROR(__xludf.DUMMYFUNCTION("""COMPUTED_VALUE"""),133.0)</f>
        <v>133</v>
      </c>
      <c r="B1664" s="2" t="str">
        <f>IFERROR(__xludf.DUMMYFUNCTION("""COMPUTED_VALUE"""),"GAZIPUR")</f>
        <v>GAZIPUR</v>
      </c>
      <c r="C1664" s="4">
        <f>IFERROR(__xludf.DUMMYFUNCTION("""COMPUTED_VALUE"""),35.0)</f>
        <v>35</v>
      </c>
      <c r="D1664" s="2" t="str">
        <f>IFERROR(__xludf.DUMMYFUNCTION("""COMPUTED_VALUE"""),"BANGLADESH KRISHI BANK")</f>
        <v>BANGLADESH KRISHI BANK</v>
      </c>
      <c r="E1664" s="2" t="str">
        <f>IFERROR(__xludf.DUMMYFUNCTION("""COMPUTED_VALUE"""),"KHIRATI BAZAR")</f>
        <v>KHIRATI BAZAR</v>
      </c>
      <c r="F1664" s="4">
        <f>IFERROR(__xludf.DUMMYFUNCTION("""COMPUTED_VALUE"""),93.0)</f>
        <v>93</v>
      </c>
      <c r="G1664" s="5">
        <f>IFERROR(__xludf.DUMMYFUNCTION("""COMPUTED_VALUE"""),3.5330932E7)</f>
        <v>35330932</v>
      </c>
    </row>
    <row r="1665">
      <c r="A1665" s="3">
        <f>IFERROR(__xludf.DUMMYFUNCTION("""COMPUTED_VALUE"""),133.0)</f>
        <v>133</v>
      </c>
      <c r="B1665" s="2" t="str">
        <f>IFERROR(__xludf.DUMMYFUNCTION("""COMPUTED_VALUE"""),"GAZIPUR")</f>
        <v>GAZIPUR</v>
      </c>
      <c r="C1665" s="4">
        <f>IFERROR(__xludf.DUMMYFUNCTION("""COMPUTED_VALUE"""),35.0)</f>
        <v>35</v>
      </c>
      <c r="D1665" s="2" t="str">
        <f>IFERROR(__xludf.DUMMYFUNCTION("""COMPUTED_VALUE"""),"BANGLADESH KRISHI BANK")</f>
        <v>BANGLADESH KRISHI BANK</v>
      </c>
      <c r="E1665" s="2" t="str">
        <f>IFERROR(__xludf.DUMMYFUNCTION("""COMPUTED_VALUE"""),"KONABARI")</f>
        <v>KONABARI</v>
      </c>
      <c r="F1665" s="4">
        <f>IFERROR(__xludf.DUMMYFUNCTION("""COMPUTED_VALUE"""),94.0)</f>
        <v>94</v>
      </c>
      <c r="G1665" s="5">
        <f>IFERROR(__xludf.DUMMYFUNCTION("""COMPUTED_VALUE"""),3.5330945E7)</f>
        <v>35330945</v>
      </c>
    </row>
    <row r="1666">
      <c r="A1666" s="3">
        <f>IFERROR(__xludf.DUMMYFUNCTION("""COMPUTED_VALUE"""),133.0)</f>
        <v>133</v>
      </c>
      <c r="B1666" s="2" t="str">
        <f>IFERROR(__xludf.DUMMYFUNCTION("""COMPUTED_VALUE"""),"GAZIPUR")</f>
        <v>GAZIPUR</v>
      </c>
      <c r="C1666" s="4">
        <f>IFERROR(__xludf.DUMMYFUNCTION("""COMPUTED_VALUE"""),35.0)</f>
        <v>35</v>
      </c>
      <c r="D1666" s="2" t="str">
        <f>IFERROR(__xludf.DUMMYFUNCTION("""COMPUTED_VALUE"""),"BANGLADESH KRISHI BANK")</f>
        <v>BANGLADESH KRISHI BANK</v>
      </c>
      <c r="E1666" s="2" t="str">
        <f>IFERROR(__xludf.DUMMYFUNCTION("""COMPUTED_VALUE"""),"MIRZAPUR")</f>
        <v>MIRZAPUR</v>
      </c>
      <c r="F1666" s="4">
        <f>IFERROR(__xludf.DUMMYFUNCTION("""COMPUTED_VALUE"""),106.0)</f>
        <v>106</v>
      </c>
      <c r="G1666" s="5">
        <f>IFERROR(__xludf.DUMMYFUNCTION("""COMPUTED_VALUE"""),3.5331065E7)</f>
        <v>35331065</v>
      </c>
    </row>
    <row r="1667">
      <c r="A1667" s="3">
        <f>IFERROR(__xludf.DUMMYFUNCTION("""COMPUTED_VALUE"""),133.0)</f>
        <v>133</v>
      </c>
      <c r="B1667" s="2" t="str">
        <f>IFERROR(__xludf.DUMMYFUNCTION("""COMPUTED_VALUE"""),"GAZIPUR")</f>
        <v>GAZIPUR</v>
      </c>
      <c r="C1667" s="4">
        <f>IFERROR(__xludf.DUMMYFUNCTION("""COMPUTED_VALUE"""),35.0)</f>
        <v>35</v>
      </c>
      <c r="D1667" s="2" t="str">
        <f>IFERROR(__xludf.DUMMYFUNCTION("""COMPUTED_VALUE"""),"BANGLADESH KRISHI BANK")</f>
        <v>BANGLADESH KRISHI BANK</v>
      </c>
      <c r="E1667" s="2" t="str">
        <f>IFERROR(__xludf.DUMMYFUNCTION("""COMPUTED_VALUE"""),"RANIGANJ BAZAR")</f>
        <v>RANIGANJ BAZAR</v>
      </c>
      <c r="F1667" s="4">
        <f>IFERROR(__xludf.DUMMYFUNCTION("""COMPUTED_VALUE"""),136.0)</f>
        <v>136</v>
      </c>
      <c r="G1667" s="5">
        <f>IFERROR(__xludf.DUMMYFUNCTION("""COMPUTED_VALUE"""),3.533136E7)</f>
        <v>35331360</v>
      </c>
    </row>
    <row r="1668">
      <c r="A1668" s="3">
        <f>IFERROR(__xludf.DUMMYFUNCTION("""COMPUTED_VALUE"""),133.0)</f>
        <v>133</v>
      </c>
      <c r="B1668" s="2" t="str">
        <f>IFERROR(__xludf.DUMMYFUNCTION("""COMPUTED_VALUE"""),"GAZIPUR")</f>
        <v>GAZIPUR</v>
      </c>
      <c r="C1668" s="4">
        <f>IFERROR(__xludf.DUMMYFUNCTION("""COMPUTED_VALUE"""),35.0)</f>
        <v>35</v>
      </c>
      <c r="D1668" s="2" t="str">
        <f>IFERROR(__xludf.DUMMYFUNCTION("""COMPUTED_VALUE"""),"BANGLADESH KRISHI BANK")</f>
        <v>BANGLADESH KRISHI BANK</v>
      </c>
      <c r="E1668" s="2" t="str">
        <f>IFERROR(__xludf.DUMMYFUNCTION("""COMPUTED_VALUE"""),"SAWRAID BAZAR")</f>
        <v>SAWRAID BAZAR</v>
      </c>
      <c r="F1668" s="4">
        <f>IFERROR(__xludf.DUMMYFUNCTION("""COMPUTED_VALUE"""),139.0)</f>
        <v>139</v>
      </c>
      <c r="G1668" s="5">
        <f>IFERROR(__xludf.DUMMYFUNCTION("""COMPUTED_VALUE"""),3.5331399E7)</f>
        <v>35331399</v>
      </c>
    </row>
    <row r="1669">
      <c r="A1669" s="3">
        <f>IFERROR(__xludf.DUMMYFUNCTION("""COMPUTED_VALUE"""),133.0)</f>
        <v>133</v>
      </c>
      <c r="B1669" s="2" t="str">
        <f>IFERROR(__xludf.DUMMYFUNCTION("""COMPUTED_VALUE"""),"GAZIPUR")</f>
        <v>GAZIPUR</v>
      </c>
      <c r="C1669" s="4">
        <f>IFERROR(__xludf.DUMMYFUNCTION("""COMPUTED_VALUE"""),35.0)</f>
        <v>35</v>
      </c>
      <c r="D1669" s="2" t="str">
        <f>IFERROR(__xludf.DUMMYFUNCTION("""COMPUTED_VALUE"""),"BANGLADESH KRISHI BANK")</f>
        <v>BANGLADESH KRISHI BANK</v>
      </c>
      <c r="E1669" s="2" t="str">
        <f>IFERROR(__xludf.DUMMYFUNCTION("""COMPUTED_VALUE"""),"SHAFIPUR")</f>
        <v>SHAFIPUR</v>
      </c>
      <c r="F1669" s="4">
        <f>IFERROR(__xludf.DUMMYFUNCTION("""COMPUTED_VALUE"""),142.0)</f>
        <v>142</v>
      </c>
      <c r="G1669" s="5">
        <f>IFERROR(__xludf.DUMMYFUNCTION("""COMPUTED_VALUE"""),3.5331423E7)</f>
        <v>35331423</v>
      </c>
    </row>
    <row r="1670">
      <c r="A1670" s="3">
        <f>IFERROR(__xludf.DUMMYFUNCTION("""COMPUTED_VALUE"""),133.0)</f>
        <v>133</v>
      </c>
      <c r="B1670" s="2" t="str">
        <f>IFERROR(__xludf.DUMMYFUNCTION("""COMPUTED_VALUE"""),"GAZIPUR")</f>
        <v>GAZIPUR</v>
      </c>
      <c r="C1670" s="4">
        <f>IFERROR(__xludf.DUMMYFUNCTION("""COMPUTED_VALUE"""),35.0)</f>
        <v>35</v>
      </c>
      <c r="D1670" s="2" t="str">
        <f>IFERROR(__xludf.DUMMYFUNCTION("""COMPUTED_VALUE"""),"BANGLADESH KRISHI BANK")</f>
        <v>BANGLADESH KRISHI BANK</v>
      </c>
      <c r="E1670" s="2" t="str">
        <f>IFERROR(__xludf.DUMMYFUNCTION("""COMPUTED_VALUE"""),"SREEPUR")</f>
        <v>SREEPUR</v>
      </c>
      <c r="F1670" s="4">
        <f>IFERROR(__xludf.DUMMYFUNCTION("""COMPUTED_VALUE"""),148.0)</f>
        <v>148</v>
      </c>
      <c r="G1670" s="5">
        <f>IFERROR(__xludf.DUMMYFUNCTION("""COMPUTED_VALUE"""),3.5331481E7)</f>
        <v>35331481</v>
      </c>
    </row>
    <row r="1671">
      <c r="A1671" s="3">
        <f>IFERROR(__xludf.DUMMYFUNCTION("""COMPUTED_VALUE"""),133.0)</f>
        <v>133</v>
      </c>
      <c r="B1671" s="2" t="str">
        <f>IFERROR(__xludf.DUMMYFUNCTION("""COMPUTED_VALUE"""),"GAZIPUR")</f>
        <v>GAZIPUR</v>
      </c>
      <c r="C1671" s="4">
        <f>IFERROR(__xludf.DUMMYFUNCTION("""COMPUTED_VALUE"""),35.0)</f>
        <v>35</v>
      </c>
      <c r="D1671" s="2" t="str">
        <f>IFERROR(__xludf.DUMMYFUNCTION("""COMPUTED_VALUE"""),"BANGLADESH KRISHI BANK")</f>
        <v>BANGLADESH KRISHI BANK</v>
      </c>
      <c r="E1671" s="2" t="str">
        <f>IFERROR(__xludf.DUMMYFUNCTION("""COMPUTED_VALUE"""),"TOKNAYAN BAZAR")</f>
        <v>TOKNAYAN BAZAR</v>
      </c>
      <c r="F1671" s="4">
        <f>IFERROR(__xludf.DUMMYFUNCTION("""COMPUTED_VALUE"""),160.0)</f>
        <v>160</v>
      </c>
      <c r="G1671" s="5">
        <f>IFERROR(__xludf.DUMMYFUNCTION("""COMPUTED_VALUE"""),3.5331607E7)</f>
        <v>35331607</v>
      </c>
    </row>
    <row r="1672">
      <c r="A1672" s="3">
        <f>IFERROR(__xludf.DUMMYFUNCTION("""COMPUTED_VALUE"""),133.0)</f>
        <v>133</v>
      </c>
      <c r="B1672" s="2" t="str">
        <f>IFERROR(__xludf.DUMMYFUNCTION("""COMPUTED_VALUE"""),"GAZIPUR")</f>
        <v>GAZIPUR</v>
      </c>
      <c r="C1672" s="4">
        <f>IFERROR(__xludf.DUMMYFUNCTION("""COMPUTED_VALUE"""),35.0)</f>
        <v>35</v>
      </c>
      <c r="D1672" s="2" t="str">
        <f>IFERROR(__xludf.DUMMYFUNCTION("""COMPUTED_VALUE"""),"BANGLADESH KRISHI BANK")</f>
        <v>BANGLADESH KRISHI BANK</v>
      </c>
      <c r="E1672" s="2" t="str">
        <f>IFERROR(__xludf.DUMMYFUNCTION("""COMPUTED_VALUE"""),"TONGI")</f>
        <v>TONGI</v>
      </c>
      <c r="F1672" s="4">
        <f>IFERROR(__xludf.DUMMYFUNCTION("""COMPUTED_VALUE"""),163.0)</f>
        <v>163</v>
      </c>
      <c r="G1672" s="5">
        <f>IFERROR(__xludf.DUMMYFUNCTION("""COMPUTED_VALUE"""),3.5331636E7)</f>
        <v>35331636</v>
      </c>
    </row>
    <row r="1673">
      <c r="A1673" s="3">
        <f>IFERROR(__xludf.DUMMYFUNCTION("""COMPUTED_VALUE"""),435.0)</f>
        <v>435</v>
      </c>
      <c r="B1673" s="2" t="str">
        <f>IFERROR(__xludf.DUMMYFUNCTION("""COMPUTED_VALUE"""),"GOPALGANJ")</f>
        <v>GOPALGANJ</v>
      </c>
      <c r="C1673" s="4">
        <f>IFERROR(__xludf.DUMMYFUNCTION("""COMPUTED_VALUE"""),35.0)</f>
        <v>35</v>
      </c>
      <c r="D1673" s="2" t="str">
        <f>IFERROR(__xludf.DUMMYFUNCTION("""COMPUTED_VALUE"""),"BANGLADESH KRISHI BANK")</f>
        <v>BANGLADESH KRISHI BANK</v>
      </c>
      <c r="E1673" s="2" t="str">
        <f>IFERROR(__xludf.DUMMYFUNCTION("""COMPUTED_VALUE"""),"BANAGRAM")</f>
        <v>BANAGRAM</v>
      </c>
      <c r="F1673" s="4">
        <f>IFERROR(__xludf.DUMMYFUNCTION("""COMPUTED_VALUE"""),4.0)</f>
        <v>4</v>
      </c>
      <c r="G1673" s="5">
        <f>IFERROR(__xludf.DUMMYFUNCTION("""COMPUTED_VALUE"""),3.5350046E7)</f>
        <v>35350046</v>
      </c>
    </row>
    <row r="1674">
      <c r="A1674" s="3">
        <f>IFERROR(__xludf.DUMMYFUNCTION("""COMPUTED_VALUE"""),435.0)</f>
        <v>435</v>
      </c>
      <c r="B1674" s="2" t="str">
        <f>IFERROR(__xludf.DUMMYFUNCTION("""COMPUTED_VALUE"""),"GOPALGANJ")</f>
        <v>GOPALGANJ</v>
      </c>
      <c r="C1674" s="4">
        <f>IFERROR(__xludf.DUMMYFUNCTION("""COMPUTED_VALUE"""),35.0)</f>
        <v>35</v>
      </c>
      <c r="D1674" s="2" t="str">
        <f>IFERROR(__xludf.DUMMYFUNCTION("""COMPUTED_VALUE"""),"BANGLADESH KRISHI BANK")</f>
        <v>BANGLADESH KRISHI BANK</v>
      </c>
      <c r="E1674" s="2" t="str">
        <f>IFERROR(__xludf.DUMMYFUNCTION("""COMPUTED_VALUE"""),"VANGAR HAT")</f>
        <v>VANGAR HAT</v>
      </c>
      <c r="F1674" s="4">
        <f>IFERROR(__xludf.DUMMYFUNCTION("""COMPUTED_VALUE"""),5.0)</f>
        <v>5</v>
      </c>
      <c r="G1674" s="5">
        <f>IFERROR(__xludf.DUMMYFUNCTION("""COMPUTED_VALUE"""),3.5350059E7)</f>
        <v>35350059</v>
      </c>
    </row>
    <row r="1675">
      <c r="A1675" s="3">
        <f>IFERROR(__xludf.DUMMYFUNCTION("""COMPUTED_VALUE"""),435.0)</f>
        <v>435</v>
      </c>
      <c r="B1675" s="2" t="str">
        <f>IFERROR(__xludf.DUMMYFUNCTION("""COMPUTED_VALUE"""),"GOPALGANJ")</f>
        <v>GOPALGANJ</v>
      </c>
      <c r="C1675" s="4">
        <f>IFERROR(__xludf.DUMMYFUNCTION("""COMPUTED_VALUE"""),35.0)</f>
        <v>35</v>
      </c>
      <c r="D1675" s="2" t="str">
        <f>IFERROR(__xludf.DUMMYFUNCTION("""COMPUTED_VALUE"""),"BANGLADESH KRISHI BANK")</f>
        <v>BANGLADESH KRISHI BANK</v>
      </c>
      <c r="E1675" s="2" t="str">
        <f>IFERROR(__xludf.DUMMYFUNCTION("""COMPUTED_VALUE"""),"BASHBARIA")</f>
        <v>BASHBARIA</v>
      </c>
      <c r="F1675" s="4">
        <f>IFERROR(__xludf.DUMMYFUNCTION("""COMPUTED_VALUE"""),10.0)</f>
        <v>10</v>
      </c>
      <c r="G1675" s="5">
        <f>IFERROR(__xludf.DUMMYFUNCTION("""COMPUTED_VALUE"""),3.5350109E7)</f>
        <v>35350109</v>
      </c>
    </row>
    <row r="1676">
      <c r="A1676" s="3">
        <f>IFERROR(__xludf.DUMMYFUNCTION("""COMPUTED_VALUE"""),435.0)</f>
        <v>435</v>
      </c>
      <c r="B1676" s="2" t="str">
        <f>IFERROR(__xludf.DUMMYFUNCTION("""COMPUTED_VALUE"""),"GOPALGANJ")</f>
        <v>GOPALGANJ</v>
      </c>
      <c r="C1676" s="4">
        <f>IFERROR(__xludf.DUMMYFUNCTION("""COMPUTED_VALUE"""),35.0)</f>
        <v>35</v>
      </c>
      <c r="D1676" s="2" t="str">
        <f>IFERROR(__xludf.DUMMYFUNCTION("""COMPUTED_VALUE"""),"BANGLADESH KRISHI BANK")</f>
        <v>BANGLADESH KRISHI BANK</v>
      </c>
      <c r="E1676" s="2" t="str">
        <f>IFERROR(__xludf.DUMMYFUNCTION("""COMPUTED_VALUE"""),"BATIKAMARI")</f>
        <v>BATIKAMARI</v>
      </c>
      <c r="F1676" s="4">
        <f>IFERROR(__xludf.DUMMYFUNCTION("""COMPUTED_VALUE"""),13.0)</f>
        <v>13</v>
      </c>
      <c r="G1676" s="5">
        <f>IFERROR(__xludf.DUMMYFUNCTION("""COMPUTED_VALUE"""),3.5350138E7)</f>
        <v>35350138</v>
      </c>
    </row>
    <row r="1677">
      <c r="A1677" s="3">
        <f>IFERROR(__xludf.DUMMYFUNCTION("""COMPUTED_VALUE"""),435.0)</f>
        <v>435</v>
      </c>
      <c r="B1677" s="2" t="str">
        <f>IFERROR(__xludf.DUMMYFUNCTION("""COMPUTED_VALUE"""),"GOPALGANJ")</f>
        <v>GOPALGANJ</v>
      </c>
      <c r="C1677" s="4">
        <f>IFERROR(__xludf.DUMMYFUNCTION("""COMPUTED_VALUE"""),35.0)</f>
        <v>35</v>
      </c>
      <c r="D1677" s="2" t="str">
        <f>IFERROR(__xludf.DUMMYFUNCTION("""COMPUTED_VALUE"""),"BANGLADESH KRISHI BANK")</f>
        <v>BANGLADESH KRISHI BANK</v>
      </c>
      <c r="E1677" s="2" t="str">
        <f>IFERROR(__xludf.DUMMYFUNCTION("""COMPUTED_VALUE"""),"BHERARHAT")</f>
        <v>BHERARHAT</v>
      </c>
      <c r="F1677" s="4">
        <f>IFERROR(__xludf.DUMMYFUNCTION("""COMPUTED_VALUE"""),19.0)</f>
        <v>19</v>
      </c>
      <c r="G1677" s="5">
        <f>IFERROR(__xludf.DUMMYFUNCTION("""COMPUTED_VALUE"""),3.5350196E7)</f>
        <v>35350196</v>
      </c>
    </row>
    <row r="1678">
      <c r="A1678" s="3">
        <f>IFERROR(__xludf.DUMMYFUNCTION("""COMPUTED_VALUE"""),435.0)</f>
        <v>435</v>
      </c>
      <c r="B1678" s="2" t="str">
        <f>IFERROR(__xludf.DUMMYFUNCTION("""COMPUTED_VALUE"""),"GOPALGANJ")</f>
        <v>GOPALGANJ</v>
      </c>
      <c r="C1678" s="4">
        <f>IFERROR(__xludf.DUMMYFUNCTION("""COMPUTED_VALUE"""),35.0)</f>
        <v>35</v>
      </c>
      <c r="D1678" s="2" t="str">
        <f>IFERROR(__xludf.DUMMYFUNCTION("""COMPUTED_VALUE"""),"BANGLADESH KRISHI BANK")</f>
        <v>BANGLADESH KRISHI BANK</v>
      </c>
      <c r="E1678" s="2" t="str">
        <f>IFERROR(__xludf.DUMMYFUNCTION("""COMPUTED_VALUE"""),"CHOWDHURIR HAT")</f>
        <v>CHOWDHURIR HAT</v>
      </c>
      <c r="F1678" s="4">
        <f>IFERROR(__xludf.DUMMYFUNCTION("""COMPUTED_VALUE"""),25.0)</f>
        <v>25</v>
      </c>
      <c r="G1678" s="5">
        <f>IFERROR(__xludf.DUMMYFUNCTION("""COMPUTED_VALUE"""),3.5350259E7)</f>
        <v>35350259</v>
      </c>
    </row>
    <row r="1679">
      <c r="A1679" s="3">
        <f>IFERROR(__xludf.DUMMYFUNCTION("""COMPUTED_VALUE"""),435.0)</f>
        <v>435</v>
      </c>
      <c r="B1679" s="2" t="str">
        <f>IFERROR(__xludf.DUMMYFUNCTION("""COMPUTED_VALUE"""),"GOPALGANJ")</f>
        <v>GOPALGANJ</v>
      </c>
      <c r="C1679" s="4">
        <f>IFERROR(__xludf.DUMMYFUNCTION("""COMPUTED_VALUE"""),35.0)</f>
        <v>35</v>
      </c>
      <c r="D1679" s="2" t="str">
        <f>IFERROR(__xludf.DUMMYFUNCTION("""COMPUTED_VALUE"""),"BANGLADESH KRISHI BANK")</f>
        <v>BANGLADESH KRISHI BANK</v>
      </c>
      <c r="E1679" s="2" t="str">
        <f>IFERROR(__xludf.DUMMYFUNCTION("""COMPUTED_VALUE"""),"GOALGRAM MADRASHA")</f>
        <v>GOALGRAM MADRASHA</v>
      </c>
      <c r="F1679" s="4">
        <f>IFERROR(__xludf.DUMMYFUNCTION("""COMPUTED_VALUE"""),31.0)</f>
        <v>31</v>
      </c>
      <c r="G1679" s="5">
        <f>IFERROR(__xludf.DUMMYFUNCTION("""COMPUTED_VALUE"""),3.5350312E7)</f>
        <v>35350312</v>
      </c>
    </row>
    <row r="1680">
      <c r="A1680" s="3">
        <f>IFERROR(__xludf.DUMMYFUNCTION("""COMPUTED_VALUE"""),435.0)</f>
        <v>435</v>
      </c>
      <c r="B1680" s="2" t="str">
        <f>IFERROR(__xludf.DUMMYFUNCTION("""COMPUTED_VALUE"""),"GOPALGANJ")</f>
        <v>GOPALGANJ</v>
      </c>
      <c r="C1680" s="4">
        <f>IFERROR(__xludf.DUMMYFUNCTION("""COMPUTED_VALUE"""),35.0)</f>
        <v>35</v>
      </c>
      <c r="D1680" s="2" t="str">
        <f>IFERROR(__xludf.DUMMYFUNCTION("""COMPUTED_VALUE"""),"BANGLADESH KRISHI BANK")</f>
        <v>BANGLADESH KRISHI BANK</v>
      </c>
      <c r="E1680" s="2" t="str">
        <f>IFERROR(__xludf.DUMMYFUNCTION("""COMPUTED_VALUE"""),"GOHALA")</f>
        <v>GOHALA</v>
      </c>
      <c r="F1680" s="4">
        <f>IFERROR(__xludf.DUMMYFUNCTION("""COMPUTED_VALUE"""),34.0)</f>
        <v>34</v>
      </c>
      <c r="G1680" s="5">
        <f>IFERROR(__xludf.DUMMYFUNCTION("""COMPUTED_VALUE"""),3.5350341E7)</f>
        <v>35350341</v>
      </c>
    </row>
    <row r="1681">
      <c r="A1681" s="3">
        <f>IFERROR(__xludf.DUMMYFUNCTION("""COMPUTED_VALUE"""),435.0)</f>
        <v>435</v>
      </c>
      <c r="B1681" s="2" t="str">
        <f>IFERROR(__xludf.DUMMYFUNCTION("""COMPUTED_VALUE"""),"GOPALGANJ")</f>
        <v>GOPALGANJ</v>
      </c>
      <c r="C1681" s="4">
        <f>IFERROR(__xludf.DUMMYFUNCTION("""COMPUTED_VALUE"""),35.0)</f>
        <v>35</v>
      </c>
      <c r="D1681" s="2" t="str">
        <f>IFERROR(__xludf.DUMMYFUNCTION("""COMPUTED_VALUE"""),"BANGLADESH KRISHI BANK")</f>
        <v>BANGLADESH KRISHI BANK</v>
      </c>
      <c r="E1681" s="2" t="str">
        <f>IFERROR(__xludf.DUMMYFUNCTION("""COMPUTED_VALUE"""),"GOPALGANJ")</f>
        <v>GOPALGANJ</v>
      </c>
      <c r="F1681" s="4">
        <f>IFERROR(__xludf.DUMMYFUNCTION("""COMPUTED_VALUE"""),37.0)</f>
        <v>37</v>
      </c>
      <c r="G1681" s="5">
        <f>IFERROR(__xludf.DUMMYFUNCTION("""COMPUTED_VALUE"""),3.535037E7)</f>
        <v>35350370</v>
      </c>
    </row>
    <row r="1682">
      <c r="A1682" s="3">
        <f>IFERROR(__xludf.DUMMYFUNCTION("""COMPUTED_VALUE"""),435.0)</f>
        <v>435</v>
      </c>
      <c r="B1682" s="2" t="str">
        <f>IFERROR(__xludf.DUMMYFUNCTION("""COMPUTED_VALUE"""),"GOPALGANJ")</f>
        <v>GOPALGANJ</v>
      </c>
      <c r="C1682" s="4">
        <f>IFERROR(__xludf.DUMMYFUNCTION("""COMPUTED_VALUE"""),35.0)</f>
        <v>35</v>
      </c>
      <c r="D1682" s="2" t="str">
        <f>IFERROR(__xludf.DUMMYFUNCTION("""COMPUTED_VALUE"""),"BANGLADESH KRISHI BANK")</f>
        <v>BANGLADESH KRISHI BANK</v>
      </c>
      <c r="E1682" s="2" t="str">
        <f>IFERROR(__xludf.DUMMYFUNCTION("""COMPUTED_VALUE"""),"GOPINATHPUR")</f>
        <v>GOPINATHPUR</v>
      </c>
      <c r="F1682" s="4">
        <f>IFERROR(__xludf.DUMMYFUNCTION("""COMPUTED_VALUE"""),43.0)</f>
        <v>43</v>
      </c>
      <c r="G1682" s="5">
        <f>IFERROR(__xludf.DUMMYFUNCTION("""COMPUTED_VALUE"""),3.5350433E7)</f>
        <v>35350433</v>
      </c>
    </row>
    <row r="1683">
      <c r="A1683" s="3">
        <f>IFERROR(__xludf.DUMMYFUNCTION("""COMPUTED_VALUE"""),435.0)</f>
        <v>435</v>
      </c>
      <c r="B1683" s="2" t="str">
        <f>IFERROR(__xludf.DUMMYFUNCTION("""COMPUTED_VALUE"""),"GOPALGANJ")</f>
        <v>GOPALGANJ</v>
      </c>
      <c r="C1683" s="4">
        <f>IFERROR(__xludf.DUMMYFUNCTION("""COMPUTED_VALUE"""),35.0)</f>
        <v>35</v>
      </c>
      <c r="D1683" s="2" t="str">
        <f>IFERROR(__xludf.DUMMYFUNCTION("""COMPUTED_VALUE"""),"BANGLADESH KRISHI BANK")</f>
        <v>BANGLADESH KRISHI BANK</v>
      </c>
      <c r="E1683" s="2" t="str">
        <f>IFERROR(__xludf.DUMMYFUNCTION("""COMPUTED_VALUE"""),"KAJULIA")</f>
        <v>KAJULIA</v>
      </c>
      <c r="F1683" s="4">
        <f>IFERROR(__xludf.DUMMYFUNCTION("""COMPUTED_VALUE"""),55.0)</f>
        <v>55</v>
      </c>
      <c r="G1683" s="5">
        <f>IFERROR(__xludf.DUMMYFUNCTION("""COMPUTED_VALUE"""),3.5350554E7)</f>
        <v>35350554</v>
      </c>
    </row>
    <row r="1684">
      <c r="A1684" s="3">
        <f>IFERROR(__xludf.DUMMYFUNCTION("""COMPUTED_VALUE"""),435.0)</f>
        <v>435</v>
      </c>
      <c r="B1684" s="2" t="str">
        <f>IFERROR(__xludf.DUMMYFUNCTION("""COMPUTED_VALUE"""),"GOPALGANJ")</f>
        <v>GOPALGANJ</v>
      </c>
      <c r="C1684" s="4">
        <f>IFERROR(__xludf.DUMMYFUNCTION("""COMPUTED_VALUE"""),35.0)</f>
        <v>35</v>
      </c>
      <c r="D1684" s="2" t="str">
        <f>IFERROR(__xludf.DUMMYFUNCTION("""COMPUTED_VALUE"""),"BANGLADESH KRISHI BANK")</f>
        <v>BANGLADESH KRISHI BANK</v>
      </c>
      <c r="E1684" s="2" t="str">
        <f>IFERROR(__xludf.DUMMYFUNCTION("""COMPUTED_VALUE"""),"KASHIANI")</f>
        <v>KASHIANI</v>
      </c>
      <c r="F1684" s="4">
        <f>IFERROR(__xludf.DUMMYFUNCTION("""COMPUTED_VALUE"""),58.0)</f>
        <v>58</v>
      </c>
      <c r="G1684" s="5">
        <f>IFERROR(__xludf.DUMMYFUNCTION("""COMPUTED_VALUE"""),3.5350583E7)</f>
        <v>35350583</v>
      </c>
    </row>
    <row r="1685">
      <c r="A1685" s="3">
        <f>IFERROR(__xludf.DUMMYFUNCTION("""COMPUTED_VALUE"""),435.0)</f>
        <v>435</v>
      </c>
      <c r="B1685" s="2" t="str">
        <f>IFERROR(__xludf.DUMMYFUNCTION("""COMPUTED_VALUE"""),"GOPALGANJ")</f>
        <v>GOPALGANJ</v>
      </c>
      <c r="C1685" s="4">
        <f>IFERROR(__xludf.DUMMYFUNCTION("""COMPUTED_VALUE"""),35.0)</f>
        <v>35</v>
      </c>
      <c r="D1685" s="2" t="str">
        <f>IFERROR(__xludf.DUMMYFUNCTION("""COMPUTED_VALUE"""),"BANGLADESH KRISHI BANK")</f>
        <v>BANGLADESH KRISHI BANK</v>
      </c>
      <c r="E1685" s="2" t="str">
        <f>IFERROR(__xludf.DUMMYFUNCTION("""COMPUTED_VALUE"""),"KATHI BAZAR")</f>
        <v>KATHI BAZAR</v>
      </c>
      <c r="F1685" s="4">
        <f>IFERROR(__xludf.DUMMYFUNCTION("""COMPUTED_VALUE"""),61.0)</f>
        <v>61</v>
      </c>
      <c r="G1685" s="5">
        <f>IFERROR(__xludf.DUMMYFUNCTION("""COMPUTED_VALUE"""),3.5350617E7)</f>
        <v>35350617</v>
      </c>
    </row>
    <row r="1686">
      <c r="A1686" s="3">
        <f>IFERROR(__xludf.DUMMYFUNCTION("""COMPUTED_VALUE"""),435.0)</f>
        <v>435</v>
      </c>
      <c r="B1686" s="2" t="str">
        <f>IFERROR(__xludf.DUMMYFUNCTION("""COMPUTED_VALUE"""),"GOPALGANJ")</f>
        <v>GOPALGANJ</v>
      </c>
      <c r="C1686" s="4">
        <f>IFERROR(__xludf.DUMMYFUNCTION("""COMPUTED_VALUE"""),35.0)</f>
        <v>35</v>
      </c>
      <c r="D1686" s="2" t="str">
        <f>IFERROR(__xludf.DUMMYFUNCTION("""COMPUTED_VALUE"""),"BANGLADESH KRISHI BANK")</f>
        <v>BANGLADESH KRISHI BANK</v>
      </c>
      <c r="E1686" s="2" t="str">
        <f>IFERROR(__xludf.DUMMYFUNCTION("""COMPUTED_VALUE"""),"BOULTALI")</f>
        <v>BOULTALI</v>
      </c>
      <c r="F1686" s="4">
        <f>IFERROR(__xludf.DUMMYFUNCTION("""COMPUTED_VALUE"""),64.0)</f>
        <v>64</v>
      </c>
      <c r="G1686" s="5">
        <f>IFERROR(__xludf.DUMMYFUNCTION("""COMPUTED_VALUE"""),3.5350646E7)</f>
        <v>35350646</v>
      </c>
    </row>
    <row r="1687">
      <c r="A1687" s="3">
        <f>IFERROR(__xludf.DUMMYFUNCTION("""COMPUTED_VALUE"""),435.0)</f>
        <v>435</v>
      </c>
      <c r="B1687" s="2" t="str">
        <f>IFERROR(__xludf.DUMMYFUNCTION("""COMPUTED_VALUE"""),"GOPALGANJ")</f>
        <v>GOPALGANJ</v>
      </c>
      <c r="C1687" s="4">
        <f>IFERROR(__xludf.DUMMYFUNCTION("""COMPUTED_VALUE"""),35.0)</f>
        <v>35</v>
      </c>
      <c r="D1687" s="2" t="str">
        <f>IFERROR(__xludf.DUMMYFUNCTION("""COMPUTED_VALUE"""),"BANGLADESH KRISHI BANK")</f>
        <v>BANGLADESH KRISHI BANK</v>
      </c>
      <c r="E1687" s="2" t="str">
        <f>IFERROR(__xludf.DUMMYFUNCTION("""COMPUTED_VALUE"""),"KOTALIPARA")</f>
        <v>KOTALIPARA</v>
      </c>
      <c r="F1687" s="4">
        <f>IFERROR(__xludf.DUMMYFUNCTION("""COMPUTED_VALUE"""),67.0)</f>
        <v>67</v>
      </c>
      <c r="G1687" s="5">
        <f>IFERROR(__xludf.DUMMYFUNCTION("""COMPUTED_VALUE"""),3.5350675E7)</f>
        <v>35350675</v>
      </c>
    </row>
    <row r="1688">
      <c r="A1688" s="3">
        <f>IFERROR(__xludf.DUMMYFUNCTION("""COMPUTED_VALUE"""),435.0)</f>
        <v>435</v>
      </c>
      <c r="B1688" s="2" t="str">
        <f>IFERROR(__xludf.DUMMYFUNCTION("""COMPUTED_VALUE"""),"GOPALGANJ")</f>
        <v>GOPALGANJ</v>
      </c>
      <c r="C1688" s="4">
        <f>IFERROR(__xludf.DUMMYFUNCTION("""COMPUTED_VALUE"""),35.0)</f>
        <v>35</v>
      </c>
      <c r="D1688" s="2" t="str">
        <f>IFERROR(__xludf.DUMMYFUNCTION("""COMPUTED_VALUE"""),"BANGLADESH KRISHI BANK")</f>
        <v>BANGLADESH KRISHI BANK</v>
      </c>
      <c r="E1688" s="2" t="str">
        <f>IFERROR(__xludf.DUMMYFUNCTION("""COMPUTED_VALUE"""),"MUKSUDPUR")</f>
        <v>MUKSUDPUR</v>
      </c>
      <c r="F1688" s="4">
        <f>IFERROR(__xludf.DUMMYFUNCTION("""COMPUTED_VALUE"""),73.0)</f>
        <v>73</v>
      </c>
      <c r="G1688" s="5">
        <f>IFERROR(__xludf.DUMMYFUNCTION("""COMPUTED_VALUE"""),3.5350738E7)</f>
        <v>35350738</v>
      </c>
    </row>
    <row r="1689">
      <c r="A1689" s="3">
        <f>IFERROR(__xludf.DUMMYFUNCTION("""COMPUTED_VALUE"""),435.0)</f>
        <v>435</v>
      </c>
      <c r="B1689" s="2" t="str">
        <f>IFERROR(__xludf.DUMMYFUNCTION("""COMPUTED_VALUE"""),"GOPALGANJ")</f>
        <v>GOPALGANJ</v>
      </c>
      <c r="C1689" s="4">
        <f>IFERROR(__xludf.DUMMYFUNCTION("""COMPUTED_VALUE"""),35.0)</f>
        <v>35</v>
      </c>
      <c r="D1689" s="2" t="str">
        <f>IFERROR(__xludf.DUMMYFUNCTION("""COMPUTED_VALUE"""),"BANGLADESH KRISHI BANK")</f>
        <v>BANGLADESH KRISHI BANK</v>
      </c>
      <c r="E1689" s="2" t="str">
        <f>IFERROR(__xludf.DUMMYFUNCTION("""COMPUTED_VALUE"""),"NILPHA BAZAR")</f>
        <v>NILPHA BAZAR</v>
      </c>
      <c r="F1689" s="4">
        <f>IFERROR(__xludf.DUMMYFUNCTION("""COMPUTED_VALUE"""),76.0)</f>
        <v>76</v>
      </c>
      <c r="G1689" s="5">
        <f>IFERROR(__xludf.DUMMYFUNCTION("""COMPUTED_VALUE"""),3.5350767E7)</f>
        <v>35350767</v>
      </c>
    </row>
    <row r="1690">
      <c r="A1690" s="3">
        <f>IFERROR(__xludf.DUMMYFUNCTION("""COMPUTED_VALUE"""),435.0)</f>
        <v>435</v>
      </c>
      <c r="B1690" s="2" t="str">
        <f>IFERROR(__xludf.DUMMYFUNCTION("""COMPUTED_VALUE"""),"GOPALGANJ")</f>
        <v>GOPALGANJ</v>
      </c>
      <c r="C1690" s="4">
        <f>IFERROR(__xludf.DUMMYFUNCTION("""COMPUTED_VALUE"""),35.0)</f>
        <v>35</v>
      </c>
      <c r="D1690" s="2" t="str">
        <f>IFERROR(__xludf.DUMMYFUNCTION("""COMPUTED_VALUE"""),"BANGLADESH KRISHI BANK")</f>
        <v>BANGLADESH KRISHI BANK</v>
      </c>
      <c r="E1690" s="2" t="str">
        <f>IFERROR(__xludf.DUMMYFUNCTION("""COMPUTED_VALUE"""),"RADHAGANJ")</f>
        <v>RADHAGANJ</v>
      </c>
      <c r="F1690" s="4">
        <f>IFERROR(__xludf.DUMMYFUNCTION("""COMPUTED_VALUE"""),88.0)</f>
        <v>88</v>
      </c>
      <c r="G1690" s="5">
        <f>IFERROR(__xludf.DUMMYFUNCTION("""COMPUTED_VALUE"""),3.5350888E7)</f>
        <v>35350888</v>
      </c>
    </row>
    <row r="1691">
      <c r="A1691" s="3">
        <f>IFERROR(__xludf.DUMMYFUNCTION("""COMPUTED_VALUE"""),435.0)</f>
        <v>435</v>
      </c>
      <c r="B1691" s="2" t="str">
        <f>IFERROR(__xludf.DUMMYFUNCTION("""COMPUTED_VALUE"""),"GOPALGANJ")</f>
        <v>GOPALGANJ</v>
      </c>
      <c r="C1691" s="4">
        <f>IFERROR(__xludf.DUMMYFUNCTION("""COMPUTED_VALUE"""),35.0)</f>
        <v>35</v>
      </c>
      <c r="D1691" s="2" t="str">
        <f>IFERROR(__xludf.DUMMYFUNCTION("""COMPUTED_VALUE"""),"BANGLADESH KRISHI BANK")</f>
        <v>BANGLADESH KRISHI BANK</v>
      </c>
      <c r="E1691" s="2" t="str">
        <f>IFERROR(__xludf.DUMMYFUNCTION("""COMPUTED_VALUE"""),"RAJPAT")</f>
        <v>RAJPAT</v>
      </c>
      <c r="F1691" s="4">
        <f>IFERROR(__xludf.DUMMYFUNCTION("""COMPUTED_VALUE"""),94.0)</f>
        <v>94</v>
      </c>
      <c r="G1691" s="5">
        <f>IFERROR(__xludf.DUMMYFUNCTION("""COMPUTED_VALUE"""),3.5350941E7)</f>
        <v>35350941</v>
      </c>
    </row>
    <row r="1692">
      <c r="A1692" s="3">
        <f>IFERROR(__xludf.DUMMYFUNCTION("""COMPUTED_VALUE"""),435.0)</f>
        <v>435</v>
      </c>
      <c r="B1692" s="2" t="str">
        <f>IFERROR(__xludf.DUMMYFUNCTION("""COMPUTED_VALUE"""),"GOPALGANJ")</f>
        <v>GOPALGANJ</v>
      </c>
      <c r="C1692" s="4">
        <f>IFERROR(__xludf.DUMMYFUNCTION("""COMPUTED_VALUE"""),35.0)</f>
        <v>35</v>
      </c>
      <c r="D1692" s="2" t="str">
        <f>IFERROR(__xludf.DUMMYFUNCTION("""COMPUTED_VALUE"""),"BANGLADESH KRISHI BANK")</f>
        <v>BANGLADESH KRISHI BANK</v>
      </c>
      <c r="E1692" s="2" t="str">
        <f>IFERROR(__xludf.DUMMYFUNCTION("""COMPUTED_VALUE"""),"RAMDIA")</f>
        <v>RAMDIA</v>
      </c>
      <c r="F1692" s="4">
        <f>IFERROR(__xludf.DUMMYFUNCTION("""COMPUTED_VALUE"""),97.0)</f>
        <v>97</v>
      </c>
      <c r="G1692" s="5">
        <f>IFERROR(__xludf.DUMMYFUNCTION("""COMPUTED_VALUE"""),3.535097E7)</f>
        <v>35350970</v>
      </c>
    </row>
    <row r="1693">
      <c r="A1693" s="3">
        <f>IFERROR(__xludf.DUMMYFUNCTION("""COMPUTED_VALUE"""),435.0)</f>
        <v>435</v>
      </c>
      <c r="B1693" s="2" t="str">
        <f>IFERROR(__xludf.DUMMYFUNCTION("""COMPUTED_VALUE"""),"GOPALGANJ")</f>
        <v>GOPALGANJ</v>
      </c>
      <c r="C1693" s="4">
        <f>IFERROR(__xludf.DUMMYFUNCTION("""COMPUTED_VALUE"""),35.0)</f>
        <v>35</v>
      </c>
      <c r="D1693" s="2" t="str">
        <f>IFERROR(__xludf.DUMMYFUNCTION("""COMPUTED_VALUE"""),"BANGLADESH KRISHI BANK")</f>
        <v>BANGLADESH KRISHI BANK</v>
      </c>
      <c r="E1693" s="2" t="str">
        <f>IFERROR(__xludf.DUMMYFUNCTION("""COMPUTED_VALUE"""),"RATAIL BAZAR")</f>
        <v>RATAIL BAZAR</v>
      </c>
      <c r="F1693" s="4">
        <f>IFERROR(__xludf.DUMMYFUNCTION("""COMPUTED_VALUE"""),103.0)</f>
        <v>103</v>
      </c>
      <c r="G1693" s="5">
        <f>IFERROR(__xludf.DUMMYFUNCTION("""COMPUTED_VALUE"""),3.5351032E7)</f>
        <v>35351032</v>
      </c>
    </row>
    <row r="1694">
      <c r="A1694" s="3">
        <f>IFERROR(__xludf.DUMMYFUNCTION("""COMPUTED_VALUE"""),435.0)</f>
        <v>435</v>
      </c>
      <c r="B1694" s="2" t="str">
        <f>IFERROR(__xludf.DUMMYFUNCTION("""COMPUTED_VALUE"""),"GOPALGANJ")</f>
        <v>GOPALGANJ</v>
      </c>
      <c r="C1694" s="4">
        <f>IFERROR(__xludf.DUMMYFUNCTION("""COMPUTED_VALUE"""),35.0)</f>
        <v>35</v>
      </c>
      <c r="D1694" s="2" t="str">
        <f>IFERROR(__xludf.DUMMYFUNCTION("""COMPUTED_VALUE"""),"BANGLADESH KRISHI BANK")</f>
        <v>BANGLADESH KRISHI BANK</v>
      </c>
      <c r="E1694" s="2" t="str">
        <f>IFERROR(__xludf.DUMMYFUNCTION("""COMPUTED_VALUE"""),"TUNGI PARA")</f>
        <v>TUNGI PARA</v>
      </c>
      <c r="F1694" s="4">
        <f>IFERROR(__xludf.DUMMYFUNCTION("""COMPUTED_VALUE"""),109.0)</f>
        <v>109</v>
      </c>
      <c r="G1694" s="5">
        <f>IFERROR(__xludf.DUMMYFUNCTION("""COMPUTED_VALUE"""),3.535109E7)</f>
        <v>35351090</v>
      </c>
    </row>
    <row r="1695">
      <c r="A1695" s="3">
        <f>IFERROR(__xludf.DUMMYFUNCTION("""COMPUTED_VALUE"""),435.0)</f>
        <v>435</v>
      </c>
      <c r="B1695" s="2" t="str">
        <f>IFERROR(__xludf.DUMMYFUNCTION("""COMPUTED_VALUE"""),"GOPALGANJ")</f>
        <v>GOPALGANJ</v>
      </c>
      <c r="C1695" s="4">
        <f>IFERROR(__xludf.DUMMYFUNCTION("""COMPUTED_VALUE"""),35.0)</f>
        <v>35</v>
      </c>
      <c r="D1695" s="2" t="str">
        <f>IFERROR(__xludf.DUMMYFUNCTION("""COMPUTED_VALUE"""),"BANGLADESH KRISHI BANK")</f>
        <v>BANGLADESH KRISHI BANK</v>
      </c>
      <c r="E1695" s="2" t="str">
        <f>IFERROR(__xludf.DUMMYFUNCTION("""COMPUTED_VALUE"""),"UZANI BAZAR")</f>
        <v>UZANI BAZAR</v>
      </c>
      <c r="F1695" s="4">
        <f>IFERROR(__xludf.DUMMYFUNCTION("""COMPUTED_VALUE"""),112.0)</f>
        <v>112</v>
      </c>
      <c r="G1695" s="5">
        <f>IFERROR(__xludf.DUMMYFUNCTION("""COMPUTED_VALUE"""),3.5351124E7)</f>
        <v>35351124</v>
      </c>
    </row>
    <row r="1696">
      <c r="A1696" s="3">
        <f>IFERROR(__xludf.DUMMYFUNCTION("""COMPUTED_VALUE"""),836.0)</f>
        <v>836</v>
      </c>
      <c r="B1696" s="2" t="str">
        <f>IFERROR(__xludf.DUMMYFUNCTION("""COMPUTED_VALUE"""),"HABIGANJ")</f>
        <v>HABIGANJ</v>
      </c>
      <c r="C1696" s="4">
        <f>IFERROR(__xludf.DUMMYFUNCTION("""COMPUTED_VALUE"""),35.0)</f>
        <v>35</v>
      </c>
      <c r="D1696" s="2" t="str">
        <f>IFERROR(__xludf.DUMMYFUNCTION("""COMPUTED_VALUE"""),"BANGLADESH KRISHI BANK")</f>
        <v>BANGLADESH KRISHI BANK</v>
      </c>
      <c r="E1696" s="2" t="str">
        <f>IFERROR(__xludf.DUMMYFUNCTION("""COMPUTED_VALUE"""),"AJMIRIGANJ")</f>
        <v>AJMIRIGANJ</v>
      </c>
      <c r="F1696" s="4">
        <f>IFERROR(__xludf.DUMMYFUNCTION("""COMPUTED_VALUE"""),4.0)</f>
        <v>4</v>
      </c>
      <c r="G1696" s="5">
        <f>IFERROR(__xludf.DUMMYFUNCTION("""COMPUTED_VALUE"""),3.5360049E7)</f>
        <v>35360049</v>
      </c>
    </row>
    <row r="1697">
      <c r="A1697" s="3">
        <f>IFERROR(__xludf.DUMMYFUNCTION("""COMPUTED_VALUE"""),836.0)</f>
        <v>836</v>
      </c>
      <c r="B1697" s="2" t="str">
        <f>IFERROR(__xludf.DUMMYFUNCTION("""COMPUTED_VALUE"""),"HABIGANJ")</f>
        <v>HABIGANJ</v>
      </c>
      <c r="C1697" s="4">
        <f>IFERROR(__xludf.DUMMYFUNCTION("""COMPUTED_VALUE"""),35.0)</f>
        <v>35</v>
      </c>
      <c r="D1697" s="2" t="str">
        <f>IFERROR(__xludf.DUMMYFUNCTION("""COMPUTED_VALUE"""),"BANGLADESH KRISHI BANK")</f>
        <v>BANGLADESH KRISHI BANK</v>
      </c>
      <c r="E1697" s="2" t="str">
        <f>IFERROR(__xludf.DUMMYFUNCTION("""COMPUTED_VALUE"""),"AMUROAD BAZAR")</f>
        <v>AMUROAD BAZAR</v>
      </c>
      <c r="F1697" s="4">
        <f>IFERROR(__xludf.DUMMYFUNCTION("""COMPUTED_VALUE"""),7.0)</f>
        <v>7</v>
      </c>
      <c r="G1697" s="5">
        <f>IFERROR(__xludf.DUMMYFUNCTION("""COMPUTED_VALUE"""),3.5360078E7)</f>
        <v>35360078</v>
      </c>
    </row>
    <row r="1698">
      <c r="A1698" s="3">
        <f>IFERROR(__xludf.DUMMYFUNCTION("""COMPUTED_VALUE"""),836.0)</f>
        <v>836</v>
      </c>
      <c r="B1698" s="2" t="str">
        <f>IFERROR(__xludf.DUMMYFUNCTION("""COMPUTED_VALUE"""),"HABIGANJ")</f>
        <v>HABIGANJ</v>
      </c>
      <c r="C1698" s="4">
        <f>IFERROR(__xludf.DUMMYFUNCTION("""COMPUTED_VALUE"""),35.0)</f>
        <v>35</v>
      </c>
      <c r="D1698" s="2" t="str">
        <f>IFERROR(__xludf.DUMMYFUNCTION("""COMPUTED_VALUE"""),"BANGLADESH KRISHI BANK")</f>
        <v>BANGLADESH KRISHI BANK</v>
      </c>
      <c r="E1698" s="2" t="str">
        <f>IFERROR(__xludf.DUMMYFUNCTION("""COMPUTED_VALUE"""),"BAHUBAL")</f>
        <v>BAHUBAL</v>
      </c>
      <c r="F1698" s="4">
        <f>IFERROR(__xludf.DUMMYFUNCTION("""COMPUTED_VALUE"""),13.0)</f>
        <v>13</v>
      </c>
      <c r="G1698" s="5">
        <f>IFERROR(__xludf.DUMMYFUNCTION("""COMPUTED_VALUE"""),3.5360131E7)</f>
        <v>35360131</v>
      </c>
    </row>
    <row r="1699">
      <c r="A1699" s="3">
        <f>IFERROR(__xludf.DUMMYFUNCTION("""COMPUTED_VALUE"""),836.0)</f>
        <v>836</v>
      </c>
      <c r="B1699" s="2" t="str">
        <f>IFERROR(__xludf.DUMMYFUNCTION("""COMPUTED_VALUE"""),"HABIGANJ")</f>
        <v>HABIGANJ</v>
      </c>
      <c r="C1699" s="4">
        <f>IFERROR(__xludf.DUMMYFUNCTION("""COMPUTED_VALUE"""),35.0)</f>
        <v>35</v>
      </c>
      <c r="D1699" s="2" t="str">
        <f>IFERROR(__xludf.DUMMYFUNCTION("""COMPUTED_VALUE"""),"BANGLADESH KRISHI BANK")</f>
        <v>BANGLADESH KRISHI BANK</v>
      </c>
      <c r="E1699" s="2" t="str">
        <f>IFERROR(__xludf.DUMMYFUNCTION("""COMPUTED_VALUE"""),"BANIACHANG")</f>
        <v>BANIACHANG</v>
      </c>
      <c r="F1699" s="4">
        <f>IFERROR(__xludf.DUMMYFUNCTION("""COMPUTED_VALUE"""),16.0)</f>
        <v>16</v>
      </c>
      <c r="G1699" s="5">
        <f>IFERROR(__xludf.DUMMYFUNCTION("""COMPUTED_VALUE"""),3.536016E7)</f>
        <v>35360160</v>
      </c>
    </row>
    <row r="1700">
      <c r="A1700" s="3">
        <f>IFERROR(__xludf.DUMMYFUNCTION("""COMPUTED_VALUE"""),836.0)</f>
        <v>836</v>
      </c>
      <c r="B1700" s="2" t="str">
        <f>IFERROR(__xludf.DUMMYFUNCTION("""COMPUTED_VALUE"""),"HABIGANJ")</f>
        <v>HABIGANJ</v>
      </c>
      <c r="C1700" s="4">
        <f>IFERROR(__xludf.DUMMYFUNCTION("""COMPUTED_VALUE"""),35.0)</f>
        <v>35</v>
      </c>
      <c r="D1700" s="2" t="str">
        <f>IFERROR(__xludf.DUMMYFUNCTION("""COMPUTED_VALUE"""),"BANGLADESH KRISHI BANK")</f>
        <v>BANGLADESH KRISHI BANK</v>
      </c>
      <c r="E1700" s="2" t="str">
        <f>IFERROR(__xludf.DUMMYFUNCTION("""COMPUTED_VALUE"""),"CHOWMUHANI BAZAR")</f>
        <v>CHOWMUHANI BAZAR</v>
      </c>
      <c r="F1700" s="4">
        <f>IFERROR(__xludf.DUMMYFUNCTION("""COMPUTED_VALUE"""),31.0)</f>
        <v>31</v>
      </c>
      <c r="G1700" s="5">
        <f>IFERROR(__xludf.DUMMYFUNCTION("""COMPUTED_VALUE"""),3.5360315E7)</f>
        <v>35360315</v>
      </c>
    </row>
    <row r="1701">
      <c r="A1701" s="3">
        <f>IFERROR(__xludf.DUMMYFUNCTION("""COMPUTED_VALUE"""),836.0)</f>
        <v>836</v>
      </c>
      <c r="B1701" s="2" t="str">
        <f>IFERROR(__xludf.DUMMYFUNCTION("""COMPUTED_VALUE"""),"HABIGANJ")</f>
        <v>HABIGANJ</v>
      </c>
      <c r="C1701" s="4">
        <f>IFERROR(__xludf.DUMMYFUNCTION("""COMPUTED_VALUE"""),35.0)</f>
        <v>35</v>
      </c>
      <c r="D1701" s="2" t="str">
        <f>IFERROR(__xludf.DUMMYFUNCTION("""COMPUTED_VALUE"""),"BANGLADESH KRISHI BANK")</f>
        <v>BANGLADESH KRISHI BANK</v>
      </c>
      <c r="E1701" s="2" t="str">
        <f>IFERROR(__xludf.DUMMYFUNCTION("""COMPUTED_VALUE"""),"CHUNARUGHAT")</f>
        <v>CHUNARUGHAT</v>
      </c>
      <c r="F1701" s="4">
        <f>IFERROR(__xludf.DUMMYFUNCTION("""COMPUTED_VALUE"""),34.0)</f>
        <v>34</v>
      </c>
      <c r="G1701" s="5">
        <f>IFERROR(__xludf.DUMMYFUNCTION("""COMPUTED_VALUE"""),3.5360344E7)</f>
        <v>35360344</v>
      </c>
    </row>
    <row r="1702">
      <c r="A1702" s="3">
        <f>IFERROR(__xludf.DUMMYFUNCTION("""COMPUTED_VALUE"""),836.0)</f>
        <v>836</v>
      </c>
      <c r="B1702" s="2" t="str">
        <f>IFERROR(__xludf.DUMMYFUNCTION("""COMPUTED_VALUE"""),"HABIGANJ")</f>
        <v>HABIGANJ</v>
      </c>
      <c r="C1702" s="4">
        <f>IFERROR(__xludf.DUMMYFUNCTION("""COMPUTED_VALUE"""),35.0)</f>
        <v>35</v>
      </c>
      <c r="D1702" s="2" t="str">
        <f>IFERROR(__xludf.DUMMYFUNCTION("""COMPUTED_VALUE"""),"BANGLADESH KRISHI BANK")</f>
        <v>BANGLADESH KRISHI BANK</v>
      </c>
      <c r="E1702" s="2" t="str">
        <f>IFERROR(__xludf.DUMMYFUNCTION("""COMPUTED_VALUE"""),"DUBAI HAJIGANJ BAZAR")</f>
        <v>DUBAI HAJIGANJ BAZAR</v>
      </c>
      <c r="F1702" s="4">
        <f>IFERROR(__xludf.DUMMYFUNCTION("""COMPUTED_VALUE"""),40.0)</f>
        <v>40</v>
      </c>
      <c r="G1702" s="5">
        <f>IFERROR(__xludf.DUMMYFUNCTION("""COMPUTED_VALUE"""),3.5360407E7)</f>
        <v>35360407</v>
      </c>
    </row>
    <row r="1703">
      <c r="A1703" s="3">
        <f>IFERROR(__xludf.DUMMYFUNCTION("""COMPUTED_VALUE"""),836.0)</f>
        <v>836</v>
      </c>
      <c r="B1703" s="2" t="str">
        <f>IFERROR(__xludf.DUMMYFUNCTION("""COMPUTED_VALUE"""),"HABIGANJ")</f>
        <v>HABIGANJ</v>
      </c>
      <c r="C1703" s="4">
        <f>IFERROR(__xludf.DUMMYFUNCTION("""COMPUTED_VALUE"""),35.0)</f>
        <v>35</v>
      </c>
      <c r="D1703" s="2" t="str">
        <f>IFERROR(__xludf.DUMMYFUNCTION("""COMPUTED_VALUE"""),"BANGLADESH KRISHI BANK")</f>
        <v>BANGLADESH KRISHI BANK</v>
      </c>
      <c r="E1703" s="2" t="str">
        <f>IFERROR(__xludf.DUMMYFUNCTION("""COMPUTED_VALUE"""),"GOPLAR BAZAR")</f>
        <v>GOPLAR BAZAR</v>
      </c>
      <c r="F1703" s="4">
        <f>IFERROR(__xludf.DUMMYFUNCTION("""COMPUTED_VALUE"""),55.0)</f>
        <v>55</v>
      </c>
      <c r="G1703" s="5">
        <f>IFERROR(__xludf.DUMMYFUNCTION("""COMPUTED_VALUE"""),3.5360557E7)</f>
        <v>35360557</v>
      </c>
    </row>
    <row r="1704">
      <c r="A1704" s="3">
        <f>IFERROR(__xludf.DUMMYFUNCTION("""COMPUTED_VALUE"""),836.0)</f>
        <v>836</v>
      </c>
      <c r="B1704" s="2" t="str">
        <f>IFERROR(__xludf.DUMMYFUNCTION("""COMPUTED_VALUE"""),"HABIGANJ")</f>
        <v>HABIGANJ</v>
      </c>
      <c r="C1704" s="4">
        <f>IFERROR(__xludf.DUMMYFUNCTION("""COMPUTED_VALUE"""),35.0)</f>
        <v>35</v>
      </c>
      <c r="D1704" s="2" t="str">
        <f>IFERROR(__xludf.DUMMYFUNCTION("""COMPUTED_VALUE"""),"BANGLADESH KRISHI BANK")</f>
        <v>BANGLADESH KRISHI BANK</v>
      </c>
      <c r="E1704" s="2" t="str">
        <f>IFERROR(__xludf.DUMMYFUNCTION("""COMPUTED_VALUE"""),"HABIGANJ")</f>
        <v>HABIGANJ</v>
      </c>
      <c r="F1704" s="4">
        <f>IFERROR(__xludf.DUMMYFUNCTION("""COMPUTED_VALUE"""),61.0)</f>
        <v>61</v>
      </c>
      <c r="G1704" s="5">
        <f>IFERROR(__xludf.DUMMYFUNCTION("""COMPUTED_VALUE"""),3.536061E7)</f>
        <v>35360610</v>
      </c>
    </row>
    <row r="1705">
      <c r="A1705" s="3">
        <f>IFERROR(__xludf.DUMMYFUNCTION("""COMPUTED_VALUE"""),836.0)</f>
        <v>836</v>
      </c>
      <c r="B1705" s="2" t="str">
        <f>IFERROR(__xludf.DUMMYFUNCTION("""COMPUTED_VALUE"""),"HABIGANJ")</f>
        <v>HABIGANJ</v>
      </c>
      <c r="C1705" s="4">
        <f>IFERROR(__xludf.DUMMYFUNCTION("""COMPUTED_VALUE"""),35.0)</f>
        <v>35</v>
      </c>
      <c r="D1705" s="2" t="str">
        <f>IFERROR(__xludf.DUMMYFUNCTION("""COMPUTED_VALUE"""),"BANGLADESH KRISHI BANK")</f>
        <v>BANGLADESH KRISHI BANK</v>
      </c>
      <c r="E1705" s="2" t="str">
        <f>IFERROR(__xludf.DUMMYFUNCTION("""COMPUTED_VALUE"""),"IMAMBARI")</f>
        <v>IMAMBARI</v>
      </c>
      <c r="F1705" s="4">
        <f>IFERROR(__xludf.DUMMYFUNCTION("""COMPUTED_VALUE"""),67.0)</f>
        <v>67</v>
      </c>
      <c r="G1705" s="5">
        <f>IFERROR(__xludf.DUMMYFUNCTION("""COMPUTED_VALUE"""),3.5360678E7)</f>
        <v>35360678</v>
      </c>
    </row>
    <row r="1706">
      <c r="A1706" s="3">
        <f>IFERROR(__xludf.DUMMYFUNCTION("""COMPUTED_VALUE"""),836.0)</f>
        <v>836</v>
      </c>
      <c r="B1706" s="2" t="str">
        <f>IFERROR(__xludf.DUMMYFUNCTION("""COMPUTED_VALUE"""),"HABIGANJ")</f>
        <v>HABIGANJ</v>
      </c>
      <c r="C1706" s="4">
        <f>IFERROR(__xludf.DUMMYFUNCTION("""COMPUTED_VALUE"""),35.0)</f>
        <v>35</v>
      </c>
      <c r="D1706" s="2" t="str">
        <f>IFERROR(__xludf.DUMMYFUNCTION("""COMPUTED_VALUE"""),"BANGLADESH KRISHI BANK")</f>
        <v>BANGLADESH KRISHI BANK</v>
      </c>
      <c r="E1706" s="2" t="str">
        <f>IFERROR(__xludf.DUMMYFUNCTION("""COMPUTED_VALUE"""),"KAKAILCHEO")</f>
        <v>KAKAILCHEO</v>
      </c>
      <c r="F1706" s="4">
        <f>IFERROR(__xludf.DUMMYFUNCTION("""COMPUTED_VALUE"""),73.0)</f>
        <v>73</v>
      </c>
      <c r="G1706" s="5">
        <f>IFERROR(__xludf.DUMMYFUNCTION("""COMPUTED_VALUE"""),3.5360731E7)</f>
        <v>35360731</v>
      </c>
    </row>
    <row r="1707">
      <c r="A1707" s="3">
        <f>IFERROR(__xludf.DUMMYFUNCTION("""COMPUTED_VALUE"""),836.0)</f>
        <v>836</v>
      </c>
      <c r="B1707" s="2" t="str">
        <f>IFERROR(__xludf.DUMMYFUNCTION("""COMPUTED_VALUE"""),"HABIGANJ")</f>
        <v>HABIGANJ</v>
      </c>
      <c r="C1707" s="4">
        <f>IFERROR(__xludf.DUMMYFUNCTION("""COMPUTED_VALUE"""),35.0)</f>
        <v>35</v>
      </c>
      <c r="D1707" s="2" t="str">
        <f>IFERROR(__xludf.DUMMYFUNCTION("""COMPUTED_VALUE"""),"BANGLADESH KRISHI BANK")</f>
        <v>BANGLADESH KRISHI BANK</v>
      </c>
      <c r="E1707" s="2" t="str">
        <f>IFERROR(__xludf.DUMMYFUNCTION("""COMPUTED_VALUE"""),"KALAUK")</f>
        <v>KALAUK</v>
      </c>
      <c r="F1707" s="4">
        <f>IFERROR(__xludf.DUMMYFUNCTION("""COMPUTED_VALUE"""),76.0)</f>
        <v>76</v>
      </c>
      <c r="G1707" s="5">
        <f>IFERROR(__xludf.DUMMYFUNCTION("""COMPUTED_VALUE"""),3.536076E7)</f>
        <v>35360760</v>
      </c>
    </row>
    <row r="1708">
      <c r="A1708" s="3">
        <f>IFERROR(__xludf.DUMMYFUNCTION("""COMPUTED_VALUE"""),836.0)</f>
        <v>836</v>
      </c>
      <c r="B1708" s="2" t="str">
        <f>IFERROR(__xludf.DUMMYFUNCTION("""COMPUTED_VALUE"""),"HABIGANJ")</f>
        <v>HABIGANJ</v>
      </c>
      <c r="C1708" s="4">
        <f>IFERROR(__xludf.DUMMYFUNCTION("""COMPUTED_VALUE"""),35.0)</f>
        <v>35</v>
      </c>
      <c r="D1708" s="2" t="str">
        <f>IFERROR(__xludf.DUMMYFUNCTION("""COMPUTED_VALUE"""),"BANGLADESH KRISHI BANK")</f>
        <v>BANGLADESH KRISHI BANK</v>
      </c>
      <c r="E1708" s="2" t="str">
        <f>IFERROR(__xludf.DUMMYFUNCTION("""COMPUTED_VALUE"""),"KASHIMNAGAR")</f>
        <v>KASHIMNAGAR</v>
      </c>
      <c r="F1708" s="4">
        <f>IFERROR(__xludf.DUMMYFUNCTION("""COMPUTED_VALUE"""),79.0)</f>
        <v>79</v>
      </c>
      <c r="G1708" s="5">
        <f>IFERROR(__xludf.DUMMYFUNCTION("""COMPUTED_VALUE"""),3.5360799E7)</f>
        <v>35360799</v>
      </c>
    </row>
    <row r="1709">
      <c r="A1709" s="3">
        <f>IFERROR(__xludf.DUMMYFUNCTION("""COMPUTED_VALUE"""),836.0)</f>
        <v>836</v>
      </c>
      <c r="B1709" s="2" t="str">
        <f>IFERROR(__xludf.DUMMYFUNCTION("""COMPUTED_VALUE"""),"HABIGANJ")</f>
        <v>HABIGANJ</v>
      </c>
      <c r="C1709" s="4">
        <f>IFERROR(__xludf.DUMMYFUNCTION("""COMPUTED_VALUE"""),35.0)</f>
        <v>35</v>
      </c>
      <c r="D1709" s="2" t="str">
        <f>IFERROR(__xludf.DUMMYFUNCTION("""COMPUTED_VALUE"""),"BANGLADESH KRISHI BANK")</f>
        <v>BANGLADESH KRISHI BANK</v>
      </c>
      <c r="E1709" s="2" t="str">
        <f>IFERROR(__xludf.DUMMYFUNCTION("""COMPUTED_VALUE"""),"KAZIGANJ BAZAR")</f>
        <v>KAZIGANJ BAZAR</v>
      </c>
      <c r="F1709" s="4">
        <f>IFERROR(__xludf.DUMMYFUNCTION("""COMPUTED_VALUE"""),82.0)</f>
        <v>82</v>
      </c>
      <c r="G1709" s="5">
        <f>IFERROR(__xludf.DUMMYFUNCTION("""COMPUTED_VALUE"""),3.5360823E7)</f>
        <v>35360823</v>
      </c>
    </row>
    <row r="1710">
      <c r="A1710" s="3">
        <f>IFERROR(__xludf.DUMMYFUNCTION("""COMPUTED_VALUE"""),836.0)</f>
        <v>836</v>
      </c>
      <c r="B1710" s="2" t="str">
        <f>IFERROR(__xludf.DUMMYFUNCTION("""COMPUTED_VALUE"""),"HABIGANJ")</f>
        <v>HABIGANJ</v>
      </c>
      <c r="C1710" s="4">
        <f>IFERROR(__xludf.DUMMYFUNCTION("""COMPUTED_VALUE"""),35.0)</f>
        <v>35</v>
      </c>
      <c r="D1710" s="2" t="str">
        <f>IFERROR(__xludf.DUMMYFUNCTION("""COMPUTED_VALUE"""),"BANGLADESH KRISHI BANK")</f>
        <v>BANGLADESH KRISHI BANK</v>
      </c>
      <c r="E1710" s="2" t="str">
        <f>IFERROR(__xludf.DUMMYFUNCTION("""COMPUTED_VALUE"""),"LAKHAI")</f>
        <v>LAKHAI</v>
      </c>
      <c r="F1710" s="4">
        <f>IFERROR(__xludf.DUMMYFUNCTION("""COMPUTED_VALUE"""),85.0)</f>
        <v>85</v>
      </c>
      <c r="G1710" s="5">
        <f>IFERROR(__xludf.DUMMYFUNCTION("""COMPUTED_VALUE"""),3.5360852E7)</f>
        <v>35360852</v>
      </c>
    </row>
    <row r="1711">
      <c r="A1711" s="3">
        <f>IFERROR(__xludf.DUMMYFUNCTION("""COMPUTED_VALUE"""),836.0)</f>
        <v>836</v>
      </c>
      <c r="B1711" s="2" t="str">
        <f>IFERROR(__xludf.DUMMYFUNCTION("""COMPUTED_VALUE"""),"HABIGANJ")</f>
        <v>HABIGANJ</v>
      </c>
      <c r="C1711" s="4">
        <f>IFERROR(__xludf.DUMMYFUNCTION("""COMPUTED_VALUE"""),35.0)</f>
        <v>35</v>
      </c>
      <c r="D1711" s="2" t="str">
        <f>IFERROR(__xludf.DUMMYFUNCTION("""COMPUTED_VALUE"""),"BANGLADESH KRISHI BANK")</f>
        <v>BANGLADESH KRISHI BANK</v>
      </c>
      <c r="E1711" s="2" t="str">
        <f>IFERROR(__xludf.DUMMYFUNCTION("""COMPUTED_VALUE"""),"MADHABPUR")</f>
        <v>MADHABPUR</v>
      </c>
      <c r="F1711" s="4">
        <f>IFERROR(__xludf.DUMMYFUNCTION("""COMPUTED_VALUE"""),88.0)</f>
        <v>88</v>
      </c>
      <c r="G1711" s="5">
        <f>IFERROR(__xludf.DUMMYFUNCTION("""COMPUTED_VALUE"""),3.5360881E7)</f>
        <v>35360881</v>
      </c>
    </row>
    <row r="1712">
      <c r="A1712" s="3">
        <f>IFERROR(__xludf.DUMMYFUNCTION("""COMPUTED_VALUE"""),836.0)</f>
        <v>836</v>
      </c>
      <c r="B1712" s="2" t="str">
        <f>IFERROR(__xludf.DUMMYFUNCTION("""COMPUTED_VALUE"""),"HABIGANJ")</f>
        <v>HABIGANJ</v>
      </c>
      <c r="C1712" s="4">
        <f>IFERROR(__xludf.DUMMYFUNCTION("""COMPUTED_VALUE"""),35.0)</f>
        <v>35</v>
      </c>
      <c r="D1712" s="2" t="str">
        <f>IFERROR(__xludf.DUMMYFUNCTION("""COMPUTED_VALUE"""),"BANGLADESH KRISHI BANK")</f>
        <v>BANGLADESH KRISHI BANK</v>
      </c>
      <c r="E1712" s="2" t="str">
        <f>IFERROR(__xludf.DUMMYFUNCTION("""COMPUTED_VALUE"""),"MADNA")</f>
        <v>MADNA</v>
      </c>
      <c r="F1712" s="4">
        <f>IFERROR(__xludf.DUMMYFUNCTION("""COMPUTED_VALUE"""),91.0)</f>
        <v>91</v>
      </c>
      <c r="G1712" s="5">
        <f>IFERROR(__xludf.DUMMYFUNCTION("""COMPUTED_VALUE"""),3.5360915E7)</f>
        <v>35360915</v>
      </c>
    </row>
    <row r="1713">
      <c r="A1713" s="3">
        <f>IFERROR(__xludf.DUMMYFUNCTION("""COMPUTED_VALUE"""),836.0)</f>
        <v>836</v>
      </c>
      <c r="B1713" s="2" t="str">
        <f>IFERROR(__xludf.DUMMYFUNCTION("""COMPUTED_VALUE"""),"HABIGANJ")</f>
        <v>HABIGANJ</v>
      </c>
      <c r="C1713" s="4">
        <f>IFERROR(__xludf.DUMMYFUNCTION("""COMPUTED_VALUE"""),35.0)</f>
        <v>35</v>
      </c>
      <c r="D1713" s="2" t="str">
        <f>IFERROR(__xludf.DUMMYFUNCTION("""COMPUTED_VALUE"""),"BANGLADESH KRISHI BANK")</f>
        <v>BANGLADESH KRISHI BANK</v>
      </c>
      <c r="E1713" s="2" t="str">
        <f>IFERROR(__xludf.DUMMYFUNCTION("""COMPUTED_VALUE"""),"MIRPUR")</f>
        <v>MIRPUR</v>
      </c>
      <c r="F1713" s="4">
        <f>IFERROR(__xludf.DUMMYFUNCTION("""COMPUTED_VALUE"""),97.0)</f>
        <v>97</v>
      </c>
      <c r="G1713" s="5">
        <f>IFERROR(__xludf.DUMMYFUNCTION("""COMPUTED_VALUE"""),3.5360973E7)</f>
        <v>35360973</v>
      </c>
    </row>
    <row r="1714">
      <c r="A1714" s="3">
        <f>IFERROR(__xludf.DUMMYFUNCTION("""COMPUTED_VALUE"""),836.0)</f>
        <v>836</v>
      </c>
      <c r="B1714" s="2" t="str">
        <f>IFERROR(__xludf.DUMMYFUNCTION("""COMPUTED_VALUE"""),"HABIGANJ")</f>
        <v>HABIGANJ</v>
      </c>
      <c r="C1714" s="4">
        <f>IFERROR(__xludf.DUMMYFUNCTION("""COMPUTED_VALUE"""),35.0)</f>
        <v>35</v>
      </c>
      <c r="D1714" s="2" t="str">
        <f>IFERROR(__xludf.DUMMYFUNCTION("""COMPUTED_VALUE"""),"BANGLADESH KRISHI BANK")</f>
        <v>BANGLADESH KRISHI BANK</v>
      </c>
      <c r="E1714" s="2" t="str">
        <f>IFERROR(__xludf.DUMMYFUNCTION("""COMPUTED_VALUE"""),"MORA KARI")</f>
        <v>MORA KARI</v>
      </c>
      <c r="F1714" s="4">
        <f>IFERROR(__xludf.DUMMYFUNCTION("""COMPUTED_VALUE"""),106.0)</f>
        <v>106</v>
      </c>
      <c r="G1714" s="5">
        <f>IFERROR(__xludf.DUMMYFUNCTION("""COMPUTED_VALUE"""),3.5361064E7)</f>
        <v>35361064</v>
      </c>
    </row>
    <row r="1715">
      <c r="A1715" s="3">
        <f>IFERROR(__xludf.DUMMYFUNCTION("""COMPUTED_VALUE"""),836.0)</f>
        <v>836</v>
      </c>
      <c r="B1715" s="2" t="str">
        <f>IFERROR(__xludf.DUMMYFUNCTION("""COMPUTED_VALUE"""),"HABIGANJ")</f>
        <v>HABIGANJ</v>
      </c>
      <c r="C1715" s="4">
        <f>IFERROR(__xludf.DUMMYFUNCTION("""COMPUTED_VALUE"""),35.0)</f>
        <v>35</v>
      </c>
      <c r="D1715" s="2" t="str">
        <f>IFERROR(__xludf.DUMMYFUNCTION("""COMPUTED_VALUE"""),"BANGLADESH KRISHI BANK")</f>
        <v>BANGLADESH KRISHI BANK</v>
      </c>
      <c r="E1715" s="2" t="str">
        <f>IFERROR(__xludf.DUMMYFUNCTION("""COMPUTED_VALUE"""),"NABIGANJ")</f>
        <v>NABIGANJ</v>
      </c>
      <c r="F1715" s="4">
        <f>IFERROR(__xludf.DUMMYFUNCTION("""COMPUTED_VALUE"""),109.0)</f>
        <v>109</v>
      </c>
      <c r="G1715" s="5">
        <f>IFERROR(__xludf.DUMMYFUNCTION("""COMPUTED_VALUE"""),3.5361093E7)</f>
        <v>35361093</v>
      </c>
    </row>
    <row r="1716">
      <c r="A1716" s="3">
        <f>IFERROR(__xludf.DUMMYFUNCTION("""COMPUTED_VALUE"""),836.0)</f>
        <v>836</v>
      </c>
      <c r="B1716" s="2" t="str">
        <f>IFERROR(__xludf.DUMMYFUNCTION("""COMPUTED_VALUE"""),"HABIGANJ")</f>
        <v>HABIGANJ</v>
      </c>
      <c r="C1716" s="4">
        <f>IFERROR(__xludf.DUMMYFUNCTION("""COMPUTED_VALUE"""),35.0)</f>
        <v>35</v>
      </c>
      <c r="D1716" s="2" t="str">
        <f>IFERROR(__xludf.DUMMYFUNCTION("""COMPUTED_VALUE"""),"BANGLADESH KRISHI BANK")</f>
        <v>BANGLADESH KRISHI BANK</v>
      </c>
      <c r="E1716" s="2" t="str">
        <f>IFERROR(__xludf.DUMMYFUNCTION("""COMPUTED_VALUE"""),"NAGURA")</f>
        <v>NAGURA</v>
      </c>
      <c r="F1716" s="4">
        <f>IFERROR(__xludf.DUMMYFUNCTION("""COMPUTED_VALUE"""),112.0)</f>
        <v>112</v>
      </c>
      <c r="G1716" s="5">
        <f>IFERROR(__xludf.DUMMYFUNCTION("""COMPUTED_VALUE"""),3.5361127E7)</f>
        <v>35361127</v>
      </c>
    </row>
    <row r="1717">
      <c r="A1717" s="3">
        <f>IFERROR(__xludf.DUMMYFUNCTION("""COMPUTED_VALUE"""),836.0)</f>
        <v>836</v>
      </c>
      <c r="B1717" s="2" t="str">
        <f>IFERROR(__xludf.DUMMYFUNCTION("""COMPUTED_VALUE"""),"HABIGANJ")</f>
        <v>HABIGANJ</v>
      </c>
      <c r="C1717" s="4">
        <f>IFERROR(__xludf.DUMMYFUNCTION("""COMPUTED_VALUE"""),35.0)</f>
        <v>35</v>
      </c>
      <c r="D1717" s="2" t="str">
        <f>IFERROR(__xludf.DUMMYFUNCTION("""COMPUTED_VALUE"""),"BANGLADESH KRISHI BANK")</f>
        <v>BANGLADESH KRISHI BANK</v>
      </c>
      <c r="E1717" s="2" t="str">
        <f>IFERROR(__xludf.DUMMYFUNCTION("""COMPUTED_VALUE"""),"NALMUKH BAZAR")</f>
        <v>NALMUKH BAZAR</v>
      </c>
      <c r="F1717" s="4">
        <f>IFERROR(__xludf.DUMMYFUNCTION("""COMPUTED_VALUE"""),115.0)</f>
        <v>115</v>
      </c>
      <c r="G1717" s="5">
        <f>IFERROR(__xludf.DUMMYFUNCTION("""COMPUTED_VALUE"""),3.5361156E7)</f>
        <v>35361156</v>
      </c>
    </row>
    <row r="1718">
      <c r="A1718" s="3">
        <f>IFERROR(__xludf.DUMMYFUNCTION("""COMPUTED_VALUE"""),836.0)</f>
        <v>836</v>
      </c>
      <c r="B1718" s="2" t="str">
        <f>IFERROR(__xludf.DUMMYFUNCTION("""COMPUTED_VALUE"""),"HABIGANJ")</f>
        <v>HABIGANJ</v>
      </c>
      <c r="C1718" s="4">
        <f>IFERROR(__xludf.DUMMYFUNCTION("""COMPUTED_VALUE"""),35.0)</f>
        <v>35</v>
      </c>
      <c r="D1718" s="2" t="str">
        <f>IFERROR(__xludf.DUMMYFUNCTION("""COMPUTED_VALUE"""),"BANGLADESH KRISHI BANK")</f>
        <v>BANGLADESH KRISHI BANK</v>
      </c>
      <c r="E1718" s="2" t="str">
        <f>IFERROR(__xludf.DUMMYFUNCTION("""COMPUTED_VALUE"""),"NANDANPUR BAZAR")</f>
        <v>NANDANPUR BAZAR</v>
      </c>
      <c r="F1718" s="4">
        <f>IFERROR(__xludf.DUMMYFUNCTION("""COMPUTED_VALUE"""),118.0)</f>
        <v>118</v>
      </c>
      <c r="G1718" s="5">
        <f>IFERROR(__xludf.DUMMYFUNCTION("""COMPUTED_VALUE"""),3.5361185E7)</f>
        <v>35361185</v>
      </c>
    </row>
    <row r="1719">
      <c r="A1719" s="3">
        <f>IFERROR(__xludf.DUMMYFUNCTION("""COMPUTED_VALUE"""),836.0)</f>
        <v>836</v>
      </c>
      <c r="B1719" s="2" t="str">
        <f>IFERROR(__xludf.DUMMYFUNCTION("""COMPUTED_VALUE"""),"HABIGANJ")</f>
        <v>HABIGANJ</v>
      </c>
      <c r="C1719" s="4">
        <f>IFERROR(__xludf.DUMMYFUNCTION("""COMPUTED_VALUE"""),35.0)</f>
        <v>35</v>
      </c>
      <c r="D1719" s="2" t="str">
        <f>IFERROR(__xludf.DUMMYFUNCTION("""COMPUTED_VALUE"""),"BANGLADESH KRISHI BANK")</f>
        <v>BANGLADESH KRISHI BANK</v>
      </c>
      <c r="E1719" s="2" t="str">
        <f>IFERROR(__xludf.DUMMYFUNCTION("""COMPUTED_VALUE"""),"PAHARPUR BAZAR")</f>
        <v>PAHARPUR BAZAR</v>
      </c>
      <c r="F1719" s="4">
        <f>IFERROR(__xludf.DUMMYFUNCTION("""COMPUTED_VALUE"""),124.0)</f>
        <v>124</v>
      </c>
      <c r="G1719" s="5">
        <f>IFERROR(__xludf.DUMMYFUNCTION("""COMPUTED_VALUE"""),3.5361248E7)</f>
        <v>35361248</v>
      </c>
    </row>
    <row r="1720">
      <c r="A1720" s="3">
        <f>IFERROR(__xludf.DUMMYFUNCTION("""COMPUTED_VALUE"""),836.0)</f>
        <v>836</v>
      </c>
      <c r="B1720" s="2" t="str">
        <f>IFERROR(__xludf.DUMMYFUNCTION("""COMPUTED_VALUE"""),"HABIGANJ")</f>
        <v>HABIGANJ</v>
      </c>
      <c r="C1720" s="4">
        <f>IFERROR(__xludf.DUMMYFUNCTION("""COMPUTED_VALUE"""),35.0)</f>
        <v>35</v>
      </c>
      <c r="D1720" s="2" t="str">
        <f>IFERROR(__xludf.DUMMYFUNCTION("""COMPUTED_VALUE"""),"BANGLADESH KRISHI BANK")</f>
        <v>BANGLADESH KRISHI BANK</v>
      </c>
      <c r="E1720" s="2" t="str">
        <f>IFERROR(__xludf.DUMMYFUNCTION("""COMPUTED_VALUE"""),"PANIUMDA")</f>
        <v>PANIUMDA</v>
      </c>
      <c r="F1720" s="4">
        <f>IFERROR(__xludf.DUMMYFUNCTION("""COMPUTED_VALUE"""),127.0)</f>
        <v>127</v>
      </c>
      <c r="G1720" s="5">
        <f>IFERROR(__xludf.DUMMYFUNCTION("""COMPUTED_VALUE"""),3.5361277E7)</f>
        <v>35361277</v>
      </c>
    </row>
    <row r="1721">
      <c r="A1721" s="3">
        <f>IFERROR(__xludf.DUMMYFUNCTION("""COMPUTED_VALUE"""),836.0)</f>
        <v>836</v>
      </c>
      <c r="B1721" s="2" t="str">
        <f>IFERROR(__xludf.DUMMYFUNCTION("""COMPUTED_VALUE"""),"HABIGANJ")</f>
        <v>HABIGANJ</v>
      </c>
      <c r="C1721" s="4">
        <f>IFERROR(__xludf.DUMMYFUNCTION("""COMPUTED_VALUE"""),35.0)</f>
        <v>35</v>
      </c>
      <c r="D1721" s="2" t="str">
        <f>IFERROR(__xludf.DUMMYFUNCTION("""COMPUTED_VALUE"""),"BANGLADESH KRISHI BANK")</f>
        <v>BANGLADESH KRISHI BANK</v>
      </c>
      <c r="E1721" s="2" t="str">
        <f>IFERROR(__xludf.DUMMYFUNCTION("""COMPUTED_VALUE"""),"POIL")</f>
        <v>POIL</v>
      </c>
      <c r="F1721" s="4">
        <f>IFERROR(__xludf.DUMMYFUNCTION("""COMPUTED_VALUE"""),130.0)</f>
        <v>130</v>
      </c>
      <c r="G1721" s="5">
        <f>IFERROR(__xludf.DUMMYFUNCTION("""COMPUTED_VALUE"""),3.5361301E7)</f>
        <v>35361301</v>
      </c>
    </row>
    <row r="1722">
      <c r="A1722" s="3">
        <f>IFERROR(__xludf.DUMMYFUNCTION("""COMPUTED_VALUE"""),836.0)</f>
        <v>836</v>
      </c>
      <c r="B1722" s="2" t="str">
        <f>IFERROR(__xludf.DUMMYFUNCTION("""COMPUTED_VALUE"""),"HABIGANJ")</f>
        <v>HABIGANJ</v>
      </c>
      <c r="C1722" s="4">
        <f>IFERROR(__xludf.DUMMYFUNCTION("""COMPUTED_VALUE"""),35.0)</f>
        <v>35</v>
      </c>
      <c r="D1722" s="2" t="str">
        <f>IFERROR(__xludf.DUMMYFUNCTION("""COMPUTED_VALUE"""),"BANGLADESH KRISHI BANK")</f>
        <v>BANGLADESH KRISHI BANK</v>
      </c>
      <c r="E1722" s="2" t="str">
        <f>IFERROR(__xludf.DUMMYFUNCTION("""COMPUTED_VALUE"""),"SHAKIR MAHMUD")</f>
        <v>SHAKIR MAHMUD</v>
      </c>
      <c r="F1722" s="4">
        <f>IFERROR(__xludf.DUMMYFUNCTION("""COMPUTED_VALUE"""),136.0)</f>
        <v>136</v>
      </c>
      <c r="G1722" s="5">
        <f>IFERROR(__xludf.DUMMYFUNCTION("""COMPUTED_VALUE"""),3.5361369E7)</f>
        <v>35361369</v>
      </c>
    </row>
    <row r="1723">
      <c r="A1723" s="3">
        <f>IFERROR(__xludf.DUMMYFUNCTION("""COMPUTED_VALUE"""),836.0)</f>
        <v>836</v>
      </c>
      <c r="B1723" s="2" t="str">
        <f>IFERROR(__xludf.DUMMYFUNCTION("""COMPUTED_VALUE"""),"HABIGANJ")</f>
        <v>HABIGANJ</v>
      </c>
      <c r="C1723" s="4">
        <f>IFERROR(__xludf.DUMMYFUNCTION("""COMPUTED_VALUE"""),35.0)</f>
        <v>35</v>
      </c>
      <c r="D1723" s="2" t="str">
        <f>IFERROR(__xludf.DUMMYFUNCTION("""COMPUTED_VALUE"""),"BANGLADESH KRISHI BANK")</f>
        <v>BANGLADESH KRISHI BANK</v>
      </c>
      <c r="E1723" s="2" t="str">
        <f>IFERROR(__xludf.DUMMYFUNCTION("""COMPUTED_VALUE"""),"SUJATPUR BAZAR")</f>
        <v>SUJATPUR BAZAR</v>
      </c>
      <c r="F1723" s="4">
        <f>IFERROR(__xludf.DUMMYFUNCTION("""COMPUTED_VALUE"""),142.0)</f>
        <v>142</v>
      </c>
      <c r="G1723" s="5">
        <f>IFERROR(__xludf.DUMMYFUNCTION("""COMPUTED_VALUE"""),3.5361422E7)</f>
        <v>35361422</v>
      </c>
    </row>
    <row r="1724">
      <c r="A1724" s="3">
        <f>IFERROR(__xludf.DUMMYFUNCTION("""COMPUTED_VALUE"""),836.0)</f>
        <v>836</v>
      </c>
      <c r="B1724" s="2" t="str">
        <f>IFERROR(__xludf.DUMMYFUNCTION("""COMPUTED_VALUE"""),"HABIGANJ")</f>
        <v>HABIGANJ</v>
      </c>
      <c r="C1724" s="4">
        <f>IFERROR(__xludf.DUMMYFUNCTION("""COMPUTED_VALUE"""),35.0)</f>
        <v>35</v>
      </c>
      <c r="D1724" s="2" t="str">
        <f>IFERROR(__xludf.DUMMYFUNCTION("""COMPUTED_VALUE"""),"BANGLADESH KRISHI BANK")</f>
        <v>BANGLADESH KRISHI BANK</v>
      </c>
      <c r="E1724" s="2" t="str">
        <f>IFERROR(__xludf.DUMMYFUNCTION("""COMPUTED_VALUE"""),"SUNDARPUR BAZAR")</f>
        <v>SUNDARPUR BAZAR</v>
      </c>
      <c r="F1724" s="4">
        <f>IFERROR(__xludf.DUMMYFUNCTION("""COMPUTED_VALUE"""),145.0)</f>
        <v>145</v>
      </c>
      <c r="G1724" s="5">
        <f>IFERROR(__xludf.DUMMYFUNCTION("""COMPUTED_VALUE"""),3.5361451E7)</f>
        <v>35361451</v>
      </c>
    </row>
    <row r="1725">
      <c r="A1725" s="3">
        <f>IFERROR(__xludf.DUMMYFUNCTION("""COMPUTED_VALUE"""),836.0)</f>
        <v>836</v>
      </c>
      <c r="B1725" s="2" t="str">
        <f>IFERROR(__xludf.DUMMYFUNCTION("""COMPUTED_VALUE"""),"HABIGANJ")</f>
        <v>HABIGANJ</v>
      </c>
      <c r="C1725" s="4">
        <f>IFERROR(__xludf.DUMMYFUNCTION("""COMPUTED_VALUE"""),35.0)</f>
        <v>35</v>
      </c>
      <c r="D1725" s="2" t="str">
        <f>IFERROR(__xludf.DUMMYFUNCTION("""COMPUTED_VALUE"""),"BANGLADESH KRISHI BANK")</f>
        <v>BANGLADESH KRISHI BANK</v>
      </c>
      <c r="E1725" s="2" t="str">
        <f>IFERROR(__xludf.DUMMYFUNCTION("""COMPUTED_VALUE"""),"TALIAPARA")</f>
        <v>TALIAPARA</v>
      </c>
      <c r="F1725" s="4">
        <f>IFERROR(__xludf.DUMMYFUNCTION("""COMPUTED_VALUE"""),154.0)</f>
        <v>154</v>
      </c>
      <c r="G1725" s="5">
        <f>IFERROR(__xludf.DUMMYFUNCTION("""COMPUTED_VALUE"""),3.5361543E7)</f>
        <v>35361543</v>
      </c>
    </row>
    <row r="1726">
      <c r="A1726" s="3">
        <f>IFERROR(__xludf.DUMMYFUNCTION("""COMPUTED_VALUE"""),139.0)</f>
        <v>139</v>
      </c>
      <c r="B1726" s="2" t="str">
        <f>IFERROR(__xludf.DUMMYFUNCTION("""COMPUTED_VALUE"""),"JAMALPUR")</f>
        <v>JAMALPUR</v>
      </c>
      <c r="C1726" s="4">
        <f>IFERROR(__xludf.DUMMYFUNCTION("""COMPUTED_VALUE"""),35.0)</f>
        <v>35</v>
      </c>
      <c r="D1726" s="2" t="str">
        <f>IFERROR(__xludf.DUMMYFUNCTION("""COMPUTED_VALUE"""),"BANGLADESH KRISHI BANK")</f>
        <v>BANGLADESH KRISHI BANK</v>
      </c>
      <c r="E1726" s="2" t="str">
        <f>IFERROR(__xludf.DUMMYFUNCTION("""COMPUTED_VALUE"""),"BAHADURABAD")</f>
        <v>BAHADURABAD</v>
      </c>
      <c r="F1726" s="4">
        <f>IFERROR(__xludf.DUMMYFUNCTION("""COMPUTED_VALUE"""),4.0)</f>
        <v>4</v>
      </c>
      <c r="G1726" s="5">
        <f>IFERROR(__xludf.DUMMYFUNCTION("""COMPUTED_VALUE"""),3.5390048E7)</f>
        <v>35390048</v>
      </c>
    </row>
    <row r="1727">
      <c r="A1727" s="3">
        <f>IFERROR(__xludf.DUMMYFUNCTION("""COMPUTED_VALUE"""),139.0)</f>
        <v>139</v>
      </c>
      <c r="B1727" s="2" t="str">
        <f>IFERROR(__xludf.DUMMYFUNCTION("""COMPUTED_VALUE"""),"JAMALPUR")</f>
        <v>JAMALPUR</v>
      </c>
      <c r="C1727" s="4">
        <f>IFERROR(__xludf.DUMMYFUNCTION("""COMPUTED_VALUE"""),35.0)</f>
        <v>35</v>
      </c>
      <c r="D1727" s="2" t="str">
        <f>IFERROR(__xludf.DUMMYFUNCTION("""COMPUTED_VALUE"""),"BANGLADESH KRISHI BANK")</f>
        <v>BANGLADESH KRISHI BANK</v>
      </c>
      <c r="E1727" s="2" t="str">
        <f>IFERROR(__xludf.DUMMYFUNCTION("""COMPUTED_VALUE"""),"MILON BAZAR")</f>
        <v>MILON BAZAR</v>
      </c>
      <c r="F1727" s="4">
        <f>IFERROR(__xludf.DUMMYFUNCTION("""COMPUTED_VALUE"""),6.0)</f>
        <v>6</v>
      </c>
      <c r="G1727" s="5">
        <f>IFERROR(__xludf.DUMMYFUNCTION("""COMPUTED_VALUE"""),3.5390064E7)</f>
        <v>35390064</v>
      </c>
    </row>
    <row r="1728">
      <c r="A1728" s="3">
        <f>IFERROR(__xludf.DUMMYFUNCTION("""COMPUTED_VALUE"""),139.0)</f>
        <v>139</v>
      </c>
      <c r="B1728" s="2" t="str">
        <f>IFERROR(__xludf.DUMMYFUNCTION("""COMPUTED_VALUE"""),"JAMALPUR")</f>
        <v>JAMALPUR</v>
      </c>
      <c r="C1728" s="4">
        <f>IFERROR(__xludf.DUMMYFUNCTION("""COMPUTED_VALUE"""),35.0)</f>
        <v>35</v>
      </c>
      <c r="D1728" s="2" t="str">
        <f>IFERROR(__xludf.DUMMYFUNCTION("""COMPUTED_VALUE"""),"BANGLADESH KRISHI BANK")</f>
        <v>BANGLADESH KRISHI BANK</v>
      </c>
      <c r="E1728" s="2" t="str">
        <f>IFERROR(__xludf.DUMMYFUNCTION("""COMPUTED_VALUE"""),"MAHMUDPUR BAZAR")</f>
        <v>MAHMUDPUR BAZAR</v>
      </c>
      <c r="F1728" s="4">
        <f>IFERROR(__xludf.DUMMYFUNCTION("""COMPUTED_VALUE"""),8.0)</f>
        <v>8</v>
      </c>
      <c r="G1728" s="5">
        <f>IFERROR(__xludf.DUMMYFUNCTION("""COMPUTED_VALUE"""),3.539008E7)</f>
        <v>35390080</v>
      </c>
    </row>
    <row r="1729">
      <c r="A1729" s="3">
        <f>IFERROR(__xludf.DUMMYFUNCTION("""COMPUTED_VALUE"""),139.0)</f>
        <v>139</v>
      </c>
      <c r="B1729" s="2" t="str">
        <f>IFERROR(__xludf.DUMMYFUNCTION("""COMPUTED_VALUE"""),"JAMALPUR")</f>
        <v>JAMALPUR</v>
      </c>
      <c r="C1729" s="4">
        <f>IFERROR(__xludf.DUMMYFUNCTION("""COMPUTED_VALUE"""),35.0)</f>
        <v>35</v>
      </c>
      <c r="D1729" s="2" t="str">
        <f>IFERROR(__xludf.DUMMYFUNCTION("""COMPUTED_VALUE"""),"BANGLADESH KRISHI BANK")</f>
        <v>BANGLADESH KRISHI BANK</v>
      </c>
      <c r="E1729" s="2" t="str">
        <f>IFERROR(__xludf.DUMMYFUNCTION("""COMPUTED_VALUE"""),"TULSIPUR")</f>
        <v>TULSIPUR</v>
      </c>
      <c r="F1729" s="4">
        <f>IFERROR(__xludf.DUMMYFUNCTION("""COMPUTED_VALUE"""),9.0)</f>
        <v>9</v>
      </c>
      <c r="G1729" s="5">
        <f>IFERROR(__xludf.DUMMYFUNCTION("""COMPUTED_VALUE"""),3.5390093E7)</f>
        <v>35390093</v>
      </c>
    </row>
    <row r="1730">
      <c r="A1730" s="3">
        <f>IFERROR(__xludf.DUMMYFUNCTION("""COMPUTED_VALUE"""),139.0)</f>
        <v>139</v>
      </c>
      <c r="B1730" s="2" t="str">
        <f>IFERROR(__xludf.DUMMYFUNCTION("""COMPUTED_VALUE"""),"JAMALPUR")</f>
        <v>JAMALPUR</v>
      </c>
      <c r="C1730" s="4">
        <f>IFERROR(__xludf.DUMMYFUNCTION("""COMPUTED_VALUE"""),35.0)</f>
        <v>35</v>
      </c>
      <c r="D1730" s="2" t="str">
        <f>IFERROR(__xludf.DUMMYFUNCTION("""COMPUTED_VALUE"""),"BANGLADESH KRISHI BANK")</f>
        <v>BANGLADESH KRISHI BANK</v>
      </c>
      <c r="E1730" s="2" t="str">
        <f>IFERROR(__xludf.DUMMYFUNCTION("""COMPUTED_VALUE"""),"BAKSHIGANJ")</f>
        <v>BAKSHIGANJ</v>
      </c>
      <c r="F1730" s="4">
        <f>IFERROR(__xludf.DUMMYFUNCTION("""COMPUTED_VALUE"""),10.0)</f>
        <v>10</v>
      </c>
      <c r="G1730" s="5">
        <f>IFERROR(__xludf.DUMMYFUNCTION("""COMPUTED_VALUE"""),3.5390101E7)</f>
        <v>35390101</v>
      </c>
    </row>
    <row r="1731">
      <c r="A1731" s="3">
        <f>IFERROR(__xludf.DUMMYFUNCTION("""COMPUTED_VALUE"""),139.0)</f>
        <v>139</v>
      </c>
      <c r="B1731" s="2" t="str">
        <f>IFERROR(__xludf.DUMMYFUNCTION("""COMPUTED_VALUE"""),"JAMALPUR")</f>
        <v>JAMALPUR</v>
      </c>
      <c r="C1731" s="4">
        <f>IFERROR(__xludf.DUMMYFUNCTION("""COMPUTED_VALUE"""),35.0)</f>
        <v>35</v>
      </c>
      <c r="D1731" s="2" t="str">
        <f>IFERROR(__xludf.DUMMYFUNCTION("""COMPUTED_VALUE"""),"BANGLADESH KRISHI BANK")</f>
        <v>BANGLADESH KRISHI BANK</v>
      </c>
      <c r="E1731" s="2" t="str">
        <f>IFERROR(__xludf.DUMMYFUNCTION("""COMPUTED_VALUE"""),"JOBBARGANJ BAZAR")</f>
        <v>JOBBARGANJ BAZAR</v>
      </c>
      <c r="F1731" s="4">
        <f>IFERROR(__xludf.DUMMYFUNCTION("""COMPUTED_VALUE"""),11.0)</f>
        <v>11</v>
      </c>
      <c r="G1731" s="5">
        <f>IFERROR(__xludf.DUMMYFUNCTION("""COMPUTED_VALUE"""),3.5390114E7)</f>
        <v>35390114</v>
      </c>
    </row>
    <row r="1732">
      <c r="A1732" s="3">
        <f>IFERROR(__xludf.DUMMYFUNCTION("""COMPUTED_VALUE"""),139.0)</f>
        <v>139</v>
      </c>
      <c r="B1732" s="2" t="str">
        <f>IFERROR(__xludf.DUMMYFUNCTION("""COMPUTED_VALUE"""),"JAMALPUR")</f>
        <v>JAMALPUR</v>
      </c>
      <c r="C1732" s="4">
        <f>IFERROR(__xludf.DUMMYFUNCTION("""COMPUTED_VALUE"""),35.0)</f>
        <v>35</v>
      </c>
      <c r="D1732" s="2" t="str">
        <f>IFERROR(__xludf.DUMMYFUNCTION("""COMPUTED_VALUE"""),"BANGLADESH KRISHI BANK")</f>
        <v>BANGLADESH KRISHI BANK</v>
      </c>
      <c r="E1732" s="2" t="str">
        <f>IFERROR(__xludf.DUMMYFUNCTION("""COMPUTED_VALUE"""),"VHARUAKHALI BAZAR")</f>
        <v>VHARUAKHALI BAZAR</v>
      </c>
      <c r="F1732" s="4">
        <f>IFERROR(__xludf.DUMMYFUNCTION("""COMPUTED_VALUE"""),12.0)</f>
        <v>12</v>
      </c>
      <c r="G1732" s="5">
        <f>IFERROR(__xludf.DUMMYFUNCTION("""COMPUTED_VALUE"""),3.5390127E7)</f>
        <v>35390127</v>
      </c>
    </row>
    <row r="1733">
      <c r="A1733" s="3">
        <f>IFERROR(__xludf.DUMMYFUNCTION("""COMPUTED_VALUE"""),139.0)</f>
        <v>139</v>
      </c>
      <c r="B1733" s="2" t="str">
        <f>IFERROR(__xludf.DUMMYFUNCTION("""COMPUTED_VALUE"""),"JAMALPUR")</f>
        <v>JAMALPUR</v>
      </c>
      <c r="C1733" s="4">
        <f>IFERROR(__xludf.DUMMYFUNCTION("""COMPUTED_VALUE"""),35.0)</f>
        <v>35</v>
      </c>
      <c r="D1733" s="2" t="str">
        <f>IFERROR(__xludf.DUMMYFUNCTION("""COMPUTED_VALUE"""),"BANGLADESH KRISHI BANK")</f>
        <v>BANGLADESH KRISHI BANK</v>
      </c>
      <c r="E1733" s="2" t="str">
        <f>IFERROR(__xludf.DUMMYFUNCTION("""COMPUTED_VALUE"""),"TONKI BAZAR")</f>
        <v>TONKI BAZAR</v>
      </c>
      <c r="F1733" s="4">
        <f>IFERROR(__xludf.DUMMYFUNCTION("""COMPUTED_VALUE"""),14.0)</f>
        <v>14</v>
      </c>
      <c r="G1733" s="5">
        <f>IFERROR(__xludf.DUMMYFUNCTION("""COMPUTED_VALUE"""),3.5390143E7)</f>
        <v>35390143</v>
      </c>
    </row>
    <row r="1734">
      <c r="A1734" s="3">
        <f>IFERROR(__xludf.DUMMYFUNCTION("""COMPUTED_VALUE"""),139.0)</f>
        <v>139</v>
      </c>
      <c r="B1734" s="2" t="str">
        <f>IFERROR(__xludf.DUMMYFUNCTION("""COMPUTED_VALUE"""),"JAMALPUR")</f>
        <v>JAMALPUR</v>
      </c>
      <c r="C1734" s="4">
        <f>IFERROR(__xludf.DUMMYFUNCTION("""COMPUTED_VALUE"""),35.0)</f>
        <v>35</v>
      </c>
      <c r="D1734" s="2" t="str">
        <f>IFERROR(__xludf.DUMMYFUNCTION("""COMPUTED_VALUE"""),"BANGLADESH KRISHI BANK")</f>
        <v>BANGLADESH KRISHI BANK</v>
      </c>
      <c r="E1734" s="2" t="str">
        <f>IFERROR(__xludf.DUMMYFUNCTION("""COMPUTED_VALUE"""),"MADARGANJ")</f>
        <v>MADARGANJ</v>
      </c>
      <c r="F1734" s="4">
        <f>IFERROR(__xludf.DUMMYFUNCTION("""COMPUTED_VALUE"""),22.0)</f>
        <v>22</v>
      </c>
      <c r="G1734" s="5">
        <f>IFERROR(__xludf.DUMMYFUNCTION("""COMPUTED_VALUE"""),3.5390222E7)</f>
        <v>35390222</v>
      </c>
    </row>
    <row r="1735">
      <c r="A1735" s="3">
        <f>IFERROR(__xludf.DUMMYFUNCTION("""COMPUTED_VALUE"""),139.0)</f>
        <v>139</v>
      </c>
      <c r="B1735" s="2" t="str">
        <f>IFERROR(__xludf.DUMMYFUNCTION("""COMPUTED_VALUE"""),"JAMALPUR")</f>
        <v>JAMALPUR</v>
      </c>
      <c r="C1735" s="4">
        <f>IFERROR(__xludf.DUMMYFUNCTION("""COMPUTED_VALUE"""),35.0)</f>
        <v>35</v>
      </c>
      <c r="D1735" s="2" t="str">
        <f>IFERROR(__xludf.DUMMYFUNCTION("""COMPUTED_VALUE"""),"BANGLADESH KRISHI BANK")</f>
        <v>BANGLADESH KRISHI BANK</v>
      </c>
      <c r="E1735" s="2" t="str">
        <f>IFERROR(__xludf.DUMMYFUNCTION("""COMPUTED_VALUE"""),"BARUAMARI")</f>
        <v>BARUAMARI</v>
      </c>
      <c r="F1735" s="4">
        <f>IFERROR(__xludf.DUMMYFUNCTION("""COMPUTED_VALUE"""),25.0)</f>
        <v>25</v>
      </c>
      <c r="G1735" s="5">
        <f>IFERROR(__xludf.DUMMYFUNCTION("""COMPUTED_VALUE"""),3.5390251E7)</f>
        <v>35390251</v>
      </c>
    </row>
    <row r="1736">
      <c r="A1736" s="3">
        <f>IFERROR(__xludf.DUMMYFUNCTION("""COMPUTED_VALUE"""),139.0)</f>
        <v>139</v>
      </c>
      <c r="B1736" s="2" t="str">
        <f>IFERROR(__xludf.DUMMYFUNCTION("""COMPUTED_VALUE"""),"JAMALPUR")</f>
        <v>JAMALPUR</v>
      </c>
      <c r="C1736" s="4">
        <f>IFERROR(__xludf.DUMMYFUNCTION("""COMPUTED_VALUE"""),35.0)</f>
        <v>35</v>
      </c>
      <c r="D1736" s="2" t="str">
        <f>IFERROR(__xludf.DUMMYFUNCTION("""COMPUTED_VALUE"""),"BANGLADESH KRISHI BANK")</f>
        <v>BANGLADESH KRISHI BANK</v>
      </c>
      <c r="E1736" s="2" t="str">
        <f>IFERROR(__xludf.DUMMYFUNCTION("""COMPUTED_VALUE"""),"JAGANNATHGANJ GHAT")</f>
        <v>JAGANNATHGANJ GHAT</v>
      </c>
      <c r="F1736" s="4">
        <f>IFERROR(__xludf.DUMMYFUNCTION("""COMPUTED_VALUE"""),28.0)</f>
        <v>28</v>
      </c>
      <c r="G1736" s="5">
        <f>IFERROR(__xludf.DUMMYFUNCTION("""COMPUTED_VALUE"""),3.539028E7)</f>
        <v>35390280</v>
      </c>
    </row>
    <row r="1737">
      <c r="A1737" s="3">
        <f>IFERROR(__xludf.DUMMYFUNCTION("""COMPUTED_VALUE"""),139.0)</f>
        <v>139</v>
      </c>
      <c r="B1737" s="2" t="str">
        <f>IFERROR(__xludf.DUMMYFUNCTION("""COMPUTED_VALUE"""),"JAMALPUR")</f>
        <v>JAMALPUR</v>
      </c>
      <c r="C1737" s="4">
        <f>IFERROR(__xludf.DUMMYFUNCTION("""COMPUTED_VALUE"""),35.0)</f>
        <v>35</v>
      </c>
      <c r="D1737" s="2" t="str">
        <f>IFERROR(__xludf.DUMMYFUNCTION("""COMPUTED_VALUE"""),"BANGLADESH KRISHI BANK")</f>
        <v>BANGLADESH KRISHI BANK</v>
      </c>
      <c r="E1737" s="2" t="str">
        <f>IFERROR(__xludf.DUMMYFUNCTION("""COMPUTED_VALUE"""),"BAUSHI BANGALEE")</f>
        <v>BAUSHI BANGALEE</v>
      </c>
      <c r="F1737" s="4">
        <f>IFERROR(__xludf.DUMMYFUNCTION("""COMPUTED_VALUE"""),31.0)</f>
        <v>31</v>
      </c>
      <c r="G1737" s="5">
        <f>IFERROR(__xludf.DUMMYFUNCTION("""COMPUTED_VALUE"""),3.5390314E7)</f>
        <v>35390314</v>
      </c>
    </row>
    <row r="1738">
      <c r="A1738" s="3">
        <f>IFERROR(__xludf.DUMMYFUNCTION("""COMPUTED_VALUE"""),139.0)</f>
        <v>139</v>
      </c>
      <c r="B1738" s="2" t="str">
        <f>IFERROR(__xludf.DUMMYFUNCTION("""COMPUTED_VALUE"""),"JAMALPUR")</f>
        <v>JAMALPUR</v>
      </c>
      <c r="C1738" s="4">
        <f>IFERROR(__xludf.DUMMYFUNCTION("""COMPUTED_VALUE"""),35.0)</f>
        <v>35</v>
      </c>
      <c r="D1738" s="2" t="str">
        <f>IFERROR(__xludf.DUMMYFUNCTION("""COMPUTED_VALUE"""),"BANGLADESH KRISHI BANK")</f>
        <v>BANGLADESH KRISHI BANK</v>
      </c>
      <c r="E1738" s="2" t="str">
        <f>IFERROR(__xludf.DUMMYFUNCTION("""COMPUTED_VALUE"""),"BHABKI BAZAR")</f>
        <v>BHABKI BAZAR</v>
      </c>
      <c r="F1738" s="4">
        <f>IFERROR(__xludf.DUMMYFUNCTION("""COMPUTED_VALUE"""),34.0)</f>
        <v>34</v>
      </c>
      <c r="G1738" s="5">
        <f>IFERROR(__xludf.DUMMYFUNCTION("""COMPUTED_VALUE"""),3.5390343E7)</f>
        <v>35390343</v>
      </c>
    </row>
    <row r="1739">
      <c r="A1739" s="3">
        <f>IFERROR(__xludf.DUMMYFUNCTION("""COMPUTED_VALUE"""),139.0)</f>
        <v>139</v>
      </c>
      <c r="B1739" s="2" t="str">
        <f>IFERROR(__xludf.DUMMYFUNCTION("""COMPUTED_VALUE"""),"JAMALPUR")</f>
        <v>JAMALPUR</v>
      </c>
      <c r="C1739" s="4">
        <f>IFERROR(__xludf.DUMMYFUNCTION("""COMPUTED_VALUE"""),35.0)</f>
        <v>35</v>
      </c>
      <c r="D1739" s="2" t="str">
        <f>IFERROR(__xludf.DUMMYFUNCTION("""COMPUTED_VALUE"""),"BANGLADESH KRISHI BANK")</f>
        <v>BANGLADESH KRISHI BANK</v>
      </c>
      <c r="E1739" s="2" t="str">
        <f>IFERROR(__xludf.DUMMYFUNCTION("""COMPUTED_VALUE"""),"BHATARA BAZAR")</f>
        <v>BHATARA BAZAR</v>
      </c>
      <c r="F1739" s="4">
        <f>IFERROR(__xludf.DUMMYFUNCTION("""COMPUTED_VALUE"""),35.0)</f>
        <v>35</v>
      </c>
      <c r="G1739" s="5">
        <f>IFERROR(__xludf.DUMMYFUNCTION("""COMPUTED_VALUE"""),3.5390356E7)</f>
        <v>35390356</v>
      </c>
    </row>
    <row r="1740">
      <c r="A1740" s="3">
        <f>IFERROR(__xludf.DUMMYFUNCTION("""COMPUTED_VALUE"""),139.0)</f>
        <v>139</v>
      </c>
      <c r="B1740" s="2" t="str">
        <f>IFERROR(__xludf.DUMMYFUNCTION("""COMPUTED_VALUE"""),"JAMALPUR")</f>
        <v>JAMALPUR</v>
      </c>
      <c r="C1740" s="4">
        <f>IFERROR(__xludf.DUMMYFUNCTION("""COMPUTED_VALUE"""),35.0)</f>
        <v>35</v>
      </c>
      <c r="D1740" s="2" t="str">
        <f>IFERROR(__xludf.DUMMYFUNCTION("""COMPUTED_VALUE"""),"BANGLADESH KRISHI BANK")</f>
        <v>BANGLADESH KRISHI BANK</v>
      </c>
      <c r="E1740" s="2" t="str">
        <f>IFERROR(__xludf.DUMMYFUNCTION("""COMPUTED_VALUE"""),"DEWANGANJ")</f>
        <v>DEWANGANJ</v>
      </c>
      <c r="F1740" s="4">
        <f>IFERROR(__xludf.DUMMYFUNCTION("""COMPUTED_VALUE"""),46.0)</f>
        <v>46</v>
      </c>
      <c r="G1740" s="5">
        <f>IFERROR(__xludf.DUMMYFUNCTION("""COMPUTED_VALUE"""),3.5390464E7)</f>
        <v>35390464</v>
      </c>
    </row>
    <row r="1741">
      <c r="A1741" s="3">
        <f>IFERROR(__xludf.DUMMYFUNCTION("""COMPUTED_VALUE"""),139.0)</f>
        <v>139</v>
      </c>
      <c r="B1741" s="2" t="str">
        <f>IFERROR(__xludf.DUMMYFUNCTION("""COMPUTED_VALUE"""),"JAMALPUR")</f>
        <v>JAMALPUR</v>
      </c>
      <c r="C1741" s="4">
        <f>IFERROR(__xludf.DUMMYFUNCTION("""COMPUTED_VALUE"""),35.0)</f>
        <v>35</v>
      </c>
      <c r="D1741" s="2" t="str">
        <f>IFERROR(__xludf.DUMMYFUNCTION("""COMPUTED_VALUE"""),"BANGLADESH KRISHI BANK")</f>
        <v>BANGLADESH KRISHI BANK</v>
      </c>
      <c r="E1741" s="2" t="str">
        <f>IFERROR(__xludf.DUMMYFUNCTION("""COMPUTED_VALUE"""),"GUTHAIL BAZAR")</f>
        <v>GUTHAIL BAZAR</v>
      </c>
      <c r="F1741" s="4">
        <f>IFERROR(__xludf.DUMMYFUNCTION("""COMPUTED_VALUE"""),67.0)</f>
        <v>67</v>
      </c>
      <c r="G1741" s="5">
        <f>IFERROR(__xludf.DUMMYFUNCTION("""COMPUTED_VALUE"""),3.5390677E7)</f>
        <v>35390677</v>
      </c>
    </row>
    <row r="1742">
      <c r="A1742" s="3">
        <f>IFERROR(__xludf.DUMMYFUNCTION("""COMPUTED_VALUE"""),139.0)</f>
        <v>139</v>
      </c>
      <c r="B1742" s="2" t="str">
        <f>IFERROR(__xludf.DUMMYFUNCTION("""COMPUTED_VALUE"""),"JAMALPUR")</f>
        <v>JAMALPUR</v>
      </c>
      <c r="C1742" s="4">
        <f>IFERROR(__xludf.DUMMYFUNCTION("""COMPUTED_VALUE"""),35.0)</f>
        <v>35</v>
      </c>
      <c r="D1742" s="2" t="str">
        <f>IFERROR(__xludf.DUMMYFUNCTION("""COMPUTED_VALUE"""),"BANGLADESH KRISHI BANK")</f>
        <v>BANGLADESH KRISHI BANK</v>
      </c>
      <c r="E1742" s="2" t="str">
        <f>IFERROR(__xludf.DUMMYFUNCTION("""COMPUTED_VALUE"""),"HAZIPUR BAZAR")</f>
        <v>HAZIPUR BAZAR</v>
      </c>
      <c r="F1742" s="4">
        <f>IFERROR(__xludf.DUMMYFUNCTION("""COMPUTED_VALUE"""),70.0)</f>
        <v>70</v>
      </c>
      <c r="G1742" s="5">
        <f>IFERROR(__xludf.DUMMYFUNCTION("""COMPUTED_VALUE"""),3.5390701E7)</f>
        <v>35390701</v>
      </c>
    </row>
    <row r="1743">
      <c r="A1743" s="3">
        <f>IFERROR(__xludf.DUMMYFUNCTION("""COMPUTED_VALUE"""),139.0)</f>
        <v>139</v>
      </c>
      <c r="B1743" s="2" t="str">
        <f>IFERROR(__xludf.DUMMYFUNCTION("""COMPUTED_VALUE"""),"JAMALPUR")</f>
        <v>JAMALPUR</v>
      </c>
      <c r="C1743" s="4">
        <f>IFERROR(__xludf.DUMMYFUNCTION("""COMPUTED_VALUE"""),35.0)</f>
        <v>35</v>
      </c>
      <c r="D1743" s="2" t="str">
        <f>IFERROR(__xludf.DUMMYFUNCTION("""COMPUTED_VALUE"""),"BANGLADESH KRISHI BANK")</f>
        <v>BANGLADESH KRISHI BANK</v>
      </c>
      <c r="E1743" s="2" t="str">
        <f>IFERROR(__xludf.DUMMYFUNCTION("""COMPUTED_VALUE"""),"ISLAMPUR")</f>
        <v>ISLAMPUR</v>
      </c>
      <c r="F1743" s="4">
        <f>IFERROR(__xludf.DUMMYFUNCTION("""COMPUTED_VALUE"""),76.0)</f>
        <v>76</v>
      </c>
      <c r="G1743" s="5">
        <f>IFERROR(__xludf.DUMMYFUNCTION("""COMPUTED_VALUE"""),3.5390769E7)</f>
        <v>35390769</v>
      </c>
    </row>
    <row r="1744">
      <c r="A1744" s="3">
        <f>IFERROR(__xludf.DUMMYFUNCTION("""COMPUTED_VALUE"""),139.0)</f>
        <v>139</v>
      </c>
      <c r="B1744" s="2" t="str">
        <f>IFERROR(__xludf.DUMMYFUNCTION("""COMPUTED_VALUE"""),"JAMALPUR")</f>
        <v>JAMALPUR</v>
      </c>
      <c r="C1744" s="4">
        <f>IFERROR(__xludf.DUMMYFUNCTION("""COMPUTED_VALUE"""),35.0)</f>
        <v>35</v>
      </c>
      <c r="D1744" s="2" t="str">
        <f>IFERROR(__xludf.DUMMYFUNCTION("""COMPUTED_VALUE"""),"BANGLADESH KRISHI BANK")</f>
        <v>BANGLADESH KRISHI BANK</v>
      </c>
      <c r="E1744" s="2" t="str">
        <f>IFERROR(__xludf.DUMMYFUNCTION("""COMPUTED_VALUE"""),"JAMALPUR")</f>
        <v>JAMALPUR</v>
      </c>
      <c r="F1744" s="4">
        <f>IFERROR(__xludf.DUMMYFUNCTION("""COMPUTED_VALUE"""),85.0)</f>
        <v>85</v>
      </c>
      <c r="G1744" s="5">
        <f>IFERROR(__xludf.DUMMYFUNCTION("""COMPUTED_VALUE"""),3.5390851E7)</f>
        <v>35390851</v>
      </c>
    </row>
    <row r="1745">
      <c r="A1745" s="3">
        <f>IFERROR(__xludf.DUMMYFUNCTION("""COMPUTED_VALUE"""),139.0)</f>
        <v>139</v>
      </c>
      <c r="B1745" s="2" t="str">
        <f>IFERROR(__xludf.DUMMYFUNCTION("""COMPUTED_VALUE"""),"JAMALPUR")</f>
        <v>JAMALPUR</v>
      </c>
      <c r="C1745" s="4">
        <f>IFERROR(__xludf.DUMMYFUNCTION("""COMPUTED_VALUE"""),35.0)</f>
        <v>35</v>
      </c>
      <c r="D1745" s="2" t="str">
        <f>IFERROR(__xludf.DUMMYFUNCTION("""COMPUTED_VALUE"""),"BANGLADESH KRISHI BANK")</f>
        <v>BANGLADESH KRISHI BANK</v>
      </c>
      <c r="E1745" s="2" t="str">
        <f>IFERROR(__xludf.DUMMYFUNCTION("""COMPUTED_VALUE"""),"MALAMGONJ BAZAR")</f>
        <v>MALAMGONJ BAZAR</v>
      </c>
      <c r="F1745" s="4">
        <f>IFERROR(__xludf.DUMMYFUNCTION("""COMPUTED_VALUE"""),118.0)</f>
        <v>118</v>
      </c>
      <c r="G1745" s="5">
        <f>IFERROR(__xludf.DUMMYFUNCTION("""COMPUTED_VALUE"""),3.5391184E7)</f>
        <v>35391184</v>
      </c>
    </row>
    <row r="1746">
      <c r="A1746" s="3">
        <f>IFERROR(__xludf.DUMMYFUNCTION("""COMPUTED_VALUE"""),139.0)</f>
        <v>139</v>
      </c>
      <c r="B1746" s="2" t="str">
        <f>IFERROR(__xludf.DUMMYFUNCTION("""COMPUTED_VALUE"""),"JAMALPUR")</f>
        <v>JAMALPUR</v>
      </c>
      <c r="C1746" s="4">
        <f>IFERROR(__xludf.DUMMYFUNCTION("""COMPUTED_VALUE"""),35.0)</f>
        <v>35</v>
      </c>
      <c r="D1746" s="2" t="str">
        <f>IFERROR(__xludf.DUMMYFUNCTION("""COMPUTED_VALUE"""),"BANGLADESH KRISHI BANK")</f>
        <v>BANGLADESH KRISHI BANK</v>
      </c>
      <c r="E1746" s="2" t="str">
        <f>IFERROR(__xludf.DUMMYFUNCTION("""COMPUTED_VALUE"""),"MELANDAH")</f>
        <v>MELANDAH</v>
      </c>
      <c r="F1746" s="4">
        <f>IFERROR(__xludf.DUMMYFUNCTION("""COMPUTED_VALUE"""),127.0)</f>
        <v>127</v>
      </c>
      <c r="G1746" s="5">
        <f>IFERROR(__xludf.DUMMYFUNCTION("""COMPUTED_VALUE"""),3.5391276E7)</f>
        <v>35391276</v>
      </c>
    </row>
    <row r="1747">
      <c r="A1747" s="3">
        <f>IFERROR(__xludf.DUMMYFUNCTION("""COMPUTED_VALUE"""),139.0)</f>
        <v>139</v>
      </c>
      <c r="B1747" s="2" t="str">
        <f>IFERROR(__xludf.DUMMYFUNCTION("""COMPUTED_VALUE"""),"JAMALPUR")</f>
        <v>JAMALPUR</v>
      </c>
      <c r="C1747" s="4">
        <f>IFERROR(__xludf.DUMMYFUNCTION("""COMPUTED_VALUE"""),35.0)</f>
        <v>35</v>
      </c>
      <c r="D1747" s="2" t="str">
        <f>IFERROR(__xludf.DUMMYFUNCTION("""COMPUTED_VALUE"""),"BANGLADESH KRISHI BANK")</f>
        <v>BANGLADESH KRISHI BANK</v>
      </c>
      <c r="E1747" s="2" t="str">
        <f>IFERROR(__xludf.DUMMYFUNCTION("""COMPUTED_VALUE"""),"NANDINA")</f>
        <v>NANDINA</v>
      </c>
      <c r="F1747" s="4">
        <f>IFERROR(__xludf.DUMMYFUNCTION("""COMPUTED_VALUE"""),130.0)</f>
        <v>130</v>
      </c>
      <c r="G1747" s="5">
        <f>IFERROR(__xludf.DUMMYFUNCTION("""COMPUTED_VALUE"""),3.53913E7)</f>
        <v>35391300</v>
      </c>
    </row>
    <row r="1748">
      <c r="A1748" s="3">
        <f>IFERROR(__xludf.DUMMYFUNCTION("""COMPUTED_VALUE"""),139.0)</f>
        <v>139</v>
      </c>
      <c r="B1748" s="2" t="str">
        <f>IFERROR(__xludf.DUMMYFUNCTION("""COMPUTED_VALUE"""),"JAMALPUR")</f>
        <v>JAMALPUR</v>
      </c>
      <c r="C1748" s="4">
        <f>IFERROR(__xludf.DUMMYFUNCTION("""COMPUTED_VALUE"""),35.0)</f>
        <v>35</v>
      </c>
      <c r="D1748" s="2" t="str">
        <f>IFERROR(__xludf.DUMMYFUNCTION("""COMPUTED_VALUE"""),"BANGLADESH KRISHI BANK")</f>
        <v>BANGLADESH KRISHI BANK</v>
      </c>
      <c r="E1748" s="2" t="str">
        <f>IFERROR(__xludf.DUMMYFUNCTION("""COMPUTED_VALUE"""),"NARUNDI BAZAR")</f>
        <v>NARUNDI BAZAR</v>
      </c>
      <c r="F1748" s="4">
        <f>IFERROR(__xludf.DUMMYFUNCTION("""COMPUTED_VALUE"""),133.0)</f>
        <v>133</v>
      </c>
      <c r="G1748" s="5">
        <f>IFERROR(__xludf.DUMMYFUNCTION("""COMPUTED_VALUE"""),3.5391339E7)</f>
        <v>35391339</v>
      </c>
    </row>
    <row r="1749">
      <c r="A1749" s="3">
        <f>IFERROR(__xludf.DUMMYFUNCTION("""COMPUTED_VALUE"""),139.0)</f>
        <v>139</v>
      </c>
      <c r="B1749" s="2" t="str">
        <f>IFERROR(__xludf.DUMMYFUNCTION("""COMPUTED_VALUE"""),"JAMALPUR")</f>
        <v>JAMALPUR</v>
      </c>
      <c r="C1749" s="4">
        <f>IFERROR(__xludf.DUMMYFUNCTION("""COMPUTED_VALUE"""),35.0)</f>
        <v>35</v>
      </c>
      <c r="D1749" s="2" t="str">
        <f>IFERROR(__xludf.DUMMYFUNCTION("""COMPUTED_VALUE"""),"BANGLADESH KRISHI BANK")</f>
        <v>BANGLADESH KRISHI BANK</v>
      </c>
      <c r="E1749" s="2" t="str">
        <f>IFERROR(__xludf.DUMMYFUNCTION("""COMPUTED_VALUE"""),"NATUN BAZAR")</f>
        <v>NATUN BAZAR</v>
      </c>
      <c r="F1749" s="4">
        <f>IFERROR(__xludf.DUMMYFUNCTION("""COMPUTED_VALUE"""),136.0)</f>
        <v>136</v>
      </c>
      <c r="G1749" s="5">
        <f>IFERROR(__xludf.DUMMYFUNCTION("""COMPUTED_VALUE"""),3.5391368E7)</f>
        <v>35391368</v>
      </c>
    </row>
    <row r="1750">
      <c r="A1750" s="3">
        <f>IFERROR(__xludf.DUMMYFUNCTION("""COMPUTED_VALUE"""),139.0)</f>
        <v>139</v>
      </c>
      <c r="B1750" s="2" t="str">
        <f>IFERROR(__xludf.DUMMYFUNCTION("""COMPUTED_VALUE"""),"JAMALPUR")</f>
        <v>JAMALPUR</v>
      </c>
      <c r="C1750" s="4">
        <f>IFERROR(__xludf.DUMMYFUNCTION("""COMPUTED_VALUE"""),35.0)</f>
        <v>35</v>
      </c>
      <c r="D1750" s="2" t="str">
        <f>IFERROR(__xludf.DUMMYFUNCTION("""COMPUTED_VALUE"""),"BANGLADESH KRISHI BANK")</f>
        <v>BANGLADESH KRISHI BANK</v>
      </c>
      <c r="E1750" s="2" t="str">
        <f>IFERROR(__xludf.DUMMYFUNCTION("""COMPUTED_VALUE"""),"SARISHABARI")</f>
        <v>SARISHABARI</v>
      </c>
      <c r="F1750" s="4">
        <f>IFERROR(__xludf.DUMMYFUNCTION("""COMPUTED_VALUE"""),148.0)</f>
        <v>148</v>
      </c>
      <c r="G1750" s="5">
        <f>IFERROR(__xludf.DUMMYFUNCTION("""COMPUTED_VALUE"""),3.5391489E7)</f>
        <v>35391489</v>
      </c>
    </row>
    <row r="1751">
      <c r="A1751" s="3">
        <f>IFERROR(__xludf.DUMMYFUNCTION("""COMPUTED_VALUE"""),139.0)</f>
        <v>139</v>
      </c>
      <c r="B1751" s="2" t="str">
        <f>IFERROR(__xludf.DUMMYFUNCTION("""COMPUTED_VALUE"""),"JAMALPUR")</f>
        <v>JAMALPUR</v>
      </c>
      <c r="C1751" s="4">
        <f>IFERROR(__xludf.DUMMYFUNCTION("""COMPUTED_VALUE"""),35.0)</f>
        <v>35</v>
      </c>
      <c r="D1751" s="2" t="str">
        <f>IFERROR(__xludf.DUMMYFUNCTION("""COMPUTED_VALUE"""),"BANGLADESH KRISHI BANK")</f>
        <v>BANGLADESH KRISHI BANK</v>
      </c>
      <c r="E1751" s="2" t="str">
        <f>IFERROR(__xludf.DUMMYFUNCTION("""COMPUTED_VALUE"""),"SHARIFPUR BAZAR")</f>
        <v>SHARIFPUR BAZAR</v>
      </c>
      <c r="F1751" s="4">
        <f>IFERROR(__xludf.DUMMYFUNCTION("""COMPUTED_VALUE"""),155.0)</f>
        <v>155</v>
      </c>
      <c r="G1751" s="5">
        <f>IFERROR(__xludf.DUMMYFUNCTION("""COMPUTED_VALUE"""),3.5391555E7)</f>
        <v>35391555</v>
      </c>
    </row>
    <row r="1752">
      <c r="A1752" s="3">
        <f>IFERROR(__xludf.DUMMYFUNCTION("""COMPUTED_VALUE"""),139.0)</f>
        <v>139</v>
      </c>
      <c r="B1752" s="2" t="str">
        <f>IFERROR(__xludf.DUMMYFUNCTION("""COMPUTED_VALUE"""),"JAMALPUR")</f>
        <v>JAMALPUR</v>
      </c>
      <c r="C1752" s="4">
        <f>IFERROR(__xludf.DUMMYFUNCTION("""COMPUTED_VALUE"""),35.0)</f>
        <v>35</v>
      </c>
      <c r="D1752" s="2" t="str">
        <f>IFERROR(__xludf.DUMMYFUNCTION("""COMPUTED_VALUE"""),"BANGLADESH KRISHI BANK")</f>
        <v>BANGLADESH KRISHI BANK</v>
      </c>
      <c r="E1752" s="2" t="str">
        <f>IFERROR(__xludf.DUMMYFUNCTION("""COMPUTED_VALUE"""),"SHYAMGANJ KALIBARI")</f>
        <v>SHYAMGANJ KALIBARI</v>
      </c>
      <c r="F1752" s="4">
        <f>IFERROR(__xludf.DUMMYFUNCTION("""COMPUTED_VALUE"""),157.0)</f>
        <v>157</v>
      </c>
      <c r="G1752" s="5">
        <f>IFERROR(__xludf.DUMMYFUNCTION("""COMPUTED_VALUE"""),3.5391571E7)</f>
        <v>35391571</v>
      </c>
    </row>
    <row r="1753">
      <c r="A1753" s="3">
        <f>IFERROR(__xludf.DUMMYFUNCTION("""COMPUTED_VALUE"""),139.0)</f>
        <v>139</v>
      </c>
      <c r="B1753" s="2" t="str">
        <f>IFERROR(__xludf.DUMMYFUNCTION("""COMPUTED_VALUE"""),"JAMALPUR")</f>
        <v>JAMALPUR</v>
      </c>
      <c r="C1753" s="4">
        <f>IFERROR(__xludf.DUMMYFUNCTION("""COMPUTED_VALUE"""),35.0)</f>
        <v>35</v>
      </c>
      <c r="D1753" s="2" t="str">
        <f>IFERROR(__xludf.DUMMYFUNCTION("""COMPUTED_VALUE"""),"BANGLADESH KRISHI BANK")</f>
        <v>BANGLADESH KRISHI BANK</v>
      </c>
      <c r="E1753" s="2" t="str">
        <f>IFERROR(__xludf.DUMMYFUNCTION("""COMPUTED_VALUE"""),"SONTIABAZAR")</f>
        <v>SONTIABAZAR</v>
      </c>
      <c r="F1753" s="4">
        <f>IFERROR(__xludf.DUMMYFUNCTION("""COMPUTED_VALUE"""),160.0)</f>
        <v>160</v>
      </c>
      <c r="G1753" s="5">
        <f>IFERROR(__xludf.DUMMYFUNCTION("""COMPUTED_VALUE"""),3.5391605E7)</f>
        <v>35391605</v>
      </c>
    </row>
    <row r="1754">
      <c r="A1754" s="3">
        <f>IFERROR(__xludf.DUMMYFUNCTION("""COMPUTED_VALUE"""),139.0)</f>
        <v>139</v>
      </c>
      <c r="B1754" s="2" t="str">
        <f>IFERROR(__xludf.DUMMYFUNCTION("""COMPUTED_VALUE"""),"JAMALPUR")</f>
        <v>JAMALPUR</v>
      </c>
      <c r="C1754" s="4">
        <f>IFERROR(__xludf.DUMMYFUNCTION("""COMPUTED_VALUE"""),35.0)</f>
        <v>35</v>
      </c>
      <c r="D1754" s="2" t="str">
        <f>IFERROR(__xludf.DUMMYFUNCTION("""COMPUTED_VALUE"""),"BANGLADESH KRISHI BANK")</f>
        <v>BANGLADESH KRISHI BANK</v>
      </c>
      <c r="E1754" s="2" t="str">
        <f>IFERROR(__xludf.DUMMYFUNCTION("""COMPUTED_VALUE"""),"TARAKANDI")</f>
        <v>TARAKANDI</v>
      </c>
      <c r="F1754" s="4">
        <f>IFERROR(__xludf.DUMMYFUNCTION("""COMPUTED_VALUE"""),169.0)</f>
        <v>169</v>
      </c>
      <c r="G1754" s="5">
        <f>IFERROR(__xludf.DUMMYFUNCTION("""COMPUTED_VALUE"""),3.5391692E7)</f>
        <v>35391692</v>
      </c>
    </row>
    <row r="1755">
      <c r="A1755" s="3">
        <f>IFERROR(__xludf.DUMMYFUNCTION("""COMPUTED_VALUE"""),441.0)</f>
        <v>441</v>
      </c>
      <c r="B1755" s="2" t="str">
        <f>IFERROR(__xludf.DUMMYFUNCTION("""COMPUTED_VALUE"""),"JESSORE")</f>
        <v>JESSORE</v>
      </c>
      <c r="C1755" s="4">
        <f>IFERROR(__xludf.DUMMYFUNCTION("""COMPUTED_VALUE"""),35.0)</f>
        <v>35</v>
      </c>
      <c r="D1755" s="2" t="str">
        <f>IFERROR(__xludf.DUMMYFUNCTION("""COMPUTED_VALUE"""),"BANGLADESH KRISHI BANK")</f>
        <v>BANGLADESH KRISHI BANK</v>
      </c>
      <c r="E1755" s="2" t="str">
        <f>IFERROR(__xludf.DUMMYFUNCTION("""COMPUTED_VALUE"""),"KHAJURA BAZAR")</f>
        <v>KHAJURA BAZAR</v>
      </c>
      <c r="F1755" s="4">
        <f>IFERROR(__xludf.DUMMYFUNCTION("""COMPUTED_VALUE"""),5.0)</f>
        <v>5</v>
      </c>
      <c r="G1755" s="5">
        <f>IFERROR(__xludf.DUMMYFUNCTION("""COMPUTED_VALUE"""),3.5410052E7)</f>
        <v>35410052</v>
      </c>
    </row>
    <row r="1756">
      <c r="A1756" s="3">
        <f>IFERROR(__xludf.DUMMYFUNCTION("""COMPUTED_VALUE"""),441.0)</f>
        <v>441</v>
      </c>
      <c r="B1756" s="2" t="str">
        <f>IFERROR(__xludf.DUMMYFUNCTION("""COMPUTED_VALUE"""),"JESSORE")</f>
        <v>JESSORE</v>
      </c>
      <c r="C1756" s="4">
        <f>IFERROR(__xludf.DUMMYFUNCTION("""COMPUTED_VALUE"""),35.0)</f>
        <v>35</v>
      </c>
      <c r="D1756" s="2" t="str">
        <f>IFERROR(__xludf.DUMMYFUNCTION("""COMPUTED_VALUE"""),"BANGLADESH KRISHI BANK")</f>
        <v>BANGLADESH KRISHI BANK</v>
      </c>
      <c r="E1756" s="2" t="str">
        <f>IFERROR(__xludf.DUMMYFUNCTION("""COMPUTED_VALUE"""),"KOLAGACHI")</f>
        <v>KOLAGACHI</v>
      </c>
      <c r="F1756" s="4">
        <f>IFERROR(__xludf.DUMMYFUNCTION("""COMPUTED_VALUE"""),6.0)</f>
        <v>6</v>
      </c>
      <c r="G1756" s="5">
        <f>IFERROR(__xludf.DUMMYFUNCTION("""COMPUTED_VALUE"""),3.5410065E7)</f>
        <v>35410065</v>
      </c>
    </row>
    <row r="1757">
      <c r="A1757" s="3">
        <f>IFERROR(__xludf.DUMMYFUNCTION("""COMPUTED_VALUE"""),441.0)</f>
        <v>441</v>
      </c>
      <c r="B1757" s="2" t="str">
        <f>IFERROR(__xludf.DUMMYFUNCTION("""COMPUTED_VALUE"""),"JESSORE")</f>
        <v>JESSORE</v>
      </c>
      <c r="C1757" s="4">
        <f>IFERROR(__xludf.DUMMYFUNCTION("""COMPUTED_VALUE"""),35.0)</f>
        <v>35</v>
      </c>
      <c r="D1757" s="2" t="str">
        <f>IFERROR(__xludf.DUMMYFUNCTION("""COMPUTED_VALUE"""),"BANGLADESH KRISHI BANK")</f>
        <v>BANGLADESH KRISHI BANK</v>
      </c>
      <c r="E1757" s="2" t="str">
        <f>IFERROR(__xludf.DUMMYFUNCTION("""COMPUTED_VALUE"""),"BAGHERPARA")</f>
        <v>BAGHERPARA</v>
      </c>
      <c r="F1757" s="4">
        <f>IFERROR(__xludf.DUMMYFUNCTION("""COMPUTED_VALUE"""),13.0)</f>
        <v>13</v>
      </c>
      <c r="G1757" s="5">
        <f>IFERROR(__xludf.DUMMYFUNCTION("""COMPUTED_VALUE"""),3.5410131E7)</f>
        <v>35410131</v>
      </c>
    </row>
    <row r="1758">
      <c r="A1758" s="3">
        <f>IFERROR(__xludf.DUMMYFUNCTION("""COMPUTED_VALUE"""),441.0)</f>
        <v>441</v>
      </c>
      <c r="B1758" s="2" t="str">
        <f>IFERROR(__xludf.DUMMYFUNCTION("""COMPUTED_VALUE"""),"JESSORE")</f>
        <v>JESSORE</v>
      </c>
      <c r="C1758" s="4">
        <f>IFERROR(__xludf.DUMMYFUNCTION("""COMPUTED_VALUE"""),35.0)</f>
        <v>35</v>
      </c>
      <c r="D1758" s="2" t="str">
        <f>IFERROR(__xludf.DUMMYFUNCTION("""COMPUTED_VALUE"""),"BANGLADESH KRISHI BANK")</f>
        <v>BANGLADESH KRISHI BANK</v>
      </c>
      <c r="E1758" s="2" t="str">
        <f>IFERROR(__xludf.DUMMYFUNCTION("""COMPUTED_VALUE"""),"CHOWGACHA")</f>
        <v>CHOWGACHA</v>
      </c>
      <c r="F1758" s="4">
        <f>IFERROR(__xludf.DUMMYFUNCTION("""COMPUTED_VALUE"""),55.0)</f>
        <v>55</v>
      </c>
      <c r="G1758" s="5">
        <f>IFERROR(__xludf.DUMMYFUNCTION("""COMPUTED_VALUE"""),3.5410557E7)</f>
        <v>35410557</v>
      </c>
    </row>
    <row r="1759">
      <c r="A1759" s="3">
        <f>IFERROR(__xludf.DUMMYFUNCTION("""COMPUTED_VALUE"""),441.0)</f>
        <v>441</v>
      </c>
      <c r="B1759" s="2" t="str">
        <f>IFERROR(__xludf.DUMMYFUNCTION("""COMPUTED_VALUE"""),"JESSORE")</f>
        <v>JESSORE</v>
      </c>
      <c r="C1759" s="4">
        <f>IFERROR(__xludf.DUMMYFUNCTION("""COMPUTED_VALUE"""),35.0)</f>
        <v>35</v>
      </c>
      <c r="D1759" s="2" t="str">
        <f>IFERROR(__xludf.DUMMYFUNCTION("""COMPUTED_VALUE"""),"BANGLADESH KRISHI BANK")</f>
        <v>BANGLADESH KRISHI BANK</v>
      </c>
      <c r="E1759" s="2" t="str">
        <f>IFERROR(__xludf.DUMMYFUNCTION("""COMPUTED_VALUE"""),"GOPALPUR BAZAR")</f>
        <v>GOPALPUR BAZAR</v>
      </c>
      <c r="F1759" s="4">
        <f>IFERROR(__xludf.DUMMYFUNCTION("""COMPUTED_VALUE"""),76.0)</f>
        <v>76</v>
      </c>
      <c r="G1759" s="5">
        <f>IFERROR(__xludf.DUMMYFUNCTION("""COMPUTED_VALUE"""),3.541076E7)</f>
        <v>35410760</v>
      </c>
    </row>
    <row r="1760">
      <c r="A1760" s="3">
        <f>IFERROR(__xludf.DUMMYFUNCTION("""COMPUTED_VALUE"""),441.0)</f>
        <v>441</v>
      </c>
      <c r="B1760" s="2" t="str">
        <f>IFERROR(__xludf.DUMMYFUNCTION("""COMPUTED_VALUE"""),"JESSORE")</f>
        <v>JESSORE</v>
      </c>
      <c r="C1760" s="4">
        <f>IFERROR(__xludf.DUMMYFUNCTION("""COMPUTED_VALUE"""),35.0)</f>
        <v>35</v>
      </c>
      <c r="D1760" s="2" t="str">
        <f>IFERROR(__xludf.DUMMYFUNCTION("""COMPUTED_VALUE"""),"BANGLADESH KRISHI BANK")</f>
        <v>BANGLADESH KRISHI BANK</v>
      </c>
      <c r="E1760" s="2" t="str">
        <f>IFERROR(__xludf.DUMMYFUNCTION("""COMPUTED_VALUE"""),"HASANPUR")</f>
        <v>HASANPUR</v>
      </c>
      <c r="F1760" s="4">
        <f>IFERROR(__xludf.DUMMYFUNCTION("""COMPUTED_VALUE"""),82.0)</f>
        <v>82</v>
      </c>
      <c r="G1760" s="5">
        <f>IFERROR(__xludf.DUMMYFUNCTION("""COMPUTED_VALUE"""),3.5410823E7)</f>
        <v>35410823</v>
      </c>
    </row>
    <row r="1761">
      <c r="A1761" s="3">
        <f>IFERROR(__xludf.DUMMYFUNCTION("""COMPUTED_VALUE"""),441.0)</f>
        <v>441</v>
      </c>
      <c r="B1761" s="2" t="str">
        <f>IFERROR(__xludf.DUMMYFUNCTION("""COMPUTED_VALUE"""),"JESSORE")</f>
        <v>JESSORE</v>
      </c>
      <c r="C1761" s="4">
        <f>IFERROR(__xludf.DUMMYFUNCTION("""COMPUTED_VALUE"""),35.0)</f>
        <v>35</v>
      </c>
      <c r="D1761" s="2" t="str">
        <f>IFERROR(__xludf.DUMMYFUNCTION("""COMPUTED_VALUE"""),"BANGLADESH KRISHI BANK")</f>
        <v>BANGLADESH KRISHI BANK</v>
      </c>
      <c r="E1761" s="2" t="str">
        <f>IFERROR(__xludf.DUMMYFUNCTION("""COMPUTED_VALUE"""),"JAGADISHPUR")</f>
        <v>JAGADISHPUR</v>
      </c>
      <c r="F1761" s="4">
        <f>IFERROR(__xludf.DUMMYFUNCTION("""COMPUTED_VALUE"""),91.0)</f>
        <v>91</v>
      </c>
      <c r="G1761" s="5">
        <f>IFERROR(__xludf.DUMMYFUNCTION("""COMPUTED_VALUE"""),3.5410915E7)</f>
        <v>35410915</v>
      </c>
    </row>
    <row r="1762">
      <c r="A1762" s="3">
        <f>IFERROR(__xludf.DUMMYFUNCTION("""COMPUTED_VALUE"""),441.0)</f>
        <v>441</v>
      </c>
      <c r="B1762" s="2" t="str">
        <f>IFERROR(__xludf.DUMMYFUNCTION("""COMPUTED_VALUE"""),"JESSORE")</f>
        <v>JESSORE</v>
      </c>
      <c r="C1762" s="4">
        <f>IFERROR(__xludf.DUMMYFUNCTION("""COMPUTED_VALUE"""),35.0)</f>
        <v>35</v>
      </c>
      <c r="D1762" s="2" t="str">
        <f>IFERROR(__xludf.DUMMYFUNCTION("""COMPUTED_VALUE"""),"BANGLADESH KRISHI BANK")</f>
        <v>BANGLADESH KRISHI BANK</v>
      </c>
      <c r="E1762" s="2" t="str">
        <f>IFERROR(__xludf.DUMMYFUNCTION("""COMPUTED_VALUE"""),"JESSORE")</f>
        <v>JESSORE</v>
      </c>
      <c r="F1762" s="4">
        <f>IFERROR(__xludf.DUMMYFUNCTION("""COMPUTED_VALUE"""),94.0)</f>
        <v>94</v>
      </c>
      <c r="G1762" s="5">
        <f>IFERROR(__xludf.DUMMYFUNCTION("""COMPUTED_VALUE"""),3.5410944E7)</f>
        <v>35410944</v>
      </c>
    </row>
    <row r="1763">
      <c r="A1763" s="3">
        <f>IFERROR(__xludf.DUMMYFUNCTION("""COMPUTED_VALUE"""),441.0)</f>
        <v>441</v>
      </c>
      <c r="B1763" s="2" t="str">
        <f>IFERROR(__xludf.DUMMYFUNCTION("""COMPUTED_VALUE"""),"JESSORE")</f>
        <v>JESSORE</v>
      </c>
      <c r="C1763" s="4">
        <f>IFERROR(__xludf.DUMMYFUNCTION("""COMPUTED_VALUE"""),35.0)</f>
        <v>35</v>
      </c>
      <c r="D1763" s="2" t="str">
        <f>IFERROR(__xludf.DUMMYFUNCTION("""COMPUTED_VALUE"""),"BANGLADESH KRISHI BANK")</f>
        <v>BANGLADESH KRISHI BANK</v>
      </c>
      <c r="E1763" s="2" t="str">
        <f>IFERROR(__xludf.DUMMYFUNCTION("""COMPUTED_VALUE"""),"JHIKARGACHA")</f>
        <v>JHIKARGACHA</v>
      </c>
      <c r="F1763" s="4">
        <f>IFERROR(__xludf.DUMMYFUNCTION("""COMPUTED_VALUE"""),109.0)</f>
        <v>109</v>
      </c>
      <c r="G1763" s="5">
        <f>IFERROR(__xludf.DUMMYFUNCTION("""COMPUTED_VALUE"""),3.5411093E7)</f>
        <v>35411093</v>
      </c>
    </row>
    <row r="1764">
      <c r="A1764" s="3">
        <f>IFERROR(__xludf.DUMMYFUNCTION("""COMPUTED_VALUE"""),441.0)</f>
        <v>441</v>
      </c>
      <c r="B1764" s="2" t="str">
        <f>IFERROR(__xludf.DUMMYFUNCTION("""COMPUTED_VALUE"""),"JESSORE")</f>
        <v>JESSORE</v>
      </c>
      <c r="C1764" s="4">
        <f>IFERROR(__xludf.DUMMYFUNCTION("""COMPUTED_VALUE"""),35.0)</f>
        <v>35</v>
      </c>
      <c r="D1764" s="2" t="str">
        <f>IFERROR(__xludf.DUMMYFUNCTION("""COMPUTED_VALUE"""),"BANGLADESH KRISHI BANK")</f>
        <v>BANGLADESH KRISHI BANK</v>
      </c>
      <c r="E1764" s="2" t="str">
        <f>IFERROR(__xludf.DUMMYFUNCTION("""COMPUTED_VALUE"""),"KAYEMKOLA BAZAR")</f>
        <v>KAYEMKOLA BAZAR</v>
      </c>
      <c r="F1764" s="4">
        <f>IFERROR(__xludf.DUMMYFUNCTION("""COMPUTED_VALUE"""),118.0)</f>
        <v>118</v>
      </c>
      <c r="G1764" s="5">
        <f>IFERROR(__xludf.DUMMYFUNCTION("""COMPUTED_VALUE"""),3.5411185E7)</f>
        <v>35411185</v>
      </c>
    </row>
    <row r="1765">
      <c r="A1765" s="3">
        <f>IFERROR(__xludf.DUMMYFUNCTION("""COMPUTED_VALUE"""),441.0)</f>
        <v>441</v>
      </c>
      <c r="B1765" s="2" t="str">
        <f>IFERROR(__xludf.DUMMYFUNCTION("""COMPUTED_VALUE"""),"JESSORE")</f>
        <v>JESSORE</v>
      </c>
      <c r="C1765" s="4">
        <f>IFERROR(__xludf.DUMMYFUNCTION("""COMPUTED_VALUE"""),35.0)</f>
        <v>35</v>
      </c>
      <c r="D1765" s="2" t="str">
        <f>IFERROR(__xludf.DUMMYFUNCTION("""COMPUTED_VALUE"""),"BANGLADESH KRISHI BANK")</f>
        <v>BANGLADESH KRISHI BANK</v>
      </c>
      <c r="E1765" s="2" t="str">
        <f>IFERROR(__xludf.DUMMYFUNCTION("""COMPUTED_VALUE"""),"KESHABPUR")</f>
        <v>KESHABPUR</v>
      </c>
      <c r="F1765" s="4">
        <f>IFERROR(__xludf.DUMMYFUNCTION("""COMPUTED_VALUE"""),121.0)</f>
        <v>121</v>
      </c>
      <c r="G1765" s="5">
        <f>IFERROR(__xludf.DUMMYFUNCTION("""COMPUTED_VALUE"""),3.5411219E7)</f>
        <v>35411219</v>
      </c>
    </row>
    <row r="1766">
      <c r="A1766" s="3">
        <f>IFERROR(__xludf.DUMMYFUNCTION("""COMPUTED_VALUE"""),441.0)</f>
        <v>441</v>
      </c>
      <c r="B1766" s="2" t="str">
        <f>IFERROR(__xludf.DUMMYFUNCTION("""COMPUTED_VALUE"""),"JESSORE")</f>
        <v>JESSORE</v>
      </c>
      <c r="C1766" s="4">
        <f>IFERROR(__xludf.DUMMYFUNCTION("""COMPUTED_VALUE"""),35.0)</f>
        <v>35</v>
      </c>
      <c r="D1766" s="2" t="str">
        <f>IFERROR(__xludf.DUMMYFUNCTION("""COMPUTED_VALUE"""),"BANGLADESH KRISHI BANK")</f>
        <v>BANGLADESH KRISHI BANK</v>
      </c>
      <c r="E1766" s="2" t="str">
        <f>IFERROR(__xludf.DUMMYFUNCTION("""COMPUTED_VALUE"""),"KHEDAPARA BAZAR")</f>
        <v>KHEDAPARA BAZAR</v>
      </c>
      <c r="F1766" s="4">
        <f>IFERROR(__xludf.DUMMYFUNCTION("""COMPUTED_VALUE"""),127.0)</f>
        <v>127</v>
      </c>
      <c r="G1766" s="5">
        <f>IFERROR(__xludf.DUMMYFUNCTION("""COMPUTED_VALUE"""),3.5411277E7)</f>
        <v>35411277</v>
      </c>
    </row>
    <row r="1767">
      <c r="A1767" s="3">
        <f>IFERROR(__xludf.DUMMYFUNCTION("""COMPUTED_VALUE"""),441.0)</f>
        <v>441</v>
      </c>
      <c r="B1767" s="2" t="str">
        <f>IFERROR(__xludf.DUMMYFUNCTION("""COMPUTED_VALUE"""),"JESSORE")</f>
        <v>JESSORE</v>
      </c>
      <c r="C1767" s="4">
        <f>IFERROR(__xludf.DUMMYFUNCTION("""COMPUTED_VALUE"""),35.0)</f>
        <v>35</v>
      </c>
      <c r="D1767" s="2" t="str">
        <f>IFERROR(__xludf.DUMMYFUNCTION("""COMPUTED_VALUE"""),"BANGLADESH KRISHI BANK")</f>
        <v>BANGLADESH KRISHI BANK</v>
      </c>
      <c r="E1767" s="2" t="str">
        <f>IFERROR(__xludf.DUMMYFUNCTION("""COMPUTED_VALUE"""),"KUADA BAZAR")</f>
        <v>KUADA BAZAR</v>
      </c>
      <c r="F1767" s="4">
        <f>IFERROR(__xludf.DUMMYFUNCTION("""COMPUTED_VALUE"""),130.0)</f>
        <v>130</v>
      </c>
      <c r="G1767" s="5">
        <f>IFERROR(__xludf.DUMMYFUNCTION("""COMPUTED_VALUE"""),3.5411301E7)</f>
        <v>35411301</v>
      </c>
    </row>
    <row r="1768">
      <c r="A1768" s="3">
        <f>IFERROR(__xludf.DUMMYFUNCTION("""COMPUTED_VALUE"""),441.0)</f>
        <v>441</v>
      </c>
      <c r="B1768" s="2" t="str">
        <f>IFERROR(__xludf.DUMMYFUNCTION("""COMPUTED_VALUE"""),"JESSORE")</f>
        <v>JESSORE</v>
      </c>
      <c r="C1768" s="4">
        <f>IFERROR(__xludf.DUMMYFUNCTION("""COMPUTED_VALUE"""),35.0)</f>
        <v>35</v>
      </c>
      <c r="D1768" s="2" t="str">
        <f>IFERROR(__xludf.DUMMYFUNCTION("""COMPUTED_VALUE"""),"BANGLADESH KRISHI BANK")</f>
        <v>BANGLADESH KRISHI BANK</v>
      </c>
      <c r="E1768" s="2" t="str">
        <f>IFERROR(__xludf.DUMMYFUNCTION("""COMPUTED_VALUE"""),"LAKHANPUR BAZAR")</f>
        <v>LAKHANPUR BAZAR</v>
      </c>
      <c r="F1768" s="4">
        <f>IFERROR(__xludf.DUMMYFUNCTION("""COMPUTED_VALUE"""),136.0)</f>
        <v>136</v>
      </c>
      <c r="G1768" s="5">
        <f>IFERROR(__xludf.DUMMYFUNCTION("""COMPUTED_VALUE"""),3.5411369E7)</f>
        <v>35411369</v>
      </c>
    </row>
    <row r="1769">
      <c r="A1769" s="3">
        <f>IFERROR(__xludf.DUMMYFUNCTION("""COMPUTED_VALUE"""),441.0)</f>
        <v>441</v>
      </c>
      <c r="B1769" s="2" t="str">
        <f>IFERROR(__xludf.DUMMYFUNCTION("""COMPUTED_VALUE"""),"JESSORE")</f>
        <v>JESSORE</v>
      </c>
      <c r="C1769" s="4">
        <f>IFERROR(__xludf.DUMMYFUNCTION("""COMPUTED_VALUE"""),35.0)</f>
        <v>35</v>
      </c>
      <c r="D1769" s="2" t="str">
        <f>IFERROR(__xludf.DUMMYFUNCTION("""COMPUTED_VALUE"""),"BANGLADESH KRISHI BANK")</f>
        <v>BANGLADESH KRISHI BANK</v>
      </c>
      <c r="E1769" s="2" t="str">
        <f>IFERROR(__xludf.DUMMYFUNCTION("""COMPUTED_VALUE"""),"MASHIA HATI")</f>
        <v>MASHIA HATI</v>
      </c>
      <c r="F1769" s="4">
        <f>IFERROR(__xludf.DUMMYFUNCTION("""COMPUTED_VALUE"""),148.0)</f>
        <v>148</v>
      </c>
      <c r="G1769" s="5">
        <f>IFERROR(__xludf.DUMMYFUNCTION("""COMPUTED_VALUE"""),3.541148E7)</f>
        <v>35411480</v>
      </c>
    </row>
    <row r="1770">
      <c r="A1770" s="3">
        <f>IFERROR(__xludf.DUMMYFUNCTION("""COMPUTED_VALUE"""),441.0)</f>
        <v>441</v>
      </c>
      <c r="B1770" s="2" t="str">
        <f>IFERROR(__xludf.DUMMYFUNCTION("""COMPUTED_VALUE"""),"JESSORE")</f>
        <v>JESSORE</v>
      </c>
      <c r="C1770" s="4">
        <f>IFERROR(__xludf.DUMMYFUNCTION("""COMPUTED_VALUE"""),35.0)</f>
        <v>35</v>
      </c>
      <c r="D1770" s="2" t="str">
        <f>IFERROR(__xludf.DUMMYFUNCTION("""COMPUTED_VALUE"""),"BANGLADESH KRISHI BANK")</f>
        <v>BANGLADESH KRISHI BANK</v>
      </c>
      <c r="E1770" s="2" t="str">
        <f>IFERROR(__xludf.DUMMYFUNCTION("""COMPUTED_VALUE"""),"MONIRAMPUR")</f>
        <v>MONIRAMPUR</v>
      </c>
      <c r="F1770" s="4">
        <f>IFERROR(__xludf.DUMMYFUNCTION("""COMPUTED_VALUE"""),151.0)</f>
        <v>151</v>
      </c>
      <c r="G1770" s="5">
        <f>IFERROR(__xludf.DUMMYFUNCTION("""COMPUTED_VALUE"""),3.5411514E7)</f>
        <v>35411514</v>
      </c>
    </row>
    <row r="1771">
      <c r="A1771" s="3">
        <f>IFERROR(__xludf.DUMMYFUNCTION("""COMPUTED_VALUE"""),441.0)</f>
        <v>441</v>
      </c>
      <c r="B1771" s="2" t="str">
        <f>IFERROR(__xludf.DUMMYFUNCTION("""COMPUTED_VALUE"""),"JESSORE")</f>
        <v>JESSORE</v>
      </c>
      <c r="C1771" s="4">
        <f>IFERROR(__xludf.DUMMYFUNCTION("""COMPUTED_VALUE"""),35.0)</f>
        <v>35</v>
      </c>
      <c r="D1771" s="2" t="str">
        <f>IFERROR(__xludf.DUMMYFUNCTION("""COMPUTED_VALUE"""),"BANGLADESH KRISHI BANK")</f>
        <v>BANGLADESH KRISHI BANK</v>
      </c>
      <c r="E1771" s="2" t="str">
        <f>IFERROR(__xludf.DUMMYFUNCTION("""COMPUTED_VALUE"""),"NARAYANPUR")</f>
        <v>NARAYANPUR</v>
      </c>
      <c r="F1771" s="4">
        <f>IFERROR(__xludf.DUMMYFUNCTION("""COMPUTED_VALUE"""),154.0)</f>
        <v>154</v>
      </c>
      <c r="G1771" s="5">
        <f>IFERROR(__xludf.DUMMYFUNCTION("""COMPUTED_VALUE"""),3.5411543E7)</f>
        <v>35411543</v>
      </c>
    </row>
    <row r="1772">
      <c r="A1772" s="3">
        <f>IFERROR(__xludf.DUMMYFUNCTION("""COMPUTED_VALUE"""),441.0)</f>
        <v>441</v>
      </c>
      <c r="B1772" s="2" t="str">
        <f>IFERROR(__xludf.DUMMYFUNCTION("""COMPUTED_VALUE"""),"JESSORE")</f>
        <v>JESSORE</v>
      </c>
      <c r="C1772" s="4">
        <f>IFERROR(__xludf.DUMMYFUNCTION("""COMPUTED_VALUE"""),35.0)</f>
        <v>35</v>
      </c>
      <c r="D1772" s="2" t="str">
        <f>IFERROR(__xludf.DUMMYFUNCTION("""COMPUTED_VALUE"""),"BANGLADESH KRISHI BANK")</f>
        <v>BANGLADESH KRISHI BANK</v>
      </c>
      <c r="E1772" s="2" t="str">
        <f>IFERROR(__xludf.DUMMYFUNCTION("""COMPUTED_VALUE"""),"NAVARAN")</f>
        <v>NAVARAN</v>
      </c>
      <c r="F1772" s="4">
        <f>IFERROR(__xludf.DUMMYFUNCTION("""COMPUTED_VALUE"""),160.0)</f>
        <v>160</v>
      </c>
      <c r="G1772" s="5">
        <f>IFERROR(__xludf.DUMMYFUNCTION("""COMPUTED_VALUE"""),3.5411606E7)</f>
        <v>35411606</v>
      </c>
    </row>
    <row r="1773">
      <c r="A1773" s="3">
        <f>IFERROR(__xludf.DUMMYFUNCTION("""COMPUTED_VALUE"""),441.0)</f>
        <v>441</v>
      </c>
      <c r="B1773" s="2" t="str">
        <f>IFERROR(__xludf.DUMMYFUNCTION("""COMPUTED_VALUE"""),"JESSORE")</f>
        <v>JESSORE</v>
      </c>
      <c r="C1773" s="4">
        <f>IFERROR(__xludf.DUMMYFUNCTION("""COMPUTED_VALUE"""),35.0)</f>
        <v>35</v>
      </c>
      <c r="D1773" s="2" t="str">
        <f>IFERROR(__xludf.DUMMYFUNCTION("""COMPUTED_VALUE"""),"BANGLADESH KRISHI BANK")</f>
        <v>BANGLADESH KRISHI BANK</v>
      </c>
      <c r="E1773" s="2" t="str">
        <f>IFERROR(__xludf.DUMMYFUNCTION("""COMPUTED_VALUE"""),"NOAPARA")</f>
        <v>NOAPARA</v>
      </c>
      <c r="F1773" s="4">
        <f>IFERROR(__xludf.DUMMYFUNCTION("""COMPUTED_VALUE"""),163.0)</f>
        <v>163</v>
      </c>
      <c r="G1773" s="5">
        <f>IFERROR(__xludf.DUMMYFUNCTION("""COMPUTED_VALUE"""),3.5411635E7)</f>
        <v>35411635</v>
      </c>
    </row>
    <row r="1774">
      <c r="A1774" s="3">
        <f>IFERROR(__xludf.DUMMYFUNCTION("""COMPUTED_VALUE"""),441.0)</f>
        <v>441</v>
      </c>
      <c r="B1774" s="2" t="str">
        <f>IFERROR(__xludf.DUMMYFUNCTION("""COMPUTED_VALUE"""),"JESSORE")</f>
        <v>JESSORE</v>
      </c>
      <c r="C1774" s="4">
        <f>IFERROR(__xludf.DUMMYFUNCTION("""COMPUTED_VALUE"""),35.0)</f>
        <v>35</v>
      </c>
      <c r="D1774" s="2" t="str">
        <f>IFERROR(__xludf.DUMMYFUNCTION("""COMPUTED_VALUE"""),"BANGLADESH KRISHI BANK")</f>
        <v>BANGLADESH KRISHI BANK</v>
      </c>
      <c r="E1774" s="2" t="str">
        <f>IFERROR(__xludf.DUMMYFUNCTION("""COMPUTED_VALUE"""),"RUPDIA")</f>
        <v>RUPDIA</v>
      </c>
      <c r="F1774" s="4">
        <f>IFERROR(__xludf.DUMMYFUNCTION("""COMPUTED_VALUE"""),202.0)</f>
        <v>202</v>
      </c>
      <c r="G1774" s="5">
        <f>IFERROR(__xludf.DUMMYFUNCTION("""COMPUTED_VALUE"""),3.5412021E7)</f>
        <v>35412021</v>
      </c>
    </row>
    <row r="1775">
      <c r="A1775" s="3">
        <f>IFERROR(__xludf.DUMMYFUNCTION("""COMPUTED_VALUE"""),441.0)</f>
        <v>441</v>
      </c>
      <c r="B1775" s="2" t="str">
        <f>IFERROR(__xludf.DUMMYFUNCTION("""COMPUTED_VALUE"""),"JESSORE")</f>
        <v>JESSORE</v>
      </c>
      <c r="C1775" s="4">
        <f>IFERROR(__xludf.DUMMYFUNCTION("""COMPUTED_VALUE"""),35.0)</f>
        <v>35</v>
      </c>
      <c r="D1775" s="2" t="str">
        <f>IFERROR(__xludf.DUMMYFUNCTION("""COMPUTED_VALUE"""),"BANGLADESH KRISHI BANK")</f>
        <v>BANGLADESH KRISHI BANK</v>
      </c>
      <c r="E1775" s="2" t="str">
        <f>IFERROR(__xludf.DUMMYFUNCTION("""COMPUTED_VALUE"""),"SARSHA")</f>
        <v>SARSHA</v>
      </c>
      <c r="F1775" s="4">
        <f>IFERROR(__xludf.DUMMYFUNCTION("""COMPUTED_VALUE"""),214.0)</f>
        <v>214</v>
      </c>
      <c r="G1775" s="5">
        <f>IFERROR(__xludf.DUMMYFUNCTION("""COMPUTED_VALUE"""),3.5412142E7)</f>
        <v>35412142</v>
      </c>
    </row>
    <row r="1776">
      <c r="A1776" s="3">
        <f>IFERROR(__xludf.DUMMYFUNCTION("""COMPUTED_VALUE"""),441.0)</f>
        <v>441</v>
      </c>
      <c r="B1776" s="2" t="str">
        <f>IFERROR(__xludf.DUMMYFUNCTION("""COMPUTED_VALUE"""),"JESSORE")</f>
        <v>JESSORE</v>
      </c>
      <c r="C1776" s="4">
        <f>IFERROR(__xludf.DUMMYFUNCTION("""COMPUTED_VALUE"""),35.0)</f>
        <v>35</v>
      </c>
      <c r="D1776" s="2" t="str">
        <f>IFERROR(__xludf.DUMMYFUNCTION("""COMPUTED_VALUE"""),"BANGLADESH KRISHI BANK")</f>
        <v>BANGLADESH KRISHI BANK</v>
      </c>
      <c r="E1776" s="2" t="str">
        <f>IFERROR(__xludf.DUMMYFUNCTION("""COMPUTED_VALUE"""),"SHINGHAJHULI BAZAR")</f>
        <v>SHINGHAJHULI BAZAR</v>
      </c>
      <c r="F1776" s="4">
        <f>IFERROR(__xludf.DUMMYFUNCTION("""COMPUTED_VALUE"""),220.0)</f>
        <v>220</v>
      </c>
      <c r="G1776" s="5">
        <f>IFERROR(__xludf.DUMMYFUNCTION("""COMPUTED_VALUE"""),3.5412205E7)</f>
        <v>35412205</v>
      </c>
    </row>
    <row r="1777">
      <c r="A1777" s="3">
        <f>IFERROR(__xludf.DUMMYFUNCTION("""COMPUTED_VALUE"""),342.0)</f>
        <v>342</v>
      </c>
      <c r="B1777" s="2" t="str">
        <f>IFERROR(__xludf.DUMMYFUNCTION("""COMPUTED_VALUE"""),"JHALOKATHI")</f>
        <v>JHALOKATHI</v>
      </c>
      <c r="C1777" s="4">
        <f>IFERROR(__xludf.DUMMYFUNCTION("""COMPUTED_VALUE"""),35.0)</f>
        <v>35</v>
      </c>
      <c r="D1777" s="2" t="str">
        <f>IFERROR(__xludf.DUMMYFUNCTION("""COMPUTED_VALUE"""),"BANGLADESH KRISHI BANK")</f>
        <v>BANGLADESH KRISHI BANK</v>
      </c>
      <c r="E1777" s="2" t="str">
        <f>IFERROR(__xludf.DUMMYFUNCTION("""COMPUTED_VALUE"""),"AMUA")</f>
        <v>AMUA</v>
      </c>
      <c r="F1777" s="4">
        <f>IFERROR(__xludf.DUMMYFUNCTION("""COMPUTED_VALUE"""),4.0)</f>
        <v>4</v>
      </c>
      <c r="G1777" s="5">
        <f>IFERROR(__xludf.DUMMYFUNCTION("""COMPUTED_VALUE"""),3.5420042E7)</f>
        <v>35420042</v>
      </c>
    </row>
    <row r="1778">
      <c r="A1778" s="3">
        <f>IFERROR(__xludf.DUMMYFUNCTION("""COMPUTED_VALUE"""),342.0)</f>
        <v>342</v>
      </c>
      <c r="B1778" s="2" t="str">
        <f>IFERROR(__xludf.DUMMYFUNCTION("""COMPUTED_VALUE"""),"JHALOKATHI")</f>
        <v>JHALOKATHI</v>
      </c>
      <c r="C1778" s="4">
        <f>IFERROR(__xludf.DUMMYFUNCTION("""COMPUTED_VALUE"""),35.0)</f>
        <v>35</v>
      </c>
      <c r="D1778" s="2" t="str">
        <f>IFERROR(__xludf.DUMMYFUNCTION("""COMPUTED_VALUE"""),"BANGLADESH KRISHI BANK")</f>
        <v>BANGLADESH KRISHI BANK</v>
      </c>
      <c r="E1778" s="2" t="str">
        <f>IFERROR(__xludf.DUMMYFUNCTION("""COMPUTED_VALUE"""),"BADURTALA BAZAR")</f>
        <v>BADURTALA BAZAR</v>
      </c>
      <c r="F1778" s="4">
        <f>IFERROR(__xludf.DUMMYFUNCTION("""COMPUTED_VALUE"""),10.0)</f>
        <v>10</v>
      </c>
      <c r="G1778" s="5">
        <f>IFERROR(__xludf.DUMMYFUNCTION("""COMPUTED_VALUE"""),3.5420105E7)</f>
        <v>35420105</v>
      </c>
    </row>
    <row r="1779">
      <c r="A1779" s="3">
        <f>IFERROR(__xludf.DUMMYFUNCTION("""COMPUTED_VALUE"""),342.0)</f>
        <v>342</v>
      </c>
      <c r="B1779" s="2" t="str">
        <f>IFERROR(__xludf.DUMMYFUNCTION("""COMPUTED_VALUE"""),"JHALOKATHI")</f>
        <v>JHALOKATHI</v>
      </c>
      <c r="C1779" s="4">
        <f>IFERROR(__xludf.DUMMYFUNCTION("""COMPUTED_VALUE"""),35.0)</f>
        <v>35</v>
      </c>
      <c r="D1779" s="2" t="str">
        <f>IFERROR(__xludf.DUMMYFUNCTION("""COMPUTED_VALUE"""),"BANGLADESH KRISHI BANK")</f>
        <v>BANGLADESH KRISHI BANK</v>
      </c>
      <c r="E1779" s="2" t="str">
        <f>IFERROR(__xludf.DUMMYFUNCTION("""COMPUTED_VALUE"""),"BASONDA")</f>
        <v>BASONDA</v>
      </c>
      <c r="F1779" s="4">
        <f>IFERROR(__xludf.DUMMYFUNCTION("""COMPUTED_VALUE"""),13.0)</f>
        <v>13</v>
      </c>
      <c r="G1779" s="5">
        <f>IFERROR(__xludf.DUMMYFUNCTION("""COMPUTED_VALUE"""),3.5420134E7)</f>
        <v>35420134</v>
      </c>
    </row>
    <row r="1780">
      <c r="A1780" s="3">
        <f>IFERROR(__xludf.DUMMYFUNCTION("""COMPUTED_VALUE"""),342.0)</f>
        <v>342</v>
      </c>
      <c r="B1780" s="2" t="str">
        <f>IFERROR(__xludf.DUMMYFUNCTION("""COMPUTED_VALUE"""),"JHALOKATHI")</f>
        <v>JHALOKATHI</v>
      </c>
      <c r="C1780" s="4">
        <f>IFERROR(__xludf.DUMMYFUNCTION("""COMPUTED_VALUE"""),35.0)</f>
        <v>35</v>
      </c>
      <c r="D1780" s="2" t="str">
        <f>IFERROR(__xludf.DUMMYFUNCTION("""COMPUTED_VALUE"""),"BANGLADESH KRISHI BANK")</f>
        <v>BANGLADESH KRISHI BANK</v>
      </c>
      <c r="E1780" s="2" t="str">
        <f>IFERROR(__xludf.DUMMYFUNCTION("""COMPUTED_VALUE"""),"BENOYKATI")</f>
        <v>BENOYKATI</v>
      </c>
      <c r="F1780" s="4">
        <f>IFERROR(__xludf.DUMMYFUNCTION("""COMPUTED_VALUE"""),16.0)</f>
        <v>16</v>
      </c>
      <c r="G1780" s="5">
        <f>IFERROR(__xludf.DUMMYFUNCTION("""COMPUTED_VALUE"""),3.5420163E7)</f>
        <v>35420163</v>
      </c>
    </row>
    <row r="1781">
      <c r="A1781" s="3">
        <f>IFERROR(__xludf.DUMMYFUNCTION("""COMPUTED_VALUE"""),342.0)</f>
        <v>342</v>
      </c>
      <c r="B1781" s="2" t="str">
        <f>IFERROR(__xludf.DUMMYFUNCTION("""COMPUTED_VALUE"""),"JHALOKATHI")</f>
        <v>JHALOKATHI</v>
      </c>
      <c r="C1781" s="4">
        <f>IFERROR(__xludf.DUMMYFUNCTION("""COMPUTED_VALUE"""),35.0)</f>
        <v>35</v>
      </c>
      <c r="D1781" s="2" t="str">
        <f>IFERROR(__xludf.DUMMYFUNCTION("""COMPUTED_VALUE"""),"BANGLADESH KRISHI BANK")</f>
        <v>BANGLADESH KRISHI BANK</v>
      </c>
      <c r="E1781" s="2" t="str">
        <f>IFERROR(__xludf.DUMMYFUNCTION("""COMPUTED_VALUE"""),"CHITKI BAZAR")</f>
        <v>CHITKI BAZAR</v>
      </c>
      <c r="F1781" s="4">
        <f>IFERROR(__xludf.DUMMYFUNCTION("""COMPUTED_VALUE"""),19.0)</f>
        <v>19</v>
      </c>
      <c r="G1781" s="5">
        <f>IFERROR(__xludf.DUMMYFUNCTION("""COMPUTED_VALUE"""),3.5420192E7)</f>
        <v>35420192</v>
      </c>
    </row>
    <row r="1782">
      <c r="A1782" s="3">
        <f>IFERROR(__xludf.DUMMYFUNCTION("""COMPUTED_VALUE"""),342.0)</f>
        <v>342</v>
      </c>
      <c r="B1782" s="2" t="str">
        <f>IFERROR(__xludf.DUMMYFUNCTION("""COMPUTED_VALUE"""),"JHALOKATHI")</f>
        <v>JHALOKATHI</v>
      </c>
      <c r="C1782" s="4">
        <f>IFERROR(__xludf.DUMMYFUNCTION("""COMPUTED_VALUE"""),35.0)</f>
        <v>35</v>
      </c>
      <c r="D1782" s="2" t="str">
        <f>IFERROR(__xludf.DUMMYFUNCTION("""COMPUTED_VALUE"""),"BANGLADESH KRISHI BANK")</f>
        <v>BANGLADESH KRISHI BANK</v>
      </c>
      <c r="E1782" s="2" t="str">
        <f>IFERROR(__xludf.DUMMYFUNCTION("""COMPUTED_VALUE"""),"GALUA BAZAR")</f>
        <v>GALUA BAZAR</v>
      </c>
      <c r="F1782" s="4">
        <f>IFERROR(__xludf.DUMMYFUNCTION("""COMPUTED_VALUE"""),25.0)</f>
        <v>25</v>
      </c>
      <c r="G1782" s="5">
        <f>IFERROR(__xludf.DUMMYFUNCTION("""COMPUTED_VALUE"""),3.5420255E7)</f>
        <v>35420255</v>
      </c>
    </row>
    <row r="1783">
      <c r="A1783" s="3">
        <f>IFERROR(__xludf.DUMMYFUNCTION("""COMPUTED_VALUE"""),342.0)</f>
        <v>342</v>
      </c>
      <c r="B1783" s="2" t="str">
        <f>IFERROR(__xludf.DUMMYFUNCTION("""COMPUTED_VALUE"""),"JHALOKATHI")</f>
        <v>JHALOKATHI</v>
      </c>
      <c r="C1783" s="4">
        <f>IFERROR(__xludf.DUMMYFUNCTION("""COMPUTED_VALUE"""),35.0)</f>
        <v>35</v>
      </c>
      <c r="D1783" s="2" t="str">
        <f>IFERROR(__xludf.DUMMYFUNCTION("""COMPUTED_VALUE"""),"BANGLADESH KRISHI BANK")</f>
        <v>BANGLADESH KRISHI BANK</v>
      </c>
      <c r="E1783" s="2" t="str">
        <f>IFERROR(__xludf.DUMMYFUNCTION("""COMPUTED_VALUE"""),"NIZAMEA BAZAR")</f>
        <v>NIZAMEA BAZAR</v>
      </c>
      <c r="F1783" s="4">
        <f>IFERROR(__xludf.DUMMYFUNCTION("""COMPUTED_VALUE"""),27.0)</f>
        <v>27</v>
      </c>
      <c r="G1783" s="5">
        <f>IFERROR(__xludf.DUMMYFUNCTION("""COMPUTED_VALUE"""),3.5420271E7)</f>
        <v>35420271</v>
      </c>
    </row>
    <row r="1784">
      <c r="A1784" s="3">
        <f>IFERROR(__xludf.DUMMYFUNCTION("""COMPUTED_VALUE"""),342.0)</f>
        <v>342</v>
      </c>
      <c r="B1784" s="2" t="str">
        <f>IFERROR(__xludf.DUMMYFUNCTION("""COMPUTED_VALUE"""),"JHALOKATHI")</f>
        <v>JHALOKATHI</v>
      </c>
      <c r="C1784" s="4">
        <f>IFERROR(__xludf.DUMMYFUNCTION("""COMPUTED_VALUE"""),35.0)</f>
        <v>35</v>
      </c>
      <c r="D1784" s="2" t="str">
        <f>IFERROR(__xludf.DUMMYFUNCTION("""COMPUTED_VALUE"""),"BANGLADESH KRISHI BANK")</f>
        <v>BANGLADESH KRISHI BANK</v>
      </c>
      <c r="E1784" s="2" t="str">
        <f>IFERROR(__xludf.DUMMYFUNCTION("""COMPUTED_VALUE"""),"JHALOKATI")</f>
        <v>JHALOKATI</v>
      </c>
      <c r="F1784" s="4">
        <f>IFERROR(__xludf.DUMMYFUNCTION("""COMPUTED_VALUE"""),31.0)</f>
        <v>31</v>
      </c>
      <c r="G1784" s="5">
        <f>IFERROR(__xludf.DUMMYFUNCTION("""COMPUTED_VALUE"""),3.5420318E7)</f>
        <v>35420318</v>
      </c>
    </row>
    <row r="1785">
      <c r="A1785" s="3">
        <f>IFERROR(__xludf.DUMMYFUNCTION("""COMPUTED_VALUE"""),342.0)</f>
        <v>342</v>
      </c>
      <c r="B1785" s="2" t="str">
        <f>IFERROR(__xludf.DUMMYFUNCTION("""COMPUTED_VALUE"""),"JHALOKATHI")</f>
        <v>JHALOKATHI</v>
      </c>
      <c r="C1785" s="4">
        <f>IFERROR(__xludf.DUMMYFUNCTION("""COMPUTED_VALUE"""),35.0)</f>
        <v>35</v>
      </c>
      <c r="D1785" s="2" t="str">
        <f>IFERROR(__xludf.DUMMYFUNCTION("""COMPUTED_VALUE"""),"BANGLADESH KRISHI BANK")</f>
        <v>BANGLADESH KRISHI BANK</v>
      </c>
      <c r="E1785" s="2" t="str">
        <f>IFERROR(__xludf.DUMMYFUNCTION("""COMPUTED_VALUE"""),"KAIKHALI")</f>
        <v>KAIKHALI</v>
      </c>
      <c r="F1785" s="4">
        <f>IFERROR(__xludf.DUMMYFUNCTION("""COMPUTED_VALUE"""),34.0)</f>
        <v>34</v>
      </c>
      <c r="G1785" s="5">
        <f>IFERROR(__xludf.DUMMYFUNCTION("""COMPUTED_VALUE"""),3.5420347E7)</f>
        <v>35420347</v>
      </c>
    </row>
    <row r="1786">
      <c r="A1786" s="3">
        <f>IFERROR(__xludf.DUMMYFUNCTION("""COMPUTED_VALUE"""),342.0)</f>
        <v>342</v>
      </c>
      <c r="B1786" s="2" t="str">
        <f>IFERROR(__xludf.DUMMYFUNCTION("""COMPUTED_VALUE"""),"JHALOKATHI")</f>
        <v>JHALOKATHI</v>
      </c>
      <c r="C1786" s="4">
        <f>IFERROR(__xludf.DUMMYFUNCTION("""COMPUTED_VALUE"""),35.0)</f>
        <v>35</v>
      </c>
      <c r="D1786" s="2" t="str">
        <f>IFERROR(__xludf.DUMMYFUNCTION("""COMPUTED_VALUE"""),"BANGLADESH KRISHI BANK")</f>
        <v>BANGLADESH KRISHI BANK</v>
      </c>
      <c r="E1786" s="2" t="str">
        <f>IFERROR(__xludf.DUMMYFUNCTION("""COMPUTED_VALUE"""),"KATHALIA")</f>
        <v>KATHALIA</v>
      </c>
      <c r="F1786" s="4">
        <f>IFERROR(__xludf.DUMMYFUNCTION("""COMPUTED_VALUE"""),37.0)</f>
        <v>37</v>
      </c>
      <c r="G1786" s="5">
        <f>IFERROR(__xludf.DUMMYFUNCTION("""COMPUTED_VALUE"""),3.5420376E7)</f>
        <v>35420376</v>
      </c>
    </row>
    <row r="1787">
      <c r="A1787" s="3">
        <f>IFERROR(__xludf.DUMMYFUNCTION("""COMPUTED_VALUE"""),342.0)</f>
        <v>342</v>
      </c>
      <c r="B1787" s="2" t="str">
        <f>IFERROR(__xludf.DUMMYFUNCTION("""COMPUTED_VALUE"""),"JHALOKATHI")</f>
        <v>JHALOKATHI</v>
      </c>
      <c r="C1787" s="4">
        <f>IFERROR(__xludf.DUMMYFUNCTION("""COMPUTED_VALUE"""),35.0)</f>
        <v>35</v>
      </c>
      <c r="D1787" s="2" t="str">
        <f>IFERROR(__xludf.DUMMYFUNCTION("""COMPUTED_VALUE"""),"BANGLADESH KRISHI BANK")</f>
        <v>BANGLADESH KRISHI BANK</v>
      </c>
      <c r="E1787" s="2" t="str">
        <f>IFERROR(__xludf.DUMMYFUNCTION("""COMPUTED_VALUE"""),"NABAGRAM")</f>
        <v>NABAGRAM</v>
      </c>
      <c r="F1787" s="4">
        <f>IFERROR(__xludf.DUMMYFUNCTION("""COMPUTED_VALUE"""),43.0)</f>
        <v>43</v>
      </c>
      <c r="G1787" s="5">
        <f>IFERROR(__xludf.DUMMYFUNCTION("""COMPUTED_VALUE"""),3.5420439E7)</f>
        <v>35420439</v>
      </c>
    </row>
    <row r="1788">
      <c r="A1788" s="3">
        <f>IFERROR(__xludf.DUMMYFUNCTION("""COMPUTED_VALUE"""),342.0)</f>
        <v>342</v>
      </c>
      <c r="B1788" s="2" t="str">
        <f>IFERROR(__xludf.DUMMYFUNCTION("""COMPUTED_VALUE"""),"JHALOKATHI")</f>
        <v>JHALOKATHI</v>
      </c>
      <c r="C1788" s="4">
        <f>IFERROR(__xludf.DUMMYFUNCTION("""COMPUTED_VALUE"""),35.0)</f>
        <v>35</v>
      </c>
      <c r="D1788" s="2" t="str">
        <f>IFERROR(__xludf.DUMMYFUNCTION("""COMPUTED_VALUE"""),"BANGLADESH KRISHI BANK")</f>
        <v>BANGLADESH KRISHI BANK</v>
      </c>
      <c r="E1788" s="2" t="str">
        <f>IFERROR(__xludf.DUMMYFUNCTION("""COMPUTED_VALUE"""),"NALCHITY")</f>
        <v>NALCHITY</v>
      </c>
      <c r="F1788" s="4">
        <f>IFERROR(__xludf.DUMMYFUNCTION("""COMPUTED_VALUE"""),49.0)</f>
        <v>49</v>
      </c>
      <c r="G1788" s="5">
        <f>IFERROR(__xludf.DUMMYFUNCTION("""COMPUTED_VALUE"""),3.5420497E7)</f>
        <v>35420497</v>
      </c>
    </row>
    <row r="1789">
      <c r="A1789" s="3">
        <f>IFERROR(__xludf.DUMMYFUNCTION("""COMPUTED_VALUE"""),342.0)</f>
        <v>342</v>
      </c>
      <c r="B1789" s="2" t="str">
        <f>IFERROR(__xludf.DUMMYFUNCTION("""COMPUTED_VALUE"""),"JHALOKATHI")</f>
        <v>JHALOKATHI</v>
      </c>
      <c r="C1789" s="4">
        <f>IFERROR(__xludf.DUMMYFUNCTION("""COMPUTED_VALUE"""),35.0)</f>
        <v>35</v>
      </c>
      <c r="D1789" s="2" t="str">
        <f>IFERROR(__xludf.DUMMYFUNCTION("""COMPUTED_VALUE"""),"BANGLADESH KRISHI BANK")</f>
        <v>BANGLADESH KRISHI BANK</v>
      </c>
      <c r="E1789" s="2" t="str">
        <f>IFERROR(__xludf.DUMMYFUNCTION("""COMPUTED_VALUE"""),"RAJAPUR")</f>
        <v>RAJAPUR</v>
      </c>
      <c r="F1789" s="4">
        <f>IFERROR(__xludf.DUMMYFUNCTION("""COMPUTED_VALUE"""),55.0)</f>
        <v>55</v>
      </c>
      <c r="G1789" s="5">
        <f>IFERROR(__xludf.DUMMYFUNCTION("""COMPUTED_VALUE"""),3.542055E7)</f>
        <v>35420550</v>
      </c>
    </row>
    <row r="1790">
      <c r="A1790" s="3">
        <f>IFERROR(__xludf.DUMMYFUNCTION("""COMPUTED_VALUE"""),342.0)</f>
        <v>342</v>
      </c>
      <c r="B1790" s="2" t="str">
        <f>IFERROR(__xludf.DUMMYFUNCTION("""COMPUTED_VALUE"""),"JHALOKATHI")</f>
        <v>JHALOKATHI</v>
      </c>
      <c r="C1790" s="4">
        <f>IFERROR(__xludf.DUMMYFUNCTION("""COMPUTED_VALUE"""),35.0)</f>
        <v>35</v>
      </c>
      <c r="D1790" s="2" t="str">
        <f>IFERROR(__xludf.DUMMYFUNCTION("""COMPUTED_VALUE"""),"BANGLADESH KRISHI BANK")</f>
        <v>BANGLADESH KRISHI BANK</v>
      </c>
      <c r="E1790" s="2" t="str">
        <f>IFERROR(__xludf.DUMMYFUNCTION("""COMPUTED_VALUE"""),"RAMCHANDRAPUR")</f>
        <v>RAMCHANDRAPUR</v>
      </c>
      <c r="F1790" s="4">
        <f>IFERROR(__xludf.DUMMYFUNCTION("""COMPUTED_VALUE"""),58.0)</f>
        <v>58</v>
      </c>
      <c r="G1790" s="5">
        <f>IFERROR(__xludf.DUMMYFUNCTION("""COMPUTED_VALUE"""),3.5420589E7)</f>
        <v>35420589</v>
      </c>
    </row>
    <row r="1791">
      <c r="A1791" s="3">
        <f>IFERROR(__xludf.DUMMYFUNCTION("""COMPUTED_VALUE"""),342.0)</f>
        <v>342</v>
      </c>
      <c r="B1791" s="2" t="str">
        <f>IFERROR(__xludf.DUMMYFUNCTION("""COMPUTED_VALUE"""),"JHALOKATHI")</f>
        <v>JHALOKATHI</v>
      </c>
      <c r="C1791" s="4">
        <f>IFERROR(__xludf.DUMMYFUNCTION("""COMPUTED_VALUE"""),35.0)</f>
        <v>35</v>
      </c>
      <c r="D1791" s="2" t="str">
        <f>IFERROR(__xludf.DUMMYFUNCTION("""COMPUTED_VALUE"""),"BANGLADESH KRISHI BANK")</f>
        <v>BANGLADESH KRISHI BANK</v>
      </c>
      <c r="E1791" s="2" t="str">
        <f>IFERROR(__xludf.DUMMYFUNCTION("""COMPUTED_VALUE"""),"TALTALA BAZAR")</f>
        <v>TALTALA BAZAR</v>
      </c>
      <c r="F1791" s="4">
        <f>IFERROR(__xludf.DUMMYFUNCTION("""COMPUTED_VALUE"""),67.0)</f>
        <v>67</v>
      </c>
      <c r="G1791" s="5">
        <f>IFERROR(__xludf.DUMMYFUNCTION("""COMPUTED_VALUE"""),3.5420671E7)</f>
        <v>35420671</v>
      </c>
    </row>
    <row r="1792">
      <c r="A1792" s="3">
        <f>IFERROR(__xludf.DUMMYFUNCTION("""COMPUTED_VALUE"""),444.0)</f>
        <v>444</v>
      </c>
      <c r="B1792" s="2" t="str">
        <f>IFERROR(__xludf.DUMMYFUNCTION("""COMPUTED_VALUE"""),"JHENAIDAH")</f>
        <v>JHENAIDAH</v>
      </c>
      <c r="C1792" s="4">
        <f>IFERROR(__xludf.DUMMYFUNCTION("""COMPUTED_VALUE"""),35.0)</f>
        <v>35</v>
      </c>
      <c r="D1792" s="2" t="str">
        <f>IFERROR(__xludf.DUMMYFUNCTION("""COMPUTED_VALUE"""),"BANGLADESH KRISHI BANK")</f>
        <v>BANGLADESH KRISHI BANK</v>
      </c>
      <c r="E1792" s="2" t="str">
        <f>IFERROR(__xludf.DUMMYFUNCTION("""COMPUTED_VALUE"""),"BALIADANGA")</f>
        <v>BALIADANGA</v>
      </c>
      <c r="F1792" s="4">
        <f>IFERROR(__xludf.DUMMYFUNCTION("""COMPUTED_VALUE"""),4.0)</f>
        <v>4</v>
      </c>
      <c r="G1792" s="5">
        <f>IFERROR(__xludf.DUMMYFUNCTION("""COMPUTED_VALUE"""),3.5440048E7)</f>
        <v>35440048</v>
      </c>
    </row>
    <row r="1793">
      <c r="A1793" s="3">
        <f>IFERROR(__xludf.DUMMYFUNCTION("""COMPUTED_VALUE"""),444.0)</f>
        <v>444</v>
      </c>
      <c r="B1793" s="2" t="str">
        <f>IFERROR(__xludf.DUMMYFUNCTION("""COMPUTED_VALUE"""),"JHENAIDAH")</f>
        <v>JHENAIDAH</v>
      </c>
      <c r="C1793" s="4">
        <f>IFERROR(__xludf.DUMMYFUNCTION("""COMPUTED_VALUE"""),35.0)</f>
        <v>35</v>
      </c>
      <c r="D1793" s="2" t="str">
        <f>IFERROR(__xludf.DUMMYFUNCTION("""COMPUTED_VALUE"""),"BANGLADESH KRISHI BANK")</f>
        <v>BANGLADESH KRISHI BANK</v>
      </c>
      <c r="E1793" s="2" t="str">
        <f>IFERROR(__xludf.DUMMYFUNCTION("""COMPUTED_VALUE"""),"BHAIRABA BAZAR")</f>
        <v>BHAIRABA BAZAR</v>
      </c>
      <c r="F1793" s="4">
        <f>IFERROR(__xludf.DUMMYFUNCTION("""COMPUTED_VALUE"""),13.0)</f>
        <v>13</v>
      </c>
      <c r="G1793" s="5">
        <f>IFERROR(__xludf.DUMMYFUNCTION("""COMPUTED_VALUE"""),3.544013E7)</f>
        <v>35440130</v>
      </c>
    </row>
    <row r="1794">
      <c r="A1794" s="3">
        <f>IFERROR(__xludf.DUMMYFUNCTION("""COMPUTED_VALUE"""),444.0)</f>
        <v>444</v>
      </c>
      <c r="B1794" s="2" t="str">
        <f>IFERROR(__xludf.DUMMYFUNCTION("""COMPUTED_VALUE"""),"JHENAIDAH")</f>
        <v>JHENAIDAH</v>
      </c>
      <c r="C1794" s="4">
        <f>IFERROR(__xludf.DUMMYFUNCTION("""COMPUTED_VALUE"""),35.0)</f>
        <v>35</v>
      </c>
      <c r="D1794" s="2" t="str">
        <f>IFERROR(__xludf.DUMMYFUNCTION("""COMPUTED_VALUE"""),"BANGLADESH KRISHI BANK")</f>
        <v>BANGLADESH KRISHI BANK</v>
      </c>
      <c r="E1794" s="2" t="str">
        <f>IFERROR(__xludf.DUMMYFUNCTION("""COMPUTED_VALUE"""),"BHALKI BAZAR")</f>
        <v>BHALKI BAZAR</v>
      </c>
      <c r="F1794" s="4">
        <f>IFERROR(__xludf.DUMMYFUNCTION("""COMPUTED_VALUE"""),16.0)</f>
        <v>16</v>
      </c>
      <c r="G1794" s="5">
        <f>IFERROR(__xludf.DUMMYFUNCTION("""COMPUTED_VALUE"""),3.5440169E7)</f>
        <v>35440169</v>
      </c>
    </row>
    <row r="1795">
      <c r="A1795" s="3">
        <f>IFERROR(__xludf.DUMMYFUNCTION("""COMPUTED_VALUE"""),444.0)</f>
        <v>444</v>
      </c>
      <c r="B1795" s="2" t="str">
        <f>IFERROR(__xludf.DUMMYFUNCTION("""COMPUTED_VALUE"""),"JHENAIDAH")</f>
        <v>JHENAIDAH</v>
      </c>
      <c r="C1795" s="4">
        <f>IFERROR(__xludf.DUMMYFUNCTION("""COMPUTED_VALUE"""),35.0)</f>
        <v>35</v>
      </c>
      <c r="D1795" s="2" t="str">
        <f>IFERROR(__xludf.DUMMYFUNCTION("""COMPUTED_VALUE"""),"BANGLADESH KRISHI BANK")</f>
        <v>BANGLADESH KRISHI BANK</v>
      </c>
      <c r="E1795" s="2" t="str">
        <f>IFERROR(__xludf.DUMMYFUNCTION("""COMPUTED_VALUE"""),"BHATI BAZAR")</f>
        <v>BHATI BAZAR</v>
      </c>
      <c r="F1795" s="4">
        <f>IFERROR(__xludf.DUMMYFUNCTION("""COMPUTED_VALUE"""),19.0)</f>
        <v>19</v>
      </c>
      <c r="G1795" s="5">
        <f>IFERROR(__xludf.DUMMYFUNCTION("""COMPUTED_VALUE"""),3.5440198E7)</f>
        <v>35440198</v>
      </c>
    </row>
    <row r="1796">
      <c r="A1796" s="3">
        <f>IFERROR(__xludf.DUMMYFUNCTION("""COMPUTED_VALUE"""),444.0)</f>
        <v>444</v>
      </c>
      <c r="B1796" s="2" t="str">
        <f>IFERROR(__xludf.DUMMYFUNCTION("""COMPUTED_VALUE"""),"JHENAIDAH")</f>
        <v>JHENAIDAH</v>
      </c>
      <c r="C1796" s="4">
        <f>IFERROR(__xludf.DUMMYFUNCTION("""COMPUTED_VALUE"""),35.0)</f>
        <v>35</v>
      </c>
      <c r="D1796" s="2" t="str">
        <f>IFERROR(__xludf.DUMMYFUNCTION("""COMPUTED_VALUE"""),"BANGLADESH KRISHI BANK")</f>
        <v>BANGLADESH KRISHI BANK</v>
      </c>
      <c r="E1796" s="2" t="str">
        <f>IFERROR(__xludf.DUMMYFUNCTION("""COMPUTED_VALUE"""),"HALIDHANI")</f>
        <v>HALIDHANI</v>
      </c>
      <c r="F1796" s="4">
        <f>IFERROR(__xludf.DUMMYFUNCTION("""COMPUTED_VALUE"""),43.0)</f>
        <v>43</v>
      </c>
      <c r="G1796" s="5">
        <f>IFERROR(__xludf.DUMMYFUNCTION("""COMPUTED_VALUE"""),3.5440435E7)</f>
        <v>35440435</v>
      </c>
    </row>
    <row r="1797">
      <c r="A1797" s="3">
        <f>IFERROR(__xludf.DUMMYFUNCTION("""COMPUTED_VALUE"""),444.0)</f>
        <v>444</v>
      </c>
      <c r="B1797" s="2" t="str">
        <f>IFERROR(__xludf.DUMMYFUNCTION("""COMPUTED_VALUE"""),"JHENAIDAH")</f>
        <v>JHENAIDAH</v>
      </c>
      <c r="C1797" s="4">
        <f>IFERROR(__xludf.DUMMYFUNCTION("""COMPUTED_VALUE"""),35.0)</f>
        <v>35</v>
      </c>
      <c r="D1797" s="2" t="str">
        <f>IFERROR(__xludf.DUMMYFUNCTION("""COMPUTED_VALUE"""),"BANGLADESH KRISHI BANK")</f>
        <v>BANGLADESH KRISHI BANK</v>
      </c>
      <c r="E1797" s="2" t="str">
        <f>IFERROR(__xludf.DUMMYFUNCTION("""COMPUTED_VALUE"""),"HARINAKUNDA")</f>
        <v>HARINAKUNDA</v>
      </c>
      <c r="F1797" s="4">
        <f>IFERROR(__xludf.DUMMYFUNCTION("""COMPUTED_VALUE"""),49.0)</f>
        <v>49</v>
      </c>
      <c r="G1797" s="5">
        <f>IFERROR(__xludf.DUMMYFUNCTION("""COMPUTED_VALUE"""),3.5440493E7)</f>
        <v>35440493</v>
      </c>
    </row>
    <row r="1798">
      <c r="A1798" s="3">
        <f>IFERROR(__xludf.DUMMYFUNCTION("""COMPUTED_VALUE"""),444.0)</f>
        <v>444</v>
      </c>
      <c r="B1798" s="2" t="str">
        <f>IFERROR(__xludf.DUMMYFUNCTION("""COMPUTED_VALUE"""),"JHENAIDAH")</f>
        <v>JHENAIDAH</v>
      </c>
      <c r="C1798" s="4">
        <f>IFERROR(__xludf.DUMMYFUNCTION("""COMPUTED_VALUE"""),35.0)</f>
        <v>35</v>
      </c>
      <c r="D1798" s="2" t="str">
        <f>IFERROR(__xludf.DUMMYFUNCTION("""COMPUTED_VALUE"""),"BANGLADESH KRISHI BANK")</f>
        <v>BANGLADESH KRISHI BANK</v>
      </c>
      <c r="E1798" s="2" t="str">
        <f>IFERROR(__xludf.DUMMYFUNCTION("""COMPUTED_VALUE"""),"JHENAIDAH")</f>
        <v>JHENAIDAH</v>
      </c>
      <c r="F1798" s="4">
        <f>IFERROR(__xludf.DUMMYFUNCTION("""COMPUTED_VALUE"""),64.0)</f>
        <v>64</v>
      </c>
      <c r="G1798" s="5">
        <f>IFERROR(__xludf.DUMMYFUNCTION("""COMPUTED_VALUE"""),3.5440648E7)</f>
        <v>35440648</v>
      </c>
    </row>
    <row r="1799">
      <c r="A1799" s="3">
        <f>IFERROR(__xludf.DUMMYFUNCTION("""COMPUTED_VALUE"""),444.0)</f>
        <v>444</v>
      </c>
      <c r="B1799" s="2" t="str">
        <f>IFERROR(__xludf.DUMMYFUNCTION("""COMPUTED_VALUE"""),"JHENAIDAH")</f>
        <v>JHENAIDAH</v>
      </c>
      <c r="C1799" s="4">
        <f>IFERROR(__xludf.DUMMYFUNCTION("""COMPUTED_VALUE"""),35.0)</f>
        <v>35</v>
      </c>
      <c r="D1799" s="2" t="str">
        <f>IFERROR(__xludf.DUMMYFUNCTION("""COMPUTED_VALUE"""),"BANGLADESH KRISHI BANK")</f>
        <v>BANGLADESH KRISHI BANK</v>
      </c>
      <c r="E1799" s="2" t="str">
        <f>IFERROR(__xludf.DUMMYFUNCTION("""COMPUTED_VALUE"""),"KACHUA BAZAR")</f>
        <v>KACHUA BAZAR</v>
      </c>
      <c r="F1799" s="4">
        <f>IFERROR(__xludf.DUMMYFUNCTION("""COMPUTED_VALUE"""),76.0)</f>
        <v>76</v>
      </c>
      <c r="G1799" s="5">
        <f>IFERROR(__xludf.DUMMYFUNCTION("""COMPUTED_VALUE"""),3.5440769E7)</f>
        <v>35440769</v>
      </c>
    </row>
    <row r="1800">
      <c r="A1800" s="3">
        <f>IFERROR(__xludf.DUMMYFUNCTION("""COMPUTED_VALUE"""),444.0)</f>
        <v>444</v>
      </c>
      <c r="B1800" s="2" t="str">
        <f>IFERROR(__xludf.DUMMYFUNCTION("""COMPUTED_VALUE"""),"JHENAIDAH")</f>
        <v>JHENAIDAH</v>
      </c>
      <c r="C1800" s="4">
        <f>IFERROR(__xludf.DUMMYFUNCTION("""COMPUTED_VALUE"""),35.0)</f>
        <v>35</v>
      </c>
      <c r="D1800" s="2" t="str">
        <f>IFERROR(__xludf.DUMMYFUNCTION("""COMPUTED_VALUE"""),"BANGLADESH KRISHI BANK")</f>
        <v>BANGLADESH KRISHI BANK</v>
      </c>
      <c r="E1800" s="2" t="str">
        <f>IFERROR(__xludf.DUMMYFUNCTION("""COMPUTED_VALUE"""),"KALIGANJ")</f>
        <v>KALIGANJ</v>
      </c>
      <c r="F1800" s="4">
        <f>IFERROR(__xludf.DUMMYFUNCTION("""COMPUTED_VALUE"""),79.0)</f>
        <v>79</v>
      </c>
      <c r="G1800" s="5">
        <f>IFERROR(__xludf.DUMMYFUNCTION("""COMPUTED_VALUE"""),3.5440798E7)</f>
        <v>35440798</v>
      </c>
    </row>
    <row r="1801">
      <c r="A1801" s="3">
        <f>IFERROR(__xludf.DUMMYFUNCTION("""COMPUTED_VALUE"""),444.0)</f>
        <v>444</v>
      </c>
      <c r="B1801" s="2" t="str">
        <f>IFERROR(__xludf.DUMMYFUNCTION("""COMPUTED_VALUE"""),"JHENAIDAH")</f>
        <v>JHENAIDAH</v>
      </c>
      <c r="C1801" s="4">
        <f>IFERROR(__xludf.DUMMYFUNCTION("""COMPUTED_VALUE"""),35.0)</f>
        <v>35</v>
      </c>
      <c r="D1801" s="2" t="str">
        <f>IFERROR(__xludf.DUMMYFUNCTION("""COMPUTED_VALUE"""),"BANGLADESH KRISHI BANK")</f>
        <v>BANGLADESH KRISHI BANK</v>
      </c>
      <c r="E1801" s="2" t="str">
        <f>IFERROR(__xludf.DUMMYFUNCTION("""COMPUTED_VALUE"""),"KASTOSAGRA BAZAR")</f>
        <v>KASTOSAGRA BAZAR</v>
      </c>
      <c r="F1801" s="4">
        <f>IFERROR(__xludf.DUMMYFUNCTION("""COMPUTED_VALUE"""),88.0)</f>
        <v>88</v>
      </c>
      <c r="G1801" s="5">
        <f>IFERROR(__xludf.DUMMYFUNCTION("""COMPUTED_VALUE"""),3.544088E7)</f>
        <v>35440880</v>
      </c>
    </row>
    <row r="1802">
      <c r="A1802" s="3">
        <f>IFERROR(__xludf.DUMMYFUNCTION("""COMPUTED_VALUE"""),444.0)</f>
        <v>444</v>
      </c>
      <c r="B1802" s="2" t="str">
        <f>IFERROR(__xludf.DUMMYFUNCTION("""COMPUTED_VALUE"""),"JHENAIDAH")</f>
        <v>JHENAIDAH</v>
      </c>
      <c r="C1802" s="4">
        <f>IFERROR(__xludf.DUMMYFUNCTION("""COMPUTED_VALUE"""),35.0)</f>
        <v>35</v>
      </c>
      <c r="D1802" s="2" t="str">
        <f>IFERROR(__xludf.DUMMYFUNCTION("""COMPUTED_VALUE"""),"BANGLADESH KRISHI BANK")</f>
        <v>BANGLADESH KRISHI BANK</v>
      </c>
      <c r="E1802" s="2" t="str">
        <f>IFERROR(__xludf.DUMMYFUNCTION("""COMPUTED_VALUE"""),"KHULUMBARIA")</f>
        <v>KHULUMBARIA</v>
      </c>
      <c r="F1802" s="4">
        <f>IFERROR(__xludf.DUMMYFUNCTION("""COMPUTED_VALUE"""),94.0)</f>
        <v>94</v>
      </c>
      <c r="G1802" s="5">
        <f>IFERROR(__xludf.DUMMYFUNCTION("""COMPUTED_VALUE"""),3.5440943E7)</f>
        <v>35440943</v>
      </c>
    </row>
    <row r="1803">
      <c r="A1803" s="3">
        <f>IFERROR(__xludf.DUMMYFUNCTION("""COMPUTED_VALUE"""),444.0)</f>
        <v>444</v>
      </c>
      <c r="B1803" s="2" t="str">
        <f>IFERROR(__xludf.DUMMYFUNCTION("""COMPUTED_VALUE"""),"JHENAIDAH")</f>
        <v>JHENAIDAH</v>
      </c>
      <c r="C1803" s="4">
        <f>IFERROR(__xludf.DUMMYFUNCTION("""COMPUTED_VALUE"""),35.0)</f>
        <v>35</v>
      </c>
      <c r="D1803" s="2" t="str">
        <f>IFERROR(__xludf.DUMMYFUNCTION("""COMPUTED_VALUE"""),"BANGLADESH KRISHI BANK")</f>
        <v>BANGLADESH KRISHI BANK</v>
      </c>
      <c r="E1803" s="2" t="str">
        <f>IFERROR(__xludf.DUMMYFUNCTION("""COMPUTED_VALUE"""),"KOTCHANDPUR")</f>
        <v>KOTCHANDPUR</v>
      </c>
      <c r="F1803" s="4">
        <f>IFERROR(__xludf.DUMMYFUNCTION("""COMPUTED_VALUE"""),100.0)</f>
        <v>100</v>
      </c>
      <c r="G1803" s="5">
        <f>IFERROR(__xludf.DUMMYFUNCTION("""COMPUTED_VALUE"""),3.5441005E7)</f>
        <v>35441005</v>
      </c>
    </row>
    <row r="1804">
      <c r="A1804" s="3">
        <f>IFERROR(__xludf.DUMMYFUNCTION("""COMPUTED_VALUE"""),444.0)</f>
        <v>444</v>
      </c>
      <c r="B1804" s="2" t="str">
        <f>IFERROR(__xludf.DUMMYFUNCTION("""COMPUTED_VALUE"""),"JHENAIDAH")</f>
        <v>JHENAIDAH</v>
      </c>
      <c r="C1804" s="4">
        <f>IFERROR(__xludf.DUMMYFUNCTION("""COMPUTED_VALUE"""),35.0)</f>
        <v>35</v>
      </c>
      <c r="D1804" s="2" t="str">
        <f>IFERROR(__xludf.DUMMYFUNCTION("""COMPUTED_VALUE"""),"BANGLADESH KRISHI BANK")</f>
        <v>BANGLADESH KRISHI BANK</v>
      </c>
      <c r="E1804" s="2" t="str">
        <f>IFERROR(__xludf.DUMMYFUNCTION("""COMPUTED_VALUE"""),"MOHESHPUR")</f>
        <v>MOHESHPUR</v>
      </c>
      <c r="F1804" s="4">
        <f>IFERROR(__xludf.DUMMYFUNCTION("""COMPUTED_VALUE"""),109.0)</f>
        <v>109</v>
      </c>
      <c r="G1804" s="5">
        <f>IFERROR(__xludf.DUMMYFUNCTION("""COMPUTED_VALUE"""),3.5441092E7)</f>
        <v>35441092</v>
      </c>
    </row>
    <row r="1805">
      <c r="A1805" s="3">
        <f>IFERROR(__xludf.DUMMYFUNCTION("""COMPUTED_VALUE"""),444.0)</f>
        <v>444</v>
      </c>
      <c r="B1805" s="2" t="str">
        <f>IFERROR(__xludf.DUMMYFUNCTION("""COMPUTED_VALUE"""),"JHENAIDAH")</f>
        <v>JHENAIDAH</v>
      </c>
      <c r="C1805" s="4">
        <f>IFERROR(__xludf.DUMMYFUNCTION("""COMPUTED_VALUE"""),35.0)</f>
        <v>35</v>
      </c>
      <c r="D1805" s="2" t="str">
        <f>IFERROR(__xludf.DUMMYFUNCTION("""COMPUTED_VALUE"""),"BANGLADESH KRISHI BANK")</f>
        <v>BANGLADESH KRISHI BANK</v>
      </c>
      <c r="E1805" s="2" t="str">
        <f>IFERROR(__xludf.DUMMYFUNCTION("""COMPUTED_VALUE"""),"SAILKUPA")</f>
        <v>SAILKUPA</v>
      </c>
      <c r="F1805" s="4">
        <f>IFERROR(__xludf.DUMMYFUNCTION("""COMPUTED_VALUE"""),118.0)</f>
        <v>118</v>
      </c>
      <c r="G1805" s="5">
        <f>IFERROR(__xludf.DUMMYFUNCTION("""COMPUTED_VALUE"""),3.5441184E7)</f>
        <v>35441184</v>
      </c>
    </row>
    <row r="1806">
      <c r="A1806" s="3">
        <f>IFERROR(__xludf.DUMMYFUNCTION("""COMPUTED_VALUE"""),444.0)</f>
        <v>444</v>
      </c>
      <c r="B1806" s="2" t="str">
        <f>IFERROR(__xludf.DUMMYFUNCTION("""COMPUTED_VALUE"""),"JHENAIDAH")</f>
        <v>JHENAIDAH</v>
      </c>
      <c r="C1806" s="4">
        <f>IFERROR(__xludf.DUMMYFUNCTION("""COMPUTED_VALUE"""),35.0)</f>
        <v>35</v>
      </c>
      <c r="D1806" s="2" t="str">
        <f>IFERROR(__xludf.DUMMYFUNCTION("""COMPUTED_VALUE"""),"BANGLADESH KRISHI BANK")</f>
        <v>BANGLADESH KRISHI BANK</v>
      </c>
      <c r="E1806" s="2" t="str">
        <f>IFERROR(__xludf.DUMMYFUNCTION("""COMPUTED_VALUE"""),"SHINGI BAZAR")</f>
        <v>SHINGI BAZAR</v>
      </c>
      <c r="F1806" s="4">
        <f>IFERROR(__xludf.DUMMYFUNCTION("""COMPUTED_VALUE"""),127.0)</f>
        <v>127</v>
      </c>
      <c r="G1806" s="5">
        <f>IFERROR(__xludf.DUMMYFUNCTION("""COMPUTED_VALUE"""),3.5441276E7)</f>
        <v>35441276</v>
      </c>
    </row>
    <row r="1807">
      <c r="A1807" s="3">
        <f>IFERROR(__xludf.DUMMYFUNCTION("""COMPUTED_VALUE"""),246.0)</f>
        <v>246</v>
      </c>
      <c r="B1807" s="2" t="str">
        <f>IFERROR(__xludf.DUMMYFUNCTION("""COMPUTED_VALUE"""),"KHAGRACHARI")</f>
        <v>KHAGRACHARI</v>
      </c>
      <c r="C1807" s="4">
        <f>IFERROR(__xludf.DUMMYFUNCTION("""COMPUTED_VALUE"""),35.0)</f>
        <v>35</v>
      </c>
      <c r="D1807" s="2" t="str">
        <f>IFERROR(__xludf.DUMMYFUNCTION("""COMPUTED_VALUE"""),"BANGLADESH KRISHI BANK")</f>
        <v>BANGLADESH KRISHI BANK</v>
      </c>
      <c r="E1807" s="2" t="str">
        <f>IFERROR(__xludf.DUMMYFUNCTION("""COMPUTED_VALUE"""),"DIGHINALA")</f>
        <v>DIGHINALA</v>
      </c>
      <c r="F1807" s="4">
        <f>IFERROR(__xludf.DUMMYFUNCTION("""COMPUTED_VALUE"""),4.0)</f>
        <v>4</v>
      </c>
      <c r="G1807" s="5">
        <f>IFERROR(__xludf.DUMMYFUNCTION("""COMPUTED_VALUE"""),3.5460044E7)</f>
        <v>35460044</v>
      </c>
    </row>
    <row r="1808">
      <c r="A1808" s="3">
        <f>IFERROR(__xludf.DUMMYFUNCTION("""COMPUTED_VALUE"""),246.0)</f>
        <v>246</v>
      </c>
      <c r="B1808" s="2" t="str">
        <f>IFERROR(__xludf.DUMMYFUNCTION("""COMPUTED_VALUE"""),"KHAGRACHARI")</f>
        <v>KHAGRACHARI</v>
      </c>
      <c r="C1808" s="4">
        <f>IFERROR(__xludf.DUMMYFUNCTION("""COMPUTED_VALUE"""),35.0)</f>
        <v>35</v>
      </c>
      <c r="D1808" s="2" t="str">
        <f>IFERROR(__xludf.DUMMYFUNCTION("""COMPUTED_VALUE"""),"BANGLADESH KRISHI BANK")</f>
        <v>BANGLADESH KRISHI BANK</v>
      </c>
      <c r="E1808" s="2" t="str">
        <f>IFERROR(__xludf.DUMMYFUNCTION("""COMPUTED_VALUE"""),"KHAGRACHARI")</f>
        <v>KHAGRACHARI</v>
      </c>
      <c r="F1808" s="4">
        <f>IFERROR(__xludf.DUMMYFUNCTION("""COMPUTED_VALUE"""),7.0)</f>
        <v>7</v>
      </c>
      <c r="G1808" s="5">
        <f>IFERROR(__xludf.DUMMYFUNCTION("""COMPUTED_VALUE"""),3.5460073E7)</f>
        <v>35460073</v>
      </c>
    </row>
    <row r="1809">
      <c r="A1809" s="3">
        <f>IFERROR(__xludf.DUMMYFUNCTION("""COMPUTED_VALUE"""),246.0)</f>
        <v>246</v>
      </c>
      <c r="B1809" s="2" t="str">
        <f>IFERROR(__xludf.DUMMYFUNCTION("""COMPUTED_VALUE"""),"KHAGRACHARI")</f>
        <v>KHAGRACHARI</v>
      </c>
      <c r="C1809" s="4">
        <f>IFERROR(__xludf.DUMMYFUNCTION("""COMPUTED_VALUE"""),35.0)</f>
        <v>35</v>
      </c>
      <c r="D1809" s="2" t="str">
        <f>IFERROR(__xludf.DUMMYFUNCTION("""COMPUTED_VALUE"""),"BANGLADESH KRISHI BANK")</f>
        <v>BANGLADESH KRISHI BANK</v>
      </c>
      <c r="E1809" s="2" t="str">
        <f>IFERROR(__xludf.DUMMYFUNCTION("""COMPUTED_VALUE"""),"LAXMICHARI")</f>
        <v>LAXMICHARI</v>
      </c>
      <c r="F1809" s="4">
        <f>IFERROR(__xludf.DUMMYFUNCTION("""COMPUTED_VALUE"""),13.0)</f>
        <v>13</v>
      </c>
      <c r="G1809" s="5">
        <f>IFERROR(__xludf.DUMMYFUNCTION("""COMPUTED_VALUE"""),3.5460136E7)</f>
        <v>35460136</v>
      </c>
    </row>
    <row r="1810">
      <c r="A1810" s="3">
        <f>IFERROR(__xludf.DUMMYFUNCTION("""COMPUTED_VALUE"""),246.0)</f>
        <v>246</v>
      </c>
      <c r="B1810" s="2" t="str">
        <f>IFERROR(__xludf.DUMMYFUNCTION("""COMPUTED_VALUE"""),"KHAGRACHARI")</f>
        <v>KHAGRACHARI</v>
      </c>
      <c r="C1810" s="4">
        <f>IFERROR(__xludf.DUMMYFUNCTION("""COMPUTED_VALUE"""),35.0)</f>
        <v>35</v>
      </c>
      <c r="D1810" s="2" t="str">
        <f>IFERROR(__xludf.DUMMYFUNCTION("""COMPUTED_VALUE"""),"BANGLADESH KRISHI BANK")</f>
        <v>BANGLADESH KRISHI BANK</v>
      </c>
      <c r="E1810" s="2" t="str">
        <f>IFERROR(__xludf.DUMMYFUNCTION("""COMPUTED_VALUE"""),"MANIKCHARI")</f>
        <v>MANIKCHARI</v>
      </c>
      <c r="F1810" s="4">
        <f>IFERROR(__xludf.DUMMYFUNCTION("""COMPUTED_VALUE"""),19.0)</f>
        <v>19</v>
      </c>
      <c r="G1810" s="5">
        <f>IFERROR(__xludf.DUMMYFUNCTION("""COMPUTED_VALUE"""),3.5460194E7)</f>
        <v>35460194</v>
      </c>
    </row>
    <row r="1811">
      <c r="A1811" s="3">
        <f>IFERROR(__xludf.DUMMYFUNCTION("""COMPUTED_VALUE"""),246.0)</f>
        <v>246</v>
      </c>
      <c r="B1811" s="2" t="str">
        <f>IFERROR(__xludf.DUMMYFUNCTION("""COMPUTED_VALUE"""),"KHAGRACHARI")</f>
        <v>KHAGRACHARI</v>
      </c>
      <c r="C1811" s="4">
        <f>IFERROR(__xludf.DUMMYFUNCTION("""COMPUTED_VALUE"""),35.0)</f>
        <v>35</v>
      </c>
      <c r="D1811" s="2" t="str">
        <f>IFERROR(__xludf.DUMMYFUNCTION("""COMPUTED_VALUE"""),"BANGLADESH KRISHI BANK")</f>
        <v>BANGLADESH KRISHI BANK</v>
      </c>
      <c r="E1811" s="2" t="str">
        <f>IFERROR(__xludf.DUMMYFUNCTION("""COMPUTED_VALUE"""),"MATIRANGA")</f>
        <v>MATIRANGA</v>
      </c>
      <c r="F1811" s="4">
        <f>IFERROR(__xludf.DUMMYFUNCTION("""COMPUTED_VALUE"""),22.0)</f>
        <v>22</v>
      </c>
      <c r="G1811" s="5">
        <f>IFERROR(__xludf.DUMMYFUNCTION("""COMPUTED_VALUE"""),3.5460228E7)</f>
        <v>35460228</v>
      </c>
    </row>
    <row r="1812">
      <c r="A1812" s="3">
        <f>IFERROR(__xludf.DUMMYFUNCTION("""COMPUTED_VALUE"""),246.0)</f>
        <v>246</v>
      </c>
      <c r="B1812" s="2" t="str">
        <f>IFERROR(__xludf.DUMMYFUNCTION("""COMPUTED_VALUE"""),"KHAGRACHARI")</f>
        <v>KHAGRACHARI</v>
      </c>
      <c r="C1812" s="4">
        <f>IFERROR(__xludf.DUMMYFUNCTION("""COMPUTED_VALUE"""),35.0)</f>
        <v>35</v>
      </c>
      <c r="D1812" s="2" t="str">
        <f>IFERROR(__xludf.DUMMYFUNCTION("""COMPUTED_VALUE"""),"BANGLADESH KRISHI BANK")</f>
        <v>BANGLADESH KRISHI BANK</v>
      </c>
      <c r="E1812" s="2" t="str">
        <f>IFERROR(__xludf.DUMMYFUNCTION("""COMPUTED_VALUE"""),"MOHALCHARI")</f>
        <v>MOHALCHARI</v>
      </c>
      <c r="F1812" s="4">
        <f>IFERROR(__xludf.DUMMYFUNCTION("""COMPUTED_VALUE"""),25.0)</f>
        <v>25</v>
      </c>
      <c r="G1812" s="5">
        <f>IFERROR(__xludf.DUMMYFUNCTION("""COMPUTED_VALUE"""),3.5460257E7)</f>
        <v>35460257</v>
      </c>
    </row>
    <row r="1813">
      <c r="A1813" s="3">
        <f>IFERROR(__xludf.DUMMYFUNCTION("""COMPUTED_VALUE"""),246.0)</f>
        <v>246</v>
      </c>
      <c r="B1813" s="2" t="str">
        <f>IFERROR(__xludf.DUMMYFUNCTION("""COMPUTED_VALUE"""),"KHAGRACHARI")</f>
        <v>KHAGRACHARI</v>
      </c>
      <c r="C1813" s="4">
        <f>IFERROR(__xludf.DUMMYFUNCTION("""COMPUTED_VALUE"""),35.0)</f>
        <v>35</v>
      </c>
      <c r="D1813" s="2" t="str">
        <f>IFERROR(__xludf.DUMMYFUNCTION("""COMPUTED_VALUE"""),"BANGLADESH KRISHI BANK")</f>
        <v>BANGLADESH KRISHI BANK</v>
      </c>
      <c r="E1813" s="2" t="str">
        <f>IFERROR(__xludf.DUMMYFUNCTION("""COMPUTED_VALUE"""),"PANCHARI")</f>
        <v>PANCHARI</v>
      </c>
      <c r="F1813" s="4">
        <f>IFERROR(__xludf.DUMMYFUNCTION("""COMPUTED_VALUE"""),28.0)</f>
        <v>28</v>
      </c>
      <c r="G1813" s="5">
        <f>IFERROR(__xludf.DUMMYFUNCTION("""COMPUTED_VALUE"""),3.5460286E7)</f>
        <v>35460286</v>
      </c>
    </row>
    <row r="1814">
      <c r="A1814" s="3">
        <f>IFERROR(__xludf.DUMMYFUNCTION("""COMPUTED_VALUE"""),246.0)</f>
        <v>246</v>
      </c>
      <c r="B1814" s="2" t="str">
        <f>IFERROR(__xludf.DUMMYFUNCTION("""COMPUTED_VALUE"""),"KHAGRACHARI")</f>
        <v>KHAGRACHARI</v>
      </c>
      <c r="C1814" s="4">
        <f>IFERROR(__xludf.DUMMYFUNCTION("""COMPUTED_VALUE"""),35.0)</f>
        <v>35</v>
      </c>
      <c r="D1814" s="2" t="str">
        <f>IFERROR(__xludf.DUMMYFUNCTION("""COMPUTED_VALUE"""),"BANGLADESH KRISHI BANK")</f>
        <v>BANGLADESH KRISHI BANK</v>
      </c>
      <c r="E1814" s="2" t="str">
        <f>IFERROR(__xludf.DUMMYFUNCTION("""COMPUTED_VALUE"""),"RAMGARH")</f>
        <v>RAMGARH</v>
      </c>
      <c r="F1814" s="4">
        <f>IFERROR(__xludf.DUMMYFUNCTION("""COMPUTED_VALUE"""),31.0)</f>
        <v>31</v>
      </c>
      <c r="G1814" s="5">
        <f>IFERROR(__xludf.DUMMYFUNCTION("""COMPUTED_VALUE"""),3.546031E7)</f>
        <v>35460310</v>
      </c>
    </row>
    <row r="1815">
      <c r="A1815" s="3">
        <f>IFERROR(__xludf.DUMMYFUNCTION("""COMPUTED_VALUE"""),447.0)</f>
        <v>447</v>
      </c>
      <c r="B1815" s="2" t="str">
        <f>IFERROR(__xludf.DUMMYFUNCTION("""COMPUTED_VALUE"""),"KHULNA")</f>
        <v>KHULNA</v>
      </c>
      <c r="C1815" s="4">
        <f>IFERROR(__xludf.DUMMYFUNCTION("""COMPUTED_VALUE"""),35.0)</f>
        <v>35</v>
      </c>
      <c r="D1815" s="2" t="str">
        <f>IFERROR(__xludf.DUMMYFUNCTION("""COMPUTED_VALUE"""),"BANGLADESH KRISHI BANK")</f>
        <v>BANGLADESH KRISHI BANK</v>
      </c>
      <c r="E1815" s="2" t="str">
        <f>IFERROR(__xludf.DUMMYFUNCTION("""COMPUTED_VALUE"""),"BARAKPUR BAZAR")</f>
        <v>BARAKPUR BAZAR</v>
      </c>
      <c r="F1815" s="4">
        <f>IFERROR(__xludf.DUMMYFUNCTION("""COMPUTED_VALUE"""),25.0)</f>
        <v>25</v>
      </c>
      <c r="G1815" s="5">
        <f>IFERROR(__xludf.DUMMYFUNCTION("""COMPUTED_VALUE"""),3.547025E7)</f>
        <v>35470250</v>
      </c>
    </row>
    <row r="1816">
      <c r="A1816" s="3">
        <f>IFERROR(__xludf.DUMMYFUNCTION("""COMPUTED_VALUE"""),447.0)</f>
        <v>447</v>
      </c>
      <c r="B1816" s="2" t="str">
        <f>IFERROR(__xludf.DUMMYFUNCTION("""COMPUTED_VALUE"""),"KHULNA")</f>
        <v>KHULNA</v>
      </c>
      <c r="C1816" s="4">
        <f>IFERROR(__xludf.DUMMYFUNCTION("""COMPUTED_VALUE"""),35.0)</f>
        <v>35</v>
      </c>
      <c r="D1816" s="2" t="str">
        <f>IFERROR(__xludf.DUMMYFUNCTION("""COMPUTED_VALUE"""),"BANGLADESH KRISHI BANK")</f>
        <v>BANGLADESH KRISHI BANK</v>
      </c>
      <c r="E1816" s="2" t="str">
        <f>IFERROR(__xludf.DUMMYFUNCTION("""COMPUTED_VALUE"""),"BATIAGHATA")</f>
        <v>BATIAGHATA</v>
      </c>
      <c r="F1816" s="4">
        <f>IFERROR(__xludf.DUMMYFUNCTION("""COMPUTED_VALUE"""),31.0)</f>
        <v>31</v>
      </c>
      <c r="G1816" s="5">
        <f>IFERROR(__xludf.DUMMYFUNCTION("""COMPUTED_VALUE"""),3.5470313E7)</f>
        <v>35470313</v>
      </c>
    </row>
    <row r="1817">
      <c r="A1817" s="3">
        <f>IFERROR(__xludf.DUMMYFUNCTION("""COMPUTED_VALUE"""),447.0)</f>
        <v>447</v>
      </c>
      <c r="B1817" s="2" t="str">
        <f>IFERROR(__xludf.DUMMYFUNCTION("""COMPUTED_VALUE"""),"KHULNA")</f>
        <v>KHULNA</v>
      </c>
      <c r="C1817" s="4">
        <f>IFERROR(__xludf.DUMMYFUNCTION("""COMPUTED_VALUE"""),35.0)</f>
        <v>35</v>
      </c>
      <c r="D1817" s="2" t="str">
        <f>IFERROR(__xludf.DUMMYFUNCTION("""COMPUTED_VALUE"""),"BANGLADESH KRISHI BANK")</f>
        <v>BANGLADESH KRISHI BANK</v>
      </c>
      <c r="E1817" s="2" t="str">
        <f>IFERROR(__xludf.DUMMYFUNCTION("""COMPUTED_VALUE"""),"BIRAT BAZAR")</f>
        <v>BIRAT BAZAR</v>
      </c>
      <c r="F1817" s="4">
        <f>IFERROR(__xludf.DUMMYFUNCTION("""COMPUTED_VALUE"""),34.0)</f>
        <v>34</v>
      </c>
      <c r="G1817" s="5">
        <f>IFERROR(__xludf.DUMMYFUNCTION("""COMPUTED_VALUE"""),3.5470342E7)</f>
        <v>35470342</v>
      </c>
    </row>
    <row r="1818">
      <c r="A1818" s="3">
        <f>IFERROR(__xludf.DUMMYFUNCTION("""COMPUTED_VALUE"""),447.0)</f>
        <v>447</v>
      </c>
      <c r="B1818" s="2" t="str">
        <f>IFERROR(__xludf.DUMMYFUNCTION("""COMPUTED_VALUE"""),"KHULNA")</f>
        <v>KHULNA</v>
      </c>
      <c r="C1818" s="4">
        <f>IFERROR(__xludf.DUMMYFUNCTION("""COMPUTED_VALUE"""),35.0)</f>
        <v>35</v>
      </c>
      <c r="D1818" s="2" t="str">
        <f>IFERROR(__xludf.DUMMYFUNCTION("""COMPUTED_VALUE"""),"BANGLADESH KRISHI BANK")</f>
        <v>BANGLADESH KRISHI BANK</v>
      </c>
      <c r="E1818" s="2" t="str">
        <f>IFERROR(__xludf.DUMMYFUNCTION("""COMPUTED_VALUE"""),"CHANDKHALI")</f>
        <v>CHANDKHALI</v>
      </c>
      <c r="F1818" s="4">
        <f>IFERROR(__xludf.DUMMYFUNCTION("""COMPUTED_VALUE"""),52.0)</f>
        <v>52</v>
      </c>
      <c r="G1818" s="5">
        <f>IFERROR(__xludf.DUMMYFUNCTION("""COMPUTED_VALUE"""),3.5470526E7)</f>
        <v>35470526</v>
      </c>
    </row>
    <row r="1819">
      <c r="A1819" s="3">
        <f>IFERROR(__xludf.DUMMYFUNCTION("""COMPUTED_VALUE"""),447.0)</f>
        <v>447</v>
      </c>
      <c r="B1819" s="2" t="str">
        <f>IFERROR(__xludf.DUMMYFUNCTION("""COMPUTED_VALUE"""),"KHULNA")</f>
        <v>KHULNA</v>
      </c>
      <c r="C1819" s="4">
        <f>IFERROR(__xludf.DUMMYFUNCTION("""COMPUTED_VALUE"""),35.0)</f>
        <v>35</v>
      </c>
      <c r="D1819" s="2" t="str">
        <f>IFERROR(__xludf.DUMMYFUNCTION("""COMPUTED_VALUE"""),"BANGLADESH KRISHI BANK")</f>
        <v>BANGLADESH KRISHI BANK</v>
      </c>
      <c r="E1819" s="2" t="str">
        <f>IFERROR(__xludf.DUMMYFUNCTION("""COMPUTED_VALUE"""),"DACOPE")</f>
        <v>DACOPE</v>
      </c>
      <c r="F1819" s="4">
        <f>IFERROR(__xludf.DUMMYFUNCTION("""COMPUTED_VALUE"""),64.0)</f>
        <v>64</v>
      </c>
      <c r="G1819" s="5">
        <f>IFERROR(__xludf.DUMMYFUNCTION("""COMPUTED_VALUE"""),3.5470647E7)</f>
        <v>35470647</v>
      </c>
    </row>
    <row r="1820">
      <c r="A1820" s="3">
        <f>IFERROR(__xludf.DUMMYFUNCTION("""COMPUTED_VALUE"""),447.0)</f>
        <v>447</v>
      </c>
      <c r="B1820" s="2" t="str">
        <f>IFERROR(__xludf.DUMMYFUNCTION("""COMPUTED_VALUE"""),"KHULNA")</f>
        <v>KHULNA</v>
      </c>
      <c r="C1820" s="4">
        <f>IFERROR(__xludf.DUMMYFUNCTION("""COMPUTED_VALUE"""),35.0)</f>
        <v>35</v>
      </c>
      <c r="D1820" s="2" t="str">
        <f>IFERROR(__xludf.DUMMYFUNCTION("""COMPUTED_VALUE"""),"BANGLADESH KRISHI BANK")</f>
        <v>BANGLADESH KRISHI BANK</v>
      </c>
      <c r="E1820" s="2" t="str">
        <f>IFERROR(__xludf.DUMMYFUNCTION("""COMPUTED_VALUE"""),"DAULATPUR")</f>
        <v>DAULATPUR</v>
      </c>
      <c r="F1820" s="4">
        <f>IFERROR(__xludf.DUMMYFUNCTION("""COMPUTED_VALUE"""),70.0)</f>
        <v>70</v>
      </c>
      <c r="G1820" s="5">
        <f>IFERROR(__xludf.DUMMYFUNCTION("""COMPUTED_VALUE"""),3.54707E7)</f>
        <v>35470700</v>
      </c>
    </row>
    <row r="1821">
      <c r="A1821" s="3">
        <f>IFERROR(__xludf.DUMMYFUNCTION("""COMPUTED_VALUE"""),447.0)</f>
        <v>447</v>
      </c>
      <c r="B1821" s="2" t="str">
        <f>IFERROR(__xludf.DUMMYFUNCTION("""COMPUTED_VALUE"""),"KHULNA")</f>
        <v>KHULNA</v>
      </c>
      <c r="C1821" s="4">
        <f>IFERROR(__xludf.DUMMYFUNCTION("""COMPUTED_VALUE"""),35.0)</f>
        <v>35</v>
      </c>
      <c r="D1821" s="2" t="str">
        <f>IFERROR(__xludf.DUMMYFUNCTION("""COMPUTED_VALUE"""),"BANGLADESH KRISHI BANK")</f>
        <v>BANGLADESH KRISHI BANK</v>
      </c>
      <c r="E1821" s="2" t="str">
        <f>IFERROR(__xludf.DUMMYFUNCTION("""COMPUTED_VALUE"""),"DUMURIA")</f>
        <v>DUMURIA</v>
      </c>
      <c r="F1821" s="4">
        <f>IFERROR(__xludf.DUMMYFUNCTION("""COMPUTED_VALUE"""),79.0)</f>
        <v>79</v>
      </c>
      <c r="G1821" s="5">
        <f>IFERROR(__xludf.DUMMYFUNCTION("""COMPUTED_VALUE"""),3.5470797E7)</f>
        <v>35470797</v>
      </c>
    </row>
    <row r="1822">
      <c r="A1822" s="3">
        <f>IFERROR(__xludf.DUMMYFUNCTION("""COMPUTED_VALUE"""),447.0)</f>
        <v>447</v>
      </c>
      <c r="B1822" s="2" t="str">
        <f>IFERROR(__xludf.DUMMYFUNCTION("""COMPUTED_VALUE"""),"KHULNA")</f>
        <v>KHULNA</v>
      </c>
      <c r="C1822" s="4">
        <f>IFERROR(__xludf.DUMMYFUNCTION("""COMPUTED_VALUE"""),35.0)</f>
        <v>35</v>
      </c>
      <c r="D1822" s="2" t="str">
        <f>IFERROR(__xludf.DUMMYFUNCTION("""COMPUTED_VALUE"""),"BANGLADESH KRISHI BANK")</f>
        <v>BANGLADESH KRISHI BANK</v>
      </c>
      <c r="E1822" s="2" t="str">
        <f>IFERROR(__xludf.DUMMYFUNCTION("""COMPUTED_VALUE"""),"JAIGIR MOHAL")</f>
        <v>JAIGIR MOHAL</v>
      </c>
      <c r="F1822" s="4">
        <f>IFERROR(__xludf.DUMMYFUNCTION("""COMPUTED_VALUE"""),106.0)</f>
        <v>106</v>
      </c>
      <c r="G1822" s="5">
        <f>IFERROR(__xludf.DUMMYFUNCTION("""COMPUTED_VALUE"""),3.5471062E7)</f>
        <v>35471062</v>
      </c>
    </row>
    <row r="1823">
      <c r="A1823" s="3">
        <f>IFERROR(__xludf.DUMMYFUNCTION("""COMPUTED_VALUE"""),447.0)</f>
        <v>447</v>
      </c>
      <c r="B1823" s="2" t="str">
        <f>IFERROR(__xludf.DUMMYFUNCTION("""COMPUTED_VALUE"""),"KHULNA")</f>
        <v>KHULNA</v>
      </c>
      <c r="C1823" s="4">
        <f>IFERROR(__xludf.DUMMYFUNCTION("""COMPUTED_VALUE"""),35.0)</f>
        <v>35</v>
      </c>
      <c r="D1823" s="2" t="str">
        <f>IFERROR(__xludf.DUMMYFUNCTION("""COMPUTED_VALUE"""),"BANGLADESH KRISHI BANK")</f>
        <v>BANGLADESH KRISHI BANK</v>
      </c>
      <c r="E1823" s="2" t="str">
        <f>IFERROR(__xludf.DUMMYFUNCTION("""COMPUTED_VALUE"""),"JAMIRA BAZAR")</f>
        <v>JAMIRA BAZAR</v>
      </c>
      <c r="F1823" s="4">
        <f>IFERROR(__xludf.DUMMYFUNCTION("""COMPUTED_VALUE"""),109.0)</f>
        <v>109</v>
      </c>
      <c r="G1823" s="5">
        <f>IFERROR(__xludf.DUMMYFUNCTION("""COMPUTED_VALUE"""),3.5471091E7)</f>
        <v>35471091</v>
      </c>
    </row>
    <row r="1824">
      <c r="A1824" s="3">
        <f>IFERROR(__xludf.DUMMYFUNCTION("""COMPUTED_VALUE"""),447.0)</f>
        <v>447</v>
      </c>
      <c r="B1824" s="2" t="str">
        <f>IFERROR(__xludf.DUMMYFUNCTION("""COMPUTED_VALUE"""),"KHULNA")</f>
        <v>KHULNA</v>
      </c>
      <c r="C1824" s="4">
        <f>IFERROR(__xludf.DUMMYFUNCTION("""COMPUTED_VALUE"""),35.0)</f>
        <v>35</v>
      </c>
      <c r="D1824" s="2" t="str">
        <f>IFERROR(__xludf.DUMMYFUNCTION("""COMPUTED_VALUE"""),"BANGLADESH KRISHI BANK")</f>
        <v>BANGLADESH KRISHI BANK</v>
      </c>
      <c r="E1824" s="2" t="str">
        <f>IFERROR(__xludf.DUMMYFUNCTION("""COMPUTED_VALUE"""),"KAZDIA")</f>
        <v>KAZDIA</v>
      </c>
      <c r="F1824" s="4">
        <f>IFERROR(__xludf.DUMMYFUNCTION("""COMPUTED_VALUE"""),136.0)</f>
        <v>136</v>
      </c>
      <c r="G1824" s="5">
        <f>IFERROR(__xludf.DUMMYFUNCTION("""COMPUTED_VALUE"""),3.5471367E7)</f>
        <v>35471367</v>
      </c>
    </row>
    <row r="1825">
      <c r="A1825" s="3">
        <f>IFERROR(__xludf.DUMMYFUNCTION("""COMPUTED_VALUE"""),447.0)</f>
        <v>447</v>
      </c>
      <c r="B1825" s="2" t="str">
        <f>IFERROR(__xludf.DUMMYFUNCTION("""COMPUTED_VALUE"""),"KHULNA")</f>
        <v>KHULNA</v>
      </c>
      <c r="C1825" s="4">
        <f>IFERROR(__xludf.DUMMYFUNCTION("""COMPUTED_VALUE"""),35.0)</f>
        <v>35</v>
      </c>
      <c r="D1825" s="2" t="str">
        <f>IFERROR(__xludf.DUMMYFUNCTION("""COMPUTED_VALUE"""),"BANGLADESH KRISHI BANK")</f>
        <v>BANGLADESH KRISHI BANK</v>
      </c>
      <c r="E1825" s="2" t="str">
        <f>IFERROR(__xludf.DUMMYFUNCTION("""COMPUTED_VALUE"""),"KDA BUS TERMINAL")</f>
        <v>KDA BUS TERMINAL</v>
      </c>
      <c r="F1825" s="4">
        <f>IFERROR(__xludf.DUMMYFUNCTION("""COMPUTED_VALUE"""),142.0)</f>
        <v>142</v>
      </c>
      <c r="G1825" s="5">
        <f>IFERROR(__xludf.DUMMYFUNCTION("""COMPUTED_VALUE"""),3.547142E7)</f>
        <v>35471420</v>
      </c>
    </row>
    <row r="1826">
      <c r="A1826" s="3">
        <f>IFERROR(__xludf.DUMMYFUNCTION("""COMPUTED_VALUE"""),447.0)</f>
        <v>447</v>
      </c>
      <c r="B1826" s="2" t="str">
        <f>IFERROR(__xludf.DUMMYFUNCTION("""COMPUTED_VALUE"""),"KHULNA")</f>
        <v>KHULNA</v>
      </c>
      <c r="C1826" s="4">
        <f>IFERROR(__xludf.DUMMYFUNCTION("""COMPUTED_VALUE"""),35.0)</f>
        <v>35</v>
      </c>
      <c r="D1826" s="2" t="str">
        <f>IFERROR(__xludf.DUMMYFUNCTION("""COMPUTED_VALUE"""),"BANGLADESH KRISHI BANK")</f>
        <v>BANGLADESH KRISHI BANK</v>
      </c>
      <c r="E1826" s="2" t="str">
        <f>IFERROR(__xludf.DUMMYFUNCTION("""COMPUTED_VALUE"""),"KHULNA")</f>
        <v>KHULNA</v>
      </c>
      <c r="F1826" s="4">
        <f>IFERROR(__xludf.DUMMYFUNCTION("""COMPUTED_VALUE"""),154.0)</f>
        <v>154</v>
      </c>
      <c r="G1826" s="5">
        <f>IFERROR(__xludf.DUMMYFUNCTION("""COMPUTED_VALUE"""),3.5471541E7)</f>
        <v>35471541</v>
      </c>
    </row>
    <row r="1827">
      <c r="A1827" s="3">
        <f>IFERROR(__xludf.DUMMYFUNCTION("""COMPUTED_VALUE"""),447.0)</f>
        <v>447</v>
      </c>
      <c r="B1827" s="2" t="str">
        <f>IFERROR(__xludf.DUMMYFUNCTION("""COMPUTED_VALUE"""),"KHULNA")</f>
        <v>KHULNA</v>
      </c>
      <c r="C1827" s="4">
        <f>IFERROR(__xludf.DUMMYFUNCTION("""COMPUTED_VALUE"""),35.0)</f>
        <v>35</v>
      </c>
      <c r="D1827" s="2" t="str">
        <f>IFERROR(__xludf.DUMMYFUNCTION("""COMPUTED_VALUE"""),"BANGLADESH KRISHI BANK")</f>
        <v>BANGLADESH KRISHI BANK</v>
      </c>
      <c r="E1827" s="2" t="str">
        <f>IFERROR(__xludf.DUMMYFUNCTION("""COMPUTED_VALUE"""),"KOYRA")</f>
        <v>KOYRA</v>
      </c>
      <c r="F1827" s="4">
        <f>IFERROR(__xludf.DUMMYFUNCTION("""COMPUTED_VALUE"""),178.0)</f>
        <v>178</v>
      </c>
      <c r="G1827" s="5">
        <f>IFERROR(__xludf.DUMMYFUNCTION("""COMPUTED_VALUE"""),3.5471783E7)</f>
        <v>35471783</v>
      </c>
    </row>
    <row r="1828">
      <c r="A1828" s="3">
        <f>IFERROR(__xludf.DUMMYFUNCTION("""COMPUTED_VALUE"""),447.0)</f>
        <v>447</v>
      </c>
      <c r="B1828" s="2" t="str">
        <f>IFERROR(__xludf.DUMMYFUNCTION("""COMPUTED_VALUE"""),"KHULNA")</f>
        <v>KHULNA</v>
      </c>
      <c r="C1828" s="4">
        <f>IFERROR(__xludf.DUMMYFUNCTION("""COMPUTED_VALUE"""),35.0)</f>
        <v>35</v>
      </c>
      <c r="D1828" s="2" t="str">
        <f>IFERROR(__xludf.DUMMYFUNCTION("""COMPUTED_VALUE"""),"BANGLADESH KRISHI BANK")</f>
        <v>BANGLADESH KRISHI BANK</v>
      </c>
      <c r="E1828" s="2" t="str">
        <f>IFERROR(__xludf.DUMMYFUNCTION("""COMPUTED_VALUE"""),"LABONCHORA")</f>
        <v>LABONCHORA</v>
      </c>
      <c r="F1828" s="4">
        <f>IFERROR(__xludf.DUMMYFUNCTION("""COMPUTED_VALUE"""),181.0)</f>
        <v>181</v>
      </c>
      <c r="G1828" s="5">
        <f>IFERROR(__xludf.DUMMYFUNCTION("""COMPUTED_VALUE"""),3.5471817E7)</f>
        <v>35471817</v>
      </c>
    </row>
    <row r="1829">
      <c r="A1829" s="3">
        <f>IFERROR(__xludf.DUMMYFUNCTION("""COMPUTED_VALUE"""),447.0)</f>
        <v>447</v>
      </c>
      <c r="B1829" s="2" t="str">
        <f>IFERROR(__xludf.DUMMYFUNCTION("""COMPUTED_VALUE"""),"KHULNA")</f>
        <v>KHULNA</v>
      </c>
      <c r="C1829" s="4">
        <f>IFERROR(__xludf.DUMMYFUNCTION("""COMPUTED_VALUE"""),35.0)</f>
        <v>35</v>
      </c>
      <c r="D1829" s="2" t="str">
        <f>IFERROR(__xludf.DUMMYFUNCTION("""COMPUTED_VALUE"""),"BANGLADESH KRISHI BANK")</f>
        <v>BANGLADESH KRISHI BANK</v>
      </c>
      <c r="E1829" s="2" t="str">
        <f>IFERROR(__xludf.DUMMYFUNCTION("""COMPUTED_VALUE"""),"NALIAN BAZAR")</f>
        <v>NALIAN BAZAR</v>
      </c>
      <c r="F1829" s="4">
        <f>IFERROR(__xludf.DUMMYFUNCTION("""COMPUTED_VALUE"""),193.0)</f>
        <v>193</v>
      </c>
      <c r="G1829" s="5">
        <f>IFERROR(__xludf.DUMMYFUNCTION("""COMPUTED_VALUE"""),3.5471938E7)</f>
        <v>35471938</v>
      </c>
    </row>
    <row r="1830">
      <c r="A1830" s="3">
        <f>IFERROR(__xludf.DUMMYFUNCTION("""COMPUTED_VALUE"""),447.0)</f>
        <v>447</v>
      </c>
      <c r="B1830" s="2" t="str">
        <f>IFERROR(__xludf.DUMMYFUNCTION("""COMPUTED_VALUE"""),"KHULNA")</f>
        <v>KHULNA</v>
      </c>
      <c r="C1830" s="4">
        <f>IFERROR(__xludf.DUMMYFUNCTION("""COMPUTED_VALUE"""),35.0)</f>
        <v>35</v>
      </c>
      <c r="D1830" s="2" t="str">
        <f>IFERROR(__xludf.DUMMYFUNCTION("""COMPUTED_VALUE"""),"BANGLADESH KRISHI BANK")</f>
        <v>BANGLADESH KRISHI BANK</v>
      </c>
      <c r="E1830" s="2" t="str">
        <f>IFERROR(__xludf.DUMMYFUNCTION("""COMPUTED_VALUE"""),"NEW MARKET")</f>
        <v>NEW MARKET</v>
      </c>
      <c r="F1830" s="4">
        <f>IFERROR(__xludf.DUMMYFUNCTION("""COMPUTED_VALUE"""),199.0)</f>
        <v>199</v>
      </c>
      <c r="G1830" s="5">
        <f>IFERROR(__xludf.DUMMYFUNCTION("""COMPUTED_VALUE"""),3.5471996E7)</f>
        <v>35471996</v>
      </c>
    </row>
    <row r="1831">
      <c r="A1831" s="3">
        <f>IFERROR(__xludf.DUMMYFUNCTION("""COMPUTED_VALUE"""),447.0)</f>
        <v>447</v>
      </c>
      <c r="B1831" s="2" t="str">
        <f>IFERROR(__xludf.DUMMYFUNCTION("""COMPUTED_VALUE"""),"KHULNA")</f>
        <v>KHULNA</v>
      </c>
      <c r="C1831" s="4">
        <f>IFERROR(__xludf.DUMMYFUNCTION("""COMPUTED_VALUE"""),35.0)</f>
        <v>35</v>
      </c>
      <c r="D1831" s="2" t="str">
        <f>IFERROR(__xludf.DUMMYFUNCTION("""COMPUTED_VALUE"""),"BANGLADESH KRISHI BANK")</f>
        <v>BANGLADESH KRISHI BANK</v>
      </c>
      <c r="E1831" s="2" t="str">
        <f>IFERROR(__xludf.DUMMYFUNCTION("""COMPUTED_VALUE"""),"PAIKGACHA")</f>
        <v>PAIKGACHA</v>
      </c>
      <c r="F1831" s="4">
        <f>IFERROR(__xludf.DUMMYFUNCTION("""COMPUTED_VALUE"""),208.0)</f>
        <v>208</v>
      </c>
      <c r="G1831" s="5">
        <f>IFERROR(__xludf.DUMMYFUNCTION("""COMPUTED_VALUE"""),3.5472087E7)</f>
        <v>35472087</v>
      </c>
    </row>
    <row r="1832">
      <c r="A1832" s="3">
        <f>IFERROR(__xludf.DUMMYFUNCTION("""COMPUTED_VALUE"""),447.0)</f>
        <v>447</v>
      </c>
      <c r="B1832" s="2" t="str">
        <f>IFERROR(__xludf.DUMMYFUNCTION("""COMPUTED_VALUE"""),"KHULNA")</f>
        <v>KHULNA</v>
      </c>
      <c r="C1832" s="4">
        <f>IFERROR(__xludf.DUMMYFUNCTION("""COMPUTED_VALUE"""),35.0)</f>
        <v>35</v>
      </c>
      <c r="D1832" s="2" t="str">
        <f>IFERROR(__xludf.DUMMYFUNCTION("""COMPUTED_VALUE"""),"BANGLADESH KRISHI BANK")</f>
        <v>BANGLADESH KRISHI BANK</v>
      </c>
      <c r="E1832" s="2" t="str">
        <f>IFERROR(__xludf.DUMMYFUNCTION("""COMPUTED_VALUE"""),"PHULTALA")</f>
        <v>PHULTALA</v>
      </c>
      <c r="F1832" s="4">
        <f>IFERROR(__xludf.DUMMYFUNCTION("""COMPUTED_VALUE"""),214.0)</f>
        <v>214</v>
      </c>
      <c r="G1832" s="5">
        <f>IFERROR(__xludf.DUMMYFUNCTION("""COMPUTED_VALUE"""),3.547214E7)</f>
        <v>35472140</v>
      </c>
    </row>
    <row r="1833">
      <c r="A1833" s="3">
        <f>IFERROR(__xludf.DUMMYFUNCTION("""COMPUTED_VALUE"""),447.0)</f>
        <v>447</v>
      </c>
      <c r="B1833" s="2" t="str">
        <f>IFERROR(__xludf.DUMMYFUNCTION("""COMPUTED_VALUE"""),"KHULNA")</f>
        <v>KHULNA</v>
      </c>
      <c r="C1833" s="4">
        <f>IFERROR(__xludf.DUMMYFUNCTION("""COMPUTED_VALUE"""),35.0)</f>
        <v>35</v>
      </c>
      <c r="D1833" s="2" t="str">
        <f>IFERROR(__xludf.DUMMYFUNCTION("""COMPUTED_VALUE"""),"BANGLADESH KRISHI BANK")</f>
        <v>BANGLADESH KRISHI BANK</v>
      </c>
      <c r="E1833" s="2" t="str">
        <f>IFERROR(__xludf.DUMMYFUNCTION("""COMPUTED_VALUE"""),"RUPSHAGHAT")</f>
        <v>RUPSHAGHAT</v>
      </c>
      <c r="F1833" s="4">
        <f>IFERROR(__xludf.DUMMYFUNCTION("""COMPUTED_VALUE"""),232.0)</f>
        <v>232</v>
      </c>
      <c r="G1833" s="5">
        <f>IFERROR(__xludf.DUMMYFUNCTION("""COMPUTED_VALUE"""),3.5472324E7)</f>
        <v>35472324</v>
      </c>
    </row>
    <row r="1834">
      <c r="A1834" s="3">
        <f>IFERROR(__xludf.DUMMYFUNCTION("""COMPUTED_VALUE"""),447.0)</f>
        <v>447</v>
      </c>
      <c r="B1834" s="2" t="str">
        <f>IFERROR(__xludf.DUMMYFUNCTION("""COMPUTED_VALUE"""),"KHULNA")</f>
        <v>KHULNA</v>
      </c>
      <c r="C1834" s="4">
        <f>IFERROR(__xludf.DUMMYFUNCTION("""COMPUTED_VALUE"""),35.0)</f>
        <v>35</v>
      </c>
      <c r="D1834" s="2" t="str">
        <f>IFERROR(__xludf.DUMMYFUNCTION("""COMPUTED_VALUE"""),"BANGLADESH KRISHI BANK")</f>
        <v>BANGLADESH KRISHI BANK</v>
      </c>
      <c r="E1834" s="2" t="str">
        <f>IFERROR(__xludf.DUMMYFUNCTION("""COMPUTED_VALUE"""),"SHAHPUR")</f>
        <v>SHAHPUR</v>
      </c>
      <c r="F1834" s="4">
        <f>IFERROR(__xludf.DUMMYFUNCTION("""COMPUTED_VALUE"""),244.0)</f>
        <v>244</v>
      </c>
      <c r="G1834" s="5">
        <f>IFERROR(__xludf.DUMMYFUNCTION("""COMPUTED_VALUE"""),3.5472445E7)</f>
        <v>35472445</v>
      </c>
    </row>
    <row r="1835">
      <c r="A1835" s="3">
        <f>IFERROR(__xludf.DUMMYFUNCTION("""COMPUTED_VALUE"""),447.0)</f>
        <v>447</v>
      </c>
      <c r="B1835" s="2" t="str">
        <f>IFERROR(__xludf.DUMMYFUNCTION("""COMPUTED_VALUE"""),"KHULNA")</f>
        <v>KHULNA</v>
      </c>
      <c r="C1835" s="4">
        <f>IFERROR(__xludf.DUMMYFUNCTION("""COMPUTED_VALUE"""),35.0)</f>
        <v>35</v>
      </c>
      <c r="D1835" s="2" t="str">
        <f>IFERROR(__xludf.DUMMYFUNCTION("""COMPUTED_VALUE"""),"BANGLADESH KRISHI BANK")</f>
        <v>BANGLADESH KRISHI BANK</v>
      </c>
      <c r="E1835" s="2" t="str">
        <f>IFERROR(__xludf.DUMMYFUNCTION("""COMPUTED_VALUE"""),"TEROKHADA")</f>
        <v>TEROKHADA</v>
      </c>
      <c r="F1835" s="4">
        <f>IFERROR(__xludf.DUMMYFUNCTION("""COMPUTED_VALUE"""),265.0)</f>
        <v>265</v>
      </c>
      <c r="G1835" s="5">
        <f>IFERROR(__xludf.DUMMYFUNCTION("""COMPUTED_VALUE"""),3.5472658E7)</f>
        <v>35472658</v>
      </c>
    </row>
    <row r="1836">
      <c r="A1836" s="3">
        <f>IFERROR(__xludf.DUMMYFUNCTION("""COMPUTED_VALUE"""),148.0)</f>
        <v>148</v>
      </c>
      <c r="B1836" s="2" t="str">
        <f>IFERROR(__xludf.DUMMYFUNCTION("""COMPUTED_VALUE"""),"KISHOREGANJ")</f>
        <v>KISHOREGANJ</v>
      </c>
      <c r="C1836" s="4">
        <f>IFERROR(__xludf.DUMMYFUNCTION("""COMPUTED_VALUE"""),35.0)</f>
        <v>35</v>
      </c>
      <c r="D1836" s="2" t="str">
        <f>IFERROR(__xludf.DUMMYFUNCTION("""COMPUTED_VALUE"""),"BANGLADESH KRISHI BANK")</f>
        <v>BANGLADESH KRISHI BANK</v>
      </c>
      <c r="E1836" s="2" t="str">
        <f>IFERROR(__xludf.DUMMYFUNCTION("""COMPUTED_VALUE"""),"ADAMPUR")</f>
        <v>ADAMPUR</v>
      </c>
      <c r="F1836" s="4">
        <f>IFERROR(__xludf.DUMMYFUNCTION("""COMPUTED_VALUE"""),4.0)</f>
        <v>4</v>
      </c>
      <c r="G1836" s="5">
        <f>IFERROR(__xludf.DUMMYFUNCTION("""COMPUTED_VALUE"""),3.548004E7)</f>
        <v>35480040</v>
      </c>
    </row>
    <row r="1837">
      <c r="A1837" s="3">
        <f>IFERROR(__xludf.DUMMYFUNCTION("""COMPUTED_VALUE"""),148.0)</f>
        <v>148</v>
      </c>
      <c r="B1837" s="2" t="str">
        <f>IFERROR(__xludf.DUMMYFUNCTION("""COMPUTED_VALUE"""),"KISHOREGANJ")</f>
        <v>KISHOREGANJ</v>
      </c>
      <c r="C1837" s="4">
        <f>IFERROR(__xludf.DUMMYFUNCTION("""COMPUTED_VALUE"""),35.0)</f>
        <v>35</v>
      </c>
      <c r="D1837" s="2" t="str">
        <f>IFERROR(__xludf.DUMMYFUNCTION("""COMPUTED_VALUE"""),"BANGLADESH KRISHI BANK")</f>
        <v>BANGLADESH KRISHI BANK</v>
      </c>
      <c r="E1837" s="2" t="str">
        <f>IFERROR(__xludf.DUMMYFUNCTION("""COMPUTED_VALUE"""),"AUSTAGRAM")</f>
        <v>AUSTAGRAM</v>
      </c>
      <c r="F1837" s="4">
        <f>IFERROR(__xludf.DUMMYFUNCTION("""COMPUTED_VALUE"""),7.0)</f>
        <v>7</v>
      </c>
      <c r="G1837" s="5">
        <f>IFERROR(__xludf.DUMMYFUNCTION("""COMPUTED_VALUE"""),3.5480079E7)</f>
        <v>35480079</v>
      </c>
    </row>
    <row r="1838">
      <c r="A1838" s="3">
        <f>IFERROR(__xludf.DUMMYFUNCTION("""COMPUTED_VALUE"""),148.0)</f>
        <v>148</v>
      </c>
      <c r="B1838" s="2" t="str">
        <f>IFERROR(__xludf.DUMMYFUNCTION("""COMPUTED_VALUE"""),"KISHOREGANJ")</f>
        <v>KISHOREGANJ</v>
      </c>
      <c r="C1838" s="4">
        <f>IFERROR(__xludf.DUMMYFUNCTION("""COMPUTED_VALUE"""),35.0)</f>
        <v>35</v>
      </c>
      <c r="D1838" s="2" t="str">
        <f>IFERROR(__xludf.DUMMYFUNCTION("""COMPUTED_VALUE"""),"BANGLADESH KRISHI BANK")</f>
        <v>BANGLADESH KRISHI BANK</v>
      </c>
      <c r="E1838" s="2" t="str">
        <f>IFERROR(__xludf.DUMMYFUNCTION("""COMPUTED_VALUE"""),"MOSUA BAZAR")</f>
        <v>MOSUA BAZAR</v>
      </c>
      <c r="F1838" s="4">
        <f>IFERROR(__xludf.DUMMYFUNCTION("""COMPUTED_VALUE"""),8.0)</f>
        <v>8</v>
      </c>
      <c r="G1838" s="5">
        <f>IFERROR(__xludf.DUMMYFUNCTION("""COMPUTED_VALUE"""),3.5480082E7)</f>
        <v>35480082</v>
      </c>
    </row>
    <row r="1839">
      <c r="A1839" s="3">
        <f>IFERROR(__xludf.DUMMYFUNCTION("""COMPUTED_VALUE"""),148.0)</f>
        <v>148</v>
      </c>
      <c r="B1839" s="2" t="str">
        <f>IFERROR(__xludf.DUMMYFUNCTION("""COMPUTED_VALUE"""),"KISHOREGANJ")</f>
        <v>KISHOREGANJ</v>
      </c>
      <c r="C1839" s="4">
        <f>IFERROR(__xludf.DUMMYFUNCTION("""COMPUTED_VALUE"""),35.0)</f>
        <v>35</v>
      </c>
      <c r="D1839" s="2" t="str">
        <f>IFERROR(__xludf.DUMMYFUNCTION("""COMPUTED_VALUE"""),"BANGLADESH KRISHI BANK")</f>
        <v>BANGLADESH KRISHI BANK</v>
      </c>
      <c r="E1839" s="2" t="str">
        <f>IFERROR(__xludf.DUMMYFUNCTION("""COMPUTED_VALUE"""),"GOCHIHATA BAZAR")</f>
        <v>GOCHIHATA BAZAR</v>
      </c>
      <c r="F1839" s="4">
        <f>IFERROR(__xludf.DUMMYFUNCTION("""COMPUTED_VALUE"""),9.0)</f>
        <v>9</v>
      </c>
      <c r="G1839" s="5">
        <f>IFERROR(__xludf.DUMMYFUNCTION("""COMPUTED_VALUE"""),3.5480095E7)</f>
        <v>35480095</v>
      </c>
    </row>
    <row r="1840">
      <c r="A1840" s="3">
        <f>IFERROR(__xludf.DUMMYFUNCTION("""COMPUTED_VALUE"""),148.0)</f>
        <v>148</v>
      </c>
      <c r="B1840" s="2" t="str">
        <f>IFERROR(__xludf.DUMMYFUNCTION("""COMPUTED_VALUE"""),"KISHOREGANJ")</f>
        <v>KISHOREGANJ</v>
      </c>
      <c r="C1840" s="4">
        <f>IFERROR(__xludf.DUMMYFUNCTION("""COMPUTED_VALUE"""),35.0)</f>
        <v>35</v>
      </c>
      <c r="D1840" s="2" t="str">
        <f>IFERROR(__xludf.DUMMYFUNCTION("""COMPUTED_VALUE"""),"BANGLADESH KRISHI BANK")</f>
        <v>BANGLADESH KRISHI BANK</v>
      </c>
      <c r="E1840" s="2" t="str">
        <f>IFERROR(__xludf.DUMMYFUNCTION("""COMPUTED_VALUE"""),"BAJITPUR")</f>
        <v>BAJITPUR</v>
      </c>
      <c r="F1840" s="4">
        <f>IFERROR(__xludf.DUMMYFUNCTION("""COMPUTED_VALUE"""),10.0)</f>
        <v>10</v>
      </c>
      <c r="G1840" s="5">
        <f>IFERROR(__xludf.DUMMYFUNCTION("""COMPUTED_VALUE"""),3.5480103E7)</f>
        <v>35480103</v>
      </c>
    </row>
    <row r="1841">
      <c r="A1841" s="3">
        <f>IFERROR(__xludf.DUMMYFUNCTION("""COMPUTED_VALUE"""),148.0)</f>
        <v>148</v>
      </c>
      <c r="B1841" s="2" t="str">
        <f>IFERROR(__xludf.DUMMYFUNCTION("""COMPUTED_VALUE"""),"KISHOREGANJ")</f>
        <v>KISHOREGANJ</v>
      </c>
      <c r="C1841" s="4">
        <f>IFERROR(__xludf.DUMMYFUNCTION("""COMPUTED_VALUE"""),35.0)</f>
        <v>35</v>
      </c>
      <c r="D1841" s="2" t="str">
        <f>IFERROR(__xludf.DUMMYFUNCTION("""COMPUTED_VALUE"""),"BANGLADESH KRISHI BANK")</f>
        <v>BANGLADESH KRISHI BANK</v>
      </c>
      <c r="E1841" s="2" t="str">
        <f>IFERROR(__xludf.DUMMYFUNCTION("""COMPUTED_VALUE"""),"CHOUGANGA BAZAR")</f>
        <v>CHOUGANGA BAZAR</v>
      </c>
      <c r="F1841" s="4">
        <f>IFERROR(__xludf.DUMMYFUNCTION("""COMPUTED_VALUE"""),11.0)</f>
        <v>11</v>
      </c>
      <c r="G1841" s="5">
        <f>IFERROR(__xludf.DUMMYFUNCTION("""COMPUTED_VALUE"""),3.5480116E7)</f>
        <v>35480116</v>
      </c>
    </row>
    <row r="1842">
      <c r="A1842" s="3">
        <f>IFERROR(__xludf.DUMMYFUNCTION("""COMPUTED_VALUE"""),148.0)</f>
        <v>148</v>
      </c>
      <c r="B1842" s="2" t="str">
        <f>IFERROR(__xludf.DUMMYFUNCTION("""COMPUTED_VALUE"""),"KISHOREGANJ")</f>
        <v>KISHOREGANJ</v>
      </c>
      <c r="C1842" s="4">
        <f>IFERROR(__xludf.DUMMYFUNCTION("""COMPUTED_VALUE"""),35.0)</f>
        <v>35</v>
      </c>
      <c r="D1842" s="2" t="str">
        <f>IFERROR(__xludf.DUMMYFUNCTION("""COMPUTED_VALUE"""),"BANGLADESH KRISHI BANK")</f>
        <v>BANGLADESH KRISHI BANK</v>
      </c>
      <c r="E1842" s="2" t="str">
        <f>IFERROR(__xludf.DUMMYFUNCTION("""COMPUTED_VALUE"""),"BHAIRAB BAZAR")</f>
        <v>BHAIRAB BAZAR</v>
      </c>
      <c r="F1842" s="4">
        <f>IFERROR(__xludf.DUMMYFUNCTION("""COMPUTED_VALUE"""),22.0)</f>
        <v>22</v>
      </c>
      <c r="G1842" s="5">
        <f>IFERROR(__xludf.DUMMYFUNCTION("""COMPUTED_VALUE"""),3.5480224E7)</f>
        <v>35480224</v>
      </c>
    </row>
    <row r="1843">
      <c r="A1843" s="3">
        <f>IFERROR(__xludf.DUMMYFUNCTION("""COMPUTED_VALUE"""),148.0)</f>
        <v>148</v>
      </c>
      <c r="B1843" s="2" t="str">
        <f>IFERROR(__xludf.DUMMYFUNCTION("""COMPUTED_VALUE"""),"KISHOREGANJ")</f>
        <v>KISHOREGANJ</v>
      </c>
      <c r="C1843" s="4">
        <f>IFERROR(__xludf.DUMMYFUNCTION("""COMPUTED_VALUE"""),35.0)</f>
        <v>35</v>
      </c>
      <c r="D1843" s="2" t="str">
        <f>IFERROR(__xludf.DUMMYFUNCTION("""COMPUTED_VALUE"""),"BANGLADESH KRISHI BANK")</f>
        <v>BANGLADESH KRISHI BANK</v>
      </c>
      <c r="E1843" s="2" t="str">
        <f>IFERROR(__xludf.DUMMYFUNCTION("""COMPUTED_VALUE"""),"CHOUDDASATO BOARD BAZAR")</f>
        <v>CHOUDDASATO BOARD BAZAR</v>
      </c>
      <c r="F1843" s="4">
        <f>IFERROR(__xludf.DUMMYFUNCTION("""COMPUTED_VALUE"""),31.0)</f>
        <v>31</v>
      </c>
      <c r="G1843" s="5">
        <f>IFERROR(__xludf.DUMMYFUNCTION("""COMPUTED_VALUE"""),3.5480316E7)</f>
        <v>35480316</v>
      </c>
    </row>
    <row r="1844">
      <c r="A1844" s="3">
        <f>IFERROR(__xludf.DUMMYFUNCTION("""COMPUTED_VALUE"""),148.0)</f>
        <v>148</v>
      </c>
      <c r="B1844" s="2" t="str">
        <f>IFERROR(__xludf.DUMMYFUNCTION("""COMPUTED_VALUE"""),"KISHOREGANJ")</f>
        <v>KISHOREGANJ</v>
      </c>
      <c r="C1844" s="4">
        <f>IFERROR(__xludf.DUMMYFUNCTION("""COMPUTED_VALUE"""),35.0)</f>
        <v>35</v>
      </c>
      <c r="D1844" s="2" t="str">
        <f>IFERROR(__xludf.DUMMYFUNCTION("""COMPUTED_VALUE"""),"BANGLADESH KRISHI BANK")</f>
        <v>BANGLADESH KRISHI BANK</v>
      </c>
      <c r="E1844" s="2" t="str">
        <f>IFERROR(__xludf.DUMMYFUNCTION("""COMPUTED_VALUE"""),"GOSHAIR BAZAR")</f>
        <v>GOSHAIR BAZAR</v>
      </c>
      <c r="F1844" s="4">
        <f>IFERROR(__xludf.DUMMYFUNCTION("""COMPUTED_VALUE"""),34.0)</f>
        <v>34</v>
      </c>
      <c r="G1844" s="5">
        <f>IFERROR(__xludf.DUMMYFUNCTION("""COMPUTED_VALUE"""),3.5480345E7)</f>
        <v>35480345</v>
      </c>
    </row>
    <row r="1845">
      <c r="A1845" s="3">
        <f>IFERROR(__xludf.DUMMYFUNCTION("""COMPUTED_VALUE"""),148.0)</f>
        <v>148</v>
      </c>
      <c r="B1845" s="2" t="str">
        <f>IFERROR(__xludf.DUMMYFUNCTION("""COMPUTED_VALUE"""),"KISHOREGANJ")</f>
        <v>KISHOREGANJ</v>
      </c>
      <c r="C1845" s="4">
        <f>IFERROR(__xludf.DUMMYFUNCTION("""COMPUTED_VALUE"""),35.0)</f>
        <v>35</v>
      </c>
      <c r="D1845" s="2" t="str">
        <f>IFERROR(__xludf.DUMMYFUNCTION("""COMPUTED_VALUE"""),"BANGLADESH KRISHI BANK")</f>
        <v>BANGLADESH KRISHI BANK</v>
      </c>
      <c r="E1845" s="2" t="str">
        <f>IFERROR(__xludf.DUMMYFUNCTION("""COMPUTED_VALUE"""),"HILOCHIA")</f>
        <v>HILOCHIA</v>
      </c>
      <c r="F1845" s="4">
        <f>IFERROR(__xludf.DUMMYFUNCTION("""COMPUTED_VALUE"""),37.0)</f>
        <v>37</v>
      </c>
      <c r="G1845" s="5">
        <f>IFERROR(__xludf.DUMMYFUNCTION("""COMPUTED_VALUE"""),3.5480374E7)</f>
        <v>35480374</v>
      </c>
    </row>
    <row r="1846">
      <c r="A1846" s="3">
        <f>IFERROR(__xludf.DUMMYFUNCTION("""COMPUTED_VALUE"""),148.0)</f>
        <v>148</v>
      </c>
      <c r="B1846" s="2" t="str">
        <f>IFERROR(__xludf.DUMMYFUNCTION("""COMPUTED_VALUE"""),"KISHOREGANJ")</f>
        <v>KISHOREGANJ</v>
      </c>
      <c r="C1846" s="4">
        <f>IFERROR(__xludf.DUMMYFUNCTION("""COMPUTED_VALUE"""),35.0)</f>
        <v>35</v>
      </c>
      <c r="D1846" s="2" t="str">
        <f>IFERROR(__xludf.DUMMYFUNCTION("""COMPUTED_VALUE"""),"BANGLADESH KRISHI BANK")</f>
        <v>BANGLADESH KRISHI BANK</v>
      </c>
      <c r="E1846" s="2" t="str">
        <f>IFERROR(__xludf.DUMMYFUNCTION("""COMPUTED_VALUE"""),"HOSSAINPUR")</f>
        <v>HOSSAINPUR</v>
      </c>
      <c r="F1846" s="4">
        <f>IFERROR(__xludf.DUMMYFUNCTION("""COMPUTED_VALUE"""),40.0)</f>
        <v>40</v>
      </c>
      <c r="G1846" s="5">
        <f>IFERROR(__xludf.DUMMYFUNCTION("""COMPUTED_VALUE"""),3.5480408E7)</f>
        <v>35480408</v>
      </c>
    </row>
    <row r="1847">
      <c r="A1847" s="3">
        <f>IFERROR(__xludf.DUMMYFUNCTION("""COMPUTED_VALUE"""),148.0)</f>
        <v>148</v>
      </c>
      <c r="B1847" s="2" t="str">
        <f>IFERROR(__xludf.DUMMYFUNCTION("""COMPUTED_VALUE"""),"KISHOREGANJ")</f>
        <v>KISHOREGANJ</v>
      </c>
      <c r="C1847" s="4">
        <f>IFERROR(__xludf.DUMMYFUNCTION("""COMPUTED_VALUE"""),35.0)</f>
        <v>35</v>
      </c>
      <c r="D1847" s="2" t="str">
        <f>IFERROR(__xludf.DUMMYFUNCTION("""COMPUTED_VALUE"""),"BANGLADESH KRISHI BANK")</f>
        <v>BANGLADESH KRISHI BANK</v>
      </c>
      <c r="E1847" s="2" t="str">
        <f>IFERROR(__xludf.DUMMYFUNCTION("""COMPUTED_VALUE"""),"ITNA")</f>
        <v>ITNA</v>
      </c>
      <c r="F1847" s="4">
        <f>IFERROR(__xludf.DUMMYFUNCTION("""COMPUTED_VALUE"""),43.0)</f>
        <v>43</v>
      </c>
      <c r="G1847" s="5">
        <f>IFERROR(__xludf.DUMMYFUNCTION("""COMPUTED_VALUE"""),3.5480437E7)</f>
        <v>35480437</v>
      </c>
    </row>
    <row r="1848">
      <c r="A1848" s="3">
        <f>IFERROR(__xludf.DUMMYFUNCTION("""COMPUTED_VALUE"""),148.0)</f>
        <v>148</v>
      </c>
      <c r="B1848" s="2" t="str">
        <f>IFERROR(__xludf.DUMMYFUNCTION("""COMPUTED_VALUE"""),"KISHOREGANJ")</f>
        <v>KISHOREGANJ</v>
      </c>
      <c r="C1848" s="4">
        <f>IFERROR(__xludf.DUMMYFUNCTION("""COMPUTED_VALUE"""),35.0)</f>
        <v>35</v>
      </c>
      <c r="D1848" s="2" t="str">
        <f>IFERROR(__xludf.DUMMYFUNCTION("""COMPUTED_VALUE"""),"BANGLADESH KRISHI BANK")</f>
        <v>BANGLADESH KRISHI BANK</v>
      </c>
      <c r="E1848" s="2" t="str">
        <f>IFERROR(__xludf.DUMMYFUNCTION("""COMPUTED_VALUE"""),"JOYSIDDI")</f>
        <v>JOYSIDDI</v>
      </c>
      <c r="F1848" s="4">
        <f>IFERROR(__xludf.DUMMYFUNCTION("""COMPUTED_VALUE"""),46.0)</f>
        <v>46</v>
      </c>
      <c r="G1848" s="5">
        <f>IFERROR(__xludf.DUMMYFUNCTION("""COMPUTED_VALUE"""),3.5480466E7)</f>
        <v>35480466</v>
      </c>
    </row>
    <row r="1849">
      <c r="A1849" s="3">
        <f>IFERROR(__xludf.DUMMYFUNCTION("""COMPUTED_VALUE"""),148.0)</f>
        <v>148</v>
      </c>
      <c r="B1849" s="2" t="str">
        <f>IFERROR(__xludf.DUMMYFUNCTION("""COMPUTED_VALUE"""),"KISHOREGANJ")</f>
        <v>KISHOREGANJ</v>
      </c>
      <c r="C1849" s="4">
        <f>IFERROR(__xludf.DUMMYFUNCTION("""COMPUTED_VALUE"""),35.0)</f>
        <v>35</v>
      </c>
      <c r="D1849" s="2" t="str">
        <f>IFERROR(__xludf.DUMMYFUNCTION("""COMPUTED_VALUE"""),"BANGLADESH KRISHI BANK")</f>
        <v>BANGLADESH KRISHI BANK</v>
      </c>
      <c r="E1849" s="2" t="str">
        <f>IFERROR(__xludf.DUMMYFUNCTION("""COMPUTED_VALUE"""),"KARIMGANJ")</f>
        <v>KARIMGANJ</v>
      </c>
      <c r="F1849" s="4">
        <f>IFERROR(__xludf.DUMMYFUNCTION("""COMPUTED_VALUE"""),55.0)</f>
        <v>55</v>
      </c>
      <c r="G1849" s="5">
        <f>IFERROR(__xludf.DUMMYFUNCTION("""COMPUTED_VALUE"""),3.5480558E7)</f>
        <v>35480558</v>
      </c>
    </row>
    <row r="1850">
      <c r="A1850" s="3">
        <f>IFERROR(__xludf.DUMMYFUNCTION("""COMPUTED_VALUE"""),148.0)</f>
        <v>148</v>
      </c>
      <c r="B1850" s="2" t="str">
        <f>IFERROR(__xludf.DUMMYFUNCTION("""COMPUTED_VALUE"""),"KISHOREGANJ")</f>
        <v>KISHOREGANJ</v>
      </c>
      <c r="C1850" s="4">
        <f>IFERROR(__xludf.DUMMYFUNCTION("""COMPUTED_VALUE"""),35.0)</f>
        <v>35</v>
      </c>
      <c r="D1850" s="2" t="str">
        <f>IFERROR(__xludf.DUMMYFUNCTION("""COMPUTED_VALUE"""),"BANGLADESH KRISHI BANK")</f>
        <v>BANGLADESH KRISHI BANK</v>
      </c>
      <c r="E1850" s="2" t="str">
        <f>IFERROR(__xludf.DUMMYFUNCTION("""COMPUTED_VALUE"""),"KATIADI")</f>
        <v>KATIADI</v>
      </c>
      <c r="F1850" s="4">
        <f>IFERROR(__xludf.DUMMYFUNCTION("""COMPUTED_VALUE"""),58.0)</f>
        <v>58</v>
      </c>
      <c r="G1850" s="5">
        <f>IFERROR(__xludf.DUMMYFUNCTION("""COMPUTED_VALUE"""),3.5480587E7)</f>
        <v>35480587</v>
      </c>
    </row>
    <row r="1851">
      <c r="A1851" s="3">
        <f>IFERROR(__xludf.DUMMYFUNCTION("""COMPUTED_VALUE"""),148.0)</f>
        <v>148</v>
      </c>
      <c r="B1851" s="2" t="str">
        <f>IFERROR(__xludf.DUMMYFUNCTION("""COMPUTED_VALUE"""),"KISHOREGANJ")</f>
        <v>KISHOREGANJ</v>
      </c>
      <c r="C1851" s="4">
        <f>IFERROR(__xludf.DUMMYFUNCTION("""COMPUTED_VALUE"""),35.0)</f>
        <v>35</v>
      </c>
      <c r="D1851" s="2" t="str">
        <f>IFERROR(__xludf.DUMMYFUNCTION("""COMPUTED_VALUE"""),"BANGLADESH KRISHI BANK")</f>
        <v>BANGLADESH KRISHI BANK</v>
      </c>
      <c r="E1851" s="2" t="str">
        <f>IFERROR(__xludf.DUMMYFUNCTION("""COMPUTED_VALUE"""),"KISHOREGANJ")</f>
        <v>KISHOREGANJ</v>
      </c>
      <c r="F1851" s="4">
        <f>IFERROR(__xludf.DUMMYFUNCTION("""COMPUTED_VALUE"""),67.0)</f>
        <v>67</v>
      </c>
      <c r="G1851" s="5">
        <f>IFERROR(__xludf.DUMMYFUNCTION("""COMPUTED_VALUE"""),3.5480679E7)</f>
        <v>35480679</v>
      </c>
    </row>
    <row r="1852">
      <c r="A1852" s="3">
        <f>IFERROR(__xludf.DUMMYFUNCTION("""COMPUTED_VALUE"""),148.0)</f>
        <v>148</v>
      </c>
      <c r="B1852" s="2" t="str">
        <f>IFERROR(__xludf.DUMMYFUNCTION("""COMPUTED_VALUE"""),"KISHOREGANJ")</f>
        <v>KISHOREGANJ</v>
      </c>
      <c r="C1852" s="4">
        <f>IFERROR(__xludf.DUMMYFUNCTION("""COMPUTED_VALUE"""),35.0)</f>
        <v>35</v>
      </c>
      <c r="D1852" s="2" t="str">
        <f>IFERROR(__xludf.DUMMYFUNCTION("""COMPUTED_VALUE"""),"BANGLADESH KRISHI BANK")</f>
        <v>BANGLADESH KRISHI BANK</v>
      </c>
      <c r="E1852" s="2" t="str">
        <f>IFERROR(__xludf.DUMMYFUNCTION("""COMPUTED_VALUE"""),"KULIAR CHAR")</f>
        <v>KULIAR CHAR</v>
      </c>
      <c r="F1852" s="4">
        <f>IFERROR(__xludf.DUMMYFUNCTION("""COMPUTED_VALUE"""),73.0)</f>
        <v>73</v>
      </c>
      <c r="G1852" s="5">
        <f>IFERROR(__xludf.DUMMYFUNCTION("""COMPUTED_VALUE"""),3.5480732E7)</f>
        <v>35480732</v>
      </c>
    </row>
    <row r="1853">
      <c r="A1853" s="3">
        <f>IFERROR(__xludf.DUMMYFUNCTION("""COMPUTED_VALUE"""),148.0)</f>
        <v>148</v>
      </c>
      <c r="B1853" s="2" t="str">
        <f>IFERROR(__xludf.DUMMYFUNCTION("""COMPUTED_VALUE"""),"KISHOREGANJ")</f>
        <v>KISHOREGANJ</v>
      </c>
      <c r="C1853" s="4">
        <f>IFERROR(__xludf.DUMMYFUNCTION("""COMPUTED_VALUE"""),35.0)</f>
        <v>35</v>
      </c>
      <c r="D1853" s="2" t="str">
        <f>IFERROR(__xludf.DUMMYFUNCTION("""COMPUTED_VALUE"""),"BANGLADESH KRISHI BANK")</f>
        <v>BANGLADESH KRISHI BANK</v>
      </c>
      <c r="E1853" s="2" t="str">
        <f>IFERROR(__xludf.DUMMYFUNCTION("""COMPUTED_VALUE"""),"LATIFABAD")</f>
        <v>LATIFABAD</v>
      </c>
      <c r="F1853" s="4">
        <f>IFERROR(__xludf.DUMMYFUNCTION("""COMPUTED_VALUE"""),76.0)</f>
        <v>76</v>
      </c>
      <c r="G1853" s="5">
        <f>IFERROR(__xludf.DUMMYFUNCTION("""COMPUTED_VALUE"""),3.5480761E7)</f>
        <v>35480761</v>
      </c>
    </row>
    <row r="1854">
      <c r="A1854" s="3">
        <f>IFERROR(__xludf.DUMMYFUNCTION("""COMPUTED_VALUE"""),148.0)</f>
        <v>148</v>
      </c>
      <c r="B1854" s="2" t="str">
        <f>IFERROR(__xludf.DUMMYFUNCTION("""COMPUTED_VALUE"""),"KISHOREGANJ")</f>
        <v>KISHOREGANJ</v>
      </c>
      <c r="C1854" s="4">
        <f>IFERROR(__xludf.DUMMYFUNCTION("""COMPUTED_VALUE"""),35.0)</f>
        <v>35</v>
      </c>
      <c r="D1854" s="2" t="str">
        <f>IFERROR(__xludf.DUMMYFUNCTION("""COMPUTED_VALUE"""),"BANGLADESH KRISHI BANK")</f>
        <v>BANGLADESH KRISHI BANK</v>
      </c>
      <c r="E1854" s="2" t="str">
        <f>IFERROR(__xludf.DUMMYFUNCTION("""COMPUTED_VALUE"""),"MARICHKHALI")</f>
        <v>MARICHKHALI</v>
      </c>
      <c r="F1854" s="4">
        <f>IFERROR(__xludf.DUMMYFUNCTION("""COMPUTED_VALUE"""),85.0)</f>
        <v>85</v>
      </c>
      <c r="G1854" s="5">
        <f>IFERROR(__xludf.DUMMYFUNCTION("""COMPUTED_VALUE"""),3.5480853E7)</f>
        <v>35480853</v>
      </c>
    </row>
    <row r="1855">
      <c r="A1855" s="3">
        <f>IFERROR(__xludf.DUMMYFUNCTION("""COMPUTED_VALUE"""),148.0)</f>
        <v>148</v>
      </c>
      <c r="B1855" s="2" t="str">
        <f>IFERROR(__xludf.DUMMYFUNCTION("""COMPUTED_VALUE"""),"KISHOREGANJ")</f>
        <v>KISHOREGANJ</v>
      </c>
      <c r="C1855" s="4">
        <f>IFERROR(__xludf.DUMMYFUNCTION("""COMPUTED_VALUE"""),35.0)</f>
        <v>35</v>
      </c>
      <c r="D1855" s="2" t="str">
        <f>IFERROR(__xludf.DUMMYFUNCTION("""COMPUTED_VALUE"""),"BANGLADESH KRISHI BANK")</f>
        <v>BANGLADESH KRISHI BANK</v>
      </c>
      <c r="E1855" s="2" t="str">
        <f>IFERROR(__xludf.DUMMYFUNCTION("""COMPUTED_VALUE"""),"MITAMAIN")</f>
        <v>MITAMAIN</v>
      </c>
      <c r="F1855" s="4">
        <f>IFERROR(__xludf.DUMMYFUNCTION("""COMPUTED_VALUE"""),94.0)</f>
        <v>94</v>
      </c>
      <c r="G1855" s="5">
        <f>IFERROR(__xludf.DUMMYFUNCTION("""COMPUTED_VALUE"""),3.5480945E7)</f>
        <v>35480945</v>
      </c>
    </row>
    <row r="1856">
      <c r="A1856" s="3">
        <f>IFERROR(__xludf.DUMMYFUNCTION("""COMPUTED_VALUE"""),148.0)</f>
        <v>148</v>
      </c>
      <c r="B1856" s="2" t="str">
        <f>IFERROR(__xludf.DUMMYFUNCTION("""COMPUTED_VALUE"""),"KISHOREGANJ")</f>
        <v>KISHOREGANJ</v>
      </c>
      <c r="C1856" s="4">
        <f>IFERROR(__xludf.DUMMYFUNCTION("""COMPUTED_VALUE"""),35.0)</f>
        <v>35</v>
      </c>
      <c r="D1856" s="2" t="str">
        <f>IFERROR(__xludf.DUMMYFUNCTION("""COMPUTED_VALUE"""),"BANGLADESH KRISHI BANK")</f>
        <v>BANGLADESH KRISHI BANK</v>
      </c>
      <c r="E1856" s="2" t="str">
        <f>IFERROR(__xludf.DUMMYFUNCTION("""COMPUTED_VALUE"""),"NEAMATPUR")</f>
        <v>NEAMATPUR</v>
      </c>
      <c r="F1856" s="4">
        <f>IFERROR(__xludf.DUMMYFUNCTION("""COMPUTED_VALUE"""),97.0)</f>
        <v>97</v>
      </c>
      <c r="G1856" s="5">
        <f>IFERROR(__xludf.DUMMYFUNCTION("""COMPUTED_VALUE"""),3.5480974E7)</f>
        <v>35480974</v>
      </c>
    </row>
    <row r="1857">
      <c r="A1857" s="3">
        <f>IFERROR(__xludf.DUMMYFUNCTION("""COMPUTED_VALUE"""),148.0)</f>
        <v>148</v>
      </c>
      <c r="B1857" s="2" t="str">
        <f>IFERROR(__xludf.DUMMYFUNCTION("""COMPUTED_VALUE"""),"KISHOREGANJ")</f>
        <v>KISHOREGANJ</v>
      </c>
      <c r="C1857" s="4">
        <f>IFERROR(__xludf.DUMMYFUNCTION("""COMPUTED_VALUE"""),35.0)</f>
        <v>35</v>
      </c>
      <c r="D1857" s="2" t="str">
        <f>IFERROR(__xludf.DUMMYFUNCTION("""COMPUTED_VALUE"""),"BANGLADESH KRISHI BANK")</f>
        <v>BANGLADESH KRISHI BANK</v>
      </c>
      <c r="E1857" s="2" t="str">
        <f>IFERROR(__xludf.DUMMYFUNCTION("""COMPUTED_VALUE"""),"NIKLI")</f>
        <v>NIKLI</v>
      </c>
      <c r="F1857" s="4">
        <f>IFERROR(__xludf.DUMMYFUNCTION("""COMPUTED_VALUE"""),100.0)</f>
        <v>100</v>
      </c>
      <c r="G1857" s="5">
        <f>IFERROR(__xludf.DUMMYFUNCTION("""COMPUTED_VALUE"""),3.5481007E7)</f>
        <v>35481007</v>
      </c>
    </row>
    <row r="1858">
      <c r="A1858" s="3">
        <f>IFERROR(__xludf.DUMMYFUNCTION("""COMPUTED_VALUE"""),148.0)</f>
        <v>148</v>
      </c>
      <c r="B1858" s="2" t="str">
        <f>IFERROR(__xludf.DUMMYFUNCTION("""COMPUTED_VALUE"""),"KISHOREGANJ")</f>
        <v>KISHOREGANJ</v>
      </c>
      <c r="C1858" s="4">
        <f>IFERROR(__xludf.DUMMYFUNCTION("""COMPUTED_VALUE"""),35.0)</f>
        <v>35</v>
      </c>
      <c r="D1858" s="2" t="str">
        <f>IFERROR(__xludf.DUMMYFUNCTION("""COMPUTED_VALUE"""),"BANGLADESH KRISHI BANK")</f>
        <v>BANGLADESH KRISHI BANK</v>
      </c>
      <c r="E1858" s="2" t="str">
        <f>IFERROR(__xludf.DUMMYFUNCTION("""COMPUTED_VALUE"""),"PAKUNDIA")</f>
        <v>PAKUNDIA</v>
      </c>
      <c r="F1858" s="4">
        <f>IFERROR(__xludf.DUMMYFUNCTION("""COMPUTED_VALUE"""),106.0)</f>
        <v>106</v>
      </c>
      <c r="G1858" s="5">
        <f>IFERROR(__xludf.DUMMYFUNCTION("""COMPUTED_VALUE"""),3.5481065E7)</f>
        <v>35481065</v>
      </c>
    </row>
    <row r="1859">
      <c r="A1859" s="3">
        <f>IFERROR(__xludf.DUMMYFUNCTION("""COMPUTED_VALUE"""),148.0)</f>
        <v>148</v>
      </c>
      <c r="B1859" s="2" t="str">
        <f>IFERROR(__xludf.DUMMYFUNCTION("""COMPUTED_VALUE"""),"KISHOREGANJ")</f>
        <v>KISHOREGANJ</v>
      </c>
      <c r="C1859" s="4">
        <f>IFERROR(__xludf.DUMMYFUNCTION("""COMPUTED_VALUE"""),35.0)</f>
        <v>35</v>
      </c>
      <c r="D1859" s="2" t="str">
        <f>IFERROR(__xludf.DUMMYFUNCTION("""COMPUTED_VALUE"""),"BANGLADESH KRISHI BANK")</f>
        <v>BANGLADESH KRISHI BANK</v>
      </c>
      <c r="E1859" s="2" t="str">
        <f>IFERROR(__xludf.DUMMYFUNCTION("""COMPUTED_VALUE"""),"SARARCHAR")</f>
        <v>SARARCHAR</v>
      </c>
      <c r="F1859" s="4">
        <f>IFERROR(__xludf.DUMMYFUNCTION("""COMPUTED_VALUE"""),109.0)</f>
        <v>109</v>
      </c>
      <c r="G1859" s="5">
        <f>IFERROR(__xludf.DUMMYFUNCTION("""COMPUTED_VALUE"""),3.5481094E7)</f>
        <v>35481094</v>
      </c>
    </row>
    <row r="1860">
      <c r="A1860" s="3">
        <f>IFERROR(__xludf.DUMMYFUNCTION("""COMPUTED_VALUE"""),148.0)</f>
        <v>148</v>
      </c>
      <c r="B1860" s="2" t="str">
        <f>IFERROR(__xludf.DUMMYFUNCTION("""COMPUTED_VALUE"""),"KISHOREGANJ")</f>
        <v>KISHOREGANJ</v>
      </c>
      <c r="C1860" s="4">
        <f>IFERROR(__xludf.DUMMYFUNCTION("""COMPUTED_VALUE"""),35.0)</f>
        <v>35</v>
      </c>
      <c r="D1860" s="2" t="str">
        <f>IFERROR(__xludf.DUMMYFUNCTION("""COMPUTED_VALUE"""),"BANGLADESH KRISHI BANK")</f>
        <v>BANGLADESH KRISHI BANK</v>
      </c>
      <c r="E1860" s="2" t="str">
        <f>IFERROR(__xludf.DUMMYFUNCTION("""COMPUTED_VALUE"""),"SHIMULKANDI BAZAR")</f>
        <v>SHIMULKANDI BAZAR</v>
      </c>
      <c r="F1860" s="4">
        <f>IFERROR(__xludf.DUMMYFUNCTION("""COMPUTED_VALUE"""),112.0)</f>
        <v>112</v>
      </c>
      <c r="G1860" s="5">
        <f>IFERROR(__xludf.DUMMYFUNCTION("""COMPUTED_VALUE"""),3.5481128E7)</f>
        <v>35481128</v>
      </c>
    </row>
    <row r="1861">
      <c r="A1861" s="3">
        <f>IFERROR(__xludf.DUMMYFUNCTION("""COMPUTED_VALUE"""),148.0)</f>
        <v>148</v>
      </c>
      <c r="B1861" s="2" t="str">
        <f>IFERROR(__xludf.DUMMYFUNCTION("""COMPUTED_VALUE"""),"KISHOREGANJ")</f>
        <v>KISHOREGANJ</v>
      </c>
      <c r="C1861" s="4">
        <f>IFERROR(__xludf.DUMMYFUNCTION("""COMPUTED_VALUE"""),35.0)</f>
        <v>35</v>
      </c>
      <c r="D1861" s="2" t="str">
        <f>IFERROR(__xludf.DUMMYFUNCTION("""COMPUTED_VALUE"""),"BANGLADESH KRISHI BANK")</f>
        <v>BANGLADESH KRISHI BANK</v>
      </c>
      <c r="E1861" s="2" t="str">
        <f>IFERROR(__xludf.DUMMYFUNCTION("""COMPUTED_VALUE"""),"TARAIL")</f>
        <v>TARAIL</v>
      </c>
      <c r="F1861" s="4">
        <f>IFERROR(__xludf.DUMMYFUNCTION("""COMPUTED_VALUE"""),115.0)</f>
        <v>115</v>
      </c>
      <c r="G1861" s="5">
        <f>IFERROR(__xludf.DUMMYFUNCTION("""COMPUTED_VALUE"""),3.5481157E7)</f>
        <v>35481157</v>
      </c>
    </row>
    <row r="1862">
      <c r="A1862" s="3">
        <f>IFERROR(__xludf.DUMMYFUNCTION("""COMPUTED_VALUE"""),450.0)</f>
        <v>450</v>
      </c>
      <c r="B1862" s="2" t="str">
        <f>IFERROR(__xludf.DUMMYFUNCTION("""COMPUTED_VALUE"""),"KUSHTIA")</f>
        <v>KUSHTIA</v>
      </c>
      <c r="C1862" s="4">
        <f>IFERROR(__xludf.DUMMYFUNCTION("""COMPUTED_VALUE"""),35.0)</f>
        <v>35</v>
      </c>
      <c r="D1862" s="2" t="str">
        <f>IFERROR(__xludf.DUMMYFUNCTION("""COMPUTED_VALUE"""),"BANGLADESH KRISHI BANK")</f>
        <v>BANGLADESH KRISHI BANK</v>
      </c>
      <c r="E1862" s="2" t="str">
        <f>IFERROR(__xludf.DUMMYFUNCTION("""COMPUTED_VALUE"""),"AILCHARA")</f>
        <v>AILCHARA</v>
      </c>
      <c r="F1862" s="4">
        <f>IFERROR(__xludf.DUMMYFUNCTION("""COMPUTED_VALUE"""),4.0)</f>
        <v>4</v>
      </c>
      <c r="G1862" s="5">
        <f>IFERROR(__xludf.DUMMYFUNCTION("""COMPUTED_VALUE"""),3.5500041E7)</f>
        <v>35500041</v>
      </c>
    </row>
    <row r="1863">
      <c r="A1863" s="3">
        <f>IFERROR(__xludf.DUMMYFUNCTION("""COMPUTED_VALUE"""),450.0)</f>
        <v>450</v>
      </c>
      <c r="B1863" s="2" t="str">
        <f>IFERROR(__xludf.DUMMYFUNCTION("""COMPUTED_VALUE"""),"KUSHTIA")</f>
        <v>KUSHTIA</v>
      </c>
      <c r="C1863" s="4">
        <f>IFERROR(__xludf.DUMMYFUNCTION("""COMPUTED_VALUE"""),35.0)</f>
        <v>35</v>
      </c>
      <c r="D1863" s="2" t="str">
        <f>IFERROR(__xludf.DUMMYFUNCTION("""COMPUTED_VALUE"""),"BANGLADESH KRISHI BANK")</f>
        <v>BANGLADESH KRISHI BANK</v>
      </c>
      <c r="E1863" s="2" t="str">
        <f>IFERROR(__xludf.DUMMYFUNCTION("""COMPUTED_VALUE"""),"AMLA")</f>
        <v>AMLA</v>
      </c>
      <c r="F1863" s="4">
        <f>IFERROR(__xludf.DUMMYFUNCTION("""COMPUTED_VALUE"""),10.0)</f>
        <v>10</v>
      </c>
      <c r="G1863" s="5">
        <f>IFERROR(__xludf.DUMMYFUNCTION("""COMPUTED_VALUE"""),3.5500104E7)</f>
        <v>35500104</v>
      </c>
    </row>
    <row r="1864">
      <c r="A1864" s="3">
        <f>IFERROR(__xludf.DUMMYFUNCTION("""COMPUTED_VALUE"""),450.0)</f>
        <v>450</v>
      </c>
      <c r="B1864" s="2" t="str">
        <f>IFERROR(__xludf.DUMMYFUNCTION("""COMPUTED_VALUE"""),"KUSHTIA")</f>
        <v>KUSHTIA</v>
      </c>
      <c r="C1864" s="4">
        <f>IFERROR(__xludf.DUMMYFUNCTION("""COMPUTED_VALUE"""),35.0)</f>
        <v>35</v>
      </c>
      <c r="D1864" s="2" t="str">
        <f>IFERROR(__xludf.DUMMYFUNCTION("""COMPUTED_VALUE"""),"BANGLADESH KRISHI BANK")</f>
        <v>BANGLADESH KRISHI BANK</v>
      </c>
      <c r="E1864" s="2" t="str">
        <f>IFERROR(__xludf.DUMMYFUNCTION("""COMPUTED_VALUE"""),"BAHAL BARIA")</f>
        <v>BAHAL BARIA</v>
      </c>
      <c r="F1864" s="4">
        <f>IFERROR(__xludf.DUMMYFUNCTION("""COMPUTED_VALUE"""),16.0)</f>
        <v>16</v>
      </c>
      <c r="G1864" s="5">
        <f>IFERROR(__xludf.DUMMYFUNCTION("""COMPUTED_VALUE"""),3.5500162E7)</f>
        <v>35500162</v>
      </c>
    </row>
    <row r="1865">
      <c r="A1865" s="3">
        <f>IFERROR(__xludf.DUMMYFUNCTION("""COMPUTED_VALUE"""),450.0)</f>
        <v>450</v>
      </c>
      <c r="B1865" s="2" t="str">
        <f>IFERROR(__xludf.DUMMYFUNCTION("""COMPUTED_VALUE"""),"KUSHTIA")</f>
        <v>KUSHTIA</v>
      </c>
      <c r="C1865" s="4">
        <f>IFERROR(__xludf.DUMMYFUNCTION("""COMPUTED_VALUE"""),35.0)</f>
        <v>35</v>
      </c>
      <c r="D1865" s="2" t="str">
        <f>IFERROR(__xludf.DUMMYFUNCTION("""COMPUTED_VALUE"""),"BANGLADESH KRISHI BANK")</f>
        <v>BANGLADESH KRISHI BANK</v>
      </c>
      <c r="E1865" s="2" t="str">
        <f>IFERROR(__xludf.DUMMYFUNCTION("""COMPUTED_VALUE"""),"BARA BAZAR")</f>
        <v>BARA BAZAR</v>
      </c>
      <c r="F1865" s="4">
        <f>IFERROR(__xludf.DUMMYFUNCTION("""COMPUTED_VALUE"""),19.0)</f>
        <v>19</v>
      </c>
      <c r="G1865" s="5">
        <f>IFERROR(__xludf.DUMMYFUNCTION("""COMPUTED_VALUE"""),3.5500191E7)</f>
        <v>35500191</v>
      </c>
    </row>
    <row r="1866">
      <c r="A1866" s="3">
        <f>IFERROR(__xludf.DUMMYFUNCTION("""COMPUTED_VALUE"""),450.0)</f>
        <v>450</v>
      </c>
      <c r="B1866" s="2" t="str">
        <f>IFERROR(__xludf.DUMMYFUNCTION("""COMPUTED_VALUE"""),"KUSHTIA")</f>
        <v>KUSHTIA</v>
      </c>
      <c r="C1866" s="4">
        <f>IFERROR(__xludf.DUMMYFUNCTION("""COMPUTED_VALUE"""),35.0)</f>
        <v>35</v>
      </c>
      <c r="D1866" s="2" t="str">
        <f>IFERROR(__xludf.DUMMYFUNCTION("""COMPUTED_VALUE"""),"BANGLADESH KRISHI BANK")</f>
        <v>BANGLADESH KRISHI BANK</v>
      </c>
      <c r="E1866" s="2" t="str">
        <f>IFERROR(__xludf.DUMMYFUNCTION("""COMPUTED_VALUE"""),"BARAKHADA")</f>
        <v>BARAKHADA</v>
      </c>
      <c r="F1866" s="4">
        <f>IFERROR(__xludf.DUMMYFUNCTION("""COMPUTED_VALUE"""),25.0)</f>
        <v>25</v>
      </c>
      <c r="G1866" s="5">
        <f>IFERROR(__xludf.DUMMYFUNCTION("""COMPUTED_VALUE"""),3.5500254E7)</f>
        <v>35500254</v>
      </c>
    </row>
    <row r="1867">
      <c r="A1867" s="3">
        <f>IFERROR(__xludf.DUMMYFUNCTION("""COMPUTED_VALUE"""),450.0)</f>
        <v>450</v>
      </c>
      <c r="B1867" s="2" t="str">
        <f>IFERROR(__xludf.DUMMYFUNCTION("""COMPUTED_VALUE"""),"KUSHTIA")</f>
        <v>KUSHTIA</v>
      </c>
      <c r="C1867" s="4">
        <f>IFERROR(__xludf.DUMMYFUNCTION("""COMPUTED_VALUE"""),35.0)</f>
        <v>35</v>
      </c>
      <c r="D1867" s="2" t="str">
        <f>IFERROR(__xludf.DUMMYFUNCTION("""COMPUTED_VALUE"""),"BANGLADESH KRISHI BANK")</f>
        <v>BANGLADESH KRISHI BANK</v>
      </c>
      <c r="E1867" s="2" t="str">
        <f>IFERROR(__xludf.DUMMYFUNCTION("""COMPUTED_VALUE"""),"BHERAMARA")</f>
        <v>BHERAMARA</v>
      </c>
      <c r="F1867" s="4">
        <f>IFERROR(__xludf.DUMMYFUNCTION("""COMPUTED_VALUE"""),28.0)</f>
        <v>28</v>
      </c>
      <c r="G1867" s="5">
        <f>IFERROR(__xludf.DUMMYFUNCTION("""COMPUTED_VALUE"""),3.5500283E7)</f>
        <v>35500283</v>
      </c>
    </row>
    <row r="1868">
      <c r="A1868" s="3">
        <f>IFERROR(__xludf.DUMMYFUNCTION("""COMPUTED_VALUE"""),450.0)</f>
        <v>450</v>
      </c>
      <c r="B1868" s="2" t="str">
        <f>IFERROR(__xludf.DUMMYFUNCTION("""COMPUTED_VALUE"""),"KUSHTIA")</f>
        <v>KUSHTIA</v>
      </c>
      <c r="C1868" s="4">
        <f>IFERROR(__xludf.DUMMYFUNCTION("""COMPUTED_VALUE"""),35.0)</f>
        <v>35</v>
      </c>
      <c r="D1868" s="2" t="str">
        <f>IFERROR(__xludf.DUMMYFUNCTION("""COMPUTED_VALUE"""),"BANGLADESH KRISHI BANK")</f>
        <v>BANGLADESH KRISHI BANK</v>
      </c>
      <c r="E1868" s="2" t="str">
        <f>IFERROR(__xludf.DUMMYFUNCTION("""COMPUTED_VALUE"""),"DANGMARKA")</f>
        <v>DANGMARKA</v>
      </c>
      <c r="F1868" s="4">
        <f>IFERROR(__xludf.DUMMYFUNCTION("""COMPUTED_VALUE"""),40.0)</f>
        <v>40</v>
      </c>
      <c r="G1868" s="5">
        <f>IFERROR(__xludf.DUMMYFUNCTION("""COMPUTED_VALUE"""),3.5500409E7)</f>
        <v>35500409</v>
      </c>
    </row>
    <row r="1869">
      <c r="A1869" s="3">
        <f>IFERROR(__xludf.DUMMYFUNCTION("""COMPUTED_VALUE"""),450.0)</f>
        <v>450</v>
      </c>
      <c r="B1869" s="2" t="str">
        <f>IFERROR(__xludf.DUMMYFUNCTION("""COMPUTED_VALUE"""),"KUSHTIA")</f>
        <v>KUSHTIA</v>
      </c>
      <c r="C1869" s="4">
        <f>IFERROR(__xludf.DUMMYFUNCTION("""COMPUTED_VALUE"""),35.0)</f>
        <v>35</v>
      </c>
      <c r="D1869" s="2" t="str">
        <f>IFERROR(__xludf.DUMMYFUNCTION("""COMPUTED_VALUE"""),"BANGLADESH KRISHI BANK")</f>
        <v>BANGLADESH KRISHI BANK</v>
      </c>
      <c r="E1869" s="2" t="str">
        <f>IFERROR(__xludf.DUMMYFUNCTION("""COMPUTED_VALUE"""),"DAULATPUR")</f>
        <v>DAULATPUR</v>
      </c>
      <c r="F1869" s="4">
        <f>IFERROR(__xludf.DUMMYFUNCTION("""COMPUTED_VALUE"""),46.0)</f>
        <v>46</v>
      </c>
      <c r="G1869" s="5">
        <f>IFERROR(__xludf.DUMMYFUNCTION("""COMPUTED_VALUE"""),3.5500467E7)</f>
        <v>35500467</v>
      </c>
    </row>
    <row r="1870">
      <c r="A1870" s="3">
        <f>IFERROR(__xludf.DUMMYFUNCTION("""COMPUTED_VALUE"""),450.0)</f>
        <v>450</v>
      </c>
      <c r="B1870" s="2" t="str">
        <f>IFERROR(__xludf.DUMMYFUNCTION("""COMPUTED_VALUE"""),"KUSHTIA")</f>
        <v>KUSHTIA</v>
      </c>
      <c r="C1870" s="4">
        <f>IFERROR(__xludf.DUMMYFUNCTION("""COMPUTED_VALUE"""),35.0)</f>
        <v>35</v>
      </c>
      <c r="D1870" s="2" t="str">
        <f>IFERROR(__xludf.DUMMYFUNCTION("""COMPUTED_VALUE"""),"BANGLADESH KRISHI BANK")</f>
        <v>BANGLADESH KRISHI BANK</v>
      </c>
      <c r="E1870" s="2" t="str">
        <f>IFERROR(__xludf.DUMMYFUNCTION("""COMPUTED_VALUE"""),"JENAIDAH")</f>
        <v>JENAIDAH</v>
      </c>
      <c r="F1870" s="4">
        <f>IFERROR(__xludf.DUMMYFUNCTION("""COMPUTED_VALUE"""),70.0)</f>
        <v>70</v>
      </c>
      <c r="G1870" s="5">
        <f>IFERROR(__xludf.DUMMYFUNCTION("""COMPUTED_VALUE"""),3.5500704E7)</f>
        <v>35500704</v>
      </c>
    </row>
    <row r="1871">
      <c r="A1871" s="3">
        <f>IFERROR(__xludf.DUMMYFUNCTION("""COMPUTED_VALUE"""),450.0)</f>
        <v>450</v>
      </c>
      <c r="B1871" s="2" t="str">
        <f>IFERROR(__xludf.DUMMYFUNCTION("""COMPUTED_VALUE"""),"KUSHTIA")</f>
        <v>KUSHTIA</v>
      </c>
      <c r="C1871" s="4">
        <f>IFERROR(__xludf.DUMMYFUNCTION("""COMPUTED_VALUE"""),35.0)</f>
        <v>35</v>
      </c>
      <c r="D1871" s="2" t="str">
        <f>IFERROR(__xludf.DUMMYFUNCTION("""COMPUTED_VALUE"""),"BANGLADESH KRISHI BANK")</f>
        <v>BANGLADESH KRISHI BANK</v>
      </c>
      <c r="E1871" s="2" t="str">
        <f>IFERROR(__xludf.DUMMYFUNCTION("""COMPUTED_VALUE"""),"JHAUDIA")</f>
        <v>JHAUDIA</v>
      </c>
      <c r="F1871" s="4">
        <f>IFERROR(__xludf.DUMMYFUNCTION("""COMPUTED_VALUE"""),73.0)</f>
        <v>73</v>
      </c>
      <c r="G1871" s="5">
        <f>IFERROR(__xludf.DUMMYFUNCTION("""COMPUTED_VALUE"""),3.5500733E7)</f>
        <v>35500733</v>
      </c>
    </row>
    <row r="1872">
      <c r="A1872" s="3">
        <f>IFERROR(__xludf.DUMMYFUNCTION("""COMPUTED_VALUE"""),450.0)</f>
        <v>450</v>
      </c>
      <c r="B1872" s="2" t="str">
        <f>IFERROR(__xludf.DUMMYFUNCTION("""COMPUTED_VALUE"""),"KUSHTIA")</f>
        <v>KUSHTIA</v>
      </c>
      <c r="C1872" s="4">
        <f>IFERROR(__xludf.DUMMYFUNCTION("""COMPUTED_VALUE"""),35.0)</f>
        <v>35</v>
      </c>
      <c r="D1872" s="2" t="str">
        <f>IFERROR(__xludf.DUMMYFUNCTION("""COMPUTED_VALUE"""),"BANGLADESH KRISHI BANK")</f>
        <v>BANGLADESH KRISHI BANK</v>
      </c>
      <c r="E1872" s="2" t="str">
        <f>IFERROR(__xludf.DUMMYFUNCTION("""COMPUTED_VALUE"""),"KHOKSA")</f>
        <v>KHOKSA</v>
      </c>
      <c r="F1872" s="4">
        <f>IFERROR(__xludf.DUMMYFUNCTION("""COMPUTED_VALUE"""),82.0)</f>
        <v>82</v>
      </c>
      <c r="G1872" s="5">
        <f>IFERROR(__xludf.DUMMYFUNCTION("""COMPUTED_VALUE"""),3.5500825E7)</f>
        <v>35500825</v>
      </c>
    </row>
    <row r="1873">
      <c r="A1873" s="3">
        <f>IFERROR(__xludf.DUMMYFUNCTION("""COMPUTED_VALUE"""),450.0)</f>
        <v>450</v>
      </c>
      <c r="B1873" s="2" t="str">
        <f>IFERROR(__xludf.DUMMYFUNCTION("""COMPUTED_VALUE"""),"KUSHTIA")</f>
        <v>KUSHTIA</v>
      </c>
      <c r="C1873" s="4">
        <f>IFERROR(__xludf.DUMMYFUNCTION("""COMPUTED_VALUE"""),35.0)</f>
        <v>35</v>
      </c>
      <c r="D1873" s="2" t="str">
        <f>IFERROR(__xludf.DUMMYFUNCTION("""COMPUTED_VALUE"""),"BANGLADESH KRISHI BANK")</f>
        <v>BANGLADESH KRISHI BANK</v>
      </c>
      <c r="E1873" s="2" t="str">
        <f>IFERROR(__xludf.DUMMYFUNCTION("""COMPUTED_VALUE"""),"KUCHIAMURA BAZAR")</f>
        <v>KUCHIAMURA BAZAR</v>
      </c>
      <c r="F1873" s="4">
        <f>IFERROR(__xludf.DUMMYFUNCTION("""COMPUTED_VALUE"""),85.0)</f>
        <v>85</v>
      </c>
      <c r="G1873" s="5">
        <f>IFERROR(__xludf.DUMMYFUNCTION("""COMPUTED_VALUE"""),3.5500854E7)</f>
        <v>35500854</v>
      </c>
    </row>
    <row r="1874">
      <c r="A1874" s="3">
        <f>IFERROR(__xludf.DUMMYFUNCTION("""COMPUTED_VALUE"""),450.0)</f>
        <v>450</v>
      </c>
      <c r="B1874" s="2" t="str">
        <f>IFERROR(__xludf.DUMMYFUNCTION("""COMPUTED_VALUE"""),"KUSHTIA")</f>
        <v>KUSHTIA</v>
      </c>
      <c r="C1874" s="4">
        <f>IFERROR(__xludf.DUMMYFUNCTION("""COMPUTED_VALUE"""),35.0)</f>
        <v>35</v>
      </c>
      <c r="D1874" s="2" t="str">
        <f>IFERROR(__xludf.DUMMYFUNCTION("""COMPUTED_VALUE"""),"BANGLADESH KRISHI BANK")</f>
        <v>BANGLADESH KRISHI BANK</v>
      </c>
      <c r="E1874" s="2" t="str">
        <f>IFERROR(__xludf.DUMMYFUNCTION("""COMPUTED_VALUE"""),"KUMARKHALI")</f>
        <v>KUMARKHALI</v>
      </c>
      <c r="F1874" s="4">
        <f>IFERROR(__xludf.DUMMYFUNCTION("""COMPUTED_VALUE"""),88.0)</f>
        <v>88</v>
      </c>
      <c r="G1874" s="5">
        <f>IFERROR(__xludf.DUMMYFUNCTION("""COMPUTED_VALUE"""),3.5500883E7)</f>
        <v>35500883</v>
      </c>
    </row>
    <row r="1875">
      <c r="A1875" s="3">
        <f>IFERROR(__xludf.DUMMYFUNCTION("""COMPUTED_VALUE"""),450.0)</f>
        <v>450</v>
      </c>
      <c r="B1875" s="2" t="str">
        <f>IFERROR(__xludf.DUMMYFUNCTION("""COMPUTED_VALUE"""),"KUSHTIA")</f>
        <v>KUSHTIA</v>
      </c>
      <c r="C1875" s="4">
        <f>IFERROR(__xludf.DUMMYFUNCTION("""COMPUTED_VALUE"""),35.0)</f>
        <v>35</v>
      </c>
      <c r="D1875" s="2" t="str">
        <f>IFERROR(__xludf.DUMMYFUNCTION("""COMPUTED_VALUE"""),"BANGLADESH KRISHI BANK")</f>
        <v>BANGLADESH KRISHI BANK</v>
      </c>
      <c r="E1875" s="2" t="str">
        <f>IFERROR(__xludf.DUMMYFUNCTION("""COMPUTED_VALUE"""),"KUSHTIA")</f>
        <v>KUSHTIA</v>
      </c>
      <c r="F1875" s="4">
        <f>IFERROR(__xludf.DUMMYFUNCTION("""COMPUTED_VALUE"""),94.0)</f>
        <v>94</v>
      </c>
      <c r="G1875" s="5">
        <f>IFERROR(__xludf.DUMMYFUNCTION("""COMPUTED_VALUE"""),3.5500946E7)</f>
        <v>35500946</v>
      </c>
    </row>
    <row r="1876">
      <c r="A1876" s="3">
        <f>IFERROR(__xludf.DUMMYFUNCTION("""COMPUTED_VALUE"""),450.0)</f>
        <v>450</v>
      </c>
      <c r="B1876" s="2" t="str">
        <f>IFERROR(__xludf.DUMMYFUNCTION("""COMPUTED_VALUE"""),"KUSHTIA")</f>
        <v>KUSHTIA</v>
      </c>
      <c r="C1876" s="4">
        <f>IFERROR(__xludf.DUMMYFUNCTION("""COMPUTED_VALUE"""),35.0)</f>
        <v>35</v>
      </c>
      <c r="D1876" s="2" t="str">
        <f>IFERROR(__xludf.DUMMYFUNCTION("""COMPUTED_VALUE"""),"BANGLADESH KRISHI BANK")</f>
        <v>BANGLADESH KRISHI BANK</v>
      </c>
      <c r="E1876" s="2" t="str">
        <f>IFERROR(__xludf.DUMMYFUNCTION("""COMPUTED_VALUE"""),"MIRPUR")</f>
        <v>MIRPUR</v>
      </c>
      <c r="F1876" s="4">
        <f>IFERROR(__xludf.DUMMYFUNCTION("""COMPUTED_VALUE"""),106.0)</f>
        <v>106</v>
      </c>
      <c r="G1876" s="5">
        <f>IFERROR(__xludf.DUMMYFUNCTION("""COMPUTED_VALUE"""),3.5501066E7)</f>
        <v>35501066</v>
      </c>
    </row>
    <row r="1877">
      <c r="A1877" s="3">
        <f>IFERROR(__xludf.DUMMYFUNCTION("""COMPUTED_VALUE"""),450.0)</f>
        <v>450</v>
      </c>
      <c r="B1877" s="2" t="str">
        <f>IFERROR(__xludf.DUMMYFUNCTION("""COMPUTED_VALUE"""),"KUSHTIA")</f>
        <v>KUSHTIA</v>
      </c>
      <c r="C1877" s="4">
        <f>IFERROR(__xludf.DUMMYFUNCTION("""COMPUTED_VALUE"""),35.0)</f>
        <v>35</v>
      </c>
      <c r="D1877" s="2" t="str">
        <f>IFERROR(__xludf.DUMMYFUNCTION("""COMPUTED_VALUE"""),"BANGLADESH KRISHI BANK")</f>
        <v>BANGLADESH KRISHI BANK</v>
      </c>
      <c r="E1877" s="2" t="str">
        <f>IFERROR(__xludf.DUMMYFUNCTION("""COMPUTED_VALUE"""),"MODHUPUR BAZAR")</f>
        <v>MODHUPUR BAZAR</v>
      </c>
      <c r="F1877" s="4">
        <f>IFERROR(__xludf.DUMMYFUNCTION("""COMPUTED_VALUE"""),109.0)</f>
        <v>109</v>
      </c>
      <c r="G1877" s="5">
        <f>IFERROR(__xludf.DUMMYFUNCTION("""COMPUTED_VALUE"""),3.5501095E7)</f>
        <v>35501095</v>
      </c>
    </row>
    <row r="1878">
      <c r="A1878" s="3">
        <f>IFERROR(__xludf.DUMMYFUNCTION("""COMPUTED_VALUE"""),251.0)</f>
        <v>251</v>
      </c>
      <c r="B1878" s="2" t="str">
        <f>IFERROR(__xludf.DUMMYFUNCTION("""COMPUTED_VALUE"""),"LAKSHMIPUR")</f>
        <v>LAKSHMIPUR</v>
      </c>
      <c r="C1878" s="4">
        <f>IFERROR(__xludf.DUMMYFUNCTION("""COMPUTED_VALUE"""),35.0)</f>
        <v>35</v>
      </c>
      <c r="D1878" s="2" t="str">
        <f>IFERROR(__xludf.DUMMYFUNCTION("""COMPUTED_VALUE"""),"BANGLADESH KRISHI BANK")</f>
        <v>BANGLADESH KRISHI BANK</v>
      </c>
      <c r="E1878" s="2" t="str">
        <f>IFERROR(__xludf.DUMMYFUNCTION("""COMPUTED_VALUE"""),"DIGHALI BAZAR")</f>
        <v>DIGHALI BAZAR</v>
      </c>
      <c r="F1878" s="4">
        <f>IFERROR(__xludf.DUMMYFUNCTION("""COMPUTED_VALUE"""),6.0)</f>
        <v>6</v>
      </c>
      <c r="G1878" s="5">
        <f>IFERROR(__xludf.DUMMYFUNCTION("""COMPUTED_VALUE"""),3.551006E7)</f>
        <v>35510060</v>
      </c>
    </row>
    <row r="1879">
      <c r="A1879" s="3">
        <f>IFERROR(__xludf.DUMMYFUNCTION("""COMPUTED_VALUE"""),251.0)</f>
        <v>251</v>
      </c>
      <c r="B1879" s="2" t="str">
        <f>IFERROR(__xludf.DUMMYFUNCTION("""COMPUTED_VALUE"""),"LAKSHMIPUR")</f>
        <v>LAKSHMIPUR</v>
      </c>
      <c r="C1879" s="4">
        <f>IFERROR(__xludf.DUMMYFUNCTION("""COMPUTED_VALUE"""),35.0)</f>
        <v>35</v>
      </c>
      <c r="D1879" s="2" t="str">
        <f>IFERROR(__xludf.DUMMYFUNCTION("""COMPUTED_VALUE"""),"BANGLADESH KRISHI BANK")</f>
        <v>BANGLADESH KRISHI BANK</v>
      </c>
      <c r="E1879" s="2" t="str">
        <f>IFERROR(__xludf.DUMMYFUNCTION("""COMPUTED_VALUE"""),"CHAR ALEXANDER")</f>
        <v>CHAR ALEXANDER</v>
      </c>
      <c r="F1879" s="4">
        <f>IFERROR(__xludf.DUMMYFUNCTION("""COMPUTED_VALUE"""),22.0)</f>
        <v>22</v>
      </c>
      <c r="G1879" s="5">
        <f>IFERROR(__xludf.DUMMYFUNCTION("""COMPUTED_VALUE"""),3.5510228E7)</f>
        <v>35510228</v>
      </c>
    </row>
    <row r="1880">
      <c r="A1880" s="3">
        <f>IFERROR(__xludf.DUMMYFUNCTION("""COMPUTED_VALUE"""),251.0)</f>
        <v>251</v>
      </c>
      <c r="B1880" s="2" t="str">
        <f>IFERROR(__xludf.DUMMYFUNCTION("""COMPUTED_VALUE"""),"LAKSHMIPUR")</f>
        <v>LAKSHMIPUR</v>
      </c>
      <c r="C1880" s="4">
        <f>IFERROR(__xludf.DUMMYFUNCTION("""COMPUTED_VALUE"""),35.0)</f>
        <v>35</v>
      </c>
      <c r="D1880" s="2" t="str">
        <f>IFERROR(__xludf.DUMMYFUNCTION("""COMPUTED_VALUE"""),"BANGLADESH KRISHI BANK")</f>
        <v>BANGLADESH KRISHI BANK</v>
      </c>
      <c r="E1880" s="2" t="str">
        <f>IFERROR(__xludf.DUMMYFUNCTION("""COMPUTED_VALUE"""),"CHAR FALKON")</f>
        <v>CHAR FALKON</v>
      </c>
      <c r="F1880" s="4">
        <f>IFERROR(__xludf.DUMMYFUNCTION("""COMPUTED_VALUE"""),25.0)</f>
        <v>25</v>
      </c>
      <c r="G1880" s="5">
        <f>IFERROR(__xludf.DUMMYFUNCTION("""COMPUTED_VALUE"""),3.5510257E7)</f>
        <v>35510257</v>
      </c>
    </row>
    <row r="1881">
      <c r="A1881" s="3">
        <f>IFERROR(__xludf.DUMMYFUNCTION("""COMPUTED_VALUE"""),251.0)</f>
        <v>251</v>
      </c>
      <c r="B1881" s="2" t="str">
        <f>IFERROR(__xludf.DUMMYFUNCTION("""COMPUTED_VALUE"""),"LAKSHMIPUR")</f>
        <v>LAKSHMIPUR</v>
      </c>
      <c r="C1881" s="4">
        <f>IFERROR(__xludf.DUMMYFUNCTION("""COMPUTED_VALUE"""),35.0)</f>
        <v>35</v>
      </c>
      <c r="D1881" s="2" t="str">
        <f>IFERROR(__xludf.DUMMYFUNCTION("""COMPUTED_VALUE"""),"BANGLADESH KRISHI BANK")</f>
        <v>BANGLADESH KRISHI BANK</v>
      </c>
      <c r="E1881" s="2" t="str">
        <f>IFERROR(__xludf.DUMMYFUNCTION("""COMPUTED_VALUE"""),"CHAR GAZI")</f>
        <v>CHAR GAZI</v>
      </c>
      <c r="F1881" s="4">
        <f>IFERROR(__xludf.DUMMYFUNCTION("""COMPUTED_VALUE"""),28.0)</f>
        <v>28</v>
      </c>
      <c r="G1881" s="5">
        <f>IFERROR(__xludf.DUMMYFUNCTION("""COMPUTED_VALUE"""),3.5510286E7)</f>
        <v>35510286</v>
      </c>
    </row>
    <row r="1882">
      <c r="A1882" s="3">
        <f>IFERROR(__xludf.DUMMYFUNCTION("""COMPUTED_VALUE"""),251.0)</f>
        <v>251</v>
      </c>
      <c r="B1882" s="2" t="str">
        <f>IFERROR(__xludf.DUMMYFUNCTION("""COMPUTED_VALUE"""),"LAKSHMIPUR")</f>
        <v>LAKSHMIPUR</v>
      </c>
      <c r="C1882" s="4">
        <f>IFERROR(__xludf.DUMMYFUNCTION("""COMPUTED_VALUE"""),35.0)</f>
        <v>35</v>
      </c>
      <c r="D1882" s="2" t="str">
        <f>IFERROR(__xludf.DUMMYFUNCTION("""COMPUTED_VALUE"""),"BANGLADESH KRISHI BANK")</f>
        <v>BANGLADESH KRISHI BANK</v>
      </c>
      <c r="E1882" s="2" t="str">
        <f>IFERROR(__xludf.DUMMYFUNCTION("""COMPUTED_VALUE"""),"CHOWDHURY BAZAR")</f>
        <v>CHOWDHURY BAZAR</v>
      </c>
      <c r="F1882" s="4">
        <f>IFERROR(__xludf.DUMMYFUNCTION("""COMPUTED_VALUE"""),37.0)</f>
        <v>37</v>
      </c>
      <c r="G1882" s="5">
        <f>IFERROR(__xludf.DUMMYFUNCTION("""COMPUTED_VALUE"""),3.5510378E7)</f>
        <v>35510378</v>
      </c>
    </row>
    <row r="1883">
      <c r="A1883" s="3">
        <f>IFERROR(__xludf.DUMMYFUNCTION("""COMPUTED_VALUE"""),251.0)</f>
        <v>251</v>
      </c>
      <c r="B1883" s="2" t="str">
        <f>IFERROR(__xludf.DUMMYFUNCTION("""COMPUTED_VALUE"""),"LAKSHMIPUR")</f>
        <v>LAKSHMIPUR</v>
      </c>
      <c r="C1883" s="4">
        <f>IFERROR(__xludf.DUMMYFUNCTION("""COMPUTED_VALUE"""),35.0)</f>
        <v>35</v>
      </c>
      <c r="D1883" s="2" t="str">
        <f>IFERROR(__xludf.DUMMYFUNCTION("""COMPUTED_VALUE"""),"BANGLADESH KRISHI BANK")</f>
        <v>BANGLADESH KRISHI BANK</v>
      </c>
      <c r="E1883" s="2" t="str">
        <f>IFERROR(__xludf.DUMMYFUNCTION("""COMPUTED_VALUE"""),"HAZIRPARA")</f>
        <v>HAZIRPARA</v>
      </c>
      <c r="F1883" s="4">
        <f>IFERROR(__xludf.DUMMYFUNCTION("""COMPUTED_VALUE"""),58.0)</f>
        <v>58</v>
      </c>
      <c r="G1883" s="5">
        <f>IFERROR(__xludf.DUMMYFUNCTION("""COMPUTED_VALUE"""),3.5510581E7)</f>
        <v>35510581</v>
      </c>
    </row>
    <row r="1884">
      <c r="A1884" s="3">
        <f>IFERROR(__xludf.DUMMYFUNCTION("""COMPUTED_VALUE"""),251.0)</f>
        <v>251</v>
      </c>
      <c r="B1884" s="2" t="str">
        <f>IFERROR(__xludf.DUMMYFUNCTION("""COMPUTED_VALUE"""),"LAKSHMIPUR")</f>
        <v>LAKSHMIPUR</v>
      </c>
      <c r="C1884" s="4">
        <f>IFERROR(__xludf.DUMMYFUNCTION("""COMPUTED_VALUE"""),35.0)</f>
        <v>35</v>
      </c>
      <c r="D1884" s="2" t="str">
        <f>IFERROR(__xludf.DUMMYFUNCTION("""COMPUTED_VALUE"""),"BANGLADESH KRISHI BANK")</f>
        <v>BANGLADESH KRISHI BANK</v>
      </c>
      <c r="E1884" s="2" t="str">
        <f>IFERROR(__xludf.DUMMYFUNCTION("""COMPUTED_VALUE"""),"JAKSIN BAZAR")</f>
        <v>JAKSIN BAZAR</v>
      </c>
      <c r="F1884" s="4">
        <f>IFERROR(__xludf.DUMMYFUNCTION("""COMPUTED_VALUE"""),61.0)</f>
        <v>61</v>
      </c>
      <c r="G1884" s="5">
        <f>IFERROR(__xludf.DUMMYFUNCTION("""COMPUTED_VALUE"""),3.5510615E7)</f>
        <v>35510615</v>
      </c>
    </row>
    <row r="1885">
      <c r="A1885" s="3">
        <f>IFERROR(__xludf.DUMMYFUNCTION("""COMPUTED_VALUE"""),251.0)</f>
        <v>251</v>
      </c>
      <c r="B1885" s="2" t="str">
        <f>IFERROR(__xludf.DUMMYFUNCTION("""COMPUTED_VALUE"""),"LAKSHMIPUR")</f>
        <v>LAKSHMIPUR</v>
      </c>
      <c r="C1885" s="4">
        <f>IFERROR(__xludf.DUMMYFUNCTION("""COMPUTED_VALUE"""),35.0)</f>
        <v>35</v>
      </c>
      <c r="D1885" s="2" t="str">
        <f>IFERROR(__xludf.DUMMYFUNCTION("""COMPUTED_VALUE"""),"BANGLADESH KRISHI BANK")</f>
        <v>BANGLADESH KRISHI BANK</v>
      </c>
      <c r="E1885" s="2" t="str">
        <f>IFERROR(__xludf.DUMMYFUNCTION("""COMPUTED_VALUE"""),"K.P. HAT")</f>
        <v>K.P. HAT</v>
      </c>
      <c r="F1885" s="4">
        <f>IFERROR(__xludf.DUMMYFUNCTION("""COMPUTED_VALUE"""),64.0)</f>
        <v>64</v>
      </c>
      <c r="G1885" s="5">
        <f>IFERROR(__xludf.DUMMYFUNCTION("""COMPUTED_VALUE"""),3.5510644E7)</f>
        <v>35510644</v>
      </c>
    </row>
    <row r="1886">
      <c r="A1886" s="3">
        <f>IFERROR(__xludf.DUMMYFUNCTION("""COMPUTED_VALUE"""),251.0)</f>
        <v>251</v>
      </c>
      <c r="B1886" s="2" t="str">
        <f>IFERROR(__xludf.DUMMYFUNCTION("""COMPUTED_VALUE"""),"LAKSHMIPUR")</f>
        <v>LAKSHMIPUR</v>
      </c>
      <c r="C1886" s="4">
        <f>IFERROR(__xludf.DUMMYFUNCTION("""COMPUTED_VALUE"""),35.0)</f>
        <v>35</v>
      </c>
      <c r="D1886" s="2" t="str">
        <f>IFERROR(__xludf.DUMMYFUNCTION("""COMPUTED_VALUE"""),"BANGLADESH KRISHI BANK")</f>
        <v>BANGLADESH KRISHI BANK</v>
      </c>
      <c r="E1886" s="2" t="str">
        <f>IFERROR(__xludf.DUMMYFUNCTION("""COMPUTED_VALUE"""),"KARONA NAGAR")</f>
        <v>KARONA NAGAR</v>
      </c>
      <c r="F1886" s="4">
        <f>IFERROR(__xludf.DUMMYFUNCTION("""COMPUTED_VALUE"""),70.0)</f>
        <v>70</v>
      </c>
      <c r="G1886" s="5">
        <f>IFERROR(__xludf.DUMMYFUNCTION("""COMPUTED_VALUE"""),3.5510707E7)</f>
        <v>35510707</v>
      </c>
    </row>
    <row r="1887">
      <c r="A1887" s="3">
        <f>IFERROR(__xludf.DUMMYFUNCTION("""COMPUTED_VALUE"""),251.0)</f>
        <v>251</v>
      </c>
      <c r="B1887" s="2" t="str">
        <f>IFERROR(__xludf.DUMMYFUNCTION("""COMPUTED_VALUE"""),"LAKSHMIPUR")</f>
        <v>LAKSHMIPUR</v>
      </c>
      <c r="C1887" s="4">
        <f>IFERROR(__xludf.DUMMYFUNCTION("""COMPUTED_VALUE"""),35.0)</f>
        <v>35</v>
      </c>
      <c r="D1887" s="2" t="str">
        <f>IFERROR(__xludf.DUMMYFUNCTION("""COMPUTED_VALUE"""),"BANGLADESH KRISHI BANK")</f>
        <v>BANGLADESH KRISHI BANK</v>
      </c>
      <c r="E1887" s="2" t="str">
        <f>IFERROR(__xludf.DUMMYFUNCTION("""COMPUTED_VALUE"""),"LAKSHMIPUR")</f>
        <v>LAKSHMIPUR</v>
      </c>
      <c r="F1887" s="4">
        <f>IFERROR(__xludf.DUMMYFUNCTION("""COMPUTED_VALUE"""),73.0)</f>
        <v>73</v>
      </c>
      <c r="G1887" s="5">
        <f>IFERROR(__xludf.DUMMYFUNCTION("""COMPUTED_VALUE"""),3.5510736E7)</f>
        <v>35510736</v>
      </c>
    </row>
    <row r="1888">
      <c r="A1888" s="3">
        <f>IFERROR(__xludf.DUMMYFUNCTION("""COMPUTED_VALUE"""),251.0)</f>
        <v>251</v>
      </c>
      <c r="B1888" s="2" t="str">
        <f>IFERROR(__xludf.DUMMYFUNCTION("""COMPUTED_VALUE"""),"LAKSHMIPUR")</f>
        <v>LAKSHMIPUR</v>
      </c>
      <c r="C1888" s="4">
        <f>IFERROR(__xludf.DUMMYFUNCTION("""COMPUTED_VALUE"""),35.0)</f>
        <v>35</v>
      </c>
      <c r="D1888" s="2" t="str">
        <f>IFERROR(__xludf.DUMMYFUNCTION("""COMPUTED_VALUE"""),"BANGLADESH KRISHI BANK")</f>
        <v>BANGLADESH KRISHI BANK</v>
      </c>
      <c r="E1888" s="2" t="str">
        <f>IFERROR(__xludf.DUMMYFUNCTION("""COMPUTED_VALUE"""),"MAJIRGAON BAZAR")</f>
        <v>MAJIRGAON BAZAR</v>
      </c>
      <c r="F1888" s="4">
        <f>IFERROR(__xludf.DUMMYFUNCTION("""COMPUTED_VALUE"""),79.0)</f>
        <v>79</v>
      </c>
      <c r="G1888" s="5">
        <f>IFERROR(__xludf.DUMMYFUNCTION("""COMPUTED_VALUE"""),3.5510794E7)</f>
        <v>35510794</v>
      </c>
    </row>
    <row r="1889">
      <c r="A1889" s="3">
        <f>IFERROR(__xludf.DUMMYFUNCTION("""COMPUTED_VALUE"""),251.0)</f>
        <v>251</v>
      </c>
      <c r="B1889" s="2" t="str">
        <f>IFERROR(__xludf.DUMMYFUNCTION("""COMPUTED_VALUE"""),"LAKSHMIPUR")</f>
        <v>LAKSHMIPUR</v>
      </c>
      <c r="C1889" s="4">
        <f>IFERROR(__xludf.DUMMYFUNCTION("""COMPUTED_VALUE"""),35.0)</f>
        <v>35</v>
      </c>
      <c r="D1889" s="2" t="str">
        <f>IFERROR(__xludf.DUMMYFUNCTION("""COMPUTED_VALUE"""),"BANGLADESH KRISHI BANK")</f>
        <v>BANGLADESH KRISHI BANK</v>
      </c>
      <c r="E1889" s="2" t="str">
        <f>IFERROR(__xludf.DUMMYFUNCTION("""COMPUTED_VALUE"""),"MITALI BAZAR")</f>
        <v>MITALI BAZAR</v>
      </c>
      <c r="F1889" s="4">
        <f>IFERROR(__xludf.DUMMYFUNCTION("""COMPUTED_VALUE"""),88.0)</f>
        <v>88</v>
      </c>
      <c r="G1889" s="5">
        <f>IFERROR(__xludf.DUMMYFUNCTION("""COMPUTED_VALUE"""),3.5510886E7)</f>
        <v>35510886</v>
      </c>
    </row>
    <row r="1890">
      <c r="A1890" s="3">
        <f>IFERROR(__xludf.DUMMYFUNCTION("""COMPUTED_VALUE"""),251.0)</f>
        <v>251</v>
      </c>
      <c r="B1890" s="2" t="str">
        <f>IFERROR(__xludf.DUMMYFUNCTION("""COMPUTED_VALUE"""),"LAKSHMIPUR")</f>
        <v>LAKSHMIPUR</v>
      </c>
      <c r="C1890" s="4">
        <f>IFERROR(__xludf.DUMMYFUNCTION("""COMPUTED_VALUE"""),35.0)</f>
        <v>35</v>
      </c>
      <c r="D1890" s="2" t="str">
        <f>IFERROR(__xludf.DUMMYFUNCTION("""COMPUTED_VALUE"""),"BANGLADESH KRISHI BANK")</f>
        <v>BANGLADESH KRISHI BANK</v>
      </c>
      <c r="E1890" s="2" t="str">
        <f>IFERROR(__xludf.DUMMYFUNCTION("""COMPUTED_VALUE"""),"PANPARA BAZAR")</f>
        <v>PANPARA BAZAR</v>
      </c>
      <c r="F1890" s="4">
        <f>IFERROR(__xludf.DUMMYFUNCTION("""COMPUTED_VALUE"""),91.0)</f>
        <v>91</v>
      </c>
      <c r="G1890" s="5">
        <f>IFERROR(__xludf.DUMMYFUNCTION("""COMPUTED_VALUE"""),3.551091E7)</f>
        <v>35510910</v>
      </c>
    </row>
    <row r="1891">
      <c r="A1891" s="3">
        <f>IFERROR(__xludf.DUMMYFUNCTION("""COMPUTED_VALUE"""),251.0)</f>
        <v>251</v>
      </c>
      <c r="B1891" s="2" t="str">
        <f>IFERROR(__xludf.DUMMYFUNCTION("""COMPUTED_VALUE"""),"LAKSHMIPUR")</f>
        <v>LAKSHMIPUR</v>
      </c>
      <c r="C1891" s="4">
        <f>IFERROR(__xludf.DUMMYFUNCTION("""COMPUTED_VALUE"""),35.0)</f>
        <v>35</v>
      </c>
      <c r="D1891" s="2" t="str">
        <f>IFERROR(__xludf.DUMMYFUNCTION("""COMPUTED_VALUE"""),"BANGLADESH KRISHI BANK")</f>
        <v>BANGLADESH KRISHI BANK</v>
      </c>
      <c r="E1891" s="2" t="str">
        <f>IFERROR(__xludf.DUMMYFUNCTION("""COMPUTED_VALUE"""),"PODDAR BAZAR")</f>
        <v>PODDAR BAZAR</v>
      </c>
      <c r="F1891" s="4">
        <f>IFERROR(__xludf.DUMMYFUNCTION("""COMPUTED_VALUE"""),94.0)</f>
        <v>94</v>
      </c>
      <c r="G1891" s="5">
        <f>IFERROR(__xludf.DUMMYFUNCTION("""COMPUTED_VALUE"""),3.5510949E7)</f>
        <v>35510949</v>
      </c>
    </row>
    <row r="1892">
      <c r="A1892" s="3">
        <f>IFERROR(__xludf.DUMMYFUNCTION("""COMPUTED_VALUE"""),251.0)</f>
        <v>251</v>
      </c>
      <c r="B1892" s="2" t="str">
        <f>IFERROR(__xludf.DUMMYFUNCTION("""COMPUTED_VALUE"""),"LAKSHMIPUR")</f>
        <v>LAKSHMIPUR</v>
      </c>
      <c r="C1892" s="4">
        <f>IFERROR(__xludf.DUMMYFUNCTION("""COMPUTED_VALUE"""),35.0)</f>
        <v>35</v>
      </c>
      <c r="D1892" s="2" t="str">
        <f>IFERROR(__xludf.DUMMYFUNCTION("""COMPUTED_VALUE"""),"BANGLADESH KRISHI BANK")</f>
        <v>BANGLADESH KRISHI BANK</v>
      </c>
      <c r="E1892" s="2" t="str">
        <f>IFERROR(__xludf.DUMMYFUNCTION("""COMPUTED_VALUE"""),"RAIPUR")</f>
        <v>RAIPUR</v>
      </c>
      <c r="F1892" s="4">
        <f>IFERROR(__xludf.DUMMYFUNCTION("""COMPUTED_VALUE"""),97.0)</f>
        <v>97</v>
      </c>
      <c r="G1892" s="5">
        <f>IFERROR(__xludf.DUMMYFUNCTION("""COMPUTED_VALUE"""),3.5510978E7)</f>
        <v>35510978</v>
      </c>
    </row>
    <row r="1893">
      <c r="A1893" s="3">
        <f>IFERROR(__xludf.DUMMYFUNCTION("""COMPUTED_VALUE"""),251.0)</f>
        <v>251</v>
      </c>
      <c r="B1893" s="2" t="str">
        <f>IFERROR(__xludf.DUMMYFUNCTION("""COMPUTED_VALUE"""),"LAKSHMIPUR")</f>
        <v>LAKSHMIPUR</v>
      </c>
      <c r="C1893" s="4">
        <f>IFERROR(__xludf.DUMMYFUNCTION("""COMPUTED_VALUE"""),35.0)</f>
        <v>35</v>
      </c>
      <c r="D1893" s="2" t="str">
        <f>IFERROR(__xludf.DUMMYFUNCTION("""COMPUTED_VALUE"""),"BANGLADESH KRISHI BANK")</f>
        <v>BANGLADESH KRISHI BANK</v>
      </c>
      <c r="E1893" s="2" t="str">
        <f>IFERROR(__xludf.DUMMYFUNCTION("""COMPUTED_VALUE"""),"RAKHALIA BAZAR")</f>
        <v>RAKHALIA BAZAR</v>
      </c>
      <c r="F1893" s="4">
        <f>IFERROR(__xludf.DUMMYFUNCTION("""COMPUTED_VALUE"""),100.0)</f>
        <v>100</v>
      </c>
      <c r="G1893" s="5">
        <f>IFERROR(__xludf.DUMMYFUNCTION("""COMPUTED_VALUE"""),3.5511001E7)</f>
        <v>35511001</v>
      </c>
    </row>
    <row r="1894">
      <c r="A1894" s="3">
        <f>IFERROR(__xludf.DUMMYFUNCTION("""COMPUTED_VALUE"""),251.0)</f>
        <v>251</v>
      </c>
      <c r="B1894" s="2" t="str">
        <f>IFERROR(__xludf.DUMMYFUNCTION("""COMPUTED_VALUE"""),"LAKSHMIPUR")</f>
        <v>LAKSHMIPUR</v>
      </c>
      <c r="C1894" s="4">
        <f>IFERROR(__xludf.DUMMYFUNCTION("""COMPUTED_VALUE"""),35.0)</f>
        <v>35</v>
      </c>
      <c r="D1894" s="2" t="str">
        <f>IFERROR(__xludf.DUMMYFUNCTION("""COMPUTED_VALUE"""),"BANGLADESH KRISHI BANK")</f>
        <v>BANGLADESH KRISHI BANK</v>
      </c>
      <c r="E1894" s="2" t="str">
        <f>IFERROR(__xludf.DUMMYFUNCTION("""COMPUTED_VALUE"""),"RAMGANJ")</f>
        <v>RAMGANJ</v>
      </c>
      <c r="F1894" s="4">
        <f>IFERROR(__xludf.DUMMYFUNCTION("""COMPUTED_VALUE"""),103.0)</f>
        <v>103</v>
      </c>
      <c r="G1894" s="5">
        <f>IFERROR(__xludf.DUMMYFUNCTION("""COMPUTED_VALUE"""),3.551103E7)</f>
        <v>35511030</v>
      </c>
    </row>
    <row r="1895">
      <c r="A1895" s="3">
        <f>IFERROR(__xludf.DUMMYFUNCTION("""COMPUTED_VALUE"""),251.0)</f>
        <v>251</v>
      </c>
      <c r="B1895" s="2" t="str">
        <f>IFERROR(__xludf.DUMMYFUNCTION("""COMPUTED_VALUE"""),"LAKSHMIPUR")</f>
        <v>LAKSHMIPUR</v>
      </c>
      <c r="C1895" s="4">
        <f>IFERROR(__xludf.DUMMYFUNCTION("""COMPUTED_VALUE"""),35.0)</f>
        <v>35</v>
      </c>
      <c r="D1895" s="2" t="str">
        <f>IFERROR(__xludf.DUMMYFUNCTION("""COMPUTED_VALUE"""),"BANGLADESH KRISHI BANK")</f>
        <v>BANGLADESH KRISHI BANK</v>
      </c>
      <c r="E1895" s="2" t="str">
        <f>IFERROR(__xludf.DUMMYFUNCTION("""COMPUTED_VALUE"""),"TORABGANJ BAZAR")</f>
        <v>TORABGANJ BAZAR</v>
      </c>
      <c r="F1895" s="4">
        <f>IFERROR(__xludf.DUMMYFUNCTION("""COMPUTED_VALUE"""),118.0)</f>
        <v>118</v>
      </c>
      <c r="G1895" s="5">
        <f>IFERROR(__xludf.DUMMYFUNCTION("""COMPUTED_VALUE"""),3.551118E7)</f>
        <v>35511180</v>
      </c>
    </row>
    <row r="1896">
      <c r="A1896" s="3">
        <f>IFERROR(__xludf.DUMMYFUNCTION("""COMPUTED_VALUE"""),354.0)</f>
        <v>354</v>
      </c>
      <c r="B1896" s="2" t="str">
        <f>IFERROR(__xludf.DUMMYFUNCTION("""COMPUTED_VALUE"""),"MADARIPUR")</f>
        <v>MADARIPUR</v>
      </c>
      <c r="C1896" s="4">
        <f>IFERROR(__xludf.DUMMYFUNCTION("""COMPUTED_VALUE"""),35.0)</f>
        <v>35</v>
      </c>
      <c r="D1896" s="2" t="str">
        <f>IFERROR(__xludf.DUMMYFUNCTION("""COMPUTED_VALUE"""),"BANGLADESH KRISHI BANK")</f>
        <v>BANGLADESH KRISHI BANK</v>
      </c>
      <c r="E1896" s="2" t="str">
        <f>IFERROR(__xludf.DUMMYFUNCTION("""COMPUTED_VALUE"""),"BAJITPUR")</f>
        <v>BAJITPUR</v>
      </c>
      <c r="F1896" s="4">
        <f>IFERROR(__xludf.DUMMYFUNCTION("""COMPUTED_VALUE"""),4.0)</f>
        <v>4</v>
      </c>
      <c r="G1896" s="5">
        <f>IFERROR(__xludf.DUMMYFUNCTION("""COMPUTED_VALUE"""),3.5540043E7)</f>
        <v>35540043</v>
      </c>
    </row>
    <row r="1897">
      <c r="A1897" s="3">
        <f>IFERROR(__xludf.DUMMYFUNCTION("""COMPUTED_VALUE"""),354.0)</f>
        <v>354</v>
      </c>
      <c r="B1897" s="2" t="str">
        <f>IFERROR(__xludf.DUMMYFUNCTION("""COMPUTED_VALUE"""),"MADARIPUR")</f>
        <v>MADARIPUR</v>
      </c>
      <c r="C1897" s="4">
        <f>IFERROR(__xludf.DUMMYFUNCTION("""COMPUTED_VALUE"""),35.0)</f>
        <v>35</v>
      </c>
      <c r="D1897" s="2" t="str">
        <f>IFERROR(__xludf.DUMMYFUNCTION("""COMPUTED_VALUE"""),"BANGLADESH KRISHI BANK")</f>
        <v>BANGLADESH KRISHI BANK</v>
      </c>
      <c r="E1897" s="2" t="str">
        <f>IFERROR(__xludf.DUMMYFUNCTION("""COMPUTED_VALUE"""),"UTTAR RAMJANPUR HAT")</f>
        <v>UTTAR RAMJANPUR HAT</v>
      </c>
      <c r="F1897" s="4">
        <f>IFERROR(__xludf.DUMMYFUNCTION("""COMPUTED_VALUE"""),9.0)</f>
        <v>9</v>
      </c>
      <c r="G1897" s="5">
        <f>IFERROR(__xludf.DUMMYFUNCTION("""COMPUTED_VALUE"""),3.5540098E7)</f>
        <v>35540098</v>
      </c>
    </row>
    <row r="1898">
      <c r="A1898" s="3">
        <f>IFERROR(__xludf.DUMMYFUNCTION("""COMPUTED_VALUE"""),354.0)</f>
        <v>354</v>
      </c>
      <c r="B1898" s="2" t="str">
        <f>IFERROR(__xludf.DUMMYFUNCTION("""COMPUTED_VALUE"""),"MADARIPUR")</f>
        <v>MADARIPUR</v>
      </c>
      <c r="C1898" s="4">
        <f>IFERROR(__xludf.DUMMYFUNCTION("""COMPUTED_VALUE"""),35.0)</f>
        <v>35</v>
      </c>
      <c r="D1898" s="2" t="str">
        <f>IFERROR(__xludf.DUMMYFUNCTION("""COMPUTED_VALUE"""),"BANGLADESH KRISHI BANK")</f>
        <v>BANGLADESH KRISHI BANK</v>
      </c>
      <c r="E1898" s="2" t="str">
        <f>IFERROR(__xludf.DUMMYFUNCTION("""COMPUTED_VALUE"""),"CHANDERCHAR")</f>
        <v>CHANDERCHAR</v>
      </c>
      <c r="F1898" s="4">
        <f>IFERROR(__xludf.DUMMYFUNCTION("""COMPUTED_VALUE"""),10.0)</f>
        <v>10</v>
      </c>
      <c r="G1898" s="5">
        <f>IFERROR(__xludf.DUMMYFUNCTION("""COMPUTED_VALUE"""),3.5540106E7)</f>
        <v>35540106</v>
      </c>
    </row>
    <row r="1899">
      <c r="A1899" s="3">
        <f>IFERROR(__xludf.DUMMYFUNCTION("""COMPUTED_VALUE"""),354.0)</f>
        <v>354</v>
      </c>
      <c r="B1899" s="2" t="str">
        <f>IFERROR(__xludf.DUMMYFUNCTION("""COMPUTED_VALUE"""),"MADARIPUR")</f>
        <v>MADARIPUR</v>
      </c>
      <c r="C1899" s="4">
        <f>IFERROR(__xludf.DUMMYFUNCTION("""COMPUTED_VALUE"""),35.0)</f>
        <v>35</v>
      </c>
      <c r="D1899" s="2" t="str">
        <f>IFERROR(__xludf.DUMMYFUNCTION("""COMPUTED_VALUE"""),"BANGLADESH KRISHI BANK")</f>
        <v>BANGLADESH KRISHI BANK</v>
      </c>
      <c r="E1899" s="2" t="str">
        <f>IFERROR(__xludf.DUMMYFUNCTION("""COMPUTED_VALUE"""),"GHATOKCHAR BAZAR")</f>
        <v>GHATOKCHAR BAZAR</v>
      </c>
      <c r="F1899" s="4">
        <f>IFERROR(__xludf.DUMMYFUNCTION("""COMPUTED_VALUE"""),19.0)</f>
        <v>19</v>
      </c>
      <c r="G1899" s="5">
        <f>IFERROR(__xludf.DUMMYFUNCTION("""COMPUTED_VALUE"""),3.5540193E7)</f>
        <v>35540193</v>
      </c>
    </row>
    <row r="1900">
      <c r="A1900" s="3">
        <f>IFERROR(__xludf.DUMMYFUNCTION("""COMPUTED_VALUE"""),354.0)</f>
        <v>354</v>
      </c>
      <c r="B1900" s="2" t="str">
        <f>IFERROR(__xludf.DUMMYFUNCTION("""COMPUTED_VALUE"""),"MADARIPUR")</f>
        <v>MADARIPUR</v>
      </c>
      <c r="C1900" s="4">
        <f>IFERROR(__xludf.DUMMYFUNCTION("""COMPUTED_VALUE"""),35.0)</f>
        <v>35</v>
      </c>
      <c r="D1900" s="2" t="str">
        <f>IFERROR(__xludf.DUMMYFUNCTION("""COMPUTED_VALUE"""),"BANGLADESH KRISHI BANK")</f>
        <v>BANGLADESH KRISHI BANK</v>
      </c>
      <c r="E1900" s="2" t="str">
        <f>IFERROR(__xludf.DUMMYFUNCTION("""COMPUTED_VALUE"""),"GOPALPUR BAZAR")</f>
        <v>GOPALPUR BAZAR</v>
      </c>
      <c r="F1900" s="4">
        <f>IFERROR(__xludf.DUMMYFUNCTION("""COMPUTED_VALUE"""),22.0)</f>
        <v>22</v>
      </c>
      <c r="G1900" s="5">
        <f>IFERROR(__xludf.DUMMYFUNCTION("""COMPUTED_VALUE"""),3.5540227E7)</f>
        <v>35540227</v>
      </c>
    </row>
    <row r="1901">
      <c r="A1901" s="3">
        <f>IFERROR(__xludf.DUMMYFUNCTION("""COMPUTED_VALUE"""),354.0)</f>
        <v>354</v>
      </c>
      <c r="B1901" s="2" t="str">
        <f>IFERROR(__xludf.DUMMYFUNCTION("""COMPUTED_VALUE"""),"MADARIPUR")</f>
        <v>MADARIPUR</v>
      </c>
      <c r="C1901" s="4">
        <f>IFERROR(__xludf.DUMMYFUNCTION("""COMPUTED_VALUE"""),35.0)</f>
        <v>35</v>
      </c>
      <c r="D1901" s="2" t="str">
        <f>IFERROR(__xludf.DUMMYFUNCTION("""COMPUTED_VALUE"""),"BANGLADESH KRISHI BANK")</f>
        <v>BANGLADESH KRISHI BANK</v>
      </c>
      <c r="E1901" s="2" t="str">
        <f>IFERROR(__xludf.DUMMYFUNCTION("""COMPUTED_VALUE"""),"KALIR BAZAR")</f>
        <v>KALIR BAZAR</v>
      </c>
      <c r="F1901" s="4">
        <f>IFERROR(__xludf.DUMMYFUNCTION("""COMPUTED_VALUE"""),25.0)</f>
        <v>25</v>
      </c>
      <c r="G1901" s="5">
        <f>IFERROR(__xludf.DUMMYFUNCTION("""COMPUTED_VALUE"""),3.5540256E7)</f>
        <v>35540256</v>
      </c>
    </row>
    <row r="1902">
      <c r="A1902" s="3">
        <f>IFERROR(__xludf.DUMMYFUNCTION("""COMPUTED_VALUE"""),354.0)</f>
        <v>354</v>
      </c>
      <c r="B1902" s="2" t="str">
        <f>IFERROR(__xludf.DUMMYFUNCTION("""COMPUTED_VALUE"""),"MADARIPUR")</f>
        <v>MADARIPUR</v>
      </c>
      <c r="C1902" s="4">
        <f>IFERROR(__xludf.DUMMYFUNCTION("""COMPUTED_VALUE"""),35.0)</f>
        <v>35</v>
      </c>
      <c r="D1902" s="2" t="str">
        <f>IFERROR(__xludf.DUMMYFUNCTION("""COMPUTED_VALUE"""),"BANGLADESH KRISHI BANK")</f>
        <v>BANGLADESH KRISHI BANK</v>
      </c>
      <c r="E1902" s="2" t="str">
        <f>IFERROR(__xludf.DUMMYFUNCTION("""COMPUTED_VALUE"""),"KALKINI")</f>
        <v>KALKINI</v>
      </c>
      <c r="F1902" s="4">
        <f>IFERROR(__xludf.DUMMYFUNCTION("""COMPUTED_VALUE"""),28.0)</f>
        <v>28</v>
      </c>
      <c r="G1902" s="5">
        <f>IFERROR(__xludf.DUMMYFUNCTION("""COMPUTED_VALUE"""),3.5540285E7)</f>
        <v>35540285</v>
      </c>
    </row>
    <row r="1903">
      <c r="A1903" s="3">
        <f>IFERROR(__xludf.DUMMYFUNCTION("""COMPUTED_VALUE"""),354.0)</f>
        <v>354</v>
      </c>
      <c r="B1903" s="2" t="str">
        <f>IFERROR(__xludf.DUMMYFUNCTION("""COMPUTED_VALUE"""),"MADARIPUR")</f>
        <v>MADARIPUR</v>
      </c>
      <c r="C1903" s="4">
        <f>IFERROR(__xludf.DUMMYFUNCTION("""COMPUTED_VALUE"""),35.0)</f>
        <v>35</v>
      </c>
      <c r="D1903" s="2" t="str">
        <f>IFERROR(__xludf.DUMMYFUNCTION("""COMPUTED_VALUE"""),"BANGLADESH KRISHI BANK")</f>
        <v>BANGLADESH KRISHI BANK</v>
      </c>
      <c r="E1903" s="2" t="str">
        <f>IFERROR(__xludf.DUMMYFUNCTION("""COMPUTED_VALUE"""),"KASHER HAT")</f>
        <v>KASHER HAT</v>
      </c>
      <c r="F1903" s="4">
        <f>IFERROR(__xludf.DUMMYFUNCTION("""COMPUTED_VALUE"""),31.0)</f>
        <v>31</v>
      </c>
      <c r="G1903" s="5">
        <f>IFERROR(__xludf.DUMMYFUNCTION("""COMPUTED_VALUE"""),3.5540319E7)</f>
        <v>35540319</v>
      </c>
    </row>
    <row r="1904">
      <c r="A1904" s="3">
        <f>IFERROR(__xludf.DUMMYFUNCTION("""COMPUTED_VALUE"""),354.0)</f>
        <v>354</v>
      </c>
      <c r="B1904" s="2" t="str">
        <f>IFERROR(__xludf.DUMMYFUNCTION("""COMPUTED_VALUE"""),"MADARIPUR")</f>
        <v>MADARIPUR</v>
      </c>
      <c r="C1904" s="4">
        <f>IFERROR(__xludf.DUMMYFUNCTION("""COMPUTED_VALUE"""),35.0)</f>
        <v>35</v>
      </c>
      <c r="D1904" s="2" t="str">
        <f>IFERROR(__xludf.DUMMYFUNCTION("""COMPUTED_VALUE"""),"BANGLADESH KRISHI BANK")</f>
        <v>BANGLADESH KRISHI BANK</v>
      </c>
      <c r="E1904" s="2" t="str">
        <f>IFERROR(__xludf.DUMMYFUNCTION("""COMPUTED_VALUE"""),"MADARIPUR")</f>
        <v>MADARIPUR</v>
      </c>
      <c r="F1904" s="4">
        <f>IFERROR(__xludf.DUMMYFUNCTION("""COMPUTED_VALUE"""),40.0)</f>
        <v>40</v>
      </c>
      <c r="G1904" s="5">
        <f>IFERROR(__xludf.DUMMYFUNCTION("""COMPUTED_VALUE"""),3.5540401E7)</f>
        <v>35540401</v>
      </c>
    </row>
    <row r="1905">
      <c r="A1905" s="3">
        <f>IFERROR(__xludf.DUMMYFUNCTION("""COMPUTED_VALUE"""),354.0)</f>
        <v>354</v>
      </c>
      <c r="B1905" s="2" t="str">
        <f>IFERROR(__xludf.DUMMYFUNCTION("""COMPUTED_VALUE"""),"MADARIPUR")</f>
        <v>MADARIPUR</v>
      </c>
      <c r="C1905" s="4">
        <f>IFERROR(__xludf.DUMMYFUNCTION("""COMPUTED_VALUE"""),35.0)</f>
        <v>35</v>
      </c>
      <c r="D1905" s="2" t="str">
        <f>IFERROR(__xludf.DUMMYFUNCTION("""COMPUTED_VALUE"""),"BANGLADESH KRISHI BANK")</f>
        <v>BANGLADESH KRISHI BANK</v>
      </c>
      <c r="E1905" s="2" t="str">
        <f>IFERROR(__xludf.DUMMYFUNCTION("""COMPUTED_VALUE"""),"MATHER BAZAR")</f>
        <v>MATHER BAZAR</v>
      </c>
      <c r="F1905" s="4">
        <f>IFERROR(__xludf.DUMMYFUNCTION("""COMPUTED_VALUE"""),49.0)</f>
        <v>49</v>
      </c>
      <c r="G1905" s="5">
        <f>IFERROR(__xludf.DUMMYFUNCTION("""COMPUTED_VALUE"""),3.5540498E7)</f>
        <v>35540498</v>
      </c>
    </row>
    <row r="1906">
      <c r="A1906" s="3">
        <f>IFERROR(__xludf.DUMMYFUNCTION("""COMPUTED_VALUE"""),354.0)</f>
        <v>354</v>
      </c>
      <c r="B1906" s="2" t="str">
        <f>IFERROR(__xludf.DUMMYFUNCTION("""COMPUTED_VALUE"""),"MADARIPUR")</f>
        <v>MADARIPUR</v>
      </c>
      <c r="C1906" s="4">
        <f>IFERROR(__xludf.DUMMYFUNCTION("""COMPUTED_VALUE"""),35.0)</f>
        <v>35</v>
      </c>
      <c r="D1906" s="2" t="str">
        <f>IFERROR(__xludf.DUMMYFUNCTION("""COMPUTED_VALUE"""),"BANGLADESH KRISHI BANK")</f>
        <v>BANGLADESH KRISHI BANK</v>
      </c>
      <c r="E1906" s="2" t="str">
        <f>IFERROR(__xludf.DUMMYFUNCTION("""COMPUTED_VALUE"""),"PANCHOR BAZAR")</f>
        <v>PANCHOR BAZAR</v>
      </c>
      <c r="F1906" s="4">
        <f>IFERROR(__xludf.DUMMYFUNCTION("""COMPUTED_VALUE"""),61.0)</f>
        <v>61</v>
      </c>
      <c r="G1906" s="5">
        <f>IFERROR(__xludf.DUMMYFUNCTION("""COMPUTED_VALUE"""),3.5540614E7)</f>
        <v>35540614</v>
      </c>
    </row>
    <row r="1907">
      <c r="A1907" s="3">
        <f>IFERROR(__xludf.DUMMYFUNCTION("""COMPUTED_VALUE"""),354.0)</f>
        <v>354</v>
      </c>
      <c r="B1907" s="2" t="str">
        <f>IFERROR(__xludf.DUMMYFUNCTION("""COMPUTED_VALUE"""),"MADARIPUR")</f>
        <v>MADARIPUR</v>
      </c>
      <c r="C1907" s="4">
        <f>IFERROR(__xludf.DUMMYFUNCTION("""COMPUTED_VALUE"""),35.0)</f>
        <v>35</v>
      </c>
      <c r="D1907" s="2" t="str">
        <f>IFERROR(__xludf.DUMMYFUNCTION("""COMPUTED_VALUE"""),"BANGLADESH KRISHI BANK")</f>
        <v>BANGLADESH KRISHI BANK</v>
      </c>
      <c r="E1907" s="2" t="str">
        <f>IFERROR(__xludf.DUMMYFUNCTION("""COMPUTED_VALUE"""),"RAJOIR")</f>
        <v>RAJOIR</v>
      </c>
      <c r="F1907" s="4">
        <f>IFERROR(__xludf.DUMMYFUNCTION("""COMPUTED_VALUE"""),64.0)</f>
        <v>64</v>
      </c>
      <c r="G1907" s="5">
        <f>IFERROR(__xludf.DUMMYFUNCTION("""COMPUTED_VALUE"""),3.5540643E7)</f>
        <v>35540643</v>
      </c>
    </row>
    <row r="1908">
      <c r="A1908" s="3">
        <f>IFERROR(__xludf.DUMMYFUNCTION("""COMPUTED_VALUE"""),354.0)</f>
        <v>354</v>
      </c>
      <c r="B1908" s="2" t="str">
        <f>IFERROR(__xludf.DUMMYFUNCTION("""COMPUTED_VALUE"""),"MADARIPUR")</f>
        <v>MADARIPUR</v>
      </c>
      <c r="C1908" s="4">
        <f>IFERROR(__xludf.DUMMYFUNCTION("""COMPUTED_VALUE"""),35.0)</f>
        <v>35</v>
      </c>
      <c r="D1908" s="2" t="str">
        <f>IFERROR(__xludf.DUMMYFUNCTION("""COMPUTED_VALUE"""),"BANGLADESH KRISHI BANK")</f>
        <v>BANGLADESH KRISHI BANK</v>
      </c>
      <c r="E1908" s="2" t="str">
        <f>IFERROR(__xludf.DUMMYFUNCTION("""COMPUTED_VALUE"""),"SHAHEBRAMPUR")</f>
        <v>SHAHEBRAMPUR</v>
      </c>
      <c r="F1908" s="4">
        <f>IFERROR(__xludf.DUMMYFUNCTION("""COMPUTED_VALUE"""),67.0)</f>
        <v>67</v>
      </c>
      <c r="G1908" s="5">
        <f>IFERROR(__xludf.DUMMYFUNCTION("""COMPUTED_VALUE"""),3.5540672E7)</f>
        <v>35540672</v>
      </c>
    </row>
    <row r="1909">
      <c r="A1909" s="3">
        <f>IFERROR(__xludf.DUMMYFUNCTION("""COMPUTED_VALUE"""),354.0)</f>
        <v>354</v>
      </c>
      <c r="B1909" s="2" t="str">
        <f>IFERROR(__xludf.DUMMYFUNCTION("""COMPUTED_VALUE"""),"MADARIPUR")</f>
        <v>MADARIPUR</v>
      </c>
      <c r="C1909" s="4">
        <f>IFERROR(__xludf.DUMMYFUNCTION("""COMPUTED_VALUE"""),35.0)</f>
        <v>35</v>
      </c>
      <c r="D1909" s="2" t="str">
        <f>IFERROR(__xludf.DUMMYFUNCTION("""COMPUTED_VALUE"""),"BANGLADESH KRISHI BANK")</f>
        <v>BANGLADESH KRISHI BANK</v>
      </c>
      <c r="E1909" s="2" t="str">
        <f>IFERROR(__xludf.DUMMYFUNCTION("""COMPUTED_VALUE"""),"SHIBCHAR")</f>
        <v>SHIBCHAR</v>
      </c>
      <c r="F1909" s="4">
        <f>IFERROR(__xludf.DUMMYFUNCTION("""COMPUTED_VALUE"""),70.0)</f>
        <v>70</v>
      </c>
      <c r="G1909" s="5">
        <f>IFERROR(__xludf.DUMMYFUNCTION("""COMPUTED_VALUE"""),3.5540706E7)</f>
        <v>35540706</v>
      </c>
    </row>
    <row r="1910">
      <c r="A1910" s="3">
        <f>IFERROR(__xludf.DUMMYFUNCTION("""COMPUTED_VALUE"""),354.0)</f>
        <v>354</v>
      </c>
      <c r="B1910" s="2" t="str">
        <f>IFERROR(__xludf.DUMMYFUNCTION("""COMPUTED_VALUE"""),"MADARIPUR")</f>
        <v>MADARIPUR</v>
      </c>
      <c r="C1910" s="4">
        <f>IFERROR(__xludf.DUMMYFUNCTION("""COMPUTED_VALUE"""),35.0)</f>
        <v>35</v>
      </c>
      <c r="D1910" s="2" t="str">
        <f>IFERROR(__xludf.DUMMYFUNCTION("""COMPUTED_VALUE"""),"BANGLADESH KRISHI BANK")</f>
        <v>BANGLADESH KRISHI BANK</v>
      </c>
      <c r="E1910" s="2" t="str">
        <f>IFERROR(__xludf.DUMMYFUNCTION("""COMPUTED_VALUE"""),"TATIKANDA BAZAR")</f>
        <v>TATIKANDA BAZAR</v>
      </c>
      <c r="F1910" s="4">
        <f>IFERROR(__xludf.DUMMYFUNCTION("""COMPUTED_VALUE"""),78.0)</f>
        <v>78</v>
      </c>
      <c r="G1910" s="5">
        <f>IFERROR(__xludf.DUMMYFUNCTION("""COMPUTED_VALUE"""),3.554078E7)</f>
        <v>35540780</v>
      </c>
    </row>
    <row r="1911">
      <c r="A1911" s="3">
        <f>IFERROR(__xludf.DUMMYFUNCTION("""COMPUTED_VALUE"""),354.0)</f>
        <v>354</v>
      </c>
      <c r="B1911" s="2" t="str">
        <f>IFERROR(__xludf.DUMMYFUNCTION("""COMPUTED_VALUE"""),"MADARIPUR")</f>
        <v>MADARIPUR</v>
      </c>
      <c r="C1911" s="4">
        <f>IFERROR(__xludf.DUMMYFUNCTION("""COMPUTED_VALUE"""),35.0)</f>
        <v>35</v>
      </c>
      <c r="D1911" s="2" t="str">
        <f>IFERROR(__xludf.DUMMYFUNCTION("""COMPUTED_VALUE"""),"BANGLADESH KRISHI BANK")</f>
        <v>BANGLADESH KRISHI BANK</v>
      </c>
      <c r="E1911" s="2" t="str">
        <f>IFERROR(__xludf.DUMMYFUNCTION("""COMPUTED_VALUE"""),"UTRAIL HAT")</f>
        <v>UTRAIL HAT</v>
      </c>
      <c r="F1911" s="4">
        <f>IFERROR(__xludf.DUMMYFUNCTION("""COMPUTED_VALUE"""),82.0)</f>
        <v>82</v>
      </c>
      <c r="G1911" s="5">
        <f>IFERROR(__xludf.DUMMYFUNCTION("""COMPUTED_VALUE"""),3.5540827E7)</f>
        <v>35540827</v>
      </c>
    </row>
    <row r="1912">
      <c r="A1912" s="3">
        <f>IFERROR(__xludf.DUMMYFUNCTION("""COMPUTED_VALUE"""),455.0)</f>
        <v>455</v>
      </c>
      <c r="B1912" s="2" t="str">
        <f>IFERROR(__xludf.DUMMYFUNCTION("""COMPUTED_VALUE"""),"MAGURA")</f>
        <v>MAGURA</v>
      </c>
      <c r="C1912" s="4">
        <f>IFERROR(__xludf.DUMMYFUNCTION("""COMPUTED_VALUE"""),35.0)</f>
        <v>35</v>
      </c>
      <c r="D1912" s="2" t="str">
        <f>IFERROR(__xludf.DUMMYFUNCTION("""COMPUTED_VALUE"""),"BANGLADESH KRISHI BANK")</f>
        <v>BANGLADESH KRISHI BANK</v>
      </c>
      <c r="E1912" s="2" t="str">
        <f>IFERROR(__xludf.DUMMYFUNCTION("""COMPUTED_VALUE"""),"ALAMKHALI BAZAR")</f>
        <v>ALAMKHALI BAZAR</v>
      </c>
      <c r="F1912" s="4">
        <f>IFERROR(__xludf.DUMMYFUNCTION("""COMPUTED_VALUE"""),4.0)</f>
        <v>4</v>
      </c>
      <c r="G1912" s="5">
        <f>IFERROR(__xludf.DUMMYFUNCTION("""COMPUTED_VALUE"""),3.5550046E7)</f>
        <v>35550046</v>
      </c>
    </row>
    <row r="1913">
      <c r="A1913" s="3">
        <f>IFERROR(__xludf.DUMMYFUNCTION("""COMPUTED_VALUE"""),455.0)</f>
        <v>455</v>
      </c>
      <c r="B1913" s="2" t="str">
        <f>IFERROR(__xludf.DUMMYFUNCTION("""COMPUTED_VALUE"""),"MAGURA")</f>
        <v>MAGURA</v>
      </c>
      <c r="C1913" s="4">
        <f>IFERROR(__xludf.DUMMYFUNCTION("""COMPUTED_VALUE"""),35.0)</f>
        <v>35</v>
      </c>
      <c r="D1913" s="2" t="str">
        <f>IFERROR(__xludf.DUMMYFUNCTION("""COMPUTED_VALUE"""),"BANGLADESH KRISHI BANK")</f>
        <v>BANGLADESH KRISHI BANK</v>
      </c>
      <c r="E1913" s="2" t="str">
        <f>IFERROR(__xludf.DUMMYFUNCTION("""COMPUTED_VALUE"""),"ALUKDIA")</f>
        <v>ALUKDIA</v>
      </c>
      <c r="F1913" s="4">
        <f>IFERROR(__xludf.DUMMYFUNCTION("""COMPUTED_VALUE"""),7.0)</f>
        <v>7</v>
      </c>
      <c r="G1913" s="5">
        <f>IFERROR(__xludf.DUMMYFUNCTION("""COMPUTED_VALUE"""),3.5550075E7)</f>
        <v>35550075</v>
      </c>
    </row>
    <row r="1914">
      <c r="A1914" s="3">
        <f>IFERROR(__xludf.DUMMYFUNCTION("""COMPUTED_VALUE"""),455.0)</f>
        <v>455</v>
      </c>
      <c r="B1914" s="2" t="str">
        <f>IFERROR(__xludf.DUMMYFUNCTION("""COMPUTED_VALUE"""),"MAGURA")</f>
        <v>MAGURA</v>
      </c>
      <c r="C1914" s="4">
        <f>IFERROR(__xludf.DUMMYFUNCTION("""COMPUTED_VALUE"""),35.0)</f>
        <v>35</v>
      </c>
      <c r="D1914" s="2" t="str">
        <f>IFERROR(__xludf.DUMMYFUNCTION("""COMPUTED_VALUE"""),"BANGLADESH KRISHI BANK")</f>
        <v>BANGLADESH KRISHI BANK</v>
      </c>
      <c r="E1914" s="2" t="str">
        <f>IFERROR(__xludf.DUMMYFUNCTION("""COMPUTED_VALUE"""),"AMURIA BAZAR")</f>
        <v>AMURIA BAZAR</v>
      </c>
      <c r="F1914" s="4">
        <f>IFERROR(__xludf.DUMMYFUNCTION("""COMPUTED_VALUE"""),10.0)</f>
        <v>10</v>
      </c>
      <c r="G1914" s="5">
        <f>IFERROR(__xludf.DUMMYFUNCTION("""COMPUTED_VALUE"""),3.5550109E7)</f>
        <v>35550109</v>
      </c>
    </row>
    <row r="1915">
      <c r="A1915" s="3">
        <f>IFERROR(__xludf.DUMMYFUNCTION("""COMPUTED_VALUE"""),455.0)</f>
        <v>455</v>
      </c>
      <c r="B1915" s="2" t="str">
        <f>IFERROR(__xludf.DUMMYFUNCTION("""COMPUTED_VALUE"""),"MAGURA")</f>
        <v>MAGURA</v>
      </c>
      <c r="C1915" s="4">
        <f>IFERROR(__xludf.DUMMYFUNCTION("""COMPUTED_VALUE"""),35.0)</f>
        <v>35</v>
      </c>
      <c r="D1915" s="2" t="str">
        <f>IFERROR(__xludf.DUMMYFUNCTION("""COMPUTED_VALUE"""),"BANGLADESH KRISHI BANK")</f>
        <v>BANGLADESH KRISHI BANK</v>
      </c>
      <c r="E1915" s="2" t="str">
        <f>IFERROR(__xludf.DUMMYFUNCTION("""COMPUTED_VALUE"""),"ARPARA")</f>
        <v>ARPARA</v>
      </c>
      <c r="F1915" s="4">
        <f>IFERROR(__xludf.DUMMYFUNCTION("""COMPUTED_VALUE"""),13.0)</f>
        <v>13</v>
      </c>
      <c r="G1915" s="5">
        <f>IFERROR(__xludf.DUMMYFUNCTION("""COMPUTED_VALUE"""),3.5550138E7)</f>
        <v>35550138</v>
      </c>
    </row>
    <row r="1916">
      <c r="A1916" s="3">
        <f>IFERROR(__xludf.DUMMYFUNCTION("""COMPUTED_VALUE"""),455.0)</f>
        <v>455</v>
      </c>
      <c r="B1916" s="2" t="str">
        <f>IFERROR(__xludf.DUMMYFUNCTION("""COMPUTED_VALUE"""),"MAGURA")</f>
        <v>MAGURA</v>
      </c>
      <c r="C1916" s="4">
        <f>IFERROR(__xludf.DUMMYFUNCTION("""COMPUTED_VALUE"""),35.0)</f>
        <v>35</v>
      </c>
      <c r="D1916" s="2" t="str">
        <f>IFERROR(__xludf.DUMMYFUNCTION("""COMPUTED_VALUE"""),"BANGLADESH KRISHI BANK")</f>
        <v>BANGLADESH KRISHI BANK</v>
      </c>
      <c r="E1916" s="2" t="str">
        <f>IFERROR(__xludf.DUMMYFUNCTION("""COMPUTED_VALUE"""),"BHABONHAT BAZAR")</f>
        <v>BHABONHAT BAZAR</v>
      </c>
      <c r="F1916" s="4">
        <f>IFERROR(__xludf.DUMMYFUNCTION("""COMPUTED_VALUE"""),19.0)</f>
        <v>19</v>
      </c>
      <c r="G1916" s="5">
        <f>IFERROR(__xludf.DUMMYFUNCTION("""COMPUTED_VALUE"""),3.5550196E7)</f>
        <v>35550196</v>
      </c>
    </row>
    <row r="1917">
      <c r="A1917" s="3">
        <f>IFERROR(__xludf.DUMMYFUNCTION("""COMPUTED_VALUE"""),455.0)</f>
        <v>455</v>
      </c>
      <c r="B1917" s="2" t="str">
        <f>IFERROR(__xludf.DUMMYFUNCTION("""COMPUTED_VALUE"""),"MAGURA")</f>
        <v>MAGURA</v>
      </c>
      <c r="C1917" s="4">
        <f>IFERROR(__xludf.DUMMYFUNCTION("""COMPUTED_VALUE"""),35.0)</f>
        <v>35</v>
      </c>
      <c r="D1917" s="2" t="str">
        <f>IFERROR(__xludf.DUMMYFUNCTION("""COMPUTED_VALUE"""),"BANGLADESH KRISHI BANK")</f>
        <v>BANGLADESH KRISHI BANK</v>
      </c>
      <c r="E1917" s="2" t="str">
        <f>IFERROR(__xludf.DUMMYFUNCTION("""COMPUTED_VALUE"""),"BINODPUR")</f>
        <v>BINODPUR</v>
      </c>
      <c r="F1917" s="4">
        <f>IFERROR(__xludf.DUMMYFUNCTION("""COMPUTED_VALUE"""),22.0)</f>
        <v>22</v>
      </c>
      <c r="G1917" s="5">
        <f>IFERROR(__xludf.DUMMYFUNCTION("""COMPUTED_VALUE"""),3.555022E7)</f>
        <v>35550220</v>
      </c>
    </row>
    <row r="1918">
      <c r="A1918" s="3">
        <f>IFERROR(__xludf.DUMMYFUNCTION("""COMPUTED_VALUE"""),455.0)</f>
        <v>455</v>
      </c>
      <c r="B1918" s="2" t="str">
        <f>IFERROR(__xludf.DUMMYFUNCTION("""COMPUTED_VALUE"""),"MAGURA")</f>
        <v>MAGURA</v>
      </c>
      <c r="C1918" s="4">
        <f>IFERROR(__xludf.DUMMYFUNCTION("""COMPUTED_VALUE"""),35.0)</f>
        <v>35</v>
      </c>
      <c r="D1918" s="2" t="str">
        <f>IFERROR(__xludf.DUMMYFUNCTION("""COMPUTED_VALUE"""),"BANGLADESH KRISHI BANK")</f>
        <v>BANGLADESH KRISHI BANK</v>
      </c>
      <c r="E1918" s="2" t="str">
        <f>IFERROR(__xludf.DUMMYFUNCTION("""COMPUTED_VALUE"""),"DAXIN MIRZAPUR")</f>
        <v>DAXIN MIRZAPUR</v>
      </c>
      <c r="F1918" s="4">
        <f>IFERROR(__xludf.DUMMYFUNCTION("""COMPUTED_VALUE"""),31.0)</f>
        <v>31</v>
      </c>
      <c r="G1918" s="5">
        <f>IFERROR(__xludf.DUMMYFUNCTION("""COMPUTED_VALUE"""),3.5550312E7)</f>
        <v>35550312</v>
      </c>
    </row>
    <row r="1919">
      <c r="A1919" s="3">
        <f>IFERROR(__xludf.DUMMYFUNCTION("""COMPUTED_VALUE"""),455.0)</f>
        <v>455</v>
      </c>
      <c r="B1919" s="2" t="str">
        <f>IFERROR(__xludf.DUMMYFUNCTION("""COMPUTED_VALUE"""),"MAGURA")</f>
        <v>MAGURA</v>
      </c>
      <c r="C1919" s="4">
        <f>IFERROR(__xludf.DUMMYFUNCTION("""COMPUTED_VALUE"""),35.0)</f>
        <v>35</v>
      </c>
      <c r="D1919" s="2" t="str">
        <f>IFERROR(__xludf.DUMMYFUNCTION("""COMPUTED_VALUE"""),"BANGLADESH KRISHI BANK")</f>
        <v>BANGLADESH KRISHI BANK</v>
      </c>
      <c r="E1919" s="2" t="str">
        <f>IFERROR(__xludf.DUMMYFUNCTION("""COMPUTED_VALUE"""),"JOGDAL")</f>
        <v>JOGDAL</v>
      </c>
      <c r="F1919" s="4">
        <f>IFERROR(__xludf.DUMMYFUNCTION("""COMPUTED_VALUE"""),43.0)</f>
        <v>43</v>
      </c>
      <c r="G1919" s="5">
        <f>IFERROR(__xludf.DUMMYFUNCTION("""COMPUTED_VALUE"""),3.5550433E7)</f>
        <v>35550433</v>
      </c>
    </row>
    <row r="1920">
      <c r="A1920" s="3">
        <f>IFERROR(__xludf.DUMMYFUNCTION("""COMPUTED_VALUE"""),455.0)</f>
        <v>455</v>
      </c>
      <c r="B1920" s="2" t="str">
        <f>IFERROR(__xludf.DUMMYFUNCTION("""COMPUTED_VALUE"""),"MAGURA")</f>
        <v>MAGURA</v>
      </c>
      <c r="C1920" s="4">
        <f>IFERROR(__xludf.DUMMYFUNCTION("""COMPUTED_VALUE"""),35.0)</f>
        <v>35</v>
      </c>
      <c r="D1920" s="2" t="str">
        <f>IFERROR(__xludf.DUMMYFUNCTION("""COMPUTED_VALUE"""),"BANGLADESH KRISHI BANK")</f>
        <v>BANGLADESH KRISHI BANK</v>
      </c>
      <c r="E1920" s="2" t="str">
        <f>IFERROR(__xludf.DUMMYFUNCTION("""COMPUTED_VALUE"""),"LANGALBANDH")</f>
        <v>LANGALBANDH</v>
      </c>
      <c r="F1920" s="4">
        <f>IFERROR(__xludf.DUMMYFUNCTION("""COMPUTED_VALUE"""),52.0)</f>
        <v>52</v>
      </c>
      <c r="G1920" s="5">
        <f>IFERROR(__xludf.DUMMYFUNCTION("""COMPUTED_VALUE"""),3.5550525E7)</f>
        <v>35550525</v>
      </c>
    </row>
    <row r="1921">
      <c r="A1921" s="3">
        <f>IFERROR(__xludf.DUMMYFUNCTION("""COMPUTED_VALUE"""),455.0)</f>
        <v>455</v>
      </c>
      <c r="B1921" s="2" t="str">
        <f>IFERROR(__xludf.DUMMYFUNCTION("""COMPUTED_VALUE"""),"MAGURA")</f>
        <v>MAGURA</v>
      </c>
      <c r="C1921" s="4">
        <f>IFERROR(__xludf.DUMMYFUNCTION("""COMPUTED_VALUE"""),35.0)</f>
        <v>35</v>
      </c>
      <c r="D1921" s="2" t="str">
        <f>IFERROR(__xludf.DUMMYFUNCTION("""COMPUTED_VALUE"""),"BANGLADESH KRISHI BANK")</f>
        <v>BANGLADESH KRISHI BANK</v>
      </c>
      <c r="E1921" s="2" t="str">
        <f>IFERROR(__xludf.DUMMYFUNCTION("""COMPUTED_VALUE"""),"MAGURA")</f>
        <v>MAGURA</v>
      </c>
      <c r="F1921" s="4">
        <f>IFERROR(__xludf.DUMMYFUNCTION("""COMPUTED_VALUE"""),55.0)</f>
        <v>55</v>
      </c>
      <c r="G1921" s="5">
        <f>IFERROR(__xludf.DUMMYFUNCTION("""COMPUTED_VALUE"""),3.5550554E7)</f>
        <v>35550554</v>
      </c>
    </row>
    <row r="1922">
      <c r="A1922" s="3">
        <f>IFERROR(__xludf.DUMMYFUNCTION("""COMPUTED_VALUE"""),455.0)</f>
        <v>455</v>
      </c>
      <c r="B1922" s="2" t="str">
        <f>IFERROR(__xludf.DUMMYFUNCTION("""COMPUTED_VALUE"""),"MAGURA")</f>
        <v>MAGURA</v>
      </c>
      <c r="C1922" s="4">
        <f>IFERROR(__xludf.DUMMYFUNCTION("""COMPUTED_VALUE"""),35.0)</f>
        <v>35</v>
      </c>
      <c r="D1922" s="2" t="str">
        <f>IFERROR(__xludf.DUMMYFUNCTION("""COMPUTED_VALUE"""),"BANGLADESH KRISHI BANK")</f>
        <v>BANGLADESH KRISHI BANK</v>
      </c>
      <c r="E1922" s="2" t="str">
        <f>IFERROR(__xludf.DUMMYFUNCTION("""COMPUTED_VALUE"""),"MOHAMMADPUR")</f>
        <v>MOHAMMADPUR</v>
      </c>
      <c r="F1922" s="4">
        <f>IFERROR(__xludf.DUMMYFUNCTION("""COMPUTED_VALUE"""),61.0)</f>
        <v>61</v>
      </c>
      <c r="G1922" s="5">
        <f>IFERROR(__xludf.DUMMYFUNCTION("""COMPUTED_VALUE"""),3.5550617E7)</f>
        <v>35550617</v>
      </c>
    </row>
    <row r="1923">
      <c r="A1923" s="3">
        <f>IFERROR(__xludf.DUMMYFUNCTION("""COMPUTED_VALUE"""),455.0)</f>
        <v>455</v>
      </c>
      <c r="B1923" s="2" t="str">
        <f>IFERROR(__xludf.DUMMYFUNCTION("""COMPUTED_VALUE"""),"MAGURA")</f>
        <v>MAGURA</v>
      </c>
      <c r="C1923" s="4">
        <f>IFERROR(__xludf.DUMMYFUNCTION("""COMPUTED_VALUE"""),35.0)</f>
        <v>35</v>
      </c>
      <c r="D1923" s="2" t="str">
        <f>IFERROR(__xludf.DUMMYFUNCTION("""COMPUTED_VALUE"""),"BANGLADESH KRISHI BANK")</f>
        <v>BANGLADESH KRISHI BANK</v>
      </c>
      <c r="E1923" s="2" t="str">
        <f>IFERROR(__xludf.DUMMYFUNCTION("""COMPUTED_VALUE"""),"NAGRA BAZAR")</f>
        <v>NAGRA BAZAR</v>
      </c>
      <c r="F1923" s="4">
        <f>IFERROR(__xludf.DUMMYFUNCTION("""COMPUTED_VALUE"""),64.0)</f>
        <v>64</v>
      </c>
      <c r="G1923" s="5">
        <f>IFERROR(__xludf.DUMMYFUNCTION("""COMPUTED_VALUE"""),3.5550646E7)</f>
        <v>35550646</v>
      </c>
    </row>
    <row r="1924">
      <c r="A1924" s="3">
        <f>IFERROR(__xludf.DUMMYFUNCTION("""COMPUTED_VALUE"""),455.0)</f>
        <v>455</v>
      </c>
      <c r="B1924" s="2" t="str">
        <f>IFERROR(__xludf.DUMMYFUNCTION("""COMPUTED_VALUE"""),"MAGURA")</f>
        <v>MAGURA</v>
      </c>
      <c r="C1924" s="4">
        <f>IFERROR(__xludf.DUMMYFUNCTION("""COMPUTED_VALUE"""),35.0)</f>
        <v>35</v>
      </c>
      <c r="D1924" s="2" t="str">
        <f>IFERROR(__xludf.DUMMYFUNCTION("""COMPUTED_VALUE"""),"BANGLADESH KRISHI BANK")</f>
        <v>BANGLADESH KRISHI BANK</v>
      </c>
      <c r="E1924" s="2" t="str">
        <f>IFERROR(__xludf.DUMMYFUNCTION("""COMPUTED_VALUE"""),"RADHA NAGAR BAZAR")</f>
        <v>RADHA NAGAR BAZAR</v>
      </c>
      <c r="F1924" s="4">
        <f>IFERROR(__xludf.DUMMYFUNCTION("""COMPUTED_VALUE"""),76.0)</f>
        <v>76</v>
      </c>
      <c r="G1924" s="5">
        <f>IFERROR(__xludf.DUMMYFUNCTION("""COMPUTED_VALUE"""),3.5550767E7)</f>
        <v>35550767</v>
      </c>
    </row>
    <row r="1925">
      <c r="A1925" s="3">
        <f>IFERROR(__xludf.DUMMYFUNCTION("""COMPUTED_VALUE"""),455.0)</f>
        <v>455</v>
      </c>
      <c r="B1925" s="2" t="str">
        <f>IFERROR(__xludf.DUMMYFUNCTION("""COMPUTED_VALUE"""),"MAGURA")</f>
        <v>MAGURA</v>
      </c>
      <c r="C1925" s="4">
        <f>IFERROR(__xludf.DUMMYFUNCTION("""COMPUTED_VALUE"""),35.0)</f>
        <v>35</v>
      </c>
      <c r="D1925" s="2" t="str">
        <f>IFERROR(__xludf.DUMMYFUNCTION("""COMPUTED_VALUE"""),"BANGLADESH KRISHI BANK")</f>
        <v>BANGLADESH KRISHI BANK</v>
      </c>
      <c r="E1925" s="2" t="str">
        <f>IFERROR(__xludf.DUMMYFUNCTION("""COMPUTED_VALUE"""),"SACHILAPUR BAZAR")</f>
        <v>SACHILAPUR BAZAR</v>
      </c>
      <c r="F1925" s="4">
        <f>IFERROR(__xludf.DUMMYFUNCTION("""COMPUTED_VALUE"""),82.0)</f>
        <v>82</v>
      </c>
      <c r="G1925" s="5">
        <f>IFERROR(__xludf.DUMMYFUNCTION("""COMPUTED_VALUE"""),3.555082E7)</f>
        <v>35550820</v>
      </c>
    </row>
    <row r="1926">
      <c r="A1926" s="3">
        <f>IFERROR(__xludf.DUMMYFUNCTION("""COMPUTED_VALUE"""),455.0)</f>
        <v>455</v>
      </c>
      <c r="B1926" s="2" t="str">
        <f>IFERROR(__xludf.DUMMYFUNCTION("""COMPUTED_VALUE"""),"MAGURA")</f>
        <v>MAGURA</v>
      </c>
      <c r="C1926" s="4">
        <f>IFERROR(__xludf.DUMMYFUNCTION("""COMPUTED_VALUE"""),35.0)</f>
        <v>35</v>
      </c>
      <c r="D1926" s="2" t="str">
        <f>IFERROR(__xludf.DUMMYFUNCTION("""COMPUTED_VALUE"""),"BANGLADESH KRISHI BANK")</f>
        <v>BANGLADESH KRISHI BANK</v>
      </c>
      <c r="E1926" s="2" t="str">
        <f>IFERROR(__xludf.DUMMYFUNCTION("""COMPUTED_VALUE"""),"SATRUJITPUR")</f>
        <v>SATRUJITPUR</v>
      </c>
      <c r="F1926" s="4">
        <f>IFERROR(__xludf.DUMMYFUNCTION("""COMPUTED_VALUE"""),85.0)</f>
        <v>85</v>
      </c>
      <c r="G1926" s="5">
        <f>IFERROR(__xludf.DUMMYFUNCTION("""COMPUTED_VALUE"""),3.5550859E7)</f>
        <v>35550859</v>
      </c>
    </row>
    <row r="1927">
      <c r="A1927" s="3">
        <f>IFERROR(__xludf.DUMMYFUNCTION("""COMPUTED_VALUE"""),455.0)</f>
        <v>455</v>
      </c>
      <c r="B1927" s="2" t="str">
        <f>IFERROR(__xludf.DUMMYFUNCTION("""COMPUTED_VALUE"""),"MAGURA")</f>
        <v>MAGURA</v>
      </c>
      <c r="C1927" s="4">
        <f>IFERROR(__xludf.DUMMYFUNCTION("""COMPUTED_VALUE"""),35.0)</f>
        <v>35</v>
      </c>
      <c r="D1927" s="2" t="str">
        <f>IFERROR(__xludf.DUMMYFUNCTION("""COMPUTED_VALUE"""),"BANGLADESH KRISHI BANK")</f>
        <v>BANGLADESH KRISHI BANK</v>
      </c>
      <c r="E1927" s="2" t="str">
        <f>IFERROR(__xludf.DUMMYFUNCTION("""COMPUTED_VALUE"""),"SREEPUR")</f>
        <v>SREEPUR</v>
      </c>
      <c r="F1927" s="4">
        <f>IFERROR(__xludf.DUMMYFUNCTION("""COMPUTED_VALUE"""),97.0)</f>
        <v>97</v>
      </c>
      <c r="G1927" s="5">
        <f>IFERROR(__xludf.DUMMYFUNCTION("""COMPUTED_VALUE"""),3.555097E7)</f>
        <v>35550970</v>
      </c>
    </row>
    <row r="1928">
      <c r="A1928" s="3">
        <f>IFERROR(__xludf.DUMMYFUNCTION("""COMPUTED_VALUE"""),156.0)</f>
        <v>156</v>
      </c>
      <c r="B1928" s="2" t="str">
        <f>IFERROR(__xludf.DUMMYFUNCTION("""COMPUTED_VALUE"""),"MANIKGANJ")</f>
        <v>MANIKGANJ</v>
      </c>
      <c r="C1928" s="4">
        <f>IFERROR(__xludf.DUMMYFUNCTION("""COMPUTED_VALUE"""),35.0)</f>
        <v>35</v>
      </c>
      <c r="D1928" s="2" t="str">
        <f>IFERROR(__xludf.DUMMYFUNCTION("""COMPUTED_VALUE"""),"BANGLADESH KRISHI BANK")</f>
        <v>BANGLADESH KRISHI BANK</v>
      </c>
      <c r="E1928" s="2" t="str">
        <f>IFERROR(__xludf.DUMMYFUNCTION("""COMPUTED_VALUE"""),"BANIAJURI")</f>
        <v>BANIAJURI</v>
      </c>
      <c r="F1928" s="4">
        <f>IFERROR(__xludf.DUMMYFUNCTION("""COMPUTED_VALUE"""),13.0)</f>
        <v>13</v>
      </c>
      <c r="G1928" s="5">
        <f>IFERROR(__xludf.DUMMYFUNCTION("""COMPUTED_VALUE"""),3.5560131E7)</f>
        <v>35560131</v>
      </c>
    </row>
    <row r="1929">
      <c r="A1929" s="3">
        <f>IFERROR(__xludf.DUMMYFUNCTION("""COMPUTED_VALUE"""),156.0)</f>
        <v>156</v>
      </c>
      <c r="B1929" s="2" t="str">
        <f>IFERROR(__xludf.DUMMYFUNCTION("""COMPUTED_VALUE"""),"MANIKGANJ")</f>
        <v>MANIKGANJ</v>
      </c>
      <c r="C1929" s="4">
        <f>IFERROR(__xludf.DUMMYFUNCTION("""COMPUTED_VALUE"""),35.0)</f>
        <v>35</v>
      </c>
      <c r="D1929" s="2" t="str">
        <f>IFERROR(__xludf.DUMMYFUNCTION("""COMPUTED_VALUE"""),"BANGLADESH KRISHI BANK")</f>
        <v>BANGLADESH KRISHI BANK</v>
      </c>
      <c r="E1929" s="2" t="str">
        <f>IFERROR(__xludf.DUMMYFUNCTION("""COMPUTED_VALUE"""),"CHARIGRAM")</f>
        <v>CHARIGRAM</v>
      </c>
      <c r="F1929" s="4">
        <f>IFERROR(__xludf.DUMMYFUNCTION("""COMPUTED_VALUE"""),22.0)</f>
        <v>22</v>
      </c>
      <c r="G1929" s="5">
        <f>IFERROR(__xludf.DUMMYFUNCTION("""COMPUTED_VALUE"""),3.5560223E7)</f>
        <v>35560223</v>
      </c>
    </row>
    <row r="1930">
      <c r="A1930" s="3">
        <f>IFERROR(__xludf.DUMMYFUNCTION("""COMPUTED_VALUE"""),156.0)</f>
        <v>156</v>
      </c>
      <c r="B1930" s="2" t="str">
        <f>IFERROR(__xludf.DUMMYFUNCTION("""COMPUTED_VALUE"""),"MANIKGANJ")</f>
        <v>MANIKGANJ</v>
      </c>
      <c r="C1930" s="4">
        <f>IFERROR(__xludf.DUMMYFUNCTION("""COMPUTED_VALUE"""),35.0)</f>
        <v>35</v>
      </c>
      <c r="D1930" s="2" t="str">
        <f>IFERROR(__xludf.DUMMYFUNCTION("""COMPUTED_VALUE"""),"BANGLADESH KRISHI BANK")</f>
        <v>BANGLADESH KRISHI BANK</v>
      </c>
      <c r="E1930" s="2" t="str">
        <f>IFERROR(__xludf.DUMMYFUNCTION("""COMPUTED_VALUE"""),"DAULATPUR")</f>
        <v>DAULATPUR</v>
      </c>
      <c r="F1930" s="4">
        <f>IFERROR(__xludf.DUMMYFUNCTION("""COMPUTED_VALUE"""),28.0)</f>
        <v>28</v>
      </c>
      <c r="G1930" s="5">
        <f>IFERROR(__xludf.DUMMYFUNCTION("""COMPUTED_VALUE"""),3.5560281E7)</f>
        <v>35560281</v>
      </c>
    </row>
    <row r="1931">
      <c r="A1931" s="3">
        <f>IFERROR(__xludf.DUMMYFUNCTION("""COMPUTED_VALUE"""),156.0)</f>
        <v>156</v>
      </c>
      <c r="B1931" s="2" t="str">
        <f>IFERROR(__xludf.DUMMYFUNCTION("""COMPUTED_VALUE"""),"MANIKGANJ")</f>
        <v>MANIKGANJ</v>
      </c>
      <c r="C1931" s="4">
        <f>IFERROR(__xludf.DUMMYFUNCTION("""COMPUTED_VALUE"""),35.0)</f>
        <v>35</v>
      </c>
      <c r="D1931" s="2" t="str">
        <f>IFERROR(__xludf.DUMMYFUNCTION("""COMPUTED_VALUE"""),"BANGLADESH KRISHI BANK")</f>
        <v>BANGLADESH KRISHI BANK</v>
      </c>
      <c r="E1931" s="2" t="str">
        <f>IFERROR(__xludf.DUMMYFUNCTION("""COMPUTED_VALUE"""),"GHIOR")</f>
        <v>GHIOR</v>
      </c>
      <c r="F1931" s="4">
        <f>IFERROR(__xludf.DUMMYFUNCTION("""COMPUTED_VALUE"""),37.0)</f>
        <v>37</v>
      </c>
      <c r="G1931" s="5">
        <f>IFERROR(__xludf.DUMMYFUNCTION("""COMPUTED_VALUE"""),3.5560373E7)</f>
        <v>35560373</v>
      </c>
    </row>
    <row r="1932">
      <c r="A1932" s="3">
        <f>IFERROR(__xludf.DUMMYFUNCTION("""COMPUTED_VALUE"""),156.0)</f>
        <v>156</v>
      </c>
      <c r="B1932" s="2" t="str">
        <f>IFERROR(__xludf.DUMMYFUNCTION("""COMPUTED_VALUE"""),"MANIKGANJ")</f>
        <v>MANIKGANJ</v>
      </c>
      <c r="C1932" s="4">
        <f>IFERROR(__xludf.DUMMYFUNCTION("""COMPUTED_VALUE"""),35.0)</f>
        <v>35</v>
      </c>
      <c r="D1932" s="2" t="str">
        <f>IFERROR(__xludf.DUMMYFUNCTION("""COMPUTED_VALUE"""),"BANGLADESH KRISHI BANK")</f>
        <v>BANGLADESH KRISHI BANK</v>
      </c>
      <c r="E1932" s="2" t="str">
        <f>IFERROR(__xludf.DUMMYFUNCTION("""COMPUTED_VALUE"""),"HARGAJ")</f>
        <v>HARGAJ</v>
      </c>
      <c r="F1932" s="4">
        <f>IFERROR(__xludf.DUMMYFUNCTION("""COMPUTED_VALUE"""),40.0)</f>
        <v>40</v>
      </c>
      <c r="G1932" s="5">
        <f>IFERROR(__xludf.DUMMYFUNCTION("""COMPUTED_VALUE"""),3.5560407E7)</f>
        <v>35560407</v>
      </c>
    </row>
    <row r="1933">
      <c r="A1933" s="3">
        <f>IFERROR(__xludf.DUMMYFUNCTION("""COMPUTED_VALUE"""),156.0)</f>
        <v>156</v>
      </c>
      <c r="B1933" s="2" t="str">
        <f>IFERROR(__xludf.DUMMYFUNCTION("""COMPUTED_VALUE"""),"MANIKGANJ")</f>
        <v>MANIKGANJ</v>
      </c>
      <c r="C1933" s="4">
        <f>IFERROR(__xludf.DUMMYFUNCTION("""COMPUTED_VALUE"""),35.0)</f>
        <v>35</v>
      </c>
      <c r="D1933" s="2" t="str">
        <f>IFERROR(__xludf.DUMMYFUNCTION("""COMPUTED_VALUE"""),"BANGLADESH KRISHI BANK")</f>
        <v>BANGLADESH KRISHI BANK</v>
      </c>
      <c r="E1933" s="2" t="str">
        <f>IFERROR(__xludf.DUMMYFUNCTION("""COMPUTED_VALUE"""),"HARIRAMPUR")</f>
        <v>HARIRAMPUR</v>
      </c>
      <c r="F1933" s="4">
        <f>IFERROR(__xludf.DUMMYFUNCTION("""COMPUTED_VALUE"""),43.0)</f>
        <v>43</v>
      </c>
      <c r="G1933" s="5">
        <f>IFERROR(__xludf.DUMMYFUNCTION("""COMPUTED_VALUE"""),3.5560436E7)</f>
        <v>35560436</v>
      </c>
    </row>
    <row r="1934">
      <c r="A1934" s="3">
        <f>IFERROR(__xludf.DUMMYFUNCTION("""COMPUTED_VALUE"""),156.0)</f>
        <v>156</v>
      </c>
      <c r="B1934" s="2" t="str">
        <f>IFERROR(__xludf.DUMMYFUNCTION("""COMPUTED_VALUE"""),"MANIKGANJ")</f>
        <v>MANIKGANJ</v>
      </c>
      <c r="C1934" s="4">
        <f>IFERROR(__xludf.DUMMYFUNCTION("""COMPUTED_VALUE"""),35.0)</f>
        <v>35</v>
      </c>
      <c r="D1934" s="2" t="str">
        <f>IFERROR(__xludf.DUMMYFUNCTION("""COMPUTED_VALUE"""),"BANGLADESH KRISHI BANK")</f>
        <v>BANGLADESH KRISHI BANK</v>
      </c>
      <c r="E1934" s="2" t="str">
        <f>IFERROR(__xludf.DUMMYFUNCTION("""COMPUTED_VALUE"""),"JAGIR")</f>
        <v>JAGIR</v>
      </c>
      <c r="F1934" s="4">
        <f>IFERROR(__xludf.DUMMYFUNCTION("""COMPUTED_VALUE"""),46.0)</f>
        <v>46</v>
      </c>
      <c r="G1934" s="5">
        <f>IFERROR(__xludf.DUMMYFUNCTION("""COMPUTED_VALUE"""),3.5560465E7)</f>
        <v>35560465</v>
      </c>
    </row>
    <row r="1935">
      <c r="A1935" s="3">
        <f>IFERROR(__xludf.DUMMYFUNCTION("""COMPUTED_VALUE"""),156.0)</f>
        <v>156</v>
      </c>
      <c r="B1935" s="2" t="str">
        <f>IFERROR(__xludf.DUMMYFUNCTION("""COMPUTED_VALUE"""),"MANIKGANJ")</f>
        <v>MANIKGANJ</v>
      </c>
      <c r="C1935" s="4">
        <f>IFERROR(__xludf.DUMMYFUNCTION("""COMPUTED_VALUE"""),35.0)</f>
        <v>35</v>
      </c>
      <c r="D1935" s="2" t="str">
        <f>IFERROR(__xludf.DUMMYFUNCTION("""COMPUTED_VALUE"""),"BANGLADESH KRISHI BANK")</f>
        <v>BANGLADESH KRISHI BANK</v>
      </c>
      <c r="E1935" s="2" t="str">
        <f>IFERROR(__xludf.DUMMYFUNCTION("""COMPUTED_VALUE"""),"JHITKA")</f>
        <v>JHITKA</v>
      </c>
      <c r="F1935" s="4">
        <f>IFERROR(__xludf.DUMMYFUNCTION("""COMPUTED_VALUE"""),52.0)</f>
        <v>52</v>
      </c>
      <c r="G1935" s="5">
        <f>IFERROR(__xludf.DUMMYFUNCTION("""COMPUTED_VALUE"""),3.5560528E7)</f>
        <v>35560528</v>
      </c>
    </row>
    <row r="1936">
      <c r="A1936" s="3">
        <f>IFERROR(__xludf.DUMMYFUNCTION("""COMPUTED_VALUE"""),156.0)</f>
        <v>156</v>
      </c>
      <c r="B1936" s="2" t="str">
        <f>IFERROR(__xludf.DUMMYFUNCTION("""COMPUTED_VALUE"""),"MANIKGANJ")</f>
        <v>MANIKGANJ</v>
      </c>
      <c r="C1936" s="4">
        <f>IFERROR(__xludf.DUMMYFUNCTION("""COMPUTED_VALUE"""),35.0)</f>
        <v>35</v>
      </c>
      <c r="D1936" s="2" t="str">
        <f>IFERROR(__xludf.DUMMYFUNCTION("""COMPUTED_VALUE"""),"BANGLADESH KRISHI BANK")</f>
        <v>BANGLADESH KRISHI BANK</v>
      </c>
      <c r="E1936" s="2" t="str">
        <f>IFERROR(__xludf.DUMMYFUNCTION("""COMPUTED_VALUE"""),"JOYMONTAP")</f>
        <v>JOYMONTAP</v>
      </c>
      <c r="F1936" s="4">
        <f>IFERROR(__xludf.DUMMYFUNCTION("""COMPUTED_VALUE"""),57.0)</f>
        <v>57</v>
      </c>
      <c r="G1936" s="5">
        <f>IFERROR(__xludf.DUMMYFUNCTION("""COMPUTED_VALUE"""),3.5560573E7)</f>
        <v>35560573</v>
      </c>
    </row>
    <row r="1937">
      <c r="A1937" s="3">
        <f>IFERROR(__xludf.DUMMYFUNCTION("""COMPUTED_VALUE"""),156.0)</f>
        <v>156</v>
      </c>
      <c r="B1937" s="2" t="str">
        <f>IFERROR(__xludf.DUMMYFUNCTION("""COMPUTED_VALUE"""),"MANIKGANJ")</f>
        <v>MANIKGANJ</v>
      </c>
      <c r="C1937" s="4">
        <f>IFERROR(__xludf.DUMMYFUNCTION("""COMPUTED_VALUE"""),35.0)</f>
        <v>35</v>
      </c>
      <c r="D1937" s="2" t="str">
        <f>IFERROR(__xludf.DUMMYFUNCTION("""COMPUTED_VALUE"""),"BANGLADESH KRISHI BANK")</f>
        <v>BANGLADESH KRISHI BANK</v>
      </c>
      <c r="E1937" s="2" t="str">
        <f>IFERROR(__xludf.DUMMYFUNCTION("""COMPUTED_VALUE"""),"MANIKGANJ")</f>
        <v>MANIKGANJ</v>
      </c>
      <c r="F1937" s="4">
        <f>IFERROR(__xludf.DUMMYFUNCTION("""COMPUTED_VALUE"""),61.0)</f>
        <v>61</v>
      </c>
      <c r="G1937" s="5">
        <f>IFERROR(__xludf.DUMMYFUNCTION("""COMPUTED_VALUE"""),3.556061E7)</f>
        <v>35560610</v>
      </c>
    </row>
    <row r="1938">
      <c r="A1938" s="3">
        <f>IFERROR(__xludf.DUMMYFUNCTION("""COMPUTED_VALUE"""),156.0)</f>
        <v>156</v>
      </c>
      <c r="B1938" s="2" t="str">
        <f>IFERROR(__xludf.DUMMYFUNCTION("""COMPUTED_VALUE"""),"MANIKGANJ")</f>
        <v>MANIKGANJ</v>
      </c>
      <c r="C1938" s="4">
        <f>IFERROR(__xludf.DUMMYFUNCTION("""COMPUTED_VALUE"""),35.0)</f>
        <v>35</v>
      </c>
      <c r="D1938" s="2" t="str">
        <f>IFERROR(__xludf.DUMMYFUNCTION("""COMPUTED_VALUE"""),"BANGLADESH KRISHI BANK")</f>
        <v>BANGLADESH KRISHI BANK</v>
      </c>
      <c r="E1938" s="2" t="str">
        <f>IFERROR(__xludf.DUMMYFUNCTION("""COMPUTED_VALUE"""),"MOHADEBPUR")</f>
        <v>MOHADEBPUR</v>
      </c>
      <c r="F1938" s="4">
        <f>IFERROR(__xludf.DUMMYFUNCTION("""COMPUTED_VALUE"""),70.0)</f>
        <v>70</v>
      </c>
      <c r="G1938" s="5">
        <f>IFERROR(__xludf.DUMMYFUNCTION("""COMPUTED_VALUE"""),3.5560702E7)</f>
        <v>35560702</v>
      </c>
    </row>
    <row r="1939">
      <c r="A1939" s="3">
        <f>IFERROR(__xludf.DUMMYFUNCTION("""COMPUTED_VALUE"""),156.0)</f>
        <v>156</v>
      </c>
      <c r="B1939" s="2" t="str">
        <f>IFERROR(__xludf.DUMMYFUNCTION("""COMPUTED_VALUE"""),"MANIKGANJ")</f>
        <v>MANIKGANJ</v>
      </c>
      <c r="C1939" s="4">
        <f>IFERROR(__xludf.DUMMYFUNCTION("""COMPUTED_VALUE"""),35.0)</f>
        <v>35</v>
      </c>
      <c r="D1939" s="2" t="str">
        <f>IFERROR(__xludf.DUMMYFUNCTION("""COMPUTED_VALUE"""),"BANGLADESH KRISHI BANK")</f>
        <v>BANGLADESH KRISHI BANK</v>
      </c>
      <c r="E1939" s="2" t="str">
        <f>IFERROR(__xludf.DUMMYFUNCTION("""COMPUTED_VALUE"""),"SATURIA")</f>
        <v>SATURIA</v>
      </c>
      <c r="F1939" s="4">
        <f>IFERROR(__xludf.DUMMYFUNCTION("""COMPUTED_VALUE"""),76.0)</f>
        <v>76</v>
      </c>
      <c r="G1939" s="5">
        <f>IFERROR(__xludf.DUMMYFUNCTION("""COMPUTED_VALUE"""),3.556076E7)</f>
        <v>35560760</v>
      </c>
    </row>
    <row r="1940">
      <c r="A1940" s="3">
        <f>IFERROR(__xludf.DUMMYFUNCTION("""COMPUTED_VALUE"""),156.0)</f>
        <v>156</v>
      </c>
      <c r="B1940" s="2" t="str">
        <f>IFERROR(__xludf.DUMMYFUNCTION("""COMPUTED_VALUE"""),"MANIKGANJ")</f>
        <v>MANIKGANJ</v>
      </c>
      <c r="C1940" s="4">
        <f>IFERROR(__xludf.DUMMYFUNCTION("""COMPUTED_VALUE"""),35.0)</f>
        <v>35</v>
      </c>
      <c r="D1940" s="2" t="str">
        <f>IFERROR(__xludf.DUMMYFUNCTION("""COMPUTED_VALUE"""),"BANGLADESH KRISHI BANK")</f>
        <v>BANGLADESH KRISHI BANK</v>
      </c>
      <c r="E1940" s="2" t="str">
        <f>IFERROR(__xludf.DUMMYFUNCTION("""COMPUTED_VALUE"""),"SHIBALAYA")</f>
        <v>SHIBALAYA</v>
      </c>
      <c r="F1940" s="4">
        <f>IFERROR(__xludf.DUMMYFUNCTION("""COMPUTED_VALUE"""),79.0)</f>
        <v>79</v>
      </c>
      <c r="G1940" s="5">
        <f>IFERROR(__xludf.DUMMYFUNCTION("""COMPUTED_VALUE"""),3.5560799E7)</f>
        <v>35560799</v>
      </c>
    </row>
    <row r="1941">
      <c r="A1941" s="3">
        <f>IFERROR(__xludf.DUMMYFUNCTION("""COMPUTED_VALUE"""),156.0)</f>
        <v>156</v>
      </c>
      <c r="B1941" s="2" t="str">
        <f>IFERROR(__xludf.DUMMYFUNCTION("""COMPUTED_VALUE"""),"MANIKGANJ")</f>
        <v>MANIKGANJ</v>
      </c>
      <c r="C1941" s="4">
        <f>IFERROR(__xludf.DUMMYFUNCTION("""COMPUTED_VALUE"""),35.0)</f>
        <v>35</v>
      </c>
      <c r="D1941" s="2" t="str">
        <f>IFERROR(__xludf.DUMMYFUNCTION("""COMPUTED_VALUE"""),"BANGLADESH KRISHI BANK")</f>
        <v>BANGLADESH KRISHI BANK</v>
      </c>
      <c r="E1941" s="2" t="str">
        <f>IFERROR(__xludf.DUMMYFUNCTION("""COMPUTED_VALUE"""),"SINGAIR")</f>
        <v>SINGAIR</v>
      </c>
      <c r="F1941" s="4">
        <f>IFERROR(__xludf.DUMMYFUNCTION("""COMPUTED_VALUE"""),82.0)</f>
        <v>82</v>
      </c>
      <c r="G1941" s="5">
        <f>IFERROR(__xludf.DUMMYFUNCTION("""COMPUTED_VALUE"""),3.5560823E7)</f>
        <v>35560823</v>
      </c>
    </row>
    <row r="1942">
      <c r="A1942" s="3">
        <f>IFERROR(__xludf.DUMMYFUNCTION("""COMPUTED_VALUE"""),457.0)</f>
        <v>457</v>
      </c>
      <c r="B1942" s="2" t="str">
        <f>IFERROR(__xludf.DUMMYFUNCTION("""COMPUTED_VALUE"""),"MEHERPUR")</f>
        <v>MEHERPUR</v>
      </c>
      <c r="C1942" s="4">
        <f>IFERROR(__xludf.DUMMYFUNCTION("""COMPUTED_VALUE"""),35.0)</f>
        <v>35</v>
      </c>
      <c r="D1942" s="2" t="str">
        <f>IFERROR(__xludf.DUMMYFUNCTION("""COMPUTED_VALUE"""),"BANGLADESH KRISHI BANK")</f>
        <v>BANGLADESH KRISHI BANK</v>
      </c>
      <c r="E1942" s="2" t="str">
        <f>IFERROR(__xludf.DUMMYFUNCTION("""COMPUTED_VALUE"""),"BARADI")</f>
        <v>BARADI</v>
      </c>
      <c r="F1942" s="4">
        <f>IFERROR(__xludf.DUMMYFUNCTION("""COMPUTED_VALUE"""),16.0)</f>
        <v>16</v>
      </c>
      <c r="G1942" s="5">
        <f>IFERROR(__xludf.DUMMYFUNCTION("""COMPUTED_VALUE"""),3.5570163E7)</f>
        <v>35570163</v>
      </c>
    </row>
    <row r="1943">
      <c r="A1943" s="3">
        <f>IFERROR(__xludf.DUMMYFUNCTION("""COMPUTED_VALUE"""),457.0)</f>
        <v>457</v>
      </c>
      <c r="B1943" s="2" t="str">
        <f>IFERROR(__xludf.DUMMYFUNCTION("""COMPUTED_VALUE"""),"MEHERPUR")</f>
        <v>MEHERPUR</v>
      </c>
      <c r="C1943" s="4">
        <f>IFERROR(__xludf.DUMMYFUNCTION("""COMPUTED_VALUE"""),35.0)</f>
        <v>35</v>
      </c>
      <c r="D1943" s="2" t="str">
        <f>IFERROR(__xludf.DUMMYFUNCTION("""COMPUTED_VALUE"""),"BANGLADESH KRISHI BANK")</f>
        <v>BANGLADESH KRISHI BANK</v>
      </c>
      <c r="E1943" s="2" t="str">
        <f>IFERROR(__xludf.DUMMYFUNCTION("""COMPUTED_VALUE"""),"DARIAPUR")</f>
        <v>DARIAPUR</v>
      </c>
      <c r="F1943" s="4">
        <f>IFERROR(__xludf.DUMMYFUNCTION("""COMPUTED_VALUE"""),19.0)</f>
        <v>19</v>
      </c>
      <c r="G1943" s="5">
        <f>IFERROR(__xludf.DUMMYFUNCTION("""COMPUTED_VALUE"""),3.5570192E7)</f>
        <v>35570192</v>
      </c>
    </row>
    <row r="1944">
      <c r="A1944" s="3">
        <f>IFERROR(__xludf.DUMMYFUNCTION("""COMPUTED_VALUE"""),457.0)</f>
        <v>457</v>
      </c>
      <c r="B1944" s="2" t="str">
        <f>IFERROR(__xludf.DUMMYFUNCTION("""COMPUTED_VALUE"""),"MEHERPUR")</f>
        <v>MEHERPUR</v>
      </c>
      <c r="C1944" s="4">
        <f>IFERROR(__xludf.DUMMYFUNCTION("""COMPUTED_VALUE"""),35.0)</f>
        <v>35</v>
      </c>
      <c r="D1944" s="2" t="str">
        <f>IFERROR(__xludf.DUMMYFUNCTION("""COMPUTED_VALUE"""),"BANGLADESH KRISHI BANK")</f>
        <v>BANGLADESH KRISHI BANK</v>
      </c>
      <c r="E1944" s="2" t="str">
        <f>IFERROR(__xludf.DUMMYFUNCTION("""COMPUTED_VALUE"""),"GANGNI")</f>
        <v>GANGNI</v>
      </c>
      <c r="F1944" s="4">
        <f>IFERROR(__xludf.DUMMYFUNCTION("""COMPUTED_VALUE"""),22.0)</f>
        <v>22</v>
      </c>
      <c r="G1944" s="5">
        <f>IFERROR(__xludf.DUMMYFUNCTION("""COMPUTED_VALUE"""),3.5570226E7)</f>
        <v>35570226</v>
      </c>
    </row>
    <row r="1945">
      <c r="A1945" s="3">
        <f>IFERROR(__xludf.DUMMYFUNCTION("""COMPUTED_VALUE"""),457.0)</f>
        <v>457</v>
      </c>
      <c r="B1945" s="2" t="str">
        <f>IFERROR(__xludf.DUMMYFUNCTION("""COMPUTED_VALUE"""),"MEHERPUR")</f>
        <v>MEHERPUR</v>
      </c>
      <c r="C1945" s="4">
        <f>IFERROR(__xludf.DUMMYFUNCTION("""COMPUTED_VALUE"""),35.0)</f>
        <v>35</v>
      </c>
      <c r="D1945" s="2" t="str">
        <f>IFERROR(__xludf.DUMMYFUNCTION("""COMPUTED_VALUE"""),"BANGLADESH KRISHI BANK")</f>
        <v>BANGLADESH KRISHI BANK</v>
      </c>
      <c r="E1945" s="2" t="str">
        <f>IFERROR(__xludf.DUMMYFUNCTION("""COMPUTED_VALUE"""),"KATHULI")</f>
        <v>KATHULI</v>
      </c>
      <c r="F1945" s="4">
        <f>IFERROR(__xludf.DUMMYFUNCTION("""COMPUTED_VALUE"""),34.0)</f>
        <v>34</v>
      </c>
      <c r="G1945" s="5">
        <f>IFERROR(__xludf.DUMMYFUNCTION("""COMPUTED_VALUE"""),3.5570347E7)</f>
        <v>35570347</v>
      </c>
    </row>
    <row r="1946">
      <c r="A1946" s="3">
        <f>IFERROR(__xludf.DUMMYFUNCTION("""COMPUTED_VALUE"""),457.0)</f>
        <v>457</v>
      </c>
      <c r="B1946" s="2" t="str">
        <f>IFERROR(__xludf.DUMMYFUNCTION("""COMPUTED_VALUE"""),"MEHERPUR")</f>
        <v>MEHERPUR</v>
      </c>
      <c r="C1946" s="4">
        <f>IFERROR(__xludf.DUMMYFUNCTION("""COMPUTED_VALUE"""),35.0)</f>
        <v>35</v>
      </c>
      <c r="D1946" s="2" t="str">
        <f>IFERROR(__xludf.DUMMYFUNCTION("""COMPUTED_VALUE"""),"BANGLADESH KRISHI BANK")</f>
        <v>BANGLADESH KRISHI BANK</v>
      </c>
      <c r="E1946" s="2" t="str">
        <f>IFERROR(__xludf.DUMMYFUNCTION("""COMPUTED_VALUE"""),"MEHERPUR")</f>
        <v>MEHERPUR</v>
      </c>
      <c r="F1946" s="4">
        <f>IFERROR(__xludf.DUMMYFUNCTION("""COMPUTED_VALUE"""),37.0)</f>
        <v>37</v>
      </c>
      <c r="G1946" s="5">
        <f>IFERROR(__xludf.DUMMYFUNCTION("""COMPUTED_VALUE"""),3.5570376E7)</f>
        <v>35570376</v>
      </c>
    </row>
    <row r="1947">
      <c r="A1947" s="3">
        <f>IFERROR(__xludf.DUMMYFUNCTION("""COMPUTED_VALUE"""),457.0)</f>
        <v>457</v>
      </c>
      <c r="B1947" s="2" t="str">
        <f>IFERROR(__xludf.DUMMYFUNCTION("""COMPUTED_VALUE"""),"MEHERPUR")</f>
        <v>MEHERPUR</v>
      </c>
      <c r="C1947" s="4">
        <f>IFERROR(__xludf.DUMMYFUNCTION("""COMPUTED_VALUE"""),35.0)</f>
        <v>35</v>
      </c>
      <c r="D1947" s="2" t="str">
        <f>IFERROR(__xludf.DUMMYFUNCTION("""COMPUTED_VALUE"""),"BANGLADESH KRISHI BANK")</f>
        <v>BANGLADESH KRISHI BANK</v>
      </c>
      <c r="E1947" s="2" t="str">
        <f>IFERROR(__xludf.DUMMYFUNCTION("""COMPUTED_VALUE"""),"MUJIB NAGAR")</f>
        <v>MUJIB NAGAR</v>
      </c>
      <c r="F1947" s="4">
        <f>IFERROR(__xludf.DUMMYFUNCTION("""COMPUTED_VALUE"""),46.0)</f>
        <v>46</v>
      </c>
      <c r="G1947" s="5">
        <f>IFERROR(__xludf.DUMMYFUNCTION("""COMPUTED_VALUE"""),3.5570468E7)</f>
        <v>35570468</v>
      </c>
    </row>
    <row r="1948">
      <c r="A1948" s="3">
        <f>IFERROR(__xludf.DUMMYFUNCTION("""COMPUTED_VALUE"""),457.0)</f>
        <v>457</v>
      </c>
      <c r="B1948" s="2" t="str">
        <f>IFERROR(__xludf.DUMMYFUNCTION("""COMPUTED_VALUE"""),"MEHERPUR")</f>
        <v>MEHERPUR</v>
      </c>
      <c r="C1948" s="4">
        <f>IFERROR(__xludf.DUMMYFUNCTION("""COMPUTED_VALUE"""),35.0)</f>
        <v>35</v>
      </c>
      <c r="D1948" s="2" t="str">
        <f>IFERROR(__xludf.DUMMYFUNCTION("""COMPUTED_VALUE"""),"BANGLADESH KRISHI BANK")</f>
        <v>BANGLADESH KRISHI BANK</v>
      </c>
      <c r="E1948" s="2" t="str">
        <f>IFERROR(__xludf.DUMMYFUNCTION("""COMPUTED_VALUE"""),"UZALPUR")</f>
        <v>UZALPUR</v>
      </c>
      <c r="F1948" s="4">
        <f>IFERROR(__xludf.DUMMYFUNCTION("""COMPUTED_VALUE"""),52.0)</f>
        <v>52</v>
      </c>
      <c r="G1948" s="5">
        <f>IFERROR(__xludf.DUMMYFUNCTION("""COMPUTED_VALUE"""),3.5570521E7)</f>
        <v>35570521</v>
      </c>
    </row>
    <row r="1949">
      <c r="A1949" s="3">
        <f>IFERROR(__xludf.DUMMYFUNCTION("""COMPUTED_VALUE"""),858.0)</f>
        <v>858</v>
      </c>
      <c r="B1949" s="2" t="str">
        <f>IFERROR(__xludf.DUMMYFUNCTION("""COMPUTED_VALUE"""),"MOULVI BAZAR")</f>
        <v>MOULVI BAZAR</v>
      </c>
      <c r="C1949" s="4">
        <f>IFERROR(__xludf.DUMMYFUNCTION("""COMPUTED_VALUE"""),35.0)</f>
        <v>35</v>
      </c>
      <c r="D1949" s="2" t="str">
        <f>IFERROR(__xludf.DUMMYFUNCTION("""COMPUTED_VALUE"""),"BANGLADESH KRISHI BANK")</f>
        <v>BANGLADESH KRISHI BANK</v>
      </c>
      <c r="E1949" s="2" t="str">
        <f>IFERROR(__xludf.DUMMYFUNCTION("""COMPUTED_VALUE"""),"BARALEKHA")</f>
        <v>BARALEKHA</v>
      </c>
      <c r="F1949" s="4">
        <f>IFERROR(__xludf.DUMMYFUNCTION("""COMPUTED_VALUE"""),10.0)</f>
        <v>10</v>
      </c>
      <c r="G1949" s="5">
        <f>IFERROR(__xludf.DUMMYFUNCTION("""COMPUTED_VALUE"""),3.5580108E7)</f>
        <v>35580108</v>
      </c>
    </row>
    <row r="1950">
      <c r="A1950" s="3">
        <f>IFERROR(__xludf.DUMMYFUNCTION("""COMPUTED_VALUE"""),858.0)</f>
        <v>858</v>
      </c>
      <c r="B1950" s="2" t="str">
        <f>IFERROR(__xludf.DUMMYFUNCTION("""COMPUTED_VALUE"""),"MOULVI BAZAR")</f>
        <v>MOULVI BAZAR</v>
      </c>
      <c r="C1950" s="4">
        <f>IFERROR(__xludf.DUMMYFUNCTION("""COMPUTED_VALUE"""),35.0)</f>
        <v>35</v>
      </c>
      <c r="D1950" s="2" t="str">
        <f>IFERROR(__xludf.DUMMYFUNCTION("""COMPUTED_VALUE"""),"BANGLADESH KRISHI BANK")</f>
        <v>BANGLADESH KRISHI BANK</v>
      </c>
      <c r="E1950" s="2" t="str">
        <f>IFERROR(__xludf.DUMMYFUNCTION("""COMPUTED_VALUE"""),"BARAMCHAL")</f>
        <v>BARAMCHAL</v>
      </c>
      <c r="F1950" s="4">
        <f>IFERROR(__xludf.DUMMYFUNCTION("""COMPUTED_VALUE"""),13.0)</f>
        <v>13</v>
      </c>
      <c r="G1950" s="5">
        <f>IFERROR(__xludf.DUMMYFUNCTION("""COMPUTED_VALUE"""),3.5580137E7)</f>
        <v>35580137</v>
      </c>
    </row>
    <row r="1951">
      <c r="A1951" s="3">
        <f>IFERROR(__xludf.DUMMYFUNCTION("""COMPUTED_VALUE"""),858.0)</f>
        <v>858</v>
      </c>
      <c r="B1951" s="2" t="str">
        <f>IFERROR(__xludf.DUMMYFUNCTION("""COMPUTED_VALUE"""),"MOULVI BAZAR")</f>
        <v>MOULVI BAZAR</v>
      </c>
      <c r="C1951" s="4">
        <f>IFERROR(__xludf.DUMMYFUNCTION("""COMPUTED_VALUE"""),35.0)</f>
        <v>35</v>
      </c>
      <c r="D1951" s="2" t="str">
        <f>IFERROR(__xludf.DUMMYFUNCTION("""COMPUTED_VALUE"""),"BANGLADESH KRISHI BANK")</f>
        <v>BANGLADESH KRISHI BANK</v>
      </c>
      <c r="E1951" s="2" t="str">
        <f>IFERROR(__xludf.DUMMYFUNCTION("""COMPUTED_VALUE"""),"DIGHIRPAR BAZAR")</f>
        <v>DIGHIRPAR BAZAR</v>
      </c>
      <c r="F1951" s="4">
        <f>IFERROR(__xludf.DUMMYFUNCTION("""COMPUTED_VALUE"""),46.0)</f>
        <v>46</v>
      </c>
      <c r="G1951" s="5">
        <f>IFERROR(__xludf.DUMMYFUNCTION("""COMPUTED_VALUE"""),3.5580461E7)</f>
        <v>35580461</v>
      </c>
    </row>
    <row r="1952">
      <c r="A1952" s="3">
        <f>IFERROR(__xludf.DUMMYFUNCTION("""COMPUTED_VALUE"""),858.0)</f>
        <v>858</v>
      </c>
      <c r="B1952" s="2" t="str">
        <f>IFERROR(__xludf.DUMMYFUNCTION("""COMPUTED_VALUE"""),"MOULVI BAZAR")</f>
        <v>MOULVI BAZAR</v>
      </c>
      <c r="C1952" s="4">
        <f>IFERROR(__xludf.DUMMYFUNCTION("""COMPUTED_VALUE"""),35.0)</f>
        <v>35</v>
      </c>
      <c r="D1952" s="2" t="str">
        <f>IFERROR(__xludf.DUMMYFUNCTION("""COMPUTED_VALUE"""),"BANGLADESH KRISHI BANK")</f>
        <v>BANGLADESH KRISHI BANK</v>
      </c>
      <c r="E1952" s="2" t="str">
        <f>IFERROR(__xludf.DUMMYFUNCTION("""COMPUTED_VALUE"""),"JURI")</f>
        <v>JURI</v>
      </c>
      <c r="F1952" s="4">
        <f>IFERROR(__xludf.DUMMYFUNCTION("""COMPUTED_VALUE"""),67.0)</f>
        <v>67</v>
      </c>
      <c r="G1952" s="5">
        <f>IFERROR(__xludf.DUMMYFUNCTION("""COMPUTED_VALUE"""),3.5580674E7)</f>
        <v>35580674</v>
      </c>
    </row>
    <row r="1953">
      <c r="A1953" s="3">
        <f>IFERROR(__xludf.DUMMYFUNCTION("""COMPUTED_VALUE"""),858.0)</f>
        <v>858</v>
      </c>
      <c r="B1953" s="2" t="str">
        <f>IFERROR(__xludf.DUMMYFUNCTION("""COMPUTED_VALUE"""),"MOULVI BAZAR")</f>
        <v>MOULVI BAZAR</v>
      </c>
      <c r="C1953" s="4">
        <f>IFERROR(__xludf.DUMMYFUNCTION("""COMPUTED_VALUE"""),35.0)</f>
        <v>35</v>
      </c>
      <c r="D1953" s="2" t="str">
        <f>IFERROR(__xludf.DUMMYFUNCTION("""COMPUTED_VALUE"""),"BANGLADESH KRISHI BANK")</f>
        <v>BANGLADESH KRISHI BANK</v>
      </c>
      <c r="E1953" s="2" t="str">
        <f>IFERROR(__xludf.DUMMYFUNCTION("""COMPUTED_VALUE"""),"KAGABALA")</f>
        <v>KAGABALA</v>
      </c>
      <c r="F1953" s="4">
        <f>IFERROR(__xludf.DUMMYFUNCTION("""COMPUTED_VALUE"""),73.0)</f>
        <v>73</v>
      </c>
      <c r="G1953" s="5">
        <f>IFERROR(__xludf.DUMMYFUNCTION("""COMPUTED_VALUE"""),3.5580737E7)</f>
        <v>35580737</v>
      </c>
    </row>
    <row r="1954">
      <c r="A1954" s="3">
        <f>IFERROR(__xludf.DUMMYFUNCTION("""COMPUTED_VALUE"""),858.0)</f>
        <v>858</v>
      </c>
      <c r="B1954" s="2" t="str">
        <f>IFERROR(__xludf.DUMMYFUNCTION("""COMPUTED_VALUE"""),"MOULVI BAZAR")</f>
        <v>MOULVI BAZAR</v>
      </c>
      <c r="C1954" s="4">
        <f>IFERROR(__xludf.DUMMYFUNCTION("""COMPUTED_VALUE"""),35.0)</f>
        <v>35</v>
      </c>
      <c r="D1954" s="2" t="str">
        <f>IFERROR(__xludf.DUMMYFUNCTION("""COMPUTED_VALUE"""),"BANGLADESH KRISHI BANK")</f>
        <v>BANGLADESH KRISHI BANK</v>
      </c>
      <c r="E1954" s="2" t="str">
        <f>IFERROR(__xludf.DUMMYFUNCTION("""COMPUTED_VALUE"""),"KAMALGANJ")</f>
        <v>KAMALGANJ</v>
      </c>
      <c r="F1954" s="4">
        <f>IFERROR(__xludf.DUMMYFUNCTION("""COMPUTED_VALUE"""),76.0)</f>
        <v>76</v>
      </c>
      <c r="G1954" s="5">
        <f>IFERROR(__xludf.DUMMYFUNCTION("""COMPUTED_VALUE"""),3.5580766E7)</f>
        <v>35580766</v>
      </c>
    </row>
    <row r="1955">
      <c r="A1955" s="3">
        <f>IFERROR(__xludf.DUMMYFUNCTION("""COMPUTED_VALUE"""),858.0)</f>
        <v>858</v>
      </c>
      <c r="B1955" s="2" t="str">
        <f>IFERROR(__xludf.DUMMYFUNCTION("""COMPUTED_VALUE"""),"MOULVI BAZAR")</f>
        <v>MOULVI BAZAR</v>
      </c>
      <c r="C1955" s="4">
        <f>IFERROR(__xludf.DUMMYFUNCTION("""COMPUTED_VALUE"""),35.0)</f>
        <v>35</v>
      </c>
      <c r="D1955" s="2" t="str">
        <f>IFERROR(__xludf.DUMMYFUNCTION("""COMPUTED_VALUE"""),"BANGLADESH KRISHI BANK")</f>
        <v>BANGLADESH KRISHI BANK</v>
      </c>
      <c r="E1955" s="2" t="str">
        <f>IFERROR(__xludf.DUMMYFUNCTION("""COMPUTED_VALUE"""),"KULAURA")</f>
        <v>KULAURA</v>
      </c>
      <c r="F1955" s="4">
        <f>IFERROR(__xludf.DUMMYFUNCTION("""COMPUTED_VALUE"""),94.0)</f>
        <v>94</v>
      </c>
      <c r="G1955" s="5">
        <f>IFERROR(__xludf.DUMMYFUNCTION("""COMPUTED_VALUE"""),3.558094E7)</f>
        <v>35580940</v>
      </c>
    </row>
    <row r="1956">
      <c r="A1956" s="3">
        <f>IFERROR(__xludf.DUMMYFUNCTION("""COMPUTED_VALUE"""),858.0)</f>
        <v>858</v>
      </c>
      <c r="B1956" s="2" t="str">
        <f>IFERROR(__xludf.DUMMYFUNCTION("""COMPUTED_VALUE"""),"MOULVI BAZAR")</f>
        <v>MOULVI BAZAR</v>
      </c>
      <c r="C1956" s="4">
        <f>IFERROR(__xludf.DUMMYFUNCTION("""COMPUTED_VALUE"""),35.0)</f>
        <v>35</v>
      </c>
      <c r="D1956" s="2" t="str">
        <f>IFERROR(__xludf.DUMMYFUNCTION("""COMPUTED_VALUE"""),"BANGLADESH KRISHI BANK")</f>
        <v>BANGLADESH KRISHI BANK</v>
      </c>
      <c r="E1956" s="2" t="str">
        <f>IFERROR(__xludf.DUMMYFUNCTION("""COMPUTED_VALUE"""),"MANU")</f>
        <v>MANU</v>
      </c>
      <c r="F1956" s="4">
        <f>IFERROR(__xludf.DUMMYFUNCTION("""COMPUTED_VALUE"""),103.0)</f>
        <v>103</v>
      </c>
      <c r="G1956" s="5">
        <f>IFERROR(__xludf.DUMMYFUNCTION("""COMPUTED_VALUE"""),3.5581031E7)</f>
        <v>35581031</v>
      </c>
    </row>
    <row r="1957">
      <c r="A1957" s="3">
        <f>IFERROR(__xludf.DUMMYFUNCTION("""COMPUTED_VALUE"""),858.0)</f>
        <v>858</v>
      </c>
      <c r="B1957" s="2" t="str">
        <f>IFERROR(__xludf.DUMMYFUNCTION("""COMPUTED_VALUE"""),"MOULVI BAZAR")</f>
        <v>MOULVI BAZAR</v>
      </c>
      <c r="C1957" s="4">
        <f>IFERROR(__xludf.DUMMYFUNCTION("""COMPUTED_VALUE"""),35.0)</f>
        <v>35</v>
      </c>
      <c r="D1957" s="2" t="str">
        <f>IFERROR(__xludf.DUMMYFUNCTION("""COMPUTED_VALUE"""),"BANGLADESH KRISHI BANK")</f>
        <v>BANGLADESH KRISHI BANK</v>
      </c>
      <c r="E1957" s="2" t="str">
        <f>IFERROR(__xludf.DUMMYFUNCTION("""COMPUTED_VALUE"""),"MOKAM BAZAR")</f>
        <v>MOKAM BAZAR</v>
      </c>
      <c r="F1957" s="4">
        <f>IFERROR(__xludf.DUMMYFUNCTION("""COMPUTED_VALUE"""),109.0)</f>
        <v>109</v>
      </c>
      <c r="G1957" s="5">
        <f>IFERROR(__xludf.DUMMYFUNCTION("""COMPUTED_VALUE"""),3.5581099E7)</f>
        <v>35581099</v>
      </c>
    </row>
    <row r="1958">
      <c r="A1958" s="3">
        <f>IFERROR(__xludf.DUMMYFUNCTION("""COMPUTED_VALUE"""),858.0)</f>
        <v>858</v>
      </c>
      <c r="B1958" s="2" t="str">
        <f>IFERROR(__xludf.DUMMYFUNCTION("""COMPUTED_VALUE"""),"MOULVI BAZAR")</f>
        <v>MOULVI BAZAR</v>
      </c>
      <c r="C1958" s="4">
        <f>IFERROR(__xludf.DUMMYFUNCTION("""COMPUTED_VALUE"""),35.0)</f>
        <v>35</v>
      </c>
      <c r="D1958" s="2" t="str">
        <f>IFERROR(__xludf.DUMMYFUNCTION("""COMPUTED_VALUE"""),"BANGLADESH KRISHI BANK")</f>
        <v>BANGLADESH KRISHI BANK</v>
      </c>
      <c r="E1958" s="2" t="str">
        <f>IFERROR(__xludf.DUMMYFUNCTION("""COMPUTED_VALUE"""),"MOULAVI BAZAR")</f>
        <v>MOULAVI BAZAR</v>
      </c>
      <c r="F1958" s="4">
        <f>IFERROR(__xludf.DUMMYFUNCTION("""COMPUTED_VALUE"""),118.0)</f>
        <v>118</v>
      </c>
      <c r="G1958" s="5">
        <f>IFERROR(__xludf.DUMMYFUNCTION("""COMPUTED_VALUE"""),3.5581181E7)</f>
        <v>35581181</v>
      </c>
    </row>
    <row r="1959">
      <c r="A1959" s="3">
        <f>IFERROR(__xludf.DUMMYFUNCTION("""COMPUTED_VALUE"""),858.0)</f>
        <v>858</v>
      </c>
      <c r="B1959" s="2" t="str">
        <f>IFERROR(__xludf.DUMMYFUNCTION("""COMPUTED_VALUE"""),"MOULVI BAZAR")</f>
        <v>MOULVI BAZAR</v>
      </c>
      <c r="C1959" s="4">
        <f>IFERROR(__xludf.DUMMYFUNCTION("""COMPUTED_VALUE"""),35.0)</f>
        <v>35</v>
      </c>
      <c r="D1959" s="2" t="str">
        <f>IFERROR(__xludf.DUMMYFUNCTION("""COMPUTED_VALUE"""),"BANGLADESH KRISHI BANK")</f>
        <v>BANGLADESH KRISHI BANK</v>
      </c>
      <c r="E1959" s="2" t="str">
        <f>IFERROR(__xludf.DUMMYFUNCTION("""COMPUTED_VALUE"""),"RAJNAGAR")</f>
        <v>RAJNAGAR</v>
      </c>
      <c r="F1959" s="4">
        <f>IFERROR(__xludf.DUMMYFUNCTION("""COMPUTED_VALUE"""),139.0)</f>
        <v>139</v>
      </c>
      <c r="G1959" s="5">
        <f>IFERROR(__xludf.DUMMYFUNCTION("""COMPUTED_VALUE"""),3.5581394E7)</f>
        <v>35581394</v>
      </c>
    </row>
    <row r="1960">
      <c r="A1960" s="3">
        <f>IFERROR(__xludf.DUMMYFUNCTION("""COMPUTED_VALUE"""),858.0)</f>
        <v>858</v>
      </c>
      <c r="B1960" s="2" t="str">
        <f>IFERROR(__xludf.DUMMYFUNCTION("""COMPUTED_VALUE"""),"MOULVI BAZAR")</f>
        <v>MOULVI BAZAR</v>
      </c>
      <c r="C1960" s="4">
        <f>IFERROR(__xludf.DUMMYFUNCTION("""COMPUTED_VALUE"""),35.0)</f>
        <v>35</v>
      </c>
      <c r="D1960" s="2" t="str">
        <f>IFERROR(__xludf.DUMMYFUNCTION("""COMPUTED_VALUE"""),"BANGLADESH KRISHI BANK")</f>
        <v>BANGLADESH KRISHI BANK</v>
      </c>
      <c r="E1960" s="2" t="str">
        <f>IFERROR(__xludf.DUMMYFUNCTION("""COMPUTED_VALUE"""),"SHAHID NAGAR BAZAR")</f>
        <v>SHAHID NAGAR BAZAR</v>
      </c>
      <c r="F1960" s="4">
        <f>IFERROR(__xludf.DUMMYFUNCTION("""COMPUTED_VALUE"""),157.0)</f>
        <v>157</v>
      </c>
      <c r="G1960" s="5">
        <f>IFERROR(__xludf.DUMMYFUNCTION("""COMPUTED_VALUE"""),3.5581578E7)</f>
        <v>35581578</v>
      </c>
    </row>
    <row r="1961">
      <c r="A1961" s="3">
        <f>IFERROR(__xludf.DUMMYFUNCTION("""COMPUTED_VALUE"""),858.0)</f>
        <v>858</v>
      </c>
      <c r="B1961" s="2" t="str">
        <f>IFERROR(__xludf.DUMMYFUNCTION("""COMPUTED_VALUE"""),"MOULVI BAZAR")</f>
        <v>MOULVI BAZAR</v>
      </c>
      <c r="C1961" s="4">
        <f>IFERROR(__xludf.DUMMYFUNCTION("""COMPUTED_VALUE"""),35.0)</f>
        <v>35</v>
      </c>
      <c r="D1961" s="2" t="str">
        <f>IFERROR(__xludf.DUMMYFUNCTION("""COMPUTED_VALUE"""),"BANGLADESH KRISHI BANK")</f>
        <v>BANGLADESH KRISHI BANK</v>
      </c>
      <c r="E1961" s="2" t="str">
        <f>IFERROR(__xludf.DUMMYFUNCTION("""COMPUTED_VALUE"""),"SHERPUR BAZAR")</f>
        <v>SHERPUR BAZAR</v>
      </c>
      <c r="F1961" s="4">
        <f>IFERROR(__xludf.DUMMYFUNCTION("""COMPUTED_VALUE"""),166.0)</f>
        <v>166</v>
      </c>
      <c r="G1961" s="5">
        <f>IFERROR(__xludf.DUMMYFUNCTION("""COMPUTED_VALUE"""),3.558166E7)</f>
        <v>35581660</v>
      </c>
    </row>
    <row r="1962">
      <c r="A1962" s="3">
        <f>IFERROR(__xludf.DUMMYFUNCTION("""COMPUTED_VALUE"""),858.0)</f>
        <v>858</v>
      </c>
      <c r="B1962" s="2" t="str">
        <f>IFERROR(__xludf.DUMMYFUNCTION("""COMPUTED_VALUE"""),"MOULVI BAZAR")</f>
        <v>MOULVI BAZAR</v>
      </c>
      <c r="C1962" s="4">
        <f>IFERROR(__xludf.DUMMYFUNCTION("""COMPUTED_VALUE"""),35.0)</f>
        <v>35</v>
      </c>
      <c r="D1962" s="2" t="str">
        <f>IFERROR(__xludf.DUMMYFUNCTION("""COMPUTED_VALUE"""),"BANGLADESH KRISHI BANK")</f>
        <v>BANGLADESH KRISHI BANK</v>
      </c>
      <c r="E1962" s="2" t="str">
        <f>IFERROR(__xludf.DUMMYFUNCTION("""COMPUTED_VALUE"""),"SREE MANGAL")</f>
        <v>SREE MANGAL</v>
      </c>
      <c r="F1962" s="4">
        <f>IFERROR(__xludf.DUMMYFUNCTION("""COMPUTED_VALUE"""),172.0)</f>
        <v>172</v>
      </c>
      <c r="G1962" s="5">
        <f>IFERROR(__xludf.DUMMYFUNCTION("""COMPUTED_VALUE"""),3.5581723E7)</f>
        <v>35581723</v>
      </c>
    </row>
    <row r="1963">
      <c r="A1963" s="3">
        <f>IFERROR(__xludf.DUMMYFUNCTION("""COMPUTED_VALUE"""),858.0)</f>
        <v>858</v>
      </c>
      <c r="B1963" s="2" t="str">
        <f>IFERROR(__xludf.DUMMYFUNCTION("""COMPUTED_VALUE"""),"MOULVI BAZAR")</f>
        <v>MOULVI BAZAR</v>
      </c>
      <c r="C1963" s="4">
        <f>IFERROR(__xludf.DUMMYFUNCTION("""COMPUTED_VALUE"""),35.0)</f>
        <v>35</v>
      </c>
      <c r="D1963" s="2" t="str">
        <f>IFERROR(__xludf.DUMMYFUNCTION("""COMPUTED_VALUE"""),"BANGLADESH KRISHI BANK")</f>
        <v>BANGLADESH KRISHI BANK</v>
      </c>
      <c r="E1963" s="2" t="str">
        <f>IFERROR(__xludf.DUMMYFUNCTION("""COMPUTED_VALUE"""),"VATERA")</f>
        <v>VATERA</v>
      </c>
      <c r="F1963" s="4">
        <f>IFERROR(__xludf.DUMMYFUNCTION("""COMPUTED_VALUE"""),181.0)</f>
        <v>181</v>
      </c>
      <c r="G1963" s="5">
        <f>IFERROR(__xludf.DUMMYFUNCTION("""COMPUTED_VALUE"""),3.5581815E7)</f>
        <v>35581815</v>
      </c>
    </row>
    <row r="1964">
      <c r="A1964" s="3">
        <f>IFERROR(__xludf.DUMMYFUNCTION("""COMPUTED_VALUE"""),159.0)</f>
        <v>159</v>
      </c>
      <c r="B1964" s="2" t="str">
        <f>IFERROR(__xludf.DUMMYFUNCTION("""COMPUTED_VALUE"""),"MUNSHIGANJ")</f>
        <v>MUNSHIGANJ</v>
      </c>
      <c r="C1964" s="4">
        <f>IFERROR(__xludf.DUMMYFUNCTION("""COMPUTED_VALUE"""),35.0)</f>
        <v>35</v>
      </c>
      <c r="D1964" s="2" t="str">
        <f>IFERROR(__xludf.DUMMYFUNCTION("""COMPUTED_VALUE"""),"BANGLADESH KRISHI BANK")</f>
        <v>BANGLADESH KRISHI BANK</v>
      </c>
      <c r="E1964" s="2" t="str">
        <f>IFERROR(__xludf.DUMMYFUNCTION("""COMPUTED_VALUE"""),"ALADI BAZAR")</f>
        <v>ALADI BAZAR</v>
      </c>
      <c r="F1964" s="4">
        <f>IFERROR(__xludf.DUMMYFUNCTION("""COMPUTED_VALUE"""),7.0)</f>
        <v>7</v>
      </c>
      <c r="G1964" s="5">
        <f>IFERROR(__xludf.DUMMYFUNCTION("""COMPUTED_VALUE"""),3.5590077E7)</f>
        <v>35590077</v>
      </c>
    </row>
    <row r="1965">
      <c r="A1965" s="3">
        <f>IFERROR(__xludf.DUMMYFUNCTION("""COMPUTED_VALUE"""),159.0)</f>
        <v>159</v>
      </c>
      <c r="B1965" s="2" t="str">
        <f>IFERROR(__xludf.DUMMYFUNCTION("""COMPUTED_VALUE"""),"MUNSHIGANJ")</f>
        <v>MUNSHIGANJ</v>
      </c>
      <c r="C1965" s="4">
        <f>IFERROR(__xludf.DUMMYFUNCTION("""COMPUTED_VALUE"""),35.0)</f>
        <v>35</v>
      </c>
      <c r="D1965" s="2" t="str">
        <f>IFERROR(__xludf.DUMMYFUNCTION("""COMPUTED_VALUE"""),"BANGLADESH KRISHI BANK")</f>
        <v>BANGLADESH KRISHI BANK</v>
      </c>
      <c r="E1965" s="2" t="str">
        <f>IFERROR(__xludf.DUMMYFUNCTION("""COMPUTED_VALUE"""),"BARAIKHALI BAZAR")</f>
        <v>BARAIKHALI BAZAR</v>
      </c>
      <c r="F1965" s="4">
        <f>IFERROR(__xludf.DUMMYFUNCTION("""COMPUTED_VALUE"""),17.0)</f>
        <v>17</v>
      </c>
      <c r="G1965" s="5">
        <f>IFERROR(__xludf.DUMMYFUNCTION("""COMPUTED_VALUE"""),3.5590172E7)</f>
        <v>35590172</v>
      </c>
    </row>
    <row r="1966">
      <c r="A1966" s="3">
        <f>IFERROR(__xludf.DUMMYFUNCTION("""COMPUTED_VALUE"""),159.0)</f>
        <v>159</v>
      </c>
      <c r="B1966" s="2" t="str">
        <f>IFERROR(__xludf.DUMMYFUNCTION("""COMPUTED_VALUE"""),"MUNSHIGANJ")</f>
        <v>MUNSHIGANJ</v>
      </c>
      <c r="C1966" s="4">
        <f>IFERROR(__xludf.DUMMYFUNCTION("""COMPUTED_VALUE"""),35.0)</f>
        <v>35</v>
      </c>
      <c r="D1966" s="2" t="str">
        <f>IFERROR(__xludf.DUMMYFUNCTION("""COMPUTED_VALUE"""),"BANGLADESH KRISHI BANK")</f>
        <v>BANGLADESH KRISHI BANK</v>
      </c>
      <c r="E1966" s="2" t="str">
        <f>IFERROR(__xludf.DUMMYFUNCTION("""COMPUTED_VALUE"""),"BETKA")</f>
        <v>BETKA</v>
      </c>
      <c r="F1966" s="4">
        <f>IFERROR(__xludf.DUMMYFUNCTION("""COMPUTED_VALUE"""),25.0)</f>
        <v>25</v>
      </c>
      <c r="G1966" s="5">
        <f>IFERROR(__xludf.DUMMYFUNCTION("""COMPUTED_VALUE"""),3.5590251E7)</f>
        <v>35590251</v>
      </c>
    </row>
    <row r="1967">
      <c r="A1967" s="3">
        <f>IFERROR(__xludf.DUMMYFUNCTION("""COMPUTED_VALUE"""),159.0)</f>
        <v>159</v>
      </c>
      <c r="B1967" s="2" t="str">
        <f>IFERROR(__xludf.DUMMYFUNCTION("""COMPUTED_VALUE"""),"MUNSHIGANJ")</f>
        <v>MUNSHIGANJ</v>
      </c>
      <c r="C1967" s="4">
        <f>IFERROR(__xludf.DUMMYFUNCTION("""COMPUTED_VALUE"""),35.0)</f>
        <v>35</v>
      </c>
      <c r="D1967" s="2" t="str">
        <f>IFERROR(__xludf.DUMMYFUNCTION("""COMPUTED_VALUE"""),"BANGLADESH KRISHI BANK")</f>
        <v>BANGLADESH KRISHI BANK</v>
      </c>
      <c r="E1967" s="2" t="str">
        <f>IFERROR(__xludf.DUMMYFUNCTION("""COMPUTED_VALUE"""),"BHABER CHAR")</f>
        <v>BHABER CHAR</v>
      </c>
      <c r="F1967" s="4">
        <f>IFERROR(__xludf.DUMMYFUNCTION("""COMPUTED_VALUE"""),28.0)</f>
        <v>28</v>
      </c>
      <c r="G1967" s="5">
        <f>IFERROR(__xludf.DUMMYFUNCTION("""COMPUTED_VALUE"""),3.559028E7)</f>
        <v>35590280</v>
      </c>
    </row>
    <row r="1968">
      <c r="A1968" s="3">
        <f>IFERROR(__xludf.DUMMYFUNCTION("""COMPUTED_VALUE"""),159.0)</f>
        <v>159</v>
      </c>
      <c r="B1968" s="2" t="str">
        <f>IFERROR(__xludf.DUMMYFUNCTION("""COMPUTED_VALUE"""),"MUNSHIGANJ")</f>
        <v>MUNSHIGANJ</v>
      </c>
      <c r="C1968" s="4">
        <f>IFERROR(__xludf.DUMMYFUNCTION("""COMPUTED_VALUE"""),35.0)</f>
        <v>35</v>
      </c>
      <c r="D1968" s="2" t="str">
        <f>IFERROR(__xludf.DUMMYFUNCTION("""COMPUTED_VALUE"""),"BANGLADESH KRISHI BANK")</f>
        <v>BANGLADESH KRISHI BANK</v>
      </c>
      <c r="E1968" s="2" t="str">
        <f>IFERROR(__xludf.DUMMYFUNCTION("""COMPUTED_VALUE"""),"CHARKEWAR")</f>
        <v>CHARKEWAR</v>
      </c>
      <c r="F1968" s="4">
        <f>IFERROR(__xludf.DUMMYFUNCTION("""COMPUTED_VALUE"""),34.0)</f>
        <v>34</v>
      </c>
      <c r="G1968" s="5">
        <f>IFERROR(__xludf.DUMMYFUNCTION("""COMPUTED_VALUE"""),3.5590343E7)</f>
        <v>35590343</v>
      </c>
    </row>
    <row r="1969">
      <c r="A1969" s="3">
        <f>IFERROR(__xludf.DUMMYFUNCTION("""COMPUTED_VALUE"""),159.0)</f>
        <v>159</v>
      </c>
      <c r="B1969" s="2" t="str">
        <f>IFERROR(__xludf.DUMMYFUNCTION("""COMPUTED_VALUE"""),"MUNSHIGANJ")</f>
        <v>MUNSHIGANJ</v>
      </c>
      <c r="C1969" s="4">
        <f>IFERROR(__xludf.DUMMYFUNCTION("""COMPUTED_VALUE"""),35.0)</f>
        <v>35</v>
      </c>
      <c r="D1969" s="2" t="str">
        <f>IFERROR(__xludf.DUMMYFUNCTION("""COMPUTED_VALUE"""),"BANGLADESH KRISHI BANK")</f>
        <v>BANGLADESH KRISHI BANK</v>
      </c>
      <c r="E1969" s="2" t="str">
        <f>IFERROR(__xludf.DUMMYFUNCTION("""COMPUTED_VALUE"""),"GAZARIA")</f>
        <v>GAZARIA</v>
      </c>
      <c r="F1969" s="4">
        <f>IFERROR(__xludf.DUMMYFUNCTION("""COMPUTED_VALUE"""),46.0)</f>
        <v>46</v>
      </c>
      <c r="G1969" s="5">
        <f>IFERROR(__xludf.DUMMYFUNCTION("""COMPUTED_VALUE"""),3.5590464E7)</f>
        <v>35590464</v>
      </c>
    </row>
    <row r="1970">
      <c r="A1970" s="3">
        <f>IFERROR(__xludf.DUMMYFUNCTION("""COMPUTED_VALUE"""),159.0)</f>
        <v>159</v>
      </c>
      <c r="B1970" s="2" t="str">
        <f>IFERROR(__xludf.DUMMYFUNCTION("""COMPUTED_VALUE"""),"MUNSHIGANJ")</f>
        <v>MUNSHIGANJ</v>
      </c>
      <c r="C1970" s="4">
        <f>IFERROR(__xludf.DUMMYFUNCTION("""COMPUTED_VALUE"""),35.0)</f>
        <v>35</v>
      </c>
      <c r="D1970" s="2" t="str">
        <f>IFERROR(__xludf.DUMMYFUNCTION("""COMPUTED_VALUE"""),"BANGLADESH KRISHI BANK")</f>
        <v>BANGLADESH KRISHI BANK</v>
      </c>
      <c r="E1970" s="2" t="str">
        <f>IFERROR(__xludf.DUMMYFUNCTION("""COMPUTED_VALUE"""),"GOLTALI BAZAR")</f>
        <v>GOLTALI BAZAR</v>
      </c>
      <c r="F1970" s="4">
        <f>IFERROR(__xludf.DUMMYFUNCTION("""COMPUTED_VALUE"""),49.0)</f>
        <v>49</v>
      </c>
      <c r="G1970" s="5">
        <f>IFERROR(__xludf.DUMMYFUNCTION("""COMPUTED_VALUE"""),3.5590493E7)</f>
        <v>35590493</v>
      </c>
    </row>
    <row r="1971">
      <c r="A1971" s="3">
        <f>IFERROR(__xludf.DUMMYFUNCTION("""COMPUTED_VALUE"""),159.0)</f>
        <v>159</v>
      </c>
      <c r="B1971" s="2" t="str">
        <f>IFERROR(__xludf.DUMMYFUNCTION("""COMPUTED_VALUE"""),"MUNSHIGANJ")</f>
        <v>MUNSHIGANJ</v>
      </c>
      <c r="C1971" s="4">
        <f>IFERROR(__xludf.DUMMYFUNCTION("""COMPUTED_VALUE"""),35.0)</f>
        <v>35</v>
      </c>
      <c r="D1971" s="2" t="str">
        <f>IFERROR(__xludf.DUMMYFUNCTION("""COMPUTED_VALUE"""),"BANGLADESH KRISHI BANK")</f>
        <v>BANGLADESH KRISHI BANK</v>
      </c>
      <c r="E1971" s="2" t="str">
        <f>IFERROR(__xludf.DUMMYFUNCTION("""COMPUTED_VALUE"""),"HASHARA")</f>
        <v>HASHARA</v>
      </c>
      <c r="F1971" s="4">
        <f>IFERROR(__xludf.DUMMYFUNCTION("""COMPUTED_VALUE"""),58.0)</f>
        <v>58</v>
      </c>
      <c r="G1971" s="5">
        <f>IFERROR(__xludf.DUMMYFUNCTION("""COMPUTED_VALUE"""),3.5590585E7)</f>
        <v>35590585</v>
      </c>
    </row>
    <row r="1972">
      <c r="A1972" s="3">
        <f>IFERROR(__xludf.DUMMYFUNCTION("""COMPUTED_VALUE"""),159.0)</f>
        <v>159</v>
      </c>
      <c r="B1972" s="2" t="str">
        <f>IFERROR(__xludf.DUMMYFUNCTION("""COMPUTED_VALUE"""),"MUNSHIGANJ")</f>
        <v>MUNSHIGANJ</v>
      </c>
      <c r="C1972" s="4">
        <f>IFERROR(__xludf.DUMMYFUNCTION("""COMPUTED_VALUE"""),35.0)</f>
        <v>35</v>
      </c>
      <c r="D1972" s="2" t="str">
        <f>IFERROR(__xludf.DUMMYFUNCTION("""COMPUTED_VALUE"""),"BANGLADESH KRISHI BANK")</f>
        <v>BANGLADESH KRISHI BANK</v>
      </c>
      <c r="E1972" s="2" t="str">
        <f>IFERROR(__xludf.DUMMYFUNCTION("""COMPUTED_VALUE"""),"ISAPURA")</f>
        <v>ISAPURA</v>
      </c>
      <c r="F1972" s="4">
        <f>IFERROR(__xludf.DUMMYFUNCTION("""COMPUTED_VALUE"""),67.0)</f>
        <v>67</v>
      </c>
      <c r="G1972" s="5">
        <f>IFERROR(__xludf.DUMMYFUNCTION("""COMPUTED_VALUE"""),3.5590677E7)</f>
        <v>35590677</v>
      </c>
    </row>
    <row r="1973">
      <c r="A1973" s="3">
        <f>IFERROR(__xludf.DUMMYFUNCTION("""COMPUTED_VALUE"""),159.0)</f>
        <v>159</v>
      </c>
      <c r="B1973" s="2" t="str">
        <f>IFERROR(__xludf.DUMMYFUNCTION("""COMPUTED_VALUE"""),"MUNSHIGANJ")</f>
        <v>MUNSHIGANJ</v>
      </c>
      <c r="C1973" s="4">
        <f>IFERROR(__xludf.DUMMYFUNCTION("""COMPUTED_VALUE"""),35.0)</f>
        <v>35</v>
      </c>
      <c r="D1973" s="2" t="str">
        <f>IFERROR(__xludf.DUMMYFUNCTION("""COMPUTED_VALUE"""),"BANGLADESH KRISHI BANK")</f>
        <v>BANGLADESH KRISHI BANK</v>
      </c>
      <c r="E1973" s="2" t="str">
        <f>IFERROR(__xludf.DUMMYFUNCTION("""COMPUTED_VALUE"""),"LOUHAJONG")</f>
        <v>LOUHAJONG</v>
      </c>
      <c r="F1973" s="4">
        <f>IFERROR(__xludf.DUMMYFUNCTION("""COMPUTED_VALUE"""),85.0)</f>
        <v>85</v>
      </c>
      <c r="G1973" s="5">
        <f>IFERROR(__xludf.DUMMYFUNCTION("""COMPUTED_VALUE"""),3.5590851E7)</f>
        <v>35590851</v>
      </c>
    </row>
    <row r="1974">
      <c r="A1974" s="3">
        <f>IFERROR(__xludf.DUMMYFUNCTION("""COMPUTED_VALUE"""),159.0)</f>
        <v>159</v>
      </c>
      <c r="B1974" s="2" t="str">
        <f>IFERROR(__xludf.DUMMYFUNCTION("""COMPUTED_VALUE"""),"MUNSHIGANJ")</f>
        <v>MUNSHIGANJ</v>
      </c>
      <c r="C1974" s="4">
        <f>IFERROR(__xludf.DUMMYFUNCTION("""COMPUTED_VALUE"""),35.0)</f>
        <v>35</v>
      </c>
      <c r="D1974" s="2" t="str">
        <f>IFERROR(__xludf.DUMMYFUNCTION("""COMPUTED_VALUE"""),"BANGLADESH KRISHI BANK")</f>
        <v>BANGLADESH KRISHI BANK</v>
      </c>
      <c r="E1974" s="2" t="str">
        <f>IFERROR(__xludf.DUMMYFUNCTION("""COMPUTED_VALUE"""),"MEDINIMANDAL")</f>
        <v>MEDINIMANDAL</v>
      </c>
      <c r="F1974" s="4">
        <f>IFERROR(__xludf.DUMMYFUNCTION("""COMPUTED_VALUE"""),94.0)</f>
        <v>94</v>
      </c>
      <c r="G1974" s="5">
        <f>IFERROR(__xludf.DUMMYFUNCTION("""COMPUTED_VALUE"""),3.5590943E7)</f>
        <v>35590943</v>
      </c>
    </row>
    <row r="1975">
      <c r="A1975" s="3">
        <f>IFERROR(__xludf.DUMMYFUNCTION("""COMPUTED_VALUE"""),159.0)</f>
        <v>159</v>
      </c>
      <c r="B1975" s="2" t="str">
        <f>IFERROR(__xludf.DUMMYFUNCTION("""COMPUTED_VALUE"""),"MUNSHIGANJ")</f>
        <v>MUNSHIGANJ</v>
      </c>
      <c r="C1975" s="4">
        <f>IFERROR(__xludf.DUMMYFUNCTION("""COMPUTED_VALUE"""),35.0)</f>
        <v>35</v>
      </c>
      <c r="D1975" s="2" t="str">
        <f>IFERROR(__xludf.DUMMYFUNCTION("""COMPUTED_VALUE"""),"BANGLADESH KRISHI BANK")</f>
        <v>BANGLADESH KRISHI BANK</v>
      </c>
      <c r="E1975" s="2" t="str">
        <f>IFERROR(__xludf.DUMMYFUNCTION("""COMPUTED_VALUE"""),"MUNSHIGANJ")</f>
        <v>MUNSHIGANJ</v>
      </c>
      <c r="F1975" s="4">
        <f>IFERROR(__xludf.DUMMYFUNCTION("""COMPUTED_VALUE"""),103.0)</f>
        <v>103</v>
      </c>
      <c r="G1975" s="5">
        <f>IFERROR(__xludf.DUMMYFUNCTION("""COMPUTED_VALUE"""),3.5591034E7)</f>
        <v>35591034</v>
      </c>
    </row>
    <row r="1976">
      <c r="A1976" s="3">
        <f>IFERROR(__xludf.DUMMYFUNCTION("""COMPUTED_VALUE"""),159.0)</f>
        <v>159</v>
      </c>
      <c r="B1976" s="2" t="str">
        <f>IFERROR(__xludf.DUMMYFUNCTION("""COMPUTED_VALUE"""),"MUNSHIGANJ")</f>
        <v>MUNSHIGANJ</v>
      </c>
      <c r="C1976" s="4">
        <f>IFERROR(__xludf.DUMMYFUNCTION("""COMPUTED_VALUE"""),35.0)</f>
        <v>35</v>
      </c>
      <c r="D1976" s="2" t="str">
        <f>IFERROR(__xludf.DUMMYFUNCTION("""COMPUTED_VALUE"""),"BANGLADESH KRISHI BANK")</f>
        <v>BANGLADESH KRISHI BANK</v>
      </c>
      <c r="E1976" s="2" t="str">
        <f>IFERROR(__xludf.DUMMYFUNCTION("""COMPUTED_VALUE"""),"RARIKHAL")</f>
        <v>RARIKHAL</v>
      </c>
      <c r="F1976" s="4">
        <f>IFERROR(__xludf.DUMMYFUNCTION("""COMPUTED_VALUE"""),118.0)</f>
        <v>118</v>
      </c>
      <c r="G1976" s="5">
        <f>IFERROR(__xludf.DUMMYFUNCTION("""COMPUTED_VALUE"""),3.5591184E7)</f>
        <v>35591184</v>
      </c>
    </row>
    <row r="1977">
      <c r="A1977" s="3">
        <f>IFERROR(__xludf.DUMMYFUNCTION("""COMPUTED_VALUE"""),159.0)</f>
        <v>159</v>
      </c>
      <c r="B1977" s="2" t="str">
        <f>IFERROR(__xludf.DUMMYFUNCTION("""COMPUTED_VALUE"""),"MUNSHIGANJ")</f>
        <v>MUNSHIGANJ</v>
      </c>
      <c r="C1977" s="4">
        <f>IFERROR(__xludf.DUMMYFUNCTION("""COMPUTED_VALUE"""),35.0)</f>
        <v>35</v>
      </c>
      <c r="D1977" s="2" t="str">
        <f>IFERROR(__xludf.DUMMYFUNCTION("""COMPUTED_VALUE"""),"BANGLADESH KRISHI BANK")</f>
        <v>BANGLADESH KRISHI BANK</v>
      </c>
      <c r="E1977" s="2" t="str">
        <f>IFERROR(__xludf.DUMMYFUNCTION("""COMPUTED_VALUE"""),"SERAJDIKHAN")</f>
        <v>SERAJDIKHAN</v>
      </c>
      <c r="F1977" s="4">
        <f>IFERROR(__xludf.DUMMYFUNCTION("""COMPUTED_VALUE"""),127.0)</f>
        <v>127</v>
      </c>
      <c r="G1977" s="5">
        <f>IFERROR(__xludf.DUMMYFUNCTION("""COMPUTED_VALUE"""),3.5591276E7)</f>
        <v>35591276</v>
      </c>
    </row>
    <row r="1978">
      <c r="A1978" s="3">
        <f>IFERROR(__xludf.DUMMYFUNCTION("""COMPUTED_VALUE"""),159.0)</f>
        <v>159</v>
      </c>
      <c r="B1978" s="2" t="str">
        <f>IFERROR(__xludf.DUMMYFUNCTION("""COMPUTED_VALUE"""),"MUNSHIGANJ")</f>
        <v>MUNSHIGANJ</v>
      </c>
      <c r="C1978" s="4">
        <f>IFERROR(__xludf.DUMMYFUNCTION("""COMPUTED_VALUE"""),35.0)</f>
        <v>35</v>
      </c>
      <c r="D1978" s="2" t="str">
        <f>IFERROR(__xludf.DUMMYFUNCTION("""COMPUTED_VALUE"""),"BANGLADESH KRISHI BANK")</f>
        <v>BANGLADESH KRISHI BANK</v>
      </c>
      <c r="E1978" s="2" t="str">
        <f>IFERROR(__xludf.DUMMYFUNCTION("""COMPUTED_VALUE"""),"SHOLAGHAR")</f>
        <v>SHOLAGHAR</v>
      </c>
      <c r="F1978" s="4">
        <f>IFERROR(__xludf.DUMMYFUNCTION("""COMPUTED_VALUE"""),133.0)</f>
        <v>133</v>
      </c>
      <c r="G1978" s="5">
        <f>IFERROR(__xludf.DUMMYFUNCTION("""COMPUTED_VALUE"""),3.5591339E7)</f>
        <v>35591339</v>
      </c>
    </row>
    <row r="1979">
      <c r="A1979" s="3">
        <f>IFERROR(__xludf.DUMMYFUNCTION("""COMPUTED_VALUE"""),159.0)</f>
        <v>159</v>
      </c>
      <c r="B1979" s="2" t="str">
        <f>IFERROR(__xludf.DUMMYFUNCTION("""COMPUTED_VALUE"""),"MUNSHIGANJ")</f>
        <v>MUNSHIGANJ</v>
      </c>
      <c r="C1979" s="4">
        <f>IFERROR(__xludf.DUMMYFUNCTION("""COMPUTED_VALUE"""),35.0)</f>
        <v>35</v>
      </c>
      <c r="D1979" s="2" t="str">
        <f>IFERROR(__xludf.DUMMYFUNCTION("""COMPUTED_VALUE"""),"BANGLADESH KRISHI BANK")</f>
        <v>BANGLADESH KRISHI BANK</v>
      </c>
      <c r="E1979" s="2" t="str">
        <f>IFERROR(__xludf.DUMMYFUNCTION("""COMPUTED_VALUE"""),"SREENAGAR")</f>
        <v>SREENAGAR</v>
      </c>
      <c r="F1979" s="4">
        <f>IFERROR(__xludf.DUMMYFUNCTION("""COMPUTED_VALUE"""),142.0)</f>
        <v>142</v>
      </c>
      <c r="G1979" s="5">
        <f>IFERROR(__xludf.DUMMYFUNCTION("""COMPUTED_VALUE"""),3.5591421E7)</f>
        <v>35591421</v>
      </c>
    </row>
    <row r="1980">
      <c r="A1980" s="3">
        <f>IFERROR(__xludf.DUMMYFUNCTION("""COMPUTED_VALUE"""),159.0)</f>
        <v>159</v>
      </c>
      <c r="B1980" s="2" t="str">
        <f>IFERROR(__xludf.DUMMYFUNCTION("""COMPUTED_VALUE"""),"MUNSHIGANJ")</f>
        <v>MUNSHIGANJ</v>
      </c>
      <c r="C1980" s="4">
        <f>IFERROR(__xludf.DUMMYFUNCTION("""COMPUTED_VALUE"""),35.0)</f>
        <v>35</v>
      </c>
      <c r="D1980" s="2" t="str">
        <f>IFERROR(__xludf.DUMMYFUNCTION("""COMPUTED_VALUE"""),"BANGLADESH KRISHI BANK")</f>
        <v>BANGLADESH KRISHI BANK</v>
      </c>
      <c r="E1980" s="2" t="str">
        <f>IFERROR(__xludf.DUMMYFUNCTION("""COMPUTED_VALUE"""),"TONGI BARI")</f>
        <v>TONGI BARI</v>
      </c>
      <c r="F1980" s="4">
        <f>IFERROR(__xludf.DUMMYFUNCTION("""COMPUTED_VALUE"""),154.0)</f>
        <v>154</v>
      </c>
      <c r="G1980" s="5">
        <f>IFERROR(__xludf.DUMMYFUNCTION("""COMPUTED_VALUE"""),3.5591542E7)</f>
        <v>35591542</v>
      </c>
    </row>
    <row r="1981">
      <c r="A1981" s="3">
        <f>IFERROR(__xludf.DUMMYFUNCTION("""COMPUTED_VALUE"""),161.0)</f>
        <v>161</v>
      </c>
      <c r="B1981" s="2" t="str">
        <f>IFERROR(__xludf.DUMMYFUNCTION("""COMPUTED_VALUE"""),"MYMENSINGH")</f>
        <v>MYMENSINGH</v>
      </c>
      <c r="C1981" s="4">
        <f>IFERROR(__xludf.DUMMYFUNCTION("""COMPUTED_VALUE"""),35.0)</f>
        <v>35</v>
      </c>
      <c r="D1981" s="2" t="str">
        <f>IFERROR(__xludf.DUMMYFUNCTION("""COMPUTED_VALUE"""),"BANGLADESH KRISHI BANK")</f>
        <v>BANGLADESH KRISHI BANK</v>
      </c>
      <c r="E1981" s="2" t="str">
        <f>IFERROR(__xludf.DUMMYFUNCTION("""COMPUTED_VALUE"""),"AGRIVARSITY")</f>
        <v>AGRIVARSITY</v>
      </c>
      <c r="F1981" s="4">
        <f>IFERROR(__xludf.DUMMYFUNCTION("""COMPUTED_VALUE"""),4.0)</f>
        <v>4</v>
      </c>
      <c r="G1981" s="5">
        <f>IFERROR(__xludf.DUMMYFUNCTION("""COMPUTED_VALUE"""),3.5610049E7)</f>
        <v>35610049</v>
      </c>
    </row>
    <row r="1982">
      <c r="A1982" s="3">
        <f>IFERROR(__xludf.DUMMYFUNCTION("""COMPUTED_VALUE"""),161.0)</f>
        <v>161</v>
      </c>
      <c r="B1982" s="2" t="str">
        <f>IFERROR(__xludf.DUMMYFUNCTION("""COMPUTED_VALUE"""),"MYMENSINGH")</f>
        <v>MYMENSINGH</v>
      </c>
      <c r="C1982" s="4">
        <f>IFERROR(__xludf.DUMMYFUNCTION("""COMPUTED_VALUE"""),35.0)</f>
        <v>35</v>
      </c>
      <c r="D1982" s="2" t="str">
        <f>IFERROR(__xludf.DUMMYFUNCTION("""COMPUTED_VALUE"""),"BANGLADESH KRISHI BANK")</f>
        <v>BANGLADESH KRISHI BANK</v>
      </c>
      <c r="E1982" s="2" t="str">
        <f>IFERROR(__xludf.DUMMYFUNCTION("""COMPUTED_VALUE"""),"AMBIKAGANJ BAZAR")</f>
        <v>AMBIKAGANJ BAZAR</v>
      </c>
      <c r="F1982" s="4">
        <f>IFERROR(__xludf.DUMMYFUNCTION("""COMPUTED_VALUE"""),7.0)</f>
        <v>7</v>
      </c>
      <c r="G1982" s="5">
        <f>IFERROR(__xludf.DUMMYFUNCTION("""COMPUTED_VALUE"""),3.5610078E7)</f>
        <v>35610078</v>
      </c>
    </row>
    <row r="1983">
      <c r="A1983" s="3">
        <f>IFERROR(__xludf.DUMMYFUNCTION("""COMPUTED_VALUE"""),161.0)</f>
        <v>161</v>
      </c>
      <c r="B1983" s="2" t="str">
        <f>IFERROR(__xludf.DUMMYFUNCTION("""COMPUTED_VALUE"""),"MYMENSINGH")</f>
        <v>MYMENSINGH</v>
      </c>
      <c r="C1983" s="4">
        <f>IFERROR(__xludf.DUMMYFUNCTION("""COMPUTED_VALUE"""),35.0)</f>
        <v>35</v>
      </c>
      <c r="D1983" s="2" t="str">
        <f>IFERROR(__xludf.DUMMYFUNCTION("""COMPUTED_VALUE"""),"BANGLADESH KRISHI BANK")</f>
        <v>BANGLADESH KRISHI BANK</v>
      </c>
      <c r="E1983" s="2" t="str">
        <f>IFERROR(__xludf.DUMMYFUNCTION("""COMPUTED_VALUE"""),"DHURAIL BAZAR")</f>
        <v>DHURAIL BAZAR</v>
      </c>
      <c r="F1983" s="4">
        <f>IFERROR(__xludf.DUMMYFUNCTION("""COMPUTED_VALUE"""),8.0)</f>
        <v>8</v>
      </c>
      <c r="G1983" s="5">
        <f>IFERROR(__xludf.DUMMYFUNCTION("""COMPUTED_VALUE"""),3.5610081E7)</f>
        <v>35610081</v>
      </c>
    </row>
    <row r="1984">
      <c r="A1984" s="3">
        <f>IFERROR(__xludf.DUMMYFUNCTION("""COMPUTED_VALUE"""),161.0)</f>
        <v>161</v>
      </c>
      <c r="B1984" s="2" t="str">
        <f>IFERROR(__xludf.DUMMYFUNCTION("""COMPUTED_VALUE"""),"MYMENSINGH")</f>
        <v>MYMENSINGH</v>
      </c>
      <c r="C1984" s="4">
        <f>IFERROR(__xludf.DUMMYFUNCTION("""COMPUTED_VALUE"""),35.0)</f>
        <v>35</v>
      </c>
      <c r="D1984" s="2" t="str">
        <f>IFERROR(__xludf.DUMMYFUNCTION("""COMPUTED_VALUE"""),"BANGLADESH KRISHI BANK")</f>
        <v>BANGLADESH KRISHI BANK</v>
      </c>
      <c r="E1984" s="2" t="str">
        <f>IFERROR(__xludf.DUMMYFUNCTION("""COMPUTED_VALUE"""),"BATAJOR")</f>
        <v>BATAJOR</v>
      </c>
      <c r="F1984" s="4">
        <f>IFERROR(__xludf.DUMMYFUNCTION("""COMPUTED_VALUE"""),11.0)</f>
        <v>11</v>
      </c>
      <c r="G1984" s="5">
        <f>IFERROR(__xludf.DUMMYFUNCTION("""COMPUTED_VALUE"""),3.5610115E7)</f>
        <v>35610115</v>
      </c>
    </row>
    <row r="1985">
      <c r="A1985" s="3">
        <f>IFERROR(__xludf.DUMMYFUNCTION("""COMPUTED_VALUE"""),161.0)</f>
        <v>161</v>
      </c>
      <c r="B1985" s="2" t="str">
        <f>IFERROR(__xludf.DUMMYFUNCTION("""COMPUTED_VALUE"""),"MYMENSINGH")</f>
        <v>MYMENSINGH</v>
      </c>
      <c r="C1985" s="4">
        <f>IFERROR(__xludf.DUMMYFUNCTION("""COMPUTED_VALUE"""),35.0)</f>
        <v>35</v>
      </c>
      <c r="D1985" s="2" t="str">
        <f>IFERROR(__xludf.DUMMYFUNCTION("""COMPUTED_VALUE"""),"BANGLADESH KRISHI BANK")</f>
        <v>BANGLADESH KRISHI BANK</v>
      </c>
      <c r="E1985" s="2" t="str">
        <f>IFERROR(__xludf.DUMMYFUNCTION("""COMPUTED_VALUE"""),"AUSTADHAR BAZAR")</f>
        <v>AUSTADHAR BAZAR</v>
      </c>
      <c r="F1985" s="4">
        <f>IFERROR(__xludf.DUMMYFUNCTION("""COMPUTED_VALUE"""),16.0)</f>
        <v>16</v>
      </c>
      <c r="G1985" s="5">
        <f>IFERROR(__xludf.DUMMYFUNCTION("""COMPUTED_VALUE"""),3.561016E7)</f>
        <v>35610160</v>
      </c>
    </row>
    <row r="1986">
      <c r="A1986" s="3">
        <f>IFERROR(__xludf.DUMMYFUNCTION("""COMPUTED_VALUE"""),161.0)</f>
        <v>161</v>
      </c>
      <c r="B1986" s="2" t="str">
        <f>IFERROR(__xludf.DUMMYFUNCTION("""COMPUTED_VALUE"""),"MYMENSINGH")</f>
        <v>MYMENSINGH</v>
      </c>
      <c r="C1986" s="4">
        <f>IFERROR(__xludf.DUMMYFUNCTION("""COMPUTED_VALUE"""),35.0)</f>
        <v>35</v>
      </c>
      <c r="D1986" s="2" t="str">
        <f>IFERROR(__xludf.DUMMYFUNCTION("""COMPUTED_VALUE"""),"BANGLADESH KRISHI BANK")</f>
        <v>BANGLADESH KRISHI BANK</v>
      </c>
      <c r="E1986" s="2" t="str">
        <f>IFERROR(__xludf.DUMMYFUNCTION("""COMPUTED_VALUE"""),"BAKTA BAZAR")</f>
        <v>BAKTA BAZAR</v>
      </c>
      <c r="F1986" s="4">
        <f>IFERROR(__xludf.DUMMYFUNCTION("""COMPUTED_VALUE"""),19.0)</f>
        <v>19</v>
      </c>
      <c r="G1986" s="5">
        <f>IFERROR(__xludf.DUMMYFUNCTION("""COMPUTED_VALUE"""),3.5610199E7)</f>
        <v>35610199</v>
      </c>
    </row>
    <row r="1987">
      <c r="A1987" s="3">
        <f>IFERROR(__xludf.DUMMYFUNCTION("""COMPUTED_VALUE"""),161.0)</f>
        <v>161</v>
      </c>
      <c r="B1987" s="2" t="str">
        <f>IFERROR(__xludf.DUMMYFUNCTION("""COMPUTED_VALUE"""),"MYMENSINGH")</f>
        <v>MYMENSINGH</v>
      </c>
      <c r="C1987" s="4">
        <f>IFERROR(__xludf.DUMMYFUNCTION("""COMPUTED_VALUE"""),35.0)</f>
        <v>35</v>
      </c>
      <c r="D1987" s="2" t="str">
        <f>IFERROR(__xludf.DUMMYFUNCTION("""COMPUTED_VALUE"""),"BANGLADESH KRISHI BANK")</f>
        <v>BANGLADESH KRISHI BANK</v>
      </c>
      <c r="E1987" s="2" t="str">
        <f>IFERROR(__xludf.DUMMYFUNCTION("""COMPUTED_VALUE"""),"BHALUKA")</f>
        <v>BHALUKA</v>
      </c>
      <c r="F1987" s="4">
        <f>IFERROR(__xludf.DUMMYFUNCTION("""COMPUTED_VALUE"""),31.0)</f>
        <v>31</v>
      </c>
      <c r="G1987" s="5">
        <f>IFERROR(__xludf.DUMMYFUNCTION("""COMPUTED_VALUE"""),3.5610315E7)</f>
        <v>35610315</v>
      </c>
    </row>
    <row r="1988">
      <c r="A1988" s="3">
        <f>IFERROR(__xludf.DUMMYFUNCTION("""COMPUTED_VALUE"""),161.0)</f>
        <v>161</v>
      </c>
      <c r="B1988" s="2" t="str">
        <f>IFERROR(__xludf.DUMMYFUNCTION("""COMPUTED_VALUE"""),"MYMENSINGH")</f>
        <v>MYMENSINGH</v>
      </c>
      <c r="C1988" s="4">
        <f>IFERROR(__xludf.DUMMYFUNCTION("""COMPUTED_VALUE"""),35.0)</f>
        <v>35</v>
      </c>
      <c r="D1988" s="2" t="str">
        <f>IFERROR(__xludf.DUMMYFUNCTION("""COMPUTED_VALUE"""),"BANGLADESH KRISHI BANK")</f>
        <v>BANGLADESH KRISHI BANK</v>
      </c>
      <c r="E1988" s="2" t="str">
        <f>IFERROR(__xludf.DUMMYFUNCTION("""COMPUTED_VALUE"""),"BIRUNIA BAZAR")</f>
        <v>BIRUNIA BAZAR</v>
      </c>
      <c r="F1988" s="4">
        <f>IFERROR(__xludf.DUMMYFUNCTION("""COMPUTED_VALUE"""),37.0)</f>
        <v>37</v>
      </c>
      <c r="G1988" s="5">
        <f>IFERROR(__xludf.DUMMYFUNCTION("""COMPUTED_VALUE"""),3.5610373E7)</f>
        <v>35610373</v>
      </c>
    </row>
    <row r="1989">
      <c r="A1989" s="3">
        <f>IFERROR(__xludf.DUMMYFUNCTION("""COMPUTED_VALUE"""),161.0)</f>
        <v>161</v>
      </c>
      <c r="B1989" s="2" t="str">
        <f>IFERROR(__xludf.DUMMYFUNCTION("""COMPUTED_VALUE"""),"MYMENSINGH")</f>
        <v>MYMENSINGH</v>
      </c>
      <c r="C1989" s="4">
        <f>IFERROR(__xludf.DUMMYFUNCTION("""COMPUTED_VALUE"""),35.0)</f>
        <v>35</v>
      </c>
      <c r="D1989" s="2" t="str">
        <f>IFERROR(__xludf.DUMMYFUNCTION("""COMPUTED_VALUE"""),"BANGLADESH KRISHI BANK")</f>
        <v>BANGLADESH KRISHI BANK</v>
      </c>
      <c r="E1989" s="2" t="str">
        <f>IFERROR(__xludf.DUMMYFUNCTION("""COMPUTED_VALUE"""),"CHAIRBARIA BAZAR")</f>
        <v>CHAIRBARIA BAZAR</v>
      </c>
      <c r="F1989" s="4">
        <f>IFERROR(__xludf.DUMMYFUNCTION("""COMPUTED_VALUE"""),46.0)</f>
        <v>46</v>
      </c>
      <c r="G1989" s="5">
        <f>IFERROR(__xludf.DUMMYFUNCTION("""COMPUTED_VALUE"""),3.5610465E7)</f>
        <v>35610465</v>
      </c>
    </row>
    <row r="1990">
      <c r="A1990" s="3">
        <f>IFERROR(__xludf.DUMMYFUNCTION("""COMPUTED_VALUE"""),161.0)</f>
        <v>161</v>
      </c>
      <c r="B1990" s="2" t="str">
        <f>IFERROR(__xludf.DUMMYFUNCTION("""COMPUTED_VALUE"""),"MYMENSINGH")</f>
        <v>MYMENSINGH</v>
      </c>
      <c r="C1990" s="4">
        <f>IFERROR(__xludf.DUMMYFUNCTION("""COMPUTED_VALUE"""),35.0)</f>
        <v>35</v>
      </c>
      <c r="D1990" s="2" t="str">
        <f>IFERROR(__xludf.DUMMYFUNCTION("""COMPUTED_VALUE"""),"BANGLADESH KRISHI BANK")</f>
        <v>BANGLADESH KRISHI BANK</v>
      </c>
      <c r="E1990" s="2" t="str">
        <f>IFERROR(__xludf.DUMMYFUNCTION("""COMPUTED_VALUE"""),"CHECHUA BAZAR")</f>
        <v>CHECHUA BAZAR</v>
      </c>
      <c r="F1990" s="4">
        <f>IFERROR(__xludf.DUMMYFUNCTION("""COMPUTED_VALUE"""),55.0)</f>
        <v>55</v>
      </c>
      <c r="G1990" s="5">
        <f>IFERROR(__xludf.DUMMYFUNCTION("""COMPUTED_VALUE"""),3.5610557E7)</f>
        <v>35610557</v>
      </c>
    </row>
    <row r="1991">
      <c r="A1991" s="3">
        <f>IFERROR(__xludf.DUMMYFUNCTION("""COMPUTED_VALUE"""),161.0)</f>
        <v>161</v>
      </c>
      <c r="B1991" s="2" t="str">
        <f>IFERROR(__xludf.DUMMYFUNCTION("""COMPUTED_VALUE"""),"MYMENSINGH")</f>
        <v>MYMENSINGH</v>
      </c>
      <c r="C1991" s="4">
        <f>IFERROR(__xludf.DUMMYFUNCTION("""COMPUTED_VALUE"""),35.0)</f>
        <v>35</v>
      </c>
      <c r="D1991" s="2" t="str">
        <f>IFERROR(__xludf.DUMMYFUNCTION("""COMPUTED_VALUE"""),"BANGLADESH KRISHI BANK")</f>
        <v>BANGLADESH KRISHI BANK</v>
      </c>
      <c r="E1991" s="2" t="str">
        <f>IFERROR(__xludf.DUMMYFUNCTION("""COMPUTED_VALUE"""),"DAKATIA CHOURASTA BAZAR")</f>
        <v>DAKATIA CHOURASTA BAZAR</v>
      </c>
      <c r="F1991" s="4">
        <f>IFERROR(__xludf.DUMMYFUNCTION("""COMPUTED_VALUE"""),59.0)</f>
        <v>59</v>
      </c>
      <c r="G1991" s="5">
        <f>IFERROR(__xludf.DUMMYFUNCTION("""COMPUTED_VALUE"""),3.5610599E7)</f>
        <v>35610599</v>
      </c>
    </row>
    <row r="1992">
      <c r="A1992" s="3">
        <f>IFERROR(__xludf.DUMMYFUNCTION("""COMPUTED_VALUE"""),161.0)</f>
        <v>161</v>
      </c>
      <c r="B1992" s="2" t="str">
        <f>IFERROR(__xludf.DUMMYFUNCTION("""COMPUTED_VALUE"""),"MYMENSINGH")</f>
        <v>MYMENSINGH</v>
      </c>
      <c r="C1992" s="4">
        <f>IFERROR(__xludf.DUMMYFUNCTION("""COMPUTED_VALUE"""),35.0)</f>
        <v>35</v>
      </c>
      <c r="D1992" s="2" t="str">
        <f>IFERROR(__xludf.DUMMYFUNCTION("""COMPUTED_VALUE"""),"BANGLADESH KRISHI BANK")</f>
        <v>BANGLADESH KRISHI BANK</v>
      </c>
      <c r="E1992" s="2" t="str">
        <f>IFERROR(__xludf.DUMMYFUNCTION("""COMPUTED_VALUE"""),"DAWHAKHOLA BAZAR")</f>
        <v>DAWHAKHOLA BAZAR</v>
      </c>
      <c r="F1992" s="4">
        <f>IFERROR(__xludf.DUMMYFUNCTION("""COMPUTED_VALUE"""),67.0)</f>
        <v>67</v>
      </c>
      <c r="G1992" s="5">
        <f>IFERROR(__xludf.DUMMYFUNCTION("""COMPUTED_VALUE"""),3.5610678E7)</f>
        <v>35610678</v>
      </c>
    </row>
    <row r="1993">
      <c r="A1993" s="3">
        <f>IFERROR(__xludf.DUMMYFUNCTION("""COMPUTED_VALUE"""),161.0)</f>
        <v>161</v>
      </c>
      <c r="B1993" s="2" t="str">
        <f>IFERROR(__xludf.DUMMYFUNCTION("""COMPUTED_VALUE"""),"MYMENSINGH")</f>
        <v>MYMENSINGH</v>
      </c>
      <c r="C1993" s="4">
        <f>IFERROR(__xludf.DUMMYFUNCTION("""COMPUTED_VALUE"""),35.0)</f>
        <v>35</v>
      </c>
      <c r="D1993" s="2" t="str">
        <f>IFERROR(__xludf.DUMMYFUNCTION("""COMPUTED_VALUE"""),"BANGLADESH KRISHI BANK")</f>
        <v>BANGLADESH KRISHI BANK</v>
      </c>
      <c r="E1993" s="2" t="str">
        <f>IFERROR(__xludf.DUMMYFUNCTION("""COMPUTED_VALUE"""),"DEOKHOLA")</f>
        <v>DEOKHOLA</v>
      </c>
      <c r="F1993" s="4">
        <f>IFERROR(__xludf.DUMMYFUNCTION("""COMPUTED_VALUE"""),70.0)</f>
        <v>70</v>
      </c>
      <c r="G1993" s="5">
        <f>IFERROR(__xludf.DUMMYFUNCTION("""COMPUTED_VALUE"""),3.5610702E7)</f>
        <v>35610702</v>
      </c>
    </row>
    <row r="1994">
      <c r="A1994" s="3">
        <f>IFERROR(__xludf.DUMMYFUNCTION("""COMPUTED_VALUE"""),161.0)</f>
        <v>161</v>
      </c>
      <c r="B1994" s="2" t="str">
        <f>IFERROR(__xludf.DUMMYFUNCTION("""COMPUTED_VALUE"""),"MYMENSINGH")</f>
        <v>MYMENSINGH</v>
      </c>
      <c r="C1994" s="4">
        <f>IFERROR(__xludf.DUMMYFUNCTION("""COMPUTED_VALUE"""),35.0)</f>
        <v>35</v>
      </c>
      <c r="D1994" s="2" t="str">
        <f>IFERROR(__xludf.DUMMYFUNCTION("""COMPUTED_VALUE"""),"BANGLADESH KRISHI BANK")</f>
        <v>BANGLADESH KRISHI BANK</v>
      </c>
      <c r="E1994" s="2" t="str">
        <f>IFERROR(__xludf.DUMMYFUNCTION("""COMPUTED_VALUE"""),"DHALIA")</f>
        <v>DHALIA</v>
      </c>
      <c r="F1994" s="4">
        <f>IFERROR(__xludf.DUMMYFUNCTION("""COMPUTED_VALUE"""),76.0)</f>
        <v>76</v>
      </c>
      <c r="G1994" s="5">
        <f>IFERROR(__xludf.DUMMYFUNCTION("""COMPUTED_VALUE"""),3.561076E7)</f>
        <v>35610760</v>
      </c>
    </row>
    <row r="1995">
      <c r="A1995" s="3">
        <f>IFERROR(__xludf.DUMMYFUNCTION("""COMPUTED_VALUE"""),161.0)</f>
        <v>161</v>
      </c>
      <c r="B1995" s="2" t="str">
        <f>IFERROR(__xludf.DUMMYFUNCTION("""COMPUTED_VALUE"""),"MYMENSINGH")</f>
        <v>MYMENSINGH</v>
      </c>
      <c r="C1995" s="4">
        <f>IFERROR(__xludf.DUMMYFUNCTION("""COMPUTED_VALUE"""),35.0)</f>
        <v>35</v>
      </c>
      <c r="D1995" s="2" t="str">
        <f>IFERROR(__xludf.DUMMYFUNCTION("""COMPUTED_VALUE"""),"BANGLADESH KRISHI BANK")</f>
        <v>BANGLADESH KRISHI BANK</v>
      </c>
      <c r="E1995" s="2" t="str">
        <f>IFERROR(__xludf.DUMMYFUNCTION("""COMPUTED_VALUE"""),"DHANIKHOLA")</f>
        <v>DHANIKHOLA</v>
      </c>
      <c r="F1995" s="4">
        <f>IFERROR(__xludf.DUMMYFUNCTION("""COMPUTED_VALUE"""),79.0)</f>
        <v>79</v>
      </c>
      <c r="G1995" s="5">
        <f>IFERROR(__xludf.DUMMYFUNCTION("""COMPUTED_VALUE"""),3.5610799E7)</f>
        <v>35610799</v>
      </c>
    </row>
    <row r="1996">
      <c r="A1996" s="3">
        <f>IFERROR(__xludf.DUMMYFUNCTION("""COMPUTED_VALUE"""),161.0)</f>
        <v>161</v>
      </c>
      <c r="B1996" s="2" t="str">
        <f>IFERROR(__xludf.DUMMYFUNCTION("""COMPUTED_VALUE"""),"MYMENSINGH")</f>
        <v>MYMENSINGH</v>
      </c>
      <c r="C1996" s="4">
        <f>IFERROR(__xludf.DUMMYFUNCTION("""COMPUTED_VALUE"""),35.0)</f>
        <v>35</v>
      </c>
      <c r="D1996" s="2" t="str">
        <f>IFERROR(__xludf.DUMMYFUNCTION("""COMPUTED_VALUE"""),"BANGLADESH KRISHI BANK")</f>
        <v>BANGLADESH KRISHI BANK</v>
      </c>
      <c r="E1996" s="2" t="str">
        <f>IFERROR(__xludf.DUMMYFUNCTION("""COMPUTED_VALUE"""),"DOBAWRA")</f>
        <v>DOBAWRA</v>
      </c>
      <c r="F1996" s="4">
        <f>IFERROR(__xludf.DUMMYFUNCTION("""COMPUTED_VALUE"""),88.0)</f>
        <v>88</v>
      </c>
      <c r="G1996" s="5">
        <f>IFERROR(__xludf.DUMMYFUNCTION("""COMPUTED_VALUE"""),3.5610881E7)</f>
        <v>35610881</v>
      </c>
    </row>
    <row r="1997">
      <c r="A1997" s="3">
        <f>IFERROR(__xludf.DUMMYFUNCTION("""COMPUTED_VALUE"""),161.0)</f>
        <v>161</v>
      </c>
      <c r="B1997" s="2" t="str">
        <f>IFERROR(__xludf.DUMMYFUNCTION("""COMPUTED_VALUE"""),"MYMENSINGH")</f>
        <v>MYMENSINGH</v>
      </c>
      <c r="C1997" s="4">
        <f>IFERROR(__xludf.DUMMYFUNCTION("""COMPUTED_VALUE"""),35.0)</f>
        <v>35</v>
      </c>
      <c r="D1997" s="2" t="str">
        <f>IFERROR(__xludf.DUMMYFUNCTION("""COMPUTED_VALUE"""),"BANGLADESH KRISHI BANK")</f>
        <v>BANGLADESH KRISHI BANK</v>
      </c>
      <c r="E1997" s="2" t="str">
        <f>IFERROR(__xludf.DUMMYFUNCTION("""COMPUTED_VALUE"""),"FULBARIA")</f>
        <v>FULBARIA</v>
      </c>
      <c r="F1997" s="4">
        <f>IFERROR(__xludf.DUMMYFUNCTION("""COMPUTED_VALUE"""),94.0)</f>
        <v>94</v>
      </c>
      <c r="G1997" s="5">
        <f>IFERROR(__xludf.DUMMYFUNCTION("""COMPUTED_VALUE"""),3.5610944E7)</f>
        <v>35610944</v>
      </c>
    </row>
    <row r="1998">
      <c r="A1998" s="3">
        <f>IFERROR(__xludf.DUMMYFUNCTION("""COMPUTED_VALUE"""),161.0)</f>
        <v>161</v>
      </c>
      <c r="B1998" s="2" t="str">
        <f>IFERROR(__xludf.DUMMYFUNCTION("""COMPUTED_VALUE"""),"MYMENSINGH")</f>
        <v>MYMENSINGH</v>
      </c>
      <c r="C1998" s="4">
        <f>IFERROR(__xludf.DUMMYFUNCTION("""COMPUTED_VALUE"""),35.0)</f>
        <v>35</v>
      </c>
      <c r="D1998" s="2" t="str">
        <f>IFERROR(__xludf.DUMMYFUNCTION("""COMPUTED_VALUE"""),"BANGLADESH KRISHI BANK")</f>
        <v>BANGLADESH KRISHI BANK</v>
      </c>
      <c r="E1998" s="2" t="str">
        <f>IFERROR(__xludf.DUMMYFUNCTION("""COMPUTED_VALUE"""),"FULPUR")</f>
        <v>FULPUR</v>
      </c>
      <c r="F1998" s="4">
        <f>IFERROR(__xludf.DUMMYFUNCTION("""COMPUTED_VALUE"""),97.0)</f>
        <v>97</v>
      </c>
      <c r="G1998" s="5">
        <f>IFERROR(__xludf.DUMMYFUNCTION("""COMPUTED_VALUE"""),3.5610973E7)</f>
        <v>35610973</v>
      </c>
    </row>
    <row r="1999">
      <c r="A1999" s="3">
        <f>IFERROR(__xludf.DUMMYFUNCTION("""COMPUTED_VALUE"""),161.0)</f>
        <v>161</v>
      </c>
      <c r="B1999" s="2" t="str">
        <f>IFERROR(__xludf.DUMMYFUNCTION("""COMPUTED_VALUE"""),"MYMENSINGH")</f>
        <v>MYMENSINGH</v>
      </c>
      <c r="C1999" s="4">
        <f>IFERROR(__xludf.DUMMYFUNCTION("""COMPUTED_VALUE"""),35.0)</f>
        <v>35</v>
      </c>
      <c r="D1999" s="2" t="str">
        <f>IFERROR(__xludf.DUMMYFUNCTION("""COMPUTED_VALUE"""),"BANGLADESH KRISHI BANK")</f>
        <v>BANGLADESH KRISHI BANK</v>
      </c>
      <c r="E1999" s="2" t="str">
        <f>IFERROR(__xludf.DUMMYFUNCTION("""COMPUTED_VALUE"""),"GAFFARGAON")</f>
        <v>GAFFARGAON</v>
      </c>
      <c r="F1999" s="4">
        <f>IFERROR(__xludf.DUMMYFUNCTION("""COMPUTED_VALUE"""),100.0)</f>
        <v>100</v>
      </c>
      <c r="G1999" s="5">
        <f>IFERROR(__xludf.DUMMYFUNCTION("""COMPUTED_VALUE"""),3.5611006E7)</f>
        <v>35611006</v>
      </c>
    </row>
    <row r="2000">
      <c r="A2000" s="3">
        <f>IFERROR(__xludf.DUMMYFUNCTION("""COMPUTED_VALUE"""),161.0)</f>
        <v>161</v>
      </c>
      <c r="B2000" s="2" t="str">
        <f>IFERROR(__xludf.DUMMYFUNCTION("""COMPUTED_VALUE"""),"MYMENSINGH")</f>
        <v>MYMENSINGH</v>
      </c>
      <c r="C2000" s="4">
        <f>IFERROR(__xludf.DUMMYFUNCTION("""COMPUTED_VALUE"""),35.0)</f>
        <v>35</v>
      </c>
      <c r="D2000" s="2" t="str">
        <f>IFERROR(__xludf.DUMMYFUNCTION("""COMPUTED_VALUE"""),"BANGLADESH KRISHI BANK")</f>
        <v>BANGLADESH KRISHI BANK</v>
      </c>
      <c r="E2000" s="2" t="str">
        <f>IFERROR(__xludf.DUMMYFUNCTION("""COMPUTED_VALUE"""),"GOURIPUR")</f>
        <v>GOURIPUR</v>
      </c>
      <c r="F2000" s="4">
        <f>IFERROR(__xludf.DUMMYFUNCTION("""COMPUTED_VALUE"""),106.0)</f>
        <v>106</v>
      </c>
      <c r="G2000" s="5">
        <f>IFERROR(__xludf.DUMMYFUNCTION("""COMPUTED_VALUE"""),3.5611064E7)</f>
        <v>35611064</v>
      </c>
    </row>
    <row r="2001">
      <c r="A2001" s="3">
        <f>IFERROR(__xludf.DUMMYFUNCTION("""COMPUTED_VALUE"""),161.0)</f>
        <v>161</v>
      </c>
      <c r="B2001" s="2" t="str">
        <f>IFERROR(__xludf.DUMMYFUNCTION("""COMPUTED_VALUE"""),"MYMENSINGH")</f>
        <v>MYMENSINGH</v>
      </c>
      <c r="C2001" s="4">
        <f>IFERROR(__xludf.DUMMYFUNCTION("""COMPUTED_VALUE"""),35.0)</f>
        <v>35</v>
      </c>
      <c r="D2001" s="2" t="str">
        <f>IFERROR(__xludf.DUMMYFUNCTION("""COMPUTED_VALUE"""),"BANGLADESH KRISHI BANK")</f>
        <v>BANGLADESH KRISHI BANK</v>
      </c>
      <c r="E2001" s="2" t="str">
        <f>IFERROR(__xludf.DUMMYFUNCTION("""COMPUTED_VALUE"""),"GOYESHPUR BAZAR")</f>
        <v>GOYESHPUR BAZAR</v>
      </c>
      <c r="F2001" s="4">
        <f>IFERROR(__xludf.DUMMYFUNCTION("""COMPUTED_VALUE"""),112.0)</f>
        <v>112</v>
      </c>
      <c r="G2001" s="5">
        <f>IFERROR(__xludf.DUMMYFUNCTION("""COMPUTED_VALUE"""),3.5611127E7)</f>
        <v>35611127</v>
      </c>
    </row>
    <row r="2002">
      <c r="A2002" s="3">
        <f>IFERROR(__xludf.DUMMYFUNCTION("""COMPUTED_VALUE"""),161.0)</f>
        <v>161</v>
      </c>
      <c r="B2002" s="2" t="str">
        <f>IFERROR(__xludf.DUMMYFUNCTION("""COMPUTED_VALUE"""),"MYMENSINGH")</f>
        <v>MYMENSINGH</v>
      </c>
      <c r="C2002" s="4">
        <f>IFERROR(__xludf.DUMMYFUNCTION("""COMPUTED_VALUE"""),35.0)</f>
        <v>35</v>
      </c>
      <c r="D2002" s="2" t="str">
        <f>IFERROR(__xludf.DUMMYFUNCTION("""COMPUTED_VALUE"""),"BANGLADESH KRISHI BANK")</f>
        <v>BANGLADESH KRISHI BANK</v>
      </c>
      <c r="E2002" s="2" t="str">
        <f>IFERROR(__xludf.DUMMYFUNCTION("""COMPUTED_VALUE"""),"HALUAGHAT")</f>
        <v>HALUAGHAT</v>
      </c>
      <c r="F2002" s="4">
        <f>IFERROR(__xludf.DUMMYFUNCTION("""COMPUTED_VALUE"""),115.0)</f>
        <v>115</v>
      </c>
      <c r="G2002" s="5">
        <f>IFERROR(__xludf.DUMMYFUNCTION("""COMPUTED_VALUE"""),3.5611156E7)</f>
        <v>35611156</v>
      </c>
    </row>
    <row r="2003">
      <c r="A2003" s="3">
        <f>IFERROR(__xludf.DUMMYFUNCTION("""COMPUTED_VALUE"""),161.0)</f>
        <v>161</v>
      </c>
      <c r="B2003" s="2" t="str">
        <f>IFERROR(__xludf.DUMMYFUNCTION("""COMPUTED_VALUE"""),"MYMENSINGH")</f>
        <v>MYMENSINGH</v>
      </c>
      <c r="C2003" s="4">
        <f>IFERROR(__xludf.DUMMYFUNCTION("""COMPUTED_VALUE"""),35.0)</f>
        <v>35</v>
      </c>
      <c r="D2003" s="2" t="str">
        <f>IFERROR(__xludf.DUMMYFUNCTION("""COMPUTED_VALUE"""),"BANGLADESH KRISHI BANK")</f>
        <v>BANGLADESH KRISHI BANK</v>
      </c>
      <c r="E2003" s="2" t="str">
        <f>IFERROR(__xludf.DUMMYFUNCTION("""COMPUTED_VALUE"""),"ISHWARGANJ")</f>
        <v>ISHWARGANJ</v>
      </c>
      <c r="F2003" s="4">
        <f>IFERROR(__xludf.DUMMYFUNCTION("""COMPUTED_VALUE"""),118.0)</f>
        <v>118</v>
      </c>
      <c r="G2003" s="5">
        <f>IFERROR(__xludf.DUMMYFUNCTION("""COMPUTED_VALUE"""),3.5611185E7)</f>
        <v>35611185</v>
      </c>
    </row>
    <row r="2004">
      <c r="A2004" s="3">
        <f>IFERROR(__xludf.DUMMYFUNCTION("""COMPUTED_VALUE"""),161.0)</f>
        <v>161</v>
      </c>
      <c r="B2004" s="2" t="str">
        <f>IFERROR(__xludf.DUMMYFUNCTION("""COMPUTED_VALUE"""),"MYMENSINGH")</f>
        <v>MYMENSINGH</v>
      </c>
      <c r="C2004" s="4">
        <f>IFERROR(__xludf.DUMMYFUNCTION("""COMPUTED_VALUE"""),35.0)</f>
        <v>35</v>
      </c>
      <c r="D2004" s="2" t="str">
        <f>IFERROR(__xludf.DUMMYFUNCTION("""COMPUTED_VALUE"""),"BANGLADESH KRISHI BANK")</f>
        <v>BANGLADESH KRISHI BANK</v>
      </c>
      <c r="E2004" s="2" t="str">
        <f>IFERROR(__xludf.DUMMYFUNCTION("""COMPUTED_VALUE"""),"JAIL ROAD")</f>
        <v>JAIL ROAD</v>
      </c>
      <c r="F2004" s="4">
        <f>IFERROR(__xludf.DUMMYFUNCTION("""COMPUTED_VALUE"""),121.0)</f>
        <v>121</v>
      </c>
      <c r="G2004" s="5">
        <f>IFERROR(__xludf.DUMMYFUNCTION("""COMPUTED_VALUE"""),3.5611219E7)</f>
        <v>35611219</v>
      </c>
    </row>
    <row r="2005">
      <c r="A2005" s="3">
        <f>IFERROR(__xludf.DUMMYFUNCTION("""COMPUTED_VALUE"""),161.0)</f>
        <v>161</v>
      </c>
      <c r="B2005" s="2" t="str">
        <f>IFERROR(__xludf.DUMMYFUNCTION("""COMPUTED_VALUE"""),"MYMENSINGH")</f>
        <v>MYMENSINGH</v>
      </c>
      <c r="C2005" s="4">
        <f>IFERROR(__xludf.DUMMYFUNCTION("""COMPUTED_VALUE"""),35.0)</f>
        <v>35</v>
      </c>
      <c r="D2005" s="2" t="str">
        <f>IFERROR(__xludf.DUMMYFUNCTION("""COMPUTED_VALUE"""),"BANGLADESH KRISHI BANK")</f>
        <v>BANGLADESH KRISHI BANK</v>
      </c>
      <c r="E2005" s="2" t="str">
        <f>IFERROR(__xludf.DUMMYFUNCTION("""COMPUTED_VALUE"""),"KANDIPARA")</f>
        <v>KANDIPARA</v>
      </c>
      <c r="F2005" s="4">
        <f>IFERROR(__xludf.DUMMYFUNCTION("""COMPUTED_VALUE"""),127.0)</f>
        <v>127</v>
      </c>
      <c r="G2005" s="5">
        <f>IFERROR(__xludf.DUMMYFUNCTION("""COMPUTED_VALUE"""),3.5611277E7)</f>
        <v>35611277</v>
      </c>
    </row>
    <row r="2006">
      <c r="A2006" s="3">
        <f>IFERROR(__xludf.DUMMYFUNCTION("""COMPUTED_VALUE"""),161.0)</f>
        <v>161</v>
      </c>
      <c r="B2006" s="2" t="str">
        <f>IFERROR(__xludf.DUMMYFUNCTION("""COMPUTED_VALUE"""),"MYMENSINGH")</f>
        <v>MYMENSINGH</v>
      </c>
      <c r="C2006" s="4">
        <f>IFERROR(__xludf.DUMMYFUNCTION("""COMPUTED_VALUE"""),35.0)</f>
        <v>35</v>
      </c>
      <c r="D2006" s="2" t="str">
        <f>IFERROR(__xludf.DUMMYFUNCTION("""COMPUTED_VALUE"""),"BANGLADESH KRISHI BANK")</f>
        <v>BANGLADESH KRISHI BANK</v>
      </c>
      <c r="E2006" s="2" t="str">
        <f>IFERROR(__xludf.DUMMYFUNCTION("""COMPUTED_VALUE"""),"KASHIGANJ")</f>
        <v>KASHIGANJ</v>
      </c>
      <c r="F2006" s="4">
        <f>IFERROR(__xludf.DUMMYFUNCTION("""COMPUTED_VALUE"""),130.0)</f>
        <v>130</v>
      </c>
      <c r="G2006" s="5">
        <f>IFERROR(__xludf.DUMMYFUNCTION("""COMPUTED_VALUE"""),3.5611301E7)</f>
        <v>35611301</v>
      </c>
    </row>
    <row r="2007">
      <c r="A2007" s="3">
        <f>IFERROR(__xludf.DUMMYFUNCTION("""COMPUTED_VALUE"""),161.0)</f>
        <v>161</v>
      </c>
      <c r="B2007" s="2" t="str">
        <f>IFERROR(__xludf.DUMMYFUNCTION("""COMPUTED_VALUE"""),"MYMENSINGH")</f>
        <v>MYMENSINGH</v>
      </c>
      <c r="C2007" s="4">
        <f>IFERROR(__xludf.DUMMYFUNCTION("""COMPUTED_VALUE"""),35.0)</f>
        <v>35</v>
      </c>
      <c r="D2007" s="2" t="str">
        <f>IFERROR(__xludf.DUMMYFUNCTION("""COMPUTED_VALUE"""),"BANGLADESH KRISHI BANK")</f>
        <v>BANGLADESH KRISHI BANK</v>
      </c>
      <c r="E2007" s="2" t="str">
        <f>IFERROR(__xludf.DUMMYFUNCTION("""COMPUTED_VALUE"""),"KASHIGANJ BAZAR")</f>
        <v>KASHIGANJ BAZAR</v>
      </c>
      <c r="F2007" s="4">
        <f>IFERROR(__xludf.DUMMYFUNCTION("""COMPUTED_VALUE"""),133.0)</f>
        <v>133</v>
      </c>
      <c r="G2007" s="5">
        <f>IFERROR(__xludf.DUMMYFUNCTION("""COMPUTED_VALUE"""),3.561133E7)</f>
        <v>35611330</v>
      </c>
    </row>
    <row r="2008">
      <c r="A2008" s="3">
        <f>IFERROR(__xludf.DUMMYFUNCTION("""COMPUTED_VALUE"""),161.0)</f>
        <v>161</v>
      </c>
      <c r="B2008" s="2" t="str">
        <f>IFERROR(__xludf.DUMMYFUNCTION("""COMPUTED_VALUE"""),"MYMENSINGH")</f>
        <v>MYMENSINGH</v>
      </c>
      <c r="C2008" s="4">
        <f>IFERROR(__xludf.DUMMYFUNCTION("""COMPUTED_VALUE"""),35.0)</f>
        <v>35</v>
      </c>
      <c r="D2008" s="2" t="str">
        <f>IFERROR(__xludf.DUMMYFUNCTION("""COMPUTED_VALUE"""),"BANGLADESH KRISHI BANK")</f>
        <v>BANGLADESH KRISHI BANK</v>
      </c>
      <c r="E2008" s="2" t="str">
        <f>IFERROR(__xludf.DUMMYFUNCTION("""COMPUTED_VALUE"""),"MADHUPUR BAZAR")</f>
        <v>MADHUPUR BAZAR</v>
      </c>
      <c r="F2008" s="4">
        <f>IFERROR(__xludf.DUMMYFUNCTION("""COMPUTED_VALUE"""),145.0)</f>
        <v>145</v>
      </c>
      <c r="G2008" s="5">
        <f>IFERROR(__xludf.DUMMYFUNCTION("""COMPUTED_VALUE"""),3.5611451E7)</f>
        <v>35611451</v>
      </c>
    </row>
    <row r="2009">
      <c r="A2009" s="3">
        <f>IFERROR(__xludf.DUMMYFUNCTION("""COMPUTED_VALUE"""),161.0)</f>
        <v>161</v>
      </c>
      <c r="B2009" s="2" t="str">
        <f>IFERROR(__xludf.DUMMYFUNCTION("""COMPUTED_VALUE"""),"MYMENSINGH")</f>
        <v>MYMENSINGH</v>
      </c>
      <c r="C2009" s="4">
        <f>IFERROR(__xludf.DUMMYFUNCTION("""COMPUTED_VALUE"""),35.0)</f>
        <v>35</v>
      </c>
      <c r="D2009" s="2" t="str">
        <f>IFERROR(__xludf.DUMMYFUNCTION("""COMPUTED_VALUE"""),"BANGLADESH KRISHI BANK")</f>
        <v>BANGLADESH KRISHI BANK</v>
      </c>
      <c r="E2009" s="2" t="str">
        <f>IFERROR(__xludf.DUMMYFUNCTION("""COMPUTED_VALUE"""),"MAIZBAG BAZAR")</f>
        <v>MAIZBAG BAZAR</v>
      </c>
      <c r="F2009" s="3">
        <f>IFERROR(__xludf.DUMMYFUNCTION("""COMPUTED_VALUE"""),148.0)</f>
        <v>148</v>
      </c>
      <c r="G2009" s="5">
        <f>IFERROR(__xludf.DUMMYFUNCTION("""COMPUTED_VALUE"""),3.561148E7)</f>
        <v>35611480</v>
      </c>
    </row>
    <row r="2010">
      <c r="A2010" s="3">
        <f>IFERROR(__xludf.DUMMYFUNCTION("""COMPUTED_VALUE"""),161.0)</f>
        <v>161</v>
      </c>
      <c r="B2010" s="2" t="str">
        <f>IFERROR(__xludf.DUMMYFUNCTION("""COMPUTED_VALUE"""),"MYMENSINGH")</f>
        <v>MYMENSINGH</v>
      </c>
      <c r="C2010" s="4">
        <f>IFERROR(__xludf.DUMMYFUNCTION("""COMPUTED_VALUE"""),35.0)</f>
        <v>35</v>
      </c>
      <c r="D2010" s="2" t="str">
        <f>IFERROR(__xludf.DUMMYFUNCTION("""COMPUTED_VALUE"""),"BANGLADESH KRISHI BANK")</f>
        <v>BANGLADESH KRISHI BANK</v>
      </c>
      <c r="E2010" s="2" t="str">
        <f>IFERROR(__xludf.DUMMYFUNCTION("""COMPUTED_VALUE"""),"MAZIYALI")</f>
        <v>MAZIYALI</v>
      </c>
      <c r="F2010" s="3">
        <f>IFERROR(__xludf.DUMMYFUNCTION("""COMPUTED_VALUE"""),157.0)</f>
        <v>157</v>
      </c>
      <c r="G2010" s="5">
        <f>IFERROR(__xludf.DUMMYFUNCTION("""COMPUTED_VALUE"""),3.5611572E7)</f>
        <v>35611572</v>
      </c>
    </row>
    <row r="2011">
      <c r="A2011" s="3">
        <f>IFERROR(__xludf.DUMMYFUNCTION("""COMPUTED_VALUE"""),161.0)</f>
        <v>161</v>
      </c>
      <c r="B2011" s="2" t="str">
        <f>IFERROR(__xludf.DUMMYFUNCTION("""COMPUTED_VALUE"""),"MYMENSINGH")</f>
        <v>MYMENSINGH</v>
      </c>
      <c r="C2011" s="4">
        <f>IFERROR(__xludf.DUMMYFUNCTION("""COMPUTED_VALUE"""),35.0)</f>
        <v>35</v>
      </c>
      <c r="D2011" s="2" t="str">
        <f>IFERROR(__xludf.DUMMYFUNCTION("""COMPUTED_VALUE"""),"BANGLADESH KRISHI BANK")</f>
        <v>BANGLADESH KRISHI BANK</v>
      </c>
      <c r="E2011" s="2" t="str">
        <f>IFERROR(__xludf.DUMMYFUNCTION("""COMPUTED_VALUE"""),"MOAZZEMPUR")</f>
        <v>MOAZZEMPUR</v>
      </c>
      <c r="F2011" s="3">
        <f>IFERROR(__xludf.DUMMYFUNCTION("""COMPUTED_VALUE"""),166.0)</f>
        <v>166</v>
      </c>
      <c r="G2011" s="5">
        <f>IFERROR(__xludf.DUMMYFUNCTION("""COMPUTED_VALUE"""),3.5611664E7)</f>
        <v>35611664</v>
      </c>
    </row>
    <row r="2012">
      <c r="A2012" s="3">
        <f>IFERROR(__xludf.DUMMYFUNCTION("""COMPUTED_VALUE"""),161.0)</f>
        <v>161</v>
      </c>
      <c r="B2012" s="2" t="str">
        <f>IFERROR(__xludf.DUMMYFUNCTION("""COMPUTED_VALUE"""),"MYMENSINGH")</f>
        <v>MYMENSINGH</v>
      </c>
      <c r="C2012" s="4">
        <f>IFERROR(__xludf.DUMMYFUNCTION("""COMPUTED_VALUE"""),35.0)</f>
        <v>35</v>
      </c>
      <c r="D2012" s="2" t="str">
        <f>IFERROR(__xludf.DUMMYFUNCTION("""COMPUTED_VALUE"""),"BANGLADESH KRISHI BANK")</f>
        <v>BANGLADESH KRISHI BANK</v>
      </c>
      <c r="E2012" s="2" t="str">
        <f>IFERROR(__xludf.DUMMYFUNCTION("""COMPUTED_VALUE"""),"MUKTAGACHA")</f>
        <v>MUKTAGACHA</v>
      </c>
      <c r="F2012" s="3">
        <f>IFERROR(__xludf.DUMMYFUNCTION("""COMPUTED_VALUE"""),169.0)</f>
        <v>169</v>
      </c>
      <c r="G2012" s="5">
        <f>IFERROR(__xludf.DUMMYFUNCTION("""COMPUTED_VALUE"""),3.5611693E7)</f>
        <v>35611693</v>
      </c>
    </row>
    <row r="2013">
      <c r="A2013" s="3">
        <f>IFERROR(__xludf.DUMMYFUNCTION("""COMPUTED_VALUE"""),161.0)</f>
        <v>161</v>
      </c>
      <c r="B2013" s="2" t="str">
        <f>IFERROR(__xludf.DUMMYFUNCTION("""COMPUTED_VALUE"""),"MYMENSINGH")</f>
        <v>MYMENSINGH</v>
      </c>
      <c r="C2013" s="4">
        <f>IFERROR(__xludf.DUMMYFUNCTION("""COMPUTED_VALUE"""),35.0)</f>
        <v>35</v>
      </c>
      <c r="D2013" s="2" t="str">
        <f>IFERROR(__xludf.DUMMYFUNCTION("""COMPUTED_VALUE"""),"BANGLADESH KRISHI BANK")</f>
        <v>BANGLADESH KRISHI BANK</v>
      </c>
      <c r="E2013" s="2" t="str">
        <f>IFERROR(__xludf.DUMMYFUNCTION("""COMPUTED_VALUE"""),"MYMENSINGH")</f>
        <v>MYMENSINGH</v>
      </c>
      <c r="F2013" s="3">
        <f>IFERROR(__xludf.DUMMYFUNCTION("""COMPUTED_VALUE"""),175.0)</f>
        <v>175</v>
      </c>
      <c r="G2013" s="5">
        <f>IFERROR(__xludf.DUMMYFUNCTION("""COMPUTED_VALUE"""),3.5611756E7)</f>
        <v>35611756</v>
      </c>
    </row>
    <row r="2014">
      <c r="A2014" s="3">
        <f>IFERROR(__xludf.DUMMYFUNCTION("""COMPUTED_VALUE"""),161.0)</f>
        <v>161</v>
      </c>
      <c r="B2014" s="2" t="str">
        <f>IFERROR(__xludf.DUMMYFUNCTION("""COMPUTED_VALUE"""),"MYMENSINGH")</f>
        <v>MYMENSINGH</v>
      </c>
      <c r="C2014" s="4">
        <f>IFERROR(__xludf.DUMMYFUNCTION("""COMPUTED_VALUE"""),35.0)</f>
        <v>35</v>
      </c>
      <c r="D2014" s="2" t="str">
        <f>IFERROR(__xludf.DUMMYFUNCTION("""COMPUTED_VALUE"""),"BANGLADESH KRISHI BANK")</f>
        <v>BANGLADESH KRISHI BANK</v>
      </c>
      <c r="E2014" s="2" t="str">
        <f>IFERROR(__xludf.DUMMYFUNCTION("""COMPUTED_VALUE"""),"NAGLA BAZAR")</f>
        <v>NAGLA BAZAR</v>
      </c>
      <c r="F2014" s="3">
        <f>IFERROR(__xludf.DUMMYFUNCTION("""COMPUTED_VALUE"""),187.0)</f>
        <v>187</v>
      </c>
      <c r="G2014" s="5">
        <f>IFERROR(__xludf.DUMMYFUNCTION("""COMPUTED_VALUE"""),3.5611877E7)</f>
        <v>35611877</v>
      </c>
    </row>
    <row r="2015">
      <c r="A2015" s="3">
        <f>IFERROR(__xludf.DUMMYFUNCTION("""COMPUTED_VALUE"""),161.0)</f>
        <v>161</v>
      </c>
      <c r="B2015" s="2" t="str">
        <f>IFERROR(__xludf.DUMMYFUNCTION("""COMPUTED_VALUE"""),"MYMENSINGH")</f>
        <v>MYMENSINGH</v>
      </c>
      <c r="C2015" s="4">
        <f>IFERROR(__xludf.DUMMYFUNCTION("""COMPUTED_VALUE"""),35.0)</f>
        <v>35</v>
      </c>
      <c r="D2015" s="2" t="str">
        <f>IFERROR(__xludf.DUMMYFUNCTION("""COMPUTED_VALUE"""),"BANGLADESH KRISHI BANK")</f>
        <v>BANGLADESH KRISHI BANK</v>
      </c>
      <c r="E2015" s="2" t="str">
        <f>IFERROR(__xludf.DUMMYFUNCTION("""COMPUTED_VALUE"""),"NANDAIL")</f>
        <v>NANDAIL</v>
      </c>
      <c r="F2015" s="3">
        <f>IFERROR(__xludf.DUMMYFUNCTION("""COMPUTED_VALUE"""),190.0)</f>
        <v>190</v>
      </c>
      <c r="G2015" s="5">
        <f>IFERROR(__xludf.DUMMYFUNCTION("""COMPUTED_VALUE"""),3.5611901E7)</f>
        <v>35611901</v>
      </c>
    </row>
    <row r="2016">
      <c r="A2016" s="3">
        <f>IFERROR(__xludf.DUMMYFUNCTION("""COMPUTED_VALUE"""),161.0)</f>
        <v>161</v>
      </c>
      <c r="B2016" s="2" t="str">
        <f>IFERROR(__xludf.DUMMYFUNCTION("""COMPUTED_VALUE"""),"MYMENSINGH")</f>
        <v>MYMENSINGH</v>
      </c>
      <c r="C2016" s="4">
        <f>IFERROR(__xludf.DUMMYFUNCTION("""COMPUTED_VALUE"""),35.0)</f>
        <v>35</v>
      </c>
      <c r="D2016" s="2" t="str">
        <f>IFERROR(__xludf.DUMMYFUNCTION("""COMPUTED_VALUE"""),"BANGLADESH KRISHI BANK")</f>
        <v>BANGLADESH KRISHI BANK</v>
      </c>
      <c r="E2016" s="2" t="str">
        <f>IFERROR(__xludf.DUMMYFUNCTION("""COMPUTED_VALUE"""),"SEED STORE")</f>
        <v>SEED STORE</v>
      </c>
      <c r="F2016" s="3">
        <f>IFERROR(__xludf.DUMMYFUNCTION("""COMPUTED_VALUE"""),208.0)</f>
        <v>208</v>
      </c>
      <c r="G2016" s="5">
        <f>IFERROR(__xludf.DUMMYFUNCTION("""COMPUTED_VALUE"""),3.5612089E7)</f>
        <v>35612089</v>
      </c>
    </row>
    <row r="2017">
      <c r="A2017" s="3">
        <f>IFERROR(__xludf.DUMMYFUNCTION("""COMPUTED_VALUE"""),161.0)</f>
        <v>161</v>
      </c>
      <c r="B2017" s="2" t="str">
        <f>IFERROR(__xludf.DUMMYFUNCTION("""COMPUTED_VALUE"""),"MYMENSINGH")</f>
        <v>MYMENSINGH</v>
      </c>
      <c r="C2017" s="4">
        <f>IFERROR(__xludf.DUMMYFUNCTION("""COMPUTED_VALUE"""),35.0)</f>
        <v>35</v>
      </c>
      <c r="D2017" s="2" t="str">
        <f>IFERROR(__xludf.DUMMYFUNCTION("""COMPUTED_VALUE"""),"BANGLADESH KRISHI BANK")</f>
        <v>BANGLADESH KRISHI BANK</v>
      </c>
      <c r="E2017" s="2" t="str">
        <f>IFERROR(__xludf.DUMMYFUNCTION("""COMPUTED_VALUE"""),"SHUSHUTI BAZAR")</f>
        <v>SHUSHUTI BAZAR</v>
      </c>
      <c r="F2017" s="3">
        <f>IFERROR(__xludf.DUMMYFUNCTION("""COMPUTED_VALUE"""),215.0)</f>
        <v>215</v>
      </c>
      <c r="G2017" s="5">
        <f>IFERROR(__xludf.DUMMYFUNCTION("""COMPUTED_VALUE"""),3.5612155E7)</f>
        <v>35612155</v>
      </c>
    </row>
    <row r="2018">
      <c r="A2018" s="3">
        <f>IFERROR(__xludf.DUMMYFUNCTION("""COMPUTED_VALUE"""),161.0)</f>
        <v>161</v>
      </c>
      <c r="B2018" s="2" t="str">
        <f>IFERROR(__xludf.DUMMYFUNCTION("""COMPUTED_VALUE"""),"MYMENSINGH")</f>
        <v>MYMENSINGH</v>
      </c>
      <c r="C2018" s="4">
        <f>IFERROR(__xludf.DUMMYFUNCTION("""COMPUTED_VALUE"""),35.0)</f>
        <v>35</v>
      </c>
      <c r="D2018" s="2" t="str">
        <f>IFERROR(__xludf.DUMMYFUNCTION("""COMPUTED_VALUE"""),"BANGLADESH KRISHI BANK")</f>
        <v>BANGLADESH KRISHI BANK</v>
      </c>
      <c r="E2018" s="2" t="str">
        <f>IFERROR(__xludf.DUMMYFUNCTION("""COMPUTED_VALUE"""),"SOHAGIBAZAR")</f>
        <v>SOHAGIBAZAR</v>
      </c>
      <c r="F2018" s="3">
        <f>IFERROR(__xludf.DUMMYFUNCTION("""COMPUTED_VALUE"""),217.0)</f>
        <v>217</v>
      </c>
      <c r="G2018" s="5">
        <f>IFERROR(__xludf.DUMMYFUNCTION("""COMPUTED_VALUE"""),3.5612171E7)</f>
        <v>35612171</v>
      </c>
    </row>
    <row r="2019">
      <c r="A2019" s="3">
        <f>IFERROR(__xludf.DUMMYFUNCTION("""COMPUTED_VALUE"""),161.0)</f>
        <v>161</v>
      </c>
      <c r="B2019" s="2" t="str">
        <f>IFERROR(__xludf.DUMMYFUNCTION("""COMPUTED_VALUE"""),"MYMENSINGH")</f>
        <v>MYMENSINGH</v>
      </c>
      <c r="C2019" s="4">
        <f>IFERROR(__xludf.DUMMYFUNCTION("""COMPUTED_VALUE"""),35.0)</f>
        <v>35</v>
      </c>
      <c r="D2019" s="2" t="str">
        <f>IFERROR(__xludf.DUMMYFUNCTION("""COMPUTED_VALUE"""),"BANGLADESH KRISHI BANK")</f>
        <v>BANGLADESH KRISHI BANK</v>
      </c>
      <c r="E2019" s="2" t="str">
        <f>IFERROR(__xludf.DUMMYFUNCTION("""COMPUTED_VALUE"""),"TARAKANDA")</f>
        <v>TARAKANDA</v>
      </c>
      <c r="F2019" s="3">
        <f>IFERROR(__xludf.DUMMYFUNCTION("""COMPUTED_VALUE"""),226.0)</f>
        <v>226</v>
      </c>
      <c r="G2019" s="5">
        <f>IFERROR(__xludf.DUMMYFUNCTION("""COMPUTED_VALUE"""),3.5612263E7)</f>
        <v>35612263</v>
      </c>
    </row>
    <row r="2020">
      <c r="A2020" s="3">
        <f>IFERROR(__xludf.DUMMYFUNCTION("""COMPUTED_VALUE"""),161.0)</f>
        <v>161</v>
      </c>
      <c r="B2020" s="2" t="str">
        <f>IFERROR(__xludf.DUMMYFUNCTION("""COMPUTED_VALUE"""),"MYMENSINGH")</f>
        <v>MYMENSINGH</v>
      </c>
      <c r="C2020" s="4">
        <f>IFERROR(__xludf.DUMMYFUNCTION("""COMPUTED_VALUE"""),35.0)</f>
        <v>35</v>
      </c>
      <c r="D2020" s="2" t="str">
        <f>IFERROR(__xludf.DUMMYFUNCTION("""COMPUTED_VALUE"""),"BANGLADESH KRISHI BANK")</f>
        <v>BANGLADESH KRISHI BANK</v>
      </c>
      <c r="E2020" s="2" t="str">
        <f>IFERROR(__xludf.DUMMYFUNCTION("""COMPUTED_VALUE"""),"TRISHAL")</f>
        <v>TRISHAL</v>
      </c>
      <c r="F2020" s="3">
        <f>IFERROR(__xludf.DUMMYFUNCTION("""COMPUTED_VALUE"""),235.0)</f>
        <v>235</v>
      </c>
      <c r="G2020" s="5">
        <f>IFERROR(__xludf.DUMMYFUNCTION("""COMPUTED_VALUE"""),3.5612355E7)</f>
        <v>35612355</v>
      </c>
    </row>
    <row r="2021">
      <c r="A2021" s="3">
        <f>IFERROR(__xludf.DUMMYFUNCTION("""COMPUTED_VALUE"""),465.0)</f>
        <v>465</v>
      </c>
      <c r="B2021" s="2" t="str">
        <f>IFERROR(__xludf.DUMMYFUNCTION("""COMPUTED_VALUE"""),"NARAIL")</f>
        <v>NARAIL</v>
      </c>
      <c r="C2021" s="4">
        <f>IFERROR(__xludf.DUMMYFUNCTION("""COMPUTED_VALUE"""),35.0)</f>
        <v>35</v>
      </c>
      <c r="D2021" s="2" t="str">
        <f>IFERROR(__xludf.DUMMYFUNCTION("""COMPUTED_VALUE"""),"BANGLADESH KRISHI BANK")</f>
        <v>BANGLADESH KRISHI BANK</v>
      </c>
      <c r="E2021" s="2" t="str">
        <f>IFERROR(__xludf.DUMMYFUNCTION("""COMPUTED_VALUE"""),"HABOKHALI")</f>
        <v>HABOKHALI</v>
      </c>
      <c r="F2021" s="3">
        <f>IFERROR(__xludf.DUMMYFUNCTION("""COMPUTED_VALUE"""),25.0)</f>
        <v>25</v>
      </c>
      <c r="G2021" s="5">
        <f>IFERROR(__xludf.DUMMYFUNCTION("""COMPUTED_VALUE"""),3.5650254E7)</f>
        <v>35650254</v>
      </c>
    </row>
    <row r="2022">
      <c r="A2022" s="3">
        <f>IFERROR(__xludf.DUMMYFUNCTION("""COMPUTED_VALUE"""),465.0)</f>
        <v>465</v>
      </c>
      <c r="B2022" s="2" t="str">
        <f>IFERROR(__xludf.DUMMYFUNCTION("""COMPUTED_VALUE"""),"NARAIL")</f>
        <v>NARAIL</v>
      </c>
      <c r="C2022" s="4">
        <f>IFERROR(__xludf.DUMMYFUNCTION("""COMPUTED_VALUE"""),35.0)</f>
        <v>35</v>
      </c>
      <c r="D2022" s="2" t="str">
        <f>IFERROR(__xludf.DUMMYFUNCTION("""COMPUTED_VALUE"""),"BANGLADESH KRISHI BANK")</f>
        <v>BANGLADESH KRISHI BANK</v>
      </c>
      <c r="E2022" s="2" t="str">
        <f>IFERROR(__xludf.DUMMYFUNCTION("""COMPUTED_VALUE"""),"KALIA")</f>
        <v>KALIA</v>
      </c>
      <c r="F2022" s="3">
        <f>IFERROR(__xludf.DUMMYFUNCTION("""COMPUTED_VALUE"""),34.0)</f>
        <v>34</v>
      </c>
      <c r="G2022" s="5">
        <f>IFERROR(__xludf.DUMMYFUNCTION("""COMPUTED_VALUE"""),3.5650346E7)</f>
        <v>35650346</v>
      </c>
    </row>
    <row r="2023">
      <c r="A2023" s="3">
        <f>IFERROR(__xludf.DUMMYFUNCTION("""COMPUTED_VALUE"""),465.0)</f>
        <v>465</v>
      </c>
      <c r="B2023" s="2" t="str">
        <f>IFERROR(__xludf.DUMMYFUNCTION("""COMPUTED_VALUE"""),"NARAIL")</f>
        <v>NARAIL</v>
      </c>
      <c r="C2023" s="4">
        <f>IFERROR(__xludf.DUMMYFUNCTION("""COMPUTED_VALUE"""),35.0)</f>
        <v>35</v>
      </c>
      <c r="D2023" s="2" t="str">
        <f>IFERROR(__xludf.DUMMYFUNCTION("""COMPUTED_VALUE"""),"BANGLADESH KRISHI BANK")</f>
        <v>BANGLADESH KRISHI BANK</v>
      </c>
      <c r="E2023" s="2" t="str">
        <f>IFERROR(__xludf.DUMMYFUNCTION("""COMPUTED_VALUE"""),"LAHORIA BAZAR")</f>
        <v>LAHORIA BAZAR</v>
      </c>
      <c r="F2023" s="3">
        <f>IFERROR(__xludf.DUMMYFUNCTION("""COMPUTED_VALUE"""),40.0)</f>
        <v>40</v>
      </c>
      <c r="G2023" s="5">
        <f>IFERROR(__xludf.DUMMYFUNCTION("""COMPUTED_VALUE"""),3.5650409E7)</f>
        <v>35650409</v>
      </c>
    </row>
    <row r="2024">
      <c r="A2024" s="3">
        <f>IFERROR(__xludf.DUMMYFUNCTION("""COMPUTED_VALUE"""),465.0)</f>
        <v>465</v>
      </c>
      <c r="B2024" s="2" t="str">
        <f>IFERROR(__xludf.DUMMYFUNCTION("""COMPUTED_VALUE"""),"NARAIL")</f>
        <v>NARAIL</v>
      </c>
      <c r="C2024" s="4">
        <f>IFERROR(__xludf.DUMMYFUNCTION("""COMPUTED_VALUE"""),35.0)</f>
        <v>35</v>
      </c>
      <c r="D2024" s="2" t="str">
        <f>IFERROR(__xludf.DUMMYFUNCTION("""COMPUTED_VALUE"""),"BANGLADESH KRISHI BANK")</f>
        <v>BANGLADESH KRISHI BANK</v>
      </c>
      <c r="E2024" s="2" t="str">
        <f>IFERROR(__xludf.DUMMYFUNCTION("""COMPUTED_VALUE"""),"LOHAGARA")</f>
        <v>LOHAGARA</v>
      </c>
      <c r="F2024" s="3">
        <f>IFERROR(__xludf.DUMMYFUNCTION("""COMPUTED_VALUE"""),46.0)</f>
        <v>46</v>
      </c>
      <c r="G2024" s="5">
        <f>IFERROR(__xludf.DUMMYFUNCTION("""COMPUTED_VALUE"""),3.5650467E7)</f>
        <v>35650467</v>
      </c>
    </row>
    <row r="2025">
      <c r="A2025" s="3">
        <f>IFERROR(__xludf.DUMMYFUNCTION("""COMPUTED_VALUE"""),465.0)</f>
        <v>465</v>
      </c>
      <c r="B2025" s="2" t="str">
        <f>IFERROR(__xludf.DUMMYFUNCTION("""COMPUTED_VALUE"""),"NARAIL")</f>
        <v>NARAIL</v>
      </c>
      <c r="C2025" s="4">
        <f>IFERROR(__xludf.DUMMYFUNCTION("""COMPUTED_VALUE"""),35.0)</f>
        <v>35</v>
      </c>
      <c r="D2025" s="2" t="str">
        <f>IFERROR(__xludf.DUMMYFUNCTION("""COMPUTED_VALUE"""),"BANGLADESH KRISHI BANK")</f>
        <v>BANGLADESH KRISHI BANK</v>
      </c>
      <c r="E2025" s="2" t="str">
        <f>IFERROR(__xludf.DUMMYFUNCTION("""COMPUTED_VALUE"""),"NARAGATI BAZAR")</f>
        <v>NARAGATI BAZAR</v>
      </c>
      <c r="F2025" s="3">
        <f>IFERROR(__xludf.DUMMYFUNCTION("""COMPUTED_VALUE"""),61.0)</f>
        <v>61</v>
      </c>
      <c r="G2025" s="5">
        <f>IFERROR(__xludf.DUMMYFUNCTION("""COMPUTED_VALUE"""),3.5650612E7)</f>
        <v>35650612</v>
      </c>
    </row>
    <row r="2026">
      <c r="A2026" s="3">
        <f>IFERROR(__xludf.DUMMYFUNCTION("""COMPUTED_VALUE"""),465.0)</f>
        <v>465</v>
      </c>
      <c r="B2026" s="2" t="str">
        <f>IFERROR(__xludf.DUMMYFUNCTION("""COMPUTED_VALUE"""),"NARAIL")</f>
        <v>NARAIL</v>
      </c>
      <c r="C2026" s="4">
        <f>IFERROR(__xludf.DUMMYFUNCTION("""COMPUTED_VALUE"""),35.0)</f>
        <v>35</v>
      </c>
      <c r="D2026" s="2" t="str">
        <f>IFERROR(__xludf.DUMMYFUNCTION("""COMPUTED_VALUE"""),"BANGLADESH KRISHI BANK")</f>
        <v>BANGLADESH KRISHI BANK</v>
      </c>
      <c r="E2026" s="2" t="str">
        <f>IFERROR(__xludf.DUMMYFUNCTION("""COMPUTED_VALUE"""),"NARAIL")</f>
        <v>NARAIL</v>
      </c>
      <c r="F2026" s="3">
        <f>IFERROR(__xludf.DUMMYFUNCTION("""COMPUTED_VALUE"""),64.0)</f>
        <v>64</v>
      </c>
      <c r="G2026" s="5">
        <f>IFERROR(__xludf.DUMMYFUNCTION("""COMPUTED_VALUE"""),3.5650641E7)</f>
        <v>35650641</v>
      </c>
    </row>
    <row r="2027">
      <c r="A2027" s="3">
        <f>IFERROR(__xludf.DUMMYFUNCTION("""COMPUTED_VALUE"""),465.0)</f>
        <v>465</v>
      </c>
      <c r="B2027" s="2" t="str">
        <f>IFERROR(__xludf.DUMMYFUNCTION("""COMPUTED_VALUE"""),"NARAIL")</f>
        <v>NARAIL</v>
      </c>
      <c r="C2027" s="4">
        <f>IFERROR(__xludf.DUMMYFUNCTION("""COMPUTED_VALUE"""),35.0)</f>
        <v>35</v>
      </c>
      <c r="D2027" s="2" t="str">
        <f>IFERROR(__xludf.DUMMYFUNCTION("""COMPUTED_VALUE"""),"BANGLADESH KRISHI BANK")</f>
        <v>BANGLADESH KRISHI BANK</v>
      </c>
      <c r="E2027" s="2" t="str">
        <f>IFERROR(__xludf.DUMMYFUNCTION("""COMPUTED_VALUE"""),"SHEIK HATI BAZAR")</f>
        <v>SHEIK HATI BAZAR</v>
      </c>
      <c r="F2027" s="3">
        <f>IFERROR(__xludf.DUMMYFUNCTION("""COMPUTED_VALUE"""),76.0)</f>
        <v>76</v>
      </c>
      <c r="G2027" s="5">
        <f>IFERROR(__xludf.DUMMYFUNCTION("""COMPUTED_VALUE"""),3.5650762E7)</f>
        <v>35650762</v>
      </c>
    </row>
    <row r="2028">
      <c r="A2028" s="3">
        <f>IFERROR(__xludf.DUMMYFUNCTION("""COMPUTED_VALUE"""),167.0)</f>
        <v>167</v>
      </c>
      <c r="B2028" s="2" t="str">
        <f>IFERROR(__xludf.DUMMYFUNCTION("""COMPUTED_VALUE"""),"NARAYANGANJ")</f>
        <v>NARAYANGANJ</v>
      </c>
      <c r="C2028" s="4">
        <f>IFERROR(__xludf.DUMMYFUNCTION("""COMPUTED_VALUE"""),35.0)</f>
        <v>35</v>
      </c>
      <c r="D2028" s="2" t="str">
        <f>IFERROR(__xludf.DUMMYFUNCTION("""COMPUTED_VALUE"""),"BANGLADESH KRISHI BANK")</f>
        <v>BANGLADESH KRISHI BANK</v>
      </c>
      <c r="E2028" s="2" t="str">
        <f>IFERROR(__xludf.DUMMYFUNCTION("""COMPUTED_VALUE"""),"ARAIHAZAR")</f>
        <v>ARAIHAZAR</v>
      </c>
      <c r="F2028" s="3">
        <f>IFERROR(__xludf.DUMMYFUNCTION("""COMPUTED_VALUE"""),4.0)</f>
        <v>4</v>
      </c>
      <c r="G2028" s="5">
        <f>IFERROR(__xludf.DUMMYFUNCTION("""COMPUTED_VALUE"""),3.5670047E7)</f>
        <v>35670047</v>
      </c>
    </row>
    <row r="2029">
      <c r="A2029" s="3">
        <f>IFERROR(__xludf.DUMMYFUNCTION("""COMPUTED_VALUE"""),167.0)</f>
        <v>167</v>
      </c>
      <c r="B2029" s="2" t="str">
        <f>IFERROR(__xludf.DUMMYFUNCTION("""COMPUTED_VALUE"""),"NARAYANGANJ")</f>
        <v>NARAYANGANJ</v>
      </c>
      <c r="C2029" s="4">
        <f>IFERROR(__xludf.DUMMYFUNCTION("""COMPUTED_VALUE"""),35.0)</f>
        <v>35</v>
      </c>
      <c r="D2029" s="2" t="str">
        <f>IFERROR(__xludf.DUMMYFUNCTION("""COMPUTED_VALUE"""),"BANGLADESH KRISHI BANK")</f>
        <v>BANGLADESH KRISHI BANK</v>
      </c>
      <c r="E2029" s="2" t="str">
        <f>IFERROR(__xludf.DUMMYFUNCTION("""COMPUTED_VALUE"""),"POURO MARKET")</f>
        <v>POURO MARKET</v>
      </c>
      <c r="F2029" s="3">
        <f>IFERROR(__xludf.DUMMYFUNCTION("""COMPUTED_VALUE"""),8.0)</f>
        <v>8</v>
      </c>
      <c r="G2029" s="5">
        <f>IFERROR(__xludf.DUMMYFUNCTION("""COMPUTED_VALUE"""),3.5670089E7)</f>
        <v>35670089</v>
      </c>
    </row>
    <row r="2030">
      <c r="A2030" s="3">
        <f>IFERROR(__xludf.DUMMYFUNCTION("""COMPUTED_VALUE"""),167.0)</f>
        <v>167</v>
      </c>
      <c r="B2030" s="2" t="str">
        <f>IFERROR(__xludf.DUMMYFUNCTION("""COMPUTED_VALUE"""),"NARAYANGANJ")</f>
        <v>NARAYANGANJ</v>
      </c>
      <c r="C2030" s="4">
        <f>IFERROR(__xludf.DUMMYFUNCTION("""COMPUTED_VALUE"""),35.0)</f>
        <v>35</v>
      </c>
      <c r="D2030" s="2" t="str">
        <f>IFERROR(__xludf.DUMMYFUNCTION("""COMPUTED_VALUE"""),"BANGLADESH KRISHI BANK")</f>
        <v>BANGLADESH KRISHI BANK</v>
      </c>
      <c r="E2030" s="2" t="str">
        <f>IFERROR(__xludf.DUMMYFUNCTION("""COMPUTED_VALUE"""),"BANDAR")</f>
        <v>BANDAR</v>
      </c>
      <c r="F2030" s="3">
        <f>IFERROR(__xludf.DUMMYFUNCTION("""COMPUTED_VALUE"""),16.0)</f>
        <v>16</v>
      </c>
      <c r="G2030" s="5">
        <f>IFERROR(__xludf.DUMMYFUNCTION("""COMPUTED_VALUE"""),3.5670168E7)</f>
        <v>35670168</v>
      </c>
    </row>
    <row r="2031">
      <c r="A2031" s="3">
        <f>IFERROR(__xludf.DUMMYFUNCTION("""COMPUTED_VALUE"""),167.0)</f>
        <v>167</v>
      </c>
      <c r="B2031" s="2" t="str">
        <f>IFERROR(__xludf.DUMMYFUNCTION("""COMPUTED_VALUE"""),"NARAYANGANJ")</f>
        <v>NARAYANGANJ</v>
      </c>
      <c r="C2031" s="4">
        <f>IFERROR(__xludf.DUMMYFUNCTION("""COMPUTED_VALUE"""),35.0)</f>
        <v>35</v>
      </c>
      <c r="D2031" s="2" t="str">
        <f>IFERROR(__xludf.DUMMYFUNCTION("""COMPUTED_VALUE"""),"BANGLADESH KRISHI BANK")</f>
        <v>BANGLADESH KRISHI BANK</v>
      </c>
      <c r="E2031" s="2" t="str">
        <f>IFERROR(__xludf.DUMMYFUNCTION("""COMPUTED_VALUE"""),"FATULLA")</f>
        <v>FATULLA</v>
      </c>
      <c r="F2031" s="3">
        <f>IFERROR(__xludf.DUMMYFUNCTION("""COMPUTED_VALUE"""),52.0)</f>
        <v>52</v>
      </c>
      <c r="G2031" s="5">
        <f>IFERROR(__xludf.DUMMYFUNCTION("""COMPUTED_VALUE"""),3.5670526E7)</f>
        <v>35670526</v>
      </c>
    </row>
    <row r="2032">
      <c r="A2032" s="3">
        <f>IFERROR(__xludf.DUMMYFUNCTION("""COMPUTED_VALUE"""),167.0)</f>
        <v>167</v>
      </c>
      <c r="B2032" s="2" t="str">
        <f>IFERROR(__xludf.DUMMYFUNCTION("""COMPUTED_VALUE"""),"NARAYANGANJ")</f>
        <v>NARAYANGANJ</v>
      </c>
      <c r="C2032" s="4">
        <f>IFERROR(__xludf.DUMMYFUNCTION("""COMPUTED_VALUE"""),35.0)</f>
        <v>35</v>
      </c>
      <c r="D2032" s="2" t="str">
        <f>IFERROR(__xludf.DUMMYFUNCTION("""COMPUTED_VALUE"""),"BANGLADESH KRISHI BANK")</f>
        <v>BANGLADESH KRISHI BANK</v>
      </c>
      <c r="E2032" s="2" t="str">
        <f>IFERROR(__xludf.DUMMYFUNCTION("""COMPUTED_VALUE"""),"GOLAKANDAIL")</f>
        <v>GOLAKANDAIL</v>
      </c>
      <c r="F2032" s="3">
        <f>IFERROR(__xludf.DUMMYFUNCTION("""COMPUTED_VALUE"""),58.0)</f>
        <v>58</v>
      </c>
      <c r="G2032" s="5">
        <f>IFERROR(__xludf.DUMMYFUNCTION("""COMPUTED_VALUE"""),3.5670584E7)</f>
        <v>35670584</v>
      </c>
    </row>
    <row r="2033">
      <c r="A2033" s="3">
        <f>IFERROR(__xludf.DUMMYFUNCTION("""COMPUTED_VALUE"""),167.0)</f>
        <v>167</v>
      </c>
      <c r="B2033" s="2" t="str">
        <f>IFERROR(__xludf.DUMMYFUNCTION("""COMPUTED_VALUE"""),"NARAYANGANJ")</f>
        <v>NARAYANGANJ</v>
      </c>
      <c r="C2033" s="4">
        <f>IFERROR(__xludf.DUMMYFUNCTION("""COMPUTED_VALUE"""),35.0)</f>
        <v>35</v>
      </c>
      <c r="D2033" s="2" t="str">
        <f>IFERROR(__xludf.DUMMYFUNCTION("""COMPUTED_VALUE"""),"BANGLADESH KRISHI BANK")</f>
        <v>BANGLADESH KRISHI BANK</v>
      </c>
      <c r="E2033" s="2" t="str">
        <f>IFERROR(__xludf.DUMMYFUNCTION("""COMPUTED_VALUE"""),"HOSSAINPUR")</f>
        <v>HOSSAINPUR</v>
      </c>
      <c r="F2033" s="3">
        <f>IFERROR(__xludf.DUMMYFUNCTION("""COMPUTED_VALUE"""),64.0)</f>
        <v>64</v>
      </c>
      <c r="G2033" s="5">
        <f>IFERROR(__xludf.DUMMYFUNCTION("""COMPUTED_VALUE"""),3.5670647E7)</f>
        <v>35670647</v>
      </c>
    </row>
    <row r="2034">
      <c r="A2034" s="3">
        <f>IFERROR(__xludf.DUMMYFUNCTION("""COMPUTED_VALUE"""),167.0)</f>
        <v>167</v>
      </c>
      <c r="B2034" s="2" t="str">
        <f>IFERROR(__xludf.DUMMYFUNCTION("""COMPUTED_VALUE"""),"NARAYANGANJ")</f>
        <v>NARAYANGANJ</v>
      </c>
      <c r="C2034" s="4">
        <f>IFERROR(__xludf.DUMMYFUNCTION("""COMPUTED_VALUE"""),35.0)</f>
        <v>35</v>
      </c>
      <c r="D2034" s="2" t="str">
        <f>IFERROR(__xludf.DUMMYFUNCTION("""COMPUTED_VALUE"""),"BANGLADESH KRISHI BANK")</f>
        <v>BANGLADESH KRISHI BANK</v>
      </c>
      <c r="E2034" s="2" t="str">
        <f>IFERROR(__xludf.DUMMYFUNCTION("""COMPUTED_VALUE"""),"ISAPURA BAZAR")</f>
        <v>ISAPURA BAZAR</v>
      </c>
      <c r="F2034" s="3">
        <f>IFERROR(__xludf.DUMMYFUNCTION("""COMPUTED_VALUE"""),67.0)</f>
        <v>67</v>
      </c>
      <c r="G2034" s="5">
        <f>IFERROR(__xludf.DUMMYFUNCTION("""COMPUTED_VALUE"""),3.5670676E7)</f>
        <v>35670676</v>
      </c>
    </row>
    <row r="2035">
      <c r="A2035" s="3">
        <f>IFERROR(__xludf.DUMMYFUNCTION("""COMPUTED_VALUE"""),167.0)</f>
        <v>167</v>
      </c>
      <c r="B2035" s="2" t="str">
        <f>IFERROR(__xludf.DUMMYFUNCTION("""COMPUTED_VALUE"""),"NARAYANGANJ")</f>
        <v>NARAYANGANJ</v>
      </c>
      <c r="C2035" s="4">
        <f>IFERROR(__xludf.DUMMYFUNCTION("""COMPUTED_VALUE"""),35.0)</f>
        <v>35</v>
      </c>
      <c r="D2035" s="2" t="str">
        <f>IFERROR(__xludf.DUMMYFUNCTION("""COMPUTED_VALUE"""),"BANGLADESH KRISHI BANK")</f>
        <v>BANGLADESH KRISHI BANK</v>
      </c>
      <c r="E2035" s="2" t="str">
        <f>IFERROR(__xludf.DUMMYFUNCTION("""COMPUTED_VALUE"""),"JHANGALIA BAZAR")</f>
        <v>JHANGALIA BAZAR</v>
      </c>
      <c r="F2035" s="3">
        <f>IFERROR(__xludf.DUMMYFUNCTION("""COMPUTED_VALUE"""),70.0)</f>
        <v>70</v>
      </c>
      <c r="G2035" s="5">
        <f>IFERROR(__xludf.DUMMYFUNCTION("""COMPUTED_VALUE"""),3.56707E7)</f>
        <v>35670700</v>
      </c>
    </row>
    <row r="2036">
      <c r="A2036" s="3">
        <f>IFERROR(__xludf.DUMMYFUNCTION("""COMPUTED_VALUE"""),167.0)</f>
        <v>167</v>
      </c>
      <c r="B2036" s="2" t="str">
        <f>IFERROR(__xludf.DUMMYFUNCTION("""COMPUTED_VALUE"""),"NARAYANGANJ")</f>
        <v>NARAYANGANJ</v>
      </c>
      <c r="C2036" s="4">
        <f>IFERROR(__xludf.DUMMYFUNCTION("""COMPUTED_VALUE"""),35.0)</f>
        <v>35</v>
      </c>
      <c r="D2036" s="2" t="str">
        <f>IFERROR(__xludf.DUMMYFUNCTION("""COMPUTED_VALUE"""),"BANGLADESH KRISHI BANK")</f>
        <v>BANGLADESH KRISHI BANK</v>
      </c>
      <c r="E2036" s="2" t="str">
        <f>IFERROR(__xludf.DUMMYFUNCTION("""COMPUTED_VALUE"""),"MADANPUR")</f>
        <v>MADANPUR</v>
      </c>
      <c r="F2036" s="3">
        <f>IFERROR(__xludf.DUMMYFUNCTION("""COMPUTED_VALUE"""),97.0)</f>
        <v>97</v>
      </c>
      <c r="G2036" s="5">
        <f>IFERROR(__xludf.DUMMYFUNCTION("""COMPUTED_VALUE"""),3.5670971E7)</f>
        <v>35670971</v>
      </c>
    </row>
    <row r="2037">
      <c r="A2037" s="3">
        <f>IFERROR(__xludf.DUMMYFUNCTION("""COMPUTED_VALUE"""),167.0)</f>
        <v>167</v>
      </c>
      <c r="B2037" s="2" t="str">
        <f>IFERROR(__xludf.DUMMYFUNCTION("""COMPUTED_VALUE"""),"NARAYANGANJ")</f>
        <v>NARAYANGANJ</v>
      </c>
      <c r="C2037" s="4">
        <f>IFERROR(__xludf.DUMMYFUNCTION("""COMPUTED_VALUE"""),35.0)</f>
        <v>35</v>
      </c>
      <c r="D2037" s="2" t="str">
        <f>IFERROR(__xludf.DUMMYFUNCTION("""COMPUTED_VALUE"""),"BANGLADESH KRISHI BANK")</f>
        <v>BANGLADESH KRISHI BANK</v>
      </c>
      <c r="E2037" s="2" t="str">
        <f>IFERROR(__xludf.DUMMYFUNCTION("""COMPUTED_VALUE"""),"MOHAJAMPUR")</f>
        <v>MOHAJAMPUR</v>
      </c>
      <c r="F2037" s="3">
        <f>IFERROR(__xludf.DUMMYFUNCTION("""COMPUTED_VALUE"""),109.0)</f>
        <v>109</v>
      </c>
      <c r="G2037" s="5">
        <f>IFERROR(__xludf.DUMMYFUNCTION("""COMPUTED_VALUE"""),3.5671091E7)</f>
        <v>35671091</v>
      </c>
    </row>
    <row r="2038">
      <c r="A2038" s="3">
        <f>IFERROR(__xludf.DUMMYFUNCTION("""COMPUTED_VALUE"""),167.0)</f>
        <v>167</v>
      </c>
      <c r="B2038" s="2" t="str">
        <f>IFERROR(__xludf.DUMMYFUNCTION("""COMPUTED_VALUE"""),"NARAYANGANJ")</f>
        <v>NARAYANGANJ</v>
      </c>
      <c r="C2038" s="4">
        <f>IFERROR(__xludf.DUMMYFUNCTION("""COMPUTED_VALUE"""),35.0)</f>
        <v>35</v>
      </c>
      <c r="D2038" s="2" t="str">
        <f>IFERROR(__xludf.DUMMYFUNCTION("""COMPUTED_VALUE"""),"BANGLADESH KRISHI BANK")</f>
        <v>BANGLADESH KRISHI BANK</v>
      </c>
      <c r="E2038" s="2" t="str">
        <f>IFERROR(__xludf.DUMMYFUNCTION("""COMPUTED_VALUE"""),"NARAYANGANJ")</f>
        <v>NARAYANGANJ</v>
      </c>
      <c r="F2038" s="3">
        <f>IFERROR(__xludf.DUMMYFUNCTION("""COMPUTED_VALUE"""),118.0)</f>
        <v>118</v>
      </c>
      <c r="G2038" s="5">
        <f>IFERROR(__xludf.DUMMYFUNCTION("""COMPUTED_VALUE"""),3.5671183E7)</f>
        <v>35671183</v>
      </c>
    </row>
    <row r="2039">
      <c r="A2039" s="3">
        <f>IFERROR(__xludf.DUMMYFUNCTION("""COMPUTED_VALUE"""),167.0)</f>
        <v>167</v>
      </c>
      <c r="B2039" s="2" t="str">
        <f>IFERROR(__xludf.DUMMYFUNCTION("""COMPUTED_VALUE"""),"NARAYANGANJ")</f>
        <v>NARAYANGANJ</v>
      </c>
      <c r="C2039" s="4">
        <f>IFERROR(__xludf.DUMMYFUNCTION("""COMPUTED_VALUE"""),35.0)</f>
        <v>35</v>
      </c>
      <c r="D2039" s="2" t="str">
        <f>IFERROR(__xludf.DUMMYFUNCTION("""COMPUTED_VALUE"""),"BANGLADESH KRISHI BANK")</f>
        <v>BANGLADESH KRISHI BANK</v>
      </c>
      <c r="E2039" s="2" t="str">
        <f>IFERROR(__xludf.DUMMYFUNCTION("""COMPUTED_VALUE"""),"RUPGANJ")</f>
        <v>RUPGANJ</v>
      </c>
      <c r="F2039" s="3">
        <f>IFERROR(__xludf.DUMMYFUNCTION("""COMPUTED_VALUE"""),145.0)</f>
        <v>145</v>
      </c>
      <c r="G2039" s="5">
        <f>IFERROR(__xludf.DUMMYFUNCTION("""COMPUTED_VALUE"""),3.5671459E7)</f>
        <v>35671459</v>
      </c>
    </row>
    <row r="2040">
      <c r="A2040" s="3">
        <f>IFERROR(__xludf.DUMMYFUNCTION("""COMPUTED_VALUE"""),167.0)</f>
        <v>167</v>
      </c>
      <c r="B2040" s="2" t="str">
        <f>IFERROR(__xludf.DUMMYFUNCTION("""COMPUTED_VALUE"""),"NARAYANGANJ")</f>
        <v>NARAYANGANJ</v>
      </c>
      <c r="C2040" s="4">
        <f>IFERROR(__xludf.DUMMYFUNCTION("""COMPUTED_VALUE"""),35.0)</f>
        <v>35</v>
      </c>
      <c r="D2040" s="2" t="str">
        <f>IFERROR(__xludf.DUMMYFUNCTION("""COMPUTED_VALUE"""),"BANGLADESH KRISHI BANK")</f>
        <v>BANGLADESH KRISHI BANK</v>
      </c>
      <c r="E2040" s="2" t="str">
        <f>IFERROR(__xludf.DUMMYFUNCTION("""COMPUTED_VALUE"""),"SATGAON")</f>
        <v>SATGAON</v>
      </c>
      <c r="F2040" s="3">
        <f>IFERROR(__xludf.DUMMYFUNCTION("""COMPUTED_VALUE"""),151.0)</f>
        <v>151</v>
      </c>
      <c r="G2040" s="5">
        <f>IFERROR(__xludf.DUMMYFUNCTION("""COMPUTED_VALUE"""),3.5671512E7)</f>
        <v>35671512</v>
      </c>
    </row>
    <row r="2041">
      <c r="A2041" s="3">
        <f>IFERROR(__xludf.DUMMYFUNCTION("""COMPUTED_VALUE"""),167.0)</f>
        <v>167</v>
      </c>
      <c r="B2041" s="2" t="str">
        <f>IFERROR(__xludf.DUMMYFUNCTION("""COMPUTED_VALUE"""),"NARAYANGANJ")</f>
        <v>NARAYANGANJ</v>
      </c>
      <c r="C2041" s="4">
        <f>IFERROR(__xludf.DUMMYFUNCTION("""COMPUTED_VALUE"""),35.0)</f>
        <v>35</v>
      </c>
      <c r="D2041" s="2" t="str">
        <f>IFERROR(__xludf.DUMMYFUNCTION("""COMPUTED_VALUE"""),"BANGLADESH KRISHI BANK")</f>
        <v>BANGLADESH KRISHI BANK</v>
      </c>
      <c r="E2041" s="2" t="str">
        <f>IFERROR(__xludf.DUMMYFUNCTION("""COMPUTED_VALUE"""),"SIDDIRGANJ")</f>
        <v>SIDDIRGANJ</v>
      </c>
      <c r="F2041" s="3">
        <f>IFERROR(__xludf.DUMMYFUNCTION("""COMPUTED_VALUE"""),160.0)</f>
        <v>160</v>
      </c>
      <c r="G2041" s="5">
        <f>IFERROR(__xludf.DUMMYFUNCTION("""COMPUTED_VALUE"""),3.5671604E7)</f>
        <v>35671604</v>
      </c>
    </row>
    <row r="2042">
      <c r="A2042" s="3">
        <f>IFERROR(__xludf.DUMMYFUNCTION("""COMPUTED_VALUE"""),167.0)</f>
        <v>167</v>
      </c>
      <c r="B2042" s="2" t="str">
        <f>IFERROR(__xludf.DUMMYFUNCTION("""COMPUTED_VALUE"""),"NARAYANGANJ")</f>
        <v>NARAYANGANJ</v>
      </c>
      <c r="C2042" s="4">
        <f>IFERROR(__xludf.DUMMYFUNCTION("""COMPUTED_VALUE"""),35.0)</f>
        <v>35</v>
      </c>
      <c r="D2042" s="2" t="str">
        <f>IFERROR(__xludf.DUMMYFUNCTION("""COMPUTED_VALUE"""),"BANGLADESH KRISHI BANK")</f>
        <v>BANGLADESH KRISHI BANK</v>
      </c>
      <c r="E2042" s="2" t="str">
        <f>IFERROR(__xludf.DUMMYFUNCTION("""COMPUTED_VALUE"""),"SONARGAON")</f>
        <v>SONARGAON</v>
      </c>
      <c r="F2042" s="3">
        <f>IFERROR(__xludf.DUMMYFUNCTION("""COMPUTED_VALUE"""),169.0)</f>
        <v>169</v>
      </c>
      <c r="G2042" s="5">
        <f>IFERROR(__xludf.DUMMYFUNCTION("""COMPUTED_VALUE"""),3.5671691E7)</f>
        <v>35671691</v>
      </c>
    </row>
    <row r="2043">
      <c r="A2043" s="3">
        <f>IFERROR(__xludf.DUMMYFUNCTION("""COMPUTED_VALUE"""),168.0)</f>
        <v>168</v>
      </c>
      <c r="B2043" s="2" t="str">
        <f>IFERROR(__xludf.DUMMYFUNCTION("""COMPUTED_VALUE"""),"NARSHINGDI")</f>
        <v>NARSHINGDI</v>
      </c>
      <c r="C2043" s="4">
        <f>IFERROR(__xludf.DUMMYFUNCTION("""COMPUTED_VALUE"""),35.0)</f>
        <v>35</v>
      </c>
      <c r="D2043" s="2" t="str">
        <f>IFERROR(__xludf.DUMMYFUNCTION("""COMPUTED_VALUE"""),"BANGLADESH KRISHI BANK")</f>
        <v>BANGLADESH KRISHI BANK</v>
      </c>
      <c r="E2043" s="2" t="str">
        <f>IFERROR(__xludf.DUMMYFUNCTION("""COMPUTED_VALUE"""),"CHORONGORDI BAZAR")</f>
        <v>CHORONGORDI BAZAR</v>
      </c>
      <c r="F2043" s="3">
        <f>IFERROR(__xludf.DUMMYFUNCTION("""COMPUTED_VALUE"""),5.0)</f>
        <v>5</v>
      </c>
      <c r="G2043" s="5">
        <f>IFERROR(__xludf.DUMMYFUNCTION("""COMPUTED_VALUE"""),3.5680053E7)</f>
        <v>35680053</v>
      </c>
    </row>
    <row r="2044">
      <c r="A2044" s="3">
        <f>IFERROR(__xludf.DUMMYFUNCTION("""COMPUTED_VALUE"""),168.0)</f>
        <v>168</v>
      </c>
      <c r="B2044" s="2" t="str">
        <f>IFERROR(__xludf.DUMMYFUNCTION("""COMPUTED_VALUE"""),"NARSHINGDI")</f>
        <v>NARSHINGDI</v>
      </c>
      <c r="C2044" s="4">
        <f>IFERROR(__xludf.DUMMYFUNCTION("""COMPUTED_VALUE"""),35.0)</f>
        <v>35</v>
      </c>
      <c r="D2044" s="2" t="str">
        <f>IFERROR(__xludf.DUMMYFUNCTION("""COMPUTED_VALUE"""),"BANGLADESH KRISHI BANK")</f>
        <v>BANGLADESH KRISHI BANK</v>
      </c>
      <c r="E2044" s="2" t="str">
        <f>IFERROR(__xludf.DUMMYFUNCTION("""COMPUTED_VALUE"""),"ALGEE BAZAR")</f>
        <v>ALGEE BAZAR</v>
      </c>
      <c r="F2044" s="3">
        <f>IFERROR(__xludf.DUMMYFUNCTION("""COMPUTED_VALUE"""),6.0)</f>
        <v>6</v>
      </c>
      <c r="G2044" s="5">
        <f>IFERROR(__xludf.DUMMYFUNCTION("""COMPUTED_VALUE"""),3.5680066E7)</f>
        <v>35680066</v>
      </c>
    </row>
    <row r="2045">
      <c r="A2045" s="3">
        <f>IFERROR(__xludf.DUMMYFUNCTION("""COMPUTED_VALUE"""),168.0)</f>
        <v>168</v>
      </c>
      <c r="B2045" s="2" t="str">
        <f>IFERROR(__xludf.DUMMYFUNCTION("""COMPUTED_VALUE"""),"NARSHINGDI")</f>
        <v>NARSHINGDI</v>
      </c>
      <c r="C2045" s="4">
        <f>IFERROR(__xludf.DUMMYFUNCTION("""COMPUTED_VALUE"""),35.0)</f>
        <v>35</v>
      </c>
      <c r="D2045" s="2" t="str">
        <f>IFERROR(__xludf.DUMMYFUNCTION("""COMPUTED_VALUE"""),"BANGLADESH KRISHI BANK")</f>
        <v>BANGLADESH KRISHI BANK</v>
      </c>
      <c r="E2045" s="2" t="str">
        <f>IFERROR(__xludf.DUMMYFUNCTION("""COMPUTED_VALUE"""),"SHAHEPROTAP")</f>
        <v>SHAHEPROTAP</v>
      </c>
      <c r="F2045" s="3">
        <f>IFERROR(__xludf.DUMMYFUNCTION("""COMPUTED_VALUE"""),9.0)</f>
        <v>9</v>
      </c>
      <c r="G2045" s="5">
        <f>IFERROR(__xludf.DUMMYFUNCTION("""COMPUTED_VALUE"""),3.5680095E7)</f>
        <v>35680095</v>
      </c>
    </row>
    <row r="2046">
      <c r="A2046" s="3">
        <f>IFERROR(__xludf.DUMMYFUNCTION("""COMPUTED_VALUE"""),168.0)</f>
        <v>168</v>
      </c>
      <c r="B2046" s="2" t="str">
        <f>IFERROR(__xludf.DUMMYFUNCTION("""COMPUTED_VALUE"""),"NARSHINGDI")</f>
        <v>NARSHINGDI</v>
      </c>
      <c r="C2046" s="4">
        <f>IFERROR(__xludf.DUMMYFUNCTION("""COMPUTED_VALUE"""),35.0)</f>
        <v>35</v>
      </c>
      <c r="D2046" s="2" t="str">
        <f>IFERROR(__xludf.DUMMYFUNCTION("""COMPUTED_VALUE"""),"BANGLADESH KRISHI BANK")</f>
        <v>BANGLADESH KRISHI BANK</v>
      </c>
      <c r="E2046" s="2" t="str">
        <f>IFERROR(__xludf.DUMMYFUNCTION("""COMPUTED_VALUE"""),"BABURHAT")</f>
        <v>BABURHAT</v>
      </c>
      <c r="F2046" s="3">
        <f>IFERROR(__xludf.DUMMYFUNCTION("""COMPUTED_VALUE"""),10.0)</f>
        <v>10</v>
      </c>
      <c r="G2046" s="5">
        <f>IFERROR(__xludf.DUMMYFUNCTION("""COMPUTED_VALUE"""),3.5680103E7)</f>
        <v>35680103</v>
      </c>
    </row>
    <row r="2047">
      <c r="A2047" s="3">
        <f>IFERROR(__xludf.DUMMYFUNCTION("""COMPUTED_VALUE"""),168.0)</f>
        <v>168</v>
      </c>
      <c r="B2047" s="2" t="str">
        <f>IFERROR(__xludf.DUMMYFUNCTION("""COMPUTED_VALUE"""),"NARSHINGDI")</f>
        <v>NARSHINGDI</v>
      </c>
      <c r="C2047" s="4">
        <f>IFERROR(__xludf.DUMMYFUNCTION("""COMPUTED_VALUE"""),35.0)</f>
        <v>35</v>
      </c>
      <c r="D2047" s="2" t="str">
        <f>IFERROR(__xludf.DUMMYFUNCTION("""COMPUTED_VALUE"""),"BANGLADESH KRISHI BANK")</f>
        <v>BANGLADESH KRISHI BANK</v>
      </c>
      <c r="E2047" s="2" t="str">
        <f>IFERROR(__xludf.DUMMYFUNCTION("""COMPUTED_VALUE"""),"PAIKAN BAZAR")</f>
        <v>PAIKAN BAZAR</v>
      </c>
      <c r="F2047" s="3">
        <f>IFERROR(__xludf.DUMMYFUNCTION("""COMPUTED_VALUE"""),11.0)</f>
        <v>11</v>
      </c>
      <c r="G2047" s="5">
        <f>IFERROR(__xludf.DUMMYFUNCTION("""COMPUTED_VALUE"""),3.5680116E7)</f>
        <v>35680116</v>
      </c>
    </row>
    <row r="2048">
      <c r="A2048" s="3">
        <f>IFERROR(__xludf.DUMMYFUNCTION("""COMPUTED_VALUE"""),168.0)</f>
        <v>168</v>
      </c>
      <c r="B2048" s="2" t="str">
        <f>IFERROR(__xludf.DUMMYFUNCTION("""COMPUTED_VALUE"""),"NARSHINGDI")</f>
        <v>NARSHINGDI</v>
      </c>
      <c r="C2048" s="4">
        <f>IFERROR(__xludf.DUMMYFUNCTION("""COMPUTED_VALUE"""),35.0)</f>
        <v>35</v>
      </c>
      <c r="D2048" s="2" t="str">
        <f>IFERROR(__xludf.DUMMYFUNCTION("""COMPUTED_VALUE"""),"BANGLADESH KRISHI BANK")</f>
        <v>BANGLADESH KRISHI BANK</v>
      </c>
      <c r="E2048" s="2" t="str">
        <f>IFERROR(__xludf.DUMMYFUNCTION("""COMPUTED_VALUE"""),"BANNAR BAZAR")</f>
        <v>BANNAR BAZAR</v>
      </c>
      <c r="F2048" s="3">
        <f>IFERROR(__xludf.DUMMYFUNCTION("""COMPUTED_VALUE"""),16.0)</f>
        <v>16</v>
      </c>
      <c r="G2048" s="5">
        <f>IFERROR(__xludf.DUMMYFUNCTION("""COMPUTED_VALUE"""),3.5680161E7)</f>
        <v>35680161</v>
      </c>
    </row>
    <row r="2049">
      <c r="A2049" s="3">
        <f>IFERROR(__xludf.DUMMYFUNCTION("""COMPUTED_VALUE"""),168.0)</f>
        <v>168</v>
      </c>
      <c r="B2049" s="2" t="str">
        <f>IFERROR(__xludf.DUMMYFUNCTION("""COMPUTED_VALUE"""),"NARSHINGDI")</f>
        <v>NARSHINGDI</v>
      </c>
      <c r="C2049" s="4">
        <f>IFERROR(__xludf.DUMMYFUNCTION("""COMPUTED_VALUE"""),35.0)</f>
        <v>35</v>
      </c>
      <c r="D2049" s="2" t="str">
        <f>IFERROR(__xludf.DUMMYFUNCTION("""COMPUTED_VALUE"""),"BANGLADESH KRISHI BANK")</f>
        <v>BANGLADESH KRISHI BANK</v>
      </c>
      <c r="E2049" s="2" t="str">
        <f>IFERROR(__xludf.DUMMYFUNCTION("""COMPUTED_VALUE"""),"BARAICHA BAZAR")</f>
        <v>BARAICHA BAZAR</v>
      </c>
      <c r="F2049" s="3">
        <f>IFERROR(__xludf.DUMMYFUNCTION("""COMPUTED_VALUE"""),19.0)</f>
        <v>19</v>
      </c>
      <c r="G2049" s="5">
        <f>IFERROR(__xludf.DUMMYFUNCTION("""COMPUTED_VALUE"""),3.568019E7)</f>
        <v>35680190</v>
      </c>
    </row>
    <row r="2050">
      <c r="A2050" s="3">
        <f>IFERROR(__xludf.DUMMYFUNCTION("""COMPUTED_VALUE"""),168.0)</f>
        <v>168</v>
      </c>
      <c r="B2050" s="2" t="str">
        <f>IFERROR(__xludf.DUMMYFUNCTION("""COMPUTED_VALUE"""),"NARSHINGDI")</f>
        <v>NARSHINGDI</v>
      </c>
      <c r="C2050" s="4">
        <f>IFERROR(__xludf.DUMMYFUNCTION("""COMPUTED_VALUE"""),35.0)</f>
        <v>35</v>
      </c>
      <c r="D2050" s="2" t="str">
        <f>IFERROR(__xludf.DUMMYFUNCTION("""COMPUTED_VALUE"""),"BANGLADESH KRISHI BANK")</f>
        <v>BANGLADESH KRISHI BANK</v>
      </c>
      <c r="E2050" s="2" t="str">
        <f>IFERROR(__xludf.DUMMYFUNCTION("""COMPUTED_VALUE"""),"BELABO")</f>
        <v>BELABO</v>
      </c>
      <c r="F2050" s="3">
        <f>IFERROR(__xludf.DUMMYFUNCTION("""COMPUTED_VALUE"""),25.0)</f>
        <v>25</v>
      </c>
      <c r="G2050" s="5">
        <f>IFERROR(__xludf.DUMMYFUNCTION("""COMPUTED_VALUE"""),3.5680253E7)</f>
        <v>35680253</v>
      </c>
    </row>
    <row r="2051">
      <c r="A2051" s="3">
        <f>IFERROR(__xludf.DUMMYFUNCTION("""COMPUTED_VALUE"""),168.0)</f>
        <v>168</v>
      </c>
      <c r="B2051" s="2" t="str">
        <f>IFERROR(__xludf.DUMMYFUNCTION("""COMPUTED_VALUE"""),"NARSHINGDI")</f>
        <v>NARSHINGDI</v>
      </c>
      <c r="C2051" s="4">
        <f>IFERROR(__xludf.DUMMYFUNCTION("""COMPUTED_VALUE"""),35.0)</f>
        <v>35</v>
      </c>
      <c r="D2051" s="2" t="str">
        <f>IFERROR(__xludf.DUMMYFUNCTION("""COMPUTED_VALUE"""),"BANGLADESH KRISHI BANK")</f>
        <v>BANGLADESH KRISHI BANK</v>
      </c>
      <c r="E2051" s="2" t="str">
        <f>IFERROR(__xludf.DUMMYFUNCTION("""COMPUTED_VALUE"""),"CHARSUBUDDI BAZAR")</f>
        <v>CHARSUBUDDI BAZAR</v>
      </c>
      <c r="F2051" s="3">
        <f>IFERROR(__xludf.DUMMYFUNCTION("""COMPUTED_VALUE"""),37.0)</f>
        <v>37</v>
      </c>
      <c r="G2051" s="5">
        <f>IFERROR(__xludf.DUMMYFUNCTION("""COMPUTED_VALUE"""),3.5680374E7)</f>
        <v>35680374</v>
      </c>
    </row>
    <row r="2052">
      <c r="A2052" s="3">
        <f>IFERROR(__xludf.DUMMYFUNCTION("""COMPUTED_VALUE"""),168.0)</f>
        <v>168</v>
      </c>
      <c r="B2052" s="2" t="str">
        <f>IFERROR(__xludf.DUMMYFUNCTION("""COMPUTED_VALUE"""),"NARSHINGDI")</f>
        <v>NARSHINGDI</v>
      </c>
      <c r="C2052" s="4">
        <f>IFERROR(__xludf.DUMMYFUNCTION("""COMPUTED_VALUE"""),35.0)</f>
        <v>35</v>
      </c>
      <c r="D2052" s="2" t="str">
        <f>IFERROR(__xludf.DUMMYFUNCTION("""COMPUTED_VALUE"""),"BANGLADESH KRISHI BANK")</f>
        <v>BANGLADESH KRISHI BANK</v>
      </c>
      <c r="E2052" s="2" t="str">
        <f>IFERROR(__xludf.DUMMYFUNCTION("""COMPUTED_VALUE"""),"GHORASAL")</f>
        <v>GHORASAL</v>
      </c>
      <c r="F2052" s="3">
        <f>IFERROR(__xludf.DUMMYFUNCTION("""COMPUTED_VALUE"""),49.0)</f>
        <v>49</v>
      </c>
      <c r="G2052" s="5">
        <f>IFERROR(__xludf.DUMMYFUNCTION("""COMPUTED_VALUE"""),3.5680495E7)</f>
        <v>35680495</v>
      </c>
    </row>
    <row r="2053">
      <c r="A2053" s="3">
        <f>IFERROR(__xludf.DUMMYFUNCTION("""COMPUTED_VALUE"""),168.0)</f>
        <v>168</v>
      </c>
      <c r="B2053" s="2" t="str">
        <f>IFERROR(__xludf.DUMMYFUNCTION("""COMPUTED_VALUE"""),"NARSHINGDI")</f>
        <v>NARSHINGDI</v>
      </c>
      <c r="C2053" s="4">
        <f>IFERROR(__xludf.DUMMYFUNCTION("""COMPUTED_VALUE"""),35.0)</f>
        <v>35</v>
      </c>
      <c r="D2053" s="2" t="str">
        <f>IFERROR(__xludf.DUMMYFUNCTION("""COMPUTED_VALUE"""),"BANGLADESH KRISHI BANK")</f>
        <v>BANGLADESH KRISHI BANK</v>
      </c>
      <c r="E2053" s="2" t="str">
        <f>IFERROR(__xludf.DUMMYFUNCTION("""COMPUTED_VALUE"""),"HATIRDIA")</f>
        <v>HATIRDIA</v>
      </c>
      <c r="F2053" s="3">
        <f>IFERROR(__xludf.DUMMYFUNCTION("""COMPUTED_VALUE"""),55.0)</f>
        <v>55</v>
      </c>
      <c r="G2053" s="5">
        <f>IFERROR(__xludf.DUMMYFUNCTION("""COMPUTED_VALUE"""),3.5680558E7)</f>
        <v>35680558</v>
      </c>
    </row>
    <row r="2054">
      <c r="A2054" s="3">
        <f>IFERROR(__xludf.DUMMYFUNCTION("""COMPUTED_VALUE"""),168.0)</f>
        <v>168</v>
      </c>
      <c r="B2054" s="2" t="str">
        <f>IFERROR(__xludf.DUMMYFUNCTION("""COMPUTED_VALUE"""),"NARSHINGDI")</f>
        <v>NARSHINGDI</v>
      </c>
      <c r="C2054" s="4">
        <f>IFERROR(__xludf.DUMMYFUNCTION("""COMPUTED_VALUE"""),35.0)</f>
        <v>35</v>
      </c>
      <c r="D2054" s="2" t="str">
        <f>IFERROR(__xludf.DUMMYFUNCTION("""COMPUTED_VALUE"""),"BANGLADESH KRISHI BANK")</f>
        <v>BANGLADESH KRISHI BANK</v>
      </c>
      <c r="E2054" s="2" t="str">
        <f>IFERROR(__xludf.DUMMYFUNCTION("""COMPUTED_VALUE"""),"LAKHPUR BAZAR")</f>
        <v>LAKHPUR BAZAR</v>
      </c>
      <c r="F2054" s="3">
        <f>IFERROR(__xludf.DUMMYFUNCTION("""COMPUTED_VALUE"""),64.0)</f>
        <v>64</v>
      </c>
      <c r="G2054" s="5">
        <f>IFERROR(__xludf.DUMMYFUNCTION("""COMPUTED_VALUE"""),3.568064E7)</f>
        <v>35680640</v>
      </c>
    </row>
    <row r="2055">
      <c r="A2055" s="3">
        <f>IFERROR(__xludf.DUMMYFUNCTION("""COMPUTED_VALUE"""),168.0)</f>
        <v>168</v>
      </c>
      <c r="B2055" s="2" t="str">
        <f>IFERROR(__xludf.DUMMYFUNCTION("""COMPUTED_VALUE"""),"NARSHINGDI")</f>
        <v>NARSHINGDI</v>
      </c>
      <c r="C2055" s="4">
        <f>IFERROR(__xludf.DUMMYFUNCTION("""COMPUTED_VALUE"""),35.0)</f>
        <v>35</v>
      </c>
      <c r="D2055" s="2" t="str">
        <f>IFERROR(__xludf.DUMMYFUNCTION("""COMPUTED_VALUE"""),"BANGLADESH KRISHI BANK")</f>
        <v>BANGLADESH KRISHI BANK</v>
      </c>
      <c r="E2055" s="2" t="str">
        <f>IFERROR(__xludf.DUMMYFUNCTION("""COMPUTED_VALUE"""),"MONOHARDI")</f>
        <v>MONOHARDI</v>
      </c>
      <c r="F2055" s="3">
        <f>IFERROR(__xludf.DUMMYFUNCTION("""COMPUTED_VALUE"""),73.0)</f>
        <v>73</v>
      </c>
      <c r="G2055" s="5">
        <f>IFERROR(__xludf.DUMMYFUNCTION("""COMPUTED_VALUE"""),3.5680732E7)</f>
        <v>35680732</v>
      </c>
    </row>
    <row r="2056">
      <c r="A2056" s="3">
        <f>IFERROR(__xludf.DUMMYFUNCTION("""COMPUTED_VALUE"""),168.0)</f>
        <v>168</v>
      </c>
      <c r="B2056" s="2" t="str">
        <f>IFERROR(__xludf.DUMMYFUNCTION("""COMPUTED_VALUE"""),"NARSHINGDI")</f>
        <v>NARSHINGDI</v>
      </c>
      <c r="C2056" s="4">
        <f>IFERROR(__xludf.DUMMYFUNCTION("""COMPUTED_VALUE"""),35.0)</f>
        <v>35</v>
      </c>
      <c r="D2056" s="2" t="str">
        <f>IFERROR(__xludf.DUMMYFUNCTION("""COMPUTED_VALUE"""),"BANGLADESH KRISHI BANK")</f>
        <v>BANGLADESH KRISHI BANK</v>
      </c>
      <c r="E2056" s="2" t="str">
        <f>IFERROR(__xludf.DUMMYFUNCTION("""COMPUTED_VALUE"""),"MORJAL BAZAR")</f>
        <v>MORJAL BAZAR</v>
      </c>
      <c r="F2056" s="3">
        <f>IFERROR(__xludf.DUMMYFUNCTION("""COMPUTED_VALUE"""),76.0)</f>
        <v>76</v>
      </c>
      <c r="G2056" s="5">
        <f>IFERROR(__xludf.DUMMYFUNCTION("""COMPUTED_VALUE"""),3.5680761E7)</f>
        <v>35680761</v>
      </c>
    </row>
    <row r="2057">
      <c r="A2057" s="3">
        <f>IFERROR(__xludf.DUMMYFUNCTION("""COMPUTED_VALUE"""),168.0)</f>
        <v>168</v>
      </c>
      <c r="B2057" s="2" t="str">
        <f>IFERROR(__xludf.DUMMYFUNCTION("""COMPUTED_VALUE"""),"NARSHINGDI")</f>
        <v>NARSHINGDI</v>
      </c>
      <c r="C2057" s="4">
        <f>IFERROR(__xludf.DUMMYFUNCTION("""COMPUTED_VALUE"""),35.0)</f>
        <v>35</v>
      </c>
      <c r="D2057" s="2" t="str">
        <f>IFERROR(__xludf.DUMMYFUNCTION("""COMPUTED_VALUE"""),"BANGLADESH KRISHI BANK")</f>
        <v>BANGLADESH KRISHI BANK</v>
      </c>
      <c r="E2057" s="2" t="str">
        <f>IFERROR(__xludf.DUMMYFUNCTION("""COMPUTED_VALUE"""),"MUNSEFER CHAR")</f>
        <v>MUNSEFER CHAR</v>
      </c>
      <c r="F2057" s="3">
        <f>IFERROR(__xludf.DUMMYFUNCTION("""COMPUTED_VALUE"""),77.0)</f>
        <v>77</v>
      </c>
      <c r="G2057" s="5">
        <f>IFERROR(__xludf.DUMMYFUNCTION("""COMPUTED_VALUE"""),3.5680774E7)</f>
        <v>35680774</v>
      </c>
    </row>
    <row r="2058">
      <c r="A2058" s="3">
        <f>IFERROR(__xludf.DUMMYFUNCTION("""COMPUTED_VALUE"""),168.0)</f>
        <v>168</v>
      </c>
      <c r="B2058" s="2" t="str">
        <f>IFERROR(__xludf.DUMMYFUNCTION("""COMPUTED_VALUE"""),"NARSHINGDI")</f>
        <v>NARSHINGDI</v>
      </c>
      <c r="C2058" s="4">
        <f>IFERROR(__xludf.DUMMYFUNCTION("""COMPUTED_VALUE"""),35.0)</f>
        <v>35</v>
      </c>
      <c r="D2058" s="2" t="str">
        <f>IFERROR(__xludf.DUMMYFUNCTION("""COMPUTED_VALUE"""),"BANGLADESH KRISHI BANK")</f>
        <v>BANGLADESH KRISHI BANK</v>
      </c>
      <c r="E2058" s="2" t="str">
        <f>IFERROR(__xludf.DUMMYFUNCTION("""COMPUTED_VALUE"""),"NARSHINGDI")</f>
        <v>NARSHINGDI</v>
      </c>
      <c r="F2058" s="3">
        <f>IFERROR(__xludf.DUMMYFUNCTION("""COMPUTED_VALUE"""),85.0)</f>
        <v>85</v>
      </c>
      <c r="G2058" s="5">
        <f>IFERROR(__xludf.DUMMYFUNCTION("""COMPUTED_VALUE"""),3.5680853E7)</f>
        <v>35680853</v>
      </c>
    </row>
    <row r="2059">
      <c r="A2059" s="3">
        <f>IFERROR(__xludf.DUMMYFUNCTION("""COMPUTED_VALUE"""),168.0)</f>
        <v>168</v>
      </c>
      <c r="B2059" s="2" t="str">
        <f>IFERROR(__xludf.DUMMYFUNCTION("""COMPUTED_VALUE"""),"NARSHINGDI")</f>
        <v>NARSHINGDI</v>
      </c>
      <c r="C2059" s="4">
        <f>IFERROR(__xludf.DUMMYFUNCTION("""COMPUTED_VALUE"""),35.0)</f>
        <v>35</v>
      </c>
      <c r="D2059" s="2" t="str">
        <f>IFERROR(__xludf.DUMMYFUNCTION("""COMPUTED_VALUE"""),"BANGLADESH KRISHI BANK")</f>
        <v>BANGLADESH KRISHI BANK</v>
      </c>
      <c r="E2059" s="2" t="str">
        <f>IFERROR(__xludf.DUMMYFUNCTION("""COMPUTED_VALUE"""),"PALASH")</f>
        <v>PALASH</v>
      </c>
      <c r="F2059" s="3">
        <f>IFERROR(__xludf.DUMMYFUNCTION("""COMPUTED_VALUE"""),91.0)</f>
        <v>91</v>
      </c>
      <c r="G2059" s="5">
        <f>IFERROR(__xludf.DUMMYFUNCTION("""COMPUTED_VALUE"""),3.5680916E7)</f>
        <v>35680916</v>
      </c>
    </row>
    <row r="2060">
      <c r="A2060" s="3">
        <f>IFERROR(__xludf.DUMMYFUNCTION("""COMPUTED_VALUE"""),168.0)</f>
        <v>168</v>
      </c>
      <c r="B2060" s="2" t="str">
        <f>IFERROR(__xludf.DUMMYFUNCTION("""COMPUTED_VALUE"""),"NARSHINGDI")</f>
        <v>NARSHINGDI</v>
      </c>
      <c r="C2060" s="4">
        <f>IFERROR(__xludf.DUMMYFUNCTION("""COMPUTED_VALUE"""),35.0)</f>
        <v>35</v>
      </c>
      <c r="D2060" s="2" t="str">
        <f>IFERROR(__xludf.DUMMYFUNCTION("""COMPUTED_VALUE"""),"BANGLADESH KRISHI BANK")</f>
        <v>BANGLADESH KRISHI BANK</v>
      </c>
      <c r="E2060" s="2" t="str">
        <f>IFERROR(__xludf.DUMMYFUNCTION("""COMPUTED_VALUE"""),"PORADIA BAZAR")</f>
        <v>PORADIA BAZAR</v>
      </c>
      <c r="F2060" s="3">
        <f>IFERROR(__xludf.DUMMYFUNCTION("""COMPUTED_VALUE"""),100.0)</f>
        <v>100</v>
      </c>
      <c r="G2060" s="5">
        <f>IFERROR(__xludf.DUMMYFUNCTION("""COMPUTED_VALUE"""),3.5681007E7)</f>
        <v>35681007</v>
      </c>
    </row>
    <row r="2061">
      <c r="A2061" s="3">
        <f>IFERROR(__xludf.DUMMYFUNCTION("""COMPUTED_VALUE"""),168.0)</f>
        <v>168</v>
      </c>
      <c r="B2061" s="2" t="str">
        <f>IFERROR(__xludf.DUMMYFUNCTION("""COMPUTED_VALUE"""),"NARSHINGDI")</f>
        <v>NARSHINGDI</v>
      </c>
      <c r="C2061" s="4">
        <f>IFERROR(__xludf.DUMMYFUNCTION("""COMPUTED_VALUE"""),35.0)</f>
        <v>35</v>
      </c>
      <c r="D2061" s="2" t="str">
        <f>IFERROR(__xludf.DUMMYFUNCTION("""COMPUTED_VALUE"""),"BANGLADESH KRISHI BANK")</f>
        <v>BANGLADESH KRISHI BANK</v>
      </c>
      <c r="E2061" s="2" t="str">
        <f>IFERROR(__xludf.DUMMYFUNCTION("""COMPUTED_VALUE"""),"RAIPURA")</f>
        <v>RAIPURA</v>
      </c>
      <c r="F2061" s="3">
        <f>IFERROR(__xludf.DUMMYFUNCTION("""COMPUTED_VALUE"""),109.0)</f>
        <v>109</v>
      </c>
      <c r="G2061" s="5">
        <f>IFERROR(__xludf.DUMMYFUNCTION("""COMPUTED_VALUE"""),3.5681094E7)</f>
        <v>35681094</v>
      </c>
    </row>
    <row r="2062">
      <c r="A2062" s="3">
        <f>IFERROR(__xludf.DUMMYFUNCTION("""COMPUTED_VALUE"""),168.0)</f>
        <v>168</v>
      </c>
      <c r="B2062" s="2" t="str">
        <f>IFERROR(__xludf.DUMMYFUNCTION("""COMPUTED_VALUE"""),"NARSHINGDI")</f>
        <v>NARSHINGDI</v>
      </c>
      <c r="C2062" s="4">
        <f>IFERROR(__xludf.DUMMYFUNCTION("""COMPUTED_VALUE"""),35.0)</f>
        <v>35</v>
      </c>
      <c r="D2062" s="2" t="str">
        <f>IFERROR(__xludf.DUMMYFUNCTION("""COMPUTED_VALUE"""),"BANGLADESH KRISHI BANK")</f>
        <v>BANGLADESH KRISHI BANK</v>
      </c>
      <c r="E2062" s="2" t="str">
        <f>IFERROR(__xludf.DUMMYFUNCTION("""COMPUTED_VALUE"""),"SHEKER BAZAR")</f>
        <v>SHEKER BAZAR</v>
      </c>
      <c r="F2062" s="3">
        <f>IFERROR(__xludf.DUMMYFUNCTION("""COMPUTED_VALUE"""),124.0)</f>
        <v>124</v>
      </c>
      <c r="G2062" s="5">
        <f>IFERROR(__xludf.DUMMYFUNCTION("""COMPUTED_VALUE"""),3.5681249E7)</f>
        <v>35681249</v>
      </c>
    </row>
    <row r="2063">
      <c r="A2063" s="3">
        <f>IFERROR(__xludf.DUMMYFUNCTION("""COMPUTED_VALUE"""),168.0)</f>
        <v>168</v>
      </c>
      <c r="B2063" s="2" t="str">
        <f>IFERROR(__xludf.DUMMYFUNCTION("""COMPUTED_VALUE"""),"NARSHINGDI")</f>
        <v>NARSHINGDI</v>
      </c>
      <c r="C2063" s="4">
        <f>IFERROR(__xludf.DUMMYFUNCTION("""COMPUTED_VALUE"""),35.0)</f>
        <v>35</v>
      </c>
      <c r="D2063" s="2" t="str">
        <f>IFERROR(__xludf.DUMMYFUNCTION("""COMPUTED_VALUE"""),"BANGLADESH KRISHI BANK")</f>
        <v>BANGLADESH KRISHI BANK</v>
      </c>
      <c r="E2063" s="2" t="str">
        <f>IFERROR(__xludf.DUMMYFUNCTION("""COMPUTED_VALUE"""),"SHIBPUR")</f>
        <v>SHIBPUR</v>
      </c>
      <c r="F2063" s="3">
        <f>IFERROR(__xludf.DUMMYFUNCTION("""COMPUTED_VALUE"""),130.0)</f>
        <v>130</v>
      </c>
      <c r="G2063" s="5">
        <f>IFERROR(__xludf.DUMMYFUNCTION("""COMPUTED_VALUE"""),3.5681302E7)</f>
        <v>35681302</v>
      </c>
    </row>
    <row r="2064">
      <c r="A2064" s="3">
        <f>IFERROR(__xludf.DUMMYFUNCTION("""COMPUTED_VALUE"""),172.0)</f>
        <v>172</v>
      </c>
      <c r="B2064" s="2" t="str">
        <f>IFERROR(__xludf.DUMMYFUNCTION("""COMPUTED_VALUE"""),"NETROKONA")</f>
        <v>NETROKONA</v>
      </c>
      <c r="C2064" s="4">
        <f>IFERROR(__xludf.DUMMYFUNCTION("""COMPUTED_VALUE"""),35.0)</f>
        <v>35</v>
      </c>
      <c r="D2064" s="2" t="str">
        <f>IFERROR(__xludf.DUMMYFUNCTION("""COMPUTED_VALUE"""),"BANGLADESH KRISHI BANK")</f>
        <v>BANGLADESH KRISHI BANK</v>
      </c>
      <c r="E2064" s="2" t="str">
        <f>IFERROR(__xludf.DUMMYFUNCTION("""COMPUTED_VALUE"""),"ATPARA")</f>
        <v>ATPARA</v>
      </c>
      <c r="F2064" s="3">
        <f>IFERROR(__xludf.DUMMYFUNCTION("""COMPUTED_VALUE"""),4.0)</f>
        <v>4</v>
      </c>
      <c r="G2064" s="5">
        <f>IFERROR(__xludf.DUMMYFUNCTION("""COMPUTED_VALUE"""),3.5720047E7)</f>
        <v>35720047</v>
      </c>
    </row>
    <row r="2065">
      <c r="A2065" s="3">
        <f>IFERROR(__xludf.DUMMYFUNCTION("""COMPUTED_VALUE"""),172.0)</f>
        <v>172</v>
      </c>
      <c r="B2065" s="2" t="str">
        <f>IFERROR(__xludf.DUMMYFUNCTION("""COMPUTED_VALUE"""),"NETROKONA")</f>
        <v>NETROKONA</v>
      </c>
      <c r="C2065" s="4">
        <f>IFERROR(__xludf.DUMMYFUNCTION("""COMPUTED_VALUE"""),35.0)</f>
        <v>35</v>
      </c>
      <c r="D2065" s="2" t="str">
        <f>IFERROR(__xludf.DUMMYFUNCTION("""COMPUTED_VALUE"""),"BANGLADESH KRISHI BANK")</f>
        <v>BANGLADESH KRISHI BANK</v>
      </c>
      <c r="E2065" s="2" t="str">
        <f>IFERROR(__xludf.DUMMYFUNCTION("""COMPUTED_VALUE"""),"CHESRAKHALI")</f>
        <v>CHESRAKHALI</v>
      </c>
      <c r="F2065" s="4">
        <f>IFERROR(__xludf.DUMMYFUNCTION("""COMPUTED_VALUE"""),6.0)</f>
        <v>6</v>
      </c>
      <c r="G2065" s="5">
        <f>IFERROR(__xludf.DUMMYFUNCTION("""COMPUTED_VALUE"""),3.5720063E7)</f>
        <v>35720063</v>
      </c>
    </row>
    <row r="2066">
      <c r="A2066" s="3">
        <f>IFERROR(__xludf.DUMMYFUNCTION("""COMPUTED_VALUE"""),172.0)</f>
        <v>172</v>
      </c>
      <c r="B2066" s="2" t="str">
        <f>IFERROR(__xludf.DUMMYFUNCTION("""COMPUTED_VALUE"""),"NETROKONA")</f>
        <v>NETROKONA</v>
      </c>
      <c r="C2066" s="4">
        <f>IFERROR(__xludf.DUMMYFUNCTION("""COMPUTED_VALUE"""),35.0)</f>
        <v>35</v>
      </c>
      <c r="D2066" s="2" t="str">
        <f>IFERROR(__xludf.DUMMYFUNCTION("""COMPUTED_VALUE"""),"BANGLADESH KRISHI BANK")</f>
        <v>BANGLADESH KRISHI BANK</v>
      </c>
      <c r="E2066" s="2" t="str">
        <f>IFERROR(__xludf.DUMMYFUNCTION("""COMPUTED_VALUE"""),"BARAHATTA")</f>
        <v>BARAHATTA</v>
      </c>
      <c r="F2066" s="4">
        <f>IFERROR(__xludf.DUMMYFUNCTION("""COMPUTED_VALUE"""),7.0)</f>
        <v>7</v>
      </c>
      <c r="G2066" s="5">
        <f>IFERROR(__xludf.DUMMYFUNCTION("""COMPUTED_VALUE"""),3.5720076E7)</f>
        <v>35720076</v>
      </c>
    </row>
    <row r="2067">
      <c r="A2067" s="3">
        <f>IFERROR(__xludf.DUMMYFUNCTION("""COMPUTED_VALUE"""),172.0)</f>
        <v>172</v>
      </c>
      <c r="B2067" s="2" t="str">
        <f>IFERROR(__xludf.DUMMYFUNCTION("""COMPUTED_VALUE"""),"NETROKONA")</f>
        <v>NETROKONA</v>
      </c>
      <c r="C2067" s="4">
        <f>IFERROR(__xludf.DUMMYFUNCTION("""COMPUTED_VALUE"""),35.0)</f>
        <v>35</v>
      </c>
      <c r="D2067" s="2" t="str">
        <f>IFERROR(__xludf.DUMMYFUNCTION("""COMPUTED_VALUE"""),"BANGLADESH KRISHI BANK")</f>
        <v>BANGLADESH KRISHI BANK</v>
      </c>
      <c r="E2067" s="2" t="str">
        <f>IFERROR(__xludf.DUMMYFUNCTION("""COMPUTED_VALUE"""),"CHALLHISHA BAZAR")</f>
        <v>CHALLHISHA BAZAR</v>
      </c>
      <c r="F2067" s="4">
        <f>IFERROR(__xludf.DUMMYFUNCTION("""COMPUTED_VALUE"""),13.0)</f>
        <v>13</v>
      </c>
      <c r="G2067" s="5">
        <f>IFERROR(__xludf.DUMMYFUNCTION("""COMPUTED_VALUE"""),3.5720139E7)</f>
        <v>35720139</v>
      </c>
    </row>
    <row r="2068">
      <c r="A2068" s="3">
        <f>IFERROR(__xludf.DUMMYFUNCTION("""COMPUTED_VALUE"""),172.0)</f>
        <v>172</v>
      </c>
      <c r="B2068" s="2" t="str">
        <f>IFERROR(__xludf.DUMMYFUNCTION("""COMPUTED_VALUE"""),"NETROKONA")</f>
        <v>NETROKONA</v>
      </c>
      <c r="C2068" s="4">
        <f>IFERROR(__xludf.DUMMYFUNCTION("""COMPUTED_VALUE"""),35.0)</f>
        <v>35</v>
      </c>
      <c r="D2068" s="2" t="str">
        <f>IFERROR(__xludf.DUMMYFUNCTION("""COMPUTED_VALUE"""),"BANGLADESH KRISHI BANK")</f>
        <v>BANGLADESH KRISHI BANK</v>
      </c>
      <c r="E2068" s="2" t="str">
        <f>IFERROR(__xludf.DUMMYFUNCTION("""COMPUTED_VALUE"""),"DUOZ")</f>
        <v>DUOZ</v>
      </c>
      <c r="F2068" s="4">
        <f>IFERROR(__xludf.DUMMYFUNCTION("""COMPUTED_VALUE"""),16.0)</f>
        <v>16</v>
      </c>
      <c r="G2068" s="5">
        <f>IFERROR(__xludf.DUMMYFUNCTION("""COMPUTED_VALUE"""),3.5720168E7)</f>
        <v>35720168</v>
      </c>
    </row>
    <row r="2069">
      <c r="A2069" s="3">
        <f>IFERROR(__xludf.DUMMYFUNCTION("""COMPUTED_VALUE"""),172.0)</f>
        <v>172</v>
      </c>
      <c r="B2069" s="2" t="str">
        <f>IFERROR(__xludf.DUMMYFUNCTION("""COMPUTED_VALUE"""),"NETROKONA")</f>
        <v>NETROKONA</v>
      </c>
      <c r="C2069" s="4">
        <f>IFERROR(__xludf.DUMMYFUNCTION("""COMPUTED_VALUE"""),35.0)</f>
        <v>35</v>
      </c>
      <c r="D2069" s="2" t="str">
        <f>IFERROR(__xludf.DUMMYFUNCTION("""COMPUTED_VALUE"""),"BANGLADESH KRISHI BANK")</f>
        <v>BANGLADESH KRISHI BANK</v>
      </c>
      <c r="E2069" s="2" t="str">
        <f>IFERROR(__xludf.DUMMYFUNCTION("""COMPUTED_VALUE"""),"DURGAPUR")</f>
        <v>DURGAPUR</v>
      </c>
      <c r="F2069" s="4">
        <f>IFERROR(__xludf.DUMMYFUNCTION("""COMPUTED_VALUE"""),19.0)</f>
        <v>19</v>
      </c>
      <c r="G2069" s="5">
        <f>IFERROR(__xludf.DUMMYFUNCTION("""COMPUTED_VALUE"""),3.5720197E7)</f>
        <v>35720197</v>
      </c>
    </row>
    <row r="2070">
      <c r="A2070" s="3">
        <f>IFERROR(__xludf.DUMMYFUNCTION("""COMPUTED_VALUE"""),172.0)</f>
        <v>172</v>
      </c>
      <c r="B2070" s="2" t="str">
        <f>IFERROR(__xludf.DUMMYFUNCTION("""COMPUTED_VALUE"""),"NETROKONA")</f>
        <v>NETROKONA</v>
      </c>
      <c r="C2070" s="4">
        <f>IFERROR(__xludf.DUMMYFUNCTION("""COMPUTED_VALUE"""),35.0)</f>
        <v>35</v>
      </c>
      <c r="D2070" s="2" t="str">
        <f>IFERROR(__xludf.DUMMYFUNCTION("""COMPUTED_VALUE"""),"BANGLADESH KRISHI BANK")</f>
        <v>BANGLADESH KRISHI BANK</v>
      </c>
      <c r="E2070" s="2" t="str">
        <f>IFERROR(__xludf.DUMMYFUNCTION("""COMPUTED_VALUE"""),"HIRANPUR BAZAR")</f>
        <v>HIRANPUR BAZAR</v>
      </c>
      <c r="F2070" s="4">
        <f>IFERROR(__xludf.DUMMYFUNCTION("""COMPUTED_VALUE"""),25.0)</f>
        <v>25</v>
      </c>
      <c r="G2070" s="5">
        <f>IFERROR(__xludf.DUMMYFUNCTION("""COMPUTED_VALUE"""),3.572025E7)</f>
        <v>35720250</v>
      </c>
    </row>
    <row r="2071">
      <c r="A2071" s="3">
        <f>IFERROR(__xludf.DUMMYFUNCTION("""COMPUTED_VALUE"""),172.0)</f>
        <v>172</v>
      </c>
      <c r="B2071" s="2" t="str">
        <f>IFERROR(__xludf.DUMMYFUNCTION("""COMPUTED_VALUE"""),"NETROKONA")</f>
        <v>NETROKONA</v>
      </c>
      <c r="C2071" s="4">
        <f>IFERROR(__xludf.DUMMYFUNCTION("""COMPUTED_VALUE"""),35.0)</f>
        <v>35</v>
      </c>
      <c r="D2071" s="2" t="str">
        <f>IFERROR(__xludf.DUMMYFUNCTION("""COMPUTED_VALUE"""),"BANGLADESH KRISHI BANK")</f>
        <v>BANGLADESH KRISHI BANK</v>
      </c>
      <c r="E2071" s="2" t="str">
        <f>IFERROR(__xludf.DUMMYFUNCTION("""COMPUTED_VALUE"""),"JATRABARI BAZAR")</f>
        <v>JATRABARI BAZAR</v>
      </c>
      <c r="F2071" s="4">
        <f>IFERROR(__xludf.DUMMYFUNCTION("""COMPUTED_VALUE"""),31.0)</f>
        <v>31</v>
      </c>
      <c r="G2071" s="5">
        <f>IFERROR(__xludf.DUMMYFUNCTION("""COMPUTED_VALUE"""),3.5720313E7)</f>
        <v>35720313</v>
      </c>
    </row>
    <row r="2072">
      <c r="A2072" s="3">
        <f>IFERROR(__xludf.DUMMYFUNCTION("""COMPUTED_VALUE"""),172.0)</f>
        <v>172</v>
      </c>
      <c r="B2072" s="2" t="str">
        <f>IFERROR(__xludf.DUMMYFUNCTION("""COMPUTED_VALUE"""),"NETROKONA")</f>
        <v>NETROKONA</v>
      </c>
      <c r="C2072" s="4">
        <f>IFERROR(__xludf.DUMMYFUNCTION("""COMPUTED_VALUE"""),35.0)</f>
        <v>35</v>
      </c>
      <c r="D2072" s="2" t="str">
        <f>IFERROR(__xludf.DUMMYFUNCTION("""COMPUTED_VALUE"""),"BANGLADESH KRISHI BANK")</f>
        <v>BANGLADESH KRISHI BANK</v>
      </c>
      <c r="E2072" s="2" t="str">
        <f>IFERROR(__xludf.DUMMYFUNCTION("""COMPUTED_VALUE"""),"KADAMSRI")</f>
        <v>KADAMSRI</v>
      </c>
      <c r="F2072" s="4">
        <f>IFERROR(__xludf.DUMMYFUNCTION("""COMPUTED_VALUE"""),40.0)</f>
        <v>40</v>
      </c>
      <c r="G2072" s="5">
        <f>IFERROR(__xludf.DUMMYFUNCTION("""COMPUTED_VALUE"""),3.5720405E7)</f>
        <v>35720405</v>
      </c>
    </row>
    <row r="2073">
      <c r="A2073" s="3">
        <f>IFERROR(__xludf.DUMMYFUNCTION("""COMPUTED_VALUE"""),172.0)</f>
        <v>172</v>
      </c>
      <c r="B2073" s="2" t="str">
        <f>IFERROR(__xludf.DUMMYFUNCTION("""COMPUTED_VALUE"""),"NETROKONA")</f>
        <v>NETROKONA</v>
      </c>
      <c r="C2073" s="4">
        <f>IFERROR(__xludf.DUMMYFUNCTION("""COMPUTED_VALUE"""),35.0)</f>
        <v>35</v>
      </c>
      <c r="D2073" s="2" t="str">
        <f>IFERROR(__xludf.DUMMYFUNCTION("""COMPUTED_VALUE"""),"BANGLADESH KRISHI BANK")</f>
        <v>BANGLADESH KRISHI BANK</v>
      </c>
      <c r="E2073" s="2" t="str">
        <f>IFERROR(__xludf.DUMMYFUNCTION("""COMPUTED_VALUE"""),"KALMAKANDA")</f>
        <v>KALMAKANDA</v>
      </c>
      <c r="F2073" s="4">
        <f>IFERROR(__xludf.DUMMYFUNCTION("""COMPUTED_VALUE"""),43.0)</f>
        <v>43</v>
      </c>
      <c r="G2073" s="5">
        <f>IFERROR(__xludf.DUMMYFUNCTION("""COMPUTED_VALUE"""),3.5720434E7)</f>
        <v>35720434</v>
      </c>
    </row>
    <row r="2074">
      <c r="A2074" s="3">
        <f>IFERROR(__xludf.DUMMYFUNCTION("""COMPUTED_VALUE"""),172.0)</f>
        <v>172</v>
      </c>
      <c r="B2074" s="2" t="str">
        <f>IFERROR(__xludf.DUMMYFUNCTION("""COMPUTED_VALUE"""),"NETROKONA")</f>
        <v>NETROKONA</v>
      </c>
      <c r="C2074" s="4">
        <f>IFERROR(__xludf.DUMMYFUNCTION("""COMPUTED_VALUE"""),35.0)</f>
        <v>35</v>
      </c>
      <c r="D2074" s="2" t="str">
        <f>IFERROR(__xludf.DUMMYFUNCTION("""COMPUTED_VALUE"""),"BANGLADESH KRISHI BANK")</f>
        <v>BANGLADESH KRISHI BANK</v>
      </c>
      <c r="E2074" s="2" t="str">
        <f>IFERROR(__xludf.DUMMYFUNCTION("""COMPUTED_VALUE"""),"KENDUA")</f>
        <v>KENDUA</v>
      </c>
      <c r="F2074" s="4">
        <f>IFERROR(__xludf.DUMMYFUNCTION("""COMPUTED_VALUE"""),46.0)</f>
        <v>46</v>
      </c>
      <c r="G2074" s="5">
        <f>IFERROR(__xludf.DUMMYFUNCTION("""COMPUTED_VALUE"""),3.5720463E7)</f>
        <v>35720463</v>
      </c>
    </row>
    <row r="2075">
      <c r="A2075" s="3">
        <f>IFERROR(__xludf.DUMMYFUNCTION("""COMPUTED_VALUE"""),172.0)</f>
        <v>172</v>
      </c>
      <c r="B2075" s="2" t="str">
        <f>IFERROR(__xludf.DUMMYFUNCTION("""COMPUTED_VALUE"""),"NETROKONA")</f>
        <v>NETROKONA</v>
      </c>
      <c r="C2075" s="4">
        <f>IFERROR(__xludf.DUMMYFUNCTION("""COMPUTED_VALUE"""),35.0)</f>
        <v>35</v>
      </c>
      <c r="D2075" s="2" t="str">
        <f>IFERROR(__xludf.DUMMYFUNCTION("""COMPUTED_VALUE"""),"BANGLADESH KRISHI BANK")</f>
        <v>BANGLADESH KRISHI BANK</v>
      </c>
      <c r="E2075" s="2" t="str">
        <f>IFERROR(__xludf.DUMMYFUNCTION("""COMPUTED_VALUE"""),"KHALIAJURI")</f>
        <v>KHALIAJURI</v>
      </c>
      <c r="F2075" s="4">
        <f>IFERROR(__xludf.DUMMYFUNCTION("""COMPUTED_VALUE"""),49.0)</f>
        <v>49</v>
      </c>
      <c r="G2075" s="5">
        <f>IFERROR(__xludf.DUMMYFUNCTION("""COMPUTED_VALUE"""),3.5720492E7)</f>
        <v>35720492</v>
      </c>
    </row>
    <row r="2076">
      <c r="A2076" s="3">
        <f>IFERROR(__xludf.DUMMYFUNCTION("""COMPUTED_VALUE"""),172.0)</f>
        <v>172</v>
      </c>
      <c r="B2076" s="2" t="str">
        <f>IFERROR(__xludf.DUMMYFUNCTION("""COMPUTED_VALUE"""),"NETROKONA")</f>
        <v>NETROKONA</v>
      </c>
      <c r="C2076" s="4">
        <f>IFERROR(__xludf.DUMMYFUNCTION("""COMPUTED_VALUE"""),35.0)</f>
        <v>35</v>
      </c>
      <c r="D2076" s="2" t="str">
        <f>IFERROR(__xludf.DUMMYFUNCTION("""COMPUTED_VALUE"""),"BANGLADESH KRISHI BANK")</f>
        <v>BANGLADESH KRISHI BANK</v>
      </c>
      <c r="E2076" s="2" t="str">
        <f>IFERROR(__xludf.DUMMYFUNCTION("""COMPUTED_VALUE"""),"KHALISHAUR")</f>
        <v>KHALISHAUR</v>
      </c>
      <c r="F2076" s="4">
        <f>IFERROR(__xludf.DUMMYFUNCTION("""COMPUTED_VALUE"""),52.0)</f>
        <v>52</v>
      </c>
      <c r="G2076" s="5">
        <f>IFERROR(__xludf.DUMMYFUNCTION("""COMPUTED_VALUE"""),3.5720526E7)</f>
        <v>35720526</v>
      </c>
    </row>
    <row r="2077">
      <c r="A2077" s="3">
        <f>IFERROR(__xludf.DUMMYFUNCTION("""COMPUTED_VALUE"""),172.0)</f>
        <v>172</v>
      </c>
      <c r="B2077" s="2" t="str">
        <f>IFERROR(__xludf.DUMMYFUNCTION("""COMPUTED_VALUE"""),"NETROKONA")</f>
        <v>NETROKONA</v>
      </c>
      <c r="C2077" s="4">
        <f>IFERROR(__xludf.DUMMYFUNCTION("""COMPUTED_VALUE"""),35.0)</f>
        <v>35</v>
      </c>
      <c r="D2077" s="2" t="str">
        <f>IFERROR(__xludf.DUMMYFUNCTION("""COMPUTED_VALUE"""),"BANGLADESH KRISHI BANK")</f>
        <v>BANGLADESH KRISHI BANK</v>
      </c>
      <c r="E2077" s="2" t="str">
        <f>IFERROR(__xludf.DUMMYFUNCTION("""COMPUTED_VALUE"""),"KURPAR")</f>
        <v>KURPAR</v>
      </c>
      <c r="F2077" s="4">
        <f>IFERROR(__xludf.DUMMYFUNCTION("""COMPUTED_VALUE"""),55.0)</f>
        <v>55</v>
      </c>
      <c r="G2077" s="5">
        <f>IFERROR(__xludf.DUMMYFUNCTION("""COMPUTED_VALUE"""),3.5720555E7)</f>
        <v>35720555</v>
      </c>
    </row>
    <row r="2078">
      <c r="A2078" s="3">
        <f>IFERROR(__xludf.DUMMYFUNCTION("""COMPUTED_VALUE"""),172.0)</f>
        <v>172</v>
      </c>
      <c r="B2078" s="2" t="str">
        <f>IFERROR(__xludf.DUMMYFUNCTION("""COMPUTED_VALUE"""),"NETROKONA")</f>
        <v>NETROKONA</v>
      </c>
      <c r="C2078" s="4">
        <f>IFERROR(__xludf.DUMMYFUNCTION("""COMPUTED_VALUE"""),35.0)</f>
        <v>35</v>
      </c>
      <c r="D2078" s="2" t="str">
        <f>IFERROR(__xludf.DUMMYFUNCTION("""COMPUTED_VALUE"""),"BANGLADESH KRISHI BANK")</f>
        <v>BANGLADESH KRISHI BANK</v>
      </c>
      <c r="E2078" s="2" t="str">
        <f>IFERROR(__xludf.DUMMYFUNCTION("""COMPUTED_VALUE"""),"MADAN")</f>
        <v>MADAN</v>
      </c>
      <c r="F2078" s="4">
        <f>IFERROR(__xludf.DUMMYFUNCTION("""COMPUTED_VALUE"""),61.0)</f>
        <v>61</v>
      </c>
      <c r="G2078" s="5">
        <f>IFERROR(__xludf.DUMMYFUNCTION("""COMPUTED_VALUE"""),3.5720618E7)</f>
        <v>35720618</v>
      </c>
    </row>
    <row r="2079">
      <c r="A2079" s="3">
        <f>IFERROR(__xludf.DUMMYFUNCTION("""COMPUTED_VALUE"""),172.0)</f>
        <v>172</v>
      </c>
      <c r="B2079" s="2" t="str">
        <f>IFERROR(__xludf.DUMMYFUNCTION("""COMPUTED_VALUE"""),"NETROKONA")</f>
        <v>NETROKONA</v>
      </c>
      <c r="C2079" s="4">
        <f>IFERROR(__xludf.DUMMYFUNCTION("""COMPUTED_VALUE"""),35.0)</f>
        <v>35</v>
      </c>
      <c r="D2079" s="2" t="str">
        <f>IFERROR(__xludf.DUMMYFUNCTION("""COMPUTED_VALUE"""),"BANGLADESH KRISHI BANK")</f>
        <v>BANGLADESH KRISHI BANK</v>
      </c>
      <c r="E2079" s="2" t="str">
        <f>IFERROR(__xludf.DUMMYFUNCTION("""COMPUTED_VALUE"""),"MAHANGANJ")</f>
        <v>MAHANGANJ</v>
      </c>
      <c r="F2079" s="4">
        <f>IFERROR(__xludf.DUMMYFUNCTION("""COMPUTED_VALUE"""),67.0)</f>
        <v>67</v>
      </c>
      <c r="G2079" s="5">
        <f>IFERROR(__xludf.DUMMYFUNCTION("""COMPUTED_VALUE"""),3.5720676E7)</f>
        <v>35720676</v>
      </c>
    </row>
    <row r="2080">
      <c r="A2080" s="3">
        <f>IFERROR(__xludf.DUMMYFUNCTION("""COMPUTED_VALUE"""),172.0)</f>
        <v>172</v>
      </c>
      <c r="B2080" s="2" t="str">
        <f>IFERROR(__xludf.DUMMYFUNCTION("""COMPUTED_VALUE"""),"NETROKONA")</f>
        <v>NETROKONA</v>
      </c>
      <c r="C2080" s="4">
        <f>IFERROR(__xludf.DUMMYFUNCTION("""COMPUTED_VALUE"""),35.0)</f>
        <v>35</v>
      </c>
      <c r="D2080" s="2" t="str">
        <f>IFERROR(__xludf.DUMMYFUNCTION("""COMPUTED_VALUE"""),"BANGLADESH KRISHI BANK")</f>
        <v>BANGLADESH KRISHI BANK</v>
      </c>
      <c r="E2080" s="2" t="str">
        <f>IFERROR(__xludf.DUMMYFUNCTION("""COMPUTED_VALUE"""),"NAZIRPUR")</f>
        <v>NAZIRPUR</v>
      </c>
      <c r="F2080" s="4">
        <f>IFERROR(__xludf.DUMMYFUNCTION("""COMPUTED_VALUE"""),70.0)</f>
        <v>70</v>
      </c>
      <c r="G2080" s="5">
        <f>IFERROR(__xludf.DUMMYFUNCTION("""COMPUTED_VALUE"""),3.57207E7)</f>
        <v>35720700</v>
      </c>
    </row>
    <row r="2081">
      <c r="A2081" s="3">
        <f>IFERROR(__xludf.DUMMYFUNCTION("""COMPUTED_VALUE"""),172.0)</f>
        <v>172</v>
      </c>
      <c r="B2081" s="2" t="str">
        <f>IFERROR(__xludf.DUMMYFUNCTION("""COMPUTED_VALUE"""),"NETROKONA")</f>
        <v>NETROKONA</v>
      </c>
      <c r="C2081" s="4">
        <f>IFERROR(__xludf.DUMMYFUNCTION("""COMPUTED_VALUE"""),35.0)</f>
        <v>35</v>
      </c>
      <c r="D2081" s="2" t="str">
        <f>IFERROR(__xludf.DUMMYFUNCTION("""COMPUTED_VALUE"""),"BANGLADESH KRISHI BANK")</f>
        <v>BANGLADESH KRISHI BANK</v>
      </c>
      <c r="E2081" s="2" t="str">
        <f>IFERROR(__xludf.DUMMYFUNCTION("""COMPUTED_VALUE"""),"NETROKONA")</f>
        <v>NETROKONA</v>
      </c>
      <c r="F2081" s="4">
        <f>IFERROR(__xludf.DUMMYFUNCTION("""COMPUTED_VALUE"""),73.0)</f>
        <v>73</v>
      </c>
      <c r="G2081" s="5">
        <f>IFERROR(__xludf.DUMMYFUNCTION("""COMPUTED_VALUE"""),3.5720739E7)</f>
        <v>35720739</v>
      </c>
    </row>
    <row r="2082">
      <c r="A2082" s="3">
        <f>IFERROR(__xludf.DUMMYFUNCTION("""COMPUTED_VALUE"""),172.0)</f>
        <v>172</v>
      </c>
      <c r="B2082" s="2" t="str">
        <f>IFERROR(__xludf.DUMMYFUNCTION("""COMPUTED_VALUE"""),"NETROKONA")</f>
        <v>NETROKONA</v>
      </c>
      <c r="C2082" s="4">
        <f>IFERROR(__xludf.DUMMYFUNCTION("""COMPUTED_VALUE"""),35.0)</f>
        <v>35</v>
      </c>
      <c r="D2082" s="2" t="str">
        <f>IFERROR(__xludf.DUMMYFUNCTION("""COMPUTED_VALUE"""),"BANGLADESH KRISHI BANK")</f>
        <v>BANGLADESH KRISHI BANK</v>
      </c>
      <c r="E2082" s="2" t="str">
        <f>IFERROR(__xludf.DUMMYFUNCTION("""COMPUTED_VALUE"""),"PURBADHALA")</f>
        <v>PURBADHALA</v>
      </c>
      <c r="F2082" s="4">
        <f>IFERROR(__xludf.DUMMYFUNCTION("""COMPUTED_VALUE"""),79.0)</f>
        <v>79</v>
      </c>
      <c r="G2082" s="5">
        <f>IFERROR(__xludf.DUMMYFUNCTION("""COMPUTED_VALUE"""),3.5720797E7)</f>
        <v>35720797</v>
      </c>
    </row>
    <row r="2083">
      <c r="A2083" s="3">
        <f>IFERROR(__xludf.DUMMYFUNCTION("""COMPUTED_VALUE"""),172.0)</f>
        <v>172</v>
      </c>
      <c r="B2083" s="2" t="str">
        <f>IFERROR(__xludf.DUMMYFUNCTION("""COMPUTED_VALUE"""),"NETROKONA")</f>
        <v>NETROKONA</v>
      </c>
      <c r="C2083" s="4">
        <f>IFERROR(__xludf.DUMMYFUNCTION("""COMPUTED_VALUE"""),35.0)</f>
        <v>35</v>
      </c>
      <c r="D2083" s="2" t="str">
        <f>IFERROR(__xludf.DUMMYFUNCTION("""COMPUTED_VALUE"""),"BANGLADESH KRISHI BANK")</f>
        <v>BANGLADESH KRISHI BANK</v>
      </c>
      <c r="E2083" s="2" t="str">
        <f>IFERROR(__xludf.DUMMYFUNCTION("""COMPUTED_VALUE"""),"SHAHITPUR BAZAR")</f>
        <v>SHAHITPUR BAZAR</v>
      </c>
      <c r="F2083" s="4">
        <f>IFERROR(__xludf.DUMMYFUNCTION("""COMPUTED_VALUE"""),91.0)</f>
        <v>91</v>
      </c>
      <c r="G2083" s="5">
        <f>IFERROR(__xludf.DUMMYFUNCTION("""COMPUTED_VALUE"""),3.5720913E7)</f>
        <v>35720913</v>
      </c>
    </row>
    <row r="2084">
      <c r="A2084" s="3">
        <f>IFERROR(__xludf.DUMMYFUNCTION("""COMPUTED_VALUE"""),172.0)</f>
        <v>172</v>
      </c>
      <c r="B2084" s="2" t="str">
        <f>IFERROR(__xludf.DUMMYFUNCTION("""COMPUTED_VALUE"""),"NETROKONA")</f>
        <v>NETROKONA</v>
      </c>
      <c r="C2084" s="4">
        <f>IFERROR(__xludf.DUMMYFUNCTION("""COMPUTED_VALUE"""),35.0)</f>
        <v>35</v>
      </c>
      <c r="D2084" s="2" t="str">
        <f>IFERROR(__xludf.DUMMYFUNCTION("""COMPUTED_VALUE"""),"BANGLADESH KRISHI BANK")</f>
        <v>BANGLADESH KRISHI BANK</v>
      </c>
      <c r="E2084" s="2" t="str">
        <f>IFERROR(__xludf.DUMMYFUNCTION("""COMPUTED_VALUE"""),"SHYAMGANJ")</f>
        <v>SHYAMGANJ</v>
      </c>
      <c r="F2084" s="4">
        <f>IFERROR(__xludf.DUMMYFUNCTION("""COMPUTED_VALUE"""),94.0)</f>
        <v>94</v>
      </c>
      <c r="G2084" s="5">
        <f>IFERROR(__xludf.DUMMYFUNCTION("""COMPUTED_VALUE"""),3.5720942E7)</f>
        <v>35720942</v>
      </c>
    </row>
    <row r="2085">
      <c r="A2085" s="3">
        <f>IFERROR(__xludf.DUMMYFUNCTION("""COMPUTED_VALUE"""),172.0)</f>
        <v>172</v>
      </c>
      <c r="B2085" s="2" t="str">
        <f>IFERROR(__xludf.DUMMYFUNCTION("""COMPUTED_VALUE"""),"NETROKONA")</f>
        <v>NETROKONA</v>
      </c>
      <c r="C2085" s="4">
        <f>IFERROR(__xludf.DUMMYFUNCTION("""COMPUTED_VALUE"""),35.0)</f>
        <v>35</v>
      </c>
      <c r="D2085" s="2" t="str">
        <f>IFERROR(__xludf.DUMMYFUNCTION("""COMPUTED_VALUE"""),"BANGLADESH KRISHI BANK")</f>
        <v>BANGLADESH KRISHI BANK</v>
      </c>
      <c r="E2085" s="2" t="str">
        <f>IFERROR(__xludf.DUMMYFUNCTION("""COMPUTED_VALUE"""),"TATIRKONA")</f>
        <v>TATIRKONA</v>
      </c>
      <c r="F2085" s="4">
        <f>IFERROR(__xludf.DUMMYFUNCTION("""COMPUTED_VALUE"""),97.0)</f>
        <v>97</v>
      </c>
      <c r="G2085" s="5">
        <f>IFERROR(__xludf.DUMMYFUNCTION("""COMPUTED_VALUE"""),3.5720971E7)</f>
        <v>35720971</v>
      </c>
    </row>
    <row r="2086">
      <c r="A2086" s="3">
        <f>IFERROR(__xludf.DUMMYFUNCTION("""COMPUTED_VALUE"""),275.0)</f>
        <v>275</v>
      </c>
      <c r="B2086" s="2" t="str">
        <f>IFERROR(__xludf.DUMMYFUNCTION("""COMPUTED_VALUE"""),"NOAKHALI")</f>
        <v>NOAKHALI</v>
      </c>
      <c r="C2086" s="4">
        <f>IFERROR(__xludf.DUMMYFUNCTION("""COMPUTED_VALUE"""),35.0)</f>
        <v>35</v>
      </c>
      <c r="D2086" s="2" t="str">
        <f>IFERROR(__xludf.DUMMYFUNCTION("""COMPUTED_VALUE"""),"BANGLADESH KRISHI BANK")</f>
        <v>BANGLADESH KRISHI BANK</v>
      </c>
      <c r="E2086" s="2" t="str">
        <f>IFERROR(__xludf.DUMMYFUNCTION("""COMPUTED_VALUE"""),"ABIRPARA")</f>
        <v>ABIRPARA</v>
      </c>
      <c r="F2086" s="4">
        <f>IFERROR(__xludf.DUMMYFUNCTION("""COMPUTED_VALUE"""),8.0)</f>
        <v>8</v>
      </c>
      <c r="G2086" s="5">
        <f>IFERROR(__xludf.DUMMYFUNCTION("""COMPUTED_VALUE"""),3.5750088E7)</f>
        <v>35750088</v>
      </c>
    </row>
    <row r="2087">
      <c r="A2087" s="3">
        <f>IFERROR(__xludf.DUMMYFUNCTION("""COMPUTED_VALUE"""),275.0)</f>
        <v>275</v>
      </c>
      <c r="B2087" s="2" t="str">
        <f>IFERROR(__xludf.DUMMYFUNCTION("""COMPUTED_VALUE"""),"NOAKHALI")</f>
        <v>NOAKHALI</v>
      </c>
      <c r="C2087" s="4">
        <f>IFERROR(__xludf.DUMMYFUNCTION("""COMPUTED_VALUE"""),35.0)</f>
        <v>35</v>
      </c>
      <c r="D2087" s="2" t="str">
        <f>IFERROR(__xludf.DUMMYFUNCTION("""COMPUTED_VALUE"""),"BANGLADESH KRISHI BANK")</f>
        <v>BANGLADESH KRISHI BANK</v>
      </c>
      <c r="E2087" s="2" t="str">
        <f>IFERROR(__xludf.DUMMYFUNCTION("""COMPUTED_VALUE"""),"KORMULLAH BAZAR")</f>
        <v>KORMULLAH BAZAR</v>
      </c>
      <c r="F2087" s="4">
        <f>IFERROR(__xludf.DUMMYFUNCTION("""COMPUTED_VALUE"""),9.0)</f>
        <v>9</v>
      </c>
      <c r="G2087" s="5">
        <f>IFERROR(__xludf.DUMMYFUNCTION("""COMPUTED_VALUE"""),3.5750091E7)</f>
        <v>35750091</v>
      </c>
    </row>
    <row r="2088">
      <c r="A2088" s="3">
        <f>IFERROR(__xludf.DUMMYFUNCTION("""COMPUTED_VALUE"""),275.0)</f>
        <v>275</v>
      </c>
      <c r="B2088" s="2" t="str">
        <f>IFERROR(__xludf.DUMMYFUNCTION("""COMPUTED_VALUE"""),"NOAKHALI")</f>
        <v>NOAKHALI</v>
      </c>
      <c r="C2088" s="4">
        <f>IFERROR(__xludf.DUMMYFUNCTION("""COMPUTED_VALUE"""),35.0)</f>
        <v>35</v>
      </c>
      <c r="D2088" s="2" t="str">
        <f>IFERROR(__xludf.DUMMYFUNCTION("""COMPUTED_VALUE"""),"BANGLADESH KRISHI BANK")</f>
        <v>BANGLADESH KRISHI BANK</v>
      </c>
      <c r="E2088" s="2" t="str">
        <f>IFERROR(__xludf.DUMMYFUNCTION("""COMPUTED_VALUE"""),"YASIN HAZIRHAT")</f>
        <v>YASIN HAZIRHAT</v>
      </c>
      <c r="F2088" s="4">
        <f>IFERROR(__xludf.DUMMYFUNCTION("""COMPUTED_VALUE"""),12.0)</f>
        <v>12</v>
      </c>
      <c r="G2088" s="5">
        <f>IFERROR(__xludf.DUMMYFUNCTION("""COMPUTED_VALUE"""),3.5750125E7)</f>
        <v>35750125</v>
      </c>
    </row>
    <row r="2089">
      <c r="A2089" s="3">
        <f>IFERROR(__xludf.DUMMYFUNCTION("""COMPUTED_VALUE"""),275.0)</f>
        <v>275</v>
      </c>
      <c r="B2089" s="2" t="str">
        <f>IFERROR(__xludf.DUMMYFUNCTION("""COMPUTED_VALUE"""),"NOAKHALI")</f>
        <v>NOAKHALI</v>
      </c>
      <c r="C2089" s="4">
        <f>IFERROR(__xludf.DUMMYFUNCTION("""COMPUTED_VALUE"""),35.0)</f>
        <v>35</v>
      </c>
      <c r="D2089" s="2" t="str">
        <f>IFERROR(__xludf.DUMMYFUNCTION("""COMPUTED_VALUE"""),"BANGLADESH KRISHI BANK")</f>
        <v>BANGLADESH KRISHI BANK</v>
      </c>
      <c r="E2089" s="2" t="str">
        <f>IFERROR(__xludf.DUMMYFUNCTION("""COMPUTED_VALUE"""),"BASHURHAT")</f>
        <v>BASHURHAT</v>
      </c>
      <c r="F2089" s="4">
        <f>IFERROR(__xludf.DUMMYFUNCTION("""COMPUTED_VALUE"""),25.0)</f>
        <v>25</v>
      </c>
      <c r="G2089" s="5">
        <f>IFERROR(__xludf.DUMMYFUNCTION("""COMPUTED_VALUE"""),3.5750259E7)</f>
        <v>35750259</v>
      </c>
    </row>
    <row r="2090">
      <c r="A2090" s="3">
        <f>IFERROR(__xludf.DUMMYFUNCTION("""COMPUTED_VALUE"""),275.0)</f>
        <v>275</v>
      </c>
      <c r="B2090" s="2" t="str">
        <f>IFERROR(__xludf.DUMMYFUNCTION("""COMPUTED_VALUE"""),"NOAKHALI")</f>
        <v>NOAKHALI</v>
      </c>
      <c r="C2090" s="4">
        <f>IFERROR(__xludf.DUMMYFUNCTION("""COMPUTED_VALUE"""),35.0)</f>
        <v>35</v>
      </c>
      <c r="D2090" s="2" t="str">
        <f>IFERROR(__xludf.DUMMYFUNCTION("""COMPUTED_VALUE"""),"BANGLADESH KRISHI BANK")</f>
        <v>BANGLADESH KRISHI BANK</v>
      </c>
      <c r="E2090" s="2" t="str">
        <f>IFERROR(__xludf.DUMMYFUNCTION("""COMPUTED_VALUE"""),"BATTOLY BAZAR")</f>
        <v>BATTOLY BAZAR</v>
      </c>
      <c r="F2090" s="4">
        <f>IFERROR(__xludf.DUMMYFUNCTION("""COMPUTED_VALUE"""),28.0)</f>
        <v>28</v>
      </c>
      <c r="G2090" s="5">
        <f>IFERROR(__xludf.DUMMYFUNCTION("""COMPUTED_VALUE"""),3.5750288E7)</f>
        <v>35750288</v>
      </c>
    </row>
    <row r="2091">
      <c r="A2091" s="3">
        <f>IFERROR(__xludf.DUMMYFUNCTION("""COMPUTED_VALUE"""),275.0)</f>
        <v>275</v>
      </c>
      <c r="B2091" s="2" t="str">
        <f>IFERROR(__xludf.DUMMYFUNCTION("""COMPUTED_VALUE"""),"NOAKHALI")</f>
        <v>NOAKHALI</v>
      </c>
      <c r="C2091" s="4">
        <f>IFERROR(__xludf.DUMMYFUNCTION("""COMPUTED_VALUE"""),35.0)</f>
        <v>35</v>
      </c>
      <c r="D2091" s="2" t="str">
        <f>IFERROR(__xludf.DUMMYFUNCTION("""COMPUTED_VALUE"""),"BANGLADESH KRISHI BANK")</f>
        <v>BANGLADESH KRISHI BANK</v>
      </c>
      <c r="E2091" s="2" t="str">
        <f>IFERROR(__xludf.DUMMYFUNCTION("""COMPUTED_VALUE"""),"CHAR FHAKIRA")</f>
        <v>CHAR FHAKIRA</v>
      </c>
      <c r="F2091" s="4">
        <f>IFERROR(__xludf.DUMMYFUNCTION("""COMPUTED_VALUE"""),46.0)</f>
        <v>46</v>
      </c>
      <c r="G2091" s="5">
        <f>IFERROR(__xludf.DUMMYFUNCTION("""COMPUTED_VALUE"""),3.5750462E7)</f>
        <v>35750462</v>
      </c>
    </row>
    <row r="2092">
      <c r="A2092" s="3">
        <f>IFERROR(__xludf.DUMMYFUNCTION("""COMPUTED_VALUE"""),275.0)</f>
        <v>275</v>
      </c>
      <c r="B2092" s="2" t="str">
        <f>IFERROR(__xludf.DUMMYFUNCTION("""COMPUTED_VALUE"""),"NOAKHALI")</f>
        <v>NOAKHALI</v>
      </c>
      <c r="C2092" s="4">
        <f>IFERROR(__xludf.DUMMYFUNCTION("""COMPUTED_VALUE"""),35.0)</f>
        <v>35</v>
      </c>
      <c r="D2092" s="2" t="str">
        <f>IFERROR(__xludf.DUMMYFUNCTION("""COMPUTED_VALUE"""),"BANGLADESH KRISHI BANK")</f>
        <v>BANGLADESH KRISHI BANK</v>
      </c>
      <c r="E2092" s="2" t="str">
        <f>IFERROR(__xludf.DUMMYFUNCTION("""COMPUTED_VALUE"""),"CHARISHWER")</f>
        <v>CHARISHWER</v>
      </c>
      <c r="F2092" s="4">
        <f>IFERROR(__xludf.DUMMYFUNCTION("""COMPUTED_VALUE"""),52.0)</f>
        <v>52</v>
      </c>
      <c r="G2092" s="5">
        <f>IFERROR(__xludf.DUMMYFUNCTION("""COMPUTED_VALUE"""),3.5750525E7)</f>
        <v>35750525</v>
      </c>
    </row>
    <row r="2093">
      <c r="A2093" s="3">
        <f>IFERROR(__xludf.DUMMYFUNCTION("""COMPUTED_VALUE"""),275.0)</f>
        <v>275</v>
      </c>
      <c r="B2093" s="2" t="str">
        <f>IFERROR(__xludf.DUMMYFUNCTION("""COMPUTED_VALUE"""),"NOAKHALI")</f>
        <v>NOAKHALI</v>
      </c>
      <c r="C2093" s="4">
        <f>IFERROR(__xludf.DUMMYFUNCTION("""COMPUTED_VALUE"""),35.0)</f>
        <v>35</v>
      </c>
      <c r="D2093" s="2" t="str">
        <f>IFERROR(__xludf.DUMMYFUNCTION("""COMPUTED_VALUE"""),"BANGLADESH KRISHI BANK")</f>
        <v>BANGLADESH KRISHI BANK</v>
      </c>
      <c r="E2093" s="2" t="str">
        <f>IFERROR(__xludf.DUMMYFUNCTION("""COMPUTED_VALUE"""),"CHATKHIL")</f>
        <v>CHATKHIL</v>
      </c>
      <c r="F2093" s="4">
        <f>IFERROR(__xludf.DUMMYFUNCTION("""COMPUTED_VALUE"""),58.0)</f>
        <v>58</v>
      </c>
      <c r="G2093" s="5">
        <f>IFERROR(__xludf.DUMMYFUNCTION("""COMPUTED_VALUE"""),3.5750583E7)</f>
        <v>35750583</v>
      </c>
    </row>
    <row r="2094">
      <c r="A2094" s="3">
        <f>IFERROR(__xludf.DUMMYFUNCTION("""COMPUTED_VALUE"""),275.0)</f>
        <v>275</v>
      </c>
      <c r="B2094" s="2" t="str">
        <f>IFERROR(__xludf.DUMMYFUNCTION("""COMPUTED_VALUE"""),"NOAKHALI")</f>
        <v>NOAKHALI</v>
      </c>
      <c r="C2094" s="4">
        <f>IFERROR(__xludf.DUMMYFUNCTION("""COMPUTED_VALUE"""),35.0)</f>
        <v>35</v>
      </c>
      <c r="D2094" s="2" t="str">
        <f>IFERROR(__xludf.DUMMYFUNCTION("""COMPUTED_VALUE"""),"BANGLADESH KRISHI BANK")</f>
        <v>BANGLADESH KRISHI BANK</v>
      </c>
      <c r="E2094" s="2" t="str">
        <f>IFERROR(__xludf.DUMMYFUNCTION("""COMPUTED_VALUE"""),"CHOUMOHANI")</f>
        <v>CHOUMOHANI</v>
      </c>
      <c r="F2094" s="4">
        <f>IFERROR(__xludf.DUMMYFUNCTION("""COMPUTED_VALUE"""),67.0)</f>
        <v>67</v>
      </c>
      <c r="G2094" s="5">
        <f>IFERROR(__xludf.DUMMYFUNCTION("""COMPUTED_VALUE"""),3.5750675E7)</f>
        <v>35750675</v>
      </c>
    </row>
    <row r="2095">
      <c r="A2095" s="3">
        <f>IFERROR(__xludf.DUMMYFUNCTION("""COMPUTED_VALUE"""),275.0)</f>
        <v>275</v>
      </c>
      <c r="B2095" s="2" t="str">
        <f>IFERROR(__xludf.DUMMYFUNCTION("""COMPUTED_VALUE"""),"NOAKHALI")</f>
        <v>NOAKHALI</v>
      </c>
      <c r="C2095" s="4">
        <f>IFERROR(__xludf.DUMMYFUNCTION("""COMPUTED_VALUE"""),35.0)</f>
        <v>35</v>
      </c>
      <c r="D2095" s="2" t="str">
        <f>IFERROR(__xludf.DUMMYFUNCTION("""COMPUTED_VALUE"""),"BANGLADESH KRISHI BANK")</f>
        <v>BANGLADESH KRISHI BANK</v>
      </c>
      <c r="E2095" s="2" t="str">
        <f>IFERROR(__xludf.DUMMYFUNCTION("""COMPUTED_VALUE"""),"DEOTI BAZAR")</f>
        <v>DEOTI BAZAR</v>
      </c>
      <c r="F2095" s="4">
        <f>IFERROR(__xludf.DUMMYFUNCTION("""COMPUTED_VALUE"""),88.0)</f>
        <v>88</v>
      </c>
      <c r="G2095" s="5">
        <f>IFERROR(__xludf.DUMMYFUNCTION("""COMPUTED_VALUE"""),3.5750888E7)</f>
        <v>35750888</v>
      </c>
    </row>
    <row r="2096">
      <c r="A2096" s="3">
        <f>IFERROR(__xludf.DUMMYFUNCTION("""COMPUTED_VALUE"""),275.0)</f>
        <v>275</v>
      </c>
      <c r="B2096" s="2" t="str">
        <f>IFERROR(__xludf.DUMMYFUNCTION("""COMPUTED_VALUE"""),"NOAKHALI")</f>
        <v>NOAKHALI</v>
      </c>
      <c r="C2096" s="4">
        <f>IFERROR(__xludf.DUMMYFUNCTION("""COMPUTED_VALUE"""),35.0)</f>
        <v>35</v>
      </c>
      <c r="D2096" s="2" t="str">
        <f>IFERROR(__xludf.DUMMYFUNCTION("""COMPUTED_VALUE"""),"BANGLADESH KRISHI BANK")</f>
        <v>BANGLADESH KRISHI BANK</v>
      </c>
      <c r="E2096" s="2" t="str">
        <f>IFERROR(__xludf.DUMMYFUNCTION("""COMPUTED_VALUE"""),"HAZARIHAT")</f>
        <v>HAZARIHAT</v>
      </c>
      <c r="F2096" s="4">
        <f>IFERROR(__xludf.DUMMYFUNCTION("""COMPUTED_VALUE"""),109.0)</f>
        <v>109</v>
      </c>
      <c r="G2096" s="5">
        <f>IFERROR(__xludf.DUMMYFUNCTION("""COMPUTED_VALUE"""),3.575109E7)</f>
        <v>35751090</v>
      </c>
    </row>
    <row r="2097">
      <c r="A2097" s="3">
        <f>IFERROR(__xludf.DUMMYFUNCTION("""COMPUTED_VALUE"""),275.0)</f>
        <v>275</v>
      </c>
      <c r="B2097" s="2" t="str">
        <f>IFERROR(__xludf.DUMMYFUNCTION("""COMPUTED_VALUE"""),"NOAKHALI")</f>
        <v>NOAKHALI</v>
      </c>
      <c r="C2097" s="4">
        <f>IFERROR(__xludf.DUMMYFUNCTION("""COMPUTED_VALUE"""),35.0)</f>
        <v>35</v>
      </c>
      <c r="D2097" s="2" t="str">
        <f>IFERROR(__xludf.DUMMYFUNCTION("""COMPUTED_VALUE"""),"BANGLADESH KRISHI BANK")</f>
        <v>BANGLADESH KRISHI BANK</v>
      </c>
      <c r="E2097" s="2" t="str">
        <f>IFERROR(__xludf.DUMMYFUNCTION("""COMPUTED_VALUE"""),"JAHAJMARA")</f>
        <v>JAHAJMARA</v>
      </c>
      <c r="F2097" s="4">
        <f>IFERROR(__xludf.DUMMYFUNCTION("""COMPUTED_VALUE"""),112.0)</f>
        <v>112</v>
      </c>
      <c r="G2097" s="5">
        <f>IFERROR(__xludf.DUMMYFUNCTION("""COMPUTED_VALUE"""),3.5751124E7)</f>
        <v>35751124</v>
      </c>
    </row>
    <row r="2098">
      <c r="A2098" s="3">
        <f>IFERROR(__xludf.DUMMYFUNCTION("""COMPUTED_VALUE"""),275.0)</f>
        <v>275</v>
      </c>
      <c r="B2098" s="2" t="str">
        <f>IFERROR(__xludf.DUMMYFUNCTION("""COMPUTED_VALUE"""),"NOAKHALI")</f>
        <v>NOAKHALI</v>
      </c>
      <c r="C2098" s="4">
        <f>IFERROR(__xludf.DUMMYFUNCTION("""COMPUTED_VALUE"""),35.0)</f>
        <v>35</v>
      </c>
      <c r="D2098" s="2" t="str">
        <f>IFERROR(__xludf.DUMMYFUNCTION("""COMPUTED_VALUE"""),"BANGLADESH KRISHI BANK")</f>
        <v>BANGLADESH KRISHI BANK</v>
      </c>
      <c r="E2098" s="2" t="str">
        <f>IFERROR(__xludf.DUMMYFUNCTION("""COMPUTED_VALUE"""),"KABIRHAT")</f>
        <v>KABIRHAT</v>
      </c>
      <c r="F2098" s="4">
        <f>IFERROR(__xludf.DUMMYFUNCTION("""COMPUTED_VALUE"""),121.0)</f>
        <v>121</v>
      </c>
      <c r="G2098" s="5">
        <f>IFERROR(__xludf.DUMMYFUNCTION("""COMPUTED_VALUE"""),3.5751216E7)</f>
        <v>35751216</v>
      </c>
    </row>
    <row r="2099">
      <c r="A2099" s="3">
        <f>IFERROR(__xludf.DUMMYFUNCTION("""COMPUTED_VALUE"""),275.0)</f>
        <v>275</v>
      </c>
      <c r="B2099" s="2" t="str">
        <f>IFERROR(__xludf.DUMMYFUNCTION("""COMPUTED_VALUE"""),"NOAKHALI")</f>
        <v>NOAKHALI</v>
      </c>
      <c r="C2099" s="4">
        <f>IFERROR(__xludf.DUMMYFUNCTION("""COMPUTED_VALUE"""),35.0)</f>
        <v>35</v>
      </c>
      <c r="D2099" s="2" t="str">
        <f>IFERROR(__xludf.DUMMYFUNCTION("""COMPUTED_VALUE"""),"BANGLADESH KRISHI BANK")</f>
        <v>BANGLADESH KRISHI BANK</v>
      </c>
      <c r="E2099" s="2" t="str">
        <f>IFERROR(__xludf.DUMMYFUNCTION("""COMPUTED_VALUE"""),"KADIRPUR")</f>
        <v>KADIRPUR</v>
      </c>
      <c r="F2099" s="4">
        <f>IFERROR(__xludf.DUMMYFUNCTION("""COMPUTED_VALUE"""),124.0)</f>
        <v>124</v>
      </c>
      <c r="G2099" s="5">
        <f>IFERROR(__xludf.DUMMYFUNCTION("""COMPUTED_VALUE"""),3.5751245E7)</f>
        <v>35751245</v>
      </c>
    </row>
    <row r="2100">
      <c r="A2100" s="3">
        <f>IFERROR(__xludf.DUMMYFUNCTION("""COMPUTED_VALUE"""),275.0)</f>
        <v>275</v>
      </c>
      <c r="B2100" s="2" t="str">
        <f>IFERROR(__xludf.DUMMYFUNCTION("""COMPUTED_VALUE"""),"NOAKHALI")</f>
        <v>NOAKHALI</v>
      </c>
      <c r="C2100" s="4">
        <f>IFERROR(__xludf.DUMMYFUNCTION("""COMPUTED_VALUE"""),35.0)</f>
        <v>35</v>
      </c>
      <c r="D2100" s="2" t="str">
        <f>IFERROR(__xludf.DUMMYFUNCTION("""COMPUTED_VALUE"""),"BANGLADESH KRISHI BANK")</f>
        <v>BANGLADESH KRISHI BANK</v>
      </c>
      <c r="E2100" s="2" t="str">
        <f>IFERROR(__xludf.DUMMYFUNCTION("""COMPUTED_VALUE"""),"KOTOBER HAT")</f>
        <v>KOTOBER HAT</v>
      </c>
      <c r="F2100" s="4">
        <f>IFERROR(__xludf.DUMMYFUNCTION("""COMPUTED_VALUE"""),151.0)</f>
        <v>151</v>
      </c>
      <c r="G2100" s="5">
        <f>IFERROR(__xludf.DUMMYFUNCTION("""COMPUTED_VALUE"""),3.5751511E7)</f>
        <v>35751511</v>
      </c>
    </row>
    <row r="2101">
      <c r="A2101" s="3">
        <f>IFERROR(__xludf.DUMMYFUNCTION("""COMPUTED_VALUE"""),275.0)</f>
        <v>275</v>
      </c>
      <c r="B2101" s="2" t="str">
        <f>IFERROR(__xludf.DUMMYFUNCTION("""COMPUTED_VALUE"""),"NOAKHALI")</f>
        <v>NOAKHALI</v>
      </c>
      <c r="C2101" s="4">
        <f>IFERROR(__xludf.DUMMYFUNCTION("""COMPUTED_VALUE"""),35.0)</f>
        <v>35</v>
      </c>
      <c r="D2101" s="2" t="str">
        <f>IFERROR(__xludf.DUMMYFUNCTION("""COMPUTED_VALUE"""),"BANGLADESH KRISHI BANK")</f>
        <v>BANGLADESH KRISHI BANK</v>
      </c>
      <c r="E2101" s="2" t="str">
        <f>IFERROR(__xludf.DUMMYFUNCTION("""COMPUTED_VALUE"""),"MAIJDEE COURT")</f>
        <v>MAIJDEE COURT</v>
      </c>
      <c r="F2101" s="4">
        <f>IFERROR(__xludf.DUMMYFUNCTION("""COMPUTED_VALUE"""),157.0)</f>
        <v>157</v>
      </c>
      <c r="G2101" s="5">
        <f>IFERROR(__xludf.DUMMYFUNCTION("""COMPUTED_VALUE"""),3.5751579E7)</f>
        <v>35751579</v>
      </c>
    </row>
    <row r="2102">
      <c r="A2102" s="3">
        <f>IFERROR(__xludf.DUMMYFUNCTION("""COMPUTED_VALUE"""),275.0)</f>
        <v>275</v>
      </c>
      <c r="B2102" s="2" t="str">
        <f>IFERROR(__xludf.DUMMYFUNCTION("""COMPUTED_VALUE"""),"NOAKHALI")</f>
        <v>NOAKHALI</v>
      </c>
      <c r="C2102" s="4">
        <f>IFERROR(__xludf.DUMMYFUNCTION("""COMPUTED_VALUE"""),35.0)</f>
        <v>35</v>
      </c>
      <c r="D2102" s="2" t="str">
        <f>IFERROR(__xludf.DUMMYFUNCTION("""COMPUTED_VALUE"""),"BANGLADESH KRISHI BANK")</f>
        <v>BANGLADESH KRISHI BANK</v>
      </c>
      <c r="E2102" s="2" t="str">
        <f>IFERROR(__xludf.DUMMYFUNCTION("""COMPUTED_VALUE"""),"MIARHAT")</f>
        <v>MIARHAT</v>
      </c>
      <c r="F2102" s="4">
        <f>IFERROR(__xludf.DUMMYFUNCTION("""COMPUTED_VALUE"""),160.0)</f>
        <v>160</v>
      </c>
      <c r="G2102" s="5">
        <f>IFERROR(__xludf.DUMMYFUNCTION("""COMPUTED_VALUE"""),3.5751603E7)</f>
        <v>35751603</v>
      </c>
    </row>
    <row r="2103">
      <c r="A2103" s="3">
        <f>IFERROR(__xludf.DUMMYFUNCTION("""COMPUTED_VALUE"""),275.0)</f>
        <v>275</v>
      </c>
      <c r="B2103" s="2" t="str">
        <f>IFERROR(__xludf.DUMMYFUNCTION("""COMPUTED_VALUE"""),"NOAKHALI")</f>
        <v>NOAKHALI</v>
      </c>
      <c r="C2103" s="4">
        <f>IFERROR(__xludf.DUMMYFUNCTION("""COMPUTED_VALUE"""),35.0)</f>
        <v>35</v>
      </c>
      <c r="D2103" s="2" t="str">
        <f>IFERROR(__xludf.DUMMYFUNCTION("""COMPUTED_VALUE"""),"BANGLADESH KRISHI BANK")</f>
        <v>BANGLADESH KRISHI BANK</v>
      </c>
      <c r="E2103" s="2" t="str">
        <f>IFERROR(__xludf.DUMMYFUNCTION("""COMPUTED_VALUE"""),"NEAZPUR")</f>
        <v>NEAZPUR</v>
      </c>
      <c r="F2103" s="4">
        <f>IFERROR(__xludf.DUMMYFUNCTION("""COMPUTED_VALUE"""),169.0)</f>
        <v>169</v>
      </c>
      <c r="G2103" s="5">
        <f>IFERROR(__xludf.DUMMYFUNCTION("""COMPUTED_VALUE"""),3.575169E7)</f>
        <v>35751690</v>
      </c>
    </row>
    <row r="2104">
      <c r="A2104" s="3">
        <f>IFERROR(__xludf.DUMMYFUNCTION("""COMPUTED_VALUE"""),275.0)</f>
        <v>275</v>
      </c>
      <c r="B2104" s="2" t="str">
        <f>IFERROR(__xludf.DUMMYFUNCTION("""COMPUTED_VALUE"""),"NOAKHALI")</f>
        <v>NOAKHALI</v>
      </c>
      <c r="C2104" s="4">
        <f>IFERROR(__xludf.DUMMYFUNCTION("""COMPUTED_VALUE"""),35.0)</f>
        <v>35</v>
      </c>
      <c r="D2104" s="2" t="str">
        <f>IFERROR(__xludf.DUMMYFUNCTION("""COMPUTED_VALUE"""),"BANGLADESH KRISHI BANK")</f>
        <v>BANGLADESH KRISHI BANK</v>
      </c>
      <c r="E2104" s="2" t="str">
        <f>IFERROR(__xludf.DUMMYFUNCTION("""COMPUTED_VALUE"""),"RAM NARAYANPUR")</f>
        <v>RAM NARAYANPUR</v>
      </c>
      <c r="F2104" s="4">
        <f>IFERROR(__xludf.DUMMYFUNCTION("""COMPUTED_VALUE"""),193.0)</f>
        <v>193</v>
      </c>
      <c r="G2104" s="5">
        <f>IFERROR(__xludf.DUMMYFUNCTION("""COMPUTED_VALUE"""),3.5751937E7)</f>
        <v>35751937</v>
      </c>
    </row>
    <row r="2105">
      <c r="A2105" s="3">
        <f>IFERROR(__xludf.DUMMYFUNCTION("""COMPUTED_VALUE"""),275.0)</f>
        <v>275</v>
      </c>
      <c r="B2105" s="2" t="str">
        <f>IFERROR(__xludf.DUMMYFUNCTION("""COMPUTED_VALUE"""),"NOAKHALI")</f>
        <v>NOAKHALI</v>
      </c>
      <c r="C2105" s="4">
        <f>IFERROR(__xludf.DUMMYFUNCTION("""COMPUTED_VALUE"""),35.0)</f>
        <v>35</v>
      </c>
      <c r="D2105" s="2" t="str">
        <f>IFERROR(__xludf.DUMMYFUNCTION("""COMPUTED_VALUE"""),"BANGLADESH KRISHI BANK")</f>
        <v>BANGLADESH KRISHI BANK</v>
      </c>
      <c r="E2105" s="2" t="str">
        <f>IFERROR(__xludf.DUMMYFUNCTION("""COMPUTED_VALUE"""),"KHASHERHAT")</f>
        <v>KHASHERHAT</v>
      </c>
      <c r="F2105" s="4">
        <f>IFERROR(__xludf.DUMMYFUNCTION("""COMPUTED_VALUE"""),202.0)</f>
        <v>202</v>
      </c>
      <c r="G2105" s="5">
        <f>IFERROR(__xludf.DUMMYFUNCTION("""COMPUTED_VALUE"""),3.5752028E7)</f>
        <v>35752028</v>
      </c>
    </row>
    <row r="2106">
      <c r="A2106" s="3">
        <f>IFERROR(__xludf.DUMMYFUNCTION("""COMPUTED_VALUE"""),275.0)</f>
        <v>275</v>
      </c>
      <c r="B2106" s="2" t="str">
        <f>IFERROR(__xludf.DUMMYFUNCTION("""COMPUTED_VALUE"""),"NOAKHALI")</f>
        <v>NOAKHALI</v>
      </c>
      <c r="C2106" s="4">
        <f>IFERROR(__xludf.DUMMYFUNCTION("""COMPUTED_VALUE"""),35.0)</f>
        <v>35</v>
      </c>
      <c r="D2106" s="2" t="str">
        <f>IFERROR(__xludf.DUMMYFUNCTION("""COMPUTED_VALUE"""),"BANGLADESH KRISHI BANK")</f>
        <v>BANGLADESH KRISHI BANK</v>
      </c>
      <c r="E2106" s="2" t="str">
        <f>IFERROR(__xludf.DUMMYFUNCTION("""COMPUTED_VALUE"""),"SENBAG")</f>
        <v>SENBAG</v>
      </c>
      <c r="F2106" s="4">
        <f>IFERROR(__xludf.DUMMYFUNCTION("""COMPUTED_VALUE"""),208.0)</f>
        <v>208</v>
      </c>
      <c r="G2106" s="5">
        <f>IFERROR(__xludf.DUMMYFUNCTION("""COMPUTED_VALUE"""),3.5752086E7)</f>
        <v>35752086</v>
      </c>
    </row>
    <row r="2107">
      <c r="A2107" s="3">
        <f>IFERROR(__xludf.DUMMYFUNCTION("""COMPUTED_VALUE"""),275.0)</f>
        <v>275</v>
      </c>
      <c r="B2107" s="2" t="str">
        <f>IFERROR(__xludf.DUMMYFUNCTION("""COMPUTED_VALUE"""),"NOAKHALI")</f>
        <v>NOAKHALI</v>
      </c>
      <c r="C2107" s="4">
        <f>IFERROR(__xludf.DUMMYFUNCTION("""COMPUTED_VALUE"""),35.0)</f>
        <v>35</v>
      </c>
      <c r="D2107" s="2" t="str">
        <f>IFERROR(__xludf.DUMMYFUNCTION("""COMPUTED_VALUE"""),"BANGLADESH KRISHI BANK")</f>
        <v>BANGLADESH KRISHI BANK</v>
      </c>
      <c r="E2107" s="2" t="str">
        <f>IFERROR(__xludf.DUMMYFUNCTION("""COMPUTED_VALUE"""),"SHAHEBALIR BAZAR")</f>
        <v>SHAHEBALIR BAZAR</v>
      </c>
      <c r="F2107" s="4">
        <f>IFERROR(__xludf.DUMMYFUNCTION("""COMPUTED_VALUE"""),214.0)</f>
        <v>214</v>
      </c>
      <c r="G2107" s="5">
        <f>IFERROR(__xludf.DUMMYFUNCTION("""COMPUTED_VALUE"""),3.5752149E7)</f>
        <v>35752149</v>
      </c>
    </row>
    <row r="2108">
      <c r="A2108" s="3">
        <f>IFERROR(__xludf.DUMMYFUNCTION("""COMPUTED_VALUE"""),275.0)</f>
        <v>275</v>
      </c>
      <c r="B2108" s="2" t="str">
        <f>IFERROR(__xludf.DUMMYFUNCTION("""COMPUTED_VALUE"""),"NOAKHALI")</f>
        <v>NOAKHALI</v>
      </c>
      <c r="C2108" s="4">
        <f>IFERROR(__xludf.DUMMYFUNCTION("""COMPUTED_VALUE"""),35.0)</f>
        <v>35</v>
      </c>
      <c r="D2108" s="2" t="str">
        <f>IFERROR(__xludf.DUMMYFUNCTION("""COMPUTED_VALUE"""),"BANGLADESH KRISHI BANK")</f>
        <v>BANGLADESH KRISHI BANK</v>
      </c>
      <c r="E2108" s="2" t="str">
        <f>IFERROR(__xludf.DUMMYFUNCTION("""COMPUTED_VALUE"""),"SONAPUR")</f>
        <v>SONAPUR</v>
      </c>
      <c r="F2108" s="4">
        <f>IFERROR(__xludf.DUMMYFUNCTION("""COMPUTED_VALUE"""),226.0)</f>
        <v>226</v>
      </c>
      <c r="G2108" s="5">
        <f>IFERROR(__xludf.DUMMYFUNCTION("""COMPUTED_VALUE"""),3.575226E7)</f>
        <v>35752260</v>
      </c>
    </row>
    <row r="2109">
      <c r="A2109" s="3">
        <f>IFERROR(__xludf.DUMMYFUNCTION("""COMPUTED_VALUE"""),378.0)</f>
        <v>378</v>
      </c>
      <c r="B2109" s="2" t="str">
        <f>IFERROR(__xludf.DUMMYFUNCTION("""COMPUTED_VALUE"""),"PATUAKHALI")</f>
        <v>PATUAKHALI</v>
      </c>
      <c r="C2109" s="4">
        <f>IFERROR(__xludf.DUMMYFUNCTION("""COMPUTED_VALUE"""),35.0)</f>
        <v>35</v>
      </c>
      <c r="D2109" s="2" t="str">
        <f>IFERROR(__xludf.DUMMYFUNCTION("""COMPUTED_VALUE"""),"BANGLADESH KRISHI BANK")</f>
        <v>BANGLADESH KRISHI BANK</v>
      </c>
      <c r="E2109" s="2" t="str">
        <f>IFERROR(__xludf.DUMMYFUNCTION("""COMPUTED_VALUE"""),"AULIAPUR")</f>
        <v>AULIAPUR</v>
      </c>
      <c r="F2109" s="4">
        <f>IFERROR(__xludf.DUMMYFUNCTION("""COMPUTED_VALUE"""),4.0)</f>
        <v>4</v>
      </c>
      <c r="G2109" s="5">
        <f>IFERROR(__xludf.DUMMYFUNCTION("""COMPUTED_VALUE"""),3.5780045E7)</f>
        <v>35780045</v>
      </c>
    </row>
    <row r="2110">
      <c r="A2110" s="3">
        <f>IFERROR(__xludf.DUMMYFUNCTION("""COMPUTED_VALUE"""),378.0)</f>
        <v>378</v>
      </c>
      <c r="B2110" s="2" t="str">
        <f>IFERROR(__xludf.DUMMYFUNCTION("""COMPUTED_VALUE"""),"PATUAKHALI")</f>
        <v>PATUAKHALI</v>
      </c>
      <c r="C2110" s="4">
        <f>IFERROR(__xludf.DUMMYFUNCTION("""COMPUTED_VALUE"""),35.0)</f>
        <v>35</v>
      </c>
      <c r="D2110" s="2" t="str">
        <f>IFERROR(__xludf.DUMMYFUNCTION("""COMPUTED_VALUE"""),"BANGLADESH KRISHI BANK")</f>
        <v>BANGLADESH KRISHI BANK</v>
      </c>
      <c r="E2110" s="2" t="str">
        <f>IFERROR(__xludf.DUMMYFUNCTION("""COMPUTED_VALUE"""),"AMKHOLA")</f>
        <v>AMKHOLA</v>
      </c>
      <c r="F2110" s="4">
        <f>IFERROR(__xludf.DUMMYFUNCTION("""COMPUTED_VALUE"""),6.0)</f>
        <v>6</v>
      </c>
      <c r="G2110" s="5">
        <f>IFERROR(__xludf.DUMMYFUNCTION("""COMPUTED_VALUE"""),3.5780061E7)</f>
        <v>35780061</v>
      </c>
    </row>
    <row r="2111">
      <c r="A2111" s="3">
        <f>IFERROR(__xludf.DUMMYFUNCTION("""COMPUTED_VALUE"""),378.0)</f>
        <v>378</v>
      </c>
      <c r="B2111" s="2" t="str">
        <f>IFERROR(__xludf.DUMMYFUNCTION("""COMPUTED_VALUE"""),"PATUAKHALI")</f>
        <v>PATUAKHALI</v>
      </c>
      <c r="C2111" s="4">
        <f>IFERROR(__xludf.DUMMYFUNCTION("""COMPUTED_VALUE"""),35.0)</f>
        <v>35</v>
      </c>
      <c r="D2111" s="2" t="str">
        <f>IFERROR(__xludf.DUMMYFUNCTION("""COMPUTED_VALUE"""),"BANGLADESH KRISHI BANK")</f>
        <v>BANGLADESH KRISHI BANK</v>
      </c>
      <c r="E2111" s="2" t="str">
        <f>IFERROR(__xludf.DUMMYFUNCTION("""COMPUTED_VALUE"""),"LAMNA BORO BAZAR")</f>
        <v>LAMNA BORO BAZAR</v>
      </c>
      <c r="F2111" s="4">
        <f>IFERROR(__xludf.DUMMYFUNCTION("""COMPUTED_VALUE"""),8.0)</f>
        <v>8</v>
      </c>
      <c r="G2111" s="5">
        <f>IFERROR(__xludf.DUMMYFUNCTION("""COMPUTED_VALUE"""),3.5780087E7)</f>
        <v>35780087</v>
      </c>
    </row>
    <row r="2112">
      <c r="A2112" s="3">
        <f>IFERROR(__xludf.DUMMYFUNCTION("""COMPUTED_VALUE"""),378.0)</f>
        <v>378</v>
      </c>
      <c r="B2112" s="2" t="str">
        <f>IFERROR(__xludf.DUMMYFUNCTION("""COMPUTED_VALUE"""),"PATUAKHALI")</f>
        <v>PATUAKHALI</v>
      </c>
      <c r="C2112" s="4">
        <f>IFERROR(__xludf.DUMMYFUNCTION("""COMPUTED_VALUE"""),35.0)</f>
        <v>35</v>
      </c>
      <c r="D2112" s="2" t="str">
        <f>IFERROR(__xludf.DUMMYFUNCTION("""COMPUTED_VALUE"""),"BANGLADESH KRISHI BANK")</f>
        <v>BANGLADESH KRISHI BANK</v>
      </c>
      <c r="E2112" s="2" t="str">
        <f>IFERROR(__xludf.DUMMYFUNCTION("""COMPUTED_VALUE"""),"BAHERCHAR BANDAR")</f>
        <v>BAHERCHAR BANDAR</v>
      </c>
      <c r="F2112" s="4">
        <f>IFERROR(__xludf.DUMMYFUNCTION("""COMPUTED_VALUE"""),13.0)</f>
        <v>13</v>
      </c>
      <c r="G2112" s="5">
        <f>IFERROR(__xludf.DUMMYFUNCTION("""COMPUTED_VALUE"""),3.5780137E7)</f>
        <v>35780137</v>
      </c>
    </row>
    <row r="2113">
      <c r="A2113" s="3">
        <f>IFERROR(__xludf.DUMMYFUNCTION("""COMPUTED_VALUE"""),378.0)</f>
        <v>378</v>
      </c>
      <c r="B2113" s="2" t="str">
        <f>IFERROR(__xludf.DUMMYFUNCTION("""COMPUTED_VALUE"""),"PATUAKHALI")</f>
        <v>PATUAKHALI</v>
      </c>
      <c r="C2113" s="4">
        <f>IFERROR(__xludf.DUMMYFUNCTION("""COMPUTED_VALUE"""),35.0)</f>
        <v>35</v>
      </c>
      <c r="D2113" s="2" t="str">
        <f>IFERROR(__xludf.DUMMYFUNCTION("""COMPUTED_VALUE"""),"BANGLADESH KRISHI BANK")</f>
        <v>BANGLADESH KRISHI BANK</v>
      </c>
      <c r="E2113" s="2" t="str">
        <f>IFERROR(__xludf.DUMMYFUNCTION("""COMPUTED_VALUE"""),"BAUPHAL")</f>
        <v>BAUPHAL</v>
      </c>
      <c r="F2113" s="4">
        <f>IFERROR(__xludf.DUMMYFUNCTION("""COMPUTED_VALUE"""),19.0)</f>
        <v>19</v>
      </c>
      <c r="G2113" s="5">
        <f>IFERROR(__xludf.DUMMYFUNCTION("""COMPUTED_VALUE"""),3.5780195E7)</f>
        <v>35780195</v>
      </c>
    </row>
    <row r="2114">
      <c r="A2114" s="3">
        <f>IFERROR(__xludf.DUMMYFUNCTION("""COMPUTED_VALUE"""),378.0)</f>
        <v>378</v>
      </c>
      <c r="B2114" s="2" t="str">
        <f>IFERROR(__xludf.DUMMYFUNCTION("""COMPUTED_VALUE"""),"PATUAKHALI")</f>
        <v>PATUAKHALI</v>
      </c>
      <c r="C2114" s="4">
        <f>IFERROR(__xludf.DUMMYFUNCTION("""COMPUTED_VALUE"""),35.0)</f>
        <v>35</v>
      </c>
      <c r="D2114" s="2" t="str">
        <f>IFERROR(__xludf.DUMMYFUNCTION("""COMPUTED_VALUE"""),"BANGLADESH KRISHI BANK")</f>
        <v>BANGLADESH KRISHI BANK</v>
      </c>
      <c r="E2114" s="2" t="str">
        <f>IFERROR(__xludf.DUMMYFUNCTION("""COMPUTED_VALUE"""),"CHANDPURA BANDAR")</f>
        <v>CHANDPURA BANDAR</v>
      </c>
      <c r="F2114" s="4">
        <f>IFERROR(__xludf.DUMMYFUNCTION("""COMPUTED_VALUE"""),22.0)</f>
        <v>22</v>
      </c>
      <c r="G2114" s="5">
        <f>IFERROR(__xludf.DUMMYFUNCTION("""COMPUTED_VALUE"""),3.5780229E7)</f>
        <v>35780229</v>
      </c>
    </row>
    <row r="2115">
      <c r="A2115" s="3">
        <f>IFERROR(__xludf.DUMMYFUNCTION("""COMPUTED_VALUE"""),378.0)</f>
        <v>378</v>
      </c>
      <c r="B2115" s="2" t="str">
        <f>IFERROR(__xludf.DUMMYFUNCTION("""COMPUTED_VALUE"""),"PATUAKHALI")</f>
        <v>PATUAKHALI</v>
      </c>
      <c r="C2115" s="4">
        <f>IFERROR(__xludf.DUMMYFUNCTION("""COMPUTED_VALUE"""),35.0)</f>
        <v>35</v>
      </c>
      <c r="D2115" s="2" t="str">
        <f>IFERROR(__xludf.DUMMYFUNCTION("""COMPUTED_VALUE"""),"BANGLADESH KRISHI BANK")</f>
        <v>BANGLADESH KRISHI BANK</v>
      </c>
      <c r="E2115" s="2" t="str">
        <f>IFERROR(__xludf.DUMMYFUNCTION("""COMPUTED_VALUE"""),"CHAR KAJAL")</f>
        <v>CHAR KAJAL</v>
      </c>
      <c r="F2115" s="4">
        <f>IFERROR(__xludf.DUMMYFUNCTION("""COMPUTED_VALUE"""),25.0)</f>
        <v>25</v>
      </c>
      <c r="G2115" s="5">
        <f>IFERROR(__xludf.DUMMYFUNCTION("""COMPUTED_VALUE"""),3.5780258E7)</f>
        <v>35780258</v>
      </c>
    </row>
    <row r="2116">
      <c r="A2116" s="3">
        <f>IFERROR(__xludf.DUMMYFUNCTION("""COMPUTED_VALUE"""),378.0)</f>
        <v>378</v>
      </c>
      <c r="B2116" s="2" t="str">
        <f>IFERROR(__xludf.DUMMYFUNCTION("""COMPUTED_VALUE"""),"PATUAKHALI")</f>
        <v>PATUAKHALI</v>
      </c>
      <c r="C2116" s="4">
        <f>IFERROR(__xludf.DUMMYFUNCTION("""COMPUTED_VALUE"""),35.0)</f>
        <v>35</v>
      </c>
      <c r="D2116" s="2" t="str">
        <f>IFERROR(__xludf.DUMMYFUNCTION("""COMPUTED_VALUE"""),"BANGLADESH KRISHI BANK")</f>
        <v>BANGLADESH KRISHI BANK</v>
      </c>
      <c r="E2116" s="2" t="str">
        <f>IFERROR(__xludf.DUMMYFUNCTION("""COMPUTED_VALUE"""),"CHIKNIKANDI BAZAR")</f>
        <v>CHIKNIKANDI BAZAR</v>
      </c>
      <c r="F2116" s="4">
        <f>IFERROR(__xludf.DUMMYFUNCTION("""COMPUTED_VALUE"""),28.0)</f>
        <v>28</v>
      </c>
      <c r="G2116" s="5">
        <f>IFERROR(__xludf.DUMMYFUNCTION("""COMPUTED_VALUE"""),3.5780287E7)</f>
        <v>35780287</v>
      </c>
    </row>
    <row r="2117">
      <c r="A2117" s="3">
        <f>IFERROR(__xludf.DUMMYFUNCTION("""COMPUTED_VALUE"""),378.0)</f>
        <v>378</v>
      </c>
      <c r="B2117" s="2" t="str">
        <f>IFERROR(__xludf.DUMMYFUNCTION("""COMPUTED_VALUE"""),"PATUAKHALI")</f>
        <v>PATUAKHALI</v>
      </c>
      <c r="C2117" s="4">
        <f>IFERROR(__xludf.DUMMYFUNCTION("""COMPUTED_VALUE"""),35.0)</f>
        <v>35</v>
      </c>
      <c r="D2117" s="2" t="str">
        <f>IFERROR(__xludf.DUMMYFUNCTION("""COMPUTED_VALUE"""),"BANGLADESH KRISHI BANK")</f>
        <v>BANGLADESH KRISHI BANK</v>
      </c>
      <c r="E2117" s="2" t="str">
        <f>IFERROR(__xludf.DUMMYFUNCTION("""COMPUTED_VALUE"""),"CHOTOBIGHAI")</f>
        <v>CHOTOBIGHAI</v>
      </c>
      <c r="F2117" s="4">
        <f>IFERROR(__xludf.DUMMYFUNCTION("""COMPUTED_VALUE"""),31.0)</f>
        <v>31</v>
      </c>
      <c r="G2117" s="5">
        <f>IFERROR(__xludf.DUMMYFUNCTION("""COMPUTED_VALUE"""),3.5780311E7)</f>
        <v>35780311</v>
      </c>
    </row>
    <row r="2118">
      <c r="A2118" s="3">
        <f>IFERROR(__xludf.DUMMYFUNCTION("""COMPUTED_VALUE"""),378.0)</f>
        <v>378</v>
      </c>
      <c r="B2118" s="2" t="str">
        <f>IFERROR(__xludf.DUMMYFUNCTION("""COMPUTED_VALUE"""),"PATUAKHALI")</f>
        <v>PATUAKHALI</v>
      </c>
      <c r="C2118" s="4">
        <f>IFERROR(__xludf.DUMMYFUNCTION("""COMPUTED_VALUE"""),35.0)</f>
        <v>35</v>
      </c>
      <c r="D2118" s="2" t="str">
        <f>IFERROR(__xludf.DUMMYFUNCTION("""COMPUTED_VALUE"""),"BANGLADESH KRISHI BANK")</f>
        <v>BANGLADESH KRISHI BANK</v>
      </c>
      <c r="E2118" s="2" t="str">
        <f>IFERROR(__xludf.DUMMYFUNCTION("""COMPUTED_VALUE"""),"DASHMINA")</f>
        <v>DASHMINA</v>
      </c>
      <c r="F2118" s="4">
        <f>IFERROR(__xludf.DUMMYFUNCTION("""COMPUTED_VALUE"""),34.0)</f>
        <v>34</v>
      </c>
      <c r="G2118" s="5">
        <f>IFERROR(__xludf.DUMMYFUNCTION("""COMPUTED_VALUE"""),3.578034E7)</f>
        <v>35780340</v>
      </c>
    </row>
    <row r="2119">
      <c r="A2119" s="3">
        <f>IFERROR(__xludf.DUMMYFUNCTION("""COMPUTED_VALUE"""),378.0)</f>
        <v>378</v>
      </c>
      <c r="B2119" s="2" t="str">
        <f>IFERROR(__xludf.DUMMYFUNCTION("""COMPUTED_VALUE"""),"PATUAKHALI")</f>
        <v>PATUAKHALI</v>
      </c>
      <c r="C2119" s="4">
        <f>IFERROR(__xludf.DUMMYFUNCTION("""COMPUTED_VALUE"""),35.0)</f>
        <v>35</v>
      </c>
      <c r="D2119" s="2" t="str">
        <f>IFERROR(__xludf.DUMMYFUNCTION("""COMPUTED_VALUE"""),"BANGLADESH KRISHI BANK")</f>
        <v>BANGLADESH KRISHI BANK</v>
      </c>
      <c r="E2119" s="2" t="str">
        <f>IFERROR(__xludf.DUMMYFUNCTION("""COMPUTED_VALUE"""),"DUMKI")</f>
        <v>DUMKI</v>
      </c>
      <c r="F2119" s="4">
        <f>IFERROR(__xludf.DUMMYFUNCTION("""COMPUTED_VALUE"""),43.0)</f>
        <v>43</v>
      </c>
      <c r="G2119" s="5">
        <f>IFERROR(__xludf.DUMMYFUNCTION("""COMPUTED_VALUE"""),3.5780432E7)</f>
        <v>35780432</v>
      </c>
    </row>
    <row r="2120">
      <c r="A2120" s="3">
        <f>IFERROR(__xludf.DUMMYFUNCTION("""COMPUTED_VALUE"""),378.0)</f>
        <v>378</v>
      </c>
      <c r="B2120" s="2" t="str">
        <f>IFERROR(__xludf.DUMMYFUNCTION("""COMPUTED_VALUE"""),"PATUAKHALI")</f>
        <v>PATUAKHALI</v>
      </c>
      <c r="C2120" s="4">
        <f>IFERROR(__xludf.DUMMYFUNCTION("""COMPUTED_VALUE"""),35.0)</f>
        <v>35</v>
      </c>
      <c r="D2120" s="2" t="str">
        <f>IFERROR(__xludf.DUMMYFUNCTION("""COMPUTED_VALUE"""),"BANGLADESH KRISHI BANK")</f>
        <v>BANGLADESH KRISHI BANK</v>
      </c>
      <c r="E2120" s="2" t="str">
        <f>IFERROR(__xludf.DUMMYFUNCTION("""COMPUTED_VALUE"""),"GABUA BAZAR")</f>
        <v>GABUA BAZAR</v>
      </c>
      <c r="F2120" s="4">
        <f>IFERROR(__xludf.DUMMYFUNCTION("""COMPUTED_VALUE"""),46.0)</f>
        <v>46</v>
      </c>
      <c r="G2120" s="5">
        <f>IFERROR(__xludf.DUMMYFUNCTION("""COMPUTED_VALUE"""),3.5780461E7)</f>
        <v>35780461</v>
      </c>
    </row>
    <row r="2121">
      <c r="A2121" s="3">
        <f>IFERROR(__xludf.DUMMYFUNCTION("""COMPUTED_VALUE"""),378.0)</f>
        <v>378</v>
      </c>
      <c r="B2121" s="2" t="str">
        <f>IFERROR(__xludf.DUMMYFUNCTION("""COMPUTED_VALUE"""),"PATUAKHALI")</f>
        <v>PATUAKHALI</v>
      </c>
      <c r="C2121" s="4">
        <f>IFERROR(__xludf.DUMMYFUNCTION("""COMPUTED_VALUE"""),35.0)</f>
        <v>35</v>
      </c>
      <c r="D2121" s="2" t="str">
        <f>IFERROR(__xludf.DUMMYFUNCTION("""COMPUTED_VALUE"""),"BANGLADESH KRISHI BANK")</f>
        <v>BANGLADESH KRISHI BANK</v>
      </c>
      <c r="E2121" s="2" t="str">
        <f>IFERROR(__xludf.DUMMYFUNCTION("""COMPUTED_VALUE"""),"GALACHIPA")</f>
        <v>GALACHIPA</v>
      </c>
      <c r="F2121" s="4">
        <f>IFERROR(__xludf.DUMMYFUNCTION("""COMPUTED_VALUE"""),49.0)</f>
        <v>49</v>
      </c>
      <c r="G2121" s="5">
        <f>IFERROR(__xludf.DUMMYFUNCTION("""COMPUTED_VALUE"""),3.578049E7)</f>
        <v>35780490</v>
      </c>
    </row>
    <row r="2122">
      <c r="A2122" s="3">
        <f>IFERROR(__xludf.DUMMYFUNCTION("""COMPUTED_VALUE"""),378.0)</f>
        <v>378</v>
      </c>
      <c r="B2122" s="2" t="str">
        <f>IFERROR(__xludf.DUMMYFUNCTION("""COMPUTED_VALUE"""),"PATUAKHALI")</f>
        <v>PATUAKHALI</v>
      </c>
      <c r="C2122" s="4">
        <f>IFERROR(__xludf.DUMMYFUNCTION("""COMPUTED_VALUE"""),35.0)</f>
        <v>35</v>
      </c>
      <c r="D2122" s="2" t="str">
        <f>IFERROR(__xludf.DUMMYFUNCTION("""COMPUTED_VALUE"""),"BANGLADESH KRISHI BANK")</f>
        <v>BANGLADESH KRISHI BANK</v>
      </c>
      <c r="E2122" s="2" t="str">
        <f>IFERROR(__xludf.DUMMYFUNCTION("""COMPUTED_VALUE"""),"KALAPARA")</f>
        <v>KALAPARA</v>
      </c>
      <c r="F2122" s="4">
        <f>IFERROR(__xludf.DUMMYFUNCTION("""COMPUTED_VALUE"""),52.0)</f>
        <v>52</v>
      </c>
      <c r="G2122" s="5">
        <f>IFERROR(__xludf.DUMMYFUNCTION("""COMPUTED_VALUE"""),3.5780524E7)</f>
        <v>35780524</v>
      </c>
    </row>
    <row r="2123">
      <c r="A2123" s="3">
        <f>IFERROR(__xludf.DUMMYFUNCTION("""COMPUTED_VALUE"""),378.0)</f>
        <v>378</v>
      </c>
      <c r="B2123" s="2" t="str">
        <f>IFERROR(__xludf.DUMMYFUNCTION("""COMPUTED_VALUE"""),"PATUAKHALI")</f>
        <v>PATUAKHALI</v>
      </c>
      <c r="C2123" s="4">
        <f>IFERROR(__xludf.DUMMYFUNCTION("""COMPUTED_VALUE"""),35.0)</f>
        <v>35</v>
      </c>
      <c r="D2123" s="2" t="str">
        <f>IFERROR(__xludf.DUMMYFUNCTION("""COMPUTED_VALUE"""),"BANGLADESH KRISHI BANK")</f>
        <v>BANGLADESH KRISHI BANK</v>
      </c>
      <c r="E2123" s="2" t="str">
        <f>IFERROR(__xludf.DUMMYFUNCTION("""COMPUTED_VALUE"""),"KALAYIA BANDAR")</f>
        <v>KALAYIA BANDAR</v>
      </c>
      <c r="F2123" s="4">
        <f>IFERROR(__xludf.DUMMYFUNCTION("""COMPUTED_VALUE"""),58.0)</f>
        <v>58</v>
      </c>
      <c r="G2123" s="5">
        <f>IFERROR(__xludf.DUMMYFUNCTION("""COMPUTED_VALUE"""),3.5780582E7)</f>
        <v>35780582</v>
      </c>
    </row>
    <row r="2124">
      <c r="A2124" s="3">
        <f>IFERROR(__xludf.DUMMYFUNCTION("""COMPUTED_VALUE"""),378.0)</f>
        <v>378</v>
      </c>
      <c r="B2124" s="2" t="str">
        <f>IFERROR(__xludf.DUMMYFUNCTION("""COMPUTED_VALUE"""),"PATUAKHALI")</f>
        <v>PATUAKHALI</v>
      </c>
      <c r="C2124" s="4">
        <f>IFERROR(__xludf.DUMMYFUNCTION("""COMPUTED_VALUE"""),35.0)</f>
        <v>35</v>
      </c>
      <c r="D2124" s="2" t="str">
        <f>IFERROR(__xludf.DUMMYFUNCTION("""COMPUTED_VALUE"""),"BANGLADESH KRISHI BANK")</f>
        <v>BANGLADESH KRISHI BANK</v>
      </c>
      <c r="E2124" s="2" t="str">
        <f>IFERROR(__xludf.DUMMYFUNCTION("""COMPUTED_VALUE"""),"KARKHANA")</f>
        <v>KARKHANA</v>
      </c>
      <c r="F2124" s="4">
        <f>IFERROR(__xludf.DUMMYFUNCTION("""COMPUTED_VALUE"""),67.0)</f>
        <v>67</v>
      </c>
      <c r="G2124" s="5">
        <f>IFERROR(__xludf.DUMMYFUNCTION("""COMPUTED_VALUE"""),3.5780674E7)</f>
        <v>35780674</v>
      </c>
    </row>
    <row r="2125">
      <c r="A2125" s="3">
        <f>IFERROR(__xludf.DUMMYFUNCTION("""COMPUTED_VALUE"""),378.0)</f>
        <v>378</v>
      </c>
      <c r="B2125" s="2" t="str">
        <f>IFERROR(__xludf.DUMMYFUNCTION("""COMPUTED_VALUE"""),"PATUAKHALI")</f>
        <v>PATUAKHALI</v>
      </c>
      <c r="C2125" s="4">
        <f>IFERROR(__xludf.DUMMYFUNCTION("""COMPUTED_VALUE"""),35.0)</f>
        <v>35</v>
      </c>
      <c r="D2125" s="2" t="str">
        <f>IFERROR(__xludf.DUMMYFUNCTION("""COMPUTED_VALUE"""),"BANGLADESH KRISHI BANK")</f>
        <v>BANGLADESH KRISHI BANK</v>
      </c>
      <c r="E2125" s="2" t="str">
        <f>IFERROR(__xludf.DUMMYFUNCTION("""COMPUTED_VALUE"""),"KESHABPUR")</f>
        <v>KESHABPUR</v>
      </c>
      <c r="F2125" s="4">
        <f>IFERROR(__xludf.DUMMYFUNCTION("""COMPUTED_VALUE"""),70.0)</f>
        <v>70</v>
      </c>
      <c r="G2125" s="5">
        <f>IFERROR(__xludf.DUMMYFUNCTION("""COMPUTED_VALUE"""),3.5780708E7)</f>
        <v>35780708</v>
      </c>
    </row>
    <row r="2126">
      <c r="A2126" s="3">
        <f>IFERROR(__xludf.DUMMYFUNCTION("""COMPUTED_VALUE"""),378.0)</f>
        <v>378</v>
      </c>
      <c r="B2126" s="2" t="str">
        <f>IFERROR(__xludf.DUMMYFUNCTION("""COMPUTED_VALUE"""),"PATUAKHALI")</f>
        <v>PATUAKHALI</v>
      </c>
      <c r="C2126" s="4">
        <f>IFERROR(__xludf.DUMMYFUNCTION("""COMPUTED_VALUE"""),35.0)</f>
        <v>35</v>
      </c>
      <c r="D2126" s="2" t="str">
        <f>IFERROR(__xludf.DUMMYFUNCTION("""COMPUTED_VALUE"""),"BANGLADESH KRISHI BANK")</f>
        <v>BANGLADESH KRISHI BANK</v>
      </c>
      <c r="E2126" s="2" t="str">
        <f>IFERROR(__xludf.DUMMYFUNCTION("""COMPUTED_VALUE"""),"KOAKATA")</f>
        <v>KOAKATA</v>
      </c>
      <c r="F2126" s="4">
        <f>IFERROR(__xludf.DUMMYFUNCTION("""COMPUTED_VALUE"""),79.0)</f>
        <v>79</v>
      </c>
      <c r="G2126" s="5">
        <f>IFERROR(__xludf.DUMMYFUNCTION("""COMPUTED_VALUE"""),3.5780795E7)</f>
        <v>35780795</v>
      </c>
    </row>
    <row r="2127">
      <c r="A2127" s="3">
        <f>IFERROR(__xludf.DUMMYFUNCTION("""COMPUTED_VALUE"""),378.0)</f>
        <v>378</v>
      </c>
      <c r="B2127" s="2" t="str">
        <f>IFERROR(__xludf.DUMMYFUNCTION("""COMPUTED_VALUE"""),"PATUAKHALI")</f>
        <v>PATUAKHALI</v>
      </c>
      <c r="C2127" s="4">
        <f>IFERROR(__xludf.DUMMYFUNCTION("""COMPUTED_VALUE"""),35.0)</f>
        <v>35</v>
      </c>
      <c r="D2127" s="2" t="str">
        <f>IFERROR(__xludf.DUMMYFUNCTION("""COMPUTED_VALUE"""),"BANGLADESH KRISHI BANK")</f>
        <v>BANGLADESH KRISHI BANK</v>
      </c>
      <c r="E2127" s="2" t="str">
        <f>IFERROR(__xludf.DUMMYFUNCTION("""COMPUTED_VALUE"""),"MOHIPUR")</f>
        <v>MOHIPUR</v>
      </c>
      <c r="F2127" s="4">
        <f>IFERROR(__xludf.DUMMYFUNCTION("""COMPUTED_VALUE"""),85.0)</f>
        <v>85</v>
      </c>
      <c r="G2127" s="5">
        <f>IFERROR(__xludf.DUMMYFUNCTION("""COMPUTED_VALUE"""),3.5780858E7)</f>
        <v>35780858</v>
      </c>
    </row>
    <row r="2128">
      <c r="A2128" s="3">
        <f>IFERROR(__xludf.DUMMYFUNCTION("""COMPUTED_VALUE"""),378.0)</f>
        <v>378</v>
      </c>
      <c r="B2128" s="2" t="str">
        <f>IFERROR(__xludf.DUMMYFUNCTION("""COMPUTED_VALUE"""),"PATUAKHALI")</f>
        <v>PATUAKHALI</v>
      </c>
      <c r="C2128" s="4">
        <f>IFERROR(__xludf.DUMMYFUNCTION("""COMPUTED_VALUE"""),35.0)</f>
        <v>35</v>
      </c>
      <c r="D2128" s="2" t="str">
        <f>IFERROR(__xludf.DUMMYFUNCTION("""COMPUTED_VALUE"""),"BANGLADESH KRISHI BANK")</f>
        <v>BANGLADESH KRISHI BANK</v>
      </c>
      <c r="E2128" s="2" t="str">
        <f>IFERROR(__xludf.DUMMYFUNCTION("""COMPUTED_VALUE"""),"MURADIA")</f>
        <v>MURADIA</v>
      </c>
      <c r="F2128" s="4">
        <f>IFERROR(__xludf.DUMMYFUNCTION("""COMPUTED_VALUE"""),91.0)</f>
        <v>91</v>
      </c>
      <c r="G2128" s="5">
        <f>IFERROR(__xludf.DUMMYFUNCTION("""COMPUTED_VALUE"""),3.5780911E7)</f>
        <v>35780911</v>
      </c>
    </row>
    <row r="2129">
      <c r="A2129" s="3">
        <f>IFERROR(__xludf.DUMMYFUNCTION("""COMPUTED_VALUE"""),378.0)</f>
        <v>378</v>
      </c>
      <c r="B2129" s="2" t="str">
        <f>IFERROR(__xludf.DUMMYFUNCTION("""COMPUTED_VALUE"""),"PATUAKHALI")</f>
        <v>PATUAKHALI</v>
      </c>
      <c r="C2129" s="4">
        <f>IFERROR(__xludf.DUMMYFUNCTION("""COMPUTED_VALUE"""),35.0)</f>
        <v>35</v>
      </c>
      <c r="D2129" s="2" t="str">
        <f>IFERROR(__xludf.DUMMYFUNCTION("""COMPUTED_VALUE"""),"BANGLADESH KRISHI BANK")</f>
        <v>BANGLADESH KRISHI BANK</v>
      </c>
      <c r="E2129" s="2" t="str">
        <f>IFERROR(__xludf.DUMMYFUNCTION("""COMPUTED_VALUE"""),"NAGARERHAT")</f>
        <v>NAGARERHAT</v>
      </c>
      <c r="F2129" s="4">
        <f>IFERROR(__xludf.DUMMYFUNCTION("""COMPUTED_VALUE"""),94.0)</f>
        <v>94</v>
      </c>
      <c r="G2129" s="5">
        <f>IFERROR(__xludf.DUMMYFUNCTION("""COMPUTED_VALUE"""),3.578094E7)</f>
        <v>35780940</v>
      </c>
    </row>
    <row r="2130">
      <c r="A2130" s="3">
        <f>IFERROR(__xludf.DUMMYFUNCTION("""COMPUTED_VALUE"""),378.0)</f>
        <v>378</v>
      </c>
      <c r="B2130" s="2" t="str">
        <f>IFERROR(__xludf.DUMMYFUNCTION("""COMPUTED_VALUE"""),"PATUAKHALI")</f>
        <v>PATUAKHALI</v>
      </c>
      <c r="C2130" s="4">
        <f>IFERROR(__xludf.DUMMYFUNCTION("""COMPUTED_VALUE"""),35.0)</f>
        <v>35</v>
      </c>
      <c r="D2130" s="2" t="str">
        <f>IFERROR(__xludf.DUMMYFUNCTION("""COMPUTED_VALUE"""),"BANGLADESH KRISHI BANK")</f>
        <v>BANGLADESH KRISHI BANK</v>
      </c>
      <c r="E2130" s="2" t="str">
        <f>IFERROR(__xludf.DUMMYFUNCTION("""COMPUTED_VALUE"""),"PANPATTY")</f>
        <v>PANPATTY</v>
      </c>
      <c r="F2130" s="4">
        <f>IFERROR(__xludf.DUMMYFUNCTION("""COMPUTED_VALUE"""),106.0)</f>
        <v>106</v>
      </c>
      <c r="G2130" s="5">
        <f>IFERROR(__xludf.DUMMYFUNCTION("""COMPUTED_VALUE"""),3.578106E7)</f>
        <v>35781060</v>
      </c>
    </row>
    <row r="2131">
      <c r="A2131" s="3">
        <f>IFERROR(__xludf.DUMMYFUNCTION("""COMPUTED_VALUE"""),378.0)</f>
        <v>378</v>
      </c>
      <c r="B2131" s="2" t="str">
        <f>IFERROR(__xludf.DUMMYFUNCTION("""COMPUTED_VALUE"""),"PATUAKHALI")</f>
        <v>PATUAKHALI</v>
      </c>
      <c r="C2131" s="4">
        <f>IFERROR(__xludf.DUMMYFUNCTION("""COMPUTED_VALUE"""),35.0)</f>
        <v>35</v>
      </c>
      <c r="D2131" s="2" t="str">
        <f>IFERROR(__xludf.DUMMYFUNCTION("""COMPUTED_VALUE"""),"BANGLADESH KRISHI BANK")</f>
        <v>BANGLADESH KRISHI BANK</v>
      </c>
      <c r="E2131" s="2" t="str">
        <f>IFERROR(__xludf.DUMMYFUNCTION("""COMPUTED_VALUE"""),"PATUAKHALI")</f>
        <v>PATUAKHALI</v>
      </c>
      <c r="F2131" s="4">
        <f>IFERROR(__xludf.DUMMYFUNCTION("""COMPUTED_VALUE"""),109.0)</f>
        <v>109</v>
      </c>
      <c r="G2131" s="5">
        <f>IFERROR(__xludf.DUMMYFUNCTION("""COMPUTED_VALUE"""),3.5781099E7)</f>
        <v>35781099</v>
      </c>
    </row>
    <row r="2132">
      <c r="A2132" s="3">
        <f>IFERROR(__xludf.DUMMYFUNCTION("""COMPUTED_VALUE"""),378.0)</f>
        <v>378</v>
      </c>
      <c r="B2132" s="2" t="str">
        <f>IFERROR(__xludf.DUMMYFUNCTION("""COMPUTED_VALUE"""),"PATUAKHALI")</f>
        <v>PATUAKHALI</v>
      </c>
      <c r="C2132" s="4">
        <f>IFERROR(__xludf.DUMMYFUNCTION("""COMPUTED_VALUE"""),35.0)</f>
        <v>35</v>
      </c>
      <c r="D2132" s="2" t="str">
        <f>IFERROR(__xludf.DUMMYFUNCTION("""COMPUTED_VALUE"""),"BANGLADESH KRISHI BANK")</f>
        <v>BANGLADESH KRISHI BANK</v>
      </c>
      <c r="E2132" s="2" t="str">
        <f>IFERROR(__xludf.DUMMYFUNCTION("""COMPUTED_VALUE"""),"PUKUR JANA BAZAR")</f>
        <v>PUKUR JANA BAZAR</v>
      </c>
      <c r="F2132" s="4">
        <f>IFERROR(__xludf.DUMMYFUNCTION("""COMPUTED_VALUE"""),121.0)</f>
        <v>121</v>
      </c>
      <c r="G2132" s="5">
        <f>IFERROR(__xludf.DUMMYFUNCTION("""COMPUTED_VALUE"""),3.5781215E7)</f>
        <v>35781215</v>
      </c>
    </row>
    <row r="2133">
      <c r="A2133" s="3">
        <f>IFERROR(__xludf.DUMMYFUNCTION("""COMPUTED_VALUE"""),378.0)</f>
        <v>378</v>
      </c>
      <c r="B2133" s="2" t="str">
        <f>IFERROR(__xludf.DUMMYFUNCTION("""COMPUTED_VALUE"""),"PATUAKHALI")</f>
        <v>PATUAKHALI</v>
      </c>
      <c r="C2133" s="4">
        <f>IFERROR(__xludf.DUMMYFUNCTION("""COMPUTED_VALUE"""),35.0)</f>
        <v>35</v>
      </c>
      <c r="D2133" s="2" t="str">
        <f>IFERROR(__xludf.DUMMYFUNCTION("""COMPUTED_VALUE"""),"BANGLADESH KRISHI BANK")</f>
        <v>BANGLADESH KRISHI BANK</v>
      </c>
      <c r="E2133" s="2" t="str">
        <f>IFERROR(__xludf.DUMMYFUNCTION("""COMPUTED_VALUE"""),"SUBIDKHALI")</f>
        <v>SUBIDKHALI</v>
      </c>
      <c r="F2133" s="4">
        <f>IFERROR(__xludf.DUMMYFUNCTION("""COMPUTED_VALUE"""),127.0)</f>
        <v>127</v>
      </c>
      <c r="G2133" s="5">
        <f>IFERROR(__xludf.DUMMYFUNCTION("""COMPUTED_VALUE"""),3.5781273E7)</f>
        <v>35781273</v>
      </c>
    </row>
    <row r="2134">
      <c r="A2134" s="3">
        <f>IFERROR(__xludf.DUMMYFUNCTION("""COMPUTED_VALUE"""),379.0)</f>
        <v>379</v>
      </c>
      <c r="B2134" s="2" t="str">
        <f>IFERROR(__xludf.DUMMYFUNCTION("""COMPUTED_VALUE"""),"PIROJPUR")</f>
        <v>PIROJPUR</v>
      </c>
      <c r="C2134" s="4">
        <f>IFERROR(__xludf.DUMMYFUNCTION("""COMPUTED_VALUE"""),35.0)</f>
        <v>35</v>
      </c>
      <c r="D2134" s="2" t="str">
        <f>IFERROR(__xludf.DUMMYFUNCTION("""COMPUTED_VALUE"""),"BANGLADESH KRISHI BANK")</f>
        <v>BANGLADESH KRISHI BANK</v>
      </c>
      <c r="E2134" s="2" t="str">
        <f>IFERROR(__xludf.DUMMYFUNCTION("""COMPUTED_VALUE"""),"BAITAKATA")</f>
        <v>BAITAKATA</v>
      </c>
      <c r="F2134" s="4">
        <f>IFERROR(__xludf.DUMMYFUNCTION("""COMPUTED_VALUE"""),4.0)</f>
        <v>4</v>
      </c>
      <c r="G2134" s="5">
        <f>IFERROR(__xludf.DUMMYFUNCTION("""COMPUTED_VALUE"""),3.5790048E7)</f>
        <v>35790048</v>
      </c>
    </row>
    <row r="2135">
      <c r="A2135" s="3">
        <f>IFERROR(__xludf.DUMMYFUNCTION("""COMPUTED_VALUE"""),379.0)</f>
        <v>379</v>
      </c>
      <c r="B2135" s="2" t="str">
        <f>IFERROR(__xludf.DUMMYFUNCTION("""COMPUTED_VALUE"""),"PIROJPUR")</f>
        <v>PIROJPUR</v>
      </c>
      <c r="C2135" s="4">
        <f>IFERROR(__xludf.DUMMYFUNCTION("""COMPUTED_VALUE"""),35.0)</f>
        <v>35</v>
      </c>
      <c r="D2135" s="2" t="str">
        <f>IFERROR(__xludf.DUMMYFUNCTION("""COMPUTED_VALUE"""),"BANGLADESH KRISHI BANK")</f>
        <v>BANGLADESH KRISHI BANK</v>
      </c>
      <c r="E2135" s="2" t="str">
        <f>IFERROR(__xludf.DUMMYFUNCTION("""COMPUTED_VALUE"""),"BALDIA")</f>
        <v>BALDIA</v>
      </c>
      <c r="F2135" s="4">
        <f>IFERROR(__xludf.DUMMYFUNCTION("""COMPUTED_VALUE"""),7.0)</f>
        <v>7</v>
      </c>
      <c r="G2135" s="5">
        <f>IFERROR(__xludf.DUMMYFUNCTION("""COMPUTED_VALUE"""),3.5790077E7)</f>
        <v>35790077</v>
      </c>
    </row>
    <row r="2136">
      <c r="A2136" s="3">
        <f>IFERROR(__xludf.DUMMYFUNCTION("""COMPUTED_VALUE"""),379.0)</f>
        <v>379</v>
      </c>
      <c r="B2136" s="2" t="str">
        <f>IFERROR(__xludf.DUMMYFUNCTION("""COMPUTED_VALUE"""),"PIROJPUR")</f>
        <v>PIROJPUR</v>
      </c>
      <c r="C2136" s="4">
        <f>IFERROR(__xludf.DUMMYFUNCTION("""COMPUTED_VALUE"""),35.0)</f>
        <v>35</v>
      </c>
      <c r="D2136" s="2" t="str">
        <f>IFERROR(__xludf.DUMMYFUNCTION("""COMPUTED_VALUE"""),"BANGLADESH KRISHI BANK")</f>
        <v>BANGLADESH KRISHI BANK</v>
      </c>
      <c r="E2136" s="2" t="str">
        <f>IFERROR(__xludf.DUMMYFUNCTION("""COMPUTED_VALUE"""),"BARA MASUYA")</f>
        <v>BARA MASUYA</v>
      </c>
      <c r="F2136" s="4">
        <f>IFERROR(__xludf.DUMMYFUNCTION("""COMPUTED_VALUE"""),10.0)</f>
        <v>10</v>
      </c>
      <c r="G2136" s="5">
        <f>IFERROR(__xludf.DUMMYFUNCTION("""COMPUTED_VALUE"""),3.5790101E7)</f>
        <v>35790101</v>
      </c>
    </row>
    <row r="2137">
      <c r="A2137" s="3">
        <f>IFERROR(__xludf.DUMMYFUNCTION("""COMPUTED_VALUE"""),379.0)</f>
        <v>379</v>
      </c>
      <c r="B2137" s="2" t="str">
        <f>IFERROR(__xludf.DUMMYFUNCTION("""COMPUTED_VALUE"""),"PIROJPUR")</f>
        <v>PIROJPUR</v>
      </c>
      <c r="C2137" s="4">
        <f>IFERROR(__xludf.DUMMYFUNCTION("""COMPUTED_VALUE"""),35.0)</f>
        <v>35</v>
      </c>
      <c r="D2137" s="2" t="str">
        <f>IFERROR(__xludf.DUMMYFUNCTION("""COMPUTED_VALUE"""),"BANGLADESH KRISHI BANK")</f>
        <v>BANGLADESH KRISHI BANK</v>
      </c>
      <c r="E2137" s="2" t="str">
        <f>IFERROR(__xludf.DUMMYFUNCTION("""COMPUTED_VALUE"""),"BHANDARIA")</f>
        <v>BHANDARIA</v>
      </c>
      <c r="F2137" s="4">
        <f>IFERROR(__xludf.DUMMYFUNCTION("""COMPUTED_VALUE"""),13.0)</f>
        <v>13</v>
      </c>
      <c r="G2137" s="5">
        <f>IFERROR(__xludf.DUMMYFUNCTION("""COMPUTED_VALUE"""),3.579013E7)</f>
        <v>35790130</v>
      </c>
    </row>
    <row r="2138">
      <c r="A2138" s="3">
        <f>IFERROR(__xludf.DUMMYFUNCTION("""COMPUTED_VALUE"""),379.0)</f>
        <v>379</v>
      </c>
      <c r="B2138" s="2" t="str">
        <f>IFERROR(__xludf.DUMMYFUNCTION("""COMPUTED_VALUE"""),"PIROJPUR")</f>
        <v>PIROJPUR</v>
      </c>
      <c r="C2138" s="4">
        <f>IFERROR(__xludf.DUMMYFUNCTION("""COMPUTED_VALUE"""),35.0)</f>
        <v>35</v>
      </c>
      <c r="D2138" s="2" t="str">
        <f>IFERROR(__xludf.DUMMYFUNCTION("""COMPUTED_VALUE"""),"BANGLADESH KRISHI BANK")</f>
        <v>BANGLADESH KRISHI BANK</v>
      </c>
      <c r="E2138" s="2" t="str">
        <f>IFERROR(__xludf.DUMMYFUNCTION("""COMPUTED_VALUE"""),"CHANDIPUR")</f>
        <v>CHANDIPUR</v>
      </c>
      <c r="F2138" s="4">
        <f>IFERROR(__xludf.DUMMYFUNCTION("""COMPUTED_VALUE"""),16.0)</f>
        <v>16</v>
      </c>
      <c r="G2138" s="5">
        <f>IFERROR(__xludf.DUMMYFUNCTION("""COMPUTED_VALUE"""),3.5790169E7)</f>
        <v>35790169</v>
      </c>
    </row>
    <row r="2139">
      <c r="A2139" s="3">
        <f>IFERROR(__xludf.DUMMYFUNCTION("""COMPUTED_VALUE"""),379.0)</f>
        <v>379</v>
      </c>
      <c r="B2139" s="2" t="str">
        <f>IFERROR(__xludf.DUMMYFUNCTION("""COMPUTED_VALUE"""),"PIROJPUR")</f>
        <v>PIROJPUR</v>
      </c>
      <c r="C2139" s="4">
        <f>IFERROR(__xludf.DUMMYFUNCTION("""COMPUTED_VALUE"""),35.0)</f>
        <v>35</v>
      </c>
      <c r="D2139" s="2" t="str">
        <f>IFERROR(__xludf.DUMMYFUNCTION("""COMPUTED_VALUE"""),"BANGLADESH KRISHI BANK")</f>
        <v>BANGLADESH KRISHI BANK</v>
      </c>
      <c r="E2139" s="2" t="str">
        <f>IFERROR(__xludf.DUMMYFUNCTION("""COMPUTED_VALUE"""),"CHILTOLA BAZAR")</f>
        <v>CHILTOLA BAZAR</v>
      </c>
      <c r="F2139" s="4">
        <f>IFERROR(__xludf.DUMMYFUNCTION("""COMPUTED_VALUE"""),19.0)</f>
        <v>19</v>
      </c>
      <c r="G2139" s="5">
        <f>IFERROR(__xludf.DUMMYFUNCTION("""COMPUTED_VALUE"""),3.5790198E7)</f>
        <v>35790198</v>
      </c>
    </row>
    <row r="2140">
      <c r="A2140" s="3">
        <f>IFERROR(__xludf.DUMMYFUNCTION("""COMPUTED_VALUE"""),379.0)</f>
        <v>379</v>
      </c>
      <c r="B2140" s="2" t="str">
        <f>IFERROR(__xludf.DUMMYFUNCTION("""COMPUTED_VALUE"""),"PIROJPUR")</f>
        <v>PIROJPUR</v>
      </c>
      <c r="C2140" s="4">
        <f>IFERROR(__xludf.DUMMYFUNCTION("""COMPUTED_VALUE"""),35.0)</f>
        <v>35</v>
      </c>
      <c r="D2140" s="2" t="str">
        <f>IFERROR(__xludf.DUMMYFUNCTION("""COMPUTED_VALUE"""),"BANGLADESH KRISHI BANK")</f>
        <v>BANGLADESH KRISHI BANK</v>
      </c>
      <c r="E2140" s="2" t="str">
        <f>IFERROR(__xludf.DUMMYFUNCTION("""COMPUTED_VALUE"""),"DHANISAFA")</f>
        <v>DHANISAFA</v>
      </c>
      <c r="F2140" s="4">
        <f>IFERROR(__xludf.DUMMYFUNCTION("""COMPUTED_VALUE"""),22.0)</f>
        <v>22</v>
      </c>
      <c r="G2140" s="5">
        <f>IFERROR(__xludf.DUMMYFUNCTION("""COMPUTED_VALUE"""),3.5790222E7)</f>
        <v>35790222</v>
      </c>
    </row>
    <row r="2141">
      <c r="A2141" s="3">
        <f>IFERROR(__xludf.DUMMYFUNCTION("""COMPUTED_VALUE"""),379.0)</f>
        <v>379</v>
      </c>
      <c r="B2141" s="2" t="str">
        <f>IFERROR(__xludf.DUMMYFUNCTION("""COMPUTED_VALUE"""),"PIROJPUR")</f>
        <v>PIROJPUR</v>
      </c>
      <c r="C2141" s="4">
        <f>IFERROR(__xludf.DUMMYFUNCTION("""COMPUTED_VALUE"""),35.0)</f>
        <v>35</v>
      </c>
      <c r="D2141" s="2" t="str">
        <f>IFERROR(__xludf.DUMMYFUNCTION("""COMPUTED_VALUE"""),"BANGLADESH KRISHI BANK")</f>
        <v>BANGLADESH KRISHI BANK</v>
      </c>
      <c r="E2141" s="2" t="str">
        <f>IFERROR(__xludf.DUMMYFUNCTION("""COMPUTED_VALUE"""),"DURGAPUR")</f>
        <v>DURGAPUR</v>
      </c>
      <c r="F2141" s="4">
        <f>IFERROR(__xludf.DUMMYFUNCTION("""COMPUTED_VALUE"""),25.0)</f>
        <v>25</v>
      </c>
      <c r="G2141" s="5">
        <f>IFERROR(__xludf.DUMMYFUNCTION("""COMPUTED_VALUE"""),3.5790251E7)</f>
        <v>35790251</v>
      </c>
    </row>
    <row r="2142">
      <c r="A2142" s="3">
        <f>IFERROR(__xludf.DUMMYFUNCTION("""COMPUTED_VALUE"""),379.0)</f>
        <v>379</v>
      </c>
      <c r="B2142" s="2" t="str">
        <f>IFERROR(__xludf.DUMMYFUNCTION("""COMPUTED_VALUE"""),"PIROJPUR")</f>
        <v>PIROJPUR</v>
      </c>
      <c r="C2142" s="4">
        <f>IFERROR(__xludf.DUMMYFUNCTION("""COMPUTED_VALUE"""),35.0)</f>
        <v>35</v>
      </c>
      <c r="D2142" s="2" t="str">
        <f>IFERROR(__xludf.DUMMYFUNCTION("""COMPUTED_VALUE"""),"BANGLADESH KRISHI BANK")</f>
        <v>BANGLADESH KRISHI BANK</v>
      </c>
      <c r="E2142" s="2" t="str">
        <f>IFERROR(__xludf.DUMMYFUNCTION("""COMPUTED_VALUE"""),"EKRI BAZAR")</f>
        <v>EKRI BAZAR</v>
      </c>
      <c r="F2142" s="4">
        <f>IFERROR(__xludf.DUMMYFUNCTION("""COMPUTED_VALUE"""),28.0)</f>
        <v>28</v>
      </c>
      <c r="G2142" s="5">
        <f>IFERROR(__xludf.DUMMYFUNCTION("""COMPUTED_VALUE"""),3.579028E7)</f>
        <v>35790280</v>
      </c>
    </row>
    <row r="2143">
      <c r="A2143" s="3">
        <f>IFERROR(__xludf.DUMMYFUNCTION("""COMPUTED_VALUE"""),379.0)</f>
        <v>379</v>
      </c>
      <c r="B2143" s="2" t="str">
        <f>IFERROR(__xludf.DUMMYFUNCTION("""COMPUTED_VALUE"""),"PIROJPUR")</f>
        <v>PIROJPUR</v>
      </c>
      <c r="C2143" s="4">
        <f>IFERROR(__xludf.DUMMYFUNCTION("""COMPUTED_VALUE"""),35.0)</f>
        <v>35</v>
      </c>
      <c r="D2143" s="2" t="str">
        <f>IFERROR(__xludf.DUMMYFUNCTION("""COMPUTED_VALUE"""),"BANGLADESH KRISHI BANK")</f>
        <v>BANGLADESH KRISHI BANK</v>
      </c>
      <c r="E2143" s="2" t="str">
        <f>IFERROR(__xludf.DUMMYFUNCTION("""COMPUTED_VALUE"""),"GULISHAKHALI")</f>
        <v>GULISHAKHALI</v>
      </c>
      <c r="F2143" s="4">
        <f>IFERROR(__xludf.DUMMYFUNCTION("""COMPUTED_VALUE"""),31.0)</f>
        <v>31</v>
      </c>
      <c r="G2143" s="5">
        <f>IFERROR(__xludf.DUMMYFUNCTION("""COMPUTED_VALUE"""),3.5790314E7)</f>
        <v>35790314</v>
      </c>
    </row>
    <row r="2144">
      <c r="A2144" s="3">
        <f>IFERROR(__xludf.DUMMYFUNCTION("""COMPUTED_VALUE"""),379.0)</f>
        <v>379</v>
      </c>
      <c r="B2144" s="2" t="str">
        <f>IFERROR(__xludf.DUMMYFUNCTION("""COMPUTED_VALUE"""),"PIROJPUR")</f>
        <v>PIROJPUR</v>
      </c>
      <c r="C2144" s="4">
        <f>IFERROR(__xludf.DUMMYFUNCTION("""COMPUTED_VALUE"""),35.0)</f>
        <v>35</v>
      </c>
      <c r="D2144" s="2" t="str">
        <f>IFERROR(__xludf.DUMMYFUNCTION("""COMPUTED_VALUE"""),"BANGLADESH KRISHI BANK")</f>
        <v>BANGLADESH KRISHI BANK</v>
      </c>
      <c r="E2144" s="2" t="str">
        <f>IFERROR(__xludf.DUMMYFUNCTION("""COMPUTED_VALUE"""),"KALAKHALI")</f>
        <v>KALAKHALI</v>
      </c>
      <c r="F2144" s="4">
        <f>IFERROR(__xludf.DUMMYFUNCTION("""COMPUTED_VALUE"""),40.0)</f>
        <v>40</v>
      </c>
      <c r="G2144" s="5">
        <f>IFERROR(__xludf.DUMMYFUNCTION("""COMPUTED_VALUE"""),3.5790406E7)</f>
        <v>35790406</v>
      </c>
    </row>
    <row r="2145">
      <c r="A2145" s="3">
        <f>IFERROR(__xludf.DUMMYFUNCTION("""COMPUTED_VALUE"""),379.0)</f>
        <v>379</v>
      </c>
      <c r="B2145" s="2" t="str">
        <f>IFERROR(__xludf.DUMMYFUNCTION("""COMPUTED_VALUE"""),"PIROJPUR")</f>
        <v>PIROJPUR</v>
      </c>
      <c r="C2145" s="4">
        <f>IFERROR(__xludf.DUMMYFUNCTION("""COMPUTED_VALUE"""),35.0)</f>
        <v>35</v>
      </c>
      <c r="D2145" s="2" t="str">
        <f>IFERROR(__xludf.DUMMYFUNCTION("""COMPUTED_VALUE"""),"BANGLADESH KRISHI BANK")</f>
        <v>BANGLADESH KRISHI BANK</v>
      </c>
      <c r="E2145" s="2" t="str">
        <f>IFERROR(__xludf.DUMMYFUNCTION("""COMPUTED_VALUE"""),"KAWKHALI")</f>
        <v>KAWKHALI</v>
      </c>
      <c r="F2145" s="4">
        <f>IFERROR(__xludf.DUMMYFUNCTION("""COMPUTED_VALUE"""),43.0)</f>
        <v>43</v>
      </c>
      <c r="G2145" s="5">
        <f>IFERROR(__xludf.DUMMYFUNCTION("""COMPUTED_VALUE"""),3.5790435E7)</f>
        <v>35790435</v>
      </c>
    </row>
    <row r="2146">
      <c r="A2146" s="3">
        <f>IFERROR(__xludf.DUMMYFUNCTION("""COMPUTED_VALUE"""),379.0)</f>
        <v>379</v>
      </c>
      <c r="B2146" s="2" t="str">
        <f>IFERROR(__xludf.DUMMYFUNCTION("""COMPUTED_VALUE"""),"PIROJPUR")</f>
        <v>PIROJPUR</v>
      </c>
      <c r="C2146" s="4">
        <f>IFERROR(__xludf.DUMMYFUNCTION("""COMPUTED_VALUE"""),35.0)</f>
        <v>35</v>
      </c>
      <c r="D2146" s="2" t="str">
        <f>IFERROR(__xludf.DUMMYFUNCTION("""COMPUTED_VALUE"""),"BANGLADESH KRISHI BANK")</f>
        <v>BANGLADESH KRISHI BANK</v>
      </c>
      <c r="E2146" s="2" t="str">
        <f>IFERROR(__xludf.DUMMYFUNCTION("""COMPUTED_VALUE"""),"KOWRIKHARA")</f>
        <v>KOWRIKHARA</v>
      </c>
      <c r="F2146" s="4">
        <f>IFERROR(__xludf.DUMMYFUNCTION("""COMPUTED_VALUE"""),46.0)</f>
        <v>46</v>
      </c>
      <c r="G2146" s="5">
        <f>IFERROR(__xludf.DUMMYFUNCTION("""COMPUTED_VALUE"""),3.5790464E7)</f>
        <v>35790464</v>
      </c>
    </row>
    <row r="2147">
      <c r="A2147" s="3">
        <f>IFERROR(__xludf.DUMMYFUNCTION("""COMPUTED_VALUE"""),379.0)</f>
        <v>379</v>
      </c>
      <c r="B2147" s="2" t="str">
        <f>IFERROR(__xludf.DUMMYFUNCTION("""COMPUTED_VALUE"""),"PIROJPUR")</f>
        <v>PIROJPUR</v>
      </c>
      <c r="C2147" s="4">
        <f>IFERROR(__xludf.DUMMYFUNCTION("""COMPUTED_VALUE"""),35.0)</f>
        <v>35</v>
      </c>
      <c r="D2147" s="2" t="str">
        <f>IFERROR(__xludf.DUMMYFUNCTION("""COMPUTED_VALUE"""),"BANGLADESH KRISHI BANK")</f>
        <v>BANGLADESH KRISHI BANK</v>
      </c>
      <c r="E2147" s="2" t="str">
        <f>IFERROR(__xludf.DUMMYFUNCTION("""COMPUTED_VALUE"""),"KURIANA")</f>
        <v>KURIANA</v>
      </c>
      <c r="F2147" s="4">
        <f>IFERROR(__xludf.DUMMYFUNCTION("""COMPUTED_VALUE"""),49.0)</f>
        <v>49</v>
      </c>
      <c r="G2147" s="5">
        <f>IFERROR(__xludf.DUMMYFUNCTION("""COMPUTED_VALUE"""),3.5790493E7)</f>
        <v>35790493</v>
      </c>
    </row>
    <row r="2148">
      <c r="A2148" s="3">
        <f>IFERROR(__xludf.DUMMYFUNCTION("""COMPUTED_VALUE"""),379.0)</f>
        <v>379</v>
      </c>
      <c r="B2148" s="2" t="str">
        <f>IFERROR(__xludf.DUMMYFUNCTION("""COMPUTED_VALUE"""),"PIROJPUR")</f>
        <v>PIROJPUR</v>
      </c>
      <c r="C2148" s="4">
        <f>IFERROR(__xludf.DUMMYFUNCTION("""COMPUTED_VALUE"""),35.0)</f>
        <v>35</v>
      </c>
      <c r="D2148" s="2" t="str">
        <f>IFERROR(__xludf.DUMMYFUNCTION("""COMPUTED_VALUE"""),"BANGLADESH KRISHI BANK")</f>
        <v>BANGLADESH KRISHI BANK</v>
      </c>
      <c r="E2148" s="2" t="str">
        <f>IFERROR(__xludf.DUMMYFUNCTION("""COMPUTED_VALUE"""),"MATHBARIA")</f>
        <v>MATHBARIA</v>
      </c>
      <c r="F2148" s="4">
        <f>IFERROR(__xludf.DUMMYFUNCTION("""COMPUTED_VALUE"""),52.0)</f>
        <v>52</v>
      </c>
      <c r="G2148" s="5">
        <f>IFERROR(__xludf.DUMMYFUNCTION("""COMPUTED_VALUE"""),3.5790527E7)</f>
        <v>35790527</v>
      </c>
    </row>
    <row r="2149">
      <c r="A2149" s="3">
        <f>IFERROR(__xludf.DUMMYFUNCTION("""COMPUTED_VALUE"""),379.0)</f>
        <v>379</v>
      </c>
      <c r="B2149" s="2" t="str">
        <f>IFERROR(__xludf.DUMMYFUNCTION("""COMPUTED_VALUE"""),"PIROJPUR")</f>
        <v>PIROJPUR</v>
      </c>
      <c r="C2149" s="4">
        <f>IFERROR(__xludf.DUMMYFUNCTION("""COMPUTED_VALUE"""),35.0)</f>
        <v>35</v>
      </c>
      <c r="D2149" s="2" t="str">
        <f>IFERROR(__xludf.DUMMYFUNCTION("""COMPUTED_VALUE"""),"BANGLADESH KRISHI BANK")</f>
        <v>BANGLADESH KRISHI BANK</v>
      </c>
      <c r="E2149" s="2" t="str">
        <f>IFERROR(__xludf.DUMMYFUNCTION("""COMPUTED_VALUE"""),"MATIBHANGA")</f>
        <v>MATIBHANGA</v>
      </c>
      <c r="F2149" s="4">
        <f>IFERROR(__xludf.DUMMYFUNCTION("""COMPUTED_VALUE"""),55.0)</f>
        <v>55</v>
      </c>
      <c r="G2149" s="5">
        <f>IFERROR(__xludf.DUMMYFUNCTION("""COMPUTED_VALUE"""),3.5790556E7)</f>
        <v>35790556</v>
      </c>
    </row>
    <row r="2150">
      <c r="A2150" s="3">
        <f>IFERROR(__xludf.DUMMYFUNCTION("""COMPUTED_VALUE"""),379.0)</f>
        <v>379</v>
      </c>
      <c r="B2150" s="2" t="str">
        <f>IFERROR(__xludf.DUMMYFUNCTION("""COMPUTED_VALUE"""),"PIROJPUR")</f>
        <v>PIROJPUR</v>
      </c>
      <c r="C2150" s="4">
        <f>IFERROR(__xludf.DUMMYFUNCTION("""COMPUTED_VALUE"""),35.0)</f>
        <v>35</v>
      </c>
      <c r="D2150" s="2" t="str">
        <f>IFERROR(__xludf.DUMMYFUNCTION("""COMPUTED_VALUE"""),"BANGLADESH KRISHI BANK")</f>
        <v>BANGLADESH KRISHI BANK</v>
      </c>
      <c r="E2150" s="2" t="str">
        <f>IFERROR(__xludf.DUMMYFUNCTION("""COMPUTED_VALUE"""),"MULGRAMHAT")</f>
        <v>MULGRAMHAT</v>
      </c>
      <c r="F2150" s="4">
        <f>IFERROR(__xludf.DUMMYFUNCTION("""COMPUTED_VALUE"""),67.0)</f>
        <v>67</v>
      </c>
      <c r="G2150" s="5">
        <f>IFERROR(__xludf.DUMMYFUNCTION("""COMPUTED_VALUE"""),3.5790677E7)</f>
        <v>35790677</v>
      </c>
    </row>
    <row r="2151">
      <c r="A2151" s="3">
        <f>IFERROR(__xludf.DUMMYFUNCTION("""COMPUTED_VALUE"""),379.0)</f>
        <v>379</v>
      </c>
      <c r="B2151" s="2" t="str">
        <f>IFERROR(__xludf.DUMMYFUNCTION("""COMPUTED_VALUE"""),"PIROJPUR")</f>
        <v>PIROJPUR</v>
      </c>
      <c r="C2151" s="4">
        <f>IFERROR(__xludf.DUMMYFUNCTION("""COMPUTED_VALUE"""),35.0)</f>
        <v>35</v>
      </c>
      <c r="D2151" s="2" t="str">
        <f>IFERROR(__xludf.DUMMYFUNCTION("""COMPUTED_VALUE"""),"BANGLADESH KRISHI BANK")</f>
        <v>BANGLADESH KRISHI BANK</v>
      </c>
      <c r="E2151" s="2" t="str">
        <f>IFERROR(__xludf.DUMMYFUNCTION("""COMPUTED_VALUE"""),"NAZIRPUR")</f>
        <v>NAZIRPUR</v>
      </c>
      <c r="F2151" s="4">
        <f>IFERROR(__xludf.DUMMYFUNCTION("""COMPUTED_VALUE"""),70.0)</f>
        <v>70</v>
      </c>
      <c r="G2151" s="5">
        <f>IFERROR(__xludf.DUMMYFUNCTION("""COMPUTED_VALUE"""),3.5790701E7)</f>
        <v>35790701</v>
      </c>
    </row>
    <row r="2152">
      <c r="A2152" s="3">
        <f>IFERROR(__xludf.DUMMYFUNCTION("""COMPUTED_VALUE"""),379.0)</f>
        <v>379</v>
      </c>
      <c r="B2152" s="2" t="str">
        <f>IFERROR(__xludf.DUMMYFUNCTION("""COMPUTED_VALUE"""),"PIROJPUR")</f>
        <v>PIROJPUR</v>
      </c>
      <c r="C2152" s="4">
        <f>IFERROR(__xludf.DUMMYFUNCTION("""COMPUTED_VALUE"""),35.0)</f>
        <v>35</v>
      </c>
      <c r="D2152" s="2" t="str">
        <f>IFERROR(__xludf.DUMMYFUNCTION("""COMPUTED_VALUE"""),"BANGLADESH KRISHI BANK")</f>
        <v>BANGLADESH KRISHI BANK</v>
      </c>
      <c r="E2152" s="2" t="str">
        <f>IFERROR(__xludf.DUMMYFUNCTION("""COMPUTED_VALUE"""),"PIROJPUR")</f>
        <v>PIROJPUR</v>
      </c>
      <c r="F2152" s="4">
        <f>IFERROR(__xludf.DUMMYFUNCTION("""COMPUTED_VALUE"""),76.0)</f>
        <v>76</v>
      </c>
      <c r="G2152" s="5">
        <f>IFERROR(__xludf.DUMMYFUNCTION("""COMPUTED_VALUE"""),3.5790769E7)</f>
        <v>35790769</v>
      </c>
    </row>
    <row r="2153">
      <c r="A2153" s="3">
        <f>IFERROR(__xludf.DUMMYFUNCTION("""COMPUTED_VALUE"""),379.0)</f>
        <v>379</v>
      </c>
      <c r="B2153" s="2" t="str">
        <f>IFERROR(__xludf.DUMMYFUNCTION("""COMPUTED_VALUE"""),"PIROJPUR")</f>
        <v>PIROJPUR</v>
      </c>
      <c r="C2153" s="4">
        <f>IFERROR(__xludf.DUMMYFUNCTION("""COMPUTED_VALUE"""),35.0)</f>
        <v>35</v>
      </c>
      <c r="D2153" s="2" t="str">
        <f>IFERROR(__xludf.DUMMYFUNCTION("""COMPUTED_VALUE"""),"BANGLADESH KRISHI BANK")</f>
        <v>BANGLADESH KRISHI BANK</v>
      </c>
      <c r="E2153" s="2" t="str">
        <f>IFERROR(__xludf.DUMMYFUNCTION("""COMPUTED_VALUE"""),"SHANKAR PASHA")</f>
        <v>SHANKAR PASHA</v>
      </c>
      <c r="F2153" s="4">
        <f>IFERROR(__xludf.DUMMYFUNCTION("""COMPUTED_VALUE"""),88.0)</f>
        <v>88</v>
      </c>
      <c r="G2153" s="5">
        <f>IFERROR(__xludf.DUMMYFUNCTION("""COMPUTED_VALUE"""),3.579088E7)</f>
        <v>35790880</v>
      </c>
    </row>
    <row r="2154">
      <c r="A2154" s="3">
        <f>IFERROR(__xludf.DUMMYFUNCTION("""COMPUTED_VALUE"""),379.0)</f>
        <v>379</v>
      </c>
      <c r="B2154" s="2" t="str">
        <f>IFERROR(__xludf.DUMMYFUNCTION("""COMPUTED_VALUE"""),"PIROJPUR")</f>
        <v>PIROJPUR</v>
      </c>
      <c r="C2154" s="4">
        <f>IFERROR(__xludf.DUMMYFUNCTION("""COMPUTED_VALUE"""),35.0)</f>
        <v>35</v>
      </c>
      <c r="D2154" s="2" t="str">
        <f>IFERROR(__xludf.DUMMYFUNCTION("""COMPUTED_VALUE"""),"BANGLADESH KRISHI BANK")</f>
        <v>BANGLADESH KRISHI BANK</v>
      </c>
      <c r="E2154" s="2" t="str">
        <f>IFERROR(__xludf.DUMMYFUNCTION("""COMPUTED_VALUE"""),"SHAPLEZA BAZAR")</f>
        <v>SHAPLEZA BAZAR</v>
      </c>
      <c r="F2154" s="4">
        <f>IFERROR(__xludf.DUMMYFUNCTION("""COMPUTED_VALUE"""),91.0)</f>
        <v>91</v>
      </c>
      <c r="G2154" s="5">
        <f>IFERROR(__xludf.DUMMYFUNCTION("""COMPUTED_VALUE"""),3.5790914E7)</f>
        <v>35790914</v>
      </c>
    </row>
    <row r="2155">
      <c r="A2155" s="3">
        <f>IFERROR(__xludf.DUMMYFUNCTION("""COMPUTED_VALUE"""),379.0)</f>
        <v>379</v>
      </c>
      <c r="B2155" s="2" t="str">
        <f>IFERROR(__xludf.DUMMYFUNCTION("""COMPUTED_VALUE"""),"PIROJPUR")</f>
        <v>PIROJPUR</v>
      </c>
      <c r="C2155" s="4">
        <f>IFERROR(__xludf.DUMMYFUNCTION("""COMPUTED_VALUE"""),35.0)</f>
        <v>35</v>
      </c>
      <c r="D2155" s="2" t="str">
        <f>IFERROR(__xludf.DUMMYFUNCTION("""COMPUTED_VALUE"""),"BANGLADESH KRISHI BANK")</f>
        <v>BANGLADESH KRISHI BANK</v>
      </c>
      <c r="E2155" s="2" t="str">
        <f>IFERROR(__xludf.DUMMYFUNCTION("""COMPUTED_VALUE"""),"SWARUPKATI")</f>
        <v>SWARUPKATI</v>
      </c>
      <c r="F2155" s="4">
        <f>IFERROR(__xludf.DUMMYFUNCTION("""COMPUTED_VALUE"""),97.0)</f>
        <v>97</v>
      </c>
      <c r="G2155" s="5">
        <f>IFERROR(__xludf.DUMMYFUNCTION("""COMPUTED_VALUE"""),3.5790972E7)</f>
        <v>35790972</v>
      </c>
    </row>
    <row r="2156">
      <c r="A2156" s="3">
        <f>IFERROR(__xludf.DUMMYFUNCTION("""COMPUTED_VALUE"""),379.0)</f>
        <v>379</v>
      </c>
      <c r="B2156" s="2" t="str">
        <f>IFERROR(__xludf.DUMMYFUNCTION("""COMPUTED_VALUE"""),"PIROJPUR")</f>
        <v>PIROJPUR</v>
      </c>
      <c r="C2156" s="4">
        <f>IFERROR(__xludf.DUMMYFUNCTION("""COMPUTED_VALUE"""),35.0)</f>
        <v>35</v>
      </c>
      <c r="D2156" s="2" t="str">
        <f>IFERROR(__xludf.DUMMYFUNCTION("""COMPUTED_VALUE"""),"BANGLADESH KRISHI BANK")</f>
        <v>BANGLADESH KRISHI BANK</v>
      </c>
      <c r="E2156" s="2" t="str">
        <f>IFERROR(__xludf.DUMMYFUNCTION("""COMPUTED_VALUE"""),"TELIKHALI")</f>
        <v>TELIKHALI</v>
      </c>
      <c r="F2156" s="4">
        <f>IFERROR(__xludf.DUMMYFUNCTION("""COMPUTED_VALUE"""),100.0)</f>
        <v>100</v>
      </c>
      <c r="G2156" s="5">
        <f>IFERROR(__xludf.DUMMYFUNCTION("""COMPUTED_VALUE"""),3.5791005E7)</f>
        <v>35791005</v>
      </c>
    </row>
    <row r="2157">
      <c r="A2157" s="3">
        <f>IFERROR(__xludf.DUMMYFUNCTION("""COMPUTED_VALUE"""),379.0)</f>
        <v>379</v>
      </c>
      <c r="B2157" s="2" t="str">
        <f>IFERROR(__xludf.DUMMYFUNCTION("""COMPUTED_VALUE"""),"PIROJPUR")</f>
        <v>PIROJPUR</v>
      </c>
      <c r="C2157" s="4">
        <f>IFERROR(__xludf.DUMMYFUNCTION("""COMPUTED_VALUE"""),35.0)</f>
        <v>35</v>
      </c>
      <c r="D2157" s="2" t="str">
        <f>IFERROR(__xludf.DUMMYFUNCTION("""COMPUTED_VALUE"""),"BANGLADESH KRISHI BANK")</f>
        <v>BANGLADESH KRISHI BANK</v>
      </c>
      <c r="E2157" s="2" t="str">
        <f>IFERROR(__xludf.DUMMYFUNCTION("""COMPUTED_VALUE"""),"ZIA NAGAR")</f>
        <v>ZIA NAGAR</v>
      </c>
      <c r="F2157" s="4">
        <f>IFERROR(__xludf.DUMMYFUNCTION("""COMPUTED_VALUE"""),106.0)</f>
        <v>106</v>
      </c>
      <c r="G2157" s="5">
        <f>IFERROR(__xludf.DUMMYFUNCTION("""COMPUTED_VALUE"""),3.5791063E7)</f>
        <v>35791063</v>
      </c>
    </row>
    <row r="2158">
      <c r="A2158" s="3">
        <f>IFERROR(__xludf.DUMMYFUNCTION("""COMPUTED_VALUE"""),382.0)</f>
        <v>382</v>
      </c>
      <c r="B2158" s="2" t="str">
        <f>IFERROR(__xludf.DUMMYFUNCTION("""COMPUTED_VALUE"""),"RAJBARI")</f>
        <v>RAJBARI</v>
      </c>
      <c r="C2158" s="4">
        <f>IFERROR(__xludf.DUMMYFUNCTION("""COMPUTED_VALUE"""),35.0)</f>
        <v>35</v>
      </c>
      <c r="D2158" s="2" t="str">
        <f>IFERROR(__xludf.DUMMYFUNCTION("""COMPUTED_VALUE"""),"BANGLADESH KRISHI BANK")</f>
        <v>BANGLADESH KRISHI BANK</v>
      </c>
      <c r="E2158" s="2" t="str">
        <f>IFERROR(__xludf.DUMMYFUNCTION("""COMPUTED_VALUE"""),"BAGDULI HAT")</f>
        <v>BAGDULI HAT</v>
      </c>
      <c r="F2158" s="4">
        <f>IFERROR(__xludf.DUMMYFUNCTION("""COMPUTED_VALUE"""),7.0)</f>
        <v>7</v>
      </c>
      <c r="G2158" s="5">
        <f>IFERROR(__xludf.DUMMYFUNCTION("""COMPUTED_VALUE"""),3.5820071E7)</f>
        <v>35820071</v>
      </c>
    </row>
    <row r="2159">
      <c r="A2159" s="3">
        <f>IFERROR(__xludf.DUMMYFUNCTION("""COMPUTED_VALUE"""),382.0)</f>
        <v>382</v>
      </c>
      <c r="B2159" s="2" t="str">
        <f>IFERROR(__xludf.DUMMYFUNCTION("""COMPUTED_VALUE"""),"RAJBARI")</f>
        <v>RAJBARI</v>
      </c>
      <c r="C2159" s="4">
        <f>IFERROR(__xludf.DUMMYFUNCTION("""COMPUTED_VALUE"""),35.0)</f>
        <v>35</v>
      </c>
      <c r="D2159" s="2" t="str">
        <f>IFERROR(__xludf.DUMMYFUNCTION("""COMPUTED_VALUE"""),"BANGLADESH KRISHI BANK")</f>
        <v>BANGLADESH KRISHI BANK</v>
      </c>
      <c r="E2159" s="2" t="str">
        <f>IFERROR(__xludf.DUMMYFUNCTION("""COMPUTED_VALUE"""),"BAHADURPUR BAZAR")</f>
        <v>BAHADURPUR BAZAR</v>
      </c>
      <c r="F2159" s="4">
        <f>IFERROR(__xludf.DUMMYFUNCTION("""COMPUTED_VALUE"""),10.0)</f>
        <v>10</v>
      </c>
      <c r="G2159" s="5">
        <f>IFERROR(__xludf.DUMMYFUNCTION("""COMPUTED_VALUE"""),3.5820105E7)</f>
        <v>35820105</v>
      </c>
    </row>
    <row r="2160">
      <c r="A2160" s="3">
        <f>IFERROR(__xludf.DUMMYFUNCTION("""COMPUTED_VALUE"""),382.0)</f>
        <v>382</v>
      </c>
      <c r="B2160" s="2" t="str">
        <f>IFERROR(__xludf.DUMMYFUNCTION("""COMPUTED_VALUE"""),"RAJBARI")</f>
        <v>RAJBARI</v>
      </c>
      <c r="C2160" s="4">
        <f>IFERROR(__xludf.DUMMYFUNCTION("""COMPUTED_VALUE"""),35.0)</f>
        <v>35</v>
      </c>
      <c r="D2160" s="2" t="str">
        <f>IFERROR(__xludf.DUMMYFUNCTION("""COMPUTED_VALUE"""),"BANGLADESH KRISHI BANK")</f>
        <v>BANGLADESH KRISHI BANK</v>
      </c>
      <c r="E2160" s="2" t="str">
        <f>IFERROR(__xludf.DUMMYFUNCTION("""COMPUTED_VALUE"""),"BALIAKANDI")</f>
        <v>BALIAKANDI</v>
      </c>
      <c r="F2160" s="4">
        <f>IFERROR(__xludf.DUMMYFUNCTION("""COMPUTED_VALUE"""),16.0)</f>
        <v>16</v>
      </c>
      <c r="G2160" s="5">
        <f>IFERROR(__xludf.DUMMYFUNCTION("""COMPUTED_VALUE"""),3.5820163E7)</f>
        <v>35820163</v>
      </c>
    </row>
    <row r="2161">
      <c r="A2161" s="3">
        <f>IFERROR(__xludf.DUMMYFUNCTION("""COMPUTED_VALUE"""),382.0)</f>
        <v>382</v>
      </c>
      <c r="B2161" s="2" t="str">
        <f>IFERROR(__xludf.DUMMYFUNCTION("""COMPUTED_VALUE"""),"RAJBARI")</f>
        <v>RAJBARI</v>
      </c>
      <c r="C2161" s="4">
        <f>IFERROR(__xludf.DUMMYFUNCTION("""COMPUTED_VALUE"""),35.0)</f>
        <v>35</v>
      </c>
      <c r="D2161" s="2" t="str">
        <f>IFERROR(__xludf.DUMMYFUNCTION("""COMPUTED_VALUE"""),"BANGLADESH KRISHI BANK")</f>
        <v>BANGLADESH KRISHI BANK</v>
      </c>
      <c r="E2161" s="2" t="str">
        <f>IFERROR(__xludf.DUMMYFUNCTION("""COMPUTED_VALUE"""),"GOALANDA")</f>
        <v>GOALANDA</v>
      </c>
      <c r="F2161" s="4">
        <f>IFERROR(__xludf.DUMMYFUNCTION("""COMPUTED_VALUE"""),28.0)</f>
        <v>28</v>
      </c>
      <c r="G2161" s="5">
        <f>IFERROR(__xludf.DUMMYFUNCTION("""COMPUTED_VALUE"""),3.5820284E7)</f>
        <v>35820284</v>
      </c>
    </row>
    <row r="2162">
      <c r="A2162" s="3">
        <f>IFERROR(__xludf.DUMMYFUNCTION("""COMPUTED_VALUE"""),382.0)</f>
        <v>382</v>
      </c>
      <c r="B2162" s="2" t="str">
        <f>IFERROR(__xludf.DUMMYFUNCTION("""COMPUTED_VALUE"""),"RAJBARI")</f>
        <v>RAJBARI</v>
      </c>
      <c r="C2162" s="4">
        <f>IFERROR(__xludf.DUMMYFUNCTION("""COMPUTED_VALUE"""),35.0)</f>
        <v>35</v>
      </c>
      <c r="D2162" s="2" t="str">
        <f>IFERROR(__xludf.DUMMYFUNCTION("""COMPUTED_VALUE"""),"BANGLADESH KRISHI BANK")</f>
        <v>BANGLADESH KRISHI BANK</v>
      </c>
      <c r="E2162" s="2" t="str">
        <f>IFERROR(__xludf.DUMMYFUNCTION("""COMPUTED_VALUE"""),"HABASHPUR BAZAR")</f>
        <v>HABASHPUR BAZAR</v>
      </c>
      <c r="F2162" s="4">
        <f>IFERROR(__xludf.DUMMYFUNCTION("""COMPUTED_VALUE"""),34.0)</f>
        <v>34</v>
      </c>
      <c r="G2162" s="5">
        <f>IFERROR(__xludf.DUMMYFUNCTION("""COMPUTED_VALUE"""),3.5820347E7)</f>
        <v>35820347</v>
      </c>
    </row>
    <row r="2163">
      <c r="A2163" s="3">
        <f>IFERROR(__xludf.DUMMYFUNCTION("""COMPUTED_VALUE"""),382.0)</f>
        <v>382</v>
      </c>
      <c r="B2163" s="2" t="str">
        <f>IFERROR(__xludf.DUMMYFUNCTION("""COMPUTED_VALUE"""),"RAJBARI")</f>
        <v>RAJBARI</v>
      </c>
      <c r="C2163" s="4">
        <f>IFERROR(__xludf.DUMMYFUNCTION("""COMPUTED_VALUE"""),35.0)</f>
        <v>35</v>
      </c>
      <c r="D2163" s="2" t="str">
        <f>IFERROR(__xludf.DUMMYFUNCTION("""COMPUTED_VALUE"""),"BANGLADESH KRISHI BANK")</f>
        <v>BANGLADESH KRISHI BANK</v>
      </c>
      <c r="E2163" s="2" t="str">
        <f>IFERROR(__xludf.DUMMYFUNCTION("""COMPUTED_VALUE"""),"MRIGIBAZAR")</f>
        <v>MRIGIBAZAR</v>
      </c>
      <c r="F2163" s="4">
        <f>IFERROR(__xludf.DUMMYFUNCTION("""COMPUTED_VALUE"""),49.0)</f>
        <v>49</v>
      </c>
      <c r="G2163" s="5">
        <f>IFERROR(__xludf.DUMMYFUNCTION("""COMPUTED_VALUE"""),3.5820497E7)</f>
        <v>35820497</v>
      </c>
    </row>
    <row r="2164">
      <c r="A2164" s="3">
        <f>IFERROR(__xludf.DUMMYFUNCTION("""COMPUTED_VALUE"""),382.0)</f>
        <v>382</v>
      </c>
      <c r="B2164" s="2" t="str">
        <f>IFERROR(__xludf.DUMMYFUNCTION("""COMPUTED_VALUE"""),"RAJBARI")</f>
        <v>RAJBARI</v>
      </c>
      <c r="C2164" s="4">
        <f>IFERROR(__xludf.DUMMYFUNCTION("""COMPUTED_VALUE"""),35.0)</f>
        <v>35</v>
      </c>
      <c r="D2164" s="2" t="str">
        <f>IFERROR(__xludf.DUMMYFUNCTION("""COMPUTED_VALUE"""),"BANGLADESH KRISHI BANK")</f>
        <v>BANGLADESH KRISHI BANK</v>
      </c>
      <c r="E2164" s="2" t="str">
        <f>IFERROR(__xludf.DUMMYFUNCTION("""COMPUTED_VALUE"""),"MULGHAR")</f>
        <v>MULGHAR</v>
      </c>
      <c r="F2164" s="4">
        <f>IFERROR(__xludf.DUMMYFUNCTION("""COMPUTED_VALUE"""),52.0)</f>
        <v>52</v>
      </c>
      <c r="G2164" s="5">
        <f>IFERROR(__xludf.DUMMYFUNCTION("""COMPUTED_VALUE"""),3.5820521E7)</f>
        <v>35820521</v>
      </c>
    </row>
    <row r="2165">
      <c r="A2165" s="3">
        <f>IFERROR(__xludf.DUMMYFUNCTION("""COMPUTED_VALUE"""),382.0)</f>
        <v>382</v>
      </c>
      <c r="B2165" s="2" t="str">
        <f>IFERROR(__xludf.DUMMYFUNCTION("""COMPUTED_VALUE"""),"RAJBARI")</f>
        <v>RAJBARI</v>
      </c>
      <c r="C2165" s="4">
        <f>IFERROR(__xludf.DUMMYFUNCTION("""COMPUTED_VALUE"""),35.0)</f>
        <v>35</v>
      </c>
      <c r="D2165" s="2" t="str">
        <f>IFERROR(__xludf.DUMMYFUNCTION("""COMPUTED_VALUE"""),"BANGLADESH KRISHI BANK")</f>
        <v>BANGLADESH KRISHI BANK</v>
      </c>
      <c r="E2165" s="2" t="str">
        <f>IFERROR(__xludf.DUMMYFUNCTION("""COMPUTED_VALUE"""),"PANCHURIA BAZAR")</f>
        <v>PANCHURIA BAZAR</v>
      </c>
      <c r="F2165" s="4">
        <f>IFERROR(__xludf.DUMMYFUNCTION("""COMPUTED_VALUE"""),61.0)</f>
        <v>61</v>
      </c>
      <c r="G2165" s="5">
        <f>IFERROR(__xludf.DUMMYFUNCTION("""COMPUTED_VALUE"""),3.5820613E7)</f>
        <v>35820613</v>
      </c>
    </row>
    <row r="2166">
      <c r="A2166" s="3">
        <f>IFERROR(__xludf.DUMMYFUNCTION("""COMPUTED_VALUE"""),382.0)</f>
        <v>382</v>
      </c>
      <c r="B2166" s="2" t="str">
        <f>IFERROR(__xludf.DUMMYFUNCTION("""COMPUTED_VALUE"""),"RAJBARI")</f>
        <v>RAJBARI</v>
      </c>
      <c r="C2166" s="4">
        <f>IFERROR(__xludf.DUMMYFUNCTION("""COMPUTED_VALUE"""),35.0)</f>
        <v>35</v>
      </c>
      <c r="D2166" s="2" t="str">
        <f>IFERROR(__xludf.DUMMYFUNCTION("""COMPUTED_VALUE"""),"BANGLADESH KRISHI BANK")</f>
        <v>BANGLADESH KRISHI BANK</v>
      </c>
      <c r="E2166" s="2" t="str">
        <f>IFERROR(__xludf.DUMMYFUNCTION("""COMPUTED_VALUE"""),"PANGSHA")</f>
        <v>PANGSHA</v>
      </c>
      <c r="F2166" s="4">
        <f>IFERROR(__xludf.DUMMYFUNCTION("""COMPUTED_VALUE"""),67.0)</f>
        <v>67</v>
      </c>
      <c r="G2166" s="5">
        <f>IFERROR(__xludf.DUMMYFUNCTION("""COMPUTED_VALUE"""),3.5820671E7)</f>
        <v>35820671</v>
      </c>
    </row>
    <row r="2167">
      <c r="A2167" s="3">
        <f>IFERROR(__xludf.DUMMYFUNCTION("""COMPUTED_VALUE"""),382.0)</f>
        <v>382</v>
      </c>
      <c r="B2167" s="2" t="str">
        <f>IFERROR(__xludf.DUMMYFUNCTION("""COMPUTED_VALUE"""),"RAJBARI")</f>
        <v>RAJBARI</v>
      </c>
      <c r="C2167" s="4">
        <f>IFERROR(__xludf.DUMMYFUNCTION("""COMPUTED_VALUE"""),35.0)</f>
        <v>35</v>
      </c>
      <c r="D2167" s="2" t="str">
        <f>IFERROR(__xludf.DUMMYFUNCTION("""COMPUTED_VALUE"""),"BANGLADESH KRISHI BANK")</f>
        <v>BANGLADESH KRISHI BANK</v>
      </c>
      <c r="E2167" s="2" t="str">
        <f>IFERROR(__xludf.DUMMYFUNCTION("""COMPUTED_VALUE"""),"RAJBARI")</f>
        <v>RAJBARI</v>
      </c>
      <c r="F2167" s="4">
        <f>IFERROR(__xludf.DUMMYFUNCTION("""COMPUTED_VALUE"""),73.0)</f>
        <v>73</v>
      </c>
      <c r="G2167" s="5">
        <f>IFERROR(__xludf.DUMMYFUNCTION("""COMPUTED_VALUE"""),3.5820734E7)</f>
        <v>35820734</v>
      </c>
    </row>
    <row r="2168">
      <c r="A2168" s="3">
        <f>IFERROR(__xludf.DUMMYFUNCTION("""COMPUTED_VALUE"""),382.0)</f>
        <v>382</v>
      </c>
      <c r="B2168" s="2" t="str">
        <f>IFERROR(__xludf.DUMMYFUNCTION("""COMPUTED_VALUE"""),"RAJBARI")</f>
        <v>RAJBARI</v>
      </c>
      <c r="C2168" s="4">
        <f>IFERROR(__xludf.DUMMYFUNCTION("""COMPUTED_VALUE"""),35.0)</f>
        <v>35</v>
      </c>
      <c r="D2168" s="2" t="str">
        <f>IFERROR(__xludf.DUMMYFUNCTION("""COMPUTED_VALUE"""),"BANGLADESH KRISHI BANK")</f>
        <v>BANGLADESH KRISHI BANK</v>
      </c>
      <c r="E2168" s="2" t="str">
        <f>IFERROR(__xludf.DUMMYFUNCTION("""COMPUTED_VALUE"""),"RATANDIA")</f>
        <v>RATANDIA</v>
      </c>
      <c r="F2168" s="4">
        <f>IFERROR(__xludf.DUMMYFUNCTION("""COMPUTED_VALUE"""),82.0)</f>
        <v>82</v>
      </c>
      <c r="G2168" s="5">
        <f>IFERROR(__xludf.DUMMYFUNCTION("""COMPUTED_VALUE"""),3.5820826E7)</f>
        <v>35820826</v>
      </c>
    </row>
    <row r="2169">
      <c r="A2169" s="3">
        <f>IFERROR(__xludf.DUMMYFUNCTION("""COMPUTED_VALUE"""),382.0)</f>
        <v>382</v>
      </c>
      <c r="B2169" s="2" t="str">
        <f>IFERROR(__xludf.DUMMYFUNCTION("""COMPUTED_VALUE"""),"RAJBARI")</f>
        <v>RAJBARI</v>
      </c>
      <c r="C2169" s="4">
        <f>IFERROR(__xludf.DUMMYFUNCTION("""COMPUTED_VALUE"""),35.0)</f>
        <v>35</v>
      </c>
      <c r="D2169" s="2" t="str">
        <f>IFERROR(__xludf.DUMMYFUNCTION("""COMPUTED_VALUE"""),"BANGLADESH KRISHI BANK")</f>
        <v>BANGLADESH KRISHI BANK</v>
      </c>
      <c r="E2169" s="2" t="str">
        <f>IFERROR(__xludf.DUMMYFUNCTION("""COMPUTED_VALUE"""),"SONAPUR BAZAR")</f>
        <v>SONAPUR BAZAR</v>
      </c>
      <c r="F2169" s="4">
        <f>IFERROR(__xludf.DUMMYFUNCTION("""COMPUTED_VALUE"""),85.0)</f>
        <v>85</v>
      </c>
      <c r="G2169" s="5">
        <f>IFERROR(__xludf.DUMMYFUNCTION("""COMPUTED_VALUE"""),3.5820855E7)</f>
        <v>35820855</v>
      </c>
    </row>
    <row r="2170">
      <c r="A2170" s="3">
        <f>IFERROR(__xludf.DUMMYFUNCTION("""COMPUTED_VALUE"""),382.0)</f>
        <v>382</v>
      </c>
      <c r="B2170" s="2" t="str">
        <f>IFERROR(__xludf.DUMMYFUNCTION("""COMPUTED_VALUE"""),"RAJBARI")</f>
        <v>RAJBARI</v>
      </c>
      <c r="C2170" s="4">
        <f>IFERROR(__xludf.DUMMYFUNCTION("""COMPUTED_VALUE"""),35.0)</f>
        <v>35</v>
      </c>
      <c r="D2170" s="2" t="str">
        <f>IFERROR(__xludf.DUMMYFUNCTION("""COMPUTED_VALUE"""),"BANGLADESH KRISHI BANK")</f>
        <v>BANGLADESH KRISHI BANK</v>
      </c>
      <c r="E2170" s="2" t="str">
        <f>IFERROR(__xludf.DUMMYFUNCTION("""COMPUTED_VALUE"""),"SREEPUR")</f>
        <v>SREEPUR</v>
      </c>
      <c r="F2170" s="4">
        <f>IFERROR(__xludf.DUMMYFUNCTION("""COMPUTED_VALUE"""),88.0)</f>
        <v>88</v>
      </c>
      <c r="G2170" s="5">
        <f>IFERROR(__xludf.DUMMYFUNCTION("""COMPUTED_VALUE"""),3.5820884E7)</f>
        <v>35820884</v>
      </c>
    </row>
    <row r="2171">
      <c r="A2171" s="3">
        <f>IFERROR(__xludf.DUMMYFUNCTION("""COMPUTED_VALUE"""),284.0)</f>
        <v>284</v>
      </c>
      <c r="B2171" s="2" t="str">
        <f>IFERROR(__xludf.DUMMYFUNCTION("""COMPUTED_VALUE"""),"RANGAMATI")</f>
        <v>RANGAMATI</v>
      </c>
      <c r="C2171" s="4">
        <f>IFERROR(__xludf.DUMMYFUNCTION("""COMPUTED_VALUE"""),35.0)</f>
        <v>35</v>
      </c>
      <c r="D2171" s="2" t="str">
        <f>IFERROR(__xludf.DUMMYFUNCTION("""COMPUTED_VALUE"""),"BANGLADESH KRISHI BANK")</f>
        <v>BANGLADESH KRISHI BANK</v>
      </c>
      <c r="E2171" s="2" t="str">
        <f>IFERROR(__xludf.DUMMYFUNCTION("""COMPUTED_VALUE"""),"BAGHAICHARI")</f>
        <v>BAGHAICHARI</v>
      </c>
      <c r="F2171" s="4">
        <f>IFERROR(__xludf.DUMMYFUNCTION("""COMPUTED_VALUE"""),4.0)</f>
        <v>4</v>
      </c>
      <c r="G2171" s="5">
        <f>IFERROR(__xludf.DUMMYFUNCTION("""COMPUTED_VALUE"""),3.5840048E7)</f>
        <v>35840048</v>
      </c>
    </row>
    <row r="2172">
      <c r="A2172" s="3">
        <f>IFERROR(__xludf.DUMMYFUNCTION("""COMPUTED_VALUE"""),284.0)</f>
        <v>284</v>
      </c>
      <c r="B2172" s="2" t="str">
        <f>IFERROR(__xludf.DUMMYFUNCTION("""COMPUTED_VALUE"""),"RANGAMATI")</f>
        <v>RANGAMATI</v>
      </c>
      <c r="C2172" s="4">
        <f>IFERROR(__xludf.DUMMYFUNCTION("""COMPUTED_VALUE"""),35.0)</f>
        <v>35</v>
      </c>
      <c r="D2172" s="2" t="str">
        <f>IFERROR(__xludf.DUMMYFUNCTION("""COMPUTED_VALUE"""),"BANGLADESH KRISHI BANK")</f>
        <v>BANGLADESH KRISHI BANK</v>
      </c>
      <c r="E2172" s="2" t="str">
        <f>IFERROR(__xludf.DUMMYFUNCTION("""COMPUTED_VALUE"""),"BARKAL")</f>
        <v>BARKAL</v>
      </c>
      <c r="F2172" s="4">
        <f>IFERROR(__xludf.DUMMYFUNCTION("""COMPUTED_VALUE"""),13.0)</f>
        <v>13</v>
      </c>
      <c r="G2172" s="5">
        <f>IFERROR(__xludf.DUMMYFUNCTION("""COMPUTED_VALUE"""),3.584013E7)</f>
        <v>35840130</v>
      </c>
    </row>
    <row r="2173">
      <c r="A2173" s="3">
        <f>IFERROR(__xludf.DUMMYFUNCTION("""COMPUTED_VALUE"""),284.0)</f>
        <v>284</v>
      </c>
      <c r="B2173" s="2" t="str">
        <f>IFERROR(__xludf.DUMMYFUNCTION("""COMPUTED_VALUE"""),"RANGAMATI")</f>
        <v>RANGAMATI</v>
      </c>
      <c r="C2173" s="4">
        <f>IFERROR(__xludf.DUMMYFUNCTION("""COMPUTED_VALUE"""),35.0)</f>
        <v>35</v>
      </c>
      <c r="D2173" s="2" t="str">
        <f>IFERROR(__xludf.DUMMYFUNCTION("""COMPUTED_VALUE"""),"BANGLADESH KRISHI BANK")</f>
        <v>BANGLADESH KRISHI BANK</v>
      </c>
      <c r="E2173" s="2" t="str">
        <f>IFERROR(__xludf.DUMMYFUNCTION("""COMPUTED_VALUE"""),"BELAICHARI")</f>
        <v>BELAICHARI</v>
      </c>
      <c r="F2173" s="4">
        <f>IFERROR(__xludf.DUMMYFUNCTION("""COMPUTED_VALUE"""),16.0)</f>
        <v>16</v>
      </c>
      <c r="G2173" s="5">
        <f>IFERROR(__xludf.DUMMYFUNCTION("""COMPUTED_VALUE"""),3.5840169E7)</f>
        <v>35840169</v>
      </c>
    </row>
    <row r="2174">
      <c r="A2174" s="3">
        <f>IFERROR(__xludf.DUMMYFUNCTION("""COMPUTED_VALUE"""),284.0)</f>
        <v>284</v>
      </c>
      <c r="B2174" s="2" t="str">
        <f>IFERROR(__xludf.DUMMYFUNCTION("""COMPUTED_VALUE"""),"RANGAMATI")</f>
        <v>RANGAMATI</v>
      </c>
      <c r="C2174" s="4">
        <f>IFERROR(__xludf.DUMMYFUNCTION("""COMPUTED_VALUE"""),35.0)</f>
        <v>35</v>
      </c>
      <c r="D2174" s="2" t="str">
        <f>IFERROR(__xludf.DUMMYFUNCTION("""COMPUTED_VALUE"""),"BANGLADESH KRISHI BANK")</f>
        <v>BANGLADESH KRISHI BANK</v>
      </c>
      <c r="E2174" s="2" t="str">
        <f>IFERROR(__xludf.DUMMYFUNCTION("""COMPUTED_VALUE"""),"JURACHARI")</f>
        <v>JURACHARI</v>
      </c>
      <c r="F2174" s="4">
        <f>IFERROR(__xludf.DUMMYFUNCTION("""COMPUTED_VALUE"""),25.0)</f>
        <v>25</v>
      </c>
      <c r="G2174" s="5">
        <f>IFERROR(__xludf.DUMMYFUNCTION("""COMPUTED_VALUE"""),3.5840251E7)</f>
        <v>35840251</v>
      </c>
    </row>
    <row r="2175">
      <c r="A2175" s="3">
        <f>IFERROR(__xludf.DUMMYFUNCTION("""COMPUTED_VALUE"""),284.0)</f>
        <v>284</v>
      </c>
      <c r="B2175" s="2" t="str">
        <f>IFERROR(__xludf.DUMMYFUNCTION("""COMPUTED_VALUE"""),"RANGAMATI")</f>
        <v>RANGAMATI</v>
      </c>
      <c r="C2175" s="4">
        <f>IFERROR(__xludf.DUMMYFUNCTION("""COMPUTED_VALUE"""),35.0)</f>
        <v>35</v>
      </c>
      <c r="D2175" s="2" t="str">
        <f>IFERROR(__xludf.DUMMYFUNCTION("""COMPUTED_VALUE"""),"BANGLADESH KRISHI BANK")</f>
        <v>BANGLADESH KRISHI BANK</v>
      </c>
      <c r="E2175" s="2" t="str">
        <f>IFERROR(__xludf.DUMMYFUNCTION("""COMPUTED_VALUE"""),"KAPTAI")</f>
        <v>KAPTAI</v>
      </c>
      <c r="F2175" s="4">
        <f>IFERROR(__xludf.DUMMYFUNCTION("""COMPUTED_VALUE"""),28.0)</f>
        <v>28</v>
      </c>
      <c r="G2175" s="5">
        <f>IFERROR(__xludf.DUMMYFUNCTION("""COMPUTED_VALUE"""),3.584028E7)</f>
        <v>35840280</v>
      </c>
    </row>
    <row r="2176">
      <c r="A2176" s="3">
        <f>IFERROR(__xludf.DUMMYFUNCTION("""COMPUTED_VALUE"""),284.0)</f>
        <v>284</v>
      </c>
      <c r="B2176" s="2" t="str">
        <f>IFERROR(__xludf.DUMMYFUNCTION("""COMPUTED_VALUE"""),"RANGAMATI")</f>
        <v>RANGAMATI</v>
      </c>
      <c r="C2176" s="4">
        <f>IFERROR(__xludf.DUMMYFUNCTION("""COMPUTED_VALUE"""),35.0)</f>
        <v>35</v>
      </c>
      <c r="D2176" s="2" t="str">
        <f>IFERROR(__xludf.DUMMYFUNCTION("""COMPUTED_VALUE"""),"BANGLADESH KRISHI BANK")</f>
        <v>BANGLADESH KRISHI BANK</v>
      </c>
      <c r="E2176" s="2" t="str">
        <f>IFERROR(__xludf.DUMMYFUNCTION("""COMPUTED_VALUE"""),"KAWKHALI")</f>
        <v>KAWKHALI</v>
      </c>
      <c r="F2176" s="4">
        <f>IFERROR(__xludf.DUMMYFUNCTION("""COMPUTED_VALUE"""),34.0)</f>
        <v>34</v>
      </c>
      <c r="G2176" s="5">
        <f>IFERROR(__xludf.DUMMYFUNCTION("""COMPUTED_VALUE"""),3.5840343E7)</f>
        <v>35840343</v>
      </c>
    </row>
    <row r="2177">
      <c r="A2177" s="3">
        <f>IFERROR(__xludf.DUMMYFUNCTION("""COMPUTED_VALUE"""),284.0)</f>
        <v>284</v>
      </c>
      <c r="B2177" s="2" t="str">
        <f>IFERROR(__xludf.DUMMYFUNCTION("""COMPUTED_VALUE"""),"RANGAMATI")</f>
        <v>RANGAMATI</v>
      </c>
      <c r="C2177" s="4">
        <f>IFERROR(__xludf.DUMMYFUNCTION("""COMPUTED_VALUE"""),35.0)</f>
        <v>35</v>
      </c>
      <c r="D2177" s="2" t="str">
        <f>IFERROR(__xludf.DUMMYFUNCTION("""COMPUTED_VALUE"""),"BANGLADESH KRISHI BANK")</f>
        <v>BANGLADESH KRISHI BANK</v>
      </c>
      <c r="E2177" s="2" t="str">
        <f>IFERROR(__xludf.DUMMYFUNCTION("""COMPUTED_VALUE"""),"LANGADU")</f>
        <v>LANGADU</v>
      </c>
      <c r="F2177" s="4">
        <f>IFERROR(__xludf.DUMMYFUNCTION("""COMPUTED_VALUE"""),37.0)</f>
        <v>37</v>
      </c>
      <c r="G2177" s="5">
        <f>IFERROR(__xludf.DUMMYFUNCTION("""COMPUTED_VALUE"""),3.5840372E7)</f>
        <v>35840372</v>
      </c>
    </row>
    <row r="2178">
      <c r="A2178" s="3">
        <f>IFERROR(__xludf.DUMMYFUNCTION("""COMPUTED_VALUE"""),284.0)</f>
        <v>284</v>
      </c>
      <c r="B2178" s="2" t="str">
        <f>IFERROR(__xludf.DUMMYFUNCTION("""COMPUTED_VALUE"""),"RANGAMATI")</f>
        <v>RANGAMATI</v>
      </c>
      <c r="C2178" s="4">
        <f>IFERROR(__xludf.DUMMYFUNCTION("""COMPUTED_VALUE"""),35.0)</f>
        <v>35</v>
      </c>
      <c r="D2178" s="2" t="str">
        <f>IFERROR(__xludf.DUMMYFUNCTION("""COMPUTED_VALUE"""),"BANGLADESH KRISHI BANK")</f>
        <v>BANGLADESH KRISHI BANK</v>
      </c>
      <c r="E2178" s="2" t="str">
        <f>IFERROR(__xludf.DUMMYFUNCTION("""COMPUTED_VALUE"""),"NANIAR CHAR")</f>
        <v>NANIAR CHAR</v>
      </c>
      <c r="F2178" s="4">
        <f>IFERROR(__xludf.DUMMYFUNCTION("""COMPUTED_VALUE"""),40.0)</f>
        <v>40</v>
      </c>
      <c r="G2178" s="5">
        <f>IFERROR(__xludf.DUMMYFUNCTION("""COMPUTED_VALUE"""),3.5840406E7)</f>
        <v>35840406</v>
      </c>
    </row>
    <row r="2179">
      <c r="A2179" s="3">
        <f>IFERROR(__xludf.DUMMYFUNCTION("""COMPUTED_VALUE"""),284.0)</f>
        <v>284</v>
      </c>
      <c r="B2179" s="2" t="str">
        <f>IFERROR(__xludf.DUMMYFUNCTION("""COMPUTED_VALUE"""),"RANGAMATI")</f>
        <v>RANGAMATI</v>
      </c>
      <c r="C2179" s="4">
        <f>IFERROR(__xludf.DUMMYFUNCTION("""COMPUTED_VALUE"""),35.0)</f>
        <v>35</v>
      </c>
      <c r="D2179" s="2" t="str">
        <f>IFERROR(__xludf.DUMMYFUNCTION("""COMPUTED_VALUE"""),"BANGLADESH KRISHI BANK")</f>
        <v>BANGLADESH KRISHI BANK</v>
      </c>
      <c r="E2179" s="2" t="str">
        <f>IFERROR(__xludf.DUMMYFUNCTION("""COMPUTED_VALUE"""),"RAIKHALI BAZAR")</f>
        <v>RAIKHALI BAZAR</v>
      </c>
      <c r="F2179" s="4">
        <f>IFERROR(__xludf.DUMMYFUNCTION("""COMPUTED_VALUE"""),46.0)</f>
        <v>46</v>
      </c>
      <c r="G2179" s="5">
        <f>IFERROR(__xludf.DUMMYFUNCTION("""COMPUTED_VALUE"""),3.5840464E7)</f>
        <v>35840464</v>
      </c>
    </row>
    <row r="2180">
      <c r="A2180" s="3">
        <f>IFERROR(__xludf.DUMMYFUNCTION("""COMPUTED_VALUE"""),284.0)</f>
        <v>284</v>
      </c>
      <c r="B2180" s="2" t="str">
        <f>IFERROR(__xludf.DUMMYFUNCTION("""COMPUTED_VALUE"""),"RANGAMATI")</f>
        <v>RANGAMATI</v>
      </c>
      <c r="C2180" s="4">
        <f>IFERROR(__xludf.DUMMYFUNCTION("""COMPUTED_VALUE"""),35.0)</f>
        <v>35</v>
      </c>
      <c r="D2180" s="2" t="str">
        <f>IFERROR(__xludf.DUMMYFUNCTION("""COMPUTED_VALUE"""),"BANGLADESH KRISHI BANK")</f>
        <v>BANGLADESH KRISHI BANK</v>
      </c>
      <c r="E2180" s="2" t="str">
        <f>IFERROR(__xludf.DUMMYFUNCTION("""COMPUTED_VALUE"""),"RAJOSTHALI")</f>
        <v>RAJOSTHALI</v>
      </c>
      <c r="F2180" s="4">
        <f>IFERROR(__xludf.DUMMYFUNCTION("""COMPUTED_VALUE"""),49.0)</f>
        <v>49</v>
      </c>
      <c r="G2180" s="5">
        <f>IFERROR(__xludf.DUMMYFUNCTION("""COMPUTED_VALUE"""),3.5840493E7)</f>
        <v>35840493</v>
      </c>
    </row>
    <row r="2181">
      <c r="A2181" s="3">
        <f>IFERROR(__xludf.DUMMYFUNCTION("""COMPUTED_VALUE"""),284.0)</f>
        <v>284</v>
      </c>
      <c r="B2181" s="2" t="str">
        <f>IFERROR(__xludf.DUMMYFUNCTION("""COMPUTED_VALUE"""),"RANGAMATI")</f>
        <v>RANGAMATI</v>
      </c>
      <c r="C2181" s="4">
        <f>IFERROR(__xludf.DUMMYFUNCTION("""COMPUTED_VALUE"""),35.0)</f>
        <v>35</v>
      </c>
      <c r="D2181" s="2" t="str">
        <f>IFERROR(__xludf.DUMMYFUNCTION("""COMPUTED_VALUE"""),"BANGLADESH KRISHI BANK")</f>
        <v>BANGLADESH KRISHI BANK</v>
      </c>
      <c r="E2181" s="2" t="str">
        <f>IFERROR(__xludf.DUMMYFUNCTION("""COMPUTED_VALUE"""),"RANGAMATI")</f>
        <v>RANGAMATI</v>
      </c>
      <c r="F2181" s="4">
        <f>IFERROR(__xludf.DUMMYFUNCTION("""COMPUTED_VALUE"""),52.0)</f>
        <v>52</v>
      </c>
      <c r="G2181" s="5">
        <f>IFERROR(__xludf.DUMMYFUNCTION("""COMPUTED_VALUE"""),3.5840527E7)</f>
        <v>35840527</v>
      </c>
    </row>
    <row r="2182">
      <c r="A2182" s="3">
        <f>IFERROR(__xludf.DUMMYFUNCTION("""COMPUTED_VALUE"""),386.0)</f>
        <v>386</v>
      </c>
      <c r="B2182" s="2" t="str">
        <f>IFERROR(__xludf.DUMMYFUNCTION("""COMPUTED_VALUE"""),"SHARIATPUR")</f>
        <v>SHARIATPUR</v>
      </c>
      <c r="C2182" s="4">
        <f>IFERROR(__xludf.DUMMYFUNCTION("""COMPUTED_VALUE"""),35.0)</f>
        <v>35</v>
      </c>
      <c r="D2182" s="2" t="str">
        <f>IFERROR(__xludf.DUMMYFUNCTION("""COMPUTED_VALUE"""),"BANGLADESH KRISHI BANK")</f>
        <v>BANGLADESH KRISHI BANK</v>
      </c>
      <c r="E2182" s="2" t="str">
        <f>IFERROR(__xludf.DUMMYFUNCTION("""COMPUTED_VALUE"""),"BURIRHAT BAZAR")</f>
        <v>BURIRHAT BAZAR</v>
      </c>
      <c r="F2182" s="4">
        <f>IFERROR(__xludf.DUMMYFUNCTION("""COMPUTED_VALUE"""),7.0)</f>
        <v>7</v>
      </c>
      <c r="G2182" s="5">
        <f>IFERROR(__xludf.DUMMYFUNCTION("""COMPUTED_VALUE"""),3.5860073E7)</f>
        <v>35860073</v>
      </c>
    </row>
    <row r="2183">
      <c r="A2183" s="3">
        <f>IFERROR(__xludf.DUMMYFUNCTION("""COMPUTED_VALUE"""),386.0)</f>
        <v>386</v>
      </c>
      <c r="B2183" s="2" t="str">
        <f>IFERROR(__xludf.DUMMYFUNCTION("""COMPUTED_VALUE"""),"SHARIATPUR")</f>
        <v>SHARIATPUR</v>
      </c>
      <c r="C2183" s="4">
        <f>IFERROR(__xludf.DUMMYFUNCTION("""COMPUTED_VALUE"""),35.0)</f>
        <v>35</v>
      </c>
      <c r="D2183" s="2" t="str">
        <f>IFERROR(__xludf.DUMMYFUNCTION("""COMPUTED_VALUE"""),"BANGLADESH KRISHI BANK")</f>
        <v>BANGLADESH KRISHI BANK</v>
      </c>
      <c r="E2183" s="2" t="str">
        <f>IFERROR(__xludf.DUMMYFUNCTION("""COMPUTED_VALUE"""),"BHEDERGANJ")</f>
        <v>BHEDERGANJ</v>
      </c>
      <c r="F2183" s="4">
        <f>IFERROR(__xludf.DUMMYFUNCTION("""COMPUTED_VALUE"""),10.0)</f>
        <v>10</v>
      </c>
      <c r="G2183" s="5">
        <f>IFERROR(__xludf.DUMMYFUNCTION("""COMPUTED_VALUE"""),3.5860107E7)</f>
        <v>35860107</v>
      </c>
    </row>
    <row r="2184">
      <c r="A2184" s="3">
        <f>IFERROR(__xludf.DUMMYFUNCTION("""COMPUTED_VALUE"""),386.0)</f>
        <v>386</v>
      </c>
      <c r="B2184" s="2" t="str">
        <f>IFERROR(__xludf.DUMMYFUNCTION("""COMPUTED_VALUE"""),"SHARIATPUR")</f>
        <v>SHARIATPUR</v>
      </c>
      <c r="C2184" s="4">
        <f>IFERROR(__xludf.DUMMYFUNCTION("""COMPUTED_VALUE"""),35.0)</f>
        <v>35</v>
      </c>
      <c r="D2184" s="2" t="str">
        <f>IFERROR(__xludf.DUMMYFUNCTION("""COMPUTED_VALUE"""),"BANGLADESH KRISHI BANK")</f>
        <v>BANGLADESH KRISHI BANK</v>
      </c>
      <c r="E2184" s="2" t="str">
        <f>IFERROR(__xludf.DUMMYFUNCTION("""COMPUTED_VALUE"""),"CHIKANDI")</f>
        <v>CHIKANDI</v>
      </c>
      <c r="F2184" s="4">
        <f>IFERROR(__xludf.DUMMYFUNCTION("""COMPUTED_VALUE"""),16.0)</f>
        <v>16</v>
      </c>
      <c r="G2184" s="5">
        <f>IFERROR(__xludf.DUMMYFUNCTION("""COMPUTED_VALUE"""),3.5860165E7)</f>
        <v>35860165</v>
      </c>
    </row>
    <row r="2185">
      <c r="A2185" s="3">
        <f>IFERROR(__xludf.DUMMYFUNCTION("""COMPUTED_VALUE"""),386.0)</f>
        <v>386</v>
      </c>
      <c r="B2185" s="2" t="str">
        <f>IFERROR(__xludf.DUMMYFUNCTION("""COMPUTED_VALUE"""),"SHARIATPUR")</f>
        <v>SHARIATPUR</v>
      </c>
      <c r="C2185" s="4">
        <f>IFERROR(__xludf.DUMMYFUNCTION("""COMPUTED_VALUE"""),35.0)</f>
        <v>35</v>
      </c>
      <c r="D2185" s="2" t="str">
        <f>IFERROR(__xludf.DUMMYFUNCTION("""COMPUTED_VALUE"""),"BANGLADESH KRISHI BANK")</f>
        <v>BANGLADESH KRISHI BANK</v>
      </c>
      <c r="E2185" s="2" t="str">
        <f>IFERROR(__xludf.DUMMYFUNCTION("""COMPUTED_VALUE"""),"DAMUDYA")</f>
        <v>DAMUDYA</v>
      </c>
      <c r="F2185" s="4">
        <f>IFERROR(__xludf.DUMMYFUNCTION("""COMPUTED_VALUE"""),19.0)</f>
        <v>19</v>
      </c>
      <c r="G2185" s="5">
        <f>IFERROR(__xludf.DUMMYFUNCTION("""COMPUTED_VALUE"""),3.5860194E7)</f>
        <v>35860194</v>
      </c>
    </row>
    <row r="2186">
      <c r="A2186" s="3">
        <f>IFERROR(__xludf.DUMMYFUNCTION("""COMPUTED_VALUE"""),386.0)</f>
        <v>386</v>
      </c>
      <c r="B2186" s="2" t="str">
        <f>IFERROR(__xludf.DUMMYFUNCTION("""COMPUTED_VALUE"""),"SHARIATPUR")</f>
        <v>SHARIATPUR</v>
      </c>
      <c r="C2186" s="4">
        <f>IFERROR(__xludf.DUMMYFUNCTION("""COMPUTED_VALUE"""),35.0)</f>
        <v>35</v>
      </c>
      <c r="D2186" s="2" t="str">
        <f>IFERROR(__xludf.DUMMYFUNCTION("""COMPUTED_VALUE"""),"BANGLADESH KRISHI BANK")</f>
        <v>BANGLADESH KRISHI BANK</v>
      </c>
      <c r="E2186" s="2" t="str">
        <f>IFERROR(__xludf.DUMMYFUNCTION("""COMPUTED_VALUE"""),"D. M. KHALI")</f>
        <v>D. M. KHALI</v>
      </c>
      <c r="F2186" s="4">
        <f>IFERROR(__xludf.DUMMYFUNCTION("""COMPUTED_VALUE"""),20.0)</f>
        <v>20</v>
      </c>
      <c r="G2186" s="5">
        <f>IFERROR(__xludf.DUMMYFUNCTION("""COMPUTED_VALUE"""),3.5860202E7)</f>
        <v>35860202</v>
      </c>
    </row>
    <row r="2187">
      <c r="A2187" s="3">
        <f>IFERROR(__xludf.DUMMYFUNCTION("""COMPUTED_VALUE"""),386.0)</f>
        <v>386</v>
      </c>
      <c r="B2187" s="2" t="str">
        <f>IFERROR(__xludf.DUMMYFUNCTION("""COMPUTED_VALUE"""),"SHARIATPUR")</f>
        <v>SHARIATPUR</v>
      </c>
      <c r="C2187" s="4">
        <f>IFERROR(__xludf.DUMMYFUNCTION("""COMPUTED_VALUE"""),35.0)</f>
        <v>35</v>
      </c>
      <c r="D2187" s="2" t="str">
        <f>IFERROR(__xludf.DUMMYFUNCTION("""COMPUTED_VALUE"""),"BANGLADESH KRISHI BANK")</f>
        <v>BANGLADESH KRISHI BANK</v>
      </c>
      <c r="E2187" s="2" t="str">
        <f>IFERROR(__xludf.DUMMYFUNCTION("""COMPUTED_VALUE"""),"DOGRI BAZAR")</f>
        <v>DOGRI BAZAR</v>
      </c>
      <c r="F2187" s="4">
        <f>IFERROR(__xludf.DUMMYFUNCTION("""COMPUTED_VALUE"""),22.0)</f>
        <v>22</v>
      </c>
      <c r="G2187" s="5">
        <f>IFERROR(__xludf.DUMMYFUNCTION("""COMPUTED_VALUE"""),3.5860228E7)</f>
        <v>35860228</v>
      </c>
    </row>
    <row r="2188">
      <c r="A2188" s="3">
        <f>IFERROR(__xludf.DUMMYFUNCTION("""COMPUTED_VALUE"""),386.0)</f>
        <v>386</v>
      </c>
      <c r="B2188" s="2" t="str">
        <f>IFERROR(__xludf.DUMMYFUNCTION("""COMPUTED_VALUE"""),"SHARIATPUR")</f>
        <v>SHARIATPUR</v>
      </c>
      <c r="C2188" s="4">
        <f>IFERROR(__xludf.DUMMYFUNCTION("""COMPUTED_VALUE"""),35.0)</f>
        <v>35</v>
      </c>
      <c r="D2188" s="2" t="str">
        <f>IFERROR(__xludf.DUMMYFUNCTION("""COMPUTED_VALUE"""),"BANGLADESH KRISHI BANK")</f>
        <v>BANGLADESH KRISHI BANK</v>
      </c>
      <c r="E2188" s="2" t="str">
        <f>IFERROR(__xludf.DUMMYFUNCTION("""COMPUTED_VALUE"""),"GHARIER")</f>
        <v>GHARIER</v>
      </c>
      <c r="F2188" s="4">
        <f>IFERROR(__xludf.DUMMYFUNCTION("""COMPUTED_VALUE"""),25.0)</f>
        <v>25</v>
      </c>
      <c r="G2188" s="5">
        <f>IFERROR(__xludf.DUMMYFUNCTION("""COMPUTED_VALUE"""),3.5860257E7)</f>
        <v>35860257</v>
      </c>
    </row>
    <row r="2189">
      <c r="A2189" s="3">
        <f>IFERROR(__xludf.DUMMYFUNCTION("""COMPUTED_VALUE"""),386.0)</f>
        <v>386</v>
      </c>
      <c r="B2189" s="2" t="str">
        <f>IFERROR(__xludf.DUMMYFUNCTION("""COMPUTED_VALUE"""),"SHARIATPUR")</f>
        <v>SHARIATPUR</v>
      </c>
      <c r="C2189" s="4">
        <f>IFERROR(__xludf.DUMMYFUNCTION("""COMPUTED_VALUE"""),35.0)</f>
        <v>35</v>
      </c>
      <c r="D2189" s="2" t="str">
        <f>IFERROR(__xludf.DUMMYFUNCTION("""COMPUTED_VALUE"""),"BANGLADESH KRISHI BANK")</f>
        <v>BANGLADESH KRISHI BANK</v>
      </c>
      <c r="E2189" s="2" t="str">
        <f>IFERROR(__xludf.DUMMYFUNCTION("""COMPUTED_VALUE"""),"GHARISHAR HAT")</f>
        <v>GHARISHAR HAT</v>
      </c>
      <c r="F2189" s="4">
        <f>IFERROR(__xludf.DUMMYFUNCTION("""COMPUTED_VALUE"""),31.0)</f>
        <v>31</v>
      </c>
      <c r="G2189" s="5">
        <f>IFERROR(__xludf.DUMMYFUNCTION("""COMPUTED_VALUE"""),3.586031E7)</f>
        <v>35860310</v>
      </c>
    </row>
    <row r="2190">
      <c r="A2190" s="3">
        <f>IFERROR(__xludf.DUMMYFUNCTION("""COMPUTED_VALUE"""),386.0)</f>
        <v>386</v>
      </c>
      <c r="B2190" s="2" t="str">
        <f>IFERROR(__xludf.DUMMYFUNCTION("""COMPUTED_VALUE"""),"SHARIATPUR")</f>
        <v>SHARIATPUR</v>
      </c>
      <c r="C2190" s="4">
        <f>IFERROR(__xludf.DUMMYFUNCTION("""COMPUTED_VALUE"""),35.0)</f>
        <v>35</v>
      </c>
      <c r="D2190" s="2" t="str">
        <f>IFERROR(__xludf.DUMMYFUNCTION("""COMPUTED_VALUE"""),"BANGLADESH KRISHI BANK")</f>
        <v>BANGLADESH KRISHI BANK</v>
      </c>
      <c r="E2190" s="2" t="str">
        <f>IFERROR(__xludf.DUMMYFUNCTION("""COMPUTED_VALUE"""),"HATURIA BAZAR")</f>
        <v>HATURIA BAZAR</v>
      </c>
      <c r="F2190" s="4">
        <f>IFERROR(__xludf.DUMMYFUNCTION("""COMPUTED_VALUE"""),37.0)</f>
        <v>37</v>
      </c>
      <c r="G2190" s="5">
        <f>IFERROR(__xludf.DUMMYFUNCTION("""COMPUTED_VALUE"""),3.5860378E7)</f>
        <v>35860378</v>
      </c>
    </row>
    <row r="2191">
      <c r="A2191" s="3">
        <f>IFERROR(__xludf.DUMMYFUNCTION("""COMPUTED_VALUE"""),386.0)</f>
        <v>386</v>
      </c>
      <c r="B2191" s="2" t="str">
        <f>IFERROR(__xludf.DUMMYFUNCTION("""COMPUTED_VALUE"""),"SHARIATPUR")</f>
        <v>SHARIATPUR</v>
      </c>
      <c r="C2191" s="4">
        <f>IFERROR(__xludf.DUMMYFUNCTION("""COMPUTED_VALUE"""),35.0)</f>
        <v>35</v>
      </c>
      <c r="D2191" s="2" t="str">
        <f>IFERROR(__xludf.DUMMYFUNCTION("""COMPUTED_VALUE"""),"BANGLADESH KRISHI BANK")</f>
        <v>BANGLADESH KRISHI BANK</v>
      </c>
      <c r="E2191" s="2" t="str">
        <f>IFERROR(__xludf.DUMMYFUNCTION("""COMPUTED_VALUE"""),"KARTIKPUR BAZAR")</f>
        <v>KARTIKPUR BAZAR</v>
      </c>
      <c r="F2191" s="4">
        <f>IFERROR(__xludf.DUMMYFUNCTION("""COMPUTED_VALUE"""),40.0)</f>
        <v>40</v>
      </c>
      <c r="G2191" s="5">
        <f>IFERROR(__xludf.DUMMYFUNCTION("""COMPUTED_VALUE"""),3.5860402E7)</f>
        <v>35860402</v>
      </c>
    </row>
    <row r="2192">
      <c r="A2192" s="3">
        <f>IFERROR(__xludf.DUMMYFUNCTION("""COMPUTED_VALUE"""),386.0)</f>
        <v>386</v>
      </c>
      <c r="B2192" s="2" t="str">
        <f>IFERROR(__xludf.DUMMYFUNCTION("""COMPUTED_VALUE"""),"SHARIATPUR")</f>
        <v>SHARIATPUR</v>
      </c>
      <c r="C2192" s="4">
        <f>IFERROR(__xludf.DUMMYFUNCTION("""COMPUTED_VALUE"""),35.0)</f>
        <v>35</v>
      </c>
      <c r="D2192" s="2" t="str">
        <f>IFERROR(__xludf.DUMMYFUNCTION("""COMPUTED_VALUE"""),"BANGLADESH KRISHI BANK")</f>
        <v>BANGLADESH KRISHI BANK</v>
      </c>
      <c r="E2192" s="2" t="str">
        <f>IFERROR(__xludf.DUMMYFUNCTION("""COMPUTED_VALUE"""),"KODALPUR BAZAR")</f>
        <v>KODALPUR BAZAR</v>
      </c>
      <c r="F2192" s="4">
        <f>IFERROR(__xludf.DUMMYFUNCTION("""COMPUTED_VALUE"""),43.0)</f>
        <v>43</v>
      </c>
      <c r="G2192" s="5">
        <f>IFERROR(__xludf.DUMMYFUNCTION("""COMPUTED_VALUE"""),3.5860431E7)</f>
        <v>35860431</v>
      </c>
    </row>
    <row r="2193">
      <c r="A2193" s="3">
        <f>IFERROR(__xludf.DUMMYFUNCTION("""COMPUTED_VALUE"""),386.0)</f>
        <v>386</v>
      </c>
      <c r="B2193" s="2" t="str">
        <f>IFERROR(__xludf.DUMMYFUNCTION("""COMPUTED_VALUE"""),"SHARIATPUR")</f>
        <v>SHARIATPUR</v>
      </c>
      <c r="C2193" s="4">
        <f>IFERROR(__xludf.DUMMYFUNCTION("""COMPUTED_VALUE"""),35.0)</f>
        <v>35</v>
      </c>
      <c r="D2193" s="2" t="str">
        <f>IFERROR(__xludf.DUMMYFUNCTION("""COMPUTED_VALUE"""),"BANGLADESH KRISHI BANK")</f>
        <v>BANGLADESH KRISHI BANK</v>
      </c>
      <c r="E2193" s="2" t="str">
        <f>IFERROR(__xludf.DUMMYFUNCTION("""COMPUTED_VALUE"""),"KONESWAR BAZAR")</f>
        <v>KONESWAR BAZAR</v>
      </c>
      <c r="F2193" s="4">
        <f>IFERROR(__xludf.DUMMYFUNCTION("""COMPUTED_VALUE"""),46.0)</f>
        <v>46</v>
      </c>
      <c r="G2193" s="5">
        <f>IFERROR(__xludf.DUMMYFUNCTION("""COMPUTED_VALUE"""),3.586046E7)</f>
        <v>35860460</v>
      </c>
    </row>
    <row r="2194">
      <c r="A2194" s="3">
        <f>IFERROR(__xludf.DUMMYFUNCTION("""COMPUTED_VALUE"""),386.0)</f>
        <v>386</v>
      </c>
      <c r="B2194" s="2" t="str">
        <f>IFERROR(__xludf.DUMMYFUNCTION("""COMPUTED_VALUE"""),"SHARIATPUR")</f>
        <v>SHARIATPUR</v>
      </c>
      <c r="C2194" s="4">
        <f>IFERROR(__xludf.DUMMYFUNCTION("""COMPUTED_VALUE"""),35.0)</f>
        <v>35</v>
      </c>
      <c r="D2194" s="2" t="str">
        <f>IFERROR(__xludf.DUMMYFUNCTION("""COMPUTED_VALUE"""),"BANGLADESH KRISHI BANK")</f>
        <v>BANGLADESH KRISHI BANK</v>
      </c>
      <c r="E2194" s="2" t="str">
        <f>IFERROR(__xludf.DUMMYFUNCTION("""COMPUTED_VALUE"""),"LAWKHOLA")</f>
        <v>LAWKHOLA</v>
      </c>
      <c r="F2194" s="4">
        <f>IFERROR(__xludf.DUMMYFUNCTION("""COMPUTED_VALUE"""),49.0)</f>
        <v>49</v>
      </c>
      <c r="G2194" s="5">
        <f>IFERROR(__xludf.DUMMYFUNCTION("""COMPUTED_VALUE"""),3.5860499E7)</f>
        <v>35860499</v>
      </c>
    </row>
    <row r="2195">
      <c r="A2195" s="3">
        <f>IFERROR(__xludf.DUMMYFUNCTION("""COMPUTED_VALUE"""),386.0)</f>
        <v>386</v>
      </c>
      <c r="B2195" s="2" t="str">
        <f>IFERROR(__xludf.DUMMYFUNCTION("""COMPUTED_VALUE"""),"SHARIATPUR")</f>
        <v>SHARIATPUR</v>
      </c>
      <c r="C2195" s="4">
        <f>IFERROR(__xludf.DUMMYFUNCTION("""COMPUTED_VALUE"""),35.0)</f>
        <v>35</v>
      </c>
      <c r="D2195" s="2" t="str">
        <f>IFERROR(__xludf.DUMMYFUNCTION("""COMPUTED_VALUE"""),"BANGLADESH KRISHI BANK")</f>
        <v>BANGLADESH KRISHI BANK</v>
      </c>
      <c r="E2195" s="2" t="str">
        <f>IFERROR(__xludf.DUMMYFUNCTION("""COMPUTED_VALUE"""),"NAGER PARA BAZAR")</f>
        <v>NAGER PARA BAZAR</v>
      </c>
      <c r="F2195" s="4">
        <f>IFERROR(__xludf.DUMMYFUNCTION("""COMPUTED_VALUE"""),55.0)</f>
        <v>55</v>
      </c>
      <c r="G2195" s="5">
        <f>IFERROR(__xludf.DUMMYFUNCTION("""COMPUTED_VALUE"""),3.5860552E7)</f>
        <v>35860552</v>
      </c>
    </row>
    <row r="2196">
      <c r="A2196" s="3">
        <f>IFERROR(__xludf.DUMMYFUNCTION("""COMPUTED_VALUE"""),386.0)</f>
        <v>386</v>
      </c>
      <c r="B2196" s="2" t="str">
        <f>IFERROR(__xludf.DUMMYFUNCTION("""COMPUTED_VALUE"""),"SHARIATPUR")</f>
        <v>SHARIATPUR</v>
      </c>
      <c r="C2196" s="4">
        <f>IFERROR(__xludf.DUMMYFUNCTION("""COMPUTED_VALUE"""),35.0)</f>
        <v>35</v>
      </c>
      <c r="D2196" s="2" t="str">
        <f>IFERROR(__xludf.DUMMYFUNCTION("""COMPUTED_VALUE"""),"BANGLADESH KRISHI BANK")</f>
        <v>BANGLADESH KRISHI BANK</v>
      </c>
      <c r="E2196" s="2" t="str">
        <f>IFERROR(__xludf.DUMMYFUNCTION("""COMPUTED_VALUE"""),"NARIA")</f>
        <v>NARIA</v>
      </c>
      <c r="F2196" s="4">
        <f>IFERROR(__xludf.DUMMYFUNCTION("""COMPUTED_VALUE"""),58.0)</f>
        <v>58</v>
      </c>
      <c r="G2196" s="5">
        <f>IFERROR(__xludf.DUMMYFUNCTION("""COMPUTED_VALUE"""),3.5860581E7)</f>
        <v>35860581</v>
      </c>
    </row>
    <row r="2197">
      <c r="A2197" s="3">
        <f>IFERROR(__xludf.DUMMYFUNCTION("""COMPUTED_VALUE"""),386.0)</f>
        <v>386</v>
      </c>
      <c r="B2197" s="2" t="str">
        <f>IFERROR(__xludf.DUMMYFUNCTION("""COMPUTED_VALUE"""),"SHARIATPUR")</f>
        <v>SHARIATPUR</v>
      </c>
      <c r="C2197" s="4">
        <f>IFERROR(__xludf.DUMMYFUNCTION("""COMPUTED_VALUE"""),35.0)</f>
        <v>35</v>
      </c>
      <c r="D2197" s="2" t="str">
        <f>IFERROR(__xludf.DUMMYFUNCTION("""COMPUTED_VALUE"""),"BANGLADESH KRISHI BANK")</f>
        <v>BANGLADESH KRISHI BANK</v>
      </c>
      <c r="E2197" s="2" t="str">
        <f>IFERROR(__xludf.DUMMYFUNCTION("""COMPUTED_VALUE"""),"SHAKHIPUR BAZAR")</f>
        <v>SHAKHIPUR BAZAR</v>
      </c>
      <c r="F2197" s="4">
        <f>IFERROR(__xludf.DUMMYFUNCTION("""COMPUTED_VALUE"""),64.0)</f>
        <v>64</v>
      </c>
      <c r="G2197" s="5">
        <f>IFERROR(__xludf.DUMMYFUNCTION("""COMPUTED_VALUE"""),3.5860644E7)</f>
        <v>35860644</v>
      </c>
    </row>
    <row r="2198">
      <c r="A2198" s="3">
        <f>IFERROR(__xludf.DUMMYFUNCTION("""COMPUTED_VALUE"""),386.0)</f>
        <v>386</v>
      </c>
      <c r="B2198" s="2" t="str">
        <f>IFERROR(__xludf.DUMMYFUNCTION("""COMPUTED_VALUE"""),"SHARIATPUR")</f>
        <v>SHARIATPUR</v>
      </c>
      <c r="C2198" s="4">
        <f>IFERROR(__xludf.DUMMYFUNCTION("""COMPUTED_VALUE"""),35.0)</f>
        <v>35</v>
      </c>
      <c r="D2198" s="2" t="str">
        <f>IFERROR(__xludf.DUMMYFUNCTION("""COMPUTED_VALUE"""),"BANGLADESH KRISHI BANK")</f>
        <v>BANGLADESH KRISHI BANK</v>
      </c>
      <c r="E2198" s="2" t="str">
        <f>IFERROR(__xludf.DUMMYFUNCTION("""COMPUTED_VALUE"""),"SHARIATPUR")</f>
        <v>SHARIATPUR</v>
      </c>
      <c r="F2198" s="4">
        <f>IFERROR(__xludf.DUMMYFUNCTION("""COMPUTED_VALUE"""),67.0)</f>
        <v>67</v>
      </c>
      <c r="G2198" s="5">
        <f>IFERROR(__xludf.DUMMYFUNCTION("""COMPUTED_VALUE"""),3.5860673E7)</f>
        <v>35860673</v>
      </c>
    </row>
    <row r="2199">
      <c r="A2199" s="3">
        <f>IFERROR(__xludf.DUMMYFUNCTION("""COMPUTED_VALUE"""),386.0)</f>
        <v>386</v>
      </c>
      <c r="B2199" s="2" t="str">
        <f>IFERROR(__xludf.DUMMYFUNCTION("""COMPUTED_VALUE"""),"SHARIATPUR")</f>
        <v>SHARIATPUR</v>
      </c>
      <c r="C2199" s="4">
        <f>IFERROR(__xludf.DUMMYFUNCTION("""COMPUTED_VALUE"""),35.0)</f>
        <v>35</v>
      </c>
      <c r="D2199" s="2" t="str">
        <f>IFERROR(__xludf.DUMMYFUNCTION("""COMPUTED_VALUE"""),"BANGLADESH KRISHI BANK")</f>
        <v>BANGLADESH KRISHI BANK</v>
      </c>
      <c r="E2199" s="2" t="str">
        <f>IFERROR(__xludf.DUMMYFUNCTION("""COMPUTED_VALUE"""),"ZAJIRA")</f>
        <v>ZAJIRA</v>
      </c>
      <c r="F2199" s="4">
        <f>IFERROR(__xludf.DUMMYFUNCTION("""COMPUTED_VALUE"""),70.0)</f>
        <v>70</v>
      </c>
      <c r="G2199" s="5">
        <f>IFERROR(__xludf.DUMMYFUNCTION("""COMPUTED_VALUE"""),3.5860707E7)</f>
        <v>35860707</v>
      </c>
    </row>
    <row r="2200">
      <c r="A2200" s="3">
        <f>IFERROR(__xludf.DUMMYFUNCTION("""COMPUTED_VALUE"""),487.0)</f>
        <v>487</v>
      </c>
      <c r="B2200" s="2" t="str">
        <f>IFERROR(__xludf.DUMMYFUNCTION("""COMPUTED_VALUE"""),"SATKHIRA")</f>
        <v>SATKHIRA</v>
      </c>
      <c r="C2200" s="4">
        <f>IFERROR(__xludf.DUMMYFUNCTION("""COMPUTED_VALUE"""),35.0)</f>
        <v>35</v>
      </c>
      <c r="D2200" s="2" t="str">
        <f>IFERROR(__xludf.DUMMYFUNCTION("""COMPUTED_VALUE"""),"BANGLADESH KRISHI BANK")</f>
        <v>BANGLADESH KRISHI BANK</v>
      </c>
      <c r="E2200" s="2" t="str">
        <f>IFERROR(__xludf.DUMMYFUNCTION("""COMPUTED_VALUE"""),"ASASUNI")</f>
        <v>ASASUNI</v>
      </c>
      <c r="F2200" s="4">
        <f>IFERROR(__xludf.DUMMYFUNCTION("""COMPUTED_VALUE"""),7.0)</f>
        <v>7</v>
      </c>
      <c r="G2200" s="5">
        <f>IFERROR(__xludf.DUMMYFUNCTION("""COMPUTED_VALUE"""),3.5870076E7)</f>
        <v>35870076</v>
      </c>
    </row>
    <row r="2201">
      <c r="A2201" s="3">
        <f>IFERROR(__xludf.DUMMYFUNCTION("""COMPUTED_VALUE"""),487.0)</f>
        <v>487</v>
      </c>
      <c r="B2201" s="2" t="str">
        <f>IFERROR(__xludf.DUMMYFUNCTION("""COMPUTED_VALUE"""),"SATKHIRA")</f>
        <v>SATKHIRA</v>
      </c>
      <c r="C2201" s="4">
        <f>IFERROR(__xludf.DUMMYFUNCTION("""COMPUTED_VALUE"""),35.0)</f>
        <v>35</v>
      </c>
      <c r="D2201" s="2" t="str">
        <f>IFERROR(__xludf.DUMMYFUNCTION("""COMPUTED_VALUE"""),"BANGLADESH KRISHI BANK")</f>
        <v>BANGLADESH KRISHI BANK</v>
      </c>
      <c r="E2201" s="2" t="str">
        <f>IFERROR(__xludf.DUMMYFUNCTION("""COMPUTED_VALUE"""),"BALIADANGA BAZAR")</f>
        <v>BALIADANGA BAZAR</v>
      </c>
      <c r="F2201" s="4">
        <f>IFERROR(__xludf.DUMMYFUNCTION("""COMPUTED_VALUE"""),13.0)</f>
        <v>13</v>
      </c>
      <c r="G2201" s="5">
        <f>IFERROR(__xludf.DUMMYFUNCTION("""COMPUTED_VALUE"""),3.5870139E7)</f>
        <v>35870139</v>
      </c>
    </row>
    <row r="2202">
      <c r="A2202" s="3">
        <f>IFERROR(__xludf.DUMMYFUNCTION("""COMPUTED_VALUE"""),487.0)</f>
        <v>487</v>
      </c>
      <c r="B2202" s="2" t="str">
        <f>IFERROR(__xludf.DUMMYFUNCTION("""COMPUTED_VALUE"""),"SATKHIRA")</f>
        <v>SATKHIRA</v>
      </c>
      <c r="C2202" s="4">
        <f>IFERROR(__xludf.DUMMYFUNCTION("""COMPUTED_VALUE"""),35.0)</f>
        <v>35</v>
      </c>
      <c r="D2202" s="2" t="str">
        <f>IFERROR(__xludf.DUMMYFUNCTION("""COMPUTED_VALUE"""),"BANGLADESH KRISHI BANK")</f>
        <v>BANGLADESH KRISHI BANK</v>
      </c>
      <c r="E2202" s="2" t="str">
        <f>IFERROR(__xludf.DUMMYFUNCTION("""COMPUTED_VALUE"""),"BHOMRA STHAL BANDAR")</f>
        <v>BHOMRA STHAL BANDAR</v>
      </c>
      <c r="F2202" s="4">
        <f>IFERROR(__xludf.DUMMYFUNCTION("""COMPUTED_VALUE"""),28.0)</f>
        <v>28</v>
      </c>
      <c r="G2202" s="5">
        <f>IFERROR(__xludf.DUMMYFUNCTION("""COMPUTED_VALUE"""),3.5870289E7)</f>
        <v>35870289</v>
      </c>
    </row>
    <row r="2203">
      <c r="A2203" s="3">
        <f>IFERROR(__xludf.DUMMYFUNCTION("""COMPUTED_VALUE"""),487.0)</f>
        <v>487</v>
      </c>
      <c r="B2203" s="2" t="str">
        <f>IFERROR(__xludf.DUMMYFUNCTION("""COMPUTED_VALUE"""),"SATKHIRA")</f>
        <v>SATKHIRA</v>
      </c>
      <c r="C2203" s="4">
        <f>IFERROR(__xludf.DUMMYFUNCTION("""COMPUTED_VALUE"""),35.0)</f>
        <v>35</v>
      </c>
      <c r="D2203" s="2" t="str">
        <f>IFERROR(__xludf.DUMMYFUNCTION("""COMPUTED_VALUE"""),"BANGLADESH KRISHI BANK")</f>
        <v>BANGLADESH KRISHI BANK</v>
      </c>
      <c r="E2203" s="2" t="str">
        <f>IFERROR(__xludf.DUMMYFUNCTION("""COMPUTED_VALUE"""),"DEBHATA")</f>
        <v>DEBHATA</v>
      </c>
      <c r="F2203" s="4">
        <f>IFERROR(__xludf.DUMMYFUNCTION("""COMPUTED_VALUE"""),37.0)</f>
        <v>37</v>
      </c>
      <c r="G2203" s="5">
        <f>IFERROR(__xludf.DUMMYFUNCTION("""COMPUTED_VALUE"""),3.5870371E7)</f>
        <v>35870371</v>
      </c>
    </row>
    <row r="2204">
      <c r="A2204" s="3">
        <f>IFERROR(__xludf.DUMMYFUNCTION("""COMPUTED_VALUE"""),487.0)</f>
        <v>487</v>
      </c>
      <c r="B2204" s="2" t="str">
        <f>IFERROR(__xludf.DUMMYFUNCTION("""COMPUTED_VALUE"""),"SATKHIRA")</f>
        <v>SATKHIRA</v>
      </c>
      <c r="C2204" s="4">
        <f>IFERROR(__xludf.DUMMYFUNCTION("""COMPUTED_VALUE"""),35.0)</f>
        <v>35</v>
      </c>
      <c r="D2204" s="2" t="str">
        <f>IFERROR(__xludf.DUMMYFUNCTION("""COMPUTED_VALUE"""),"BANGLADESH KRISHI BANK")</f>
        <v>BANGLADESH KRISHI BANK</v>
      </c>
      <c r="E2204" s="2" t="str">
        <f>IFERROR(__xludf.DUMMYFUNCTION("""COMPUTED_VALUE"""),"DULIHAR BAZAR")</f>
        <v>DULIHAR BAZAR</v>
      </c>
      <c r="F2204" s="4">
        <f>IFERROR(__xludf.DUMMYFUNCTION("""COMPUTED_VALUE"""),40.0)</f>
        <v>40</v>
      </c>
      <c r="G2204" s="5">
        <f>IFERROR(__xludf.DUMMYFUNCTION("""COMPUTED_VALUE"""),3.5870405E7)</f>
        <v>35870405</v>
      </c>
    </row>
    <row r="2205">
      <c r="A2205" s="3">
        <f>IFERROR(__xludf.DUMMYFUNCTION("""COMPUTED_VALUE"""),487.0)</f>
        <v>487</v>
      </c>
      <c r="B2205" s="2" t="str">
        <f>IFERROR(__xludf.DUMMYFUNCTION("""COMPUTED_VALUE"""),"SATKHIRA")</f>
        <v>SATKHIRA</v>
      </c>
      <c r="C2205" s="4">
        <f>IFERROR(__xludf.DUMMYFUNCTION("""COMPUTED_VALUE"""),35.0)</f>
        <v>35</v>
      </c>
      <c r="D2205" s="2" t="str">
        <f>IFERROR(__xludf.DUMMYFUNCTION("""COMPUTED_VALUE"""),"BANGLADESH KRISHI BANK")</f>
        <v>BANGLADESH KRISHI BANK</v>
      </c>
      <c r="E2205" s="2" t="str">
        <f>IFERROR(__xludf.DUMMYFUNCTION("""COMPUTED_VALUE"""),"GHONA")</f>
        <v>GHONA</v>
      </c>
      <c r="F2205" s="4">
        <f>IFERROR(__xludf.DUMMYFUNCTION("""COMPUTED_VALUE"""),46.0)</f>
        <v>46</v>
      </c>
      <c r="G2205" s="5">
        <f>IFERROR(__xludf.DUMMYFUNCTION("""COMPUTED_VALUE"""),3.5870463E7)</f>
        <v>35870463</v>
      </c>
    </row>
    <row r="2206">
      <c r="A2206" s="3">
        <f>IFERROR(__xludf.DUMMYFUNCTION("""COMPUTED_VALUE"""),487.0)</f>
        <v>487</v>
      </c>
      <c r="B2206" s="2" t="str">
        <f>IFERROR(__xludf.DUMMYFUNCTION("""COMPUTED_VALUE"""),"SATKHIRA")</f>
        <v>SATKHIRA</v>
      </c>
      <c r="C2206" s="4">
        <f>IFERROR(__xludf.DUMMYFUNCTION("""COMPUTED_VALUE"""),35.0)</f>
        <v>35</v>
      </c>
      <c r="D2206" s="2" t="str">
        <f>IFERROR(__xludf.DUMMYFUNCTION("""COMPUTED_VALUE"""),"BANGLADESH KRISHI BANK")</f>
        <v>BANGLADESH KRISHI BANK</v>
      </c>
      <c r="E2206" s="2" t="str">
        <f>IFERROR(__xludf.DUMMYFUNCTION("""COMPUTED_VALUE"""),"GUNAKARKATI")</f>
        <v>GUNAKARKATI</v>
      </c>
      <c r="F2206" s="4">
        <f>IFERROR(__xludf.DUMMYFUNCTION("""COMPUTED_VALUE"""),52.0)</f>
        <v>52</v>
      </c>
      <c r="G2206" s="5">
        <f>IFERROR(__xludf.DUMMYFUNCTION("""COMPUTED_VALUE"""),3.5870526E7)</f>
        <v>35870526</v>
      </c>
    </row>
    <row r="2207">
      <c r="A2207" s="3">
        <f>IFERROR(__xludf.DUMMYFUNCTION("""COMPUTED_VALUE"""),487.0)</f>
        <v>487</v>
      </c>
      <c r="B2207" s="2" t="str">
        <f>IFERROR(__xludf.DUMMYFUNCTION("""COMPUTED_VALUE"""),"SATKHIRA")</f>
        <v>SATKHIRA</v>
      </c>
      <c r="C2207" s="4">
        <f>IFERROR(__xludf.DUMMYFUNCTION("""COMPUTED_VALUE"""),35.0)</f>
        <v>35</v>
      </c>
      <c r="D2207" s="2" t="str">
        <f>IFERROR(__xludf.DUMMYFUNCTION("""COMPUTED_VALUE"""),"BANGLADESH KRISHI BANK")</f>
        <v>BANGLADESH KRISHI BANK</v>
      </c>
      <c r="E2207" s="2" t="str">
        <f>IFERROR(__xludf.DUMMYFUNCTION("""COMPUTED_VALUE"""),"KALAROA")</f>
        <v>KALAROA</v>
      </c>
      <c r="F2207" s="4">
        <f>IFERROR(__xludf.DUMMYFUNCTION("""COMPUTED_VALUE"""),58.0)</f>
        <v>58</v>
      </c>
      <c r="G2207" s="5">
        <f>IFERROR(__xludf.DUMMYFUNCTION("""COMPUTED_VALUE"""),3.5870584E7)</f>
        <v>35870584</v>
      </c>
    </row>
    <row r="2208">
      <c r="A2208" s="3">
        <f>IFERROR(__xludf.DUMMYFUNCTION("""COMPUTED_VALUE"""),487.0)</f>
        <v>487</v>
      </c>
      <c r="B2208" s="2" t="str">
        <f>IFERROR(__xludf.DUMMYFUNCTION("""COMPUTED_VALUE"""),"SATKHIRA")</f>
        <v>SATKHIRA</v>
      </c>
      <c r="C2208" s="4">
        <f>IFERROR(__xludf.DUMMYFUNCTION("""COMPUTED_VALUE"""),35.0)</f>
        <v>35</v>
      </c>
      <c r="D2208" s="2" t="str">
        <f>IFERROR(__xludf.DUMMYFUNCTION("""COMPUTED_VALUE"""),"BANGLADESH KRISHI BANK")</f>
        <v>BANGLADESH KRISHI BANK</v>
      </c>
      <c r="E2208" s="2" t="str">
        <f>IFERROR(__xludf.DUMMYFUNCTION("""COMPUTED_VALUE"""),"KALIGANJ")</f>
        <v>KALIGANJ</v>
      </c>
      <c r="F2208" s="4">
        <f>IFERROR(__xludf.DUMMYFUNCTION("""COMPUTED_VALUE"""),61.0)</f>
        <v>61</v>
      </c>
      <c r="G2208" s="5">
        <f>IFERROR(__xludf.DUMMYFUNCTION("""COMPUTED_VALUE"""),3.5870618E7)</f>
        <v>35870618</v>
      </c>
    </row>
    <row r="2209">
      <c r="A2209" s="3">
        <f>IFERROR(__xludf.DUMMYFUNCTION("""COMPUTED_VALUE"""),487.0)</f>
        <v>487</v>
      </c>
      <c r="B2209" s="2" t="str">
        <f>IFERROR(__xludf.DUMMYFUNCTION("""COMPUTED_VALUE"""),"SATKHIRA")</f>
        <v>SATKHIRA</v>
      </c>
      <c r="C2209" s="4">
        <f>IFERROR(__xludf.DUMMYFUNCTION("""COMPUTED_VALUE"""),35.0)</f>
        <v>35</v>
      </c>
      <c r="D2209" s="2" t="str">
        <f>IFERROR(__xludf.DUMMYFUNCTION("""COMPUTED_VALUE"""),"BANGLADESH KRISHI BANK")</f>
        <v>BANGLADESH KRISHI BANK</v>
      </c>
      <c r="E2209" s="2" t="str">
        <f>IFERROR(__xludf.DUMMYFUNCTION("""COMPUTED_VALUE"""),"KHORDO BAZAR")</f>
        <v>KHORDO BAZAR</v>
      </c>
      <c r="F2209" s="4">
        <f>IFERROR(__xludf.DUMMYFUNCTION("""COMPUTED_VALUE"""),70.0)</f>
        <v>70</v>
      </c>
      <c r="G2209" s="5">
        <f>IFERROR(__xludf.DUMMYFUNCTION("""COMPUTED_VALUE"""),3.58707E7)</f>
        <v>35870700</v>
      </c>
    </row>
    <row r="2210">
      <c r="A2210" s="3">
        <f>IFERROR(__xludf.DUMMYFUNCTION("""COMPUTED_VALUE"""),487.0)</f>
        <v>487</v>
      </c>
      <c r="B2210" s="2" t="str">
        <f>IFERROR(__xludf.DUMMYFUNCTION("""COMPUTED_VALUE"""),"SATKHIRA")</f>
        <v>SATKHIRA</v>
      </c>
      <c r="C2210" s="4">
        <f>IFERROR(__xludf.DUMMYFUNCTION("""COMPUTED_VALUE"""),35.0)</f>
        <v>35</v>
      </c>
      <c r="D2210" s="2" t="str">
        <f>IFERROR(__xludf.DUMMYFUNCTION("""COMPUTED_VALUE"""),"BANGLADESH KRISHI BANK")</f>
        <v>BANGLADESH KRISHI BANK</v>
      </c>
      <c r="E2210" s="2" t="str">
        <f>IFERROR(__xludf.DUMMYFUNCTION("""COMPUTED_VALUE"""),"KRISNA NAGAR")</f>
        <v>KRISNA NAGAR</v>
      </c>
      <c r="F2210" s="4">
        <f>IFERROR(__xludf.DUMMYFUNCTION("""COMPUTED_VALUE"""),73.0)</f>
        <v>73</v>
      </c>
      <c r="G2210" s="5">
        <f>IFERROR(__xludf.DUMMYFUNCTION("""COMPUTED_VALUE"""),3.5870739E7)</f>
        <v>35870739</v>
      </c>
    </row>
    <row r="2211">
      <c r="A2211" s="3">
        <f>IFERROR(__xludf.DUMMYFUNCTION("""COMPUTED_VALUE"""),487.0)</f>
        <v>487</v>
      </c>
      <c r="B2211" s="2" t="str">
        <f>IFERROR(__xludf.DUMMYFUNCTION("""COMPUTED_VALUE"""),"SATKHIRA")</f>
        <v>SATKHIRA</v>
      </c>
      <c r="C2211" s="4">
        <f>IFERROR(__xludf.DUMMYFUNCTION("""COMPUTED_VALUE"""),35.0)</f>
        <v>35</v>
      </c>
      <c r="D2211" s="2" t="str">
        <f>IFERROR(__xludf.DUMMYFUNCTION("""COMPUTED_VALUE"""),"BANGLADESH KRISHI BANK")</f>
        <v>BANGLADESH KRISHI BANK</v>
      </c>
      <c r="E2211" s="2" t="str">
        <f>IFERROR(__xludf.DUMMYFUNCTION("""COMPUTED_VALUE"""),"RAWIE BAZAR")</f>
        <v>RAWIE BAZAR</v>
      </c>
      <c r="F2211" s="4">
        <f>IFERROR(__xludf.DUMMYFUNCTION("""COMPUTED_VALUE"""),106.0)</f>
        <v>106</v>
      </c>
      <c r="G2211" s="5">
        <f>IFERROR(__xludf.DUMMYFUNCTION("""COMPUTED_VALUE"""),3.5871062E7)</f>
        <v>35871062</v>
      </c>
    </row>
    <row r="2212">
      <c r="A2212" s="3">
        <f>IFERROR(__xludf.DUMMYFUNCTION("""COMPUTED_VALUE"""),487.0)</f>
        <v>487</v>
      </c>
      <c r="B2212" s="2" t="str">
        <f>IFERROR(__xludf.DUMMYFUNCTION("""COMPUTED_VALUE"""),"SATKHIRA")</f>
        <v>SATKHIRA</v>
      </c>
      <c r="C2212" s="4">
        <f>IFERROR(__xludf.DUMMYFUNCTION("""COMPUTED_VALUE"""),35.0)</f>
        <v>35</v>
      </c>
      <c r="D2212" s="2" t="str">
        <f>IFERROR(__xludf.DUMMYFUNCTION("""COMPUTED_VALUE"""),"BANGLADESH KRISHI BANK")</f>
        <v>BANGLADESH KRISHI BANK</v>
      </c>
      <c r="E2212" s="2" t="str">
        <f>IFERROR(__xludf.DUMMYFUNCTION("""COMPUTED_VALUE"""),"SATKHIRA")</f>
        <v>SATKHIRA</v>
      </c>
      <c r="F2212" s="4">
        <f>IFERROR(__xludf.DUMMYFUNCTION("""COMPUTED_VALUE"""),109.0)</f>
        <v>109</v>
      </c>
      <c r="G2212" s="5">
        <f>IFERROR(__xludf.DUMMYFUNCTION("""COMPUTED_VALUE"""),3.5871091E7)</f>
        <v>35871091</v>
      </c>
    </row>
    <row r="2213">
      <c r="A2213" s="3">
        <f>IFERROR(__xludf.DUMMYFUNCTION("""COMPUTED_VALUE"""),487.0)</f>
        <v>487</v>
      </c>
      <c r="B2213" s="2" t="str">
        <f>IFERROR(__xludf.DUMMYFUNCTION("""COMPUTED_VALUE"""),"SATKHIRA")</f>
        <v>SATKHIRA</v>
      </c>
      <c r="C2213" s="4">
        <f>IFERROR(__xludf.DUMMYFUNCTION("""COMPUTED_VALUE"""),35.0)</f>
        <v>35</v>
      </c>
      <c r="D2213" s="2" t="str">
        <f>IFERROR(__xludf.DUMMYFUNCTION("""COMPUTED_VALUE"""),"BANGLADESH KRISHI BANK")</f>
        <v>BANGLADESH KRISHI BANK</v>
      </c>
      <c r="E2213" s="2" t="str">
        <f>IFERROR(__xludf.DUMMYFUNCTION("""COMPUTED_VALUE"""),"SHAKHIPUR")</f>
        <v>SHAKHIPUR</v>
      </c>
      <c r="F2213" s="4">
        <f>IFERROR(__xludf.DUMMYFUNCTION("""COMPUTED_VALUE"""),118.0)</f>
        <v>118</v>
      </c>
      <c r="G2213" s="5">
        <f>IFERROR(__xludf.DUMMYFUNCTION("""COMPUTED_VALUE"""),3.5871183E7)</f>
        <v>35871183</v>
      </c>
    </row>
    <row r="2214">
      <c r="A2214" s="3">
        <f>IFERROR(__xludf.DUMMYFUNCTION("""COMPUTED_VALUE"""),487.0)</f>
        <v>487</v>
      </c>
      <c r="B2214" s="2" t="str">
        <f>IFERROR(__xludf.DUMMYFUNCTION("""COMPUTED_VALUE"""),"SATKHIRA")</f>
        <v>SATKHIRA</v>
      </c>
      <c r="C2214" s="4">
        <f>IFERROR(__xludf.DUMMYFUNCTION("""COMPUTED_VALUE"""),35.0)</f>
        <v>35</v>
      </c>
      <c r="D2214" s="2" t="str">
        <f>IFERROR(__xludf.DUMMYFUNCTION("""COMPUTED_VALUE"""),"BANGLADESH KRISHI BANK")</f>
        <v>BANGLADESH KRISHI BANK</v>
      </c>
      <c r="E2214" s="2" t="str">
        <f>IFERROR(__xludf.DUMMYFUNCTION("""COMPUTED_VALUE"""),"SHYAM NAGAR")</f>
        <v>SHYAM NAGAR</v>
      </c>
      <c r="F2214" s="4">
        <f>IFERROR(__xludf.DUMMYFUNCTION("""COMPUTED_VALUE"""),121.0)</f>
        <v>121</v>
      </c>
      <c r="G2214" s="5">
        <f>IFERROR(__xludf.DUMMYFUNCTION("""COMPUTED_VALUE"""),3.5871217E7)</f>
        <v>35871217</v>
      </c>
    </row>
    <row r="2215">
      <c r="A2215" s="3">
        <f>IFERROR(__xludf.DUMMYFUNCTION("""COMPUTED_VALUE"""),487.0)</f>
        <v>487</v>
      </c>
      <c r="B2215" s="2" t="str">
        <f>IFERROR(__xludf.DUMMYFUNCTION("""COMPUTED_VALUE"""),"SATKHIRA")</f>
        <v>SATKHIRA</v>
      </c>
      <c r="C2215" s="4">
        <f>IFERROR(__xludf.DUMMYFUNCTION("""COMPUTED_VALUE"""),35.0)</f>
        <v>35</v>
      </c>
      <c r="D2215" s="2" t="str">
        <f>IFERROR(__xludf.DUMMYFUNCTION("""COMPUTED_VALUE"""),"BANGLADESH KRISHI BANK")</f>
        <v>BANGLADESH KRISHI BANK</v>
      </c>
      <c r="E2215" s="2" t="str">
        <f>IFERROR(__xludf.DUMMYFUNCTION("""COMPUTED_VALUE"""),"SONABARIA BAZAR")</f>
        <v>SONABARIA BAZAR</v>
      </c>
      <c r="F2215" s="4">
        <f>IFERROR(__xludf.DUMMYFUNCTION("""COMPUTED_VALUE"""),124.0)</f>
        <v>124</v>
      </c>
      <c r="G2215" s="5">
        <f>IFERROR(__xludf.DUMMYFUNCTION("""COMPUTED_VALUE"""),3.5871246E7)</f>
        <v>35871246</v>
      </c>
    </row>
    <row r="2216">
      <c r="A2216" s="3">
        <f>IFERROR(__xludf.DUMMYFUNCTION("""COMPUTED_VALUE"""),487.0)</f>
        <v>487</v>
      </c>
      <c r="B2216" s="2" t="str">
        <f>IFERROR(__xludf.DUMMYFUNCTION("""COMPUTED_VALUE"""),"SATKHIRA")</f>
        <v>SATKHIRA</v>
      </c>
      <c r="C2216" s="4">
        <f>IFERROR(__xludf.DUMMYFUNCTION("""COMPUTED_VALUE"""),35.0)</f>
        <v>35</v>
      </c>
      <c r="D2216" s="2" t="str">
        <f>IFERROR(__xludf.DUMMYFUNCTION("""COMPUTED_VALUE"""),"BANGLADESH KRISHI BANK")</f>
        <v>BANGLADESH KRISHI BANK</v>
      </c>
      <c r="E2216" s="2" t="str">
        <f>IFERROR(__xludf.DUMMYFUNCTION("""COMPUTED_VALUE"""),"TALA")</f>
        <v>TALA</v>
      </c>
      <c r="F2216" s="4">
        <f>IFERROR(__xludf.DUMMYFUNCTION("""COMPUTED_VALUE"""),130.0)</f>
        <v>130</v>
      </c>
      <c r="G2216" s="5">
        <f>IFERROR(__xludf.DUMMYFUNCTION("""COMPUTED_VALUE"""),3.5871309E7)</f>
        <v>35871309</v>
      </c>
    </row>
    <row r="2217">
      <c r="A2217" s="3">
        <f>IFERROR(__xludf.DUMMYFUNCTION("""COMPUTED_VALUE"""),189.0)</f>
        <v>189</v>
      </c>
      <c r="B2217" s="2" t="str">
        <f>IFERROR(__xludf.DUMMYFUNCTION("""COMPUTED_VALUE"""),"SHERPUR")</f>
        <v>SHERPUR</v>
      </c>
      <c r="C2217" s="4">
        <f>IFERROR(__xludf.DUMMYFUNCTION("""COMPUTED_VALUE"""),35.0)</f>
        <v>35</v>
      </c>
      <c r="D2217" s="2" t="str">
        <f>IFERROR(__xludf.DUMMYFUNCTION("""COMPUTED_VALUE"""),"BANGLADESH KRISHI BANK")</f>
        <v>BANGLADESH KRISHI BANK</v>
      </c>
      <c r="E2217" s="2" t="str">
        <f>IFERROR(__xludf.DUMMYFUNCTION("""COMPUTED_VALUE"""),"BAJITKHILA BAZAR")</f>
        <v>BAJITKHILA BAZAR</v>
      </c>
      <c r="F2217" s="4">
        <f>IFERROR(__xludf.DUMMYFUNCTION("""COMPUTED_VALUE"""),4.0)</f>
        <v>4</v>
      </c>
      <c r="G2217" s="5">
        <f>IFERROR(__xludf.DUMMYFUNCTION("""COMPUTED_VALUE"""),3.5890043E7)</f>
        <v>35890043</v>
      </c>
    </row>
    <row r="2218">
      <c r="A2218" s="3">
        <f>IFERROR(__xludf.DUMMYFUNCTION("""COMPUTED_VALUE"""),189.0)</f>
        <v>189</v>
      </c>
      <c r="B2218" s="2" t="str">
        <f>IFERROR(__xludf.DUMMYFUNCTION("""COMPUTED_VALUE"""),"SHERPUR")</f>
        <v>SHERPUR</v>
      </c>
      <c r="C2218" s="4">
        <f>IFERROR(__xludf.DUMMYFUNCTION("""COMPUTED_VALUE"""),35.0)</f>
        <v>35</v>
      </c>
      <c r="D2218" s="2" t="str">
        <f>IFERROR(__xludf.DUMMYFUNCTION("""COMPUTED_VALUE"""),"BANGLADESH KRISHI BANK")</f>
        <v>BANGLADESH KRISHI BANK</v>
      </c>
      <c r="E2218" s="2" t="str">
        <f>IFERROR(__xludf.DUMMYFUNCTION("""COMPUTED_VALUE"""),"BHAYADANGA")</f>
        <v>BHAYADANGA</v>
      </c>
      <c r="F2218" s="4">
        <f>IFERROR(__xludf.DUMMYFUNCTION("""COMPUTED_VALUE"""),7.0)</f>
        <v>7</v>
      </c>
      <c r="G2218" s="5">
        <f>IFERROR(__xludf.DUMMYFUNCTION("""COMPUTED_VALUE"""),3.5890072E7)</f>
        <v>35890072</v>
      </c>
    </row>
    <row r="2219">
      <c r="A2219" s="3">
        <f>IFERROR(__xludf.DUMMYFUNCTION("""COMPUTED_VALUE"""),189.0)</f>
        <v>189</v>
      </c>
      <c r="B2219" s="2" t="str">
        <f>IFERROR(__xludf.DUMMYFUNCTION("""COMPUTED_VALUE"""),"SHERPUR")</f>
        <v>SHERPUR</v>
      </c>
      <c r="C2219" s="4">
        <f>IFERROR(__xludf.DUMMYFUNCTION("""COMPUTED_VALUE"""),35.0)</f>
        <v>35</v>
      </c>
      <c r="D2219" s="2" t="str">
        <f>IFERROR(__xludf.DUMMYFUNCTION("""COMPUTED_VALUE"""),"BANGLADESH KRISHI BANK")</f>
        <v>BANGLADESH KRISHI BANK</v>
      </c>
      <c r="E2219" s="2" t="str">
        <f>IFERROR(__xludf.DUMMYFUNCTION("""COMPUTED_VALUE"""),"GAZIR KHAMAR")</f>
        <v>GAZIR KHAMAR</v>
      </c>
      <c r="F2219" s="4">
        <f>IFERROR(__xludf.DUMMYFUNCTION("""COMPUTED_VALUE"""),13.0)</f>
        <v>13</v>
      </c>
      <c r="G2219" s="5">
        <f>IFERROR(__xludf.DUMMYFUNCTION("""COMPUTED_VALUE"""),3.5890135E7)</f>
        <v>35890135</v>
      </c>
    </row>
    <row r="2220">
      <c r="A2220" s="3">
        <f>IFERROR(__xludf.DUMMYFUNCTION("""COMPUTED_VALUE"""),189.0)</f>
        <v>189</v>
      </c>
      <c r="B2220" s="2" t="str">
        <f>IFERROR(__xludf.DUMMYFUNCTION("""COMPUTED_VALUE"""),"SHERPUR")</f>
        <v>SHERPUR</v>
      </c>
      <c r="C2220" s="4">
        <f>IFERROR(__xludf.DUMMYFUNCTION("""COMPUTED_VALUE"""),35.0)</f>
        <v>35</v>
      </c>
      <c r="D2220" s="2" t="str">
        <f>IFERROR(__xludf.DUMMYFUNCTION("""COMPUTED_VALUE"""),"BANGLADESH KRISHI BANK")</f>
        <v>BANGLADESH KRISHI BANK</v>
      </c>
      <c r="E2220" s="2" t="str">
        <f>IFERROR(__xludf.DUMMYFUNCTION("""COMPUTED_VALUE"""),"JHENAIGATI")</f>
        <v>JHENAIGATI</v>
      </c>
      <c r="F2220" s="4">
        <f>IFERROR(__xludf.DUMMYFUNCTION("""COMPUTED_VALUE"""),16.0)</f>
        <v>16</v>
      </c>
      <c r="G2220" s="5">
        <f>IFERROR(__xludf.DUMMYFUNCTION("""COMPUTED_VALUE"""),3.5890164E7)</f>
        <v>35890164</v>
      </c>
    </row>
    <row r="2221">
      <c r="A2221" s="3">
        <f>IFERROR(__xludf.DUMMYFUNCTION("""COMPUTED_VALUE"""),189.0)</f>
        <v>189</v>
      </c>
      <c r="B2221" s="2" t="str">
        <f>IFERROR(__xludf.DUMMYFUNCTION("""COMPUTED_VALUE"""),"SHERPUR")</f>
        <v>SHERPUR</v>
      </c>
      <c r="C2221" s="4">
        <f>IFERROR(__xludf.DUMMYFUNCTION("""COMPUTED_VALUE"""),35.0)</f>
        <v>35</v>
      </c>
      <c r="D2221" s="2" t="str">
        <f>IFERROR(__xludf.DUMMYFUNCTION("""COMPUTED_VALUE"""),"BANGLADESH KRISHI BANK")</f>
        <v>BANGLADESH KRISHI BANK</v>
      </c>
      <c r="E2221" s="2" t="str">
        <f>IFERROR(__xludf.DUMMYFUNCTION("""COMPUTED_VALUE"""),"KAKARKANDI BAZAR")</f>
        <v>KAKARKANDI BAZAR</v>
      </c>
      <c r="F2221" s="4">
        <f>IFERROR(__xludf.DUMMYFUNCTION("""COMPUTED_VALUE"""),18.0)</f>
        <v>18</v>
      </c>
      <c r="G2221" s="5">
        <f>IFERROR(__xludf.DUMMYFUNCTION("""COMPUTED_VALUE"""),3.589018E7)</f>
        <v>35890180</v>
      </c>
    </row>
    <row r="2222">
      <c r="A2222" s="3">
        <f>IFERROR(__xludf.DUMMYFUNCTION("""COMPUTED_VALUE"""),189.0)</f>
        <v>189</v>
      </c>
      <c r="B2222" s="2" t="str">
        <f>IFERROR(__xludf.DUMMYFUNCTION("""COMPUTED_VALUE"""),"SHERPUR")</f>
        <v>SHERPUR</v>
      </c>
      <c r="C2222" s="4">
        <f>IFERROR(__xludf.DUMMYFUNCTION("""COMPUTED_VALUE"""),35.0)</f>
        <v>35</v>
      </c>
      <c r="D2222" s="2" t="str">
        <f>IFERROR(__xludf.DUMMYFUNCTION("""COMPUTED_VALUE"""),"BANGLADESH KRISHI BANK")</f>
        <v>BANGLADESH KRISHI BANK</v>
      </c>
      <c r="E2222" s="2" t="str">
        <f>IFERROR(__xludf.DUMMYFUNCTION("""COMPUTED_VALUE"""),"KURUA BAZAR")</f>
        <v>KURUA BAZAR</v>
      </c>
      <c r="F2222" s="4">
        <f>IFERROR(__xludf.DUMMYFUNCTION("""COMPUTED_VALUE"""),25.0)</f>
        <v>25</v>
      </c>
      <c r="G2222" s="5">
        <f>IFERROR(__xludf.DUMMYFUNCTION("""COMPUTED_VALUE"""),3.5890256E7)</f>
        <v>35890256</v>
      </c>
    </row>
    <row r="2223">
      <c r="A2223" s="3">
        <f>IFERROR(__xludf.DUMMYFUNCTION("""COMPUTED_VALUE"""),189.0)</f>
        <v>189</v>
      </c>
      <c r="B2223" s="2" t="str">
        <f>IFERROR(__xludf.DUMMYFUNCTION("""COMPUTED_VALUE"""),"SHERPUR")</f>
        <v>SHERPUR</v>
      </c>
      <c r="C2223" s="4">
        <f>IFERROR(__xludf.DUMMYFUNCTION("""COMPUTED_VALUE"""),35.0)</f>
        <v>35</v>
      </c>
      <c r="D2223" s="2" t="str">
        <f>IFERROR(__xludf.DUMMYFUNCTION("""COMPUTED_VALUE"""),"BANGLADESH KRISHI BANK")</f>
        <v>BANGLADESH KRISHI BANK</v>
      </c>
      <c r="E2223" s="2" t="str">
        <f>IFERROR(__xludf.DUMMYFUNCTION("""COMPUTED_VALUE"""),"KUSHUMHATI")</f>
        <v>KUSHUMHATI</v>
      </c>
      <c r="F2223" s="4">
        <f>IFERROR(__xludf.DUMMYFUNCTION("""COMPUTED_VALUE"""),28.0)</f>
        <v>28</v>
      </c>
      <c r="G2223" s="5">
        <f>IFERROR(__xludf.DUMMYFUNCTION("""COMPUTED_VALUE"""),3.5890285E7)</f>
        <v>35890285</v>
      </c>
    </row>
    <row r="2224">
      <c r="A2224" s="3">
        <f>IFERROR(__xludf.DUMMYFUNCTION("""COMPUTED_VALUE"""),189.0)</f>
        <v>189</v>
      </c>
      <c r="B2224" s="2" t="str">
        <f>IFERROR(__xludf.DUMMYFUNCTION("""COMPUTED_VALUE"""),"SHERPUR")</f>
        <v>SHERPUR</v>
      </c>
      <c r="C2224" s="4">
        <f>IFERROR(__xludf.DUMMYFUNCTION("""COMPUTED_VALUE"""),35.0)</f>
        <v>35</v>
      </c>
      <c r="D2224" s="2" t="str">
        <f>IFERROR(__xludf.DUMMYFUNCTION("""COMPUTED_VALUE"""),"BANGLADESH KRISHI BANK")</f>
        <v>BANGLADESH KRISHI BANK</v>
      </c>
      <c r="E2224" s="2" t="str">
        <f>IFERROR(__xludf.DUMMYFUNCTION("""COMPUTED_VALUE"""),"NAKLA")</f>
        <v>NAKLA</v>
      </c>
      <c r="F2224" s="4">
        <f>IFERROR(__xludf.DUMMYFUNCTION("""COMPUTED_VALUE"""),31.0)</f>
        <v>31</v>
      </c>
      <c r="G2224" s="5">
        <f>IFERROR(__xludf.DUMMYFUNCTION("""COMPUTED_VALUE"""),3.5890319E7)</f>
        <v>35890319</v>
      </c>
    </row>
    <row r="2225">
      <c r="A2225" s="3">
        <f>IFERROR(__xludf.DUMMYFUNCTION("""COMPUTED_VALUE"""),189.0)</f>
        <v>189</v>
      </c>
      <c r="B2225" s="2" t="str">
        <f>IFERROR(__xludf.DUMMYFUNCTION("""COMPUTED_VALUE"""),"SHERPUR")</f>
        <v>SHERPUR</v>
      </c>
      <c r="C2225" s="4">
        <f>IFERROR(__xludf.DUMMYFUNCTION("""COMPUTED_VALUE"""),35.0)</f>
        <v>35</v>
      </c>
      <c r="D2225" s="2" t="str">
        <f>IFERROR(__xludf.DUMMYFUNCTION("""COMPUTED_VALUE"""),"BANGLADESH KRISHI BANK")</f>
        <v>BANGLADESH KRISHI BANK</v>
      </c>
      <c r="E2225" s="2" t="str">
        <f>IFERROR(__xludf.DUMMYFUNCTION("""COMPUTED_VALUE"""),"NALITABARI")</f>
        <v>NALITABARI</v>
      </c>
      <c r="F2225" s="4">
        <f>IFERROR(__xludf.DUMMYFUNCTION("""COMPUTED_VALUE"""),34.0)</f>
        <v>34</v>
      </c>
      <c r="G2225" s="5">
        <f>IFERROR(__xludf.DUMMYFUNCTION("""COMPUTED_VALUE"""),3.5890348E7)</f>
        <v>35890348</v>
      </c>
    </row>
    <row r="2226">
      <c r="A2226" s="3">
        <f>IFERROR(__xludf.DUMMYFUNCTION("""COMPUTED_VALUE"""),189.0)</f>
        <v>189</v>
      </c>
      <c r="B2226" s="2" t="str">
        <f>IFERROR(__xludf.DUMMYFUNCTION("""COMPUTED_VALUE"""),"SHERPUR")</f>
        <v>SHERPUR</v>
      </c>
      <c r="C2226" s="4">
        <f>IFERROR(__xludf.DUMMYFUNCTION("""COMPUTED_VALUE"""),35.0)</f>
        <v>35</v>
      </c>
      <c r="D2226" s="2" t="str">
        <f>IFERROR(__xludf.DUMMYFUNCTION("""COMPUTED_VALUE"""),"BANGLADESH KRISHI BANK")</f>
        <v>BANGLADESH KRISHI BANK</v>
      </c>
      <c r="E2226" s="2" t="str">
        <f>IFERROR(__xludf.DUMMYFUNCTION("""COMPUTED_VALUE"""),"NALZORA BAZAR")</f>
        <v>NALZORA BAZAR</v>
      </c>
      <c r="F2226" s="4">
        <f>IFERROR(__xludf.DUMMYFUNCTION("""COMPUTED_VALUE"""),37.0)</f>
        <v>37</v>
      </c>
      <c r="G2226" s="5">
        <f>IFERROR(__xludf.DUMMYFUNCTION("""COMPUTED_VALUE"""),3.5890377E7)</f>
        <v>35890377</v>
      </c>
    </row>
    <row r="2227">
      <c r="A2227" s="3">
        <f>IFERROR(__xludf.DUMMYFUNCTION("""COMPUTED_VALUE"""),189.0)</f>
        <v>189</v>
      </c>
      <c r="B2227" s="2" t="str">
        <f>IFERROR(__xludf.DUMMYFUNCTION("""COMPUTED_VALUE"""),"SHERPUR")</f>
        <v>SHERPUR</v>
      </c>
      <c r="C2227" s="4">
        <f>IFERROR(__xludf.DUMMYFUNCTION("""COMPUTED_VALUE"""),35.0)</f>
        <v>35</v>
      </c>
      <c r="D2227" s="2" t="str">
        <f>IFERROR(__xludf.DUMMYFUNCTION("""COMPUTED_VALUE"""),"BANGLADESH KRISHI BANK")</f>
        <v>BANGLADESH KRISHI BANK</v>
      </c>
      <c r="E2227" s="2" t="str">
        <f>IFERROR(__xludf.DUMMYFUNCTION("""COMPUTED_VALUE"""),"NAYABIL BAZAR")</f>
        <v>NAYABIL BAZAR</v>
      </c>
      <c r="F2227" s="4">
        <f>IFERROR(__xludf.DUMMYFUNCTION("""COMPUTED_VALUE"""),49.0)</f>
        <v>49</v>
      </c>
      <c r="G2227" s="5">
        <f>IFERROR(__xludf.DUMMYFUNCTION("""COMPUTED_VALUE"""),3.5890498E7)</f>
        <v>35890498</v>
      </c>
    </row>
    <row r="2228">
      <c r="A2228" s="3">
        <f>IFERROR(__xludf.DUMMYFUNCTION("""COMPUTED_VALUE"""),189.0)</f>
        <v>189</v>
      </c>
      <c r="B2228" s="2" t="str">
        <f>IFERROR(__xludf.DUMMYFUNCTION("""COMPUTED_VALUE"""),"SHERPUR")</f>
        <v>SHERPUR</v>
      </c>
      <c r="C2228" s="4">
        <f>IFERROR(__xludf.DUMMYFUNCTION("""COMPUTED_VALUE"""),35.0)</f>
        <v>35</v>
      </c>
      <c r="D2228" s="2" t="str">
        <f>IFERROR(__xludf.DUMMYFUNCTION("""COMPUTED_VALUE"""),"BANGLADESH KRISHI BANK")</f>
        <v>BANGLADESH KRISHI BANK</v>
      </c>
      <c r="E2228" s="2" t="str">
        <f>IFERROR(__xludf.DUMMYFUNCTION("""COMPUTED_VALUE"""),"PATHAKALA BAZAR")</f>
        <v>PATHAKALA BAZAR</v>
      </c>
      <c r="F2228" s="4">
        <f>IFERROR(__xludf.DUMMYFUNCTION("""COMPUTED_VALUE"""),52.0)</f>
        <v>52</v>
      </c>
      <c r="G2228" s="5">
        <f>IFERROR(__xludf.DUMMYFUNCTION("""COMPUTED_VALUE"""),3.5890522E7)</f>
        <v>35890522</v>
      </c>
    </row>
    <row r="2229">
      <c r="A2229" s="3">
        <f>IFERROR(__xludf.DUMMYFUNCTION("""COMPUTED_VALUE"""),189.0)</f>
        <v>189</v>
      </c>
      <c r="B2229" s="2" t="str">
        <f>IFERROR(__xludf.DUMMYFUNCTION("""COMPUTED_VALUE"""),"SHERPUR")</f>
        <v>SHERPUR</v>
      </c>
      <c r="C2229" s="4">
        <f>IFERROR(__xludf.DUMMYFUNCTION("""COMPUTED_VALUE"""),35.0)</f>
        <v>35</v>
      </c>
      <c r="D2229" s="2" t="str">
        <f>IFERROR(__xludf.DUMMYFUNCTION("""COMPUTED_VALUE"""),"BANGLADESH KRISHI BANK")</f>
        <v>BANGLADESH KRISHI BANK</v>
      </c>
      <c r="E2229" s="2" t="str">
        <f>IFERROR(__xludf.DUMMYFUNCTION("""COMPUTED_VALUE"""),"SHERPUR")</f>
        <v>SHERPUR</v>
      </c>
      <c r="F2229" s="4">
        <f>IFERROR(__xludf.DUMMYFUNCTION("""COMPUTED_VALUE"""),55.0)</f>
        <v>55</v>
      </c>
      <c r="G2229" s="5">
        <f>IFERROR(__xludf.DUMMYFUNCTION("""COMPUTED_VALUE"""),3.5890551E7)</f>
        <v>35890551</v>
      </c>
    </row>
    <row r="2230">
      <c r="A2230" s="3">
        <f>IFERROR(__xludf.DUMMYFUNCTION("""COMPUTED_VALUE"""),189.0)</f>
        <v>189</v>
      </c>
      <c r="B2230" s="2" t="str">
        <f>IFERROR(__xludf.DUMMYFUNCTION("""COMPUTED_VALUE"""),"SHERPUR")</f>
        <v>SHERPUR</v>
      </c>
      <c r="C2230" s="4">
        <f>IFERROR(__xludf.DUMMYFUNCTION("""COMPUTED_VALUE"""),35.0)</f>
        <v>35</v>
      </c>
      <c r="D2230" s="2" t="str">
        <f>IFERROR(__xludf.DUMMYFUNCTION("""COMPUTED_VALUE"""),"BANGLADESH KRISHI BANK")</f>
        <v>BANGLADESH KRISHI BANK</v>
      </c>
      <c r="E2230" s="2" t="str">
        <f>IFERROR(__xludf.DUMMYFUNCTION("""COMPUTED_VALUE"""),"SREEBORDI")</f>
        <v>SREEBORDI</v>
      </c>
      <c r="F2230" s="4">
        <f>IFERROR(__xludf.DUMMYFUNCTION("""COMPUTED_VALUE"""),64.0)</f>
        <v>64</v>
      </c>
      <c r="G2230" s="5">
        <f>IFERROR(__xludf.DUMMYFUNCTION("""COMPUTED_VALUE"""),3.5890643E7)</f>
        <v>35890643</v>
      </c>
    </row>
    <row r="2231">
      <c r="A2231" s="3">
        <f>IFERROR(__xludf.DUMMYFUNCTION("""COMPUTED_VALUE"""),890.0)</f>
        <v>890</v>
      </c>
      <c r="B2231" s="2" t="str">
        <f>IFERROR(__xludf.DUMMYFUNCTION("""COMPUTED_VALUE"""),"SUNAMGANJ")</f>
        <v>SUNAMGANJ</v>
      </c>
      <c r="C2231" s="4">
        <f>IFERROR(__xludf.DUMMYFUNCTION("""COMPUTED_VALUE"""),35.0)</f>
        <v>35</v>
      </c>
      <c r="D2231" s="2" t="str">
        <f>IFERROR(__xludf.DUMMYFUNCTION("""COMPUTED_VALUE"""),"BANGLADESH KRISHI BANK")</f>
        <v>BANGLADESH KRISHI BANK</v>
      </c>
      <c r="E2231" s="2" t="str">
        <f>IFERROR(__xludf.DUMMYFUNCTION("""COMPUTED_VALUE"""),"BOALIA BAZAR")</f>
        <v>BOALIA BAZAR</v>
      </c>
      <c r="F2231" s="4">
        <f>IFERROR(__xludf.DUMMYFUNCTION("""COMPUTED_VALUE"""),5.0)</f>
        <v>5</v>
      </c>
      <c r="G2231" s="5">
        <f>IFERROR(__xludf.DUMMYFUNCTION("""COMPUTED_VALUE"""),3.5900054E7)</f>
        <v>35900054</v>
      </c>
    </row>
    <row r="2232">
      <c r="A2232" s="3">
        <f>IFERROR(__xludf.DUMMYFUNCTION("""COMPUTED_VALUE"""),890.0)</f>
        <v>890</v>
      </c>
      <c r="B2232" s="2" t="str">
        <f>IFERROR(__xludf.DUMMYFUNCTION("""COMPUTED_VALUE"""),"SUNAMGANJ")</f>
        <v>SUNAMGANJ</v>
      </c>
      <c r="C2232" s="4">
        <f>IFERROR(__xludf.DUMMYFUNCTION("""COMPUTED_VALUE"""),35.0)</f>
        <v>35</v>
      </c>
      <c r="D2232" s="2" t="str">
        <f>IFERROR(__xludf.DUMMYFUNCTION("""COMPUTED_VALUE"""),"BANGLADESH KRISHI BANK")</f>
        <v>BANGLADESH KRISHI BANK</v>
      </c>
      <c r="E2232" s="2" t="str">
        <f>IFERROR(__xludf.DUMMYFUNCTION("""COMPUTED_VALUE"""),"BADAGHAT")</f>
        <v>BADAGHAT</v>
      </c>
      <c r="F2232" s="4">
        <f>IFERROR(__xludf.DUMMYFUNCTION("""COMPUTED_VALUE"""),7.0)</f>
        <v>7</v>
      </c>
      <c r="G2232" s="5">
        <f>IFERROR(__xludf.DUMMYFUNCTION("""COMPUTED_VALUE"""),3.590007E7)</f>
        <v>35900070</v>
      </c>
    </row>
    <row r="2233">
      <c r="A2233" s="3">
        <f>IFERROR(__xludf.DUMMYFUNCTION("""COMPUTED_VALUE"""),890.0)</f>
        <v>890</v>
      </c>
      <c r="B2233" s="2" t="str">
        <f>IFERROR(__xludf.DUMMYFUNCTION("""COMPUTED_VALUE"""),"SUNAMGANJ")</f>
        <v>SUNAMGANJ</v>
      </c>
      <c r="C2233" s="4">
        <f>IFERROR(__xludf.DUMMYFUNCTION("""COMPUTED_VALUE"""),35.0)</f>
        <v>35</v>
      </c>
      <c r="D2233" s="2" t="str">
        <f>IFERROR(__xludf.DUMMYFUNCTION("""COMPUTED_VALUE"""),"BANGLADESH KRISHI BANK")</f>
        <v>BANGLADESH KRISHI BANK</v>
      </c>
      <c r="E2233" s="2" t="str">
        <f>IFERROR(__xludf.DUMMYFUNCTION("""COMPUTED_VALUE"""),"DAWRAI BAZAR")</f>
        <v>DAWRAI BAZAR</v>
      </c>
      <c r="F2233" s="4">
        <f>IFERROR(__xludf.DUMMYFUNCTION("""COMPUTED_VALUE"""),8.0)</f>
        <v>8</v>
      </c>
      <c r="G2233" s="5">
        <f>IFERROR(__xludf.DUMMYFUNCTION("""COMPUTED_VALUE"""),3.5900083E7)</f>
        <v>35900083</v>
      </c>
    </row>
    <row r="2234">
      <c r="A2234" s="3">
        <f>IFERROR(__xludf.DUMMYFUNCTION("""COMPUTED_VALUE"""),890.0)</f>
        <v>890</v>
      </c>
      <c r="B2234" s="2" t="str">
        <f>IFERROR(__xludf.DUMMYFUNCTION("""COMPUTED_VALUE"""),"SUNAMGANJ")</f>
        <v>SUNAMGANJ</v>
      </c>
      <c r="C2234" s="4">
        <f>IFERROR(__xludf.DUMMYFUNCTION("""COMPUTED_VALUE"""),35.0)</f>
        <v>35</v>
      </c>
      <c r="D2234" s="2" t="str">
        <f>IFERROR(__xludf.DUMMYFUNCTION("""COMPUTED_VALUE"""),"BANGLADESH KRISHI BANK")</f>
        <v>BANGLADESH KRISHI BANK</v>
      </c>
      <c r="E2234" s="2" t="str">
        <f>IFERROR(__xludf.DUMMYFUNCTION("""COMPUTED_VALUE"""),"RAFINAGAR UNION")</f>
        <v>RAFINAGAR UNION</v>
      </c>
      <c r="F2234" s="4">
        <f>IFERROR(__xludf.DUMMYFUNCTION("""COMPUTED_VALUE"""),9.0)</f>
        <v>9</v>
      </c>
      <c r="G2234" s="5">
        <f>IFERROR(__xludf.DUMMYFUNCTION("""COMPUTED_VALUE"""),3.5900096E7)</f>
        <v>35900096</v>
      </c>
    </row>
    <row r="2235">
      <c r="A2235" s="3">
        <f>IFERROR(__xludf.DUMMYFUNCTION("""COMPUTED_VALUE"""),890.0)</f>
        <v>890</v>
      </c>
      <c r="B2235" s="2" t="str">
        <f>IFERROR(__xludf.DUMMYFUNCTION("""COMPUTED_VALUE"""),"SUNAMGANJ")</f>
        <v>SUNAMGANJ</v>
      </c>
      <c r="C2235" s="4">
        <f>IFERROR(__xludf.DUMMYFUNCTION("""COMPUTED_VALUE"""),35.0)</f>
        <v>35</v>
      </c>
      <c r="D2235" s="2" t="str">
        <f>IFERROR(__xludf.DUMMYFUNCTION("""COMPUTED_VALUE"""),"BANGLADESH KRISHI BANK")</f>
        <v>BANGLADESH KRISHI BANK</v>
      </c>
      <c r="E2235" s="2" t="str">
        <f>IFERROR(__xludf.DUMMYFUNCTION("""COMPUTED_VALUE"""),"BANGLA BAZAR")</f>
        <v>BANGLA BAZAR</v>
      </c>
      <c r="F2235" s="4">
        <f>IFERROR(__xludf.DUMMYFUNCTION("""COMPUTED_VALUE"""),10.0)</f>
        <v>10</v>
      </c>
      <c r="G2235" s="5">
        <f>IFERROR(__xludf.DUMMYFUNCTION("""COMPUTED_VALUE"""),3.5900104E7)</f>
        <v>35900104</v>
      </c>
    </row>
    <row r="2236">
      <c r="A2236" s="3">
        <f>IFERROR(__xludf.DUMMYFUNCTION("""COMPUTED_VALUE"""),890.0)</f>
        <v>890</v>
      </c>
      <c r="B2236" s="2" t="str">
        <f>IFERROR(__xludf.DUMMYFUNCTION("""COMPUTED_VALUE"""),"SUNAMGANJ")</f>
        <v>SUNAMGANJ</v>
      </c>
      <c r="C2236" s="4">
        <f>IFERROR(__xludf.DUMMYFUNCTION("""COMPUTED_VALUE"""),35.0)</f>
        <v>35</v>
      </c>
      <c r="D2236" s="2" t="str">
        <f>IFERROR(__xludf.DUMMYFUNCTION("""COMPUTED_VALUE"""),"BANGLADESH KRISHI BANK")</f>
        <v>BANGLADESH KRISHI BANK</v>
      </c>
      <c r="E2236" s="2" t="str">
        <f>IFERROR(__xludf.DUMMYFUNCTION("""COMPUTED_VALUE"""),"BISHWAMVARPUR")</f>
        <v>BISHWAMVARPUR</v>
      </c>
      <c r="F2236" s="4">
        <f>IFERROR(__xludf.DUMMYFUNCTION("""COMPUTED_VALUE"""),19.0)</f>
        <v>19</v>
      </c>
      <c r="G2236" s="5">
        <f>IFERROR(__xludf.DUMMYFUNCTION("""COMPUTED_VALUE"""),3.5900191E7)</f>
        <v>35900191</v>
      </c>
    </row>
    <row r="2237">
      <c r="A2237" s="3">
        <f>IFERROR(__xludf.DUMMYFUNCTION("""COMPUTED_VALUE"""),890.0)</f>
        <v>890</v>
      </c>
      <c r="B2237" s="2" t="str">
        <f>IFERROR(__xludf.DUMMYFUNCTION("""COMPUTED_VALUE"""),"SUNAMGANJ")</f>
        <v>SUNAMGANJ</v>
      </c>
      <c r="C2237" s="4">
        <f>IFERROR(__xludf.DUMMYFUNCTION("""COMPUTED_VALUE"""),35.0)</f>
        <v>35</v>
      </c>
      <c r="D2237" s="2" t="str">
        <f>IFERROR(__xludf.DUMMYFUNCTION("""COMPUTED_VALUE"""),"BANGLADESH KRISHI BANK")</f>
        <v>BANGLADESH KRISHI BANK</v>
      </c>
      <c r="E2237" s="2" t="str">
        <f>IFERROR(__xludf.DUMMYFUNCTION("""COMPUTED_VALUE"""),"CHHATAK")</f>
        <v>CHHATAK</v>
      </c>
      <c r="F2237" s="4">
        <f>IFERROR(__xludf.DUMMYFUNCTION("""COMPUTED_VALUE"""),22.0)</f>
        <v>22</v>
      </c>
      <c r="G2237" s="5">
        <f>IFERROR(__xludf.DUMMYFUNCTION("""COMPUTED_VALUE"""),3.5900225E7)</f>
        <v>35900225</v>
      </c>
    </row>
    <row r="2238">
      <c r="A2238" s="3">
        <f>IFERROR(__xludf.DUMMYFUNCTION("""COMPUTED_VALUE"""),890.0)</f>
        <v>890</v>
      </c>
      <c r="B2238" s="2" t="str">
        <f>IFERROR(__xludf.DUMMYFUNCTION("""COMPUTED_VALUE"""),"SUNAMGANJ")</f>
        <v>SUNAMGANJ</v>
      </c>
      <c r="C2238" s="4">
        <f>IFERROR(__xludf.DUMMYFUNCTION("""COMPUTED_VALUE"""),35.0)</f>
        <v>35</v>
      </c>
      <c r="D2238" s="2" t="str">
        <f>IFERROR(__xludf.DUMMYFUNCTION("""COMPUTED_VALUE"""),"BANGLADESH KRISHI BANK")</f>
        <v>BANGLADESH KRISHI BANK</v>
      </c>
      <c r="E2238" s="2" t="str">
        <f>IFERROR(__xludf.DUMMYFUNCTION("""COMPUTED_VALUE"""),"DERAI")</f>
        <v>DERAI</v>
      </c>
      <c r="F2238" s="4">
        <f>IFERROR(__xludf.DUMMYFUNCTION("""COMPUTED_VALUE"""),25.0)</f>
        <v>25</v>
      </c>
      <c r="G2238" s="5">
        <f>IFERROR(__xludf.DUMMYFUNCTION("""COMPUTED_VALUE"""),3.5900254E7)</f>
        <v>35900254</v>
      </c>
    </row>
    <row r="2239">
      <c r="A2239" s="3">
        <f>IFERROR(__xludf.DUMMYFUNCTION("""COMPUTED_VALUE"""),890.0)</f>
        <v>890</v>
      </c>
      <c r="B2239" s="2" t="str">
        <f>IFERROR(__xludf.DUMMYFUNCTION("""COMPUTED_VALUE"""),"SUNAMGANJ")</f>
        <v>SUNAMGANJ</v>
      </c>
      <c r="C2239" s="4">
        <f>IFERROR(__xludf.DUMMYFUNCTION("""COMPUTED_VALUE"""),35.0)</f>
        <v>35</v>
      </c>
      <c r="D2239" s="2" t="str">
        <f>IFERROR(__xludf.DUMMYFUNCTION("""COMPUTED_VALUE"""),"BANGLADESH KRISHI BANK")</f>
        <v>BANGLADESH KRISHI BANK</v>
      </c>
      <c r="E2239" s="2" t="str">
        <f>IFERROR(__xludf.DUMMYFUNCTION("""COMPUTED_VALUE"""),"DHARAMPASSA")</f>
        <v>DHARAMPASSA</v>
      </c>
      <c r="F2239" s="4">
        <f>IFERROR(__xludf.DUMMYFUNCTION("""COMPUTED_VALUE"""),28.0)</f>
        <v>28</v>
      </c>
      <c r="G2239" s="5">
        <f>IFERROR(__xludf.DUMMYFUNCTION("""COMPUTED_VALUE"""),3.5900283E7)</f>
        <v>35900283</v>
      </c>
    </row>
    <row r="2240">
      <c r="A2240" s="3">
        <f>IFERROR(__xludf.DUMMYFUNCTION("""COMPUTED_VALUE"""),890.0)</f>
        <v>890</v>
      </c>
      <c r="B2240" s="2" t="str">
        <f>IFERROR(__xludf.DUMMYFUNCTION("""COMPUTED_VALUE"""),"SUNAMGANJ")</f>
        <v>SUNAMGANJ</v>
      </c>
      <c r="C2240" s="4">
        <f>IFERROR(__xludf.DUMMYFUNCTION("""COMPUTED_VALUE"""),35.0)</f>
        <v>35</v>
      </c>
      <c r="D2240" s="2" t="str">
        <f>IFERROR(__xludf.DUMMYFUNCTION("""COMPUTED_VALUE"""),"BANGLADESH KRISHI BANK")</f>
        <v>BANGLADESH KRISHI BANK</v>
      </c>
      <c r="E2240" s="2" t="str">
        <f>IFERROR(__xludf.DUMMYFUNCTION("""COMPUTED_VALUE"""),"DOWARA BAZAR")</f>
        <v>DOWARA BAZAR</v>
      </c>
      <c r="F2240" s="4">
        <f>IFERROR(__xludf.DUMMYFUNCTION("""COMPUTED_VALUE"""),34.0)</f>
        <v>34</v>
      </c>
      <c r="G2240" s="5">
        <f>IFERROR(__xludf.DUMMYFUNCTION("""COMPUTED_VALUE"""),3.5900346E7)</f>
        <v>35900346</v>
      </c>
    </row>
    <row r="2241">
      <c r="A2241" s="3">
        <f>IFERROR(__xludf.DUMMYFUNCTION("""COMPUTED_VALUE"""),890.0)</f>
        <v>890</v>
      </c>
      <c r="B2241" s="2" t="str">
        <f>IFERROR(__xludf.DUMMYFUNCTION("""COMPUTED_VALUE"""),"SUNAMGANJ")</f>
        <v>SUNAMGANJ</v>
      </c>
      <c r="C2241" s="4">
        <f>IFERROR(__xludf.DUMMYFUNCTION("""COMPUTED_VALUE"""),35.0)</f>
        <v>35</v>
      </c>
      <c r="D2241" s="2" t="str">
        <f>IFERROR(__xludf.DUMMYFUNCTION("""COMPUTED_VALUE"""),"BANGLADESH KRISHI BANK")</f>
        <v>BANGLADESH KRISHI BANK</v>
      </c>
      <c r="E2241" s="2" t="str">
        <f>IFERROR(__xludf.DUMMYFUNCTION("""COMPUTED_VALUE"""),"DUNGRIA")</f>
        <v>DUNGRIA</v>
      </c>
      <c r="F2241" s="4">
        <f>IFERROR(__xludf.DUMMYFUNCTION("""COMPUTED_VALUE"""),37.0)</f>
        <v>37</v>
      </c>
      <c r="G2241" s="5">
        <f>IFERROR(__xludf.DUMMYFUNCTION("""COMPUTED_VALUE"""),3.5900375E7)</f>
        <v>35900375</v>
      </c>
    </row>
    <row r="2242">
      <c r="A2242" s="3">
        <f>IFERROR(__xludf.DUMMYFUNCTION("""COMPUTED_VALUE"""),890.0)</f>
        <v>890</v>
      </c>
      <c r="B2242" s="2" t="str">
        <f>IFERROR(__xludf.DUMMYFUNCTION("""COMPUTED_VALUE"""),"SUNAMGANJ")</f>
        <v>SUNAMGANJ</v>
      </c>
      <c r="C2242" s="4">
        <f>IFERROR(__xludf.DUMMYFUNCTION("""COMPUTED_VALUE"""),35.0)</f>
        <v>35</v>
      </c>
      <c r="D2242" s="2" t="str">
        <f>IFERROR(__xludf.DUMMYFUNCTION("""COMPUTED_VALUE"""),"BANGLADESH KRISHI BANK")</f>
        <v>BANGLADESH KRISHI BANK</v>
      </c>
      <c r="E2242" s="2" t="str">
        <f>IFERROR(__xludf.DUMMYFUNCTION("""COMPUTED_VALUE"""),"GOBINDAGANJ")</f>
        <v>GOBINDAGANJ</v>
      </c>
      <c r="F2242" s="4">
        <f>IFERROR(__xludf.DUMMYFUNCTION("""COMPUTED_VALUE"""),43.0)</f>
        <v>43</v>
      </c>
      <c r="G2242" s="5">
        <f>IFERROR(__xludf.DUMMYFUNCTION("""COMPUTED_VALUE"""),3.5900438E7)</f>
        <v>35900438</v>
      </c>
    </row>
    <row r="2243">
      <c r="A2243" s="3">
        <f>IFERROR(__xludf.DUMMYFUNCTION("""COMPUTED_VALUE"""),890.0)</f>
        <v>890</v>
      </c>
      <c r="B2243" s="2" t="str">
        <f>IFERROR(__xludf.DUMMYFUNCTION("""COMPUTED_VALUE"""),"SUNAMGANJ")</f>
        <v>SUNAMGANJ</v>
      </c>
      <c r="C2243" s="4">
        <f>IFERROR(__xludf.DUMMYFUNCTION("""COMPUTED_VALUE"""),35.0)</f>
        <v>35</v>
      </c>
      <c r="D2243" s="2" t="str">
        <f>IFERROR(__xludf.DUMMYFUNCTION("""COMPUTED_VALUE"""),"BANGLADESH KRISHI BANK")</f>
        <v>BANGLADESH KRISHI BANK</v>
      </c>
      <c r="E2243" s="2" t="str">
        <f>IFERROR(__xludf.DUMMYFUNCTION("""COMPUTED_VALUE"""),"GOLAKPUR BAZAR")</f>
        <v>GOLAKPUR BAZAR</v>
      </c>
      <c r="F2243" s="4">
        <f>IFERROR(__xludf.DUMMYFUNCTION("""COMPUTED_VALUE"""),46.0)</f>
        <v>46</v>
      </c>
      <c r="G2243" s="5">
        <f>IFERROR(__xludf.DUMMYFUNCTION("""COMPUTED_VALUE"""),3.5900467E7)</f>
        <v>35900467</v>
      </c>
    </row>
    <row r="2244">
      <c r="A2244" s="3">
        <f>IFERROR(__xludf.DUMMYFUNCTION("""COMPUTED_VALUE"""),890.0)</f>
        <v>890</v>
      </c>
      <c r="B2244" s="2" t="str">
        <f>IFERROR(__xludf.DUMMYFUNCTION("""COMPUTED_VALUE"""),"SUNAMGANJ")</f>
        <v>SUNAMGANJ</v>
      </c>
      <c r="C2244" s="4">
        <f>IFERROR(__xludf.DUMMYFUNCTION("""COMPUTED_VALUE"""),35.0)</f>
        <v>35</v>
      </c>
      <c r="D2244" s="2" t="str">
        <f>IFERROR(__xludf.DUMMYFUNCTION("""COMPUTED_VALUE"""),"BANGLADESH KRISHI BANK")</f>
        <v>BANGLADESH KRISHI BANK</v>
      </c>
      <c r="E2244" s="2" t="str">
        <f>IFERROR(__xludf.DUMMYFUNCTION("""COMPUTED_VALUE"""),"JAGANNATHPUR")</f>
        <v>JAGANNATHPUR</v>
      </c>
      <c r="F2244" s="4">
        <f>IFERROR(__xludf.DUMMYFUNCTION("""COMPUTED_VALUE"""),49.0)</f>
        <v>49</v>
      </c>
      <c r="G2244" s="5">
        <f>IFERROR(__xludf.DUMMYFUNCTION("""COMPUTED_VALUE"""),3.5900496E7)</f>
        <v>35900496</v>
      </c>
    </row>
    <row r="2245">
      <c r="A2245" s="3">
        <f>IFERROR(__xludf.DUMMYFUNCTION("""COMPUTED_VALUE"""),890.0)</f>
        <v>890</v>
      </c>
      <c r="B2245" s="2" t="str">
        <f>IFERROR(__xludf.DUMMYFUNCTION("""COMPUTED_VALUE"""),"SUNAMGANJ")</f>
        <v>SUNAMGANJ</v>
      </c>
      <c r="C2245" s="4">
        <f>IFERROR(__xludf.DUMMYFUNCTION("""COMPUTED_VALUE"""),35.0)</f>
        <v>35</v>
      </c>
      <c r="D2245" s="2" t="str">
        <f>IFERROR(__xludf.DUMMYFUNCTION("""COMPUTED_VALUE"""),"BANGLADESH KRISHI BANK")</f>
        <v>BANGLADESH KRISHI BANK</v>
      </c>
      <c r="E2245" s="2" t="str">
        <f>IFERROR(__xludf.DUMMYFUNCTION("""COMPUTED_VALUE"""),"JAOWA BAZAR")</f>
        <v>JAOWA BAZAR</v>
      </c>
      <c r="F2245" s="4">
        <f>IFERROR(__xludf.DUMMYFUNCTION("""COMPUTED_VALUE"""),55.0)</f>
        <v>55</v>
      </c>
      <c r="G2245" s="5">
        <f>IFERROR(__xludf.DUMMYFUNCTION("""COMPUTED_VALUE"""),3.5900559E7)</f>
        <v>35900559</v>
      </c>
    </row>
    <row r="2246">
      <c r="A2246" s="3">
        <f>IFERROR(__xludf.DUMMYFUNCTION("""COMPUTED_VALUE"""),890.0)</f>
        <v>890</v>
      </c>
      <c r="B2246" s="2" t="str">
        <f>IFERROR(__xludf.DUMMYFUNCTION("""COMPUTED_VALUE"""),"SUNAMGANJ")</f>
        <v>SUNAMGANJ</v>
      </c>
      <c r="C2246" s="4">
        <f>IFERROR(__xludf.DUMMYFUNCTION("""COMPUTED_VALUE"""),35.0)</f>
        <v>35</v>
      </c>
      <c r="D2246" s="2" t="str">
        <f>IFERROR(__xludf.DUMMYFUNCTION("""COMPUTED_VALUE"""),"BANGLADESH KRISHI BANK")</f>
        <v>BANGLADESH KRISHI BANK</v>
      </c>
      <c r="E2246" s="2" t="str">
        <f>IFERROR(__xludf.DUMMYFUNCTION("""COMPUTED_VALUE"""),"JOYNAGAR BAZAR")</f>
        <v>JOYNAGAR BAZAR</v>
      </c>
      <c r="F2246" s="4">
        <f>IFERROR(__xludf.DUMMYFUNCTION("""COMPUTED_VALUE"""),58.0)</f>
        <v>58</v>
      </c>
      <c r="G2246" s="5">
        <f>IFERROR(__xludf.DUMMYFUNCTION("""COMPUTED_VALUE"""),3.5900588E7)</f>
        <v>35900588</v>
      </c>
    </row>
    <row r="2247">
      <c r="A2247" s="3">
        <f>IFERROR(__xludf.DUMMYFUNCTION("""COMPUTED_VALUE"""),890.0)</f>
        <v>890</v>
      </c>
      <c r="B2247" s="2" t="str">
        <f>IFERROR(__xludf.DUMMYFUNCTION("""COMPUTED_VALUE"""),"SUNAMGANJ")</f>
        <v>SUNAMGANJ</v>
      </c>
      <c r="C2247" s="4">
        <f>IFERROR(__xludf.DUMMYFUNCTION("""COMPUTED_VALUE"""),35.0)</f>
        <v>35</v>
      </c>
      <c r="D2247" s="2" t="str">
        <f>IFERROR(__xludf.DUMMYFUNCTION("""COMPUTED_VALUE"""),"BANGLADESH KRISHI BANK")</f>
        <v>BANGLADESH KRISHI BANK</v>
      </c>
      <c r="E2247" s="2" t="str">
        <f>IFERROR(__xludf.DUMMYFUNCTION("""COMPUTED_VALUE"""),"KOLKOLIA")</f>
        <v>KOLKOLIA</v>
      </c>
      <c r="F2247" s="4">
        <f>IFERROR(__xludf.DUMMYFUNCTION("""COMPUTED_VALUE"""),64.0)</f>
        <v>64</v>
      </c>
      <c r="G2247" s="5">
        <f>IFERROR(__xludf.DUMMYFUNCTION("""COMPUTED_VALUE"""),3.5900641E7)</f>
        <v>35900641</v>
      </c>
    </row>
    <row r="2248">
      <c r="A2248" s="3">
        <f>IFERROR(__xludf.DUMMYFUNCTION("""COMPUTED_VALUE"""),890.0)</f>
        <v>890</v>
      </c>
      <c r="B2248" s="2" t="str">
        <f>IFERROR(__xludf.DUMMYFUNCTION("""COMPUTED_VALUE"""),"SUNAMGANJ")</f>
        <v>SUNAMGANJ</v>
      </c>
      <c r="C2248" s="4">
        <f>IFERROR(__xludf.DUMMYFUNCTION("""COMPUTED_VALUE"""),35.0)</f>
        <v>35</v>
      </c>
      <c r="D2248" s="2" t="str">
        <f>IFERROR(__xludf.DUMMYFUNCTION("""COMPUTED_VALUE"""),"BANGLADESH KRISHI BANK")</f>
        <v>BANGLADESH KRISHI BANK</v>
      </c>
      <c r="E2248" s="2" t="str">
        <f>IFERROR(__xludf.DUMMYFUNCTION("""COMPUTED_VALUE"""),"MADHYA NAGAR")</f>
        <v>MADHYA NAGAR</v>
      </c>
      <c r="F2248" s="4">
        <f>IFERROR(__xludf.DUMMYFUNCTION("""COMPUTED_VALUE"""),67.0)</f>
        <v>67</v>
      </c>
      <c r="G2248" s="5">
        <f>IFERROR(__xludf.DUMMYFUNCTION("""COMPUTED_VALUE"""),3.590067E7)</f>
        <v>35900670</v>
      </c>
    </row>
    <row r="2249">
      <c r="A2249" s="3">
        <f>IFERROR(__xludf.DUMMYFUNCTION("""COMPUTED_VALUE"""),890.0)</f>
        <v>890</v>
      </c>
      <c r="B2249" s="2" t="str">
        <f>IFERROR(__xludf.DUMMYFUNCTION("""COMPUTED_VALUE"""),"SUNAMGANJ")</f>
        <v>SUNAMGANJ</v>
      </c>
      <c r="C2249" s="4">
        <f>IFERROR(__xludf.DUMMYFUNCTION("""COMPUTED_VALUE"""),35.0)</f>
        <v>35</v>
      </c>
      <c r="D2249" s="2" t="str">
        <f>IFERROR(__xludf.DUMMYFUNCTION("""COMPUTED_VALUE"""),"BANGLADESH KRISHI BANK")</f>
        <v>BANGLADESH KRISHI BANK</v>
      </c>
      <c r="E2249" s="2" t="str">
        <f>IFERROR(__xludf.DUMMYFUNCTION("""COMPUTED_VALUE"""),"MINA BAZAR")</f>
        <v>MINA BAZAR</v>
      </c>
      <c r="F2249" s="4">
        <f>IFERROR(__xludf.DUMMYFUNCTION("""COMPUTED_VALUE"""),70.0)</f>
        <v>70</v>
      </c>
      <c r="G2249" s="5">
        <f>IFERROR(__xludf.DUMMYFUNCTION("""COMPUTED_VALUE"""),3.5900704E7)</f>
        <v>35900704</v>
      </c>
    </row>
    <row r="2250">
      <c r="A2250" s="3">
        <f>IFERROR(__xludf.DUMMYFUNCTION("""COMPUTED_VALUE"""),890.0)</f>
        <v>890</v>
      </c>
      <c r="B2250" s="2" t="str">
        <f>IFERROR(__xludf.DUMMYFUNCTION("""COMPUTED_VALUE"""),"SUNAMGANJ")</f>
        <v>SUNAMGANJ</v>
      </c>
      <c r="C2250" s="4">
        <f>IFERROR(__xludf.DUMMYFUNCTION("""COMPUTED_VALUE"""),35.0)</f>
        <v>35</v>
      </c>
      <c r="D2250" s="2" t="str">
        <f>IFERROR(__xludf.DUMMYFUNCTION("""COMPUTED_VALUE"""),"BANGLADESH KRISHI BANK")</f>
        <v>BANGLADESH KRISHI BANK</v>
      </c>
      <c r="E2250" s="2" t="str">
        <f>IFERROR(__xludf.DUMMYFUNCTION("""COMPUTED_VALUE"""),"MONGALKATA BAZAR")</f>
        <v>MONGALKATA BAZAR</v>
      </c>
      <c r="F2250" s="4">
        <f>IFERROR(__xludf.DUMMYFUNCTION("""COMPUTED_VALUE"""),71.0)</f>
        <v>71</v>
      </c>
      <c r="G2250" s="5">
        <f>IFERROR(__xludf.DUMMYFUNCTION("""COMPUTED_VALUE"""),3.5900717E7)</f>
        <v>35900717</v>
      </c>
    </row>
    <row r="2251">
      <c r="A2251" s="3">
        <f>IFERROR(__xludf.DUMMYFUNCTION("""COMPUTED_VALUE"""),890.0)</f>
        <v>890</v>
      </c>
      <c r="B2251" s="2" t="str">
        <f>IFERROR(__xludf.DUMMYFUNCTION("""COMPUTED_VALUE"""),"SUNAMGANJ")</f>
        <v>SUNAMGANJ</v>
      </c>
      <c r="C2251" s="4">
        <f>IFERROR(__xludf.DUMMYFUNCTION("""COMPUTED_VALUE"""),35.0)</f>
        <v>35</v>
      </c>
      <c r="D2251" s="2" t="str">
        <f>IFERROR(__xludf.DUMMYFUNCTION("""COMPUTED_VALUE"""),"BANGLADESH KRISHI BANK")</f>
        <v>BANGLADESH KRISHI BANK</v>
      </c>
      <c r="E2251" s="2" t="str">
        <f>IFERROR(__xludf.DUMMYFUNCTION("""COMPUTED_VALUE"""),"MOINPUR BAZAR")</f>
        <v>MOINPUR BAZAR</v>
      </c>
      <c r="F2251" s="4">
        <f>IFERROR(__xludf.DUMMYFUNCTION("""COMPUTED_VALUE"""),76.0)</f>
        <v>76</v>
      </c>
      <c r="G2251" s="5">
        <f>IFERROR(__xludf.DUMMYFUNCTION("""COMPUTED_VALUE"""),3.5900762E7)</f>
        <v>35900762</v>
      </c>
    </row>
    <row r="2252">
      <c r="A2252" s="3">
        <f>IFERROR(__xludf.DUMMYFUNCTION("""COMPUTED_VALUE"""),890.0)</f>
        <v>890</v>
      </c>
      <c r="B2252" s="2" t="str">
        <f>IFERROR(__xludf.DUMMYFUNCTION("""COMPUTED_VALUE"""),"SUNAMGANJ")</f>
        <v>SUNAMGANJ</v>
      </c>
      <c r="C2252" s="4">
        <f>IFERROR(__xludf.DUMMYFUNCTION("""COMPUTED_VALUE"""),35.0)</f>
        <v>35</v>
      </c>
      <c r="D2252" s="2" t="str">
        <f>IFERROR(__xludf.DUMMYFUNCTION("""COMPUTED_VALUE"""),"BANGLADESH KRISHI BANK")</f>
        <v>BANGLADESH KRISHI BANK</v>
      </c>
      <c r="E2252" s="2" t="str">
        <f>IFERROR(__xludf.DUMMYFUNCTION("""COMPUTED_VALUE"""),"PATHARIA BAZAR")</f>
        <v>PATHARIA BAZAR</v>
      </c>
      <c r="F2252" s="4">
        <f>IFERROR(__xludf.DUMMYFUNCTION("""COMPUTED_VALUE"""),88.0)</f>
        <v>88</v>
      </c>
      <c r="G2252" s="5">
        <f>IFERROR(__xludf.DUMMYFUNCTION("""COMPUTED_VALUE"""),3.5900883E7)</f>
        <v>35900883</v>
      </c>
    </row>
    <row r="2253">
      <c r="A2253" s="3">
        <f>IFERROR(__xludf.DUMMYFUNCTION("""COMPUTED_VALUE"""),890.0)</f>
        <v>890</v>
      </c>
      <c r="B2253" s="2" t="str">
        <f>IFERROR(__xludf.DUMMYFUNCTION("""COMPUTED_VALUE"""),"SUNAMGANJ")</f>
        <v>SUNAMGANJ</v>
      </c>
      <c r="C2253" s="4">
        <f>IFERROR(__xludf.DUMMYFUNCTION("""COMPUTED_VALUE"""),35.0)</f>
        <v>35</v>
      </c>
      <c r="D2253" s="2" t="str">
        <f>IFERROR(__xludf.DUMMYFUNCTION("""COMPUTED_VALUE"""),"BANGLADESH KRISHI BANK")</f>
        <v>BANGLADESH KRISHI BANK</v>
      </c>
      <c r="E2253" s="2" t="str">
        <f>IFERROR(__xludf.DUMMYFUNCTION("""COMPUTED_VALUE"""),"RAJANIGANJ BAZAR")</f>
        <v>RAJANIGANJ BAZAR</v>
      </c>
      <c r="F2253" s="4">
        <f>IFERROR(__xludf.DUMMYFUNCTION("""COMPUTED_VALUE"""),91.0)</f>
        <v>91</v>
      </c>
      <c r="G2253" s="5">
        <f>IFERROR(__xludf.DUMMYFUNCTION("""COMPUTED_VALUE"""),3.5900917E7)</f>
        <v>35900917</v>
      </c>
    </row>
    <row r="2254">
      <c r="A2254" s="3">
        <f>IFERROR(__xludf.DUMMYFUNCTION("""COMPUTED_VALUE"""),890.0)</f>
        <v>890</v>
      </c>
      <c r="B2254" s="2" t="str">
        <f>IFERROR(__xludf.DUMMYFUNCTION("""COMPUTED_VALUE"""),"SUNAMGANJ")</f>
        <v>SUNAMGANJ</v>
      </c>
      <c r="C2254" s="4">
        <f>IFERROR(__xludf.DUMMYFUNCTION("""COMPUTED_VALUE"""),35.0)</f>
        <v>35</v>
      </c>
      <c r="D2254" s="2" t="str">
        <f>IFERROR(__xludf.DUMMYFUNCTION("""COMPUTED_VALUE"""),"BANGLADESH KRISHI BANK")</f>
        <v>BANGLADESH KRISHI BANK</v>
      </c>
      <c r="E2254" s="2" t="str">
        <f>IFERROR(__xludf.DUMMYFUNCTION("""COMPUTED_VALUE"""),"RANIGANJ BAZAR")</f>
        <v>RANIGANJ BAZAR</v>
      </c>
      <c r="F2254" s="4">
        <f>IFERROR(__xludf.DUMMYFUNCTION("""COMPUTED_VALUE"""),94.0)</f>
        <v>94</v>
      </c>
      <c r="G2254" s="5">
        <f>IFERROR(__xludf.DUMMYFUNCTION("""COMPUTED_VALUE"""),3.5900946E7)</f>
        <v>35900946</v>
      </c>
    </row>
    <row r="2255">
      <c r="A2255" s="3">
        <f>IFERROR(__xludf.DUMMYFUNCTION("""COMPUTED_VALUE"""),890.0)</f>
        <v>890</v>
      </c>
      <c r="B2255" s="2" t="str">
        <f>IFERROR(__xludf.DUMMYFUNCTION("""COMPUTED_VALUE"""),"SUNAMGANJ")</f>
        <v>SUNAMGANJ</v>
      </c>
      <c r="C2255" s="4">
        <f>IFERROR(__xludf.DUMMYFUNCTION("""COMPUTED_VALUE"""),35.0)</f>
        <v>35</v>
      </c>
      <c r="D2255" s="2" t="str">
        <f>IFERROR(__xludf.DUMMYFUNCTION("""COMPUTED_VALUE"""),"BANGLADESH KRISHI BANK")</f>
        <v>BANGLADESH KRISHI BANK</v>
      </c>
      <c r="E2255" s="2" t="str">
        <f>IFERROR(__xludf.DUMMYFUNCTION("""COMPUTED_VALUE"""),"SACHNA BAZAR")</f>
        <v>SACHNA BAZAR</v>
      </c>
      <c r="F2255" s="4">
        <f>IFERROR(__xludf.DUMMYFUNCTION("""COMPUTED_VALUE"""),100.0)</f>
        <v>100</v>
      </c>
      <c r="G2255" s="5">
        <f>IFERROR(__xludf.DUMMYFUNCTION("""COMPUTED_VALUE"""),3.5901008E7)</f>
        <v>35901008</v>
      </c>
    </row>
    <row r="2256">
      <c r="A2256" s="3">
        <f>IFERROR(__xludf.DUMMYFUNCTION("""COMPUTED_VALUE"""),890.0)</f>
        <v>890</v>
      </c>
      <c r="B2256" s="2" t="str">
        <f>IFERROR(__xludf.DUMMYFUNCTION("""COMPUTED_VALUE"""),"SUNAMGANJ")</f>
        <v>SUNAMGANJ</v>
      </c>
      <c r="C2256" s="4">
        <f>IFERROR(__xludf.DUMMYFUNCTION("""COMPUTED_VALUE"""),35.0)</f>
        <v>35</v>
      </c>
      <c r="D2256" s="2" t="str">
        <f>IFERROR(__xludf.DUMMYFUNCTION("""COMPUTED_VALUE"""),"BANGLADESH KRISHI BANK")</f>
        <v>BANGLADESH KRISHI BANK</v>
      </c>
      <c r="E2256" s="2" t="str">
        <f>IFERROR(__xludf.DUMMYFUNCTION("""COMPUTED_VALUE"""),"SALLA")</f>
        <v>SALLA</v>
      </c>
      <c r="F2256" s="4">
        <f>IFERROR(__xludf.DUMMYFUNCTION("""COMPUTED_VALUE"""),103.0)</f>
        <v>103</v>
      </c>
      <c r="G2256" s="5">
        <f>IFERROR(__xludf.DUMMYFUNCTION("""COMPUTED_VALUE"""),3.5901037E7)</f>
        <v>35901037</v>
      </c>
    </row>
    <row r="2257">
      <c r="A2257" s="3">
        <f>IFERROR(__xludf.DUMMYFUNCTION("""COMPUTED_VALUE"""),890.0)</f>
        <v>890</v>
      </c>
      <c r="B2257" s="2" t="str">
        <f>IFERROR(__xludf.DUMMYFUNCTION("""COMPUTED_VALUE"""),"SUNAMGANJ")</f>
        <v>SUNAMGANJ</v>
      </c>
      <c r="C2257" s="4">
        <f>IFERROR(__xludf.DUMMYFUNCTION("""COMPUTED_VALUE"""),35.0)</f>
        <v>35</v>
      </c>
      <c r="D2257" s="2" t="str">
        <f>IFERROR(__xludf.DUMMYFUNCTION("""COMPUTED_VALUE"""),"BANGLADESH KRISHI BANK")</f>
        <v>BANGLADESH KRISHI BANK</v>
      </c>
      <c r="E2257" s="2" t="str">
        <f>IFERROR(__xludf.DUMMYFUNCTION("""COMPUTED_VALUE"""),"SHYAMAR CHAR")</f>
        <v>SHYAMAR CHAR</v>
      </c>
      <c r="F2257" s="4">
        <f>IFERROR(__xludf.DUMMYFUNCTION("""COMPUTED_VALUE"""),106.0)</f>
        <v>106</v>
      </c>
      <c r="G2257" s="5">
        <f>IFERROR(__xludf.DUMMYFUNCTION("""COMPUTED_VALUE"""),3.5901066E7)</f>
        <v>35901066</v>
      </c>
    </row>
    <row r="2258">
      <c r="A2258" s="3">
        <f>IFERROR(__xludf.DUMMYFUNCTION("""COMPUTED_VALUE"""),890.0)</f>
        <v>890</v>
      </c>
      <c r="B2258" s="2" t="str">
        <f>IFERROR(__xludf.DUMMYFUNCTION("""COMPUTED_VALUE"""),"SUNAMGANJ")</f>
        <v>SUNAMGANJ</v>
      </c>
      <c r="C2258" s="4">
        <f>IFERROR(__xludf.DUMMYFUNCTION("""COMPUTED_VALUE"""),35.0)</f>
        <v>35</v>
      </c>
      <c r="D2258" s="2" t="str">
        <f>IFERROR(__xludf.DUMMYFUNCTION("""COMPUTED_VALUE"""),"BANGLADESH KRISHI BANK")</f>
        <v>BANGLADESH KRISHI BANK</v>
      </c>
      <c r="E2258" s="2" t="str">
        <f>IFERROR(__xludf.DUMMYFUNCTION("""COMPUTED_VALUE"""),"SUNAMGANJ")</f>
        <v>SUNAMGANJ</v>
      </c>
      <c r="F2258" s="4">
        <f>IFERROR(__xludf.DUMMYFUNCTION("""COMPUTED_VALUE"""),112.0)</f>
        <v>112</v>
      </c>
      <c r="G2258" s="5">
        <f>IFERROR(__xludf.DUMMYFUNCTION("""COMPUTED_VALUE"""),3.5901129E7)</f>
        <v>35901129</v>
      </c>
    </row>
    <row r="2259">
      <c r="A2259" s="3">
        <f>IFERROR(__xludf.DUMMYFUNCTION("""COMPUTED_VALUE"""),890.0)</f>
        <v>890</v>
      </c>
      <c r="B2259" s="2" t="str">
        <f>IFERROR(__xludf.DUMMYFUNCTION("""COMPUTED_VALUE"""),"SUNAMGANJ")</f>
        <v>SUNAMGANJ</v>
      </c>
      <c r="C2259" s="4">
        <f>IFERROR(__xludf.DUMMYFUNCTION("""COMPUTED_VALUE"""),35.0)</f>
        <v>35</v>
      </c>
      <c r="D2259" s="2" t="str">
        <f>IFERROR(__xludf.DUMMYFUNCTION("""COMPUTED_VALUE"""),"BANGLADESH KRISHI BANK")</f>
        <v>BANGLADESH KRISHI BANK</v>
      </c>
      <c r="E2259" s="2" t="str">
        <f>IFERROR(__xludf.DUMMYFUNCTION("""COMPUTED_VALUE"""),"TAHIRPUR")</f>
        <v>TAHIRPUR</v>
      </c>
      <c r="F2259" s="4">
        <f>IFERROR(__xludf.DUMMYFUNCTION("""COMPUTED_VALUE"""),121.0)</f>
        <v>121</v>
      </c>
      <c r="G2259" s="5">
        <f>IFERROR(__xludf.DUMMYFUNCTION("""COMPUTED_VALUE"""),3.5901211E7)</f>
        <v>35901211</v>
      </c>
    </row>
    <row r="2260">
      <c r="A2260" s="3">
        <f>IFERROR(__xludf.DUMMYFUNCTION("""COMPUTED_VALUE"""),891.0)</f>
        <v>891</v>
      </c>
      <c r="B2260" s="2" t="str">
        <f>IFERROR(__xludf.DUMMYFUNCTION("""COMPUTED_VALUE"""),"SYLHET")</f>
        <v>SYLHET</v>
      </c>
      <c r="C2260" s="4">
        <f>IFERROR(__xludf.DUMMYFUNCTION("""COMPUTED_VALUE"""),35.0)</f>
        <v>35</v>
      </c>
      <c r="D2260" s="2" t="str">
        <f>IFERROR(__xludf.DUMMYFUNCTION("""COMPUTED_VALUE"""),"BANGLADESH KRISHI BANK")</f>
        <v>BANGLADESH KRISHI BANK</v>
      </c>
      <c r="E2260" s="2" t="str">
        <f>IFERROR(__xludf.DUMMYFUNCTION("""COMPUTED_VALUE"""),"AMBARKHANA")</f>
        <v>AMBARKHANA</v>
      </c>
      <c r="F2260" s="4">
        <f>IFERROR(__xludf.DUMMYFUNCTION("""COMPUTED_VALUE"""),4.0)</f>
        <v>4</v>
      </c>
      <c r="G2260" s="5">
        <f>IFERROR(__xludf.DUMMYFUNCTION("""COMPUTED_VALUE"""),3.5910044E7)</f>
        <v>35910044</v>
      </c>
    </row>
    <row r="2261">
      <c r="A2261" s="3">
        <f>IFERROR(__xludf.DUMMYFUNCTION("""COMPUTED_VALUE"""),891.0)</f>
        <v>891</v>
      </c>
      <c r="B2261" s="2" t="str">
        <f>IFERROR(__xludf.DUMMYFUNCTION("""COMPUTED_VALUE"""),"SYLHET")</f>
        <v>SYLHET</v>
      </c>
      <c r="C2261" s="4">
        <f>IFERROR(__xludf.DUMMYFUNCTION("""COMPUTED_VALUE"""),35.0)</f>
        <v>35</v>
      </c>
      <c r="D2261" s="2" t="str">
        <f>IFERROR(__xludf.DUMMYFUNCTION("""COMPUTED_VALUE"""),"BANGLADESH KRISHI BANK")</f>
        <v>BANGLADESH KRISHI BANK</v>
      </c>
      <c r="E2261" s="2" t="str">
        <f>IFERROR(__xludf.DUMMYFUNCTION("""COMPUTED_VALUE"""),"BALAGANJ")</f>
        <v>BALAGANJ</v>
      </c>
      <c r="F2261" s="4">
        <f>IFERROR(__xludf.DUMMYFUNCTION("""COMPUTED_VALUE"""),16.0)</f>
        <v>16</v>
      </c>
      <c r="G2261" s="5">
        <f>IFERROR(__xludf.DUMMYFUNCTION("""COMPUTED_VALUE"""),3.5910165E7)</f>
        <v>35910165</v>
      </c>
    </row>
    <row r="2262">
      <c r="A2262" s="3">
        <f>IFERROR(__xludf.DUMMYFUNCTION("""COMPUTED_VALUE"""),891.0)</f>
        <v>891</v>
      </c>
      <c r="B2262" s="2" t="str">
        <f>IFERROR(__xludf.DUMMYFUNCTION("""COMPUTED_VALUE"""),"SYLHET")</f>
        <v>SYLHET</v>
      </c>
      <c r="C2262" s="4">
        <f>IFERROR(__xludf.DUMMYFUNCTION("""COMPUTED_VALUE"""),35.0)</f>
        <v>35</v>
      </c>
      <c r="D2262" s="2" t="str">
        <f>IFERROR(__xludf.DUMMYFUNCTION("""COMPUTED_VALUE"""),"BANGLADESH KRISHI BANK")</f>
        <v>BANGLADESH KRISHI BANK</v>
      </c>
      <c r="E2262" s="2" t="str">
        <f>IFERROR(__xludf.DUMMYFUNCTION("""COMPUTED_VALUE"""),"BANDAR BAZAR")</f>
        <v>BANDAR BAZAR</v>
      </c>
      <c r="F2262" s="4">
        <f>IFERROR(__xludf.DUMMYFUNCTION("""COMPUTED_VALUE"""),19.0)</f>
        <v>19</v>
      </c>
      <c r="G2262" s="5">
        <f>IFERROR(__xludf.DUMMYFUNCTION("""COMPUTED_VALUE"""),3.5910194E7)</f>
        <v>35910194</v>
      </c>
    </row>
    <row r="2263">
      <c r="A2263" s="3">
        <f>IFERROR(__xludf.DUMMYFUNCTION("""COMPUTED_VALUE"""),891.0)</f>
        <v>891</v>
      </c>
      <c r="B2263" s="2" t="str">
        <f>IFERROR(__xludf.DUMMYFUNCTION("""COMPUTED_VALUE"""),"SYLHET")</f>
        <v>SYLHET</v>
      </c>
      <c r="C2263" s="4">
        <f>IFERROR(__xludf.DUMMYFUNCTION("""COMPUTED_VALUE"""),35.0)</f>
        <v>35</v>
      </c>
      <c r="D2263" s="2" t="str">
        <f>IFERROR(__xludf.DUMMYFUNCTION("""COMPUTED_VALUE"""),"BANGLADESH KRISHI BANK")</f>
        <v>BANGLADESH KRISHI BANK</v>
      </c>
      <c r="E2263" s="2" t="str">
        <f>IFERROR(__xludf.DUMMYFUNCTION("""COMPUTED_VALUE"""),"BEANI BAZAR")</f>
        <v>BEANI BAZAR</v>
      </c>
      <c r="F2263" s="4">
        <f>IFERROR(__xludf.DUMMYFUNCTION("""COMPUTED_VALUE"""),31.0)</f>
        <v>31</v>
      </c>
      <c r="G2263" s="5">
        <f>IFERROR(__xludf.DUMMYFUNCTION("""COMPUTED_VALUE"""),3.591031E7)</f>
        <v>35910310</v>
      </c>
    </row>
    <row r="2264">
      <c r="A2264" s="3">
        <f>IFERROR(__xludf.DUMMYFUNCTION("""COMPUTED_VALUE"""),891.0)</f>
        <v>891</v>
      </c>
      <c r="B2264" s="2" t="str">
        <f>IFERROR(__xludf.DUMMYFUNCTION("""COMPUTED_VALUE"""),"SYLHET")</f>
        <v>SYLHET</v>
      </c>
      <c r="C2264" s="4">
        <f>IFERROR(__xludf.DUMMYFUNCTION("""COMPUTED_VALUE"""),35.0)</f>
        <v>35</v>
      </c>
      <c r="D2264" s="2" t="str">
        <f>IFERROR(__xludf.DUMMYFUNCTION("""COMPUTED_VALUE"""),"BANGLADESH KRISHI BANK")</f>
        <v>BANGLADESH KRISHI BANK</v>
      </c>
      <c r="E2264" s="2" t="str">
        <f>IFERROR(__xludf.DUMMYFUNCTION("""COMPUTED_VALUE"""),"BHABANIGANJ BAZAR")</f>
        <v>BHABANIGANJ BAZAR</v>
      </c>
      <c r="F2264" s="4">
        <f>IFERROR(__xludf.DUMMYFUNCTION("""COMPUTED_VALUE"""),34.0)</f>
        <v>34</v>
      </c>
      <c r="G2264" s="5">
        <f>IFERROR(__xludf.DUMMYFUNCTION("""COMPUTED_VALUE"""),3.5910349E7)</f>
        <v>35910349</v>
      </c>
    </row>
    <row r="2265">
      <c r="A2265" s="3">
        <f>IFERROR(__xludf.DUMMYFUNCTION("""COMPUTED_VALUE"""),891.0)</f>
        <v>891</v>
      </c>
      <c r="B2265" s="2" t="str">
        <f>IFERROR(__xludf.DUMMYFUNCTION("""COMPUTED_VALUE"""),"SYLHET")</f>
        <v>SYLHET</v>
      </c>
      <c r="C2265" s="4">
        <f>IFERROR(__xludf.DUMMYFUNCTION("""COMPUTED_VALUE"""),35.0)</f>
        <v>35</v>
      </c>
      <c r="D2265" s="2" t="str">
        <f>IFERROR(__xludf.DUMMYFUNCTION("""COMPUTED_VALUE"""),"BANGLADESH KRISHI BANK")</f>
        <v>BANGLADESH KRISHI BANK</v>
      </c>
      <c r="E2265" s="2" t="str">
        <f>IFERROR(__xludf.DUMMYFUNCTION("""COMPUTED_VALUE"""),"BISHWANATH")</f>
        <v>BISHWANATH</v>
      </c>
      <c r="F2265" s="4">
        <f>IFERROR(__xludf.DUMMYFUNCTION("""COMPUTED_VALUE"""),43.0)</f>
        <v>43</v>
      </c>
      <c r="G2265" s="5">
        <f>IFERROR(__xludf.DUMMYFUNCTION("""COMPUTED_VALUE"""),3.5910431E7)</f>
        <v>35910431</v>
      </c>
    </row>
    <row r="2266">
      <c r="A2266" s="3">
        <f>IFERROR(__xludf.DUMMYFUNCTION("""COMPUTED_VALUE"""),891.0)</f>
        <v>891</v>
      </c>
      <c r="B2266" s="2" t="str">
        <f>IFERROR(__xludf.DUMMYFUNCTION("""COMPUTED_VALUE"""),"SYLHET")</f>
        <v>SYLHET</v>
      </c>
      <c r="C2266" s="4">
        <f>IFERROR(__xludf.DUMMYFUNCTION("""COMPUTED_VALUE"""),35.0)</f>
        <v>35</v>
      </c>
      <c r="D2266" s="2" t="str">
        <f>IFERROR(__xludf.DUMMYFUNCTION("""COMPUTED_VALUE"""),"BANGLADESH KRISHI BANK")</f>
        <v>BANGLADESH KRISHI BANK</v>
      </c>
      <c r="E2266" s="2" t="str">
        <f>IFERROR(__xludf.DUMMYFUNCTION("""COMPUTED_VALUE"""),"CHARKHAI")</f>
        <v>CHARKHAI</v>
      </c>
      <c r="F2266" s="4">
        <f>IFERROR(__xludf.DUMMYFUNCTION("""COMPUTED_VALUE"""),70.0)</f>
        <v>70</v>
      </c>
      <c r="G2266" s="5">
        <f>IFERROR(__xludf.DUMMYFUNCTION("""COMPUTED_VALUE"""),3.5910707E7)</f>
        <v>35910707</v>
      </c>
    </row>
    <row r="2267">
      <c r="A2267" s="3">
        <f>IFERROR(__xludf.DUMMYFUNCTION("""COMPUTED_VALUE"""),891.0)</f>
        <v>891</v>
      </c>
      <c r="B2267" s="2" t="str">
        <f>IFERROR(__xludf.DUMMYFUNCTION("""COMPUTED_VALUE"""),"SYLHET")</f>
        <v>SYLHET</v>
      </c>
      <c r="C2267" s="4">
        <f>IFERROR(__xludf.DUMMYFUNCTION("""COMPUTED_VALUE"""),35.0)</f>
        <v>35</v>
      </c>
      <c r="D2267" s="2" t="str">
        <f>IFERROR(__xludf.DUMMYFUNCTION("""COMPUTED_VALUE"""),"BANGLADESH KRISHI BANK")</f>
        <v>BANGLADESH KRISHI BANK</v>
      </c>
      <c r="E2267" s="2" t="str">
        <f>IFERROR(__xludf.DUMMYFUNCTION("""COMPUTED_VALUE"""),"CHOTULBAZAR")</f>
        <v>CHOTULBAZAR</v>
      </c>
      <c r="F2267" s="4">
        <f>IFERROR(__xludf.DUMMYFUNCTION("""COMPUTED_VALUE"""),76.0)</f>
        <v>76</v>
      </c>
      <c r="G2267" s="5">
        <f>IFERROR(__xludf.DUMMYFUNCTION("""COMPUTED_VALUE"""),3.5910765E7)</f>
        <v>35910765</v>
      </c>
    </row>
    <row r="2268">
      <c r="A2268" s="3">
        <f>IFERROR(__xludf.DUMMYFUNCTION("""COMPUTED_VALUE"""),891.0)</f>
        <v>891</v>
      </c>
      <c r="B2268" s="2" t="str">
        <f>IFERROR(__xludf.DUMMYFUNCTION("""COMPUTED_VALUE"""),"SYLHET")</f>
        <v>SYLHET</v>
      </c>
      <c r="C2268" s="4">
        <f>IFERROR(__xludf.DUMMYFUNCTION("""COMPUTED_VALUE"""),35.0)</f>
        <v>35</v>
      </c>
      <c r="D2268" s="2" t="str">
        <f>IFERROR(__xludf.DUMMYFUNCTION("""COMPUTED_VALUE"""),"BANGLADESH KRISHI BANK")</f>
        <v>BANGLADESH KRISHI BANK</v>
      </c>
      <c r="E2268" s="2" t="str">
        <f>IFERROR(__xludf.DUMMYFUNCTION("""COMPUTED_VALUE"""),"COMPANIGANJ")</f>
        <v>COMPANIGANJ</v>
      </c>
      <c r="F2268" s="4">
        <f>IFERROR(__xludf.DUMMYFUNCTION("""COMPUTED_VALUE"""),91.0)</f>
        <v>91</v>
      </c>
      <c r="G2268" s="5">
        <f>IFERROR(__xludf.DUMMYFUNCTION("""COMPUTED_VALUE"""),3.591091E7)</f>
        <v>35910910</v>
      </c>
    </row>
    <row r="2269">
      <c r="A2269" s="3">
        <f>IFERROR(__xludf.DUMMYFUNCTION("""COMPUTED_VALUE"""),891.0)</f>
        <v>891</v>
      </c>
      <c r="B2269" s="2" t="str">
        <f>IFERROR(__xludf.DUMMYFUNCTION("""COMPUTED_VALUE"""),"SYLHET")</f>
        <v>SYLHET</v>
      </c>
      <c r="C2269" s="4">
        <f>IFERROR(__xludf.DUMMYFUNCTION("""COMPUTED_VALUE"""),35.0)</f>
        <v>35</v>
      </c>
      <c r="D2269" s="2" t="str">
        <f>IFERROR(__xludf.DUMMYFUNCTION("""COMPUTED_VALUE"""),"BANGLADESH KRISHI BANK")</f>
        <v>BANGLADESH KRISHI BANK</v>
      </c>
      <c r="E2269" s="2" t="str">
        <f>IFERROR(__xludf.DUMMYFUNCTION("""COMPUTED_VALUE"""),"DARPANAGAR")</f>
        <v>DARPANAGAR</v>
      </c>
      <c r="F2269" s="4">
        <f>IFERROR(__xludf.DUMMYFUNCTION("""COMPUTED_VALUE"""),112.0)</f>
        <v>112</v>
      </c>
      <c r="G2269" s="5">
        <f>IFERROR(__xludf.DUMMYFUNCTION("""COMPUTED_VALUE"""),3.5911122E7)</f>
        <v>35911122</v>
      </c>
    </row>
    <row r="2270">
      <c r="A2270" s="3">
        <f>IFERROR(__xludf.DUMMYFUNCTION("""COMPUTED_VALUE"""),891.0)</f>
        <v>891</v>
      </c>
      <c r="B2270" s="2" t="str">
        <f>IFERROR(__xludf.DUMMYFUNCTION("""COMPUTED_VALUE"""),"SYLHET")</f>
        <v>SYLHET</v>
      </c>
      <c r="C2270" s="4">
        <f>IFERROR(__xludf.DUMMYFUNCTION("""COMPUTED_VALUE"""),35.0)</f>
        <v>35</v>
      </c>
      <c r="D2270" s="2" t="str">
        <f>IFERROR(__xludf.DUMMYFUNCTION("""COMPUTED_VALUE"""),"BANGLADESH KRISHI BANK")</f>
        <v>BANGLADESH KRISHI BANK</v>
      </c>
      <c r="E2270" s="2" t="str">
        <f>IFERROR(__xludf.DUMMYFUNCTION("""COMPUTED_VALUE"""),"DEWAN BAZAR")</f>
        <v>DEWAN BAZAR</v>
      </c>
      <c r="F2270" s="4">
        <f>IFERROR(__xludf.DUMMYFUNCTION("""COMPUTED_VALUE"""),127.0)</f>
        <v>127</v>
      </c>
      <c r="G2270" s="5">
        <f>IFERROR(__xludf.DUMMYFUNCTION("""COMPUTED_VALUE"""),3.5911272E7)</f>
        <v>35911272</v>
      </c>
    </row>
    <row r="2271">
      <c r="A2271" s="3">
        <f>IFERROR(__xludf.DUMMYFUNCTION("""COMPUTED_VALUE"""),891.0)</f>
        <v>891</v>
      </c>
      <c r="B2271" s="2" t="str">
        <f>IFERROR(__xludf.DUMMYFUNCTION("""COMPUTED_VALUE"""),"SYLHET")</f>
        <v>SYLHET</v>
      </c>
      <c r="C2271" s="4">
        <f>IFERROR(__xludf.DUMMYFUNCTION("""COMPUTED_VALUE"""),35.0)</f>
        <v>35</v>
      </c>
      <c r="D2271" s="2" t="str">
        <f>IFERROR(__xludf.DUMMYFUNCTION("""COMPUTED_VALUE"""),"BANGLADESH KRISHI BANK")</f>
        <v>BANGLADESH KRISHI BANK</v>
      </c>
      <c r="E2271" s="2" t="str">
        <f>IFERROR(__xludf.DUMMYFUNCTION("""COMPUTED_VALUE"""),"DOYAR BAZAR")</f>
        <v>DOYAR BAZAR</v>
      </c>
      <c r="F2271" s="4">
        <f>IFERROR(__xludf.DUMMYFUNCTION("""COMPUTED_VALUE"""),131.0)</f>
        <v>131</v>
      </c>
      <c r="G2271" s="5">
        <f>IFERROR(__xludf.DUMMYFUNCTION("""COMPUTED_VALUE"""),3.5911319E7)</f>
        <v>35911319</v>
      </c>
    </row>
    <row r="2272">
      <c r="A2272" s="3">
        <f>IFERROR(__xludf.DUMMYFUNCTION("""COMPUTED_VALUE"""),891.0)</f>
        <v>891</v>
      </c>
      <c r="B2272" s="2" t="str">
        <f>IFERROR(__xludf.DUMMYFUNCTION("""COMPUTED_VALUE"""),"SYLHET")</f>
        <v>SYLHET</v>
      </c>
      <c r="C2272" s="4">
        <f>IFERROR(__xludf.DUMMYFUNCTION("""COMPUTED_VALUE"""),35.0)</f>
        <v>35</v>
      </c>
      <c r="D2272" s="2" t="str">
        <f>IFERROR(__xludf.DUMMYFUNCTION("""COMPUTED_VALUE"""),"BANGLADESH KRISHI BANK")</f>
        <v>BANGLADESH KRISHI BANK</v>
      </c>
      <c r="E2272" s="2" t="str">
        <f>IFERROR(__xludf.DUMMYFUNCTION("""COMPUTED_VALUE"""),"DUBAG BAZAR")</f>
        <v>DUBAG BAZAR</v>
      </c>
      <c r="F2272" s="4">
        <f>IFERROR(__xludf.DUMMYFUNCTION("""COMPUTED_VALUE"""),133.0)</f>
        <v>133</v>
      </c>
      <c r="G2272" s="5">
        <f>IFERROR(__xludf.DUMMYFUNCTION("""COMPUTED_VALUE"""),3.5911335E7)</f>
        <v>35911335</v>
      </c>
    </row>
    <row r="2273">
      <c r="A2273" s="3">
        <f>IFERROR(__xludf.DUMMYFUNCTION("""COMPUTED_VALUE"""),891.0)</f>
        <v>891</v>
      </c>
      <c r="B2273" s="2" t="str">
        <f>IFERROR(__xludf.DUMMYFUNCTION("""COMPUTED_VALUE"""),"SYLHET")</f>
        <v>SYLHET</v>
      </c>
      <c r="C2273" s="4">
        <f>IFERROR(__xludf.DUMMYFUNCTION("""COMPUTED_VALUE"""),35.0)</f>
        <v>35</v>
      </c>
      <c r="D2273" s="2" t="str">
        <f>IFERROR(__xludf.DUMMYFUNCTION("""COMPUTED_VALUE"""),"BANGLADESH KRISHI BANK")</f>
        <v>BANGLADESH KRISHI BANK</v>
      </c>
      <c r="E2273" s="2" t="str">
        <f>IFERROR(__xludf.DUMMYFUNCTION("""COMPUTED_VALUE"""),"FENCHUGANJ")</f>
        <v>FENCHUGANJ</v>
      </c>
      <c r="F2273" s="4">
        <f>IFERROR(__xludf.DUMMYFUNCTION("""COMPUTED_VALUE"""),136.0)</f>
        <v>136</v>
      </c>
      <c r="G2273" s="5">
        <f>IFERROR(__xludf.DUMMYFUNCTION("""COMPUTED_VALUE"""),3.5911364E7)</f>
        <v>35911364</v>
      </c>
    </row>
    <row r="2274">
      <c r="A2274" s="3">
        <f>IFERROR(__xludf.DUMMYFUNCTION("""COMPUTED_VALUE"""),891.0)</f>
        <v>891</v>
      </c>
      <c r="B2274" s="2" t="str">
        <f>IFERROR(__xludf.DUMMYFUNCTION("""COMPUTED_VALUE"""),"SYLHET")</f>
        <v>SYLHET</v>
      </c>
      <c r="C2274" s="4">
        <f>IFERROR(__xludf.DUMMYFUNCTION("""COMPUTED_VALUE"""),35.0)</f>
        <v>35</v>
      </c>
      <c r="D2274" s="2" t="str">
        <f>IFERROR(__xludf.DUMMYFUNCTION("""COMPUTED_VALUE"""),"BANGLADESH KRISHI BANK")</f>
        <v>BANGLADESH KRISHI BANK</v>
      </c>
      <c r="E2274" s="2" t="str">
        <f>IFERROR(__xludf.DUMMYFUNCTION("""COMPUTED_VALUE"""),"GOLAPGANJ")</f>
        <v>GOLAPGANJ</v>
      </c>
      <c r="F2274" s="4">
        <f>IFERROR(__xludf.DUMMYFUNCTION("""COMPUTED_VALUE"""),160.0)</f>
        <v>160</v>
      </c>
      <c r="G2274" s="5">
        <f>IFERROR(__xludf.DUMMYFUNCTION("""COMPUTED_VALUE"""),3.5911601E7)</f>
        <v>35911601</v>
      </c>
    </row>
    <row r="2275">
      <c r="A2275" s="3">
        <f>IFERROR(__xludf.DUMMYFUNCTION("""COMPUTED_VALUE"""),891.0)</f>
        <v>891</v>
      </c>
      <c r="B2275" s="2" t="str">
        <f>IFERROR(__xludf.DUMMYFUNCTION("""COMPUTED_VALUE"""),"SYLHET")</f>
        <v>SYLHET</v>
      </c>
      <c r="C2275" s="4">
        <f>IFERROR(__xludf.DUMMYFUNCTION("""COMPUTED_VALUE"""),35.0)</f>
        <v>35</v>
      </c>
      <c r="D2275" s="2" t="str">
        <f>IFERROR(__xludf.DUMMYFUNCTION("""COMPUTED_VALUE"""),"BANGLADESH KRISHI BANK")</f>
        <v>BANGLADESH KRISHI BANK</v>
      </c>
      <c r="E2275" s="2" t="str">
        <f>IFERROR(__xludf.DUMMYFUNCTION("""COMPUTED_VALUE"""),"GOWAINGHAT")</f>
        <v>GOWAINGHAT</v>
      </c>
      <c r="F2275" s="4">
        <f>IFERROR(__xludf.DUMMYFUNCTION("""COMPUTED_VALUE"""),166.0)</f>
        <v>166</v>
      </c>
      <c r="G2275" s="5">
        <f>IFERROR(__xludf.DUMMYFUNCTION("""COMPUTED_VALUE"""),3.5911669E7)</f>
        <v>35911669</v>
      </c>
    </row>
    <row r="2276">
      <c r="A2276" s="3">
        <f>IFERROR(__xludf.DUMMYFUNCTION("""COMPUTED_VALUE"""),891.0)</f>
        <v>891</v>
      </c>
      <c r="B2276" s="2" t="str">
        <f>IFERROR(__xludf.DUMMYFUNCTION("""COMPUTED_VALUE"""),"SYLHET")</f>
        <v>SYLHET</v>
      </c>
      <c r="C2276" s="4">
        <f>IFERROR(__xludf.DUMMYFUNCTION("""COMPUTED_VALUE"""),35.0)</f>
        <v>35</v>
      </c>
      <c r="D2276" s="2" t="str">
        <f>IFERROR(__xludf.DUMMYFUNCTION("""COMPUTED_VALUE"""),"BANGLADESH KRISHI BANK")</f>
        <v>BANGLADESH KRISHI BANK</v>
      </c>
      <c r="E2276" s="2" t="str">
        <f>IFERROR(__xludf.DUMMYFUNCTION("""COMPUTED_VALUE"""),"HADARPAR BAZAR")</f>
        <v>HADARPAR BAZAR</v>
      </c>
      <c r="F2276" s="4">
        <f>IFERROR(__xludf.DUMMYFUNCTION("""COMPUTED_VALUE"""),170.0)</f>
        <v>170</v>
      </c>
      <c r="G2276" s="5">
        <f>IFERROR(__xludf.DUMMYFUNCTION("""COMPUTED_VALUE"""),3.5911706E7)</f>
        <v>35911706</v>
      </c>
    </row>
    <row r="2277">
      <c r="A2277" s="3">
        <f>IFERROR(__xludf.DUMMYFUNCTION("""COMPUTED_VALUE"""),891.0)</f>
        <v>891</v>
      </c>
      <c r="B2277" s="2" t="str">
        <f>IFERROR(__xludf.DUMMYFUNCTION("""COMPUTED_VALUE"""),"SYLHET")</f>
        <v>SYLHET</v>
      </c>
      <c r="C2277" s="4">
        <f>IFERROR(__xludf.DUMMYFUNCTION("""COMPUTED_VALUE"""),35.0)</f>
        <v>35</v>
      </c>
      <c r="D2277" s="2" t="str">
        <f>IFERROR(__xludf.DUMMYFUNCTION("""COMPUTED_VALUE"""),"BANGLADESH KRISHI BANK")</f>
        <v>BANGLADESH KRISHI BANK</v>
      </c>
      <c r="E2277" s="2" t="str">
        <f>IFERROR(__xludf.DUMMYFUNCTION("""COMPUTED_VALUE"""),"JAINTAPUR")</f>
        <v>JAINTAPUR</v>
      </c>
      <c r="F2277" s="4">
        <f>IFERROR(__xludf.DUMMYFUNCTION("""COMPUTED_VALUE"""),181.0)</f>
        <v>181</v>
      </c>
      <c r="G2277" s="5">
        <f>IFERROR(__xludf.DUMMYFUNCTION("""COMPUTED_VALUE"""),3.5911814E7)</f>
        <v>35911814</v>
      </c>
    </row>
    <row r="2278">
      <c r="A2278" s="3">
        <f>IFERROR(__xludf.DUMMYFUNCTION("""COMPUTED_VALUE"""),891.0)</f>
        <v>891</v>
      </c>
      <c r="B2278" s="2" t="str">
        <f>IFERROR(__xludf.DUMMYFUNCTION("""COMPUTED_VALUE"""),"SYLHET")</f>
        <v>SYLHET</v>
      </c>
      <c r="C2278" s="4">
        <f>IFERROR(__xludf.DUMMYFUNCTION("""COMPUTED_VALUE"""),35.0)</f>
        <v>35</v>
      </c>
      <c r="D2278" s="2" t="str">
        <f>IFERROR(__xludf.DUMMYFUNCTION("""COMPUTED_VALUE"""),"BANGLADESH KRISHI BANK")</f>
        <v>BANGLADESH KRISHI BANK</v>
      </c>
      <c r="E2278" s="2" t="str">
        <f>IFERROR(__xludf.DUMMYFUNCTION("""COMPUTED_VALUE"""),"KANAIGHAT")</f>
        <v>KANAIGHAT</v>
      </c>
      <c r="F2278" s="4">
        <f>IFERROR(__xludf.DUMMYFUNCTION("""COMPUTED_VALUE"""),208.0)</f>
        <v>208</v>
      </c>
      <c r="G2278" s="5">
        <f>IFERROR(__xludf.DUMMYFUNCTION("""COMPUTED_VALUE"""),3.5912084E7)</f>
        <v>35912084</v>
      </c>
    </row>
    <row r="2279">
      <c r="A2279" s="3">
        <f>IFERROR(__xludf.DUMMYFUNCTION("""COMPUTED_VALUE"""),891.0)</f>
        <v>891</v>
      </c>
      <c r="B2279" s="2" t="str">
        <f>IFERROR(__xludf.DUMMYFUNCTION("""COMPUTED_VALUE"""),"SYLHET")</f>
        <v>SYLHET</v>
      </c>
      <c r="C2279" s="4">
        <f>IFERROR(__xludf.DUMMYFUNCTION("""COMPUTED_VALUE"""),35.0)</f>
        <v>35</v>
      </c>
      <c r="D2279" s="2" t="str">
        <f>IFERROR(__xludf.DUMMYFUNCTION("""COMPUTED_VALUE"""),"BANGLADESH KRISHI BANK")</f>
        <v>BANGLADESH KRISHI BANK</v>
      </c>
      <c r="E2279" s="2" t="str">
        <f>IFERROR(__xludf.DUMMYFUNCTION("""COMPUTED_VALUE"""),"KHAJANCHIGAON")</f>
        <v>KHAJANCHIGAON</v>
      </c>
      <c r="F2279" s="4">
        <f>IFERROR(__xludf.DUMMYFUNCTION("""COMPUTED_VALUE"""),226.0)</f>
        <v>226</v>
      </c>
      <c r="G2279" s="5">
        <f>IFERROR(__xludf.DUMMYFUNCTION("""COMPUTED_VALUE"""),3.5912268E7)</f>
        <v>35912268</v>
      </c>
    </row>
    <row r="2280">
      <c r="A2280" s="3">
        <f>IFERROR(__xludf.DUMMYFUNCTION("""COMPUTED_VALUE"""),891.0)</f>
        <v>891</v>
      </c>
      <c r="B2280" s="2" t="str">
        <f>IFERROR(__xludf.DUMMYFUNCTION("""COMPUTED_VALUE"""),"SYLHET")</f>
        <v>SYLHET</v>
      </c>
      <c r="C2280" s="4">
        <f>IFERROR(__xludf.DUMMYFUNCTION("""COMPUTED_VALUE"""),35.0)</f>
        <v>35</v>
      </c>
      <c r="D2280" s="2" t="str">
        <f>IFERROR(__xludf.DUMMYFUNCTION("""COMPUTED_VALUE"""),"BANGLADESH KRISHI BANK")</f>
        <v>BANGLADESH KRISHI BANK</v>
      </c>
      <c r="E2280" s="2" t="str">
        <f>IFERROR(__xludf.DUMMYFUNCTION("""COMPUTED_VALUE"""),"MOGLA BAZAR")</f>
        <v>MOGLA BAZAR</v>
      </c>
      <c r="F2280" s="4">
        <f>IFERROR(__xludf.DUMMYFUNCTION("""COMPUTED_VALUE"""),268.0)</f>
        <v>268</v>
      </c>
      <c r="G2280" s="5">
        <f>IFERROR(__xludf.DUMMYFUNCTION("""COMPUTED_VALUE"""),3.5912684E7)</f>
        <v>35912684</v>
      </c>
    </row>
    <row r="2281">
      <c r="A2281" s="3">
        <f>IFERROR(__xludf.DUMMYFUNCTION("""COMPUTED_VALUE"""),891.0)</f>
        <v>891</v>
      </c>
      <c r="B2281" s="2" t="str">
        <f>IFERROR(__xludf.DUMMYFUNCTION("""COMPUTED_VALUE"""),"SYLHET")</f>
        <v>SYLHET</v>
      </c>
      <c r="C2281" s="4">
        <f>IFERROR(__xludf.DUMMYFUNCTION("""COMPUTED_VALUE"""),35.0)</f>
        <v>35</v>
      </c>
      <c r="D2281" s="2" t="str">
        <f>IFERROR(__xludf.DUMMYFUNCTION("""COMPUTED_VALUE"""),"BANGLADESH KRISHI BANK")</f>
        <v>BANGLADESH KRISHI BANK</v>
      </c>
      <c r="E2281" s="2" t="str">
        <f>IFERROR(__xludf.DUMMYFUNCTION("""COMPUTED_VALUE"""),"RATANGANJ BAZAR")</f>
        <v>RATANGANJ BAZAR</v>
      </c>
      <c r="F2281" s="4">
        <f>IFERROR(__xludf.DUMMYFUNCTION("""COMPUTED_VALUE"""),301.0)</f>
        <v>301</v>
      </c>
      <c r="G2281" s="5">
        <f>IFERROR(__xludf.DUMMYFUNCTION("""COMPUTED_VALUE"""),3.5913012E7)</f>
        <v>35913012</v>
      </c>
    </row>
    <row r="2282">
      <c r="A2282" s="3">
        <f>IFERROR(__xludf.DUMMYFUNCTION("""COMPUTED_VALUE"""),891.0)</f>
        <v>891</v>
      </c>
      <c r="B2282" s="2" t="str">
        <f>IFERROR(__xludf.DUMMYFUNCTION("""COMPUTED_VALUE"""),"SYLHET")</f>
        <v>SYLHET</v>
      </c>
      <c r="C2282" s="4">
        <f>IFERROR(__xludf.DUMMYFUNCTION("""COMPUTED_VALUE"""),35.0)</f>
        <v>35</v>
      </c>
      <c r="D2282" s="2" t="str">
        <f>IFERROR(__xludf.DUMMYFUNCTION("""COMPUTED_VALUE"""),"BANGLADESH KRISHI BANK")</f>
        <v>BANGLADESH KRISHI BANK</v>
      </c>
      <c r="E2282" s="2" t="str">
        <f>IFERROR(__xludf.DUMMYFUNCTION("""COMPUTED_VALUE"""),"SALUTIKAR")</f>
        <v>SALUTIKAR</v>
      </c>
      <c r="F2282" s="4">
        <f>IFERROR(__xludf.DUMMYFUNCTION("""COMPUTED_VALUE"""),310.0)</f>
        <v>310</v>
      </c>
      <c r="G2282" s="5">
        <f>IFERROR(__xludf.DUMMYFUNCTION("""COMPUTED_VALUE"""),3.5913104E7)</f>
        <v>35913104</v>
      </c>
    </row>
    <row r="2283">
      <c r="A2283" s="3">
        <f>IFERROR(__xludf.DUMMYFUNCTION("""COMPUTED_VALUE"""),891.0)</f>
        <v>891</v>
      </c>
      <c r="B2283" s="2" t="str">
        <f>IFERROR(__xludf.DUMMYFUNCTION("""COMPUTED_VALUE"""),"SYLHET")</f>
        <v>SYLHET</v>
      </c>
      <c r="C2283" s="4">
        <f>IFERROR(__xludf.DUMMYFUNCTION("""COMPUTED_VALUE"""),35.0)</f>
        <v>35</v>
      </c>
      <c r="D2283" s="2" t="str">
        <f>IFERROR(__xludf.DUMMYFUNCTION("""COMPUTED_VALUE"""),"BANGLADESH KRISHI BANK")</f>
        <v>BANGLADESH KRISHI BANK</v>
      </c>
      <c r="E2283" s="2" t="str">
        <f>IFERROR(__xludf.DUMMYFUNCTION("""COMPUTED_VALUE"""),"SHIBER BAZAR")</f>
        <v>SHIBER BAZAR</v>
      </c>
      <c r="F2283" s="4">
        <f>IFERROR(__xludf.DUMMYFUNCTION("""COMPUTED_VALUE"""),337.0)</f>
        <v>337</v>
      </c>
      <c r="G2283" s="5">
        <f>IFERROR(__xludf.DUMMYFUNCTION("""COMPUTED_VALUE"""),3.5913375E7)</f>
        <v>35913375</v>
      </c>
    </row>
    <row r="2284">
      <c r="A2284" s="3">
        <f>IFERROR(__xludf.DUMMYFUNCTION("""COMPUTED_VALUE"""),891.0)</f>
        <v>891</v>
      </c>
      <c r="B2284" s="2" t="str">
        <f>IFERROR(__xludf.DUMMYFUNCTION("""COMPUTED_VALUE"""),"SYLHET")</f>
        <v>SYLHET</v>
      </c>
      <c r="C2284" s="4">
        <f>IFERROR(__xludf.DUMMYFUNCTION("""COMPUTED_VALUE"""),35.0)</f>
        <v>35</v>
      </c>
      <c r="D2284" s="2" t="str">
        <f>IFERROR(__xludf.DUMMYFUNCTION("""COMPUTED_VALUE"""),"BANGLADESH KRISHI BANK")</f>
        <v>BANGLADESH KRISHI BANK</v>
      </c>
      <c r="E2284" s="2" t="str">
        <f>IFERROR(__xludf.DUMMYFUNCTION("""COMPUTED_VALUE"""),"SYLHET")</f>
        <v>SYLHET</v>
      </c>
      <c r="F2284" s="4">
        <f>IFERROR(__xludf.DUMMYFUNCTION("""COMPUTED_VALUE"""),355.0)</f>
        <v>355</v>
      </c>
      <c r="G2284" s="5">
        <f>IFERROR(__xludf.DUMMYFUNCTION("""COMPUTED_VALUE"""),3.5913559E7)</f>
        <v>35913559</v>
      </c>
    </row>
    <row r="2285">
      <c r="A2285" s="3">
        <f>IFERROR(__xludf.DUMMYFUNCTION("""COMPUTED_VALUE"""),891.0)</f>
        <v>891</v>
      </c>
      <c r="B2285" s="2" t="str">
        <f>IFERROR(__xludf.DUMMYFUNCTION("""COMPUTED_VALUE"""),"SYLHET")</f>
        <v>SYLHET</v>
      </c>
      <c r="C2285" s="4">
        <f>IFERROR(__xludf.DUMMYFUNCTION("""COMPUTED_VALUE"""),35.0)</f>
        <v>35</v>
      </c>
      <c r="D2285" s="2" t="str">
        <f>IFERROR(__xludf.DUMMYFUNCTION("""COMPUTED_VALUE"""),"BANGLADESH KRISHI BANK")</f>
        <v>BANGLADESH KRISHI BANK</v>
      </c>
      <c r="E2285" s="2" t="str">
        <f>IFERROR(__xludf.DUMMYFUNCTION("""COMPUTED_VALUE"""),"TAJPUR BAZAR")</f>
        <v>TAJPUR BAZAR</v>
      </c>
      <c r="F2285" s="4">
        <f>IFERROR(__xludf.DUMMYFUNCTION("""COMPUTED_VALUE"""),384.0)</f>
        <v>384</v>
      </c>
      <c r="G2285" s="5">
        <f>IFERROR(__xludf.DUMMYFUNCTION("""COMPUTED_VALUE"""),3.5913841E7)</f>
        <v>35913841</v>
      </c>
    </row>
    <row r="2286">
      <c r="A2286" s="3">
        <f>IFERROR(__xludf.DUMMYFUNCTION("""COMPUTED_VALUE"""),891.0)</f>
        <v>891</v>
      </c>
      <c r="B2286" s="2" t="str">
        <f>IFERROR(__xludf.DUMMYFUNCTION("""COMPUTED_VALUE"""),"SYLHET")</f>
        <v>SYLHET</v>
      </c>
      <c r="C2286" s="4">
        <f>IFERROR(__xludf.DUMMYFUNCTION("""COMPUTED_VALUE"""),35.0)</f>
        <v>35</v>
      </c>
      <c r="D2286" s="2" t="str">
        <f>IFERROR(__xludf.DUMMYFUNCTION("""COMPUTED_VALUE"""),"BANGLADESH KRISHI BANK")</f>
        <v>BANGLADESH KRISHI BANK</v>
      </c>
      <c r="E2286" s="2" t="str">
        <f>IFERROR(__xludf.DUMMYFUNCTION("""COMPUTED_VALUE"""),"ZAKIGANJ")</f>
        <v>ZAKIGANJ</v>
      </c>
      <c r="F2286" s="4">
        <f>IFERROR(__xludf.DUMMYFUNCTION("""COMPUTED_VALUE"""),412.0)</f>
        <v>412</v>
      </c>
      <c r="G2286" s="5">
        <f>IFERROR(__xludf.DUMMYFUNCTION("""COMPUTED_VALUE"""),3.5914129E7)</f>
        <v>35914129</v>
      </c>
    </row>
    <row r="2287">
      <c r="A2287" s="3">
        <f>IFERROR(__xludf.DUMMYFUNCTION("""COMPUTED_VALUE"""),193.0)</f>
        <v>193</v>
      </c>
      <c r="B2287" s="2" t="str">
        <f>IFERROR(__xludf.DUMMYFUNCTION("""COMPUTED_VALUE"""),"TANGAIL")</f>
        <v>TANGAIL</v>
      </c>
      <c r="C2287" s="4">
        <f>IFERROR(__xludf.DUMMYFUNCTION("""COMPUTED_VALUE"""),35.0)</f>
        <v>35</v>
      </c>
      <c r="D2287" s="2" t="str">
        <f>IFERROR(__xludf.DUMMYFUNCTION("""COMPUTED_VALUE"""),"BANGLADESH KRISHI BANK")</f>
        <v>BANGLADESH KRISHI BANK</v>
      </c>
      <c r="E2287" s="2" t="str">
        <f>IFERROR(__xludf.DUMMYFUNCTION("""COMPUTED_VALUE"""),"MOGRA BAZAR")</f>
        <v>MOGRA BAZAR</v>
      </c>
      <c r="F2287" s="4">
        <f>IFERROR(__xludf.DUMMYFUNCTION("""COMPUTED_VALUE"""),8.0)</f>
        <v>8</v>
      </c>
      <c r="G2287" s="5">
        <f>IFERROR(__xludf.DUMMYFUNCTION("""COMPUTED_VALUE"""),3.5930082E7)</f>
        <v>35930082</v>
      </c>
    </row>
    <row r="2288">
      <c r="A2288" s="3">
        <f>IFERROR(__xludf.DUMMYFUNCTION("""COMPUTED_VALUE"""),193.0)</f>
        <v>193</v>
      </c>
      <c r="B2288" s="2" t="str">
        <f>IFERROR(__xludf.DUMMYFUNCTION("""COMPUTED_VALUE"""),"TANGAIL")</f>
        <v>TANGAIL</v>
      </c>
      <c r="C2288" s="4">
        <f>IFERROR(__xludf.DUMMYFUNCTION("""COMPUTED_VALUE"""),35.0)</f>
        <v>35</v>
      </c>
      <c r="D2288" s="2" t="str">
        <f>IFERROR(__xludf.DUMMYFUNCTION("""COMPUTED_VALUE"""),"BANGLADESH KRISHI BANK")</f>
        <v>BANGLADESH KRISHI BANK</v>
      </c>
      <c r="E2288" s="2" t="str">
        <f>IFERROR(__xludf.DUMMYFUNCTION("""COMPUTED_VALUE"""),"SHOLAKURI BAZAR")</f>
        <v>SHOLAKURI BAZAR</v>
      </c>
      <c r="F2288" s="4">
        <f>IFERROR(__xludf.DUMMYFUNCTION("""COMPUTED_VALUE"""),9.0)</f>
        <v>9</v>
      </c>
      <c r="G2288" s="5">
        <f>IFERROR(__xludf.DUMMYFUNCTION("""COMPUTED_VALUE"""),3.5930095E7)</f>
        <v>35930095</v>
      </c>
    </row>
    <row r="2289">
      <c r="A2289" s="3">
        <f>IFERROR(__xludf.DUMMYFUNCTION("""COMPUTED_VALUE"""),193.0)</f>
        <v>193</v>
      </c>
      <c r="B2289" s="2" t="str">
        <f>IFERROR(__xludf.DUMMYFUNCTION("""COMPUTED_VALUE"""),"TANGAIL")</f>
        <v>TANGAIL</v>
      </c>
      <c r="C2289" s="4">
        <f>IFERROR(__xludf.DUMMYFUNCTION("""COMPUTED_VALUE"""),35.0)</f>
        <v>35</v>
      </c>
      <c r="D2289" s="2" t="str">
        <f>IFERROR(__xludf.DUMMYFUNCTION("""COMPUTED_VALUE"""),"BANGLADESH KRISHI BANK")</f>
        <v>BANGLADESH KRISHI BANK</v>
      </c>
      <c r="E2289" s="2" t="str">
        <f>IFERROR(__xludf.DUMMYFUNCTION("""COMPUTED_VALUE"""),"BATHULI SADI BAZAR")</f>
        <v>BATHULI SADI BAZAR</v>
      </c>
      <c r="F2289" s="4">
        <f>IFERROR(__xludf.DUMMYFUNCTION("""COMPUTED_VALUE"""),12.0)</f>
        <v>12</v>
      </c>
      <c r="G2289" s="5">
        <f>IFERROR(__xludf.DUMMYFUNCTION("""COMPUTED_VALUE"""),3.5930129E7)</f>
        <v>35930129</v>
      </c>
    </row>
    <row r="2290">
      <c r="A2290" s="3">
        <f>IFERROR(__xludf.DUMMYFUNCTION("""COMPUTED_VALUE"""),193.0)</f>
        <v>193</v>
      </c>
      <c r="B2290" s="2" t="str">
        <f>IFERROR(__xludf.DUMMYFUNCTION("""COMPUTED_VALUE"""),"TANGAIL")</f>
        <v>TANGAIL</v>
      </c>
      <c r="C2290" s="4">
        <f>IFERROR(__xludf.DUMMYFUNCTION("""COMPUTED_VALUE"""),35.0)</f>
        <v>35</v>
      </c>
      <c r="D2290" s="2" t="str">
        <f>IFERROR(__xludf.DUMMYFUNCTION("""COMPUTED_VALUE"""),"BANGLADESH KRISHI BANK")</f>
        <v>BANGLADESH KRISHI BANK</v>
      </c>
      <c r="E2290" s="2" t="str">
        <f>IFERROR(__xludf.DUMMYFUNCTION("""COMPUTED_VALUE"""),"ALOKDIA")</f>
        <v>ALOKDIA</v>
      </c>
      <c r="F2290" s="4">
        <f>IFERROR(__xludf.DUMMYFUNCTION("""COMPUTED_VALUE"""),13.0)</f>
        <v>13</v>
      </c>
      <c r="G2290" s="5">
        <f>IFERROR(__xludf.DUMMYFUNCTION("""COMPUTED_VALUE"""),3.5930132E7)</f>
        <v>35930132</v>
      </c>
    </row>
    <row r="2291">
      <c r="A2291" s="3">
        <f>IFERROR(__xludf.DUMMYFUNCTION("""COMPUTED_VALUE"""),193.0)</f>
        <v>193</v>
      </c>
      <c r="B2291" s="2" t="str">
        <f>IFERROR(__xludf.DUMMYFUNCTION("""COMPUTED_VALUE"""),"TANGAIL")</f>
        <v>TANGAIL</v>
      </c>
      <c r="C2291" s="4">
        <f>IFERROR(__xludf.DUMMYFUNCTION("""COMPUTED_VALUE"""),35.0)</f>
        <v>35</v>
      </c>
      <c r="D2291" s="2" t="str">
        <f>IFERROR(__xludf.DUMMYFUNCTION("""COMPUTED_VALUE"""),"BANGLADESH KRISHI BANK")</f>
        <v>BANGLADESH KRISHI BANK</v>
      </c>
      <c r="E2291" s="2" t="str">
        <f>IFERROR(__xludf.DUMMYFUNCTION("""COMPUTED_VALUE"""),"TOKTARCHALA BAZAR")</f>
        <v>TOKTARCHALA BAZAR</v>
      </c>
      <c r="F2291" s="4">
        <f>IFERROR(__xludf.DUMMYFUNCTION("""COMPUTED_VALUE"""),14.0)</f>
        <v>14</v>
      </c>
      <c r="G2291" s="5">
        <f>IFERROR(__xludf.DUMMYFUNCTION("""COMPUTED_VALUE"""),3.5930145E7)</f>
        <v>35930145</v>
      </c>
    </row>
    <row r="2292">
      <c r="A2292" s="3">
        <f>IFERROR(__xludf.DUMMYFUNCTION("""COMPUTED_VALUE"""),193.0)</f>
        <v>193</v>
      </c>
      <c r="B2292" s="2" t="str">
        <f>IFERROR(__xludf.DUMMYFUNCTION("""COMPUTED_VALUE"""),"TANGAIL")</f>
        <v>TANGAIL</v>
      </c>
      <c r="C2292" s="4">
        <f>IFERROR(__xludf.DUMMYFUNCTION("""COMPUTED_VALUE"""),35.0)</f>
        <v>35</v>
      </c>
      <c r="D2292" s="2" t="str">
        <f>IFERROR(__xludf.DUMMYFUNCTION("""COMPUTED_VALUE"""),"BANGLADESH KRISHI BANK")</f>
        <v>BANGLADESH KRISHI BANK</v>
      </c>
      <c r="E2292" s="2" t="str">
        <f>IFERROR(__xludf.DUMMYFUNCTION("""COMPUTED_VALUE"""),"SINGURIA BAZAR")</f>
        <v>SINGURIA BAZAR</v>
      </c>
      <c r="F2292" s="4">
        <f>IFERROR(__xludf.DUMMYFUNCTION("""COMPUTED_VALUE"""),19.0)</f>
        <v>19</v>
      </c>
      <c r="G2292" s="5">
        <f>IFERROR(__xludf.DUMMYFUNCTION("""COMPUTED_VALUE"""),3.593019E7)</f>
        <v>35930190</v>
      </c>
    </row>
    <row r="2293">
      <c r="A2293" s="3">
        <f>IFERROR(__xludf.DUMMYFUNCTION("""COMPUTED_VALUE"""),193.0)</f>
        <v>193</v>
      </c>
      <c r="B2293" s="2" t="str">
        <f>IFERROR(__xludf.DUMMYFUNCTION("""COMPUTED_VALUE"""),"TANGAIL")</f>
        <v>TANGAIL</v>
      </c>
      <c r="C2293" s="4">
        <f>IFERROR(__xludf.DUMMYFUNCTION("""COMPUTED_VALUE"""),35.0)</f>
        <v>35</v>
      </c>
      <c r="D2293" s="2" t="str">
        <f>IFERROR(__xludf.DUMMYFUNCTION("""COMPUTED_VALUE"""),"BANGLADESH KRISHI BANK")</f>
        <v>BANGLADESH KRISHI BANK</v>
      </c>
      <c r="E2293" s="2" t="str">
        <f>IFERROR(__xludf.DUMMYFUNCTION("""COMPUTED_VALUE"""),"AWLIABAD")</f>
        <v>AWLIABAD</v>
      </c>
      <c r="F2293" s="4">
        <f>IFERROR(__xludf.DUMMYFUNCTION("""COMPUTED_VALUE"""),28.0)</f>
        <v>28</v>
      </c>
      <c r="G2293" s="5">
        <f>IFERROR(__xludf.DUMMYFUNCTION("""COMPUTED_VALUE"""),3.5930282E7)</f>
        <v>35930282</v>
      </c>
    </row>
    <row r="2294">
      <c r="A2294" s="3">
        <f>IFERROR(__xludf.DUMMYFUNCTION("""COMPUTED_VALUE"""),193.0)</f>
        <v>193</v>
      </c>
      <c r="B2294" s="2" t="str">
        <f>IFERROR(__xludf.DUMMYFUNCTION("""COMPUTED_VALUE"""),"TANGAIL")</f>
        <v>TANGAIL</v>
      </c>
      <c r="C2294" s="4">
        <f>IFERROR(__xludf.DUMMYFUNCTION("""COMPUTED_VALUE"""),35.0)</f>
        <v>35</v>
      </c>
      <c r="D2294" s="2" t="str">
        <f>IFERROR(__xludf.DUMMYFUNCTION("""COMPUTED_VALUE"""),"BANGLADESH KRISHI BANK")</f>
        <v>BANGLADESH KRISHI BANK</v>
      </c>
      <c r="E2294" s="2" t="str">
        <f>IFERROR(__xludf.DUMMYFUNCTION("""COMPUTED_VALUE"""),"BALLA BAZAR")</f>
        <v>BALLA BAZAR</v>
      </c>
      <c r="F2294" s="4">
        <f>IFERROR(__xludf.DUMMYFUNCTION("""COMPUTED_VALUE"""),31.0)</f>
        <v>31</v>
      </c>
      <c r="G2294" s="5">
        <f>IFERROR(__xludf.DUMMYFUNCTION("""COMPUTED_VALUE"""),3.5930316E7)</f>
        <v>35930316</v>
      </c>
    </row>
    <row r="2295">
      <c r="A2295" s="3">
        <f>IFERROR(__xludf.DUMMYFUNCTION("""COMPUTED_VALUE"""),193.0)</f>
        <v>193</v>
      </c>
      <c r="B2295" s="2" t="str">
        <f>IFERROR(__xludf.DUMMYFUNCTION("""COMPUTED_VALUE"""),"TANGAIL")</f>
        <v>TANGAIL</v>
      </c>
      <c r="C2295" s="4">
        <f>IFERROR(__xludf.DUMMYFUNCTION("""COMPUTED_VALUE"""),35.0)</f>
        <v>35</v>
      </c>
      <c r="D2295" s="2" t="str">
        <f>IFERROR(__xludf.DUMMYFUNCTION("""COMPUTED_VALUE"""),"BANGLADESH KRISHI BANK")</f>
        <v>BANGLADESH KRISHI BANK</v>
      </c>
      <c r="E2295" s="2" t="str">
        <f>IFERROR(__xludf.DUMMYFUNCTION("""COMPUTED_VALUE"""),"BANGRA")</f>
        <v>BANGRA</v>
      </c>
      <c r="F2295" s="4">
        <f>IFERROR(__xludf.DUMMYFUNCTION("""COMPUTED_VALUE"""),34.0)</f>
        <v>34</v>
      </c>
      <c r="G2295" s="5">
        <f>IFERROR(__xludf.DUMMYFUNCTION("""COMPUTED_VALUE"""),3.5930345E7)</f>
        <v>35930345</v>
      </c>
    </row>
    <row r="2296">
      <c r="A2296" s="3">
        <f>IFERROR(__xludf.DUMMYFUNCTION("""COMPUTED_VALUE"""),193.0)</f>
        <v>193</v>
      </c>
      <c r="B2296" s="2" t="str">
        <f>IFERROR(__xludf.DUMMYFUNCTION("""COMPUTED_VALUE"""),"TANGAIL")</f>
        <v>TANGAIL</v>
      </c>
      <c r="C2296" s="4">
        <f>IFERROR(__xludf.DUMMYFUNCTION("""COMPUTED_VALUE"""),35.0)</f>
        <v>35</v>
      </c>
      <c r="D2296" s="2" t="str">
        <f>IFERROR(__xludf.DUMMYFUNCTION("""COMPUTED_VALUE"""),"BANGLADESH KRISHI BANK")</f>
        <v>BANGLADESH KRISHI BANK</v>
      </c>
      <c r="E2296" s="2" t="str">
        <f>IFERROR(__xludf.DUMMYFUNCTION("""COMPUTED_VALUE"""),"BASAIL")</f>
        <v>BASAIL</v>
      </c>
      <c r="F2296" s="4">
        <f>IFERROR(__xludf.DUMMYFUNCTION("""COMPUTED_VALUE"""),37.0)</f>
        <v>37</v>
      </c>
      <c r="G2296" s="5">
        <f>IFERROR(__xludf.DUMMYFUNCTION("""COMPUTED_VALUE"""),3.5930374E7)</f>
        <v>35930374</v>
      </c>
    </row>
    <row r="2297">
      <c r="A2297" s="3">
        <f>IFERROR(__xludf.DUMMYFUNCTION("""COMPUTED_VALUE"""),193.0)</f>
        <v>193</v>
      </c>
      <c r="B2297" s="2" t="str">
        <f>IFERROR(__xludf.DUMMYFUNCTION("""COMPUTED_VALUE"""),"TANGAIL")</f>
        <v>TANGAIL</v>
      </c>
      <c r="C2297" s="4">
        <f>IFERROR(__xludf.DUMMYFUNCTION("""COMPUTED_VALUE"""),35.0)</f>
        <v>35</v>
      </c>
      <c r="D2297" s="2" t="str">
        <f>IFERROR(__xludf.DUMMYFUNCTION("""COMPUTED_VALUE"""),"BANGLADESH KRISHI BANK")</f>
        <v>BANGLADESH KRISHI BANK</v>
      </c>
      <c r="E2297" s="2" t="str">
        <f>IFERROR(__xludf.DUMMYFUNCTION("""COMPUTED_VALUE"""),"BHABKHANDA BAZAR")</f>
        <v>BHABKHANDA BAZAR</v>
      </c>
      <c r="F2297" s="4">
        <f>IFERROR(__xludf.DUMMYFUNCTION("""COMPUTED_VALUE"""),40.0)</f>
        <v>40</v>
      </c>
      <c r="G2297" s="5">
        <f>IFERROR(__xludf.DUMMYFUNCTION("""COMPUTED_VALUE"""),3.5930408E7)</f>
        <v>35930408</v>
      </c>
    </row>
    <row r="2298">
      <c r="A2298" s="3">
        <f>IFERROR(__xludf.DUMMYFUNCTION("""COMPUTED_VALUE"""),193.0)</f>
        <v>193</v>
      </c>
      <c r="B2298" s="2" t="str">
        <f>IFERROR(__xludf.DUMMYFUNCTION("""COMPUTED_VALUE"""),"TANGAIL")</f>
        <v>TANGAIL</v>
      </c>
      <c r="C2298" s="4">
        <f>IFERROR(__xludf.DUMMYFUNCTION("""COMPUTED_VALUE"""),35.0)</f>
        <v>35</v>
      </c>
      <c r="D2298" s="2" t="str">
        <f>IFERROR(__xludf.DUMMYFUNCTION("""COMPUTED_VALUE"""),"BANGLADESH KRISHI BANK")</f>
        <v>BANGLADESH KRISHI BANK</v>
      </c>
      <c r="E2298" s="2" t="str">
        <f>IFERROR(__xludf.DUMMYFUNCTION("""COMPUTED_VALUE"""),"BHADRA BAZAR")</f>
        <v>BHADRA BAZAR</v>
      </c>
      <c r="F2298" s="4">
        <f>IFERROR(__xludf.DUMMYFUNCTION("""COMPUTED_VALUE"""),43.0)</f>
        <v>43</v>
      </c>
      <c r="G2298" s="5">
        <f>IFERROR(__xludf.DUMMYFUNCTION("""COMPUTED_VALUE"""),3.5930437E7)</f>
        <v>35930437</v>
      </c>
    </row>
    <row r="2299">
      <c r="A2299" s="3">
        <f>IFERROR(__xludf.DUMMYFUNCTION("""COMPUTED_VALUE"""),193.0)</f>
        <v>193</v>
      </c>
      <c r="B2299" s="2" t="str">
        <f>IFERROR(__xludf.DUMMYFUNCTION("""COMPUTED_VALUE"""),"TANGAIL")</f>
        <v>TANGAIL</v>
      </c>
      <c r="C2299" s="4">
        <f>IFERROR(__xludf.DUMMYFUNCTION("""COMPUTED_VALUE"""),35.0)</f>
        <v>35</v>
      </c>
      <c r="D2299" s="2" t="str">
        <f>IFERROR(__xludf.DUMMYFUNCTION("""COMPUTED_VALUE"""),"BANGLADESH KRISHI BANK")</f>
        <v>BANGLADESH KRISHI BANK</v>
      </c>
      <c r="E2299" s="2" t="str">
        <f>IFERROR(__xludf.DUMMYFUNCTION("""COMPUTED_VALUE"""),"BHUANPUR")</f>
        <v>BHUANPUR</v>
      </c>
      <c r="F2299" s="4">
        <f>IFERROR(__xludf.DUMMYFUNCTION("""COMPUTED_VALUE"""),46.0)</f>
        <v>46</v>
      </c>
      <c r="G2299" s="5">
        <f>IFERROR(__xludf.DUMMYFUNCTION("""COMPUTED_VALUE"""),3.5930466E7)</f>
        <v>35930466</v>
      </c>
    </row>
    <row r="2300">
      <c r="A2300" s="3">
        <f>IFERROR(__xludf.DUMMYFUNCTION("""COMPUTED_VALUE"""),193.0)</f>
        <v>193</v>
      </c>
      <c r="B2300" s="2" t="str">
        <f>IFERROR(__xludf.DUMMYFUNCTION("""COMPUTED_VALUE"""),"TANGAIL")</f>
        <v>TANGAIL</v>
      </c>
      <c r="C2300" s="4">
        <f>IFERROR(__xludf.DUMMYFUNCTION("""COMPUTED_VALUE"""),35.0)</f>
        <v>35</v>
      </c>
      <c r="D2300" s="2" t="str">
        <f>IFERROR(__xludf.DUMMYFUNCTION("""COMPUTED_VALUE"""),"BANGLADESH KRISHI BANK")</f>
        <v>BANGLADESH KRISHI BANK</v>
      </c>
      <c r="E2300" s="2" t="str">
        <f>IFERROR(__xludf.DUMMYFUNCTION("""COMPUTED_VALUE"""),"CHARPARA BAZAR")</f>
        <v>CHARPARA BAZAR</v>
      </c>
      <c r="F2300" s="4">
        <f>IFERROR(__xludf.DUMMYFUNCTION("""COMPUTED_VALUE"""),52.0)</f>
        <v>52</v>
      </c>
      <c r="G2300" s="5">
        <f>IFERROR(__xludf.DUMMYFUNCTION("""COMPUTED_VALUE"""),3.5930529E7)</f>
        <v>35930529</v>
      </c>
    </row>
    <row r="2301">
      <c r="A2301" s="3">
        <f>IFERROR(__xludf.DUMMYFUNCTION("""COMPUTED_VALUE"""),193.0)</f>
        <v>193</v>
      </c>
      <c r="B2301" s="2" t="str">
        <f>IFERROR(__xludf.DUMMYFUNCTION("""COMPUTED_VALUE"""),"TANGAIL")</f>
        <v>TANGAIL</v>
      </c>
      <c r="C2301" s="4">
        <f>IFERROR(__xludf.DUMMYFUNCTION("""COMPUTED_VALUE"""),35.0)</f>
        <v>35</v>
      </c>
      <c r="D2301" s="2" t="str">
        <f>IFERROR(__xludf.DUMMYFUNCTION("""COMPUTED_VALUE"""),"BANGLADESH KRISHI BANK")</f>
        <v>BANGLADESH KRISHI BANK</v>
      </c>
      <c r="E2301" s="2" t="str">
        <f>IFERROR(__xludf.DUMMYFUNCTION("""COMPUTED_VALUE"""),"DELDUAR")</f>
        <v>DELDUAR</v>
      </c>
      <c r="F2301" s="4">
        <f>IFERROR(__xludf.DUMMYFUNCTION("""COMPUTED_VALUE"""),58.0)</f>
        <v>58</v>
      </c>
      <c r="G2301" s="5">
        <f>IFERROR(__xludf.DUMMYFUNCTION("""COMPUTED_VALUE"""),3.5930587E7)</f>
        <v>35930587</v>
      </c>
    </row>
    <row r="2302">
      <c r="A2302" s="3">
        <f>IFERROR(__xludf.DUMMYFUNCTION("""COMPUTED_VALUE"""),193.0)</f>
        <v>193</v>
      </c>
      <c r="B2302" s="2" t="str">
        <f>IFERROR(__xludf.DUMMYFUNCTION("""COMPUTED_VALUE"""),"TANGAIL")</f>
        <v>TANGAIL</v>
      </c>
      <c r="C2302" s="4">
        <f>IFERROR(__xludf.DUMMYFUNCTION("""COMPUTED_VALUE"""),35.0)</f>
        <v>35</v>
      </c>
      <c r="D2302" s="2" t="str">
        <f>IFERROR(__xludf.DUMMYFUNCTION("""COMPUTED_VALUE"""),"BANGLADESH KRISHI BANK")</f>
        <v>BANGLADESH KRISHI BANK</v>
      </c>
      <c r="E2302" s="2" t="str">
        <f>IFERROR(__xludf.DUMMYFUNCTION("""COMPUTED_VALUE"""),"DHAN BARI")</f>
        <v>DHAN BARI</v>
      </c>
      <c r="F2302" s="4">
        <f>IFERROR(__xludf.DUMMYFUNCTION("""COMPUTED_VALUE"""),67.0)</f>
        <v>67</v>
      </c>
      <c r="G2302" s="5">
        <f>IFERROR(__xludf.DUMMYFUNCTION("""COMPUTED_VALUE"""),3.5930679E7)</f>
        <v>35930679</v>
      </c>
    </row>
    <row r="2303">
      <c r="A2303" s="3">
        <f>IFERROR(__xludf.DUMMYFUNCTION("""COMPUTED_VALUE"""),193.0)</f>
        <v>193</v>
      </c>
      <c r="B2303" s="2" t="str">
        <f>IFERROR(__xludf.DUMMYFUNCTION("""COMPUTED_VALUE"""),"TANGAIL")</f>
        <v>TANGAIL</v>
      </c>
      <c r="C2303" s="4">
        <f>IFERROR(__xludf.DUMMYFUNCTION("""COMPUTED_VALUE"""),35.0)</f>
        <v>35</v>
      </c>
      <c r="D2303" s="2" t="str">
        <f>IFERROR(__xludf.DUMMYFUNCTION("""COMPUTED_VALUE"""),"BANGLADESH KRISHI BANK")</f>
        <v>BANGLADESH KRISHI BANK</v>
      </c>
      <c r="E2303" s="2" t="str">
        <f>IFERROR(__xludf.DUMMYFUNCTION("""COMPUTED_VALUE"""),"ELENGA")</f>
        <v>ELENGA</v>
      </c>
      <c r="F2303" s="4">
        <f>IFERROR(__xludf.DUMMYFUNCTION("""COMPUTED_VALUE"""),82.0)</f>
        <v>82</v>
      </c>
      <c r="G2303" s="5">
        <f>IFERROR(__xludf.DUMMYFUNCTION("""COMPUTED_VALUE"""),3.5930824E7)</f>
        <v>35930824</v>
      </c>
    </row>
    <row r="2304">
      <c r="A2304" s="3">
        <f>IFERROR(__xludf.DUMMYFUNCTION("""COMPUTED_VALUE"""),193.0)</f>
        <v>193</v>
      </c>
      <c r="B2304" s="2" t="str">
        <f>IFERROR(__xludf.DUMMYFUNCTION("""COMPUTED_VALUE"""),"TANGAIL")</f>
        <v>TANGAIL</v>
      </c>
      <c r="C2304" s="4">
        <f>IFERROR(__xludf.DUMMYFUNCTION("""COMPUTED_VALUE"""),35.0)</f>
        <v>35</v>
      </c>
      <c r="D2304" s="2" t="str">
        <f>IFERROR(__xludf.DUMMYFUNCTION("""COMPUTED_VALUE"""),"BANGLADESH KRISHI BANK")</f>
        <v>BANGLADESH KRISHI BANK</v>
      </c>
      <c r="E2304" s="2" t="str">
        <f>IFERROR(__xludf.DUMMYFUNCTION("""COMPUTED_VALUE"""),"GHATAIL")</f>
        <v>GHATAIL</v>
      </c>
      <c r="F2304" s="4">
        <f>IFERROR(__xludf.DUMMYFUNCTION("""COMPUTED_VALUE"""),91.0)</f>
        <v>91</v>
      </c>
      <c r="G2304" s="5">
        <f>IFERROR(__xludf.DUMMYFUNCTION("""COMPUTED_VALUE"""),3.5930916E7)</f>
        <v>35930916</v>
      </c>
    </row>
    <row r="2305">
      <c r="A2305" s="3">
        <f>IFERROR(__xludf.DUMMYFUNCTION("""COMPUTED_VALUE"""),193.0)</f>
        <v>193</v>
      </c>
      <c r="B2305" s="2" t="str">
        <f>IFERROR(__xludf.DUMMYFUNCTION("""COMPUTED_VALUE"""),"TANGAIL")</f>
        <v>TANGAIL</v>
      </c>
      <c r="C2305" s="4">
        <f>IFERROR(__xludf.DUMMYFUNCTION("""COMPUTED_VALUE"""),35.0)</f>
        <v>35</v>
      </c>
      <c r="D2305" s="2" t="str">
        <f>IFERROR(__xludf.DUMMYFUNCTION("""COMPUTED_VALUE"""),"BANGLADESH KRISHI BANK")</f>
        <v>BANGLADESH KRISHI BANK</v>
      </c>
      <c r="E2305" s="2" t="str">
        <f>IFERROR(__xludf.DUMMYFUNCTION("""COMPUTED_VALUE"""),"GOPALPUR")</f>
        <v>GOPALPUR</v>
      </c>
      <c r="F2305" s="4">
        <f>IFERROR(__xludf.DUMMYFUNCTION("""COMPUTED_VALUE"""),100.0)</f>
        <v>100</v>
      </c>
      <c r="G2305" s="5">
        <f>IFERROR(__xludf.DUMMYFUNCTION("""COMPUTED_VALUE"""),3.5931007E7)</f>
        <v>35931007</v>
      </c>
    </row>
    <row r="2306">
      <c r="A2306" s="3">
        <f>IFERROR(__xludf.DUMMYFUNCTION("""COMPUTED_VALUE"""),193.0)</f>
        <v>193</v>
      </c>
      <c r="B2306" s="2" t="str">
        <f>IFERROR(__xludf.DUMMYFUNCTION("""COMPUTED_VALUE"""),"TANGAIL")</f>
        <v>TANGAIL</v>
      </c>
      <c r="C2306" s="4">
        <f>IFERROR(__xludf.DUMMYFUNCTION("""COMPUTED_VALUE"""),35.0)</f>
        <v>35</v>
      </c>
      <c r="D2306" s="2" t="str">
        <f>IFERROR(__xludf.DUMMYFUNCTION("""COMPUTED_VALUE"""),"BANGLADESH KRISHI BANK")</f>
        <v>BANGLADESH KRISHI BANK</v>
      </c>
      <c r="E2306" s="2" t="str">
        <f>IFERROR(__xludf.DUMMYFUNCTION("""COMPUTED_VALUE"""),"GOYHATTA BAZAR")</f>
        <v>GOYHATTA BAZAR</v>
      </c>
      <c r="F2306" s="4">
        <f>IFERROR(__xludf.DUMMYFUNCTION("""COMPUTED_VALUE"""),106.0)</f>
        <v>106</v>
      </c>
      <c r="G2306" s="5">
        <f>IFERROR(__xludf.DUMMYFUNCTION("""COMPUTED_VALUE"""),3.5931065E7)</f>
        <v>35931065</v>
      </c>
    </row>
    <row r="2307">
      <c r="A2307" s="3">
        <f>IFERROR(__xludf.DUMMYFUNCTION("""COMPUTED_VALUE"""),193.0)</f>
        <v>193</v>
      </c>
      <c r="B2307" s="2" t="str">
        <f>IFERROR(__xludf.DUMMYFUNCTION("""COMPUTED_VALUE"""),"TANGAIL")</f>
        <v>TANGAIL</v>
      </c>
      <c r="C2307" s="4">
        <f>IFERROR(__xludf.DUMMYFUNCTION("""COMPUTED_VALUE"""),35.0)</f>
        <v>35</v>
      </c>
      <c r="D2307" s="2" t="str">
        <f>IFERROR(__xludf.DUMMYFUNCTION("""COMPUTED_VALUE"""),"BANGLADESH KRISHI BANK")</f>
        <v>BANGLADESH KRISHI BANK</v>
      </c>
      <c r="E2307" s="2" t="str">
        <f>IFERROR(__xludf.DUMMYFUNCTION("""COMPUTED_VALUE"""),"HATUBHANGA")</f>
        <v>HATUBHANGA</v>
      </c>
      <c r="F2307" s="4">
        <f>IFERROR(__xludf.DUMMYFUNCTION("""COMPUTED_VALUE"""),112.0)</f>
        <v>112</v>
      </c>
      <c r="G2307" s="5">
        <f>IFERROR(__xludf.DUMMYFUNCTION("""COMPUTED_VALUE"""),3.5931128E7)</f>
        <v>35931128</v>
      </c>
    </row>
    <row r="2308">
      <c r="A2308" s="3">
        <f>IFERROR(__xludf.DUMMYFUNCTION("""COMPUTED_VALUE"""),193.0)</f>
        <v>193</v>
      </c>
      <c r="B2308" s="2" t="str">
        <f>IFERROR(__xludf.DUMMYFUNCTION("""COMPUTED_VALUE"""),"TANGAIL")</f>
        <v>TANGAIL</v>
      </c>
      <c r="C2308" s="4">
        <f>IFERROR(__xludf.DUMMYFUNCTION("""COMPUTED_VALUE"""),35.0)</f>
        <v>35</v>
      </c>
      <c r="D2308" s="2" t="str">
        <f>IFERROR(__xludf.DUMMYFUNCTION("""COMPUTED_VALUE"""),"BANGLADESH KRISHI BANK")</f>
        <v>BANGLADESH KRISHI BANK</v>
      </c>
      <c r="E2308" s="2" t="str">
        <f>IFERROR(__xludf.DUMMYFUNCTION("""COMPUTED_VALUE"""),"JHAWAIL")</f>
        <v>JHAWAIL</v>
      </c>
      <c r="F2308" s="4">
        <f>IFERROR(__xludf.DUMMYFUNCTION("""COMPUTED_VALUE"""),121.0)</f>
        <v>121</v>
      </c>
      <c r="G2308" s="5">
        <f>IFERROR(__xludf.DUMMYFUNCTION("""COMPUTED_VALUE"""),3.593121E7)</f>
        <v>35931210</v>
      </c>
    </row>
    <row r="2309">
      <c r="A2309" s="3">
        <f>IFERROR(__xludf.DUMMYFUNCTION("""COMPUTED_VALUE"""),193.0)</f>
        <v>193</v>
      </c>
      <c r="B2309" s="2" t="str">
        <f>IFERROR(__xludf.DUMMYFUNCTION("""COMPUTED_VALUE"""),"TANGAIL")</f>
        <v>TANGAIL</v>
      </c>
      <c r="C2309" s="4">
        <f>IFERROR(__xludf.DUMMYFUNCTION("""COMPUTED_VALUE"""),35.0)</f>
        <v>35</v>
      </c>
      <c r="D2309" s="2" t="str">
        <f>IFERROR(__xludf.DUMMYFUNCTION("""COMPUTED_VALUE"""),"BANGLADESH KRISHI BANK")</f>
        <v>BANGLADESH KRISHI BANK</v>
      </c>
      <c r="E2309" s="2" t="str">
        <f>IFERROR(__xludf.DUMMYFUNCTION("""COMPUTED_VALUE"""),"KACHUABAZAR")</f>
        <v>KACHUABAZAR</v>
      </c>
      <c r="F2309" s="4">
        <f>IFERROR(__xludf.DUMMYFUNCTION("""COMPUTED_VALUE"""),124.0)</f>
        <v>124</v>
      </c>
      <c r="G2309" s="5">
        <f>IFERROR(__xludf.DUMMYFUNCTION("""COMPUTED_VALUE"""),3.5931249E7)</f>
        <v>35931249</v>
      </c>
    </row>
    <row r="2310">
      <c r="A2310" s="3">
        <f>IFERROR(__xludf.DUMMYFUNCTION("""COMPUTED_VALUE"""),193.0)</f>
        <v>193</v>
      </c>
      <c r="B2310" s="2" t="str">
        <f>IFERROR(__xludf.DUMMYFUNCTION("""COMPUTED_VALUE"""),"TANGAIL")</f>
        <v>TANGAIL</v>
      </c>
      <c r="C2310" s="4">
        <f>IFERROR(__xludf.DUMMYFUNCTION("""COMPUTED_VALUE"""),35.0)</f>
        <v>35</v>
      </c>
      <c r="D2310" s="2" t="str">
        <f>IFERROR(__xludf.DUMMYFUNCTION("""COMPUTED_VALUE"""),"BANGLADESH KRISHI BANK")</f>
        <v>BANGLADESH KRISHI BANK</v>
      </c>
      <c r="E2310" s="2" t="str">
        <f>IFERROR(__xludf.DUMMYFUNCTION("""COMPUTED_VALUE"""),"KAKRAID")</f>
        <v>KAKRAID</v>
      </c>
      <c r="F2310" s="4">
        <f>IFERROR(__xludf.DUMMYFUNCTION("""COMPUTED_VALUE"""),127.0)</f>
        <v>127</v>
      </c>
      <c r="G2310" s="5">
        <f>IFERROR(__xludf.DUMMYFUNCTION("""COMPUTED_VALUE"""),3.5931278E7)</f>
        <v>35931278</v>
      </c>
    </row>
    <row r="2311">
      <c r="A2311" s="3">
        <f>IFERROR(__xludf.DUMMYFUNCTION("""COMPUTED_VALUE"""),193.0)</f>
        <v>193</v>
      </c>
      <c r="B2311" s="2" t="str">
        <f>IFERROR(__xludf.DUMMYFUNCTION("""COMPUTED_VALUE"""),"TANGAIL")</f>
        <v>TANGAIL</v>
      </c>
      <c r="C2311" s="4">
        <f>IFERROR(__xludf.DUMMYFUNCTION("""COMPUTED_VALUE"""),35.0)</f>
        <v>35</v>
      </c>
      <c r="D2311" s="2" t="str">
        <f>IFERROR(__xludf.DUMMYFUNCTION("""COMPUTED_VALUE"""),"BANGLADESH KRISHI BANK")</f>
        <v>BANGLADESH KRISHI BANK</v>
      </c>
      <c r="E2311" s="2" t="str">
        <f>IFERROR(__xludf.DUMMYFUNCTION("""COMPUTED_VALUE"""),"KALIHATI")</f>
        <v>KALIHATI</v>
      </c>
      <c r="F2311" s="4">
        <f>IFERROR(__xludf.DUMMYFUNCTION("""COMPUTED_VALUE"""),130.0)</f>
        <v>130</v>
      </c>
      <c r="G2311" s="5">
        <f>IFERROR(__xludf.DUMMYFUNCTION("""COMPUTED_VALUE"""),3.5931302E7)</f>
        <v>35931302</v>
      </c>
    </row>
    <row r="2312">
      <c r="A2312" s="3">
        <f>IFERROR(__xludf.DUMMYFUNCTION("""COMPUTED_VALUE"""),193.0)</f>
        <v>193</v>
      </c>
      <c r="B2312" s="2" t="str">
        <f>IFERROR(__xludf.DUMMYFUNCTION("""COMPUTED_VALUE"""),"TANGAIL")</f>
        <v>TANGAIL</v>
      </c>
      <c r="C2312" s="4">
        <f>IFERROR(__xludf.DUMMYFUNCTION("""COMPUTED_VALUE"""),35.0)</f>
        <v>35</v>
      </c>
      <c r="D2312" s="2" t="str">
        <f>IFERROR(__xludf.DUMMYFUNCTION("""COMPUTED_VALUE"""),"BANGLADESH KRISHI BANK")</f>
        <v>BANGLADESH KRISHI BANK</v>
      </c>
      <c r="E2312" s="2" t="str">
        <f>IFERROR(__xludf.DUMMYFUNCTION("""COMPUTED_VALUE"""),"KARATIA")</f>
        <v>KARATIA</v>
      </c>
      <c r="F2312" s="4">
        <f>IFERROR(__xludf.DUMMYFUNCTION("""COMPUTED_VALUE"""),136.0)</f>
        <v>136</v>
      </c>
      <c r="G2312" s="5">
        <f>IFERROR(__xludf.DUMMYFUNCTION("""COMPUTED_VALUE"""),3.593136E7)</f>
        <v>35931360</v>
      </c>
    </row>
    <row r="2313">
      <c r="A2313" s="3">
        <f>IFERROR(__xludf.DUMMYFUNCTION("""COMPUTED_VALUE"""),193.0)</f>
        <v>193</v>
      </c>
      <c r="B2313" s="2" t="str">
        <f>IFERROR(__xludf.DUMMYFUNCTION("""COMPUTED_VALUE"""),"TANGAIL")</f>
        <v>TANGAIL</v>
      </c>
      <c r="C2313" s="4">
        <f>IFERROR(__xludf.DUMMYFUNCTION("""COMPUTED_VALUE"""),35.0)</f>
        <v>35</v>
      </c>
      <c r="D2313" s="2" t="str">
        <f>IFERROR(__xludf.DUMMYFUNCTION("""COMPUTED_VALUE"""),"BANGLADESH KRISHI BANK")</f>
        <v>BANGLADESH KRISHI BANK</v>
      </c>
      <c r="E2313" s="2" t="str">
        <f>IFERROR(__xludf.DUMMYFUNCTION("""COMPUTED_VALUE"""),"MADHUPUR")</f>
        <v>MADHUPUR</v>
      </c>
      <c r="F2313" s="4">
        <f>IFERROR(__xludf.DUMMYFUNCTION("""COMPUTED_VALUE"""),148.0)</f>
        <v>148</v>
      </c>
      <c r="G2313" s="5">
        <f>IFERROR(__xludf.DUMMYFUNCTION("""COMPUTED_VALUE"""),3.5931481E7)</f>
        <v>35931481</v>
      </c>
    </row>
    <row r="2314">
      <c r="A2314" s="3">
        <f>IFERROR(__xludf.DUMMYFUNCTION("""COMPUTED_VALUE"""),193.0)</f>
        <v>193</v>
      </c>
      <c r="B2314" s="2" t="str">
        <f>IFERROR(__xludf.DUMMYFUNCTION("""COMPUTED_VALUE"""),"TANGAIL")</f>
        <v>TANGAIL</v>
      </c>
      <c r="C2314" s="4">
        <f>IFERROR(__xludf.DUMMYFUNCTION("""COMPUTED_VALUE"""),35.0)</f>
        <v>35</v>
      </c>
      <c r="D2314" s="2" t="str">
        <f>IFERROR(__xludf.DUMMYFUNCTION("""COMPUTED_VALUE"""),"BANGLADESH KRISHI BANK")</f>
        <v>BANGLADESH KRISHI BANK</v>
      </c>
      <c r="E2314" s="2" t="str">
        <f>IFERROR(__xludf.DUMMYFUNCTION("""COMPUTED_VALUE"""),"MIRZAPUR")</f>
        <v>MIRZAPUR</v>
      </c>
      <c r="F2314" s="4">
        <f>IFERROR(__xludf.DUMMYFUNCTION("""COMPUTED_VALUE"""),151.0)</f>
        <v>151</v>
      </c>
      <c r="G2314" s="5">
        <f>IFERROR(__xludf.DUMMYFUNCTION("""COMPUTED_VALUE"""),3.5931515E7)</f>
        <v>35931515</v>
      </c>
    </row>
    <row r="2315">
      <c r="A2315" s="3">
        <f>IFERROR(__xludf.DUMMYFUNCTION("""COMPUTED_VALUE"""),193.0)</f>
        <v>193</v>
      </c>
      <c r="B2315" s="2" t="str">
        <f>IFERROR(__xludf.DUMMYFUNCTION("""COMPUTED_VALUE"""),"TANGAIL")</f>
        <v>TANGAIL</v>
      </c>
      <c r="C2315" s="4">
        <f>IFERROR(__xludf.DUMMYFUNCTION("""COMPUTED_VALUE"""),35.0)</f>
        <v>35</v>
      </c>
      <c r="D2315" s="2" t="str">
        <f>IFERROR(__xludf.DUMMYFUNCTION("""COMPUTED_VALUE"""),"BANGLADESH KRISHI BANK")</f>
        <v>BANGLADESH KRISHI BANK</v>
      </c>
      <c r="E2315" s="2" t="str">
        <f>IFERROR(__xludf.DUMMYFUNCTION("""COMPUTED_VALUE"""),"NAGARPUR")</f>
        <v>NAGARPUR</v>
      </c>
      <c r="F2315" s="4">
        <f>IFERROR(__xludf.DUMMYFUNCTION("""COMPUTED_VALUE"""),169.0)</f>
        <v>169</v>
      </c>
      <c r="G2315" s="5">
        <f>IFERROR(__xludf.DUMMYFUNCTION("""COMPUTED_VALUE"""),3.5931694E7)</f>
        <v>35931694</v>
      </c>
    </row>
    <row r="2316">
      <c r="A2316" s="3">
        <f>IFERROR(__xludf.DUMMYFUNCTION("""COMPUTED_VALUE"""),193.0)</f>
        <v>193</v>
      </c>
      <c r="B2316" s="2" t="str">
        <f>IFERROR(__xludf.DUMMYFUNCTION("""COMPUTED_VALUE"""),"TANGAIL")</f>
        <v>TANGAIL</v>
      </c>
      <c r="C2316" s="4">
        <f>IFERROR(__xludf.DUMMYFUNCTION("""COMPUTED_VALUE"""),35.0)</f>
        <v>35</v>
      </c>
      <c r="D2316" s="2" t="str">
        <f>IFERROR(__xludf.DUMMYFUNCTION("""COMPUTED_VALUE"""),"BANGLADESH KRISHI BANK")</f>
        <v>BANGLADESH KRISHI BANK</v>
      </c>
      <c r="E2316" s="2" t="str">
        <f>IFERROR(__xludf.DUMMYFUNCTION("""COMPUTED_VALUE"""),"NALUA BAZAR")</f>
        <v>NALUA BAZAR</v>
      </c>
      <c r="F2316" s="4">
        <f>IFERROR(__xludf.DUMMYFUNCTION("""COMPUTED_VALUE"""),172.0)</f>
        <v>172</v>
      </c>
      <c r="G2316" s="5">
        <f>IFERROR(__xludf.DUMMYFUNCTION("""COMPUTED_VALUE"""),3.5931728E7)</f>
        <v>35931728</v>
      </c>
    </row>
    <row r="2317">
      <c r="A2317" s="3">
        <f>IFERROR(__xludf.DUMMYFUNCTION("""COMPUTED_VALUE"""),193.0)</f>
        <v>193</v>
      </c>
      <c r="B2317" s="2" t="str">
        <f>IFERROR(__xludf.DUMMYFUNCTION("""COMPUTED_VALUE"""),"TANGAIL")</f>
        <v>TANGAIL</v>
      </c>
      <c r="C2317" s="4">
        <f>IFERROR(__xludf.DUMMYFUNCTION("""COMPUTED_VALUE"""),35.0)</f>
        <v>35</v>
      </c>
      <c r="D2317" s="2" t="str">
        <f>IFERROR(__xludf.DUMMYFUNCTION("""COMPUTED_VALUE"""),"BANGLADESH KRISHI BANK")</f>
        <v>BANGLADESH KRISHI BANK</v>
      </c>
      <c r="E2317" s="2" t="str">
        <f>IFERROR(__xludf.DUMMYFUNCTION("""COMPUTED_VALUE"""),"PORABARI")</f>
        <v>PORABARI</v>
      </c>
      <c r="F2317" s="4">
        <f>IFERROR(__xludf.DUMMYFUNCTION("""COMPUTED_VALUE"""),199.0)</f>
        <v>199</v>
      </c>
      <c r="G2317" s="5">
        <f>IFERROR(__xludf.DUMMYFUNCTION("""COMPUTED_VALUE"""),3.5931999E7)</f>
        <v>35931999</v>
      </c>
    </row>
    <row r="2318">
      <c r="A2318" s="3">
        <f>IFERROR(__xludf.DUMMYFUNCTION("""COMPUTED_VALUE"""),193.0)</f>
        <v>193</v>
      </c>
      <c r="B2318" s="2" t="str">
        <f>IFERROR(__xludf.DUMMYFUNCTION("""COMPUTED_VALUE"""),"TANGAIL")</f>
        <v>TANGAIL</v>
      </c>
      <c r="C2318" s="4">
        <f>IFERROR(__xludf.DUMMYFUNCTION("""COMPUTED_VALUE"""),35.0)</f>
        <v>35</v>
      </c>
      <c r="D2318" s="2" t="str">
        <f>IFERROR(__xludf.DUMMYFUNCTION("""COMPUTED_VALUE"""),"BANGLADESH KRISHI BANK")</f>
        <v>BANGLADESH KRISHI BANK</v>
      </c>
      <c r="E2318" s="2" t="str">
        <f>IFERROR(__xludf.DUMMYFUNCTION("""COMPUTED_VALUE"""),"SAHABATPUR BAZAR")</f>
        <v>SAHABATPUR BAZAR</v>
      </c>
      <c r="F2318" s="4">
        <f>IFERROR(__xludf.DUMMYFUNCTION("""COMPUTED_VALUE"""),208.0)</f>
        <v>208</v>
      </c>
      <c r="G2318" s="5">
        <f>IFERROR(__xludf.DUMMYFUNCTION("""COMPUTED_VALUE"""),3.593208E7)</f>
        <v>35932080</v>
      </c>
    </row>
    <row r="2319">
      <c r="A2319" s="3">
        <f>IFERROR(__xludf.DUMMYFUNCTION("""COMPUTED_VALUE"""),193.0)</f>
        <v>193</v>
      </c>
      <c r="B2319" s="2" t="str">
        <f>IFERROR(__xludf.DUMMYFUNCTION("""COMPUTED_VALUE"""),"TANGAIL")</f>
        <v>TANGAIL</v>
      </c>
      <c r="C2319" s="4">
        <f>IFERROR(__xludf.DUMMYFUNCTION("""COMPUTED_VALUE"""),35.0)</f>
        <v>35</v>
      </c>
      <c r="D2319" s="2" t="str">
        <f>IFERROR(__xludf.DUMMYFUNCTION("""COMPUTED_VALUE"""),"BANGLADESH KRISHI BANK")</f>
        <v>BANGLADESH KRISHI BANK</v>
      </c>
      <c r="E2319" s="2" t="str">
        <f>IFERROR(__xludf.DUMMYFUNCTION("""COMPUTED_VALUE"""),"SAJANPUR")</f>
        <v>SAJANPUR</v>
      </c>
      <c r="F2319" s="4">
        <f>IFERROR(__xludf.DUMMYFUNCTION("""COMPUTED_VALUE"""),211.0)</f>
        <v>211</v>
      </c>
      <c r="G2319" s="5">
        <f>IFERROR(__xludf.DUMMYFUNCTION("""COMPUTED_VALUE"""),3.5932114E7)</f>
        <v>35932114</v>
      </c>
    </row>
    <row r="2320">
      <c r="A2320" s="3">
        <f>IFERROR(__xludf.DUMMYFUNCTION("""COMPUTED_VALUE"""),193.0)</f>
        <v>193</v>
      </c>
      <c r="B2320" s="2" t="str">
        <f>IFERROR(__xludf.DUMMYFUNCTION("""COMPUTED_VALUE"""),"TANGAIL")</f>
        <v>TANGAIL</v>
      </c>
      <c r="C2320" s="4">
        <f>IFERROR(__xludf.DUMMYFUNCTION("""COMPUTED_VALUE"""),35.0)</f>
        <v>35</v>
      </c>
      <c r="D2320" s="2" t="str">
        <f>IFERROR(__xludf.DUMMYFUNCTION("""COMPUTED_VALUE"""),"BANGLADESH KRISHI BANK")</f>
        <v>BANGLADESH KRISHI BANK</v>
      </c>
      <c r="E2320" s="2" t="str">
        <f>IFERROR(__xludf.DUMMYFUNCTION("""COMPUTED_VALUE"""),"SHAKHIPUR")</f>
        <v>SHAKHIPUR</v>
      </c>
      <c r="F2320" s="4">
        <f>IFERROR(__xludf.DUMMYFUNCTION("""COMPUTED_VALUE"""),220.0)</f>
        <v>220</v>
      </c>
      <c r="G2320" s="5">
        <f>IFERROR(__xludf.DUMMYFUNCTION("""COMPUTED_VALUE"""),3.5932206E7)</f>
        <v>35932206</v>
      </c>
    </row>
    <row r="2321">
      <c r="A2321" s="3">
        <f>IFERROR(__xludf.DUMMYFUNCTION("""COMPUTED_VALUE"""),193.0)</f>
        <v>193</v>
      </c>
      <c r="B2321" s="2" t="str">
        <f>IFERROR(__xludf.DUMMYFUNCTION("""COMPUTED_VALUE"""),"TANGAIL")</f>
        <v>TANGAIL</v>
      </c>
      <c r="C2321" s="4">
        <f>IFERROR(__xludf.DUMMYFUNCTION("""COMPUTED_VALUE"""),35.0)</f>
        <v>35</v>
      </c>
      <c r="D2321" s="2" t="str">
        <f>IFERROR(__xludf.DUMMYFUNCTION("""COMPUTED_VALUE"""),"BANGLADESH KRISHI BANK")</f>
        <v>BANGLADESH KRISHI BANK</v>
      </c>
      <c r="E2321" s="2" t="str">
        <f>IFERROR(__xludf.DUMMYFUNCTION("""COMPUTED_VALUE"""),"SIMLA BAZAR")</f>
        <v>SIMLA BAZAR</v>
      </c>
      <c r="F2321" s="4">
        <f>IFERROR(__xludf.DUMMYFUNCTION("""COMPUTED_VALUE"""),223.0)</f>
        <v>223</v>
      </c>
      <c r="G2321" s="5">
        <f>IFERROR(__xludf.DUMMYFUNCTION("""COMPUTED_VALUE"""),3.5932235E7)</f>
        <v>35932235</v>
      </c>
    </row>
    <row r="2322">
      <c r="A2322" s="3">
        <f>IFERROR(__xludf.DUMMYFUNCTION("""COMPUTED_VALUE"""),193.0)</f>
        <v>193</v>
      </c>
      <c r="B2322" s="2" t="str">
        <f>IFERROR(__xludf.DUMMYFUNCTION("""COMPUTED_VALUE"""),"TANGAIL")</f>
        <v>TANGAIL</v>
      </c>
      <c r="C2322" s="4">
        <f>IFERROR(__xludf.DUMMYFUNCTION("""COMPUTED_VALUE"""),35.0)</f>
        <v>35</v>
      </c>
      <c r="D2322" s="2" t="str">
        <f>IFERROR(__xludf.DUMMYFUNCTION("""COMPUTED_VALUE"""),"BANGLADESH KRISHI BANK")</f>
        <v>BANGLADESH KRISHI BANK</v>
      </c>
      <c r="E2322" s="2" t="str">
        <f>IFERROR(__xludf.DUMMYFUNCTION("""COMPUTED_VALUE"""),"TANGAIL")</f>
        <v>TANGAIL</v>
      </c>
      <c r="F2322" s="4">
        <f>IFERROR(__xludf.DUMMYFUNCTION("""COMPUTED_VALUE"""),229.0)</f>
        <v>229</v>
      </c>
      <c r="G2322" s="5">
        <f>IFERROR(__xludf.DUMMYFUNCTION("""COMPUTED_VALUE"""),3.5932293E7)</f>
        <v>35932293</v>
      </c>
    </row>
    <row r="2323">
      <c r="A2323" s="3">
        <f>IFERROR(__xludf.DUMMYFUNCTION("""COMPUTED_VALUE"""),127.0)</f>
        <v>127</v>
      </c>
      <c r="B2323" s="2" t="str">
        <f>IFERROR(__xludf.DUMMYFUNCTION("""COMPUTED_VALUE"""),"DHAKA-SOUTH")</f>
        <v>DHAKA-SOUTH</v>
      </c>
      <c r="C2323" s="4">
        <f>IFERROR(__xludf.DUMMYFUNCTION("""COMPUTED_VALUE"""),40.0)</f>
        <v>40</v>
      </c>
      <c r="D2323" s="2" t="str">
        <f>IFERROR(__xludf.DUMMYFUNCTION("""COMPUTED_VALUE"""),"BANGLADESH SAMABAYA BANK LTD.")</f>
        <v>BANGLADESH SAMABAYA BANK LTD.</v>
      </c>
      <c r="E2323" s="2" t="str">
        <f>IFERROR(__xludf.DUMMYFUNCTION("""COMPUTED_VALUE"""),"TRUNCATION POINT")</f>
        <v>TRUNCATION POINT</v>
      </c>
      <c r="F2323" s="4">
        <f>IFERROR(__xludf.DUMMYFUNCTION("""COMPUTED_VALUE"""),0.0)</f>
        <v>0</v>
      </c>
      <c r="G2323" s="5">
        <f>IFERROR(__xludf.DUMMYFUNCTION("""COMPUTED_VALUE"""),4.0270003E7)</f>
        <v>40270003</v>
      </c>
    </row>
    <row r="2324">
      <c r="A2324" s="3">
        <f>IFERROR(__xludf.DUMMYFUNCTION("""COMPUTED_VALUE"""),127.0)</f>
        <v>127</v>
      </c>
      <c r="B2324" s="2" t="str">
        <f>IFERROR(__xludf.DUMMYFUNCTION("""COMPUTED_VALUE"""),"DHAKA-SOUTH")</f>
        <v>DHAKA-SOUTH</v>
      </c>
      <c r="C2324" s="4">
        <f>IFERROR(__xludf.DUMMYFUNCTION("""COMPUTED_VALUE"""),40.0)</f>
        <v>40</v>
      </c>
      <c r="D2324" s="2" t="str">
        <f>IFERROR(__xludf.DUMMYFUNCTION("""COMPUTED_VALUE"""),"BANGLADESH SAMABAYA BANK LTD.")</f>
        <v>BANGLADESH SAMABAYA BANK LTD.</v>
      </c>
      <c r="E2324" s="2" t="str">
        <f>IFERROR(__xludf.DUMMYFUNCTION("""COMPUTED_VALUE"""),"DHAKA")</f>
        <v>DHAKA</v>
      </c>
      <c r="F2324" s="4">
        <f>IFERROR(__xludf.DUMMYFUNCTION("""COMPUTED_VALUE"""),151.0)</f>
        <v>151</v>
      </c>
      <c r="G2324" s="5">
        <f>IFERROR(__xludf.DUMMYFUNCTION("""COMPUTED_VALUE"""),4.027151E7)</f>
        <v>40271510</v>
      </c>
    </row>
    <row r="2325">
      <c r="A2325" s="3">
        <f>IFERROR(__xludf.DUMMYFUNCTION("""COMPUTED_VALUE"""),306.0)</f>
        <v>306</v>
      </c>
      <c r="B2325" s="2" t="str">
        <f>IFERROR(__xludf.DUMMYFUNCTION("""COMPUTED_VALUE"""),"BARISHAL")</f>
        <v>BARISHAL</v>
      </c>
      <c r="C2325" s="4">
        <f>IFERROR(__xludf.DUMMYFUNCTION("""COMPUTED_VALUE"""),47.0)</f>
        <v>47</v>
      </c>
      <c r="D2325" s="2" t="str">
        <f>IFERROR(__xludf.DUMMYFUNCTION("""COMPUTED_VALUE"""),"BANGLADESH DEVELOPMENT BANK LTD.")</f>
        <v>BANGLADESH DEVELOPMENT BANK LTD.</v>
      </c>
      <c r="E2325" s="2" t="str">
        <f>IFERROR(__xludf.DUMMYFUNCTION("""COMPUTED_VALUE"""),"BARISAL")</f>
        <v>BARISAL</v>
      </c>
      <c r="F2325" s="4">
        <f>IFERROR(__xludf.DUMMYFUNCTION("""COMPUTED_VALUE"""),28.0)</f>
        <v>28</v>
      </c>
      <c r="G2325" s="5">
        <f>IFERROR(__xludf.DUMMYFUNCTION("""COMPUTED_VALUE"""),4.7060287E7)</f>
        <v>47060287</v>
      </c>
    </row>
    <row r="2326">
      <c r="A2326" s="3">
        <f>IFERROR(__xludf.DUMMYFUNCTION("""COMPUTED_VALUE"""),610.0)</f>
        <v>610</v>
      </c>
      <c r="B2326" s="2" t="str">
        <f>IFERROR(__xludf.DUMMYFUNCTION("""COMPUTED_VALUE"""),"BOGRA")</f>
        <v>BOGRA</v>
      </c>
      <c r="C2326" s="4">
        <f>IFERROR(__xludf.DUMMYFUNCTION("""COMPUTED_VALUE"""),47.0)</f>
        <v>47</v>
      </c>
      <c r="D2326" s="2" t="str">
        <f>IFERROR(__xludf.DUMMYFUNCTION("""COMPUTED_VALUE"""),"BANGLADESH DEVELOPMENT BANK LTD.")</f>
        <v>BANGLADESH DEVELOPMENT BANK LTD.</v>
      </c>
      <c r="E2326" s="2" t="str">
        <f>IFERROR(__xludf.DUMMYFUNCTION("""COMPUTED_VALUE"""),"BOGRA")</f>
        <v>BOGRA</v>
      </c>
      <c r="F2326" s="4">
        <f>IFERROR(__xludf.DUMMYFUNCTION("""COMPUTED_VALUE"""),37.0)</f>
        <v>37</v>
      </c>
      <c r="G2326" s="5">
        <f>IFERROR(__xludf.DUMMYFUNCTION("""COMPUTED_VALUE"""),4.7100376E7)</f>
        <v>47100376</v>
      </c>
    </row>
    <row r="2327">
      <c r="A2327" s="3">
        <f>IFERROR(__xludf.DUMMYFUNCTION("""COMPUTED_VALUE"""),610.0)</f>
        <v>610</v>
      </c>
      <c r="B2327" s="2" t="str">
        <f>IFERROR(__xludf.DUMMYFUNCTION("""COMPUTED_VALUE"""),"BOGRA")</f>
        <v>BOGRA</v>
      </c>
      <c r="C2327" s="4">
        <f>IFERROR(__xludf.DUMMYFUNCTION("""COMPUTED_VALUE"""),47.0)</f>
        <v>47</v>
      </c>
      <c r="D2327" s="2" t="str">
        <f>IFERROR(__xludf.DUMMYFUNCTION("""COMPUTED_VALUE"""),"BANGLADESH DEVELOPMENT BANK LTD.")</f>
        <v>BANGLADESH DEVELOPMENT BANK LTD.</v>
      </c>
      <c r="E2327" s="2" t="str">
        <f>IFERROR(__xludf.DUMMYFUNCTION("""COMPUTED_VALUE"""),"MOKAMTALA")</f>
        <v>MOKAMTALA</v>
      </c>
      <c r="F2327" s="4">
        <f>IFERROR(__xludf.DUMMYFUNCTION("""COMPUTED_VALUE"""),193.0)</f>
        <v>193</v>
      </c>
      <c r="G2327" s="5">
        <f>IFERROR(__xludf.DUMMYFUNCTION("""COMPUTED_VALUE"""),4.7101933E7)</f>
        <v>47101933</v>
      </c>
    </row>
    <row r="2328">
      <c r="A2328" s="3">
        <f>IFERROR(__xludf.DUMMYFUNCTION("""COMPUTED_VALUE"""),112.0)</f>
        <v>112</v>
      </c>
      <c r="B2328" s="2" t="str">
        <f>IFERROR(__xludf.DUMMYFUNCTION("""COMPUTED_VALUE"""),"BRAHMANBARIA")</f>
        <v>BRAHMANBARIA</v>
      </c>
      <c r="C2328" s="4">
        <f>IFERROR(__xludf.DUMMYFUNCTION("""COMPUTED_VALUE"""),47.0)</f>
        <v>47</v>
      </c>
      <c r="D2328" s="2" t="str">
        <f>IFERROR(__xludf.DUMMYFUNCTION("""COMPUTED_VALUE"""),"BANGLADESH DEVELOPMENT BANK LTD.")</f>
        <v>BANGLADESH DEVELOPMENT BANK LTD.</v>
      </c>
      <c r="E2328" s="2" t="str">
        <f>IFERROR(__xludf.DUMMYFUNCTION("""COMPUTED_VALUE"""),"ASHUGANJ")</f>
        <v>ASHUGANJ</v>
      </c>
      <c r="F2328" s="4">
        <f>IFERROR(__xludf.DUMMYFUNCTION("""COMPUTED_VALUE"""),10.0)</f>
        <v>10</v>
      </c>
      <c r="G2328" s="5">
        <f>IFERROR(__xludf.DUMMYFUNCTION("""COMPUTED_VALUE"""),4.7120101E7)</f>
        <v>47120101</v>
      </c>
    </row>
    <row r="2329">
      <c r="A2329" s="3">
        <f>IFERROR(__xludf.DUMMYFUNCTION("""COMPUTED_VALUE"""),112.0)</f>
        <v>112</v>
      </c>
      <c r="B2329" s="2" t="str">
        <f>IFERROR(__xludf.DUMMYFUNCTION("""COMPUTED_VALUE"""),"BRAHMANBARIA")</f>
        <v>BRAHMANBARIA</v>
      </c>
      <c r="C2329" s="4">
        <f>IFERROR(__xludf.DUMMYFUNCTION("""COMPUTED_VALUE"""),47.0)</f>
        <v>47</v>
      </c>
      <c r="D2329" s="2" t="str">
        <f>IFERROR(__xludf.DUMMYFUNCTION("""COMPUTED_VALUE"""),"BANGLADESH DEVELOPMENT BANK LTD.")</f>
        <v>BANGLADESH DEVELOPMENT BANK LTD.</v>
      </c>
      <c r="E2329" s="2" t="str">
        <f>IFERROR(__xludf.DUMMYFUNCTION("""COMPUTED_VALUE"""),"BRAHMANBARIA")</f>
        <v>BRAHMANBARIA</v>
      </c>
      <c r="F2329" s="4">
        <f>IFERROR(__xludf.DUMMYFUNCTION("""COMPUTED_VALUE"""),43.0)</f>
        <v>43</v>
      </c>
      <c r="G2329" s="5">
        <f>IFERROR(__xludf.DUMMYFUNCTION("""COMPUTED_VALUE"""),4.7120435E7)</f>
        <v>47120435</v>
      </c>
    </row>
    <row r="2330">
      <c r="A2330" s="3">
        <f>IFERROR(__xludf.DUMMYFUNCTION("""COMPUTED_VALUE"""),112.0)</f>
        <v>112</v>
      </c>
      <c r="B2330" s="2" t="str">
        <f>IFERROR(__xludf.DUMMYFUNCTION("""COMPUTED_VALUE"""),"BRAHMANBARIA")</f>
        <v>BRAHMANBARIA</v>
      </c>
      <c r="C2330" s="4">
        <f>IFERROR(__xludf.DUMMYFUNCTION("""COMPUTED_VALUE"""),47.0)</f>
        <v>47</v>
      </c>
      <c r="D2330" s="2" t="str">
        <f>IFERROR(__xludf.DUMMYFUNCTION("""COMPUTED_VALUE"""),"BANGLADESH DEVELOPMENT BANK LTD.")</f>
        <v>BANGLADESH DEVELOPMENT BANK LTD.</v>
      </c>
      <c r="E2330" s="2" t="str">
        <f>IFERROR(__xludf.DUMMYFUNCTION("""COMPUTED_VALUE"""),"NABINAGAR")</f>
        <v>NABINAGAR</v>
      </c>
      <c r="F2330" s="4">
        <f>IFERROR(__xludf.DUMMYFUNCTION("""COMPUTED_VALUE"""),136.0)</f>
        <v>136</v>
      </c>
      <c r="G2330" s="5">
        <f>IFERROR(__xludf.DUMMYFUNCTION("""COMPUTED_VALUE"""),4.7121368E7)</f>
        <v>47121368</v>
      </c>
    </row>
    <row r="2331">
      <c r="A2331" s="3">
        <f>IFERROR(__xludf.DUMMYFUNCTION("""COMPUTED_VALUE"""),215.0)</f>
        <v>215</v>
      </c>
      <c r="B2331" s="2" t="str">
        <f>IFERROR(__xludf.DUMMYFUNCTION("""COMPUTED_VALUE"""),"CHITTAGONG")</f>
        <v>CHITTAGONG</v>
      </c>
      <c r="C2331" s="4">
        <f>IFERROR(__xludf.DUMMYFUNCTION("""COMPUTED_VALUE"""),47.0)</f>
        <v>47</v>
      </c>
      <c r="D2331" s="2" t="str">
        <f>IFERROR(__xludf.DUMMYFUNCTION("""COMPUTED_VALUE"""),"BANGLADESH DEVELOPMENT BANK LTD.")</f>
        <v>BANGLADESH DEVELOPMENT BANK LTD.</v>
      </c>
      <c r="E2331" s="2" t="str">
        <f>IFERROR(__xludf.DUMMYFUNCTION("""COMPUTED_VALUE"""),"CHITTAGONG")</f>
        <v>CHITTAGONG</v>
      </c>
      <c r="F2331" s="4">
        <f>IFERROR(__xludf.DUMMYFUNCTION("""COMPUTED_VALUE"""),196.0)</f>
        <v>196</v>
      </c>
      <c r="G2331" s="5">
        <f>IFERROR(__xludf.DUMMYFUNCTION("""COMPUTED_VALUE"""),4.7151967E7)</f>
        <v>47151967</v>
      </c>
    </row>
    <row r="2332">
      <c r="A2332" s="3">
        <f>IFERROR(__xludf.DUMMYFUNCTION("""COMPUTED_VALUE"""),215.0)</f>
        <v>215</v>
      </c>
      <c r="B2332" s="2" t="str">
        <f>IFERROR(__xludf.DUMMYFUNCTION("""COMPUTED_VALUE"""),"CHITTAGONG")</f>
        <v>CHITTAGONG</v>
      </c>
      <c r="C2332" s="4">
        <f>IFERROR(__xludf.DUMMYFUNCTION("""COMPUTED_VALUE"""),47.0)</f>
        <v>47</v>
      </c>
      <c r="D2332" s="2" t="str">
        <f>IFERROR(__xludf.DUMMYFUNCTION("""COMPUTED_VALUE"""),"BANGLADESH DEVELOPMENT BANK LTD.")</f>
        <v>BANGLADESH DEVELOPMENT BANK LTD.</v>
      </c>
      <c r="E2332" s="2" t="str">
        <f>IFERROR(__xludf.DUMMYFUNCTION("""COMPUTED_VALUE"""),"KHATUNGANJ")</f>
        <v>KHATUNGANJ</v>
      </c>
      <c r="F2332" s="4">
        <f>IFERROR(__xludf.DUMMYFUNCTION("""COMPUTED_VALUE"""),427.0)</f>
        <v>427</v>
      </c>
      <c r="G2332" s="5">
        <f>IFERROR(__xludf.DUMMYFUNCTION("""COMPUTED_VALUE"""),4.7154272E7)</f>
        <v>47154272</v>
      </c>
    </row>
    <row r="2333">
      <c r="A2333" s="3">
        <f>IFERROR(__xludf.DUMMYFUNCTION("""COMPUTED_VALUE"""),119.0)</f>
        <v>119</v>
      </c>
      <c r="B2333" s="2" t="str">
        <f>IFERROR(__xludf.DUMMYFUNCTION("""COMPUTED_VALUE"""),"COMILLA")</f>
        <v>COMILLA</v>
      </c>
      <c r="C2333" s="4">
        <f>IFERROR(__xludf.DUMMYFUNCTION("""COMPUTED_VALUE"""),47.0)</f>
        <v>47</v>
      </c>
      <c r="D2333" s="2" t="str">
        <f>IFERROR(__xludf.DUMMYFUNCTION("""COMPUTED_VALUE"""),"BANGLADESH DEVELOPMENT BANK LTD.")</f>
        <v>BANGLADESH DEVELOPMENT BANK LTD.</v>
      </c>
      <c r="E2333" s="2" t="str">
        <f>IFERROR(__xludf.DUMMYFUNCTION("""COMPUTED_VALUE"""),"COMILLA")</f>
        <v>COMILLA</v>
      </c>
      <c r="F2333" s="4">
        <f>IFERROR(__xludf.DUMMYFUNCTION("""COMPUTED_VALUE"""),115.0)</f>
        <v>115</v>
      </c>
      <c r="G2333" s="5">
        <f>IFERROR(__xludf.DUMMYFUNCTION("""COMPUTED_VALUE"""),4.7191156E7)</f>
        <v>47191156</v>
      </c>
    </row>
    <row r="2334">
      <c r="A2334" s="3">
        <f>IFERROR(__xludf.DUMMYFUNCTION("""COMPUTED_VALUE"""),222.0)</f>
        <v>222</v>
      </c>
      <c r="B2334" s="2" t="str">
        <f>IFERROR(__xludf.DUMMYFUNCTION("""COMPUTED_VALUE"""),"COXS BAZAR")</f>
        <v>COXS BAZAR</v>
      </c>
      <c r="C2334" s="4">
        <f>IFERROR(__xludf.DUMMYFUNCTION("""COMPUTED_VALUE"""),47.0)</f>
        <v>47</v>
      </c>
      <c r="D2334" s="2" t="str">
        <f>IFERROR(__xludf.DUMMYFUNCTION("""COMPUTED_VALUE"""),"BANGLADESH DEVELOPMENT BANK LTD.")</f>
        <v>BANGLADESH DEVELOPMENT BANK LTD.</v>
      </c>
      <c r="E2334" s="2" t="str">
        <f>IFERROR(__xludf.DUMMYFUNCTION("""COMPUTED_VALUE"""),"COXS BAZAR")</f>
        <v>COXS BAZAR</v>
      </c>
      <c r="F2334" s="4">
        <f>IFERROR(__xludf.DUMMYFUNCTION("""COMPUTED_VALUE"""),25.0)</f>
        <v>25</v>
      </c>
      <c r="G2334" s="5">
        <f>IFERROR(__xludf.DUMMYFUNCTION("""COMPUTED_VALUE"""),4.7220256E7)</f>
        <v>47220256</v>
      </c>
    </row>
    <row r="2335">
      <c r="A2335" s="3">
        <f>IFERROR(__xludf.DUMMYFUNCTION("""COMPUTED_VALUE"""),126.0)</f>
        <v>126</v>
      </c>
      <c r="B2335" s="2" t="str">
        <f>IFERROR(__xludf.DUMMYFUNCTION("""COMPUTED_VALUE"""),"DHAKA-NORTH")</f>
        <v>DHAKA-NORTH</v>
      </c>
      <c r="C2335" s="4">
        <f>IFERROR(__xludf.DUMMYFUNCTION("""COMPUTED_VALUE"""),47.0)</f>
        <v>47</v>
      </c>
      <c r="D2335" s="2" t="str">
        <f>IFERROR(__xludf.DUMMYFUNCTION("""COMPUTED_VALUE"""),"BANGLADESH DEVELOPMENT BANK LTD.")</f>
        <v>BANGLADESH DEVELOPMENT BANK LTD.</v>
      </c>
      <c r="E2335" s="2" t="str">
        <f>IFERROR(__xludf.DUMMYFUNCTION("""COMPUTED_VALUE"""),"ASHULIA")</f>
        <v>ASHULIA</v>
      </c>
      <c r="F2335" s="4">
        <f>IFERROR(__xludf.DUMMYFUNCTION("""COMPUTED_VALUE"""),22.0)</f>
        <v>22</v>
      </c>
      <c r="G2335" s="5">
        <f>IFERROR(__xludf.DUMMYFUNCTION("""COMPUTED_VALUE"""),4.7260229E7)</f>
        <v>47260229</v>
      </c>
    </row>
    <row r="2336">
      <c r="A2336" s="3">
        <f>IFERROR(__xludf.DUMMYFUNCTION("""COMPUTED_VALUE"""),126.0)</f>
        <v>126</v>
      </c>
      <c r="B2336" s="2" t="str">
        <f>IFERROR(__xludf.DUMMYFUNCTION("""COMPUTED_VALUE"""),"DHAKA-NORTH")</f>
        <v>DHAKA-NORTH</v>
      </c>
      <c r="C2336" s="4">
        <f>IFERROR(__xludf.DUMMYFUNCTION("""COMPUTED_VALUE"""),47.0)</f>
        <v>47</v>
      </c>
      <c r="D2336" s="2" t="str">
        <f>IFERROR(__xludf.DUMMYFUNCTION("""COMPUTED_VALUE"""),"BANGLADESH DEVELOPMENT BANK LTD.")</f>
        <v>BANGLADESH DEVELOPMENT BANK LTD.</v>
      </c>
      <c r="E2336" s="2" t="str">
        <f>IFERROR(__xludf.DUMMYFUNCTION("""COMPUTED_VALUE"""),"HEMAYET PUR")</f>
        <v>HEMAYET PUR</v>
      </c>
      <c r="F2336" s="4">
        <f>IFERROR(__xludf.DUMMYFUNCTION("""COMPUTED_VALUE"""),50.0)</f>
        <v>50</v>
      </c>
      <c r="G2336" s="5">
        <f>IFERROR(__xludf.DUMMYFUNCTION("""COMPUTED_VALUE"""),4.7260508E7)</f>
        <v>47260508</v>
      </c>
    </row>
    <row r="2337">
      <c r="A2337" s="3">
        <f>IFERROR(__xludf.DUMMYFUNCTION("""COMPUTED_VALUE"""),126.0)</f>
        <v>126</v>
      </c>
      <c r="B2337" s="2" t="str">
        <f>IFERROR(__xludf.DUMMYFUNCTION("""COMPUTED_VALUE"""),"DHAKA-NORTH")</f>
        <v>DHAKA-NORTH</v>
      </c>
      <c r="C2337" s="4">
        <f>IFERROR(__xludf.DUMMYFUNCTION("""COMPUTED_VALUE"""),47.0)</f>
        <v>47</v>
      </c>
      <c r="D2337" s="2" t="str">
        <f>IFERROR(__xludf.DUMMYFUNCTION("""COMPUTED_VALUE"""),"BANGLADESH DEVELOPMENT BANK LTD.")</f>
        <v>BANGLADESH DEVELOPMENT BANK LTD.</v>
      </c>
      <c r="E2337" s="2" t="str">
        <f>IFERROR(__xludf.DUMMYFUNCTION("""COMPUTED_VALUE"""),"ELEPHANT ROAD")</f>
        <v>ELEPHANT ROAD</v>
      </c>
      <c r="F2337" s="4">
        <f>IFERROR(__xludf.DUMMYFUNCTION("""COMPUTED_VALUE"""),133.0)</f>
        <v>133</v>
      </c>
      <c r="G2337" s="5">
        <f>IFERROR(__xludf.DUMMYFUNCTION("""COMPUTED_VALUE"""),4.7261336E7)</f>
        <v>47261336</v>
      </c>
    </row>
    <row r="2338">
      <c r="A2338" s="3">
        <f>IFERROR(__xludf.DUMMYFUNCTION("""COMPUTED_VALUE"""),126.0)</f>
        <v>126</v>
      </c>
      <c r="B2338" s="2" t="str">
        <f>IFERROR(__xludf.DUMMYFUNCTION("""COMPUTED_VALUE"""),"DHAKA-NORTH")</f>
        <v>DHAKA-NORTH</v>
      </c>
      <c r="C2338" s="4">
        <f>IFERROR(__xludf.DUMMYFUNCTION("""COMPUTED_VALUE"""),47.0)</f>
        <v>47</v>
      </c>
      <c r="D2338" s="2" t="str">
        <f>IFERROR(__xludf.DUMMYFUNCTION("""COMPUTED_VALUE"""),"BANGLADESH DEVELOPMENT BANK LTD.")</f>
        <v>BANGLADESH DEVELOPMENT BANK LTD.</v>
      </c>
      <c r="E2338" s="2" t="str">
        <f>IFERROR(__xludf.DUMMYFUNCTION("""COMPUTED_VALUE"""),"KARWAN BAZAR")</f>
        <v>KARWAN BAZAR</v>
      </c>
      <c r="F2338" s="4">
        <f>IFERROR(__xludf.DUMMYFUNCTION("""COMPUTED_VALUE"""),256.0)</f>
        <v>256</v>
      </c>
      <c r="G2338" s="5">
        <f>IFERROR(__xludf.DUMMYFUNCTION("""COMPUTED_VALUE"""),4.7262564E7)</f>
        <v>47262564</v>
      </c>
    </row>
    <row r="2339">
      <c r="A2339" s="3">
        <f>IFERROR(__xludf.DUMMYFUNCTION("""COMPUTED_VALUE"""),127.0)</f>
        <v>127</v>
      </c>
      <c r="B2339" s="2" t="str">
        <f>IFERROR(__xludf.DUMMYFUNCTION("""COMPUTED_VALUE"""),"DHAKA-SOUTH")</f>
        <v>DHAKA-SOUTH</v>
      </c>
      <c r="C2339" s="4">
        <f>IFERROR(__xludf.DUMMYFUNCTION("""COMPUTED_VALUE"""),47.0)</f>
        <v>47</v>
      </c>
      <c r="D2339" s="2" t="str">
        <f>IFERROR(__xludf.DUMMYFUNCTION("""COMPUTED_VALUE"""),"BANGLADESH DEVELOPMENT BANK LTD.")</f>
        <v>BANGLADESH DEVELOPMENT BANK LTD.</v>
      </c>
      <c r="E2339" s="2" t="str">
        <f>IFERROR(__xludf.DUMMYFUNCTION("""COMPUTED_VALUE"""),"TRUNCATION POINT")</f>
        <v>TRUNCATION POINT</v>
      </c>
      <c r="F2339" s="4">
        <f>IFERROR(__xludf.DUMMYFUNCTION("""COMPUTED_VALUE"""),0.0)</f>
        <v>0</v>
      </c>
      <c r="G2339" s="5">
        <f>IFERROR(__xludf.DUMMYFUNCTION("""COMPUTED_VALUE"""),4.7270006E7)</f>
        <v>47270006</v>
      </c>
    </row>
    <row r="2340">
      <c r="A2340" s="3">
        <f>IFERROR(__xludf.DUMMYFUNCTION("""COMPUTED_VALUE"""),127.0)</f>
        <v>127</v>
      </c>
      <c r="B2340" s="2" t="str">
        <f>IFERROR(__xludf.DUMMYFUNCTION("""COMPUTED_VALUE"""),"DHAKA-SOUTH")</f>
        <v>DHAKA-SOUTH</v>
      </c>
      <c r="C2340" s="4">
        <f>IFERROR(__xludf.DUMMYFUNCTION("""COMPUTED_VALUE"""),47.0)</f>
        <v>47</v>
      </c>
      <c r="D2340" s="2" t="str">
        <f>IFERROR(__xludf.DUMMYFUNCTION("""COMPUTED_VALUE"""),"BANGLADESH DEVELOPMENT BANK LTD.")</f>
        <v>BANGLADESH DEVELOPMENT BANK LTD.</v>
      </c>
      <c r="E2340" s="2" t="str">
        <f>IFERROR(__xludf.DUMMYFUNCTION("""COMPUTED_VALUE"""),"KERANIGANJ")</f>
        <v>KERANIGANJ</v>
      </c>
      <c r="F2340" s="4">
        <f>IFERROR(__xludf.DUMMYFUNCTION("""COMPUTED_VALUE"""),9.0)</f>
        <v>9</v>
      </c>
      <c r="G2340" s="5">
        <f>IFERROR(__xludf.DUMMYFUNCTION("""COMPUTED_VALUE"""),4.7270093E7)</f>
        <v>47270093</v>
      </c>
    </row>
    <row r="2341">
      <c r="A2341" s="3">
        <f>IFERROR(__xludf.DUMMYFUNCTION("""COMPUTED_VALUE"""),127.0)</f>
        <v>127</v>
      </c>
      <c r="B2341" s="2" t="str">
        <f>IFERROR(__xludf.DUMMYFUNCTION("""COMPUTED_VALUE"""),"DHAKA-SOUTH")</f>
        <v>DHAKA-SOUTH</v>
      </c>
      <c r="C2341" s="4">
        <f>IFERROR(__xludf.DUMMYFUNCTION("""COMPUTED_VALUE"""),47.0)</f>
        <v>47</v>
      </c>
      <c r="D2341" s="2" t="str">
        <f>IFERROR(__xludf.DUMMYFUNCTION("""COMPUTED_VALUE"""),"BANGLADESH DEVELOPMENT BANK LTD.")</f>
        <v>BANGLADESH DEVELOPMENT BANK LTD.</v>
      </c>
      <c r="E2341" s="2" t="str">
        <f>IFERROR(__xludf.DUMMYFUNCTION("""COMPUTED_VALUE"""),"PRINCIPAL")</f>
        <v>PRINCIPAL</v>
      </c>
      <c r="F2341" s="4">
        <f>IFERROR(__xludf.DUMMYFUNCTION("""COMPUTED_VALUE"""),157.0)</f>
        <v>157</v>
      </c>
      <c r="G2341" s="5">
        <f>IFERROR(__xludf.DUMMYFUNCTION("""COMPUTED_VALUE"""),4.7271571E7)</f>
        <v>47271571</v>
      </c>
    </row>
    <row r="2342">
      <c r="A2342" s="3">
        <f>IFERROR(__xludf.DUMMYFUNCTION("""COMPUTED_VALUE"""),127.0)</f>
        <v>127</v>
      </c>
      <c r="B2342" s="2" t="str">
        <f>IFERROR(__xludf.DUMMYFUNCTION("""COMPUTED_VALUE"""),"DHAKA-SOUTH")</f>
        <v>DHAKA-SOUTH</v>
      </c>
      <c r="C2342" s="4">
        <f>IFERROR(__xludf.DUMMYFUNCTION("""COMPUTED_VALUE"""),47.0)</f>
        <v>47</v>
      </c>
      <c r="D2342" s="2" t="str">
        <f>IFERROR(__xludf.DUMMYFUNCTION("""COMPUTED_VALUE"""),"BANGLADESH DEVELOPMENT BANK LTD.")</f>
        <v>BANGLADESH DEVELOPMENT BANK LTD.</v>
      </c>
      <c r="E2342" s="2" t="str">
        <f>IFERROR(__xludf.DUMMYFUNCTION("""COMPUTED_VALUE"""),"MOTIJHEEL")</f>
        <v>MOTIJHEEL</v>
      </c>
      <c r="F2342" s="4">
        <f>IFERROR(__xludf.DUMMYFUNCTION("""COMPUTED_VALUE"""),424.0)</f>
        <v>424</v>
      </c>
      <c r="G2342" s="5">
        <f>IFERROR(__xludf.DUMMYFUNCTION("""COMPUTED_VALUE"""),4.7274244E7)</f>
        <v>47274244</v>
      </c>
    </row>
    <row r="2343">
      <c r="A2343" s="3">
        <f>IFERROR(__xludf.DUMMYFUNCTION("""COMPUTED_VALUE"""),728.0)</f>
        <v>728</v>
      </c>
      <c r="B2343" s="2" t="str">
        <f>IFERROR(__xludf.DUMMYFUNCTION("""COMPUTED_VALUE"""),"DINAJPUR")</f>
        <v>DINAJPUR</v>
      </c>
      <c r="C2343" s="4">
        <f>IFERROR(__xludf.DUMMYFUNCTION("""COMPUTED_VALUE"""),47.0)</f>
        <v>47</v>
      </c>
      <c r="D2343" s="2" t="str">
        <f>IFERROR(__xludf.DUMMYFUNCTION("""COMPUTED_VALUE"""),"BANGLADESH DEVELOPMENT BANK LTD.")</f>
        <v>BANGLADESH DEVELOPMENT BANK LTD.</v>
      </c>
      <c r="E2343" s="2" t="str">
        <f>IFERROR(__xludf.DUMMYFUNCTION("""COMPUTED_VALUE"""),"DINAJPUR")</f>
        <v>DINAJPUR</v>
      </c>
      <c r="F2343" s="4">
        <f>IFERROR(__xludf.DUMMYFUNCTION("""COMPUTED_VALUE"""),67.0)</f>
        <v>67</v>
      </c>
      <c r="G2343" s="5">
        <f>IFERROR(__xludf.DUMMYFUNCTION("""COMPUTED_VALUE"""),4.728067E7)</f>
        <v>47280670</v>
      </c>
    </row>
    <row r="2344">
      <c r="A2344" s="3">
        <f>IFERROR(__xludf.DUMMYFUNCTION("""COMPUTED_VALUE"""),329.0)</f>
        <v>329</v>
      </c>
      <c r="B2344" s="2" t="str">
        <f>IFERROR(__xludf.DUMMYFUNCTION("""COMPUTED_VALUE"""),"FARIDPUR")</f>
        <v>FARIDPUR</v>
      </c>
      <c r="C2344" s="4">
        <f>IFERROR(__xludf.DUMMYFUNCTION("""COMPUTED_VALUE"""),47.0)</f>
        <v>47</v>
      </c>
      <c r="D2344" s="2" t="str">
        <f>IFERROR(__xludf.DUMMYFUNCTION("""COMPUTED_VALUE"""),"BANGLADESH DEVELOPMENT BANK LTD.")</f>
        <v>BANGLADESH DEVELOPMENT BANK LTD.</v>
      </c>
      <c r="E2344" s="2" t="str">
        <f>IFERROR(__xludf.DUMMYFUNCTION("""COMPUTED_VALUE"""),"FARIDPUR")</f>
        <v>FARIDPUR</v>
      </c>
      <c r="F2344" s="4">
        <f>IFERROR(__xludf.DUMMYFUNCTION("""COMPUTED_VALUE"""),52.0)</f>
        <v>52</v>
      </c>
      <c r="G2344" s="5">
        <f>IFERROR(__xludf.DUMMYFUNCTION("""COMPUTED_VALUE"""),4.7290523E7)</f>
        <v>47290523</v>
      </c>
    </row>
    <row r="2345">
      <c r="A2345" s="3">
        <f>IFERROR(__xludf.DUMMYFUNCTION("""COMPUTED_VALUE"""),133.0)</f>
        <v>133</v>
      </c>
      <c r="B2345" s="2" t="str">
        <f>IFERROR(__xludf.DUMMYFUNCTION("""COMPUTED_VALUE"""),"GAZIPUR")</f>
        <v>GAZIPUR</v>
      </c>
      <c r="C2345" s="4">
        <f>IFERROR(__xludf.DUMMYFUNCTION("""COMPUTED_VALUE"""),47.0)</f>
        <v>47</v>
      </c>
      <c r="D2345" s="2" t="str">
        <f>IFERROR(__xludf.DUMMYFUNCTION("""COMPUTED_VALUE"""),"BANGLADESH DEVELOPMENT BANK LTD.")</f>
        <v>BANGLADESH DEVELOPMENT BANK LTD.</v>
      </c>
      <c r="E2345" s="2" t="str">
        <f>IFERROR(__xludf.DUMMYFUNCTION("""COMPUTED_VALUE"""),"JAINA BAZAR")</f>
        <v>JAINA BAZAR</v>
      </c>
      <c r="F2345" s="4">
        <f>IFERROR(__xludf.DUMMYFUNCTION("""COMPUTED_VALUE"""),67.0)</f>
        <v>67</v>
      </c>
      <c r="G2345" s="5">
        <f>IFERROR(__xludf.DUMMYFUNCTION("""COMPUTED_VALUE"""),4.733067E7)</f>
        <v>47330670</v>
      </c>
    </row>
    <row r="2346">
      <c r="A2346" s="3">
        <f>IFERROR(__xludf.DUMMYFUNCTION("""COMPUTED_VALUE"""),836.0)</f>
        <v>836</v>
      </c>
      <c r="B2346" s="2" t="str">
        <f>IFERROR(__xludf.DUMMYFUNCTION("""COMPUTED_VALUE"""),"HABIGANJ")</f>
        <v>HABIGANJ</v>
      </c>
      <c r="C2346" s="4">
        <f>IFERROR(__xludf.DUMMYFUNCTION("""COMPUTED_VALUE"""),47.0)</f>
        <v>47</v>
      </c>
      <c r="D2346" s="2" t="str">
        <f>IFERROR(__xludf.DUMMYFUNCTION("""COMPUTED_VALUE"""),"BANGLADESH DEVELOPMENT BANK LTD.")</f>
        <v>BANGLADESH DEVELOPMENT BANK LTD.</v>
      </c>
      <c r="E2346" s="2" t="str">
        <f>IFERROR(__xludf.DUMMYFUNCTION("""COMPUTED_VALUE"""),"HABIGANJ")</f>
        <v>HABIGANJ</v>
      </c>
      <c r="F2346" s="4">
        <f>IFERROR(__xludf.DUMMYFUNCTION("""COMPUTED_VALUE"""),61.0)</f>
        <v>61</v>
      </c>
      <c r="G2346" s="5">
        <f>IFERROR(__xludf.DUMMYFUNCTION("""COMPUTED_VALUE"""),4.7360611E7)</f>
        <v>47360611</v>
      </c>
    </row>
    <row r="2347">
      <c r="A2347" s="3">
        <f>IFERROR(__xludf.DUMMYFUNCTION("""COMPUTED_VALUE"""),441.0)</f>
        <v>441</v>
      </c>
      <c r="B2347" s="2" t="str">
        <f>IFERROR(__xludf.DUMMYFUNCTION("""COMPUTED_VALUE"""),"JESSORE")</f>
        <v>JESSORE</v>
      </c>
      <c r="C2347" s="4">
        <f>IFERROR(__xludf.DUMMYFUNCTION("""COMPUTED_VALUE"""),47.0)</f>
        <v>47</v>
      </c>
      <c r="D2347" s="2" t="str">
        <f>IFERROR(__xludf.DUMMYFUNCTION("""COMPUTED_VALUE"""),"BANGLADESH DEVELOPMENT BANK LTD.")</f>
        <v>BANGLADESH DEVELOPMENT BANK LTD.</v>
      </c>
      <c r="E2347" s="2" t="str">
        <f>IFERROR(__xludf.DUMMYFUNCTION("""COMPUTED_VALUE"""),"JESSORE")</f>
        <v>JESSORE</v>
      </c>
      <c r="F2347" s="4">
        <f>IFERROR(__xludf.DUMMYFUNCTION("""COMPUTED_VALUE"""),94.0)</f>
        <v>94</v>
      </c>
      <c r="G2347" s="5">
        <f>IFERROR(__xludf.DUMMYFUNCTION("""COMPUTED_VALUE"""),4.7410945E7)</f>
        <v>47410945</v>
      </c>
    </row>
    <row r="2348">
      <c r="A2348" s="3">
        <f>IFERROR(__xludf.DUMMYFUNCTION("""COMPUTED_VALUE"""),444.0)</f>
        <v>444</v>
      </c>
      <c r="B2348" s="2" t="str">
        <f>IFERROR(__xludf.DUMMYFUNCTION("""COMPUTED_VALUE"""),"JHENAIDAH")</f>
        <v>JHENAIDAH</v>
      </c>
      <c r="C2348" s="4">
        <f>IFERROR(__xludf.DUMMYFUNCTION("""COMPUTED_VALUE"""),47.0)</f>
        <v>47</v>
      </c>
      <c r="D2348" s="2" t="str">
        <f>IFERROR(__xludf.DUMMYFUNCTION("""COMPUTED_VALUE"""),"BANGLADESH DEVELOPMENT BANK LTD.")</f>
        <v>BANGLADESH DEVELOPMENT BANK LTD.</v>
      </c>
      <c r="E2348" s="2" t="str">
        <f>IFERROR(__xludf.DUMMYFUNCTION("""COMPUTED_VALUE"""),"JHENAIDAH")</f>
        <v>JHENAIDAH</v>
      </c>
      <c r="F2348" s="4">
        <f>IFERROR(__xludf.DUMMYFUNCTION("""COMPUTED_VALUE"""),64.0)</f>
        <v>64</v>
      </c>
      <c r="G2348" s="5">
        <f>IFERROR(__xludf.DUMMYFUNCTION("""COMPUTED_VALUE"""),4.7440649E7)</f>
        <v>47440649</v>
      </c>
    </row>
    <row r="2349">
      <c r="A2349" s="3">
        <f>IFERROR(__xludf.DUMMYFUNCTION("""COMPUTED_VALUE"""),447.0)</f>
        <v>447</v>
      </c>
      <c r="B2349" s="2" t="str">
        <f>IFERROR(__xludf.DUMMYFUNCTION("""COMPUTED_VALUE"""),"KHULNA")</f>
        <v>KHULNA</v>
      </c>
      <c r="C2349" s="4">
        <f>IFERROR(__xludf.DUMMYFUNCTION("""COMPUTED_VALUE"""),47.0)</f>
        <v>47</v>
      </c>
      <c r="D2349" s="2" t="str">
        <f>IFERROR(__xludf.DUMMYFUNCTION("""COMPUTED_VALUE"""),"BANGLADESH DEVELOPMENT BANK LTD.")</f>
        <v>BANGLADESH DEVELOPMENT BANK LTD.</v>
      </c>
      <c r="E2349" s="2" t="str">
        <f>IFERROR(__xludf.DUMMYFUNCTION("""COMPUTED_VALUE"""),"KHULNA")</f>
        <v>KHULNA</v>
      </c>
      <c r="F2349" s="4">
        <f>IFERROR(__xludf.DUMMYFUNCTION("""COMPUTED_VALUE"""),154.0)</f>
        <v>154</v>
      </c>
      <c r="G2349" s="5">
        <f>IFERROR(__xludf.DUMMYFUNCTION("""COMPUTED_VALUE"""),4.7471542E7)</f>
        <v>47471542</v>
      </c>
    </row>
    <row r="2350">
      <c r="A2350" s="3">
        <f>IFERROR(__xludf.DUMMYFUNCTION("""COMPUTED_VALUE"""),148.0)</f>
        <v>148</v>
      </c>
      <c r="B2350" s="2" t="str">
        <f>IFERROR(__xludf.DUMMYFUNCTION("""COMPUTED_VALUE"""),"KISHOREGANJ")</f>
        <v>KISHOREGANJ</v>
      </c>
      <c r="C2350" s="4">
        <f>IFERROR(__xludf.DUMMYFUNCTION("""COMPUTED_VALUE"""),47.0)</f>
        <v>47</v>
      </c>
      <c r="D2350" s="2" t="str">
        <f>IFERROR(__xludf.DUMMYFUNCTION("""COMPUTED_VALUE"""),"BANGLADESH DEVELOPMENT BANK LTD.")</f>
        <v>BANGLADESH DEVELOPMENT BANK LTD.</v>
      </c>
      <c r="E2350" s="2" t="str">
        <f>IFERROR(__xludf.DUMMYFUNCTION("""COMPUTED_VALUE"""),"HOSSAINPUR")</f>
        <v>HOSSAINPUR</v>
      </c>
      <c r="F2350" s="4">
        <f>IFERROR(__xludf.DUMMYFUNCTION("""COMPUTED_VALUE"""),40.0)</f>
        <v>40</v>
      </c>
      <c r="G2350" s="5">
        <f>IFERROR(__xludf.DUMMYFUNCTION("""COMPUTED_VALUE"""),4.7480409E7)</f>
        <v>47480409</v>
      </c>
    </row>
    <row r="2351">
      <c r="A2351" s="3">
        <f>IFERROR(__xludf.DUMMYFUNCTION("""COMPUTED_VALUE"""),156.0)</f>
        <v>156</v>
      </c>
      <c r="B2351" s="2" t="str">
        <f>IFERROR(__xludf.DUMMYFUNCTION("""COMPUTED_VALUE"""),"MANIKGANJ")</f>
        <v>MANIKGANJ</v>
      </c>
      <c r="C2351" s="4">
        <f>IFERROR(__xludf.DUMMYFUNCTION("""COMPUTED_VALUE"""),47.0)</f>
        <v>47</v>
      </c>
      <c r="D2351" s="2" t="str">
        <f>IFERROR(__xludf.DUMMYFUNCTION("""COMPUTED_VALUE"""),"BANGLADESH DEVELOPMENT BANK LTD.")</f>
        <v>BANGLADESH DEVELOPMENT BANK LTD.</v>
      </c>
      <c r="E2351" s="2" t="str">
        <f>IFERROR(__xludf.DUMMYFUNCTION("""COMPUTED_VALUE"""),"MOHADEBPUR")</f>
        <v>MOHADEBPUR</v>
      </c>
      <c r="F2351" s="4">
        <f>IFERROR(__xludf.DUMMYFUNCTION("""COMPUTED_VALUE"""),70.0)</f>
        <v>70</v>
      </c>
      <c r="G2351" s="5">
        <f>IFERROR(__xludf.DUMMYFUNCTION("""COMPUTED_VALUE"""),4.7560703E7)</f>
        <v>47560703</v>
      </c>
    </row>
    <row r="2352">
      <c r="A2352" s="3">
        <f>IFERROR(__xludf.DUMMYFUNCTION("""COMPUTED_VALUE"""),156.0)</f>
        <v>156</v>
      </c>
      <c r="B2352" s="2" t="str">
        <f>IFERROR(__xludf.DUMMYFUNCTION("""COMPUTED_VALUE"""),"MANIKGANJ")</f>
        <v>MANIKGANJ</v>
      </c>
      <c r="C2352" s="4">
        <f>IFERROR(__xludf.DUMMYFUNCTION("""COMPUTED_VALUE"""),47.0)</f>
        <v>47</v>
      </c>
      <c r="D2352" s="2" t="str">
        <f>IFERROR(__xludf.DUMMYFUNCTION("""COMPUTED_VALUE"""),"BANGLADESH DEVELOPMENT BANK LTD.")</f>
        <v>BANGLADESH DEVELOPMENT BANK LTD.</v>
      </c>
      <c r="E2352" s="2" t="str">
        <f>IFERROR(__xludf.DUMMYFUNCTION("""COMPUTED_VALUE"""),"SATURIA")</f>
        <v>SATURIA</v>
      </c>
      <c r="F2352" s="4">
        <f>IFERROR(__xludf.DUMMYFUNCTION("""COMPUTED_VALUE"""),76.0)</f>
        <v>76</v>
      </c>
      <c r="G2352" s="5">
        <f>IFERROR(__xludf.DUMMYFUNCTION("""COMPUTED_VALUE"""),4.7560761E7)</f>
        <v>47560761</v>
      </c>
    </row>
    <row r="2353">
      <c r="A2353" s="3">
        <f>IFERROR(__xludf.DUMMYFUNCTION("""COMPUTED_VALUE"""),858.0)</f>
        <v>858</v>
      </c>
      <c r="B2353" s="2" t="str">
        <f>IFERROR(__xludf.DUMMYFUNCTION("""COMPUTED_VALUE"""),"MOULVI BAZAR")</f>
        <v>MOULVI BAZAR</v>
      </c>
      <c r="C2353" s="4">
        <f>IFERROR(__xludf.DUMMYFUNCTION("""COMPUTED_VALUE"""),47.0)</f>
        <v>47</v>
      </c>
      <c r="D2353" s="2" t="str">
        <f>IFERROR(__xludf.DUMMYFUNCTION("""COMPUTED_VALUE"""),"BANGLADESH DEVELOPMENT BANK LTD.")</f>
        <v>BANGLADESH DEVELOPMENT BANK LTD.</v>
      </c>
      <c r="E2353" s="2" t="str">
        <f>IFERROR(__xludf.DUMMYFUNCTION("""COMPUTED_VALUE"""),"MOULAVI BAZAR")</f>
        <v>MOULAVI BAZAR</v>
      </c>
      <c r="F2353" s="4">
        <f>IFERROR(__xludf.DUMMYFUNCTION("""COMPUTED_VALUE"""),118.0)</f>
        <v>118</v>
      </c>
      <c r="G2353" s="5">
        <f>IFERROR(__xludf.DUMMYFUNCTION("""COMPUTED_VALUE"""),4.7581182E7)</f>
        <v>47581182</v>
      </c>
    </row>
    <row r="2354">
      <c r="A2354" s="3">
        <f>IFERROR(__xludf.DUMMYFUNCTION("""COMPUTED_VALUE"""),159.0)</f>
        <v>159</v>
      </c>
      <c r="B2354" s="2" t="str">
        <f>IFERROR(__xludf.DUMMYFUNCTION("""COMPUTED_VALUE"""),"MUNSHIGANJ")</f>
        <v>MUNSHIGANJ</v>
      </c>
      <c r="C2354" s="4">
        <f>IFERROR(__xludf.DUMMYFUNCTION("""COMPUTED_VALUE"""),47.0)</f>
        <v>47</v>
      </c>
      <c r="D2354" s="2" t="str">
        <f>IFERROR(__xludf.DUMMYFUNCTION("""COMPUTED_VALUE"""),"BANGLADESH DEVELOPMENT BANK LTD.")</f>
        <v>BANGLADESH DEVELOPMENT BANK LTD.</v>
      </c>
      <c r="E2354" s="2" t="str">
        <f>IFERROR(__xludf.DUMMYFUNCTION("""COMPUTED_VALUE"""),"SREENAGAR")</f>
        <v>SREENAGAR</v>
      </c>
      <c r="F2354" s="4">
        <f>IFERROR(__xludf.DUMMYFUNCTION("""COMPUTED_VALUE"""),142.0)</f>
        <v>142</v>
      </c>
      <c r="G2354" s="5">
        <f>IFERROR(__xludf.DUMMYFUNCTION("""COMPUTED_VALUE"""),4.7591422E7)</f>
        <v>47591422</v>
      </c>
    </row>
    <row r="2355">
      <c r="A2355" s="3">
        <f>IFERROR(__xludf.DUMMYFUNCTION("""COMPUTED_VALUE"""),161.0)</f>
        <v>161</v>
      </c>
      <c r="B2355" s="2" t="str">
        <f>IFERROR(__xludf.DUMMYFUNCTION("""COMPUTED_VALUE"""),"MYMENSINGH")</f>
        <v>MYMENSINGH</v>
      </c>
      <c r="C2355" s="4">
        <f>IFERROR(__xludf.DUMMYFUNCTION("""COMPUTED_VALUE"""),47.0)</f>
        <v>47</v>
      </c>
      <c r="D2355" s="2" t="str">
        <f>IFERROR(__xludf.DUMMYFUNCTION("""COMPUTED_VALUE"""),"BANGLADESH DEVELOPMENT BANK LTD.")</f>
        <v>BANGLADESH DEVELOPMENT BANK LTD.</v>
      </c>
      <c r="E2355" s="2" t="str">
        <f>IFERROR(__xludf.DUMMYFUNCTION("""COMPUTED_VALUE"""),"MYMENSINGH")</f>
        <v>MYMENSINGH</v>
      </c>
      <c r="F2355" s="4">
        <f>IFERROR(__xludf.DUMMYFUNCTION("""COMPUTED_VALUE"""),175.0)</f>
        <v>175</v>
      </c>
      <c r="G2355" s="5">
        <f>IFERROR(__xludf.DUMMYFUNCTION("""COMPUTED_VALUE"""),4.7611757E7)</f>
        <v>47611757</v>
      </c>
    </row>
    <row r="2356">
      <c r="A2356" s="3">
        <f>IFERROR(__xludf.DUMMYFUNCTION("""COMPUTED_VALUE"""),564.0)</f>
        <v>564</v>
      </c>
      <c r="B2356" s="2" t="str">
        <f>IFERROR(__xludf.DUMMYFUNCTION("""COMPUTED_VALUE"""),"NAOGAON")</f>
        <v>NAOGAON</v>
      </c>
      <c r="C2356" s="4">
        <f>IFERROR(__xludf.DUMMYFUNCTION("""COMPUTED_VALUE"""),47.0)</f>
        <v>47</v>
      </c>
      <c r="D2356" s="2" t="str">
        <f>IFERROR(__xludf.DUMMYFUNCTION("""COMPUTED_VALUE"""),"BANGLADESH DEVELOPMENT BANK LTD.")</f>
        <v>BANGLADESH DEVELOPMENT BANK LTD.</v>
      </c>
      <c r="E2356" s="2" t="str">
        <f>IFERROR(__xludf.DUMMYFUNCTION("""COMPUTED_VALUE"""),"NAOGAON")</f>
        <v>NAOGAON</v>
      </c>
      <c r="F2356" s="4">
        <f>IFERROR(__xludf.DUMMYFUNCTION("""COMPUTED_VALUE"""),118.0)</f>
        <v>118</v>
      </c>
      <c r="G2356" s="5">
        <f>IFERROR(__xludf.DUMMYFUNCTION("""COMPUTED_VALUE"""),4.7641185E7)</f>
        <v>47641185</v>
      </c>
    </row>
    <row r="2357">
      <c r="A2357" s="3">
        <f>IFERROR(__xludf.DUMMYFUNCTION("""COMPUTED_VALUE"""),167.0)</f>
        <v>167</v>
      </c>
      <c r="B2357" s="2" t="str">
        <f>IFERROR(__xludf.DUMMYFUNCTION("""COMPUTED_VALUE"""),"NARAYANGANJ")</f>
        <v>NARAYANGANJ</v>
      </c>
      <c r="C2357" s="4">
        <f>IFERROR(__xludf.DUMMYFUNCTION("""COMPUTED_VALUE"""),47.0)</f>
        <v>47</v>
      </c>
      <c r="D2357" s="2" t="str">
        <f>IFERROR(__xludf.DUMMYFUNCTION("""COMPUTED_VALUE"""),"BANGLADESH DEVELOPMENT BANK LTD.")</f>
        <v>BANGLADESH DEVELOPMENT BANK LTD.</v>
      </c>
      <c r="E2357" s="2" t="str">
        <f>IFERROR(__xludf.DUMMYFUNCTION("""COMPUTED_VALUE"""),"KANCHPUR")</f>
        <v>KANCHPUR</v>
      </c>
      <c r="F2357" s="4">
        <f>IFERROR(__xludf.DUMMYFUNCTION("""COMPUTED_VALUE"""),12.0)</f>
        <v>12</v>
      </c>
      <c r="G2357" s="5">
        <f>IFERROR(__xludf.DUMMYFUNCTION("""COMPUTED_VALUE"""),4.7670127E7)</f>
        <v>47670127</v>
      </c>
    </row>
    <row r="2358">
      <c r="A2358" s="3">
        <f>IFERROR(__xludf.DUMMYFUNCTION("""COMPUTED_VALUE"""),167.0)</f>
        <v>167</v>
      </c>
      <c r="B2358" s="2" t="str">
        <f>IFERROR(__xludf.DUMMYFUNCTION("""COMPUTED_VALUE"""),"NARAYANGANJ")</f>
        <v>NARAYANGANJ</v>
      </c>
      <c r="C2358" s="4">
        <f>IFERROR(__xludf.DUMMYFUNCTION("""COMPUTED_VALUE"""),47.0)</f>
        <v>47</v>
      </c>
      <c r="D2358" s="2" t="str">
        <f>IFERROR(__xludf.DUMMYFUNCTION("""COMPUTED_VALUE"""),"BANGLADESH DEVELOPMENT BANK LTD.")</f>
        <v>BANGLADESH DEVELOPMENT BANK LTD.</v>
      </c>
      <c r="E2358" s="2" t="str">
        <f>IFERROR(__xludf.DUMMYFUNCTION("""COMPUTED_VALUE"""),"NARAYANGANJ")</f>
        <v>NARAYANGANJ</v>
      </c>
      <c r="F2358" s="4">
        <f>IFERROR(__xludf.DUMMYFUNCTION("""COMPUTED_VALUE"""),118.0)</f>
        <v>118</v>
      </c>
      <c r="G2358" s="5">
        <f>IFERROR(__xludf.DUMMYFUNCTION("""COMPUTED_VALUE"""),4.7671184E7)</f>
        <v>47671184</v>
      </c>
    </row>
    <row r="2359">
      <c r="A2359" s="3">
        <f>IFERROR(__xludf.DUMMYFUNCTION("""COMPUTED_VALUE"""),168.0)</f>
        <v>168</v>
      </c>
      <c r="B2359" s="2" t="str">
        <f>IFERROR(__xludf.DUMMYFUNCTION("""COMPUTED_VALUE"""),"NARSHINGDI")</f>
        <v>NARSHINGDI</v>
      </c>
      <c r="C2359" s="4">
        <f>IFERROR(__xludf.DUMMYFUNCTION("""COMPUTED_VALUE"""),47.0)</f>
        <v>47</v>
      </c>
      <c r="D2359" s="2" t="str">
        <f>IFERROR(__xludf.DUMMYFUNCTION("""COMPUTED_VALUE"""),"BANGLADESH DEVELOPMENT BANK LTD.")</f>
        <v>BANGLADESH DEVELOPMENT BANK LTD.</v>
      </c>
      <c r="E2359" s="2" t="str">
        <f>IFERROR(__xludf.DUMMYFUNCTION("""COMPUTED_VALUE"""),"MADHABDI")</f>
        <v>MADHABDI</v>
      </c>
      <c r="F2359" s="4">
        <f>IFERROR(__xludf.DUMMYFUNCTION("""COMPUTED_VALUE"""),67.0)</f>
        <v>67</v>
      </c>
      <c r="G2359" s="5">
        <f>IFERROR(__xludf.DUMMYFUNCTION("""COMPUTED_VALUE"""),4.768067E7)</f>
        <v>47680670</v>
      </c>
    </row>
    <row r="2360">
      <c r="A2360" s="3">
        <f>IFERROR(__xludf.DUMMYFUNCTION("""COMPUTED_VALUE"""),773.0)</f>
        <v>773</v>
      </c>
      <c r="B2360" s="2" t="str">
        <f>IFERROR(__xludf.DUMMYFUNCTION("""COMPUTED_VALUE"""),"NILPHAMARI")</f>
        <v>NILPHAMARI</v>
      </c>
      <c r="C2360" s="4">
        <f>IFERROR(__xludf.DUMMYFUNCTION("""COMPUTED_VALUE"""),47.0)</f>
        <v>47</v>
      </c>
      <c r="D2360" s="2" t="str">
        <f>IFERROR(__xludf.DUMMYFUNCTION("""COMPUTED_VALUE"""),"BANGLADESH DEVELOPMENT BANK LTD.")</f>
        <v>BANGLADESH DEVELOPMENT BANK LTD.</v>
      </c>
      <c r="E2360" s="2" t="str">
        <f>IFERROR(__xludf.DUMMYFUNCTION("""COMPUTED_VALUE"""),"KAZIRHAT")</f>
        <v>KAZIRHAT</v>
      </c>
      <c r="F2360" s="4">
        <f>IFERROR(__xludf.DUMMYFUNCTION("""COMPUTED_VALUE"""),55.0)</f>
        <v>55</v>
      </c>
      <c r="G2360" s="5">
        <f>IFERROR(__xludf.DUMMYFUNCTION("""COMPUTED_VALUE"""),4.7730559E7)</f>
        <v>47730559</v>
      </c>
    </row>
    <row r="2361">
      <c r="A2361" s="3">
        <f>IFERROR(__xludf.DUMMYFUNCTION("""COMPUTED_VALUE"""),275.0)</f>
        <v>275</v>
      </c>
      <c r="B2361" s="2" t="str">
        <f>IFERROR(__xludf.DUMMYFUNCTION("""COMPUTED_VALUE"""),"NOAKHALI")</f>
        <v>NOAKHALI</v>
      </c>
      <c r="C2361" s="4">
        <f>IFERROR(__xludf.DUMMYFUNCTION("""COMPUTED_VALUE"""),47.0)</f>
        <v>47</v>
      </c>
      <c r="D2361" s="2" t="str">
        <f>IFERROR(__xludf.DUMMYFUNCTION("""COMPUTED_VALUE"""),"BANGLADESH DEVELOPMENT BANK LTD.")</f>
        <v>BANGLADESH DEVELOPMENT BANK LTD.</v>
      </c>
      <c r="E2361" s="2" t="str">
        <f>IFERROR(__xludf.DUMMYFUNCTION("""COMPUTED_VALUE"""),"NOAKHALI")</f>
        <v>NOAKHALI</v>
      </c>
      <c r="F2361" s="4">
        <f>IFERROR(__xludf.DUMMYFUNCTION("""COMPUTED_VALUE"""),172.0)</f>
        <v>172</v>
      </c>
      <c r="G2361" s="5">
        <f>IFERROR(__xludf.DUMMYFUNCTION("""COMPUTED_VALUE"""),4.7751725E7)</f>
        <v>47751725</v>
      </c>
    </row>
    <row r="2362">
      <c r="A2362" s="3">
        <f>IFERROR(__xludf.DUMMYFUNCTION("""COMPUTED_VALUE"""),576.0)</f>
        <v>576</v>
      </c>
      <c r="B2362" s="2" t="str">
        <f>IFERROR(__xludf.DUMMYFUNCTION("""COMPUTED_VALUE"""),"PABNA")</f>
        <v>PABNA</v>
      </c>
      <c r="C2362" s="4">
        <f>IFERROR(__xludf.DUMMYFUNCTION("""COMPUTED_VALUE"""),47.0)</f>
        <v>47</v>
      </c>
      <c r="D2362" s="2" t="str">
        <f>IFERROR(__xludf.DUMMYFUNCTION("""COMPUTED_VALUE"""),"BANGLADESH DEVELOPMENT BANK LTD.")</f>
        <v>BANGLADESH DEVELOPMENT BANK LTD.</v>
      </c>
      <c r="E2362" s="2" t="str">
        <f>IFERROR(__xludf.DUMMYFUNCTION("""COMPUTED_VALUE"""),"PABNA")</f>
        <v>PABNA</v>
      </c>
      <c r="F2362" s="4">
        <f>IFERROR(__xludf.DUMMYFUNCTION("""COMPUTED_VALUE"""),178.0)</f>
        <v>178</v>
      </c>
      <c r="G2362" s="5">
        <f>IFERROR(__xludf.DUMMYFUNCTION("""COMPUTED_VALUE"""),4.7761786E7)</f>
        <v>47761786</v>
      </c>
    </row>
    <row r="2363">
      <c r="A2363" s="3">
        <f>IFERROR(__xludf.DUMMYFUNCTION("""COMPUTED_VALUE"""),581.0)</f>
        <v>581</v>
      </c>
      <c r="B2363" s="2" t="str">
        <f>IFERROR(__xludf.DUMMYFUNCTION("""COMPUTED_VALUE"""),"RAJSHAHI")</f>
        <v>RAJSHAHI</v>
      </c>
      <c r="C2363" s="4">
        <f>IFERROR(__xludf.DUMMYFUNCTION("""COMPUTED_VALUE"""),47.0)</f>
        <v>47</v>
      </c>
      <c r="D2363" s="2" t="str">
        <f>IFERROR(__xludf.DUMMYFUNCTION("""COMPUTED_VALUE"""),"BANGLADESH DEVELOPMENT BANK LTD.")</f>
        <v>BANGLADESH DEVELOPMENT BANK LTD.</v>
      </c>
      <c r="E2363" s="2" t="str">
        <f>IFERROR(__xludf.DUMMYFUNCTION("""COMPUTED_VALUE"""),"RAJSHAHI")</f>
        <v>RAJSHAHI</v>
      </c>
      <c r="F2363" s="4">
        <f>IFERROR(__xludf.DUMMYFUNCTION("""COMPUTED_VALUE"""),193.0)</f>
        <v>193</v>
      </c>
      <c r="G2363" s="5">
        <f>IFERROR(__xludf.DUMMYFUNCTION("""COMPUTED_VALUE"""),4.7811931E7)</f>
        <v>47811931</v>
      </c>
    </row>
    <row r="2364">
      <c r="A2364" s="3">
        <f>IFERROR(__xludf.DUMMYFUNCTION("""COMPUTED_VALUE"""),785.0)</f>
        <v>785</v>
      </c>
      <c r="B2364" s="2" t="str">
        <f>IFERROR(__xludf.DUMMYFUNCTION("""COMPUTED_VALUE"""),"RANGPUR")</f>
        <v>RANGPUR</v>
      </c>
      <c r="C2364" s="4">
        <f>IFERROR(__xludf.DUMMYFUNCTION("""COMPUTED_VALUE"""),47.0)</f>
        <v>47</v>
      </c>
      <c r="D2364" s="2" t="str">
        <f>IFERROR(__xludf.DUMMYFUNCTION("""COMPUTED_VALUE"""),"BANGLADESH DEVELOPMENT BANK LTD.")</f>
        <v>BANGLADESH DEVELOPMENT BANK LTD.</v>
      </c>
      <c r="E2364" s="2" t="str">
        <f>IFERROR(__xludf.DUMMYFUNCTION("""COMPUTED_VALUE"""),"RANGPUR")</f>
        <v>RANGPUR</v>
      </c>
      <c r="F2364" s="4">
        <f>IFERROR(__xludf.DUMMYFUNCTION("""COMPUTED_VALUE"""),145.0)</f>
        <v>145</v>
      </c>
      <c r="G2364" s="5">
        <f>IFERROR(__xludf.DUMMYFUNCTION("""COMPUTED_VALUE"""),4.7851454E7)</f>
        <v>47851454</v>
      </c>
    </row>
    <row r="2365">
      <c r="A2365" s="3">
        <f>IFERROR(__xludf.DUMMYFUNCTION("""COMPUTED_VALUE"""),891.0)</f>
        <v>891</v>
      </c>
      <c r="B2365" s="2" t="str">
        <f>IFERROR(__xludf.DUMMYFUNCTION("""COMPUTED_VALUE"""),"SYLHET")</f>
        <v>SYLHET</v>
      </c>
      <c r="C2365" s="4">
        <f>IFERROR(__xludf.DUMMYFUNCTION("""COMPUTED_VALUE"""),47.0)</f>
        <v>47</v>
      </c>
      <c r="D2365" s="2" t="str">
        <f>IFERROR(__xludf.DUMMYFUNCTION("""COMPUTED_VALUE"""),"BANGLADESH DEVELOPMENT BANK LTD.")</f>
        <v>BANGLADESH DEVELOPMENT BANK LTD.</v>
      </c>
      <c r="E2365" s="2" t="str">
        <f>IFERROR(__xludf.DUMMYFUNCTION("""COMPUTED_VALUE"""),"OSMANI NAGAR")</f>
        <v>OSMANI NAGAR</v>
      </c>
      <c r="F2365" s="4">
        <f>IFERROR(__xludf.DUMMYFUNCTION("""COMPUTED_VALUE"""),14.0)</f>
        <v>14</v>
      </c>
      <c r="G2365" s="5">
        <f>IFERROR(__xludf.DUMMYFUNCTION("""COMPUTED_VALUE"""),4.791014E7)</f>
        <v>47910140</v>
      </c>
    </row>
    <row r="2366">
      <c r="A2366" s="3">
        <f>IFERROR(__xludf.DUMMYFUNCTION("""COMPUTED_VALUE"""),891.0)</f>
        <v>891</v>
      </c>
      <c r="B2366" s="2" t="str">
        <f>IFERROR(__xludf.DUMMYFUNCTION("""COMPUTED_VALUE"""),"SYLHET")</f>
        <v>SYLHET</v>
      </c>
      <c r="C2366" s="4">
        <f>IFERROR(__xludf.DUMMYFUNCTION("""COMPUTED_VALUE"""),47.0)</f>
        <v>47</v>
      </c>
      <c r="D2366" s="2" t="str">
        <f>IFERROR(__xludf.DUMMYFUNCTION("""COMPUTED_VALUE"""),"BANGLADESH DEVELOPMENT BANK LTD.")</f>
        <v>BANGLADESH DEVELOPMENT BANK LTD.</v>
      </c>
      <c r="E2366" s="2" t="str">
        <f>IFERROR(__xludf.DUMMYFUNCTION("""COMPUTED_VALUE"""),"SYLHET")</f>
        <v>SYLHET</v>
      </c>
      <c r="F2366" s="4">
        <f>IFERROR(__xludf.DUMMYFUNCTION("""COMPUTED_VALUE"""),355.0)</f>
        <v>355</v>
      </c>
      <c r="G2366" s="5">
        <f>IFERROR(__xludf.DUMMYFUNCTION("""COMPUTED_VALUE"""),4.791355E7)</f>
        <v>47913550</v>
      </c>
    </row>
    <row r="2367">
      <c r="A2367" s="3">
        <f>IFERROR(__xludf.DUMMYFUNCTION("""COMPUTED_VALUE"""),193.0)</f>
        <v>193</v>
      </c>
      <c r="B2367" s="2" t="str">
        <f>IFERROR(__xludf.DUMMYFUNCTION("""COMPUTED_VALUE"""),"TANGAIL")</f>
        <v>TANGAIL</v>
      </c>
      <c r="C2367" s="4">
        <f>IFERROR(__xludf.DUMMYFUNCTION("""COMPUTED_VALUE"""),47.0)</f>
        <v>47</v>
      </c>
      <c r="D2367" s="2" t="str">
        <f>IFERROR(__xludf.DUMMYFUNCTION("""COMPUTED_VALUE"""),"BANGLADESH DEVELOPMENT BANK LTD.")</f>
        <v>BANGLADESH DEVELOPMENT BANK LTD.</v>
      </c>
      <c r="E2367" s="2" t="str">
        <f>IFERROR(__xludf.DUMMYFUNCTION("""COMPUTED_VALUE"""),"TANGAIL")</f>
        <v>TANGAIL</v>
      </c>
      <c r="F2367" s="4">
        <f>IFERROR(__xludf.DUMMYFUNCTION("""COMPUTED_VALUE"""),229.0)</f>
        <v>229</v>
      </c>
      <c r="G2367" s="5">
        <f>IFERROR(__xludf.DUMMYFUNCTION("""COMPUTED_VALUE"""),4.7932294E7)</f>
        <v>47932294</v>
      </c>
    </row>
    <row r="2368">
      <c r="A2368" s="3">
        <f>IFERROR(__xludf.DUMMYFUNCTION("""COMPUTED_VALUE"""),401.0)</f>
        <v>401</v>
      </c>
      <c r="B2368" s="2" t="str">
        <f>IFERROR(__xludf.DUMMYFUNCTION("""COMPUTED_VALUE"""),"BAGERHAT")</f>
        <v>BAGERHAT</v>
      </c>
      <c r="C2368" s="4">
        <f>IFERROR(__xludf.DUMMYFUNCTION("""COMPUTED_VALUE"""),55.0)</f>
        <v>55</v>
      </c>
      <c r="D2368" s="2" t="str">
        <f>IFERROR(__xludf.DUMMYFUNCTION("""COMPUTED_VALUE"""),"BASIC BANK LTD.")</f>
        <v>BASIC BANK LTD.</v>
      </c>
      <c r="E2368" s="2" t="str">
        <f>IFERROR(__xludf.DUMMYFUNCTION("""COMPUTED_VALUE"""),"CHITALMARI")</f>
        <v>CHITALMARI</v>
      </c>
      <c r="F2368" s="4">
        <f>IFERROR(__xludf.DUMMYFUNCTION("""COMPUTED_VALUE"""),22.0)</f>
        <v>22</v>
      </c>
      <c r="G2368" s="5">
        <f>IFERROR(__xludf.DUMMYFUNCTION("""COMPUTED_VALUE"""),5.5010229E7)</f>
        <v>55010229</v>
      </c>
    </row>
    <row r="2369">
      <c r="A2369" s="3">
        <f>IFERROR(__xludf.DUMMYFUNCTION("""COMPUTED_VALUE"""),401.0)</f>
        <v>401</v>
      </c>
      <c r="B2369" s="2" t="str">
        <f>IFERROR(__xludf.DUMMYFUNCTION("""COMPUTED_VALUE"""),"BAGERHAT")</f>
        <v>BAGERHAT</v>
      </c>
      <c r="C2369" s="4">
        <f>IFERROR(__xludf.DUMMYFUNCTION("""COMPUTED_VALUE"""),55.0)</f>
        <v>55</v>
      </c>
      <c r="D2369" s="2" t="str">
        <f>IFERROR(__xludf.DUMMYFUNCTION("""COMPUTED_VALUE"""),"BASIC BANK LTD.")</f>
        <v>BASIC BANK LTD.</v>
      </c>
      <c r="E2369" s="2" t="str">
        <f>IFERROR(__xludf.DUMMYFUNCTION("""COMPUTED_VALUE"""),"FAKIRHAT")</f>
        <v>FAKIRHAT</v>
      </c>
      <c r="F2369" s="4">
        <f>IFERROR(__xludf.DUMMYFUNCTION("""COMPUTED_VALUE"""),46.0)</f>
        <v>46</v>
      </c>
      <c r="G2369" s="5">
        <f>IFERROR(__xludf.DUMMYFUNCTION("""COMPUTED_VALUE"""),5.5010461E7)</f>
        <v>55010461</v>
      </c>
    </row>
    <row r="2370">
      <c r="A2370" s="3">
        <f>IFERROR(__xludf.DUMMYFUNCTION("""COMPUTED_VALUE"""),306.0)</f>
        <v>306</v>
      </c>
      <c r="B2370" s="2" t="str">
        <f>IFERROR(__xludf.DUMMYFUNCTION("""COMPUTED_VALUE"""),"BARISHAL")</f>
        <v>BARISHAL</v>
      </c>
      <c r="C2370" s="4">
        <f>IFERROR(__xludf.DUMMYFUNCTION("""COMPUTED_VALUE"""),55.0)</f>
        <v>55</v>
      </c>
      <c r="D2370" s="2" t="str">
        <f>IFERROR(__xludf.DUMMYFUNCTION("""COMPUTED_VALUE"""),"BASIC BANK LTD.")</f>
        <v>BASIC BANK LTD.</v>
      </c>
      <c r="E2370" s="2" t="str">
        <f>IFERROR(__xludf.DUMMYFUNCTION("""COMPUTED_VALUE"""),"BARISAL")</f>
        <v>BARISAL</v>
      </c>
      <c r="F2370" s="4">
        <f>IFERROR(__xludf.DUMMYFUNCTION("""COMPUTED_VALUE"""),28.0)</f>
        <v>28</v>
      </c>
      <c r="G2370" s="5">
        <f>IFERROR(__xludf.DUMMYFUNCTION("""COMPUTED_VALUE"""),5.5060282E7)</f>
        <v>55060282</v>
      </c>
    </row>
    <row r="2371">
      <c r="A2371" s="3">
        <f>IFERROR(__xludf.DUMMYFUNCTION("""COMPUTED_VALUE"""),610.0)</f>
        <v>610</v>
      </c>
      <c r="B2371" s="2" t="str">
        <f>IFERROR(__xludf.DUMMYFUNCTION("""COMPUTED_VALUE"""),"BOGRA")</f>
        <v>BOGRA</v>
      </c>
      <c r="C2371" s="4">
        <f>IFERROR(__xludf.DUMMYFUNCTION("""COMPUTED_VALUE"""),55.0)</f>
        <v>55</v>
      </c>
      <c r="D2371" s="2" t="str">
        <f>IFERROR(__xludf.DUMMYFUNCTION("""COMPUTED_VALUE"""),"BASIC BANK LTD.")</f>
        <v>BASIC BANK LTD.</v>
      </c>
      <c r="E2371" s="2" t="str">
        <f>IFERROR(__xludf.DUMMYFUNCTION("""COMPUTED_VALUE"""),"BOGRA")</f>
        <v>BOGRA</v>
      </c>
      <c r="F2371" s="4">
        <f>IFERROR(__xludf.DUMMYFUNCTION("""COMPUTED_VALUE"""),37.0)</f>
        <v>37</v>
      </c>
      <c r="G2371" s="5">
        <f>IFERROR(__xludf.DUMMYFUNCTION("""COMPUTED_VALUE"""),5.5100371E7)</f>
        <v>55100371</v>
      </c>
    </row>
    <row r="2372">
      <c r="A2372" s="3">
        <f>IFERROR(__xludf.DUMMYFUNCTION("""COMPUTED_VALUE"""),610.0)</f>
        <v>610</v>
      </c>
      <c r="B2372" s="2" t="str">
        <f>IFERROR(__xludf.DUMMYFUNCTION("""COMPUTED_VALUE"""),"BOGRA")</f>
        <v>BOGRA</v>
      </c>
      <c r="C2372" s="4">
        <f>IFERROR(__xludf.DUMMYFUNCTION("""COMPUTED_VALUE"""),55.0)</f>
        <v>55</v>
      </c>
      <c r="D2372" s="2" t="str">
        <f>IFERROR(__xludf.DUMMYFUNCTION("""COMPUTED_VALUE"""),"BASIC BANK LTD.")</f>
        <v>BASIC BANK LTD.</v>
      </c>
      <c r="E2372" s="2" t="str">
        <f>IFERROR(__xludf.DUMMYFUNCTION("""COMPUTED_VALUE"""),"SERAJGANJ")</f>
        <v>SERAJGANJ</v>
      </c>
      <c r="F2372" s="4">
        <f>IFERROR(__xludf.DUMMYFUNCTION("""COMPUTED_VALUE"""),289.0)</f>
        <v>289</v>
      </c>
      <c r="G2372" s="5">
        <f>IFERROR(__xludf.DUMMYFUNCTION("""COMPUTED_VALUE"""),5.510289E7)</f>
        <v>55102890</v>
      </c>
    </row>
    <row r="2373">
      <c r="A2373" s="3">
        <f>IFERROR(__xludf.DUMMYFUNCTION("""COMPUTED_VALUE"""),113.0)</f>
        <v>113</v>
      </c>
      <c r="B2373" s="2" t="str">
        <f>IFERROR(__xludf.DUMMYFUNCTION("""COMPUTED_VALUE"""),"CHANDPUR")</f>
        <v>CHANDPUR</v>
      </c>
      <c r="C2373" s="4">
        <f>IFERROR(__xludf.DUMMYFUNCTION("""COMPUTED_VALUE"""),55.0)</f>
        <v>55</v>
      </c>
      <c r="D2373" s="2" t="str">
        <f>IFERROR(__xludf.DUMMYFUNCTION("""COMPUTED_VALUE"""),"BASIC BANK LTD.")</f>
        <v>BASIC BANK LTD.</v>
      </c>
      <c r="E2373" s="2" t="str">
        <f>IFERROR(__xludf.DUMMYFUNCTION("""COMPUTED_VALUE"""),"CHANDPUR")</f>
        <v>CHANDPUR</v>
      </c>
      <c r="F2373" s="4">
        <f>IFERROR(__xludf.DUMMYFUNCTION("""COMPUTED_VALUE"""),31.0)</f>
        <v>31</v>
      </c>
      <c r="G2373" s="5">
        <f>IFERROR(__xludf.DUMMYFUNCTION("""COMPUTED_VALUE"""),5.5130312E7)</f>
        <v>55130312</v>
      </c>
    </row>
    <row r="2374">
      <c r="A2374" s="3">
        <f>IFERROR(__xludf.DUMMYFUNCTION("""COMPUTED_VALUE"""),215.0)</f>
        <v>215</v>
      </c>
      <c r="B2374" s="2" t="str">
        <f>IFERROR(__xludf.DUMMYFUNCTION("""COMPUTED_VALUE"""),"CHITTAGONG")</f>
        <v>CHITTAGONG</v>
      </c>
      <c r="C2374" s="4">
        <f>IFERROR(__xludf.DUMMYFUNCTION("""COMPUTED_VALUE"""),55.0)</f>
        <v>55</v>
      </c>
      <c r="D2374" s="2" t="str">
        <f>IFERROR(__xludf.DUMMYFUNCTION("""COMPUTED_VALUE"""),"BASIC BANK LTD.")</f>
        <v>BASIC BANK LTD.</v>
      </c>
      <c r="E2374" s="2" t="str">
        <f>IFERROR(__xludf.DUMMYFUNCTION("""COMPUTED_VALUE"""),"AGRABAD")</f>
        <v>AGRABAD</v>
      </c>
      <c r="F2374" s="4">
        <f>IFERROR(__xludf.DUMMYFUNCTION("""COMPUTED_VALUE"""),13.0)</f>
        <v>13</v>
      </c>
      <c r="G2374" s="5">
        <f>IFERROR(__xludf.DUMMYFUNCTION("""COMPUTED_VALUE"""),5.5150134E7)</f>
        <v>55150134</v>
      </c>
    </row>
    <row r="2375">
      <c r="A2375" s="3">
        <f>IFERROR(__xludf.DUMMYFUNCTION("""COMPUTED_VALUE"""),215.0)</f>
        <v>215</v>
      </c>
      <c r="B2375" s="2" t="str">
        <f>IFERROR(__xludf.DUMMYFUNCTION("""COMPUTED_VALUE"""),"CHITTAGONG")</f>
        <v>CHITTAGONG</v>
      </c>
      <c r="C2375" s="4">
        <f>IFERROR(__xludf.DUMMYFUNCTION("""COMPUTED_VALUE"""),55.0)</f>
        <v>55</v>
      </c>
      <c r="D2375" s="2" t="str">
        <f>IFERROR(__xludf.DUMMYFUNCTION("""COMPUTED_VALUE"""),"BASIC BANK LTD.")</f>
        <v>BASIC BANK LTD.</v>
      </c>
      <c r="E2375" s="2" t="str">
        <f>IFERROR(__xludf.DUMMYFUNCTION("""COMPUTED_VALUE"""),"ASAD GANJ")</f>
        <v>ASAD GANJ</v>
      </c>
      <c r="F2375" s="4">
        <f>IFERROR(__xludf.DUMMYFUNCTION("""COMPUTED_VALUE"""),58.0)</f>
        <v>58</v>
      </c>
      <c r="G2375" s="5">
        <f>IFERROR(__xludf.DUMMYFUNCTION("""COMPUTED_VALUE"""),5.5150589E7)</f>
        <v>55150589</v>
      </c>
    </row>
    <row r="2376">
      <c r="A2376" s="3">
        <f>IFERROR(__xludf.DUMMYFUNCTION("""COMPUTED_VALUE"""),215.0)</f>
        <v>215</v>
      </c>
      <c r="B2376" s="2" t="str">
        <f>IFERROR(__xludf.DUMMYFUNCTION("""COMPUTED_VALUE"""),"CHITTAGONG")</f>
        <v>CHITTAGONG</v>
      </c>
      <c r="C2376" s="4">
        <f>IFERROR(__xludf.DUMMYFUNCTION("""COMPUTED_VALUE"""),55.0)</f>
        <v>55</v>
      </c>
      <c r="D2376" s="2" t="str">
        <f>IFERROR(__xludf.DUMMYFUNCTION("""COMPUTED_VALUE"""),"BASIC BANK LTD.")</f>
        <v>BASIC BANK LTD.</v>
      </c>
      <c r="E2376" s="2" t="str">
        <f>IFERROR(__xludf.DUMMYFUNCTION("""COMPUTED_VALUE"""),"C.E.P.Z.")</f>
        <v>C.E.P.Z.</v>
      </c>
      <c r="F2376" s="4">
        <f>IFERROR(__xludf.DUMMYFUNCTION("""COMPUTED_VALUE"""),157.0)</f>
        <v>157</v>
      </c>
      <c r="G2376" s="5">
        <f>IFERROR(__xludf.DUMMYFUNCTION("""COMPUTED_VALUE"""),5.5151575E7)</f>
        <v>55151575</v>
      </c>
    </row>
    <row r="2377">
      <c r="A2377" s="3">
        <f>IFERROR(__xludf.DUMMYFUNCTION("""COMPUTED_VALUE"""),215.0)</f>
        <v>215</v>
      </c>
      <c r="B2377" s="2" t="str">
        <f>IFERROR(__xludf.DUMMYFUNCTION("""COMPUTED_VALUE"""),"CHITTAGONG")</f>
        <v>CHITTAGONG</v>
      </c>
      <c r="C2377" s="4">
        <f>IFERROR(__xludf.DUMMYFUNCTION("""COMPUTED_VALUE"""),55.0)</f>
        <v>55</v>
      </c>
      <c r="D2377" s="2" t="str">
        <f>IFERROR(__xludf.DUMMYFUNCTION("""COMPUTED_VALUE"""),"BASIC BANK LTD.")</f>
        <v>BASIC BANK LTD.</v>
      </c>
      <c r="E2377" s="2" t="str">
        <f>IFERROR(__xludf.DUMMYFUNCTION("""COMPUTED_VALUE"""),"DEWAN HAT")</f>
        <v>DEWAN HAT</v>
      </c>
      <c r="F2377" s="4">
        <f>IFERROR(__xludf.DUMMYFUNCTION("""COMPUTED_VALUE"""),244.0)</f>
        <v>244</v>
      </c>
      <c r="G2377" s="5">
        <f>IFERROR(__xludf.DUMMYFUNCTION("""COMPUTED_VALUE"""),5.515244E7)</f>
        <v>55152440</v>
      </c>
    </row>
    <row r="2378">
      <c r="A2378" s="3">
        <f>IFERROR(__xludf.DUMMYFUNCTION("""COMPUTED_VALUE"""),215.0)</f>
        <v>215</v>
      </c>
      <c r="B2378" s="2" t="str">
        <f>IFERROR(__xludf.DUMMYFUNCTION("""COMPUTED_VALUE"""),"CHITTAGONG")</f>
        <v>CHITTAGONG</v>
      </c>
      <c r="C2378" s="4">
        <f>IFERROR(__xludf.DUMMYFUNCTION("""COMPUTED_VALUE"""),55.0)</f>
        <v>55</v>
      </c>
      <c r="D2378" s="2" t="str">
        <f>IFERROR(__xludf.DUMMYFUNCTION("""COMPUTED_VALUE"""),"BASIC BANK LTD.")</f>
        <v>BASIC BANK LTD.</v>
      </c>
      <c r="E2378" s="2" t="str">
        <f>IFERROR(__xludf.DUMMYFUNCTION("""COMPUTED_VALUE"""),"DOHAZARI")</f>
        <v>DOHAZARI</v>
      </c>
      <c r="F2378" s="4">
        <f>IFERROR(__xludf.DUMMYFUNCTION("""COMPUTED_VALUE"""),256.0)</f>
        <v>256</v>
      </c>
      <c r="G2378" s="5">
        <f>IFERROR(__xludf.DUMMYFUNCTION("""COMPUTED_VALUE"""),5.5152561E7)</f>
        <v>55152561</v>
      </c>
    </row>
    <row r="2379">
      <c r="A2379" s="3">
        <f>IFERROR(__xludf.DUMMYFUNCTION("""COMPUTED_VALUE"""),215.0)</f>
        <v>215</v>
      </c>
      <c r="B2379" s="2" t="str">
        <f>IFERROR(__xludf.DUMMYFUNCTION("""COMPUTED_VALUE"""),"CHITTAGONG")</f>
        <v>CHITTAGONG</v>
      </c>
      <c r="C2379" s="4">
        <f>IFERROR(__xludf.DUMMYFUNCTION("""COMPUTED_VALUE"""),55.0)</f>
        <v>55</v>
      </c>
      <c r="D2379" s="2" t="str">
        <f>IFERROR(__xludf.DUMMYFUNCTION("""COMPUTED_VALUE"""),"BASIC BANK LTD.")</f>
        <v>BASIC BANK LTD.</v>
      </c>
      <c r="E2379" s="2" t="str">
        <f>IFERROR(__xludf.DUMMYFUNCTION("""COMPUTED_VALUE"""),"JORARGANJ")</f>
        <v>JORARGANJ</v>
      </c>
      <c r="F2379" s="4">
        <f>IFERROR(__xludf.DUMMYFUNCTION("""COMPUTED_VALUE"""),361.0)</f>
        <v>361</v>
      </c>
      <c r="G2379" s="5">
        <f>IFERROR(__xludf.DUMMYFUNCTION("""COMPUTED_VALUE"""),5.515361E7)</f>
        <v>55153610</v>
      </c>
    </row>
    <row r="2380">
      <c r="A2380" s="3">
        <f>IFERROR(__xludf.DUMMYFUNCTION("""COMPUTED_VALUE"""),215.0)</f>
        <v>215</v>
      </c>
      <c r="B2380" s="2" t="str">
        <f>IFERROR(__xludf.DUMMYFUNCTION("""COMPUTED_VALUE"""),"CHITTAGONG")</f>
        <v>CHITTAGONG</v>
      </c>
      <c r="C2380" s="4">
        <f>IFERROR(__xludf.DUMMYFUNCTION("""COMPUTED_VALUE"""),55.0)</f>
        <v>55</v>
      </c>
      <c r="D2380" s="2" t="str">
        <f>IFERROR(__xludf.DUMMYFUNCTION("""COMPUTED_VALUE"""),"BASIC BANK LTD.")</f>
        <v>BASIC BANK LTD.</v>
      </c>
      <c r="E2380" s="2" t="str">
        <f>IFERROR(__xludf.DUMMYFUNCTION("""COMPUTED_VALUE"""),"JUBILEE ROAD")</f>
        <v>JUBILEE ROAD</v>
      </c>
      <c r="F2380" s="4">
        <f>IFERROR(__xludf.DUMMYFUNCTION("""COMPUTED_VALUE"""),364.0)</f>
        <v>364</v>
      </c>
      <c r="G2380" s="5">
        <f>IFERROR(__xludf.DUMMYFUNCTION("""COMPUTED_VALUE"""),5.5153649E7)</f>
        <v>55153649</v>
      </c>
    </row>
    <row r="2381">
      <c r="A2381" s="3">
        <f>IFERROR(__xludf.DUMMYFUNCTION("""COMPUTED_VALUE"""),215.0)</f>
        <v>215</v>
      </c>
      <c r="B2381" s="2" t="str">
        <f>IFERROR(__xludf.DUMMYFUNCTION("""COMPUTED_VALUE"""),"CHITTAGONG")</f>
        <v>CHITTAGONG</v>
      </c>
      <c r="C2381" s="4">
        <f>IFERROR(__xludf.DUMMYFUNCTION("""COMPUTED_VALUE"""),55.0)</f>
        <v>55</v>
      </c>
      <c r="D2381" s="2" t="str">
        <f>IFERROR(__xludf.DUMMYFUNCTION("""COMPUTED_VALUE"""),"BASIC BANK LTD.")</f>
        <v>BASIC BANK LTD.</v>
      </c>
      <c r="E2381" s="2" t="str">
        <f>IFERROR(__xludf.DUMMYFUNCTION("""COMPUTED_VALUE"""),"KHATUNGANJ")</f>
        <v>KHATUNGANJ</v>
      </c>
      <c r="F2381" s="4">
        <f>IFERROR(__xludf.DUMMYFUNCTION("""COMPUTED_VALUE"""),427.0)</f>
        <v>427</v>
      </c>
      <c r="G2381" s="5">
        <f>IFERROR(__xludf.DUMMYFUNCTION("""COMPUTED_VALUE"""),5.5154277E7)</f>
        <v>55154277</v>
      </c>
    </row>
    <row r="2382">
      <c r="A2382" s="3">
        <f>IFERROR(__xludf.DUMMYFUNCTION("""COMPUTED_VALUE"""),215.0)</f>
        <v>215</v>
      </c>
      <c r="B2382" s="2" t="str">
        <f>IFERROR(__xludf.DUMMYFUNCTION("""COMPUTED_VALUE"""),"CHITTAGONG")</f>
        <v>CHITTAGONG</v>
      </c>
      <c r="C2382" s="4">
        <f>IFERROR(__xludf.DUMMYFUNCTION("""COMPUTED_VALUE"""),55.0)</f>
        <v>55</v>
      </c>
      <c r="D2382" s="2" t="str">
        <f>IFERROR(__xludf.DUMMYFUNCTION("""COMPUTED_VALUE"""),"BASIC BANK LTD.")</f>
        <v>BASIC BANK LTD.</v>
      </c>
      <c r="E2382" s="2" t="str">
        <f>IFERROR(__xludf.DUMMYFUNCTION("""COMPUTED_VALUE"""),"PAHARTALI")</f>
        <v>PAHARTALI</v>
      </c>
      <c r="F2382" s="4">
        <f>IFERROR(__xludf.DUMMYFUNCTION("""COMPUTED_VALUE"""),592.0)</f>
        <v>592</v>
      </c>
      <c r="G2382" s="5">
        <f>IFERROR(__xludf.DUMMYFUNCTION("""COMPUTED_VALUE"""),5.5155926E7)</f>
        <v>55155926</v>
      </c>
    </row>
    <row r="2383">
      <c r="A2383" s="3">
        <f>IFERROR(__xludf.DUMMYFUNCTION("""COMPUTED_VALUE"""),215.0)</f>
        <v>215</v>
      </c>
      <c r="B2383" s="2" t="str">
        <f>IFERROR(__xludf.DUMMYFUNCTION("""COMPUTED_VALUE"""),"CHITTAGONG")</f>
        <v>CHITTAGONG</v>
      </c>
      <c r="C2383" s="4">
        <f>IFERROR(__xludf.DUMMYFUNCTION("""COMPUTED_VALUE"""),55.0)</f>
        <v>55</v>
      </c>
      <c r="D2383" s="2" t="str">
        <f>IFERROR(__xludf.DUMMYFUNCTION("""COMPUTED_VALUE"""),"BASIC BANK LTD.")</f>
        <v>BASIC BANK LTD.</v>
      </c>
      <c r="E2383" s="2" t="str">
        <f>IFERROR(__xludf.DUMMYFUNCTION("""COMPUTED_VALUE"""),"PATHERHAT")</f>
        <v>PATHERHAT</v>
      </c>
      <c r="F2383" s="4">
        <f>IFERROR(__xludf.DUMMYFUNCTION("""COMPUTED_VALUE"""),613.0)</f>
        <v>613</v>
      </c>
      <c r="G2383" s="5">
        <f>IFERROR(__xludf.DUMMYFUNCTION("""COMPUTED_VALUE"""),5.5156138E7)</f>
        <v>55156138</v>
      </c>
    </row>
    <row r="2384">
      <c r="A2384" s="3">
        <f>IFERROR(__xludf.DUMMYFUNCTION("""COMPUTED_VALUE"""),215.0)</f>
        <v>215</v>
      </c>
      <c r="B2384" s="2" t="str">
        <f>IFERROR(__xludf.DUMMYFUNCTION("""COMPUTED_VALUE"""),"CHITTAGONG")</f>
        <v>CHITTAGONG</v>
      </c>
      <c r="C2384" s="4">
        <f>IFERROR(__xludf.DUMMYFUNCTION("""COMPUTED_VALUE"""),55.0)</f>
        <v>55</v>
      </c>
      <c r="D2384" s="2" t="str">
        <f>IFERROR(__xludf.DUMMYFUNCTION("""COMPUTED_VALUE"""),"BASIC BANK LTD.")</f>
        <v>BASIC BANK LTD.</v>
      </c>
      <c r="E2384" s="2" t="str">
        <f>IFERROR(__xludf.DUMMYFUNCTION("""COMPUTED_VALUE"""),"SHOLA SAHAR")</f>
        <v>SHOLA SAHAR</v>
      </c>
      <c r="F2384" s="4">
        <f>IFERROR(__xludf.DUMMYFUNCTION("""COMPUTED_VALUE"""),733.0)</f>
        <v>733</v>
      </c>
      <c r="G2384" s="5">
        <f>IFERROR(__xludf.DUMMYFUNCTION("""COMPUTED_VALUE"""),5.5157337E7)</f>
        <v>55157337</v>
      </c>
    </row>
    <row r="2385">
      <c r="A2385" s="3">
        <f>IFERROR(__xludf.DUMMYFUNCTION("""COMPUTED_VALUE"""),119.0)</f>
        <v>119</v>
      </c>
      <c r="B2385" s="2" t="str">
        <f>IFERROR(__xludf.DUMMYFUNCTION("""COMPUTED_VALUE"""),"COMILLA")</f>
        <v>COMILLA</v>
      </c>
      <c r="C2385" s="4">
        <f>IFERROR(__xludf.DUMMYFUNCTION("""COMPUTED_VALUE"""),55.0)</f>
        <v>55</v>
      </c>
      <c r="D2385" s="2" t="str">
        <f>IFERROR(__xludf.DUMMYFUNCTION("""COMPUTED_VALUE"""),"BASIC BANK LTD.")</f>
        <v>BASIC BANK LTD.</v>
      </c>
      <c r="E2385" s="2" t="str">
        <f>IFERROR(__xludf.DUMMYFUNCTION("""COMPUTED_VALUE"""),"COMILLA")</f>
        <v>COMILLA</v>
      </c>
      <c r="F2385" s="4">
        <f>IFERROR(__xludf.DUMMYFUNCTION("""COMPUTED_VALUE"""),115.0)</f>
        <v>115</v>
      </c>
      <c r="G2385" s="5">
        <f>IFERROR(__xludf.DUMMYFUNCTION("""COMPUTED_VALUE"""),5.5191151E7)</f>
        <v>55191151</v>
      </c>
    </row>
    <row r="2386">
      <c r="A2386" s="3">
        <f>IFERROR(__xludf.DUMMYFUNCTION("""COMPUTED_VALUE"""),222.0)</f>
        <v>222</v>
      </c>
      <c r="B2386" s="2" t="str">
        <f>IFERROR(__xludf.DUMMYFUNCTION("""COMPUTED_VALUE"""),"COXS BAZAR")</f>
        <v>COXS BAZAR</v>
      </c>
      <c r="C2386" s="4">
        <f>IFERROR(__xludf.DUMMYFUNCTION("""COMPUTED_VALUE"""),55.0)</f>
        <v>55</v>
      </c>
      <c r="D2386" s="2" t="str">
        <f>IFERROR(__xludf.DUMMYFUNCTION("""COMPUTED_VALUE"""),"BASIC BANK LTD.")</f>
        <v>BASIC BANK LTD.</v>
      </c>
      <c r="E2386" s="2" t="str">
        <f>IFERROR(__xludf.DUMMYFUNCTION("""COMPUTED_VALUE"""),"COXS BAZAR")</f>
        <v>COXS BAZAR</v>
      </c>
      <c r="F2386" s="4">
        <f>IFERROR(__xludf.DUMMYFUNCTION("""COMPUTED_VALUE"""),25.0)</f>
        <v>25</v>
      </c>
      <c r="G2386" s="5">
        <f>IFERROR(__xludf.DUMMYFUNCTION("""COMPUTED_VALUE"""),5.5220251E7)</f>
        <v>55220251</v>
      </c>
    </row>
    <row r="2387">
      <c r="A2387" s="3">
        <f>IFERROR(__xludf.DUMMYFUNCTION("""COMPUTED_VALUE"""),126.0)</f>
        <v>126</v>
      </c>
      <c r="B2387" s="2" t="str">
        <f>IFERROR(__xludf.DUMMYFUNCTION("""COMPUTED_VALUE"""),"DHAKA-NORTH")</f>
        <v>DHAKA-NORTH</v>
      </c>
      <c r="C2387" s="4">
        <f>IFERROR(__xludf.DUMMYFUNCTION("""COMPUTED_VALUE"""),55.0)</f>
        <v>55</v>
      </c>
      <c r="D2387" s="2" t="str">
        <f>IFERROR(__xludf.DUMMYFUNCTION("""COMPUTED_VALUE"""),"BASIC BANK LTD.")</f>
        <v>BASIC BANK LTD.</v>
      </c>
      <c r="E2387" s="2" t="str">
        <f>IFERROR(__xludf.DUMMYFUNCTION("""COMPUTED_VALUE"""),"BANANI")</f>
        <v>BANANI</v>
      </c>
      <c r="F2387" s="4">
        <f>IFERROR(__xludf.DUMMYFUNCTION("""COMPUTED_VALUE"""),43.0)</f>
        <v>43</v>
      </c>
      <c r="G2387" s="5">
        <f>IFERROR(__xludf.DUMMYFUNCTION("""COMPUTED_VALUE"""),5.5260437E7)</f>
        <v>55260437</v>
      </c>
    </row>
    <row r="2388">
      <c r="A2388" s="3">
        <f>IFERROR(__xludf.DUMMYFUNCTION("""COMPUTED_VALUE"""),126.0)</f>
        <v>126</v>
      </c>
      <c r="B2388" s="2" t="str">
        <f>IFERROR(__xludf.DUMMYFUNCTION("""COMPUTED_VALUE"""),"DHAKA-NORTH")</f>
        <v>DHAKA-NORTH</v>
      </c>
      <c r="C2388" s="4">
        <f>IFERROR(__xludf.DUMMYFUNCTION("""COMPUTED_VALUE"""),55.0)</f>
        <v>55</v>
      </c>
      <c r="D2388" s="2" t="str">
        <f>IFERROR(__xludf.DUMMYFUNCTION("""COMPUTED_VALUE"""),"BASIC BANK LTD.")</f>
        <v>BASIC BANK LTD.</v>
      </c>
      <c r="E2388" s="2" t="str">
        <f>IFERROR(__xludf.DUMMYFUNCTION("""COMPUTED_VALUE"""),"BASHUNDHARA")</f>
        <v>BASHUNDHARA</v>
      </c>
      <c r="F2388" s="4">
        <f>IFERROR(__xludf.DUMMYFUNCTION("""COMPUTED_VALUE"""),55.0)</f>
        <v>55</v>
      </c>
      <c r="G2388" s="5">
        <f>IFERROR(__xludf.DUMMYFUNCTION("""COMPUTED_VALUE"""),5.5260558E7)</f>
        <v>55260558</v>
      </c>
    </row>
    <row r="2389">
      <c r="A2389" s="3">
        <f>IFERROR(__xludf.DUMMYFUNCTION("""COMPUTED_VALUE"""),126.0)</f>
        <v>126</v>
      </c>
      <c r="B2389" s="2" t="str">
        <f>IFERROR(__xludf.DUMMYFUNCTION("""COMPUTED_VALUE"""),"DHAKA-NORTH")</f>
        <v>DHAKA-NORTH</v>
      </c>
      <c r="C2389" s="4">
        <f>IFERROR(__xludf.DUMMYFUNCTION("""COMPUTED_VALUE"""),55.0)</f>
        <v>55</v>
      </c>
      <c r="D2389" s="2" t="str">
        <f>IFERROR(__xludf.DUMMYFUNCTION("""COMPUTED_VALUE"""),"BASIC BANK LTD.")</f>
        <v>BASIC BANK LTD.</v>
      </c>
      <c r="E2389" s="2" t="str">
        <f>IFERROR(__xludf.DUMMYFUNCTION("""COMPUTED_VALUE"""),"CANTONMENT")</f>
        <v>CANTONMENT</v>
      </c>
      <c r="F2389" s="4">
        <f>IFERROR(__xludf.DUMMYFUNCTION("""COMPUTED_VALUE"""),73.0)</f>
        <v>73</v>
      </c>
      <c r="G2389" s="5">
        <f>IFERROR(__xludf.DUMMYFUNCTION("""COMPUTED_VALUE"""),5.5260732E7)</f>
        <v>55260732</v>
      </c>
    </row>
    <row r="2390">
      <c r="A2390" s="3">
        <f>IFERROR(__xludf.DUMMYFUNCTION("""COMPUTED_VALUE"""),126.0)</f>
        <v>126</v>
      </c>
      <c r="B2390" s="2" t="str">
        <f>IFERROR(__xludf.DUMMYFUNCTION("""COMPUTED_VALUE"""),"DHAKA-NORTH")</f>
        <v>DHAKA-NORTH</v>
      </c>
      <c r="C2390" s="4">
        <f>IFERROR(__xludf.DUMMYFUNCTION("""COMPUTED_VALUE"""),55.0)</f>
        <v>55</v>
      </c>
      <c r="D2390" s="2" t="str">
        <f>IFERROR(__xludf.DUMMYFUNCTION("""COMPUTED_VALUE"""),"BASIC BANK LTD.")</f>
        <v>BASIC BANK LTD.</v>
      </c>
      <c r="E2390" s="2" t="str">
        <f>IFERROR(__xludf.DUMMYFUNCTION("""COMPUTED_VALUE"""),"DHANMONDI")</f>
        <v>DHANMONDI</v>
      </c>
      <c r="F2390" s="4">
        <f>IFERROR(__xludf.DUMMYFUNCTION("""COMPUTED_VALUE"""),118.0)</f>
        <v>118</v>
      </c>
      <c r="G2390" s="5">
        <f>IFERROR(__xludf.DUMMYFUNCTION("""COMPUTED_VALUE"""),5.5261186E7)</f>
        <v>55261186</v>
      </c>
    </row>
    <row r="2391">
      <c r="A2391" s="3">
        <f>IFERROR(__xludf.DUMMYFUNCTION("""COMPUTED_VALUE"""),126.0)</f>
        <v>126</v>
      </c>
      <c r="B2391" s="2" t="str">
        <f>IFERROR(__xludf.DUMMYFUNCTION("""COMPUTED_VALUE"""),"DHAKA-NORTH")</f>
        <v>DHAKA-NORTH</v>
      </c>
      <c r="C2391" s="4">
        <f>IFERROR(__xludf.DUMMYFUNCTION("""COMPUTED_VALUE"""),55.0)</f>
        <v>55</v>
      </c>
      <c r="D2391" s="2" t="str">
        <f>IFERROR(__xludf.DUMMYFUNCTION("""COMPUTED_VALUE"""),"BASIC BANK LTD.")</f>
        <v>BASIC BANK LTD.</v>
      </c>
      <c r="E2391" s="2" t="str">
        <f>IFERROR(__xludf.DUMMYFUNCTION("""COMPUTED_VALUE"""),"GULSHAN")</f>
        <v>GULSHAN</v>
      </c>
      <c r="F2391" s="4">
        <f>IFERROR(__xludf.DUMMYFUNCTION("""COMPUTED_VALUE"""),172.0)</f>
        <v>172</v>
      </c>
      <c r="G2391" s="5">
        <f>IFERROR(__xludf.DUMMYFUNCTION("""COMPUTED_VALUE"""),5.5261728E7)</f>
        <v>55261728</v>
      </c>
    </row>
    <row r="2392">
      <c r="A2392" s="3">
        <f>IFERROR(__xludf.DUMMYFUNCTION("""COMPUTED_VALUE"""),126.0)</f>
        <v>126</v>
      </c>
      <c r="B2392" s="2" t="str">
        <f>IFERROR(__xludf.DUMMYFUNCTION("""COMPUTED_VALUE"""),"DHAKA-NORTH")</f>
        <v>DHAKA-NORTH</v>
      </c>
      <c r="C2392" s="4">
        <f>IFERROR(__xludf.DUMMYFUNCTION("""COMPUTED_VALUE"""),55.0)</f>
        <v>55</v>
      </c>
      <c r="D2392" s="2" t="str">
        <f>IFERROR(__xludf.DUMMYFUNCTION("""COMPUTED_VALUE"""),"BASIC BANK LTD.")</f>
        <v>BASIC BANK LTD.</v>
      </c>
      <c r="E2392" s="2" t="str">
        <f>IFERROR(__xludf.DUMMYFUNCTION("""COMPUTED_VALUE"""),"KARWAN BAZAR")</f>
        <v>KARWAN BAZAR</v>
      </c>
      <c r="F2392" s="4">
        <f>IFERROR(__xludf.DUMMYFUNCTION("""COMPUTED_VALUE"""),253.0)</f>
        <v>253</v>
      </c>
      <c r="G2392" s="5">
        <f>IFERROR(__xludf.DUMMYFUNCTION("""COMPUTED_VALUE"""),5.526253E7)</f>
        <v>55262530</v>
      </c>
    </row>
    <row r="2393">
      <c r="A2393" s="3">
        <f>IFERROR(__xludf.DUMMYFUNCTION("""COMPUTED_VALUE"""),126.0)</f>
        <v>126</v>
      </c>
      <c r="B2393" s="2" t="str">
        <f>IFERROR(__xludf.DUMMYFUNCTION("""COMPUTED_VALUE"""),"DHAKA-NORTH")</f>
        <v>DHAKA-NORTH</v>
      </c>
      <c r="C2393" s="4">
        <f>IFERROR(__xludf.DUMMYFUNCTION("""COMPUTED_VALUE"""),55.0)</f>
        <v>55</v>
      </c>
      <c r="D2393" s="2" t="str">
        <f>IFERROR(__xludf.DUMMYFUNCTION("""COMPUTED_VALUE"""),"BASIC BANK LTD.")</f>
        <v>BASIC BANK LTD.</v>
      </c>
      <c r="E2393" s="2" t="str">
        <f>IFERROR(__xludf.DUMMYFUNCTION("""COMPUTED_VALUE"""),"MIRPUR")</f>
        <v>MIRPUR</v>
      </c>
      <c r="F2393" s="4">
        <f>IFERROR(__xludf.DUMMYFUNCTION("""COMPUTED_VALUE"""),298.0)</f>
        <v>298</v>
      </c>
      <c r="G2393" s="5">
        <f>IFERROR(__xludf.DUMMYFUNCTION("""COMPUTED_VALUE"""),5.5262985E7)</f>
        <v>55262985</v>
      </c>
    </row>
    <row r="2394">
      <c r="A2394" s="3">
        <f>IFERROR(__xludf.DUMMYFUNCTION("""COMPUTED_VALUE"""),126.0)</f>
        <v>126</v>
      </c>
      <c r="B2394" s="2" t="str">
        <f>IFERROR(__xludf.DUMMYFUNCTION("""COMPUTED_VALUE"""),"DHAKA-NORTH")</f>
        <v>DHAKA-NORTH</v>
      </c>
      <c r="C2394" s="4">
        <f>IFERROR(__xludf.DUMMYFUNCTION("""COMPUTED_VALUE"""),55.0)</f>
        <v>55</v>
      </c>
      <c r="D2394" s="2" t="str">
        <f>IFERROR(__xludf.DUMMYFUNCTION("""COMPUTED_VALUE"""),"BASIC BANK LTD.")</f>
        <v>BASIC BANK LTD.</v>
      </c>
      <c r="E2394" s="2" t="str">
        <f>IFERROR(__xludf.DUMMYFUNCTION("""COMPUTED_VALUE"""),"SAVAR")</f>
        <v>SAVAR</v>
      </c>
      <c r="F2394" s="4">
        <f>IFERROR(__xludf.DUMMYFUNCTION("""COMPUTED_VALUE"""),409.0)</f>
        <v>409</v>
      </c>
      <c r="G2394" s="5">
        <f>IFERROR(__xludf.DUMMYFUNCTION("""COMPUTED_VALUE"""),5.5264091E7)</f>
        <v>55264091</v>
      </c>
    </row>
    <row r="2395">
      <c r="A2395" s="3">
        <f>IFERROR(__xludf.DUMMYFUNCTION("""COMPUTED_VALUE"""),126.0)</f>
        <v>126</v>
      </c>
      <c r="B2395" s="2" t="str">
        <f>IFERROR(__xludf.DUMMYFUNCTION("""COMPUTED_VALUE"""),"DHAKA-NORTH")</f>
        <v>DHAKA-NORTH</v>
      </c>
      <c r="C2395" s="4">
        <f>IFERROR(__xludf.DUMMYFUNCTION("""COMPUTED_VALUE"""),55.0)</f>
        <v>55</v>
      </c>
      <c r="D2395" s="2" t="str">
        <f>IFERROR(__xludf.DUMMYFUNCTION("""COMPUTED_VALUE"""),"BASIC BANK LTD.")</f>
        <v>BASIC BANK LTD.</v>
      </c>
      <c r="E2395" s="2" t="str">
        <f>IFERROR(__xludf.DUMMYFUNCTION("""COMPUTED_VALUE"""),"SHYAMALI")</f>
        <v>SHYAMALI</v>
      </c>
      <c r="F2395" s="4">
        <f>IFERROR(__xludf.DUMMYFUNCTION("""COMPUTED_VALUE"""),430.0)</f>
        <v>430</v>
      </c>
      <c r="G2395" s="5">
        <f>IFERROR(__xludf.DUMMYFUNCTION("""COMPUTED_VALUE"""),5.5264309E7)</f>
        <v>55264309</v>
      </c>
    </row>
    <row r="2396">
      <c r="A2396" s="3">
        <f>IFERROR(__xludf.DUMMYFUNCTION("""COMPUTED_VALUE"""),126.0)</f>
        <v>126</v>
      </c>
      <c r="B2396" s="2" t="str">
        <f>IFERROR(__xludf.DUMMYFUNCTION("""COMPUTED_VALUE"""),"DHAKA-NORTH")</f>
        <v>DHAKA-NORTH</v>
      </c>
      <c r="C2396" s="4">
        <f>IFERROR(__xludf.DUMMYFUNCTION("""COMPUTED_VALUE"""),55.0)</f>
        <v>55</v>
      </c>
      <c r="D2396" s="2" t="str">
        <f>IFERROR(__xludf.DUMMYFUNCTION("""COMPUTED_VALUE"""),"BASIC BANK LTD.")</f>
        <v>BASIC BANK LTD.</v>
      </c>
      <c r="E2396" s="2" t="str">
        <f>IFERROR(__xludf.DUMMYFUNCTION("""COMPUTED_VALUE"""),"UTTARA")</f>
        <v>UTTARA</v>
      </c>
      <c r="F2396" s="4">
        <f>IFERROR(__xludf.DUMMYFUNCTION("""COMPUTED_VALUE"""),463.0)</f>
        <v>463</v>
      </c>
      <c r="G2396" s="5">
        <f>IFERROR(__xludf.DUMMYFUNCTION("""COMPUTED_VALUE"""),5.5264633E7)</f>
        <v>55264633</v>
      </c>
    </row>
    <row r="2397">
      <c r="A2397" s="3">
        <f>IFERROR(__xludf.DUMMYFUNCTION("""COMPUTED_VALUE"""),127.0)</f>
        <v>127</v>
      </c>
      <c r="B2397" s="2" t="str">
        <f>IFERROR(__xludf.DUMMYFUNCTION("""COMPUTED_VALUE"""),"DHAKA-SOUTH")</f>
        <v>DHAKA-SOUTH</v>
      </c>
      <c r="C2397" s="4">
        <f>IFERROR(__xludf.DUMMYFUNCTION("""COMPUTED_VALUE"""),55.0)</f>
        <v>55</v>
      </c>
      <c r="D2397" s="2" t="str">
        <f>IFERROR(__xludf.DUMMYFUNCTION("""COMPUTED_VALUE"""),"BASIC BANK LTD.")</f>
        <v>BASIC BANK LTD.</v>
      </c>
      <c r="E2397" s="2" t="str">
        <f>IFERROR(__xludf.DUMMYFUNCTION("""COMPUTED_VALUE"""),"TRUNCATION POINT")</f>
        <v>TRUNCATION POINT</v>
      </c>
      <c r="F2397" s="4">
        <f>IFERROR(__xludf.DUMMYFUNCTION("""COMPUTED_VALUE"""),0.0)</f>
        <v>0</v>
      </c>
      <c r="G2397" s="5">
        <f>IFERROR(__xludf.DUMMYFUNCTION("""COMPUTED_VALUE"""),5.5270001E7)</f>
        <v>55270001</v>
      </c>
    </row>
    <row r="2398">
      <c r="A2398" s="3">
        <f>IFERROR(__xludf.DUMMYFUNCTION("""COMPUTED_VALUE"""),127.0)</f>
        <v>127</v>
      </c>
      <c r="B2398" s="2" t="str">
        <f>IFERROR(__xludf.DUMMYFUNCTION("""COMPUTED_VALUE"""),"DHAKA-SOUTH")</f>
        <v>DHAKA-SOUTH</v>
      </c>
      <c r="C2398" s="4">
        <f>IFERROR(__xludf.DUMMYFUNCTION("""COMPUTED_VALUE"""),55.0)</f>
        <v>55</v>
      </c>
      <c r="D2398" s="2" t="str">
        <f>IFERROR(__xludf.DUMMYFUNCTION("""COMPUTED_VALUE"""),"BASIC BANK LTD.")</f>
        <v>BASIC BANK LTD.</v>
      </c>
      <c r="E2398" s="2" t="str">
        <f>IFERROR(__xludf.DUMMYFUNCTION("""COMPUTED_VALUE"""),"BABU BAZAR")</f>
        <v>BABU BAZAR</v>
      </c>
      <c r="F2398" s="4">
        <f>IFERROR(__xludf.DUMMYFUNCTION("""COMPUTED_VALUE"""),55.0)</f>
        <v>55</v>
      </c>
      <c r="G2398" s="5">
        <f>IFERROR(__xludf.DUMMYFUNCTION("""COMPUTED_VALUE"""),5.5270551E7)</f>
        <v>55270551</v>
      </c>
    </row>
    <row r="2399">
      <c r="A2399" s="3">
        <f>IFERROR(__xludf.DUMMYFUNCTION("""COMPUTED_VALUE"""),127.0)</f>
        <v>127</v>
      </c>
      <c r="B2399" s="2" t="str">
        <f>IFERROR(__xludf.DUMMYFUNCTION("""COMPUTED_VALUE"""),"DHAKA-SOUTH")</f>
        <v>DHAKA-SOUTH</v>
      </c>
      <c r="C2399" s="4">
        <f>IFERROR(__xludf.DUMMYFUNCTION("""COMPUTED_VALUE"""),55.0)</f>
        <v>55</v>
      </c>
      <c r="D2399" s="2" t="str">
        <f>IFERROR(__xludf.DUMMYFUNCTION("""COMPUTED_VALUE"""),"BASIC BANK LTD.")</f>
        <v>BASIC BANK LTD.</v>
      </c>
      <c r="E2399" s="2" t="str">
        <f>IFERROR(__xludf.DUMMYFUNCTION("""COMPUTED_VALUE"""),"BANGSHAL")</f>
        <v>BANGSHAL</v>
      </c>
      <c r="F2399" s="4">
        <f>IFERROR(__xludf.DUMMYFUNCTION("""COMPUTED_VALUE"""),88.0)</f>
        <v>88</v>
      </c>
      <c r="G2399" s="5">
        <f>IFERROR(__xludf.DUMMYFUNCTION("""COMPUTED_VALUE"""),5.5270885E7)</f>
        <v>55270885</v>
      </c>
    </row>
    <row r="2400">
      <c r="A2400" s="3">
        <f>IFERROR(__xludf.DUMMYFUNCTION("""COMPUTED_VALUE"""),127.0)</f>
        <v>127</v>
      </c>
      <c r="B2400" s="2" t="str">
        <f>IFERROR(__xludf.DUMMYFUNCTION("""COMPUTED_VALUE"""),"DHAKA-SOUTH")</f>
        <v>DHAKA-SOUTH</v>
      </c>
      <c r="C2400" s="4">
        <f>IFERROR(__xludf.DUMMYFUNCTION("""COMPUTED_VALUE"""),55.0)</f>
        <v>55</v>
      </c>
      <c r="D2400" s="2" t="str">
        <f>IFERROR(__xludf.DUMMYFUNCTION("""COMPUTED_VALUE"""),"BASIC BANK LTD.")</f>
        <v>BASIC BANK LTD.</v>
      </c>
      <c r="E2400" s="2" t="str">
        <f>IFERROR(__xludf.DUMMYFUNCTION("""COMPUTED_VALUE"""),"DHAKA(MAIN)")</f>
        <v>DHAKA(MAIN)</v>
      </c>
      <c r="F2400" s="4">
        <f>IFERROR(__xludf.DUMMYFUNCTION("""COMPUTED_VALUE"""),178.0)</f>
        <v>178</v>
      </c>
      <c r="G2400" s="5">
        <f>IFERROR(__xludf.DUMMYFUNCTION("""COMPUTED_VALUE"""),5.5271789E7)</f>
        <v>55271789</v>
      </c>
    </row>
    <row r="2401">
      <c r="A2401" s="3">
        <f>IFERROR(__xludf.DUMMYFUNCTION("""COMPUTED_VALUE"""),127.0)</f>
        <v>127</v>
      </c>
      <c r="B2401" s="2" t="str">
        <f>IFERROR(__xludf.DUMMYFUNCTION("""COMPUTED_VALUE"""),"DHAKA-SOUTH")</f>
        <v>DHAKA-SOUTH</v>
      </c>
      <c r="C2401" s="4">
        <f>IFERROR(__xludf.DUMMYFUNCTION("""COMPUTED_VALUE"""),55.0)</f>
        <v>55</v>
      </c>
      <c r="D2401" s="2" t="str">
        <f>IFERROR(__xludf.DUMMYFUNCTION("""COMPUTED_VALUE"""),"BASIC BANK LTD.")</f>
        <v>BASIC BANK LTD.</v>
      </c>
      <c r="E2401" s="2" t="str">
        <f>IFERROR(__xludf.DUMMYFUNCTION("""COMPUTED_VALUE"""),"DILKUSHA")</f>
        <v>DILKUSHA</v>
      </c>
      <c r="F2401" s="3">
        <f>IFERROR(__xludf.DUMMYFUNCTION("""COMPUTED_VALUE"""),190.0)</f>
        <v>190</v>
      </c>
      <c r="G2401" s="5">
        <f>IFERROR(__xludf.DUMMYFUNCTION("""COMPUTED_VALUE"""),5.5271905E7)</f>
        <v>55271905</v>
      </c>
    </row>
    <row r="2402">
      <c r="A2402" s="3">
        <f>IFERROR(__xludf.DUMMYFUNCTION("""COMPUTED_VALUE"""),127.0)</f>
        <v>127</v>
      </c>
      <c r="B2402" s="2" t="str">
        <f>IFERROR(__xludf.DUMMYFUNCTION("""COMPUTED_VALUE"""),"DHAKA-SOUTH")</f>
        <v>DHAKA-SOUTH</v>
      </c>
      <c r="C2402" s="4">
        <f>IFERROR(__xludf.DUMMYFUNCTION("""COMPUTED_VALUE"""),55.0)</f>
        <v>55</v>
      </c>
      <c r="D2402" s="2" t="str">
        <f>IFERROR(__xludf.DUMMYFUNCTION("""COMPUTED_VALUE"""),"BASIC BANK LTD.")</f>
        <v>BASIC BANK LTD.</v>
      </c>
      <c r="E2402" s="2" t="str">
        <f>IFERROR(__xludf.DUMMYFUNCTION("""COMPUTED_VALUE"""),"HEAD OFFICE")</f>
        <v>HEAD OFFICE</v>
      </c>
      <c r="F2402" s="3">
        <f>IFERROR(__xludf.DUMMYFUNCTION("""COMPUTED_VALUE"""),268.0)</f>
        <v>268</v>
      </c>
      <c r="G2402" s="5">
        <f>IFERROR(__xludf.DUMMYFUNCTION("""COMPUTED_VALUE"""),5.5272683E7)</f>
        <v>55272683</v>
      </c>
    </row>
    <row r="2403">
      <c r="A2403" s="3">
        <f>IFERROR(__xludf.DUMMYFUNCTION("""COMPUTED_VALUE"""),127.0)</f>
        <v>127</v>
      </c>
      <c r="B2403" s="2" t="str">
        <f>IFERROR(__xludf.DUMMYFUNCTION("""COMPUTED_VALUE"""),"DHAKA-SOUTH")</f>
        <v>DHAKA-SOUTH</v>
      </c>
      <c r="C2403" s="4">
        <f>IFERROR(__xludf.DUMMYFUNCTION("""COMPUTED_VALUE"""),55.0)</f>
        <v>55</v>
      </c>
      <c r="D2403" s="2" t="str">
        <f>IFERROR(__xludf.DUMMYFUNCTION("""COMPUTED_VALUE"""),"BASIC BANK LTD.")</f>
        <v>BASIC BANK LTD.</v>
      </c>
      <c r="E2403" s="2" t="str">
        <f>IFERROR(__xludf.DUMMYFUNCTION("""COMPUTED_VALUE"""),"ISLAMPUR")</f>
        <v>ISLAMPUR</v>
      </c>
      <c r="F2403" s="3">
        <f>IFERROR(__xludf.DUMMYFUNCTION("""COMPUTED_VALUE"""),298.0)</f>
        <v>298</v>
      </c>
      <c r="G2403" s="5">
        <f>IFERROR(__xludf.DUMMYFUNCTION("""COMPUTED_VALUE"""),5.5272988E7)</f>
        <v>55272988</v>
      </c>
    </row>
    <row r="2404">
      <c r="A2404" s="3">
        <f>IFERROR(__xludf.DUMMYFUNCTION("""COMPUTED_VALUE"""),127.0)</f>
        <v>127</v>
      </c>
      <c r="B2404" s="2" t="str">
        <f>IFERROR(__xludf.DUMMYFUNCTION("""COMPUTED_VALUE"""),"DHAKA-SOUTH")</f>
        <v>DHAKA-SOUTH</v>
      </c>
      <c r="C2404" s="4">
        <f>IFERROR(__xludf.DUMMYFUNCTION("""COMPUTED_VALUE"""),55.0)</f>
        <v>55</v>
      </c>
      <c r="D2404" s="2" t="str">
        <f>IFERROR(__xludf.DUMMYFUNCTION("""COMPUTED_VALUE"""),"BASIC BANK LTD.")</f>
        <v>BASIC BANK LTD.</v>
      </c>
      <c r="E2404" s="2" t="str">
        <f>IFERROR(__xludf.DUMMYFUNCTION("""COMPUTED_VALUE"""),"KERANIGANJ")</f>
        <v>KERANIGANJ</v>
      </c>
      <c r="F2404" s="3">
        <f>IFERROR(__xludf.DUMMYFUNCTION("""COMPUTED_VALUE"""),364.0)</f>
        <v>364</v>
      </c>
      <c r="G2404" s="5">
        <f>IFERROR(__xludf.DUMMYFUNCTION("""COMPUTED_VALUE"""),5.527364E7)</f>
        <v>55273640</v>
      </c>
    </row>
    <row r="2405">
      <c r="A2405" s="3">
        <f>IFERROR(__xludf.DUMMYFUNCTION("""COMPUTED_VALUE"""),127.0)</f>
        <v>127</v>
      </c>
      <c r="B2405" s="2" t="str">
        <f>IFERROR(__xludf.DUMMYFUNCTION("""COMPUTED_VALUE"""),"DHAKA-SOUTH")</f>
        <v>DHAKA-SOUTH</v>
      </c>
      <c r="C2405" s="4">
        <f>IFERROR(__xludf.DUMMYFUNCTION("""COMPUTED_VALUE"""),55.0)</f>
        <v>55</v>
      </c>
      <c r="D2405" s="2" t="str">
        <f>IFERROR(__xludf.DUMMYFUNCTION("""COMPUTED_VALUE"""),"BASIC BANK LTD.")</f>
        <v>BASIC BANK LTD.</v>
      </c>
      <c r="E2405" s="2" t="str">
        <f>IFERROR(__xludf.DUMMYFUNCTION("""COMPUTED_VALUE"""),"MATUAIL")</f>
        <v>MATUAIL</v>
      </c>
      <c r="F2405" s="3">
        <f>IFERROR(__xludf.DUMMYFUNCTION("""COMPUTED_VALUE"""),400.0)</f>
        <v>400</v>
      </c>
      <c r="G2405" s="5">
        <f>IFERROR(__xludf.DUMMYFUNCTION("""COMPUTED_VALUE"""),5.5274007E7)</f>
        <v>55274007</v>
      </c>
    </row>
    <row r="2406">
      <c r="A2406" s="3">
        <f>IFERROR(__xludf.DUMMYFUNCTION("""COMPUTED_VALUE"""),127.0)</f>
        <v>127</v>
      </c>
      <c r="B2406" s="2" t="str">
        <f>IFERROR(__xludf.DUMMYFUNCTION("""COMPUTED_VALUE"""),"DHAKA-SOUTH")</f>
        <v>DHAKA-SOUTH</v>
      </c>
      <c r="C2406" s="4">
        <f>IFERROR(__xludf.DUMMYFUNCTION("""COMPUTED_VALUE"""),55.0)</f>
        <v>55</v>
      </c>
      <c r="D2406" s="2" t="str">
        <f>IFERROR(__xludf.DUMMYFUNCTION("""COMPUTED_VALUE"""),"BASIC BANK LTD.")</f>
        <v>BASIC BANK LTD.</v>
      </c>
      <c r="E2406" s="2" t="str">
        <f>IFERROR(__xludf.DUMMYFUNCTION("""COMPUTED_VALUE"""),"MOULVI BAZAR")</f>
        <v>MOULVI BAZAR</v>
      </c>
      <c r="F2406" s="3">
        <f>IFERROR(__xludf.DUMMYFUNCTION("""COMPUTED_VALUE"""),442.0)</f>
        <v>442</v>
      </c>
      <c r="G2406" s="5">
        <f>IFERROR(__xludf.DUMMYFUNCTION("""COMPUTED_VALUE"""),5.5274423E7)</f>
        <v>55274423</v>
      </c>
    </row>
    <row r="2407">
      <c r="A2407" s="3">
        <f>IFERROR(__xludf.DUMMYFUNCTION("""COMPUTED_VALUE"""),127.0)</f>
        <v>127</v>
      </c>
      <c r="B2407" s="2" t="str">
        <f>IFERROR(__xludf.DUMMYFUNCTION("""COMPUTED_VALUE"""),"DHAKA-SOUTH")</f>
        <v>DHAKA-SOUTH</v>
      </c>
      <c r="C2407" s="4">
        <f>IFERROR(__xludf.DUMMYFUNCTION("""COMPUTED_VALUE"""),55.0)</f>
        <v>55</v>
      </c>
      <c r="D2407" s="2" t="str">
        <f>IFERROR(__xludf.DUMMYFUNCTION("""COMPUTED_VALUE"""),"BASIC BANK LTD.")</f>
        <v>BASIC BANK LTD.</v>
      </c>
      <c r="E2407" s="2" t="str">
        <f>IFERROR(__xludf.DUMMYFUNCTION("""COMPUTED_VALUE"""),"SHANTINAGAR")</f>
        <v>SHANTINAGAR</v>
      </c>
      <c r="F2407" s="3">
        <f>IFERROR(__xludf.DUMMYFUNCTION("""COMPUTED_VALUE"""),634.0)</f>
        <v>634</v>
      </c>
      <c r="G2407" s="5">
        <f>IFERROR(__xludf.DUMMYFUNCTION("""COMPUTED_VALUE"""),5.5276342E7)</f>
        <v>55276342</v>
      </c>
    </row>
    <row r="2408">
      <c r="A2408" s="3">
        <f>IFERROR(__xludf.DUMMYFUNCTION("""COMPUTED_VALUE"""),329.0)</f>
        <v>329</v>
      </c>
      <c r="B2408" s="2" t="str">
        <f>IFERROR(__xludf.DUMMYFUNCTION("""COMPUTED_VALUE"""),"FARIDPUR")</f>
        <v>FARIDPUR</v>
      </c>
      <c r="C2408" s="4">
        <f>IFERROR(__xludf.DUMMYFUNCTION("""COMPUTED_VALUE"""),55.0)</f>
        <v>55</v>
      </c>
      <c r="D2408" s="2" t="str">
        <f>IFERROR(__xludf.DUMMYFUNCTION("""COMPUTED_VALUE"""),"BASIC BANK LTD.")</f>
        <v>BASIC BANK LTD.</v>
      </c>
      <c r="E2408" s="2" t="str">
        <f>IFERROR(__xludf.DUMMYFUNCTION("""COMPUTED_VALUE"""),"FARIDPUR")</f>
        <v>FARIDPUR</v>
      </c>
      <c r="F2408" s="3">
        <f>IFERROR(__xludf.DUMMYFUNCTION("""COMPUTED_VALUE"""),52.0)</f>
        <v>52</v>
      </c>
      <c r="G2408" s="5">
        <f>IFERROR(__xludf.DUMMYFUNCTION("""COMPUTED_VALUE"""),5.5290528E7)</f>
        <v>55290528</v>
      </c>
    </row>
    <row r="2409">
      <c r="A2409" s="3">
        <f>IFERROR(__xludf.DUMMYFUNCTION("""COMPUTED_VALUE"""),133.0)</f>
        <v>133</v>
      </c>
      <c r="B2409" s="2" t="str">
        <f>IFERROR(__xludf.DUMMYFUNCTION("""COMPUTED_VALUE"""),"GAZIPUR")</f>
        <v>GAZIPUR</v>
      </c>
      <c r="C2409" s="4">
        <f>IFERROR(__xludf.DUMMYFUNCTION("""COMPUTED_VALUE"""),55.0)</f>
        <v>55</v>
      </c>
      <c r="D2409" s="2" t="str">
        <f>IFERROR(__xludf.DUMMYFUNCTION("""COMPUTED_VALUE"""),"BASIC BANK LTD.")</f>
        <v>BASIC BANK LTD.</v>
      </c>
      <c r="E2409" s="2" t="str">
        <f>IFERROR(__xludf.DUMMYFUNCTION("""COMPUTED_VALUE"""),"GAZIPUR CHOWRASTA")</f>
        <v>GAZIPUR CHOWRASTA</v>
      </c>
      <c r="F2409" s="3">
        <f>IFERROR(__xludf.DUMMYFUNCTION("""COMPUTED_VALUE"""),55.0)</f>
        <v>55</v>
      </c>
      <c r="G2409" s="5">
        <f>IFERROR(__xludf.DUMMYFUNCTION("""COMPUTED_VALUE"""),5.5330554E7)</f>
        <v>55330554</v>
      </c>
    </row>
    <row r="2410">
      <c r="A2410" s="3">
        <f>IFERROR(__xludf.DUMMYFUNCTION("""COMPUTED_VALUE"""),133.0)</f>
        <v>133</v>
      </c>
      <c r="B2410" s="2" t="str">
        <f>IFERROR(__xludf.DUMMYFUNCTION("""COMPUTED_VALUE"""),"GAZIPUR")</f>
        <v>GAZIPUR</v>
      </c>
      <c r="C2410" s="4">
        <f>IFERROR(__xludf.DUMMYFUNCTION("""COMPUTED_VALUE"""),55.0)</f>
        <v>55</v>
      </c>
      <c r="D2410" s="2" t="str">
        <f>IFERROR(__xludf.DUMMYFUNCTION("""COMPUTED_VALUE"""),"BASIC BANK LTD.")</f>
        <v>BASIC BANK LTD.</v>
      </c>
      <c r="E2410" s="2" t="str">
        <f>IFERROR(__xludf.DUMMYFUNCTION("""COMPUTED_VALUE"""),"MAWNA")</f>
        <v>MAWNA</v>
      </c>
      <c r="F2410" s="3">
        <f>IFERROR(__xludf.DUMMYFUNCTION("""COMPUTED_VALUE"""),100.0)</f>
        <v>100</v>
      </c>
      <c r="G2410" s="5">
        <f>IFERROR(__xludf.DUMMYFUNCTION("""COMPUTED_VALUE"""),5.5331003E7)</f>
        <v>55331003</v>
      </c>
    </row>
    <row r="2411">
      <c r="A2411" s="3">
        <f>IFERROR(__xludf.DUMMYFUNCTION("""COMPUTED_VALUE"""),435.0)</f>
        <v>435</v>
      </c>
      <c r="B2411" s="2" t="str">
        <f>IFERROR(__xludf.DUMMYFUNCTION("""COMPUTED_VALUE"""),"GOPALGANJ")</f>
        <v>GOPALGANJ</v>
      </c>
      <c r="C2411" s="4">
        <f>IFERROR(__xludf.DUMMYFUNCTION("""COMPUTED_VALUE"""),55.0)</f>
        <v>55</v>
      </c>
      <c r="D2411" s="2" t="str">
        <f>IFERROR(__xludf.DUMMYFUNCTION("""COMPUTED_VALUE"""),"BASIC BANK LTD.")</f>
        <v>BASIC BANK LTD.</v>
      </c>
      <c r="E2411" s="2" t="str">
        <f>IFERROR(__xludf.DUMMYFUNCTION("""COMPUTED_VALUE"""),"KOTALIPARA")</f>
        <v>KOTALIPARA</v>
      </c>
      <c r="F2411" s="3">
        <f>IFERROR(__xludf.DUMMYFUNCTION("""COMPUTED_VALUE"""),67.0)</f>
        <v>67</v>
      </c>
      <c r="G2411" s="5">
        <f>IFERROR(__xludf.DUMMYFUNCTION("""COMPUTED_VALUE"""),5.5350671E7)</f>
        <v>55350671</v>
      </c>
    </row>
    <row r="2412">
      <c r="A2412" s="3">
        <f>IFERROR(__xludf.DUMMYFUNCTION("""COMPUTED_VALUE"""),435.0)</f>
        <v>435</v>
      </c>
      <c r="B2412" s="2" t="str">
        <f>IFERROR(__xludf.DUMMYFUNCTION("""COMPUTED_VALUE"""),"GOPALGANJ")</f>
        <v>GOPALGANJ</v>
      </c>
      <c r="C2412" s="4">
        <f>IFERROR(__xludf.DUMMYFUNCTION("""COMPUTED_VALUE"""),55.0)</f>
        <v>55</v>
      </c>
      <c r="D2412" s="2" t="str">
        <f>IFERROR(__xludf.DUMMYFUNCTION("""COMPUTED_VALUE"""),"BASIC BANK LTD.")</f>
        <v>BASIC BANK LTD.</v>
      </c>
      <c r="E2412" s="2" t="str">
        <f>IFERROR(__xludf.DUMMYFUNCTION("""COMPUTED_VALUE"""),"TUNGI PARA")</f>
        <v>TUNGI PARA</v>
      </c>
      <c r="F2412" s="3">
        <f>IFERROR(__xludf.DUMMYFUNCTION("""COMPUTED_VALUE"""),109.0)</f>
        <v>109</v>
      </c>
      <c r="G2412" s="5">
        <f>IFERROR(__xludf.DUMMYFUNCTION("""COMPUTED_VALUE"""),5.5351096E7)</f>
        <v>55351096</v>
      </c>
    </row>
    <row r="2413">
      <c r="A2413" s="3">
        <f>IFERROR(__xludf.DUMMYFUNCTION("""COMPUTED_VALUE"""),836.0)</f>
        <v>836</v>
      </c>
      <c r="B2413" s="2" t="str">
        <f>IFERROR(__xludf.DUMMYFUNCTION("""COMPUTED_VALUE"""),"HABIGANJ")</f>
        <v>HABIGANJ</v>
      </c>
      <c r="C2413" s="4">
        <f>IFERROR(__xludf.DUMMYFUNCTION("""COMPUTED_VALUE"""),55.0)</f>
        <v>55</v>
      </c>
      <c r="D2413" s="2" t="str">
        <f>IFERROR(__xludf.DUMMYFUNCTION("""COMPUTED_VALUE"""),"BASIC BANK LTD.")</f>
        <v>BASIC BANK LTD.</v>
      </c>
      <c r="E2413" s="2" t="str">
        <f>IFERROR(__xludf.DUMMYFUNCTION("""COMPUTED_VALUE"""),"MIRPUR BAZAR")</f>
        <v>MIRPUR BAZAR</v>
      </c>
      <c r="F2413" s="3">
        <f>IFERROR(__xludf.DUMMYFUNCTION("""COMPUTED_VALUE"""),13.0)</f>
        <v>13</v>
      </c>
      <c r="G2413" s="5">
        <f>IFERROR(__xludf.DUMMYFUNCTION("""COMPUTED_VALUE"""),5.5360137E7)</f>
        <v>55360137</v>
      </c>
    </row>
    <row r="2414">
      <c r="A2414" s="3">
        <f>IFERROR(__xludf.DUMMYFUNCTION("""COMPUTED_VALUE"""),441.0)</f>
        <v>441</v>
      </c>
      <c r="B2414" s="2" t="str">
        <f>IFERROR(__xludf.DUMMYFUNCTION("""COMPUTED_VALUE"""),"JESSORE")</f>
        <v>JESSORE</v>
      </c>
      <c r="C2414" s="4">
        <f>IFERROR(__xludf.DUMMYFUNCTION("""COMPUTED_VALUE"""),55.0)</f>
        <v>55</v>
      </c>
      <c r="D2414" s="2" t="str">
        <f>IFERROR(__xludf.DUMMYFUNCTION("""COMPUTED_VALUE"""),"BASIC BANK LTD.")</f>
        <v>BASIC BANK LTD.</v>
      </c>
      <c r="E2414" s="2" t="str">
        <f>IFERROR(__xludf.DUMMYFUNCTION("""COMPUTED_VALUE"""),"JESSORE")</f>
        <v>JESSORE</v>
      </c>
      <c r="F2414" s="3">
        <f>IFERROR(__xludf.DUMMYFUNCTION("""COMPUTED_VALUE"""),94.0)</f>
        <v>94</v>
      </c>
      <c r="G2414" s="5">
        <f>IFERROR(__xludf.DUMMYFUNCTION("""COMPUTED_VALUE"""),5.541094E7)</f>
        <v>55410940</v>
      </c>
    </row>
    <row r="2415">
      <c r="A2415" s="3">
        <f>IFERROR(__xludf.DUMMYFUNCTION("""COMPUTED_VALUE"""),441.0)</f>
        <v>441</v>
      </c>
      <c r="B2415" s="2" t="str">
        <f>IFERROR(__xludf.DUMMYFUNCTION("""COMPUTED_VALUE"""),"JESSORE")</f>
        <v>JESSORE</v>
      </c>
      <c r="C2415" s="4">
        <f>IFERROR(__xludf.DUMMYFUNCTION("""COMPUTED_VALUE"""),55.0)</f>
        <v>55</v>
      </c>
      <c r="D2415" s="2" t="str">
        <f>IFERROR(__xludf.DUMMYFUNCTION("""COMPUTED_VALUE"""),"BASIC BANK LTD.")</f>
        <v>BASIC BANK LTD.</v>
      </c>
      <c r="E2415" s="2" t="str">
        <f>IFERROR(__xludf.DUMMYFUNCTION("""COMPUTED_VALUE"""),"JHIKORGHACHA")</f>
        <v>JHIKORGHACHA</v>
      </c>
      <c r="F2415" s="3">
        <f>IFERROR(__xludf.DUMMYFUNCTION("""COMPUTED_VALUE"""),109.0)</f>
        <v>109</v>
      </c>
      <c r="G2415" s="5">
        <f>IFERROR(__xludf.DUMMYFUNCTION("""COMPUTED_VALUE"""),5.5411099E7)</f>
        <v>55411099</v>
      </c>
    </row>
    <row r="2416">
      <c r="A2416" s="3">
        <f>IFERROR(__xludf.DUMMYFUNCTION("""COMPUTED_VALUE"""),444.0)</f>
        <v>444</v>
      </c>
      <c r="B2416" s="2" t="str">
        <f>IFERROR(__xludf.DUMMYFUNCTION("""COMPUTED_VALUE"""),"JHENAIDAH")</f>
        <v>JHENAIDAH</v>
      </c>
      <c r="C2416" s="4">
        <f>IFERROR(__xludf.DUMMYFUNCTION("""COMPUTED_VALUE"""),55.0)</f>
        <v>55</v>
      </c>
      <c r="D2416" s="2" t="str">
        <f>IFERROR(__xludf.DUMMYFUNCTION("""COMPUTED_VALUE"""),"BASIC BANK LTD.")</f>
        <v>BASIC BANK LTD.</v>
      </c>
      <c r="E2416" s="2" t="str">
        <f>IFERROR(__xludf.DUMMYFUNCTION("""COMPUTED_VALUE"""),"JHENAIDAH")</f>
        <v>JHENAIDAH</v>
      </c>
      <c r="F2416" s="3">
        <f>IFERROR(__xludf.DUMMYFUNCTION("""COMPUTED_VALUE"""),64.0)</f>
        <v>64</v>
      </c>
      <c r="G2416" s="5">
        <f>IFERROR(__xludf.DUMMYFUNCTION("""COMPUTED_VALUE"""),5.5440644E7)</f>
        <v>55440644</v>
      </c>
    </row>
    <row r="2417">
      <c r="A2417" s="3">
        <f>IFERROR(__xludf.DUMMYFUNCTION("""COMPUTED_VALUE"""),447.0)</f>
        <v>447</v>
      </c>
      <c r="B2417" s="2" t="str">
        <f>IFERROR(__xludf.DUMMYFUNCTION("""COMPUTED_VALUE"""),"KHULNA")</f>
        <v>KHULNA</v>
      </c>
      <c r="C2417" s="4">
        <f>IFERROR(__xludf.DUMMYFUNCTION("""COMPUTED_VALUE"""),55.0)</f>
        <v>55</v>
      </c>
      <c r="D2417" s="2" t="str">
        <f>IFERROR(__xludf.DUMMYFUNCTION("""COMPUTED_VALUE"""),"BASIC BANK LTD.")</f>
        <v>BASIC BANK LTD.</v>
      </c>
      <c r="E2417" s="2" t="str">
        <f>IFERROR(__xludf.DUMMYFUNCTION("""COMPUTED_VALUE"""),"KDA AVENUE")</f>
        <v>KDA AVENUE</v>
      </c>
      <c r="F2417" s="3">
        <f>IFERROR(__xludf.DUMMYFUNCTION("""COMPUTED_VALUE"""),140.0)</f>
        <v>140</v>
      </c>
      <c r="G2417" s="5">
        <f>IFERROR(__xludf.DUMMYFUNCTION("""COMPUTED_VALUE"""),5.54714E7)</f>
        <v>55471400</v>
      </c>
    </row>
    <row r="2418">
      <c r="A2418" s="3">
        <f>IFERROR(__xludf.DUMMYFUNCTION("""COMPUTED_VALUE"""),447.0)</f>
        <v>447</v>
      </c>
      <c r="B2418" s="2" t="str">
        <f>IFERROR(__xludf.DUMMYFUNCTION("""COMPUTED_VALUE"""),"KHULNA")</f>
        <v>KHULNA</v>
      </c>
      <c r="C2418" s="4">
        <f>IFERROR(__xludf.DUMMYFUNCTION("""COMPUTED_VALUE"""),55.0)</f>
        <v>55</v>
      </c>
      <c r="D2418" s="2" t="str">
        <f>IFERROR(__xludf.DUMMYFUNCTION("""COMPUTED_VALUE"""),"BASIC BANK LTD.")</f>
        <v>BASIC BANK LTD.</v>
      </c>
      <c r="E2418" s="2" t="str">
        <f>IFERROR(__xludf.DUMMYFUNCTION("""COMPUTED_VALUE"""),"KHULNA")</f>
        <v>KHULNA</v>
      </c>
      <c r="F2418" s="3">
        <f>IFERROR(__xludf.DUMMYFUNCTION("""COMPUTED_VALUE"""),154.0)</f>
        <v>154</v>
      </c>
      <c r="G2418" s="5">
        <f>IFERROR(__xludf.DUMMYFUNCTION("""COMPUTED_VALUE"""),5.5471547E7)</f>
        <v>55471547</v>
      </c>
    </row>
    <row r="2419">
      <c r="A2419" s="3">
        <f>IFERROR(__xludf.DUMMYFUNCTION("""COMPUTED_VALUE"""),450.0)</f>
        <v>450</v>
      </c>
      <c r="B2419" s="2" t="str">
        <f>IFERROR(__xludf.DUMMYFUNCTION("""COMPUTED_VALUE"""),"KUSHTIA")</f>
        <v>KUSHTIA</v>
      </c>
      <c r="C2419" s="4">
        <f>IFERROR(__xludf.DUMMYFUNCTION("""COMPUTED_VALUE"""),55.0)</f>
        <v>55</v>
      </c>
      <c r="D2419" s="2" t="str">
        <f>IFERROR(__xludf.DUMMYFUNCTION("""COMPUTED_VALUE"""),"BASIC BANK LTD.")</f>
        <v>BASIC BANK LTD.</v>
      </c>
      <c r="E2419" s="2" t="str">
        <f>IFERROR(__xludf.DUMMYFUNCTION("""COMPUTED_VALUE"""),"KUSHTIA")</f>
        <v>KUSHTIA</v>
      </c>
      <c r="F2419" s="3">
        <f>IFERROR(__xludf.DUMMYFUNCTION("""COMPUTED_VALUE"""),94.0)</f>
        <v>94</v>
      </c>
      <c r="G2419" s="5">
        <f>IFERROR(__xludf.DUMMYFUNCTION("""COMPUTED_VALUE"""),5.5500942E7)</f>
        <v>55500942</v>
      </c>
    </row>
    <row r="2420">
      <c r="A2420" s="3">
        <f>IFERROR(__xludf.DUMMYFUNCTION("""COMPUTED_VALUE"""),858.0)</f>
        <v>858</v>
      </c>
      <c r="B2420" s="2" t="str">
        <f>IFERROR(__xludf.DUMMYFUNCTION("""COMPUTED_VALUE"""),"MOULVI BAZAR")</f>
        <v>MOULVI BAZAR</v>
      </c>
      <c r="C2420" s="4">
        <f>IFERROR(__xludf.DUMMYFUNCTION("""COMPUTED_VALUE"""),55.0)</f>
        <v>55</v>
      </c>
      <c r="D2420" s="2" t="str">
        <f>IFERROR(__xludf.DUMMYFUNCTION("""COMPUTED_VALUE"""),"BASIC BANK LTD.")</f>
        <v>BASIC BANK LTD.</v>
      </c>
      <c r="E2420" s="2" t="str">
        <f>IFERROR(__xludf.DUMMYFUNCTION("""COMPUTED_VALUE"""),"CHOUMUHANA")</f>
        <v>CHOUMUHANA</v>
      </c>
      <c r="F2420" s="3">
        <f>IFERROR(__xludf.DUMMYFUNCTION("""COMPUTED_VALUE"""),37.0)</f>
        <v>37</v>
      </c>
      <c r="G2420" s="5">
        <f>IFERROR(__xludf.DUMMYFUNCTION("""COMPUTED_VALUE"""),5.5580375E7)</f>
        <v>55580375</v>
      </c>
    </row>
    <row r="2421">
      <c r="A2421" s="3">
        <f>IFERROR(__xludf.DUMMYFUNCTION("""COMPUTED_VALUE"""),161.0)</f>
        <v>161</v>
      </c>
      <c r="B2421" s="2" t="str">
        <f>IFERROR(__xludf.DUMMYFUNCTION("""COMPUTED_VALUE"""),"MYMENSINGH")</f>
        <v>MYMENSINGH</v>
      </c>
      <c r="C2421" s="4">
        <f>IFERROR(__xludf.DUMMYFUNCTION("""COMPUTED_VALUE"""),55.0)</f>
        <v>55</v>
      </c>
      <c r="D2421" s="2" t="str">
        <f>IFERROR(__xludf.DUMMYFUNCTION("""COMPUTED_VALUE"""),"BASIC BANK LTD.")</f>
        <v>BASIC BANK LTD.</v>
      </c>
      <c r="E2421" s="2" t="str">
        <f>IFERROR(__xludf.DUMMYFUNCTION("""COMPUTED_VALUE"""),"ISHWARGANJ")</f>
        <v>ISHWARGANJ</v>
      </c>
      <c r="F2421" s="3">
        <f>IFERROR(__xludf.DUMMYFUNCTION("""COMPUTED_VALUE"""),118.0)</f>
        <v>118</v>
      </c>
      <c r="G2421" s="5">
        <f>IFERROR(__xludf.DUMMYFUNCTION("""COMPUTED_VALUE"""),5.5611181E7)</f>
        <v>55611181</v>
      </c>
    </row>
    <row r="2422">
      <c r="A2422" s="3">
        <f>IFERROR(__xludf.DUMMYFUNCTION("""COMPUTED_VALUE"""),161.0)</f>
        <v>161</v>
      </c>
      <c r="B2422" s="2" t="str">
        <f>IFERROR(__xludf.DUMMYFUNCTION("""COMPUTED_VALUE"""),"MYMENSINGH")</f>
        <v>MYMENSINGH</v>
      </c>
      <c r="C2422" s="4">
        <f>IFERROR(__xludf.DUMMYFUNCTION("""COMPUTED_VALUE"""),55.0)</f>
        <v>55</v>
      </c>
      <c r="D2422" s="2" t="str">
        <f>IFERROR(__xludf.DUMMYFUNCTION("""COMPUTED_VALUE"""),"BASIC BANK LTD.")</f>
        <v>BASIC BANK LTD.</v>
      </c>
      <c r="E2422" s="2" t="str">
        <f>IFERROR(__xludf.DUMMYFUNCTION("""COMPUTED_VALUE"""),"MYMENSINGH")</f>
        <v>MYMENSINGH</v>
      </c>
      <c r="F2422" s="3">
        <f>IFERROR(__xludf.DUMMYFUNCTION("""COMPUTED_VALUE"""),175.0)</f>
        <v>175</v>
      </c>
      <c r="G2422" s="5">
        <f>IFERROR(__xludf.DUMMYFUNCTION("""COMPUTED_VALUE"""),5.5611752E7)</f>
        <v>55611752</v>
      </c>
    </row>
    <row r="2423">
      <c r="A2423" s="3">
        <f>IFERROR(__xludf.DUMMYFUNCTION("""COMPUTED_VALUE"""),167.0)</f>
        <v>167</v>
      </c>
      <c r="B2423" s="2" t="str">
        <f>IFERROR(__xludf.DUMMYFUNCTION("""COMPUTED_VALUE"""),"NARAYANGANJ")</f>
        <v>NARAYANGANJ</v>
      </c>
      <c r="C2423" s="4">
        <f>IFERROR(__xludf.DUMMYFUNCTION("""COMPUTED_VALUE"""),55.0)</f>
        <v>55</v>
      </c>
      <c r="D2423" s="2" t="str">
        <f>IFERROR(__xludf.DUMMYFUNCTION("""COMPUTED_VALUE"""),"BASIC BANK LTD.")</f>
        <v>BASIC BANK LTD.</v>
      </c>
      <c r="E2423" s="2" t="str">
        <f>IFERROR(__xludf.DUMMYFUNCTION("""COMPUTED_VALUE"""),"TANBAZAR")</f>
        <v>TANBAZAR</v>
      </c>
      <c r="F2423" s="3">
        <f>IFERROR(__xludf.DUMMYFUNCTION("""COMPUTED_VALUE"""),178.0)</f>
        <v>178</v>
      </c>
      <c r="G2423" s="5">
        <f>IFERROR(__xludf.DUMMYFUNCTION("""COMPUTED_VALUE"""),5.5671789E7)</f>
        <v>55671789</v>
      </c>
    </row>
    <row r="2424">
      <c r="A2424" s="3">
        <f>IFERROR(__xludf.DUMMYFUNCTION("""COMPUTED_VALUE"""),168.0)</f>
        <v>168</v>
      </c>
      <c r="B2424" s="2" t="str">
        <f>IFERROR(__xludf.DUMMYFUNCTION("""COMPUTED_VALUE"""),"NARSHINGDI")</f>
        <v>NARSHINGDI</v>
      </c>
      <c r="C2424" s="4">
        <f>IFERROR(__xludf.DUMMYFUNCTION("""COMPUTED_VALUE"""),55.0)</f>
        <v>55</v>
      </c>
      <c r="D2424" s="2" t="str">
        <f>IFERROR(__xludf.DUMMYFUNCTION("""COMPUTED_VALUE"""),"BASIC BANK LTD.")</f>
        <v>BASIC BANK LTD.</v>
      </c>
      <c r="E2424" s="2" t="str">
        <f>IFERROR(__xludf.DUMMYFUNCTION("""COMPUTED_VALUE"""),"MADHABDI SME")</f>
        <v>MADHABDI SME</v>
      </c>
      <c r="F2424" s="3">
        <f>IFERROR(__xludf.DUMMYFUNCTION("""COMPUTED_VALUE"""),68.0)</f>
        <v>68</v>
      </c>
      <c r="G2424" s="5">
        <f>IFERROR(__xludf.DUMMYFUNCTION("""COMPUTED_VALUE"""),5.5680688E7)</f>
        <v>55680688</v>
      </c>
    </row>
    <row r="2425">
      <c r="A2425" s="3">
        <f>IFERROR(__xludf.DUMMYFUNCTION("""COMPUTED_VALUE"""),168.0)</f>
        <v>168</v>
      </c>
      <c r="B2425" s="2" t="str">
        <f>IFERROR(__xludf.DUMMYFUNCTION("""COMPUTED_VALUE"""),"NARSHINGDI")</f>
        <v>NARSHINGDI</v>
      </c>
      <c r="C2425" s="4">
        <f>IFERROR(__xludf.DUMMYFUNCTION("""COMPUTED_VALUE"""),55.0)</f>
        <v>55</v>
      </c>
      <c r="D2425" s="2" t="str">
        <f>IFERROR(__xludf.DUMMYFUNCTION("""COMPUTED_VALUE"""),"BASIC BANK LTD.")</f>
        <v>BASIC BANK LTD.</v>
      </c>
      <c r="E2425" s="2" t="str">
        <f>IFERROR(__xludf.DUMMYFUNCTION("""COMPUTED_VALUE"""),"NARSHINGDI")</f>
        <v>NARSHINGDI</v>
      </c>
      <c r="F2425" s="3">
        <f>IFERROR(__xludf.DUMMYFUNCTION("""COMPUTED_VALUE"""),85.0)</f>
        <v>85</v>
      </c>
      <c r="G2425" s="5">
        <f>IFERROR(__xludf.DUMMYFUNCTION("""COMPUTED_VALUE"""),5.5680859E7)</f>
        <v>55680859</v>
      </c>
    </row>
    <row r="2426">
      <c r="A2426" s="3">
        <f>IFERROR(__xludf.DUMMYFUNCTION("""COMPUTED_VALUE"""),569.0)</f>
        <v>569</v>
      </c>
      <c r="B2426" s="2" t="str">
        <f>IFERROR(__xludf.DUMMYFUNCTION("""COMPUTED_VALUE"""),"NATORE")</f>
        <v>NATORE</v>
      </c>
      <c r="C2426" s="4">
        <f>IFERROR(__xludf.DUMMYFUNCTION("""COMPUTED_VALUE"""),55.0)</f>
        <v>55</v>
      </c>
      <c r="D2426" s="2" t="str">
        <f>IFERROR(__xludf.DUMMYFUNCTION("""COMPUTED_VALUE"""),"BASIC BANK LTD.")</f>
        <v>BASIC BANK LTD.</v>
      </c>
      <c r="E2426" s="2" t="str">
        <f>IFERROR(__xludf.DUMMYFUNCTION("""COMPUTED_VALUE"""),"NATORE")</f>
        <v>NATORE</v>
      </c>
      <c r="F2426" s="3">
        <f>IFERROR(__xludf.DUMMYFUNCTION("""COMPUTED_VALUE"""),109.0)</f>
        <v>109</v>
      </c>
      <c r="G2426" s="5">
        <f>IFERROR(__xludf.DUMMYFUNCTION("""COMPUTED_VALUE"""),5.5691093E7)</f>
        <v>55691093</v>
      </c>
    </row>
    <row r="2427">
      <c r="A2427" s="3">
        <f>IFERROR(__xludf.DUMMYFUNCTION("""COMPUTED_VALUE"""),570.0)</f>
        <v>570</v>
      </c>
      <c r="B2427" s="2" t="str">
        <f>IFERROR(__xludf.DUMMYFUNCTION("""COMPUTED_VALUE"""),"NAWABGANJ")</f>
        <v>NAWABGANJ</v>
      </c>
      <c r="C2427" s="4">
        <f>IFERROR(__xludf.DUMMYFUNCTION("""COMPUTED_VALUE"""),55.0)</f>
        <v>55</v>
      </c>
      <c r="D2427" s="2" t="str">
        <f>IFERROR(__xludf.DUMMYFUNCTION("""COMPUTED_VALUE"""),"BASIC BANK LTD.")</f>
        <v>BASIC BANK LTD.</v>
      </c>
      <c r="E2427" s="2" t="str">
        <f>IFERROR(__xludf.DUMMYFUNCTION("""COMPUTED_VALUE"""),"CHAPAI NAWABGANJ")</f>
        <v>CHAPAI NAWABGANJ</v>
      </c>
      <c r="F2427" s="3">
        <f>IFERROR(__xludf.DUMMYFUNCTION("""COMPUTED_VALUE"""),25.0)</f>
        <v>25</v>
      </c>
      <c r="G2427" s="5">
        <f>IFERROR(__xludf.DUMMYFUNCTION("""COMPUTED_VALUE"""),5.570025E7)</f>
        <v>55700250</v>
      </c>
    </row>
    <row r="2428">
      <c r="A2428" s="3">
        <f>IFERROR(__xludf.DUMMYFUNCTION("""COMPUTED_VALUE"""),773.0)</f>
        <v>773</v>
      </c>
      <c r="B2428" s="2" t="str">
        <f>IFERROR(__xludf.DUMMYFUNCTION("""COMPUTED_VALUE"""),"NILPHAMARI")</f>
        <v>NILPHAMARI</v>
      </c>
      <c r="C2428" s="4">
        <f>IFERROR(__xludf.DUMMYFUNCTION("""COMPUTED_VALUE"""),55.0)</f>
        <v>55</v>
      </c>
      <c r="D2428" s="2" t="str">
        <f>IFERROR(__xludf.DUMMYFUNCTION("""COMPUTED_VALUE"""),"BASIC BANK LTD.")</f>
        <v>BASIC BANK LTD.</v>
      </c>
      <c r="E2428" s="2" t="str">
        <f>IFERROR(__xludf.DUMMYFUNCTION("""COMPUTED_VALUE"""),"SAYEDPUR")</f>
        <v>SAYEDPUR</v>
      </c>
      <c r="F2428" s="3">
        <f>IFERROR(__xludf.DUMMYFUNCTION("""COMPUTED_VALUE"""),79.0)</f>
        <v>79</v>
      </c>
      <c r="G2428" s="5">
        <f>IFERROR(__xludf.DUMMYFUNCTION("""COMPUTED_VALUE"""),5.5730796E7)</f>
        <v>55730796</v>
      </c>
    </row>
    <row r="2429">
      <c r="A2429" s="3">
        <f>IFERROR(__xludf.DUMMYFUNCTION("""COMPUTED_VALUE"""),378.0)</f>
        <v>378</v>
      </c>
      <c r="B2429" s="2" t="str">
        <f>IFERROR(__xludf.DUMMYFUNCTION("""COMPUTED_VALUE"""),"PATUAKHALI")</f>
        <v>PATUAKHALI</v>
      </c>
      <c r="C2429" s="4">
        <f>IFERROR(__xludf.DUMMYFUNCTION("""COMPUTED_VALUE"""),55.0)</f>
        <v>55</v>
      </c>
      <c r="D2429" s="2" t="str">
        <f>IFERROR(__xludf.DUMMYFUNCTION("""COMPUTED_VALUE"""),"BASIC BANK LTD.")</f>
        <v>BASIC BANK LTD.</v>
      </c>
      <c r="E2429" s="2" t="str">
        <f>IFERROR(__xludf.DUMMYFUNCTION("""COMPUTED_VALUE"""),"MOHIPUR")</f>
        <v>MOHIPUR</v>
      </c>
      <c r="F2429" s="3">
        <f>IFERROR(__xludf.DUMMYFUNCTION("""COMPUTED_VALUE"""),85.0)</f>
        <v>85</v>
      </c>
      <c r="G2429" s="5">
        <f>IFERROR(__xludf.DUMMYFUNCTION("""COMPUTED_VALUE"""),5.5780854E7)</f>
        <v>55780854</v>
      </c>
    </row>
    <row r="2430">
      <c r="A2430" s="3">
        <f>IFERROR(__xludf.DUMMYFUNCTION("""COMPUTED_VALUE"""),379.0)</f>
        <v>379</v>
      </c>
      <c r="B2430" s="2" t="str">
        <f>IFERROR(__xludf.DUMMYFUNCTION("""COMPUTED_VALUE"""),"PIROJPUR")</f>
        <v>PIROJPUR</v>
      </c>
      <c r="C2430" s="4">
        <f>IFERROR(__xludf.DUMMYFUNCTION("""COMPUTED_VALUE"""),55.0)</f>
        <v>55</v>
      </c>
      <c r="D2430" s="2" t="str">
        <f>IFERROR(__xludf.DUMMYFUNCTION("""COMPUTED_VALUE"""),"BASIC BANK LTD.")</f>
        <v>BASIC BANK LTD.</v>
      </c>
      <c r="E2430" s="2" t="str">
        <f>IFERROR(__xludf.DUMMYFUNCTION("""COMPUTED_VALUE"""),"MATHBARIA")</f>
        <v>MATHBARIA</v>
      </c>
      <c r="F2430" s="3">
        <f>IFERROR(__xludf.DUMMYFUNCTION("""COMPUTED_VALUE"""),52.0)</f>
        <v>52</v>
      </c>
      <c r="G2430" s="5">
        <f>IFERROR(__xludf.DUMMYFUNCTION("""COMPUTED_VALUE"""),5.5790523E7)</f>
        <v>55790523</v>
      </c>
    </row>
    <row r="2431">
      <c r="A2431" s="3">
        <f>IFERROR(__xludf.DUMMYFUNCTION("""COMPUTED_VALUE"""),581.0)</f>
        <v>581</v>
      </c>
      <c r="B2431" s="2" t="str">
        <f>IFERROR(__xludf.DUMMYFUNCTION("""COMPUTED_VALUE"""),"RAJSHAHI")</f>
        <v>RAJSHAHI</v>
      </c>
      <c r="C2431" s="4">
        <f>IFERROR(__xludf.DUMMYFUNCTION("""COMPUTED_VALUE"""),55.0)</f>
        <v>55</v>
      </c>
      <c r="D2431" s="2" t="str">
        <f>IFERROR(__xludf.DUMMYFUNCTION("""COMPUTED_VALUE"""),"BASIC BANK LTD.")</f>
        <v>BASIC BANK LTD.</v>
      </c>
      <c r="E2431" s="2" t="str">
        <f>IFERROR(__xludf.DUMMYFUNCTION("""COMPUTED_VALUE"""),"RAJSHAHI")</f>
        <v>RAJSHAHI</v>
      </c>
      <c r="F2431" s="3">
        <f>IFERROR(__xludf.DUMMYFUNCTION("""COMPUTED_VALUE"""),193.0)</f>
        <v>193</v>
      </c>
      <c r="G2431" s="5">
        <f>IFERROR(__xludf.DUMMYFUNCTION("""COMPUTED_VALUE"""),5.5811936E7)</f>
        <v>55811936</v>
      </c>
    </row>
    <row r="2432">
      <c r="A2432" s="3">
        <f>IFERROR(__xludf.DUMMYFUNCTION("""COMPUTED_VALUE"""),785.0)</f>
        <v>785</v>
      </c>
      <c r="B2432" s="2" t="str">
        <f>IFERROR(__xludf.DUMMYFUNCTION("""COMPUTED_VALUE"""),"RANGPUR")</f>
        <v>RANGPUR</v>
      </c>
      <c r="C2432" s="4">
        <f>IFERROR(__xludf.DUMMYFUNCTION("""COMPUTED_VALUE"""),55.0)</f>
        <v>55</v>
      </c>
      <c r="D2432" s="2" t="str">
        <f>IFERROR(__xludf.DUMMYFUNCTION("""COMPUTED_VALUE"""),"BASIC BANK LTD.")</f>
        <v>BASIC BANK LTD.</v>
      </c>
      <c r="E2432" s="2" t="str">
        <f>IFERROR(__xludf.DUMMYFUNCTION("""COMPUTED_VALUE"""),"RANGPUR")</f>
        <v>RANGPUR</v>
      </c>
      <c r="F2432" s="3">
        <f>IFERROR(__xludf.DUMMYFUNCTION("""COMPUTED_VALUE"""),145.0)</f>
        <v>145</v>
      </c>
      <c r="G2432" s="5">
        <f>IFERROR(__xludf.DUMMYFUNCTION("""COMPUTED_VALUE"""),5.5851459E7)</f>
        <v>55851459</v>
      </c>
    </row>
    <row r="2433">
      <c r="A2433" s="3">
        <f>IFERROR(__xludf.DUMMYFUNCTION("""COMPUTED_VALUE"""),487.0)</f>
        <v>487</v>
      </c>
      <c r="B2433" s="2" t="str">
        <f>IFERROR(__xludf.DUMMYFUNCTION("""COMPUTED_VALUE"""),"SATKHIRA")</f>
        <v>SATKHIRA</v>
      </c>
      <c r="C2433" s="4">
        <f>IFERROR(__xludf.DUMMYFUNCTION("""COMPUTED_VALUE"""),55.0)</f>
        <v>55</v>
      </c>
      <c r="D2433" s="2" t="str">
        <f>IFERROR(__xludf.DUMMYFUNCTION("""COMPUTED_VALUE"""),"BASIC BANK LTD.")</f>
        <v>BASIC BANK LTD.</v>
      </c>
      <c r="E2433" s="2" t="str">
        <f>IFERROR(__xludf.DUMMYFUNCTION("""COMPUTED_VALUE"""),"SATKHIRA")</f>
        <v>SATKHIRA</v>
      </c>
      <c r="F2433" s="3">
        <f>IFERROR(__xludf.DUMMYFUNCTION("""COMPUTED_VALUE"""),109.0)</f>
        <v>109</v>
      </c>
      <c r="G2433" s="5">
        <f>IFERROR(__xludf.DUMMYFUNCTION("""COMPUTED_VALUE"""),5.5871097E7)</f>
        <v>55871097</v>
      </c>
    </row>
    <row r="2434">
      <c r="A2434" s="3">
        <f>IFERROR(__xludf.DUMMYFUNCTION("""COMPUTED_VALUE"""),688.0)</f>
        <v>688</v>
      </c>
      <c r="B2434" s="2" t="str">
        <f>IFERROR(__xludf.DUMMYFUNCTION("""COMPUTED_VALUE"""),"SIRAJGANJ")</f>
        <v>SIRAJGANJ</v>
      </c>
      <c r="C2434" s="4">
        <f>IFERROR(__xludf.DUMMYFUNCTION("""COMPUTED_VALUE"""),55.0)</f>
        <v>55</v>
      </c>
      <c r="D2434" s="2" t="str">
        <f>IFERROR(__xludf.DUMMYFUNCTION("""COMPUTED_VALUE"""),"BASIC BANK LTD.")</f>
        <v>BASIC BANK LTD.</v>
      </c>
      <c r="E2434" s="2" t="str">
        <f>IFERROR(__xludf.DUMMYFUNCTION("""COMPUTED_VALUE"""),"BELKUCHI")</f>
        <v>BELKUCHI</v>
      </c>
      <c r="F2434" s="3">
        <f>IFERROR(__xludf.DUMMYFUNCTION("""COMPUTED_VALUE"""),22.0)</f>
        <v>22</v>
      </c>
      <c r="G2434" s="5">
        <f>IFERROR(__xludf.DUMMYFUNCTION("""COMPUTED_VALUE"""),5.588022E7)</f>
        <v>55880220</v>
      </c>
    </row>
    <row r="2435">
      <c r="A2435" s="3">
        <f>IFERROR(__xludf.DUMMYFUNCTION("""COMPUTED_VALUE"""),891.0)</f>
        <v>891</v>
      </c>
      <c r="B2435" s="2" t="str">
        <f>IFERROR(__xludf.DUMMYFUNCTION("""COMPUTED_VALUE"""),"SYLHET")</f>
        <v>SYLHET</v>
      </c>
      <c r="C2435" s="4">
        <f>IFERROR(__xludf.DUMMYFUNCTION("""COMPUTED_VALUE"""),55.0)</f>
        <v>55</v>
      </c>
      <c r="D2435" s="2" t="str">
        <f>IFERROR(__xludf.DUMMYFUNCTION("""COMPUTED_VALUE"""),"BASIC BANK LTD.")</f>
        <v>BASIC BANK LTD.</v>
      </c>
      <c r="E2435" s="2" t="str">
        <f>IFERROR(__xludf.DUMMYFUNCTION("""COMPUTED_VALUE"""),"SONARPARA")</f>
        <v>SONARPARA</v>
      </c>
      <c r="F2435" s="3">
        <f>IFERROR(__xludf.DUMMYFUNCTION("""COMPUTED_VALUE"""),345.0)</f>
        <v>345</v>
      </c>
      <c r="G2435" s="5">
        <f>IFERROR(__xludf.DUMMYFUNCTION("""COMPUTED_VALUE"""),5.591345E7)</f>
        <v>55913450</v>
      </c>
    </row>
    <row r="2436">
      <c r="A2436" s="3">
        <f>IFERROR(__xludf.DUMMYFUNCTION("""COMPUTED_VALUE"""),891.0)</f>
        <v>891</v>
      </c>
      <c r="B2436" s="2" t="str">
        <f>IFERROR(__xludf.DUMMYFUNCTION("""COMPUTED_VALUE"""),"SYLHET")</f>
        <v>SYLHET</v>
      </c>
      <c r="C2436" s="4">
        <f>IFERROR(__xludf.DUMMYFUNCTION("""COMPUTED_VALUE"""),55.0)</f>
        <v>55</v>
      </c>
      <c r="D2436" s="2" t="str">
        <f>IFERROR(__xludf.DUMMYFUNCTION("""COMPUTED_VALUE"""),"BASIC BANK LTD.")</f>
        <v>BASIC BANK LTD.</v>
      </c>
      <c r="E2436" s="2" t="str">
        <f>IFERROR(__xludf.DUMMYFUNCTION("""COMPUTED_VALUE"""),"ZINDA BAZAR")</f>
        <v>ZINDA BAZAR</v>
      </c>
      <c r="F2436" s="3">
        <f>IFERROR(__xludf.DUMMYFUNCTION("""COMPUTED_VALUE"""),415.0)</f>
        <v>415</v>
      </c>
      <c r="G2436" s="5">
        <f>IFERROR(__xludf.DUMMYFUNCTION("""COMPUTED_VALUE"""),5.5914154E7)</f>
        <v>55914154</v>
      </c>
    </row>
    <row r="2437">
      <c r="A2437" s="3">
        <f>IFERROR(__xludf.DUMMYFUNCTION("""COMPUTED_VALUE"""),193.0)</f>
        <v>193</v>
      </c>
      <c r="B2437" s="2" t="str">
        <f>IFERROR(__xludf.DUMMYFUNCTION("""COMPUTED_VALUE"""),"TANGAIL")</f>
        <v>TANGAIL</v>
      </c>
      <c r="C2437" s="4">
        <f>IFERROR(__xludf.DUMMYFUNCTION("""COMPUTED_VALUE"""),55.0)</f>
        <v>55</v>
      </c>
      <c r="D2437" s="2" t="str">
        <f>IFERROR(__xludf.DUMMYFUNCTION("""COMPUTED_VALUE"""),"BASIC BANK LTD.")</f>
        <v>BASIC BANK LTD.</v>
      </c>
      <c r="E2437" s="2" t="str">
        <f>IFERROR(__xludf.DUMMYFUNCTION("""COMPUTED_VALUE"""),"ELENGA")</f>
        <v>ELENGA</v>
      </c>
      <c r="F2437" s="3">
        <f>IFERROR(__xludf.DUMMYFUNCTION("""COMPUTED_VALUE"""),82.0)</f>
        <v>82</v>
      </c>
      <c r="G2437" s="5">
        <f>IFERROR(__xludf.DUMMYFUNCTION("""COMPUTED_VALUE"""),5.593082E7)</f>
        <v>55930820</v>
      </c>
    </row>
    <row r="2438">
      <c r="A2438" s="3">
        <f>IFERROR(__xludf.DUMMYFUNCTION("""COMPUTED_VALUE"""),401.0)</f>
        <v>401</v>
      </c>
      <c r="B2438" s="2" t="str">
        <f>IFERROR(__xludf.DUMMYFUNCTION("""COMPUTED_VALUE"""),"BAGERHAT")</f>
        <v>BAGERHAT</v>
      </c>
      <c r="C2438" s="4">
        <f>IFERROR(__xludf.DUMMYFUNCTION("""COMPUTED_VALUE"""),60.0)</f>
        <v>60</v>
      </c>
      <c r="D2438" s="2" t="str">
        <f>IFERROR(__xludf.DUMMYFUNCTION("""COMPUTED_VALUE"""),"BRAC BANK LTD.")</f>
        <v>BRAC BANK LTD.</v>
      </c>
      <c r="E2438" s="2" t="str">
        <f>IFERROR(__xludf.DUMMYFUNCTION("""COMPUTED_VALUE"""),"BAGERHAT SME")</f>
        <v>BAGERHAT SME</v>
      </c>
      <c r="F2438" s="3">
        <f>IFERROR(__xludf.DUMMYFUNCTION("""COMPUTED_VALUE"""),8.0)</f>
        <v>8</v>
      </c>
      <c r="G2438" s="5">
        <f>IFERROR(__xludf.DUMMYFUNCTION("""COMPUTED_VALUE"""),6.0010085E7)</f>
        <v>60010085</v>
      </c>
    </row>
    <row r="2439">
      <c r="A2439" s="3">
        <f>IFERROR(__xludf.DUMMYFUNCTION("""COMPUTED_VALUE"""),306.0)</f>
        <v>306</v>
      </c>
      <c r="B2439" s="2" t="str">
        <f>IFERROR(__xludf.DUMMYFUNCTION("""COMPUTED_VALUE"""),"BARISHAL")</f>
        <v>BARISHAL</v>
      </c>
      <c r="C2439" s="4">
        <f>IFERROR(__xludf.DUMMYFUNCTION("""COMPUTED_VALUE"""),60.0)</f>
        <v>60</v>
      </c>
      <c r="D2439" s="2" t="str">
        <f>IFERROR(__xludf.DUMMYFUNCTION("""COMPUTED_VALUE"""),"BRAC BANK LTD.")</f>
        <v>BRAC BANK LTD.</v>
      </c>
      <c r="E2439" s="2" t="str">
        <f>IFERROR(__xludf.DUMMYFUNCTION("""COMPUTED_VALUE"""),"BARISAL")</f>
        <v>BARISAL</v>
      </c>
      <c r="F2439" s="3">
        <f>IFERROR(__xludf.DUMMYFUNCTION("""COMPUTED_VALUE"""),28.0)</f>
        <v>28</v>
      </c>
      <c r="G2439" s="5">
        <f>IFERROR(__xludf.DUMMYFUNCTION("""COMPUTED_VALUE"""),6.006028E7)</f>
        <v>60060280</v>
      </c>
    </row>
    <row r="2440">
      <c r="A2440" s="3">
        <f>IFERROR(__xludf.DUMMYFUNCTION("""COMPUTED_VALUE"""),309.0)</f>
        <v>309</v>
      </c>
      <c r="B2440" s="2" t="str">
        <f>IFERROR(__xludf.DUMMYFUNCTION("""COMPUTED_VALUE"""),"BHOLA")</f>
        <v>BHOLA</v>
      </c>
      <c r="C2440" s="4">
        <f>IFERROR(__xludf.DUMMYFUNCTION("""COMPUTED_VALUE"""),60.0)</f>
        <v>60</v>
      </c>
      <c r="D2440" s="2" t="str">
        <f>IFERROR(__xludf.DUMMYFUNCTION("""COMPUTED_VALUE"""),"BRAC BANK LTD.")</f>
        <v>BRAC BANK LTD.</v>
      </c>
      <c r="E2440" s="2" t="str">
        <f>IFERROR(__xludf.DUMMYFUNCTION("""COMPUTED_VALUE"""),"BHOLA")</f>
        <v>BHOLA</v>
      </c>
      <c r="F2440" s="3">
        <f>IFERROR(__xludf.DUMMYFUNCTION("""COMPUTED_VALUE"""),10.0)</f>
        <v>10</v>
      </c>
      <c r="G2440" s="5">
        <f>IFERROR(__xludf.DUMMYFUNCTION("""COMPUTED_VALUE"""),6.00901E7)</f>
        <v>60090100</v>
      </c>
    </row>
    <row r="2441">
      <c r="A2441" s="3">
        <f>IFERROR(__xludf.DUMMYFUNCTION("""COMPUTED_VALUE"""),610.0)</f>
        <v>610</v>
      </c>
      <c r="B2441" s="2" t="str">
        <f>IFERROR(__xludf.DUMMYFUNCTION("""COMPUTED_VALUE"""),"BOGRA")</f>
        <v>BOGRA</v>
      </c>
      <c r="C2441" s="4">
        <f>IFERROR(__xludf.DUMMYFUNCTION("""COMPUTED_VALUE"""),60.0)</f>
        <v>60</v>
      </c>
      <c r="D2441" s="2" t="str">
        <f>IFERROR(__xludf.DUMMYFUNCTION("""COMPUTED_VALUE"""),"BRAC BANK LTD.")</f>
        <v>BRAC BANK LTD.</v>
      </c>
      <c r="E2441" s="2" t="str">
        <f>IFERROR(__xludf.DUMMYFUNCTION("""COMPUTED_VALUE"""),"CHARMATHA")</f>
        <v>CHARMATHA</v>
      </c>
      <c r="F2441" s="3">
        <f>IFERROR(__xludf.DUMMYFUNCTION("""COMPUTED_VALUE"""),8.0)</f>
        <v>8</v>
      </c>
      <c r="G2441" s="5">
        <f>IFERROR(__xludf.DUMMYFUNCTION("""COMPUTED_VALUE"""),6.0100087E7)</f>
        <v>60100087</v>
      </c>
    </row>
    <row r="2442">
      <c r="A2442" s="3">
        <f>IFERROR(__xludf.DUMMYFUNCTION("""COMPUTED_VALUE"""),610.0)</f>
        <v>610</v>
      </c>
      <c r="B2442" s="2" t="str">
        <f>IFERROR(__xludf.DUMMYFUNCTION("""COMPUTED_VALUE"""),"BOGRA")</f>
        <v>BOGRA</v>
      </c>
      <c r="C2442" s="4">
        <f>IFERROR(__xludf.DUMMYFUNCTION("""COMPUTED_VALUE"""),60.0)</f>
        <v>60</v>
      </c>
      <c r="D2442" s="2" t="str">
        <f>IFERROR(__xludf.DUMMYFUNCTION("""COMPUTED_VALUE"""),"BRAC BANK LTD.")</f>
        <v>BRAC BANK LTD.</v>
      </c>
      <c r="E2442" s="2" t="str">
        <f>IFERROR(__xludf.DUMMYFUNCTION("""COMPUTED_VALUE"""),"BOGRA")</f>
        <v>BOGRA</v>
      </c>
      <c r="F2442" s="3">
        <f>IFERROR(__xludf.DUMMYFUNCTION("""COMPUTED_VALUE"""),37.0)</f>
        <v>37</v>
      </c>
      <c r="G2442" s="5">
        <f>IFERROR(__xludf.DUMMYFUNCTION("""COMPUTED_VALUE"""),6.0100379E7)</f>
        <v>60100379</v>
      </c>
    </row>
    <row r="2443">
      <c r="A2443" s="3">
        <f>IFERROR(__xludf.DUMMYFUNCTION("""COMPUTED_VALUE"""),610.0)</f>
        <v>610</v>
      </c>
      <c r="B2443" s="2" t="str">
        <f>IFERROR(__xludf.DUMMYFUNCTION("""COMPUTED_VALUE"""),"BOGRA")</f>
        <v>BOGRA</v>
      </c>
      <c r="C2443" s="4">
        <f>IFERROR(__xludf.DUMMYFUNCTION("""COMPUTED_VALUE"""),60.0)</f>
        <v>60</v>
      </c>
      <c r="D2443" s="2" t="str">
        <f>IFERROR(__xludf.DUMMYFUNCTION("""COMPUTED_VALUE"""),"BRAC BANK LTD.")</f>
        <v>BRAC BANK LTD.</v>
      </c>
      <c r="E2443" s="2" t="str">
        <f>IFERROR(__xludf.DUMMYFUNCTION("""COMPUTED_VALUE"""),"SHERPUR")</f>
        <v>SHERPUR</v>
      </c>
      <c r="F2443" s="3">
        <f>IFERROR(__xludf.DUMMYFUNCTION("""COMPUTED_VALUE"""),274.0)</f>
        <v>274</v>
      </c>
      <c r="G2443" s="5">
        <f>IFERROR(__xludf.DUMMYFUNCTION("""COMPUTED_VALUE"""),6.0102748E7)</f>
        <v>60102748</v>
      </c>
    </row>
    <row r="2444">
      <c r="A2444" s="3">
        <f>IFERROR(__xludf.DUMMYFUNCTION("""COMPUTED_VALUE"""),112.0)</f>
        <v>112</v>
      </c>
      <c r="B2444" s="2" t="str">
        <f>IFERROR(__xludf.DUMMYFUNCTION("""COMPUTED_VALUE"""),"BRAHMANBARIA")</f>
        <v>BRAHMANBARIA</v>
      </c>
      <c r="C2444" s="4">
        <f>IFERROR(__xludf.DUMMYFUNCTION("""COMPUTED_VALUE"""),60.0)</f>
        <v>60</v>
      </c>
      <c r="D2444" s="2" t="str">
        <f>IFERROR(__xludf.DUMMYFUNCTION("""COMPUTED_VALUE"""),"BRAC BANK LTD.")</f>
        <v>BRAC BANK LTD.</v>
      </c>
      <c r="E2444" s="2" t="str">
        <f>IFERROR(__xludf.DUMMYFUNCTION("""COMPUTED_VALUE"""),"BRAHMANBARIA")</f>
        <v>BRAHMANBARIA</v>
      </c>
      <c r="F2444" s="3">
        <f>IFERROR(__xludf.DUMMYFUNCTION("""COMPUTED_VALUE"""),43.0)</f>
        <v>43</v>
      </c>
      <c r="G2444" s="5">
        <f>IFERROR(__xludf.DUMMYFUNCTION("""COMPUTED_VALUE"""),6.0120438E7)</f>
        <v>60120438</v>
      </c>
    </row>
    <row r="2445">
      <c r="A2445" s="3">
        <f>IFERROR(__xludf.DUMMYFUNCTION("""COMPUTED_VALUE"""),112.0)</f>
        <v>112</v>
      </c>
      <c r="B2445" s="2" t="str">
        <f>IFERROR(__xludf.DUMMYFUNCTION("""COMPUTED_VALUE"""),"BRAHMANBARIA")</f>
        <v>BRAHMANBARIA</v>
      </c>
      <c r="C2445" s="4">
        <f>IFERROR(__xludf.DUMMYFUNCTION("""COMPUTED_VALUE"""),60.0)</f>
        <v>60</v>
      </c>
      <c r="D2445" s="2" t="str">
        <f>IFERROR(__xludf.DUMMYFUNCTION("""COMPUTED_VALUE"""),"BRAC BANK LTD.")</f>
        <v>BRAC BANK LTD.</v>
      </c>
      <c r="E2445" s="2" t="str">
        <f>IFERROR(__xludf.DUMMYFUNCTION("""COMPUTED_VALUE"""),"KASBA")</f>
        <v>KASBA</v>
      </c>
      <c r="F2445" s="3">
        <f>IFERROR(__xludf.DUMMYFUNCTION("""COMPUTED_VALUE"""),103.0)</f>
        <v>103</v>
      </c>
      <c r="G2445" s="5">
        <f>IFERROR(__xludf.DUMMYFUNCTION("""COMPUTED_VALUE"""),6.0121037E7)</f>
        <v>60121037</v>
      </c>
    </row>
    <row r="2446">
      <c r="A2446" s="3">
        <f>IFERROR(__xludf.DUMMYFUNCTION("""COMPUTED_VALUE"""),113.0)</f>
        <v>113</v>
      </c>
      <c r="B2446" s="2" t="str">
        <f>IFERROR(__xludf.DUMMYFUNCTION("""COMPUTED_VALUE"""),"CHANDPUR")</f>
        <v>CHANDPUR</v>
      </c>
      <c r="C2446" s="4">
        <f>IFERROR(__xludf.DUMMYFUNCTION("""COMPUTED_VALUE"""),60.0)</f>
        <v>60</v>
      </c>
      <c r="D2446" s="2" t="str">
        <f>IFERROR(__xludf.DUMMYFUNCTION("""COMPUTED_VALUE"""),"BRAC BANK LTD.")</f>
        <v>BRAC BANK LTD.</v>
      </c>
      <c r="E2446" s="2" t="str">
        <f>IFERROR(__xludf.DUMMYFUNCTION("""COMPUTED_VALUE"""),"CHANDPUR")</f>
        <v>CHANDPUR</v>
      </c>
      <c r="F2446" s="3">
        <f>IFERROR(__xludf.DUMMYFUNCTION("""COMPUTED_VALUE"""),31.0)</f>
        <v>31</v>
      </c>
      <c r="G2446" s="5">
        <f>IFERROR(__xludf.DUMMYFUNCTION("""COMPUTED_VALUE"""),6.013031E7)</f>
        <v>60130310</v>
      </c>
    </row>
    <row r="2447">
      <c r="A2447" s="3">
        <f>IFERROR(__xludf.DUMMYFUNCTION("""COMPUTED_VALUE"""),113.0)</f>
        <v>113</v>
      </c>
      <c r="B2447" s="2" t="str">
        <f>IFERROR(__xludf.DUMMYFUNCTION("""COMPUTED_VALUE"""),"CHANDPUR")</f>
        <v>CHANDPUR</v>
      </c>
      <c r="C2447" s="4">
        <f>IFERROR(__xludf.DUMMYFUNCTION("""COMPUTED_VALUE"""),60.0)</f>
        <v>60</v>
      </c>
      <c r="D2447" s="2" t="str">
        <f>IFERROR(__xludf.DUMMYFUNCTION("""COMPUTED_VALUE"""),"BRAC BANK LTD.")</f>
        <v>BRAC BANK LTD.</v>
      </c>
      <c r="E2447" s="2" t="str">
        <f>IFERROR(__xludf.DUMMYFUNCTION("""COMPUTED_VALUE"""),"HAJIGANJ")</f>
        <v>HAJIGANJ</v>
      </c>
      <c r="F2447" s="3">
        <f>IFERROR(__xludf.DUMMYFUNCTION("""COMPUTED_VALUE"""),88.0)</f>
        <v>88</v>
      </c>
      <c r="G2447" s="5">
        <f>IFERROR(__xludf.DUMMYFUNCTION("""COMPUTED_VALUE"""),6.0130886E7)</f>
        <v>60130886</v>
      </c>
    </row>
    <row r="2448">
      <c r="A2448" s="3">
        <f>IFERROR(__xludf.DUMMYFUNCTION("""COMPUTED_VALUE"""),215.0)</f>
        <v>215</v>
      </c>
      <c r="B2448" s="2" t="str">
        <f>IFERROR(__xludf.DUMMYFUNCTION("""COMPUTED_VALUE"""),"CHITTAGONG")</f>
        <v>CHITTAGONG</v>
      </c>
      <c r="C2448" s="4">
        <f>IFERROR(__xludf.DUMMYFUNCTION("""COMPUTED_VALUE"""),60.0)</f>
        <v>60</v>
      </c>
      <c r="D2448" s="2" t="str">
        <f>IFERROR(__xludf.DUMMYFUNCTION("""COMPUTED_VALUE"""),"BRAC BANK LTD.")</f>
        <v>BRAC BANK LTD.</v>
      </c>
      <c r="E2448" s="2" t="str">
        <f>IFERROR(__xludf.DUMMYFUNCTION("""COMPUTED_VALUE"""),"AGRABAD")</f>
        <v>AGRABAD</v>
      </c>
      <c r="F2448" s="3">
        <f>IFERROR(__xludf.DUMMYFUNCTION("""COMPUTED_VALUE"""),13.0)</f>
        <v>13</v>
      </c>
      <c r="G2448" s="5">
        <f>IFERROR(__xludf.DUMMYFUNCTION("""COMPUTED_VALUE"""),6.0150132E7)</f>
        <v>60150132</v>
      </c>
    </row>
    <row r="2449">
      <c r="A2449" s="3">
        <f>IFERROR(__xludf.DUMMYFUNCTION("""COMPUTED_VALUE"""),215.0)</f>
        <v>215</v>
      </c>
      <c r="B2449" s="2" t="str">
        <f>IFERROR(__xludf.DUMMYFUNCTION("""COMPUTED_VALUE"""),"CHITTAGONG")</f>
        <v>CHITTAGONG</v>
      </c>
      <c r="C2449" s="4">
        <f>IFERROR(__xludf.DUMMYFUNCTION("""COMPUTED_VALUE"""),60.0)</f>
        <v>60</v>
      </c>
      <c r="D2449" s="2" t="str">
        <f>IFERROR(__xludf.DUMMYFUNCTION("""COMPUTED_VALUE"""),"BRAC BANK LTD.")</f>
        <v>BRAC BANK LTD.</v>
      </c>
      <c r="E2449" s="2" t="str">
        <f>IFERROR(__xludf.DUMMYFUNCTION("""COMPUTED_VALUE"""),"ASAD GANJ")</f>
        <v>ASAD GANJ</v>
      </c>
      <c r="F2449" s="3">
        <f>IFERROR(__xludf.DUMMYFUNCTION("""COMPUTED_VALUE"""),58.0)</f>
        <v>58</v>
      </c>
      <c r="G2449" s="5">
        <f>IFERROR(__xludf.DUMMYFUNCTION("""COMPUTED_VALUE"""),6.0150587E7)</f>
        <v>60150587</v>
      </c>
    </row>
    <row r="2450">
      <c r="A2450" s="3">
        <f>IFERROR(__xludf.DUMMYFUNCTION("""COMPUTED_VALUE"""),215.0)</f>
        <v>215</v>
      </c>
      <c r="B2450" s="2" t="str">
        <f>IFERROR(__xludf.DUMMYFUNCTION("""COMPUTED_VALUE"""),"CHITTAGONG")</f>
        <v>CHITTAGONG</v>
      </c>
      <c r="C2450" s="4">
        <f>IFERROR(__xludf.DUMMYFUNCTION("""COMPUTED_VALUE"""),60.0)</f>
        <v>60</v>
      </c>
      <c r="D2450" s="2" t="str">
        <f>IFERROR(__xludf.DUMMYFUNCTION("""COMPUTED_VALUE"""),"BRAC BANK LTD.")</f>
        <v>BRAC BANK LTD.</v>
      </c>
      <c r="E2450" s="2" t="str">
        <f>IFERROR(__xludf.DUMMYFUNCTION("""COMPUTED_VALUE"""),"BAHADDAR HAT SME")</f>
        <v>BAHADDAR HAT SME</v>
      </c>
      <c r="F2450" s="3">
        <f>IFERROR(__xludf.DUMMYFUNCTION("""COMPUTED_VALUE"""),80.0)</f>
        <v>80</v>
      </c>
      <c r="G2450" s="5">
        <f>IFERROR(__xludf.DUMMYFUNCTION("""COMPUTED_VALUE"""),6.0150808E7)</f>
        <v>60150808</v>
      </c>
    </row>
    <row r="2451">
      <c r="A2451" s="3">
        <f>IFERROR(__xludf.DUMMYFUNCTION("""COMPUTED_VALUE"""),215.0)</f>
        <v>215</v>
      </c>
      <c r="B2451" s="2" t="str">
        <f>IFERROR(__xludf.DUMMYFUNCTION("""COMPUTED_VALUE"""),"CHITTAGONG")</f>
        <v>CHITTAGONG</v>
      </c>
      <c r="C2451" s="4">
        <f>IFERROR(__xludf.DUMMYFUNCTION("""COMPUTED_VALUE"""),60.0)</f>
        <v>60</v>
      </c>
      <c r="D2451" s="2" t="str">
        <f>IFERROR(__xludf.DUMMYFUNCTION("""COMPUTED_VALUE"""),"BRAC BANK LTD.")</f>
        <v>BRAC BANK LTD.</v>
      </c>
      <c r="E2451" s="2" t="str">
        <f>IFERROR(__xludf.DUMMYFUNCTION("""COMPUTED_VALUE"""),"BANDARTILA")</f>
        <v>BANDARTILA</v>
      </c>
      <c r="F2451" s="3">
        <f>IFERROR(__xludf.DUMMYFUNCTION("""COMPUTED_VALUE"""),94.0)</f>
        <v>94</v>
      </c>
      <c r="G2451" s="5">
        <f>IFERROR(__xludf.DUMMYFUNCTION("""COMPUTED_VALUE"""),6.0150945E7)</f>
        <v>60150945</v>
      </c>
    </row>
    <row r="2452">
      <c r="A2452" s="3">
        <f>IFERROR(__xludf.DUMMYFUNCTION("""COMPUTED_VALUE"""),215.0)</f>
        <v>215</v>
      </c>
      <c r="B2452" s="2" t="str">
        <f>IFERROR(__xludf.DUMMYFUNCTION("""COMPUTED_VALUE"""),"CHITTAGONG")</f>
        <v>CHITTAGONG</v>
      </c>
      <c r="C2452" s="4">
        <f>IFERROR(__xludf.DUMMYFUNCTION("""COMPUTED_VALUE"""),60.0)</f>
        <v>60</v>
      </c>
      <c r="D2452" s="2" t="str">
        <f>IFERROR(__xludf.DUMMYFUNCTION("""COMPUTED_VALUE"""),"BRAC BANK LTD.")</f>
        <v>BRAC BANK LTD.</v>
      </c>
      <c r="E2452" s="2" t="str">
        <f>IFERROR(__xludf.DUMMYFUNCTION("""COMPUTED_VALUE"""),"C.D.A. AVENUE")</f>
        <v>C.D.A. AVENUE</v>
      </c>
      <c r="F2452" s="3">
        <f>IFERROR(__xludf.DUMMYFUNCTION("""COMPUTED_VALUE"""),148.0)</f>
        <v>148</v>
      </c>
      <c r="G2452" s="5">
        <f>IFERROR(__xludf.DUMMYFUNCTION("""COMPUTED_VALUE"""),6.0151481E7)</f>
        <v>60151481</v>
      </c>
    </row>
    <row r="2453">
      <c r="A2453" s="3">
        <f>IFERROR(__xludf.DUMMYFUNCTION("""COMPUTED_VALUE"""),215.0)</f>
        <v>215</v>
      </c>
      <c r="B2453" s="2" t="str">
        <f>IFERROR(__xludf.DUMMYFUNCTION("""COMPUTED_VALUE"""),"CHITTAGONG")</f>
        <v>CHITTAGONG</v>
      </c>
      <c r="C2453" s="4">
        <f>IFERROR(__xludf.DUMMYFUNCTION("""COMPUTED_VALUE"""),60.0)</f>
        <v>60</v>
      </c>
      <c r="D2453" s="2" t="str">
        <f>IFERROR(__xludf.DUMMYFUNCTION("""COMPUTED_VALUE"""),"BRAC BANK LTD.")</f>
        <v>BRAC BANK LTD.</v>
      </c>
      <c r="E2453" s="2" t="str">
        <f>IFERROR(__xludf.DUMMYFUNCTION("""COMPUTED_VALUE"""),"CHAWK BAZAR")</f>
        <v>CHAWK BAZAR</v>
      </c>
      <c r="F2453" s="3">
        <f>IFERROR(__xludf.DUMMYFUNCTION("""COMPUTED_VALUE"""),193.0)</f>
        <v>193</v>
      </c>
      <c r="G2453" s="5">
        <f>IFERROR(__xludf.DUMMYFUNCTION("""COMPUTED_VALUE"""),6.0151931E7)</f>
        <v>60151931</v>
      </c>
    </row>
    <row r="2454">
      <c r="A2454" s="3">
        <f>IFERROR(__xludf.DUMMYFUNCTION("""COMPUTED_VALUE"""),215.0)</f>
        <v>215</v>
      </c>
      <c r="B2454" s="2" t="str">
        <f>IFERROR(__xludf.DUMMYFUNCTION("""COMPUTED_VALUE"""),"CHITTAGONG")</f>
        <v>CHITTAGONG</v>
      </c>
      <c r="C2454" s="4">
        <f>IFERROR(__xludf.DUMMYFUNCTION("""COMPUTED_VALUE"""),60.0)</f>
        <v>60</v>
      </c>
      <c r="D2454" s="2" t="str">
        <f>IFERROR(__xludf.DUMMYFUNCTION("""COMPUTED_VALUE"""),"BRAC BANK LTD.")</f>
        <v>BRAC BANK LTD.</v>
      </c>
      <c r="E2454" s="2" t="str">
        <f>IFERROR(__xludf.DUMMYFUNCTION("""COMPUTED_VALUE"""),"HALISHAHAR")</f>
        <v>HALISHAHAR</v>
      </c>
      <c r="F2454" s="3">
        <f>IFERROR(__xludf.DUMMYFUNCTION("""COMPUTED_VALUE"""),316.0)</f>
        <v>316</v>
      </c>
      <c r="G2454" s="5">
        <f>IFERROR(__xludf.DUMMYFUNCTION("""COMPUTED_VALUE"""),6.0153168E7)</f>
        <v>60153168</v>
      </c>
    </row>
    <row r="2455">
      <c r="A2455" s="3">
        <f>IFERROR(__xludf.DUMMYFUNCTION("""COMPUTED_VALUE"""),215.0)</f>
        <v>215</v>
      </c>
      <c r="B2455" s="2" t="str">
        <f>IFERROR(__xludf.DUMMYFUNCTION("""COMPUTED_VALUE"""),"CHITTAGONG")</f>
        <v>CHITTAGONG</v>
      </c>
      <c r="C2455" s="4">
        <f>IFERROR(__xludf.DUMMYFUNCTION("""COMPUTED_VALUE"""),60.0)</f>
        <v>60</v>
      </c>
      <c r="D2455" s="2" t="str">
        <f>IFERROR(__xludf.DUMMYFUNCTION("""COMPUTED_VALUE"""),"BRAC BANK LTD.")</f>
        <v>BRAC BANK LTD.</v>
      </c>
      <c r="E2455" s="2" t="str">
        <f>IFERROR(__xludf.DUMMYFUNCTION("""COMPUTED_VALUE"""),"HATHAZARI SME")</f>
        <v>HATHAZARI SME</v>
      </c>
      <c r="F2455" s="3">
        <f>IFERROR(__xludf.DUMMYFUNCTION("""COMPUTED_VALUE"""),323.0)</f>
        <v>323</v>
      </c>
      <c r="G2455" s="5">
        <f>IFERROR(__xludf.DUMMYFUNCTION("""COMPUTED_VALUE"""),6.0153234E7)</f>
        <v>60153234</v>
      </c>
    </row>
    <row r="2456">
      <c r="A2456" s="3">
        <f>IFERROR(__xludf.DUMMYFUNCTION("""COMPUTED_VALUE"""),215.0)</f>
        <v>215</v>
      </c>
      <c r="B2456" s="2" t="str">
        <f>IFERROR(__xludf.DUMMYFUNCTION("""COMPUTED_VALUE"""),"CHITTAGONG")</f>
        <v>CHITTAGONG</v>
      </c>
      <c r="C2456" s="4">
        <f>IFERROR(__xludf.DUMMYFUNCTION("""COMPUTED_VALUE"""),60.0)</f>
        <v>60</v>
      </c>
      <c r="D2456" s="2" t="str">
        <f>IFERROR(__xludf.DUMMYFUNCTION("""COMPUTED_VALUE"""),"BRAC BANK LTD.")</f>
        <v>BRAC BANK LTD.</v>
      </c>
      <c r="E2456" s="2" t="str">
        <f>IFERROR(__xludf.DUMMYFUNCTION("""COMPUTED_VALUE"""),"KADAMTOLI SME")</f>
        <v>KADAMTOLI SME</v>
      </c>
      <c r="F2456" s="3">
        <f>IFERROR(__xludf.DUMMYFUNCTION("""COMPUTED_VALUE"""),374.0)</f>
        <v>374</v>
      </c>
      <c r="G2456" s="5">
        <f>IFERROR(__xludf.DUMMYFUNCTION("""COMPUTED_VALUE"""),6.0153742E7)</f>
        <v>60153742</v>
      </c>
    </row>
    <row r="2457">
      <c r="A2457" s="3">
        <f>IFERROR(__xludf.DUMMYFUNCTION("""COMPUTED_VALUE"""),215.0)</f>
        <v>215</v>
      </c>
      <c r="B2457" s="2" t="str">
        <f>IFERROR(__xludf.DUMMYFUNCTION("""COMPUTED_VALUE"""),"CHITTAGONG")</f>
        <v>CHITTAGONG</v>
      </c>
      <c r="C2457" s="4">
        <f>IFERROR(__xludf.DUMMYFUNCTION("""COMPUTED_VALUE"""),60.0)</f>
        <v>60</v>
      </c>
      <c r="D2457" s="2" t="str">
        <f>IFERROR(__xludf.DUMMYFUNCTION("""COMPUTED_VALUE"""),"BRAC BANK LTD.")</f>
        <v>BRAC BANK LTD.</v>
      </c>
      <c r="E2457" s="2" t="str">
        <f>IFERROR(__xludf.DUMMYFUNCTION("""COMPUTED_VALUE"""),"KAZIR DEWRI")</f>
        <v>KAZIR DEWRI</v>
      </c>
      <c r="F2457" s="3">
        <f>IFERROR(__xludf.DUMMYFUNCTION("""COMPUTED_VALUE"""),415.0)</f>
        <v>415</v>
      </c>
      <c r="G2457" s="5">
        <f>IFERROR(__xludf.DUMMYFUNCTION("""COMPUTED_VALUE"""),6.0154154E7)</f>
        <v>60154154</v>
      </c>
    </row>
    <row r="2458">
      <c r="A2458" s="3">
        <f>IFERROR(__xludf.DUMMYFUNCTION("""COMPUTED_VALUE"""),215.0)</f>
        <v>215</v>
      </c>
      <c r="B2458" s="2" t="str">
        <f>IFERROR(__xludf.DUMMYFUNCTION("""COMPUTED_VALUE"""),"CHITTAGONG")</f>
        <v>CHITTAGONG</v>
      </c>
      <c r="C2458" s="4">
        <f>IFERROR(__xludf.DUMMYFUNCTION("""COMPUTED_VALUE"""),60.0)</f>
        <v>60</v>
      </c>
      <c r="D2458" s="2" t="str">
        <f>IFERROR(__xludf.DUMMYFUNCTION("""COMPUTED_VALUE"""),"BRAC BANK LTD.")</f>
        <v>BRAC BANK LTD.</v>
      </c>
      <c r="E2458" s="2" t="str">
        <f>IFERROR(__xludf.DUMMYFUNCTION("""COMPUTED_VALUE"""),"LOHAGARA SME")</f>
        <v>LOHAGARA SME</v>
      </c>
      <c r="F2458" s="3">
        <f>IFERROR(__xludf.DUMMYFUNCTION("""COMPUTED_VALUE"""),467.0)</f>
        <v>467</v>
      </c>
      <c r="G2458" s="5">
        <f>IFERROR(__xludf.DUMMYFUNCTION("""COMPUTED_VALUE"""),6.0154675E7)</f>
        <v>60154675</v>
      </c>
    </row>
    <row r="2459">
      <c r="A2459" s="3">
        <f>IFERROR(__xludf.DUMMYFUNCTION("""COMPUTED_VALUE"""),215.0)</f>
        <v>215</v>
      </c>
      <c r="B2459" s="2" t="str">
        <f>IFERROR(__xludf.DUMMYFUNCTION("""COMPUTED_VALUE"""),"CHITTAGONG")</f>
        <v>CHITTAGONG</v>
      </c>
      <c r="C2459" s="4">
        <f>IFERROR(__xludf.DUMMYFUNCTION("""COMPUTED_VALUE"""),60.0)</f>
        <v>60</v>
      </c>
      <c r="D2459" s="2" t="str">
        <f>IFERROR(__xludf.DUMMYFUNCTION("""COMPUTED_VALUE"""),"BRAC BANK LTD.")</f>
        <v>BRAC BANK LTD.</v>
      </c>
      <c r="E2459" s="2" t="str">
        <f>IFERROR(__xludf.DUMMYFUNCTION("""COMPUTED_VALUE"""),"MADAM BIBIR HAT")</f>
        <v>MADAM BIBIR HAT</v>
      </c>
      <c r="F2459" s="3">
        <f>IFERROR(__xludf.DUMMYFUNCTION("""COMPUTED_VALUE"""),469.0)</f>
        <v>469</v>
      </c>
      <c r="G2459" s="5">
        <f>IFERROR(__xludf.DUMMYFUNCTION("""COMPUTED_VALUE"""),6.0154691E7)</f>
        <v>60154691</v>
      </c>
    </row>
    <row r="2460">
      <c r="A2460" s="3">
        <f>IFERROR(__xludf.DUMMYFUNCTION("""COMPUTED_VALUE"""),215.0)</f>
        <v>215</v>
      </c>
      <c r="B2460" s="2" t="str">
        <f>IFERROR(__xludf.DUMMYFUNCTION("""COMPUTED_VALUE"""),"CHITTAGONG")</f>
        <v>CHITTAGONG</v>
      </c>
      <c r="C2460" s="4">
        <f>IFERROR(__xludf.DUMMYFUNCTION("""COMPUTED_VALUE"""),60.0)</f>
        <v>60</v>
      </c>
      <c r="D2460" s="2" t="str">
        <f>IFERROR(__xludf.DUMMYFUNCTION("""COMPUTED_VALUE"""),"BRAC BANK LTD.")</f>
        <v>BRAC BANK LTD.</v>
      </c>
      <c r="E2460" s="2" t="str">
        <f>IFERROR(__xludf.DUMMYFUNCTION("""COMPUTED_VALUE"""),"MOMIN ROAD")</f>
        <v>MOMIN ROAD</v>
      </c>
      <c r="F2460" s="3">
        <f>IFERROR(__xludf.DUMMYFUNCTION("""COMPUTED_VALUE"""),526.0)</f>
        <v>526</v>
      </c>
      <c r="G2460" s="5">
        <f>IFERROR(__xludf.DUMMYFUNCTION("""COMPUTED_VALUE"""),6.0155261E7)</f>
        <v>60155261</v>
      </c>
    </row>
    <row r="2461">
      <c r="A2461" s="3">
        <f>IFERROR(__xludf.DUMMYFUNCTION("""COMPUTED_VALUE"""),215.0)</f>
        <v>215</v>
      </c>
      <c r="B2461" s="2" t="str">
        <f>IFERROR(__xludf.DUMMYFUNCTION("""COMPUTED_VALUE"""),"CHITTAGONG")</f>
        <v>CHITTAGONG</v>
      </c>
      <c r="C2461" s="4">
        <f>IFERROR(__xludf.DUMMYFUNCTION("""COMPUTED_VALUE"""),60.0)</f>
        <v>60</v>
      </c>
      <c r="D2461" s="2" t="str">
        <f>IFERROR(__xludf.DUMMYFUNCTION("""COMPUTED_VALUE"""),"BRAC BANK LTD.")</f>
        <v>BRAC BANK LTD.</v>
      </c>
      <c r="E2461" s="2" t="str">
        <f>IFERROR(__xludf.DUMMYFUNCTION("""COMPUTED_VALUE"""),"MURADPUR")</f>
        <v>MURADPUR</v>
      </c>
      <c r="F2461" s="3">
        <f>IFERROR(__xludf.DUMMYFUNCTION("""COMPUTED_VALUE"""),532.0)</f>
        <v>532</v>
      </c>
      <c r="G2461" s="5">
        <f>IFERROR(__xludf.DUMMYFUNCTION("""COMPUTED_VALUE"""),6.0155324E7)</f>
        <v>60155324</v>
      </c>
    </row>
    <row r="2462">
      <c r="A2462" s="3">
        <f>IFERROR(__xludf.DUMMYFUNCTION("""COMPUTED_VALUE"""),215.0)</f>
        <v>215</v>
      </c>
      <c r="B2462" s="2" t="str">
        <f>IFERROR(__xludf.DUMMYFUNCTION("""COMPUTED_VALUE"""),"CHITTAGONG")</f>
        <v>CHITTAGONG</v>
      </c>
      <c r="C2462" s="4">
        <f>IFERROR(__xludf.DUMMYFUNCTION("""COMPUTED_VALUE"""),60.0)</f>
        <v>60</v>
      </c>
      <c r="D2462" s="2" t="str">
        <f>IFERROR(__xludf.DUMMYFUNCTION("""COMPUTED_VALUE"""),"BRAC BANK LTD.")</f>
        <v>BRAC BANK LTD.</v>
      </c>
      <c r="E2462" s="2" t="str">
        <f>IFERROR(__xludf.DUMMYFUNCTION("""COMPUTED_VALUE"""),"NEW MARKET")</f>
        <v>NEW MARKET</v>
      </c>
      <c r="F2462" s="3">
        <f>IFERROR(__xludf.DUMMYFUNCTION("""COMPUTED_VALUE"""),565.0)</f>
        <v>565</v>
      </c>
      <c r="G2462" s="5">
        <f>IFERROR(__xludf.DUMMYFUNCTION("""COMPUTED_VALUE"""),6.0155658E7)</f>
        <v>60155658</v>
      </c>
    </row>
    <row r="2463">
      <c r="A2463" s="3">
        <f>IFERROR(__xludf.DUMMYFUNCTION("""COMPUTED_VALUE"""),215.0)</f>
        <v>215</v>
      </c>
      <c r="B2463" s="2" t="str">
        <f>IFERROR(__xludf.DUMMYFUNCTION("""COMPUTED_VALUE"""),"CHITTAGONG")</f>
        <v>CHITTAGONG</v>
      </c>
      <c r="C2463" s="4">
        <f>IFERROR(__xludf.DUMMYFUNCTION("""COMPUTED_VALUE"""),60.0)</f>
        <v>60</v>
      </c>
      <c r="D2463" s="2" t="str">
        <f>IFERROR(__xludf.DUMMYFUNCTION("""COMPUTED_VALUE"""),"BRAC BANK LTD.")</f>
        <v>BRAC BANK LTD.</v>
      </c>
      <c r="E2463" s="2" t="str">
        <f>IFERROR(__xludf.DUMMYFUNCTION("""COMPUTED_VALUE"""),"CHITTAGONG NEW MARKET")</f>
        <v>CHITTAGONG NEW MARKET</v>
      </c>
      <c r="F2463" s="3">
        <f>IFERROR(__xludf.DUMMYFUNCTION("""COMPUTED_VALUE"""),567.0)</f>
        <v>567</v>
      </c>
      <c r="G2463" s="5">
        <f>IFERROR(__xludf.DUMMYFUNCTION("""COMPUTED_VALUE"""),6.0155674E7)</f>
        <v>60155674</v>
      </c>
    </row>
    <row r="2464">
      <c r="A2464" s="3">
        <f>IFERROR(__xludf.DUMMYFUNCTION("""COMPUTED_VALUE"""),215.0)</f>
        <v>215</v>
      </c>
      <c r="B2464" s="2" t="str">
        <f>IFERROR(__xludf.DUMMYFUNCTION("""COMPUTED_VALUE"""),"CHITTAGONG")</f>
        <v>CHITTAGONG</v>
      </c>
      <c r="C2464" s="4">
        <f>IFERROR(__xludf.DUMMYFUNCTION("""COMPUTED_VALUE"""),60.0)</f>
        <v>60</v>
      </c>
      <c r="D2464" s="2" t="str">
        <f>IFERROR(__xludf.DUMMYFUNCTION("""COMPUTED_VALUE"""),"BRAC BANK LTD.")</f>
        <v>BRAC BANK LTD.</v>
      </c>
      <c r="E2464" s="2" t="str">
        <f>IFERROR(__xludf.DUMMYFUNCTION("""COMPUTED_VALUE"""),"PAHARTALI SME")</f>
        <v>PAHARTALI SME</v>
      </c>
      <c r="F2464" s="3">
        <f>IFERROR(__xludf.DUMMYFUNCTION("""COMPUTED_VALUE"""),593.0)</f>
        <v>593</v>
      </c>
      <c r="G2464" s="5">
        <f>IFERROR(__xludf.DUMMYFUNCTION("""COMPUTED_VALUE"""),6.0155937E7)</f>
        <v>60155937</v>
      </c>
    </row>
    <row r="2465">
      <c r="A2465" s="3">
        <f>IFERROR(__xludf.DUMMYFUNCTION("""COMPUTED_VALUE"""),215.0)</f>
        <v>215</v>
      </c>
      <c r="B2465" s="2" t="str">
        <f>IFERROR(__xludf.DUMMYFUNCTION("""COMPUTED_VALUE"""),"CHITTAGONG")</f>
        <v>CHITTAGONG</v>
      </c>
      <c r="C2465" s="4">
        <f>IFERROR(__xludf.DUMMYFUNCTION("""COMPUTED_VALUE"""),60.0)</f>
        <v>60</v>
      </c>
      <c r="D2465" s="2" t="str">
        <f>IFERROR(__xludf.DUMMYFUNCTION("""COMPUTED_VALUE"""),"BRAC BANK LTD.")</f>
        <v>BRAC BANK LTD.</v>
      </c>
      <c r="E2465" s="2" t="str">
        <f>IFERROR(__xludf.DUMMYFUNCTION("""COMPUTED_VALUE"""),"PATIYA")</f>
        <v>PATIYA</v>
      </c>
      <c r="F2465" s="3">
        <f>IFERROR(__xludf.DUMMYFUNCTION("""COMPUTED_VALUE"""),616.0)</f>
        <v>616</v>
      </c>
      <c r="G2465" s="5">
        <f>IFERROR(__xludf.DUMMYFUNCTION("""COMPUTED_VALUE"""),6.0156165E7)</f>
        <v>60156165</v>
      </c>
    </row>
    <row r="2466">
      <c r="A2466" s="3">
        <f>IFERROR(__xludf.DUMMYFUNCTION("""COMPUTED_VALUE"""),215.0)</f>
        <v>215</v>
      </c>
      <c r="B2466" s="2" t="str">
        <f>IFERROR(__xludf.DUMMYFUNCTION("""COMPUTED_VALUE"""),"CHITTAGONG")</f>
        <v>CHITTAGONG</v>
      </c>
      <c r="C2466" s="4">
        <f>IFERROR(__xludf.DUMMYFUNCTION("""COMPUTED_VALUE"""),60.0)</f>
        <v>60</v>
      </c>
      <c r="D2466" s="2" t="str">
        <f>IFERROR(__xludf.DUMMYFUNCTION("""COMPUTED_VALUE"""),"BRAC BANK LTD.")</f>
        <v>BRAC BANK LTD.</v>
      </c>
      <c r="E2466" s="2" t="str">
        <f>IFERROR(__xludf.DUMMYFUNCTION("""COMPUTED_VALUE"""),"RAOZAN SME")</f>
        <v>RAOZAN SME</v>
      </c>
      <c r="F2466" s="3">
        <f>IFERROR(__xludf.DUMMYFUNCTION("""COMPUTED_VALUE"""),650.0)</f>
        <v>650</v>
      </c>
      <c r="G2466" s="5">
        <f>IFERROR(__xludf.DUMMYFUNCTION("""COMPUTED_VALUE"""),6.0156507E7)</f>
        <v>60156507</v>
      </c>
    </row>
    <row r="2467">
      <c r="A2467" s="3">
        <f>IFERROR(__xludf.DUMMYFUNCTION("""COMPUTED_VALUE"""),215.0)</f>
        <v>215</v>
      </c>
      <c r="B2467" s="2" t="str">
        <f>IFERROR(__xludf.DUMMYFUNCTION("""COMPUTED_VALUE"""),"CHITTAGONG")</f>
        <v>CHITTAGONG</v>
      </c>
      <c r="C2467" s="4">
        <f>IFERROR(__xludf.DUMMYFUNCTION("""COMPUTED_VALUE"""),60.0)</f>
        <v>60</v>
      </c>
      <c r="D2467" s="2" t="str">
        <f>IFERROR(__xludf.DUMMYFUNCTION("""COMPUTED_VALUE"""),"BRAC BANK LTD.")</f>
        <v>BRAC BANK LTD.</v>
      </c>
      <c r="E2467" s="2" t="str">
        <f>IFERROR(__xludf.DUMMYFUNCTION("""COMPUTED_VALUE"""),"SITAKUNDA")</f>
        <v>SITAKUNDA</v>
      </c>
      <c r="F2467" s="3">
        <f>IFERROR(__xludf.DUMMYFUNCTION("""COMPUTED_VALUE"""),739.0)</f>
        <v>739</v>
      </c>
      <c r="G2467" s="5">
        <f>IFERROR(__xludf.DUMMYFUNCTION("""COMPUTED_VALUE"""),6.0157393E7)</f>
        <v>60157393</v>
      </c>
    </row>
    <row r="2468">
      <c r="A2468" s="3">
        <f>IFERROR(__xludf.DUMMYFUNCTION("""COMPUTED_VALUE"""),215.0)</f>
        <v>215</v>
      </c>
      <c r="B2468" s="2" t="str">
        <f>IFERROR(__xludf.DUMMYFUNCTION("""COMPUTED_VALUE"""),"CHITTAGONG")</f>
        <v>CHITTAGONG</v>
      </c>
      <c r="C2468" s="4">
        <f>IFERROR(__xludf.DUMMYFUNCTION("""COMPUTED_VALUE"""),60.0)</f>
        <v>60</v>
      </c>
      <c r="D2468" s="2" t="str">
        <f>IFERROR(__xludf.DUMMYFUNCTION("""COMPUTED_VALUE"""),"BRAC BANK LTD.")</f>
        <v>BRAC BANK LTD.</v>
      </c>
      <c r="E2468" s="2" t="str">
        <f>IFERROR(__xludf.DUMMYFUNCTION("""COMPUTED_VALUE"""),"SK. MUJIB ROAD")</f>
        <v>SK. MUJIB ROAD</v>
      </c>
      <c r="F2468" s="3">
        <f>IFERROR(__xludf.DUMMYFUNCTION("""COMPUTED_VALUE"""),742.0)</f>
        <v>742</v>
      </c>
      <c r="G2468" s="5">
        <f>IFERROR(__xludf.DUMMYFUNCTION("""COMPUTED_VALUE"""),6.0157427E7)</f>
        <v>60157427</v>
      </c>
    </row>
    <row r="2469">
      <c r="A2469" s="3">
        <f>IFERROR(__xludf.DUMMYFUNCTION("""COMPUTED_VALUE"""),418.0)</f>
        <v>418</v>
      </c>
      <c r="B2469" s="2" t="str">
        <f>IFERROR(__xludf.DUMMYFUNCTION("""COMPUTED_VALUE"""),"CHUADANGA")</f>
        <v>CHUADANGA</v>
      </c>
      <c r="C2469" s="4">
        <f>IFERROR(__xludf.DUMMYFUNCTION("""COMPUTED_VALUE"""),60.0)</f>
        <v>60</v>
      </c>
      <c r="D2469" s="2" t="str">
        <f>IFERROR(__xludf.DUMMYFUNCTION("""COMPUTED_VALUE"""),"BRAC BANK LTD.")</f>
        <v>BRAC BANK LTD.</v>
      </c>
      <c r="E2469" s="2" t="str">
        <f>IFERROR(__xludf.DUMMYFUNCTION("""COMPUTED_VALUE"""),"JIBAN NAGAR")</f>
        <v>JIBAN NAGAR</v>
      </c>
      <c r="F2469" s="3">
        <f>IFERROR(__xludf.DUMMYFUNCTION("""COMPUTED_VALUE"""),6.0)</f>
        <v>6</v>
      </c>
      <c r="G2469" s="5">
        <f>IFERROR(__xludf.DUMMYFUNCTION("""COMPUTED_VALUE"""),6.0180065E7)</f>
        <v>60180065</v>
      </c>
    </row>
    <row r="2470">
      <c r="A2470" s="3">
        <f>IFERROR(__xludf.DUMMYFUNCTION("""COMPUTED_VALUE"""),418.0)</f>
        <v>418</v>
      </c>
      <c r="B2470" s="2" t="str">
        <f>IFERROR(__xludf.DUMMYFUNCTION("""COMPUTED_VALUE"""),"CHUADANGA")</f>
        <v>CHUADANGA</v>
      </c>
      <c r="C2470" s="4">
        <f>IFERROR(__xludf.DUMMYFUNCTION("""COMPUTED_VALUE"""),60.0)</f>
        <v>60</v>
      </c>
      <c r="D2470" s="2" t="str">
        <f>IFERROR(__xludf.DUMMYFUNCTION("""COMPUTED_VALUE"""),"BRAC BANK LTD.")</f>
        <v>BRAC BANK LTD.</v>
      </c>
      <c r="E2470" s="2" t="str">
        <f>IFERROR(__xludf.DUMMYFUNCTION("""COMPUTED_VALUE"""),"CHUADANGA")</f>
        <v>CHUADANGA</v>
      </c>
      <c r="F2470" s="3">
        <f>IFERROR(__xludf.DUMMYFUNCTION("""COMPUTED_VALUE"""),19.0)</f>
        <v>19</v>
      </c>
      <c r="G2470" s="5">
        <f>IFERROR(__xludf.DUMMYFUNCTION("""COMPUTED_VALUE"""),6.0180199E7)</f>
        <v>60180199</v>
      </c>
    </row>
    <row r="2471">
      <c r="A2471" s="3">
        <f>IFERROR(__xludf.DUMMYFUNCTION("""COMPUTED_VALUE"""),119.0)</f>
        <v>119</v>
      </c>
      <c r="B2471" s="2" t="str">
        <f>IFERROR(__xludf.DUMMYFUNCTION("""COMPUTED_VALUE"""),"COMILLA")</f>
        <v>COMILLA</v>
      </c>
      <c r="C2471" s="4">
        <f>IFERROR(__xludf.DUMMYFUNCTION("""COMPUTED_VALUE"""),60.0)</f>
        <v>60</v>
      </c>
      <c r="D2471" s="2" t="str">
        <f>IFERROR(__xludf.DUMMYFUNCTION("""COMPUTED_VALUE"""),"BRAC BANK LTD.")</f>
        <v>BRAC BANK LTD.</v>
      </c>
      <c r="E2471" s="2" t="str">
        <f>IFERROR(__xludf.DUMMYFUNCTION("""COMPUTED_VALUE"""),"BARURA")</f>
        <v>BARURA</v>
      </c>
      <c r="F2471" s="3">
        <f>IFERROR(__xludf.DUMMYFUNCTION("""COMPUTED_VALUE"""),49.0)</f>
        <v>49</v>
      </c>
      <c r="G2471" s="5">
        <f>IFERROR(__xludf.DUMMYFUNCTION("""COMPUTED_VALUE"""),6.0190497E7)</f>
        <v>60190497</v>
      </c>
    </row>
    <row r="2472">
      <c r="A2472" s="3">
        <f>IFERROR(__xludf.DUMMYFUNCTION("""COMPUTED_VALUE"""),119.0)</f>
        <v>119</v>
      </c>
      <c r="B2472" s="2" t="str">
        <f>IFERROR(__xludf.DUMMYFUNCTION("""COMPUTED_VALUE"""),"COMILLA")</f>
        <v>COMILLA</v>
      </c>
      <c r="C2472" s="4">
        <f>IFERROR(__xludf.DUMMYFUNCTION("""COMPUTED_VALUE"""),60.0)</f>
        <v>60</v>
      </c>
      <c r="D2472" s="2" t="str">
        <f>IFERROR(__xludf.DUMMYFUNCTION("""COMPUTED_VALUE"""),"BRAC BANK LTD.")</f>
        <v>BRAC BANK LTD.</v>
      </c>
      <c r="E2472" s="2" t="str">
        <f>IFERROR(__xludf.DUMMYFUNCTION("""COMPUTED_VALUE"""),"CHANDINA")</f>
        <v>CHANDINA</v>
      </c>
      <c r="F2472" s="3">
        <f>IFERROR(__xludf.DUMMYFUNCTION("""COMPUTED_VALUE"""),88.0)</f>
        <v>88</v>
      </c>
      <c r="G2472" s="5">
        <f>IFERROR(__xludf.DUMMYFUNCTION("""COMPUTED_VALUE"""),6.0190884E7)</f>
        <v>60190884</v>
      </c>
    </row>
    <row r="2473">
      <c r="A2473" s="3">
        <f>IFERROR(__xludf.DUMMYFUNCTION("""COMPUTED_VALUE"""),119.0)</f>
        <v>119</v>
      </c>
      <c r="B2473" s="2" t="str">
        <f>IFERROR(__xludf.DUMMYFUNCTION("""COMPUTED_VALUE"""),"COMILLA")</f>
        <v>COMILLA</v>
      </c>
      <c r="C2473" s="4">
        <f>IFERROR(__xludf.DUMMYFUNCTION("""COMPUTED_VALUE"""),60.0)</f>
        <v>60</v>
      </c>
      <c r="D2473" s="2" t="str">
        <f>IFERROR(__xludf.DUMMYFUNCTION("""COMPUTED_VALUE"""),"BRAC BANK LTD.")</f>
        <v>BRAC BANK LTD.</v>
      </c>
      <c r="E2473" s="2" t="str">
        <f>IFERROR(__xludf.DUMMYFUNCTION("""COMPUTED_VALUE"""),"COMILLA")</f>
        <v>COMILLA</v>
      </c>
      <c r="F2473" s="3">
        <f>IFERROR(__xludf.DUMMYFUNCTION("""COMPUTED_VALUE"""),115.0)</f>
        <v>115</v>
      </c>
      <c r="G2473" s="5">
        <f>IFERROR(__xludf.DUMMYFUNCTION("""COMPUTED_VALUE"""),6.0191159E7)</f>
        <v>60191159</v>
      </c>
    </row>
    <row r="2474">
      <c r="A2474" s="3">
        <f>IFERROR(__xludf.DUMMYFUNCTION("""COMPUTED_VALUE"""),119.0)</f>
        <v>119</v>
      </c>
      <c r="B2474" s="2" t="str">
        <f>IFERROR(__xludf.DUMMYFUNCTION("""COMPUTED_VALUE"""),"COMILLA")</f>
        <v>COMILLA</v>
      </c>
      <c r="C2474" s="4">
        <f>IFERROR(__xludf.DUMMYFUNCTION("""COMPUTED_VALUE"""),60.0)</f>
        <v>60</v>
      </c>
      <c r="D2474" s="2" t="str">
        <f>IFERROR(__xludf.DUMMYFUNCTION("""COMPUTED_VALUE"""),"BRAC BANK LTD.")</f>
        <v>BRAC BANK LTD.</v>
      </c>
      <c r="E2474" s="2" t="str">
        <f>IFERROR(__xludf.DUMMYFUNCTION("""COMPUTED_VALUE"""),"COMILLA SME")</f>
        <v>COMILLA SME</v>
      </c>
      <c r="F2474" s="3">
        <f>IFERROR(__xludf.DUMMYFUNCTION("""COMPUTED_VALUE"""),116.0)</f>
        <v>116</v>
      </c>
      <c r="G2474" s="5">
        <f>IFERROR(__xludf.DUMMYFUNCTION("""COMPUTED_VALUE"""),6.0191162E7)</f>
        <v>60191162</v>
      </c>
    </row>
    <row r="2475">
      <c r="A2475" s="3">
        <f>IFERROR(__xludf.DUMMYFUNCTION("""COMPUTED_VALUE"""),119.0)</f>
        <v>119</v>
      </c>
      <c r="B2475" s="2" t="str">
        <f>IFERROR(__xludf.DUMMYFUNCTION("""COMPUTED_VALUE"""),"COMILLA")</f>
        <v>COMILLA</v>
      </c>
      <c r="C2475" s="4">
        <f>IFERROR(__xludf.DUMMYFUNCTION("""COMPUTED_VALUE"""),60.0)</f>
        <v>60</v>
      </c>
      <c r="D2475" s="2" t="str">
        <f>IFERROR(__xludf.DUMMYFUNCTION("""COMPUTED_VALUE"""),"BRAC BANK LTD.")</f>
        <v>BRAC BANK LTD.</v>
      </c>
      <c r="E2475" s="2" t="str">
        <f>IFERROR(__xludf.DUMMYFUNCTION("""COMPUTED_VALUE"""),"GOURIPUR SME")</f>
        <v>GOURIPUR SME</v>
      </c>
      <c r="F2475" s="3">
        <f>IFERROR(__xludf.DUMMYFUNCTION("""COMPUTED_VALUE"""),212.0)</f>
        <v>212</v>
      </c>
      <c r="G2475" s="5">
        <f>IFERROR(__xludf.DUMMYFUNCTION("""COMPUTED_VALUE"""),6.0192129E7)</f>
        <v>60192129</v>
      </c>
    </row>
    <row r="2476">
      <c r="A2476" s="3">
        <f>IFERROR(__xludf.DUMMYFUNCTION("""COMPUTED_VALUE"""),119.0)</f>
        <v>119</v>
      </c>
      <c r="B2476" s="2" t="str">
        <f>IFERROR(__xludf.DUMMYFUNCTION("""COMPUTED_VALUE"""),"COMILLA")</f>
        <v>COMILLA</v>
      </c>
      <c r="C2476" s="4">
        <f>IFERROR(__xludf.DUMMYFUNCTION("""COMPUTED_VALUE"""),60.0)</f>
        <v>60</v>
      </c>
      <c r="D2476" s="2" t="str">
        <f>IFERROR(__xludf.DUMMYFUNCTION("""COMPUTED_VALUE"""),"BRAC BANK LTD.")</f>
        <v>BRAC BANK LTD.</v>
      </c>
      <c r="E2476" s="2" t="str">
        <f>IFERROR(__xludf.DUMMYFUNCTION("""COMPUTED_VALUE"""),"LAKSAM")</f>
        <v>LAKSAM</v>
      </c>
      <c r="F2476" s="3">
        <f>IFERROR(__xludf.DUMMYFUNCTION("""COMPUTED_VALUE"""),271.0)</f>
        <v>271</v>
      </c>
      <c r="G2476" s="5">
        <f>IFERROR(__xludf.DUMMYFUNCTION("""COMPUTED_VALUE"""),6.0192716E7)</f>
        <v>60192716</v>
      </c>
    </row>
    <row r="2477">
      <c r="A2477" s="3">
        <f>IFERROR(__xludf.DUMMYFUNCTION("""COMPUTED_VALUE"""),222.0)</f>
        <v>222</v>
      </c>
      <c r="B2477" s="2" t="str">
        <f>IFERROR(__xludf.DUMMYFUNCTION("""COMPUTED_VALUE"""),"COXS BAZAR")</f>
        <v>COXS BAZAR</v>
      </c>
      <c r="C2477" s="4">
        <f>IFERROR(__xludf.DUMMYFUNCTION("""COMPUTED_VALUE"""),60.0)</f>
        <v>60</v>
      </c>
      <c r="D2477" s="2" t="str">
        <f>IFERROR(__xludf.DUMMYFUNCTION("""COMPUTED_VALUE"""),"BRAC BANK LTD.")</f>
        <v>BRAC BANK LTD.</v>
      </c>
      <c r="E2477" s="2" t="str">
        <f>IFERROR(__xludf.DUMMYFUNCTION("""COMPUTED_VALUE"""),"CHAKARIA")</f>
        <v>CHAKARIA</v>
      </c>
      <c r="F2477" s="3">
        <f>IFERROR(__xludf.DUMMYFUNCTION("""COMPUTED_VALUE"""),16.0)</f>
        <v>16</v>
      </c>
      <c r="G2477" s="5">
        <f>IFERROR(__xludf.DUMMYFUNCTION("""COMPUTED_VALUE"""),6.0220167E7)</f>
        <v>60220167</v>
      </c>
    </row>
    <row r="2478">
      <c r="A2478" s="3">
        <f>IFERROR(__xludf.DUMMYFUNCTION("""COMPUTED_VALUE"""),222.0)</f>
        <v>222</v>
      </c>
      <c r="B2478" s="2" t="str">
        <f>IFERROR(__xludf.DUMMYFUNCTION("""COMPUTED_VALUE"""),"COXS BAZAR")</f>
        <v>COXS BAZAR</v>
      </c>
      <c r="C2478" s="4">
        <f>IFERROR(__xludf.DUMMYFUNCTION("""COMPUTED_VALUE"""),60.0)</f>
        <v>60</v>
      </c>
      <c r="D2478" s="2" t="str">
        <f>IFERROR(__xludf.DUMMYFUNCTION("""COMPUTED_VALUE"""),"BRAC BANK LTD.")</f>
        <v>BRAC BANK LTD.</v>
      </c>
      <c r="E2478" s="2" t="str">
        <f>IFERROR(__xludf.DUMMYFUNCTION("""COMPUTED_VALUE"""),"COXS BAZAR")</f>
        <v>COXS BAZAR</v>
      </c>
      <c r="F2478" s="3">
        <f>IFERROR(__xludf.DUMMYFUNCTION("""COMPUTED_VALUE"""),25.0)</f>
        <v>25</v>
      </c>
      <c r="G2478" s="5">
        <f>IFERROR(__xludf.DUMMYFUNCTION("""COMPUTED_VALUE"""),6.0220259E7)</f>
        <v>60220259</v>
      </c>
    </row>
    <row r="2479">
      <c r="A2479" s="3">
        <f>IFERROR(__xludf.DUMMYFUNCTION("""COMPUTED_VALUE"""),126.0)</f>
        <v>126</v>
      </c>
      <c r="B2479" s="2" t="str">
        <f>IFERROR(__xludf.DUMMYFUNCTION("""COMPUTED_VALUE"""),"DHAKA-NORTH")</f>
        <v>DHAKA-NORTH</v>
      </c>
      <c r="C2479" s="4">
        <f>IFERROR(__xludf.DUMMYFUNCTION("""COMPUTED_VALUE"""),60.0)</f>
        <v>60</v>
      </c>
      <c r="D2479" s="2" t="str">
        <f>IFERROR(__xludf.DUMMYFUNCTION("""COMPUTED_VALUE"""),"BRAC BANK LTD.")</f>
        <v>BRAC BANK LTD.</v>
      </c>
      <c r="E2479" s="2" t="str">
        <f>IFERROR(__xludf.DUMMYFUNCTION("""COMPUTED_VALUE"""),"ASHKONA")</f>
        <v>ASHKONA</v>
      </c>
      <c r="F2479" s="3">
        <f>IFERROR(__xludf.DUMMYFUNCTION("""COMPUTED_VALUE"""),20.0)</f>
        <v>20</v>
      </c>
      <c r="G2479" s="5">
        <f>IFERROR(__xludf.DUMMYFUNCTION("""COMPUTED_VALUE"""),6.0260206E7)</f>
        <v>60260206</v>
      </c>
    </row>
    <row r="2480">
      <c r="A2480" s="3">
        <f>IFERROR(__xludf.DUMMYFUNCTION("""COMPUTED_VALUE"""),126.0)</f>
        <v>126</v>
      </c>
      <c r="B2480" s="2" t="str">
        <f>IFERROR(__xludf.DUMMYFUNCTION("""COMPUTED_VALUE"""),"DHAKA-NORTH")</f>
        <v>DHAKA-NORTH</v>
      </c>
      <c r="C2480" s="4">
        <f>IFERROR(__xludf.DUMMYFUNCTION("""COMPUTED_VALUE"""),60.0)</f>
        <v>60</v>
      </c>
      <c r="D2480" s="2" t="str">
        <f>IFERROR(__xludf.DUMMYFUNCTION("""COMPUTED_VALUE"""),"BRAC BANK LTD.")</f>
        <v>BRAC BANK LTD.</v>
      </c>
      <c r="E2480" s="2" t="str">
        <f>IFERROR(__xludf.DUMMYFUNCTION("""COMPUTED_VALUE"""),"ASHULIA")</f>
        <v>ASHULIA</v>
      </c>
      <c r="F2480" s="3">
        <f>IFERROR(__xludf.DUMMYFUNCTION("""COMPUTED_VALUE"""),22.0)</f>
        <v>22</v>
      </c>
      <c r="G2480" s="5">
        <f>IFERROR(__xludf.DUMMYFUNCTION("""COMPUTED_VALUE"""),6.0260222E7)</f>
        <v>60260222</v>
      </c>
    </row>
    <row r="2481">
      <c r="A2481" s="3">
        <f>IFERROR(__xludf.DUMMYFUNCTION("""COMPUTED_VALUE"""),126.0)</f>
        <v>126</v>
      </c>
      <c r="B2481" s="2" t="str">
        <f>IFERROR(__xludf.DUMMYFUNCTION("""COMPUTED_VALUE"""),"DHAKA-NORTH")</f>
        <v>DHAKA-NORTH</v>
      </c>
      <c r="C2481" s="4">
        <f>IFERROR(__xludf.DUMMYFUNCTION("""COMPUTED_VALUE"""),60.0)</f>
        <v>60</v>
      </c>
      <c r="D2481" s="2" t="str">
        <f>IFERROR(__xludf.DUMMYFUNCTION("""COMPUTED_VALUE"""),"BRAC BANK LTD.")</f>
        <v>BRAC BANK LTD.</v>
      </c>
      <c r="E2481" s="2" t="str">
        <f>IFERROR(__xludf.DUMMYFUNCTION("""COMPUTED_VALUE"""),"BADDA SME")</f>
        <v>BADDA SME</v>
      </c>
      <c r="F2481" s="3">
        <f>IFERROR(__xludf.DUMMYFUNCTION("""COMPUTED_VALUE"""),35.0)</f>
        <v>35</v>
      </c>
      <c r="G2481" s="5">
        <f>IFERROR(__xludf.DUMMYFUNCTION("""COMPUTED_VALUE"""),6.0260356E7)</f>
        <v>60260356</v>
      </c>
    </row>
    <row r="2482">
      <c r="A2482" s="3">
        <f>IFERROR(__xludf.DUMMYFUNCTION("""COMPUTED_VALUE"""),126.0)</f>
        <v>126</v>
      </c>
      <c r="B2482" s="2" t="str">
        <f>IFERROR(__xludf.DUMMYFUNCTION("""COMPUTED_VALUE"""),"DHAKA-NORTH")</f>
        <v>DHAKA-NORTH</v>
      </c>
      <c r="C2482" s="4">
        <f>IFERROR(__xludf.DUMMYFUNCTION("""COMPUTED_VALUE"""),60.0)</f>
        <v>60</v>
      </c>
      <c r="D2482" s="2" t="str">
        <f>IFERROR(__xludf.DUMMYFUNCTION("""COMPUTED_VALUE"""),"BRAC BANK LTD.")</f>
        <v>BRAC BANK LTD.</v>
      </c>
      <c r="E2482" s="2" t="str">
        <f>IFERROR(__xludf.DUMMYFUNCTION("""COMPUTED_VALUE"""),"UTTARA JASHIM UDDIN AVENUE")</f>
        <v>UTTARA JASHIM UDDIN AVENUE</v>
      </c>
      <c r="F2482" s="3">
        <f>IFERROR(__xludf.DUMMYFUNCTION("""COMPUTED_VALUE"""),38.0)</f>
        <v>38</v>
      </c>
      <c r="G2482" s="5">
        <f>IFERROR(__xludf.DUMMYFUNCTION("""COMPUTED_VALUE"""),6.0260385E7)</f>
        <v>60260385</v>
      </c>
    </row>
    <row r="2483">
      <c r="A2483" s="3">
        <f>IFERROR(__xludf.DUMMYFUNCTION("""COMPUTED_VALUE"""),126.0)</f>
        <v>126</v>
      </c>
      <c r="B2483" s="2" t="str">
        <f>IFERROR(__xludf.DUMMYFUNCTION("""COMPUTED_VALUE"""),"DHAKA-NORTH")</f>
        <v>DHAKA-NORTH</v>
      </c>
      <c r="C2483" s="4">
        <f>IFERROR(__xludf.DUMMYFUNCTION("""COMPUTED_VALUE"""),60.0)</f>
        <v>60</v>
      </c>
      <c r="D2483" s="2" t="str">
        <f>IFERROR(__xludf.DUMMYFUNCTION("""COMPUTED_VALUE"""),"BRAC BANK LTD.")</f>
        <v>BRAC BANK LTD.</v>
      </c>
      <c r="E2483" s="2" t="str">
        <f>IFERROR(__xludf.DUMMYFUNCTION("""COMPUTED_VALUE"""),"BANANI")</f>
        <v>BANANI</v>
      </c>
      <c r="F2483" s="3">
        <f>IFERROR(__xludf.DUMMYFUNCTION("""COMPUTED_VALUE"""),43.0)</f>
        <v>43</v>
      </c>
      <c r="G2483" s="5">
        <f>IFERROR(__xludf.DUMMYFUNCTION("""COMPUTED_VALUE"""),6.0260435E7)</f>
        <v>60260435</v>
      </c>
    </row>
    <row r="2484">
      <c r="A2484" s="3">
        <f>IFERROR(__xludf.DUMMYFUNCTION("""COMPUTED_VALUE"""),126.0)</f>
        <v>126</v>
      </c>
      <c r="B2484" s="2" t="str">
        <f>IFERROR(__xludf.DUMMYFUNCTION("""COMPUTED_VALUE"""),"DHAKA-NORTH")</f>
        <v>DHAKA-NORTH</v>
      </c>
      <c r="C2484" s="4">
        <f>IFERROR(__xludf.DUMMYFUNCTION("""COMPUTED_VALUE"""),60.0)</f>
        <v>60</v>
      </c>
      <c r="D2484" s="2" t="str">
        <f>IFERROR(__xludf.DUMMYFUNCTION("""COMPUTED_VALUE"""),"BRAC BANK LTD.")</f>
        <v>BRAC BANK LTD.</v>
      </c>
      <c r="E2484" s="2" t="str">
        <f>IFERROR(__xludf.DUMMYFUNCTION("""COMPUTED_VALUE"""),"HEMAYET PUR")</f>
        <v>HEMAYET PUR</v>
      </c>
      <c r="F2484" s="3">
        <f>IFERROR(__xludf.DUMMYFUNCTION("""COMPUTED_VALUE"""),50.0)</f>
        <v>50</v>
      </c>
      <c r="G2484" s="5">
        <f>IFERROR(__xludf.DUMMYFUNCTION("""COMPUTED_VALUE"""),6.0260501E7)</f>
        <v>60260501</v>
      </c>
    </row>
    <row r="2485">
      <c r="A2485" s="3">
        <f>IFERROR(__xludf.DUMMYFUNCTION("""COMPUTED_VALUE"""),126.0)</f>
        <v>126</v>
      </c>
      <c r="B2485" s="2" t="str">
        <f>IFERROR(__xludf.DUMMYFUNCTION("""COMPUTED_VALUE"""),"DHAKA-NORTH")</f>
        <v>DHAKA-NORTH</v>
      </c>
      <c r="C2485" s="4">
        <f>IFERROR(__xludf.DUMMYFUNCTION("""COMPUTED_VALUE"""),60.0)</f>
        <v>60</v>
      </c>
      <c r="D2485" s="2" t="str">
        <f>IFERROR(__xludf.DUMMYFUNCTION("""COMPUTED_VALUE"""),"BRAC BANK LTD.")</f>
        <v>BRAC BANK LTD.</v>
      </c>
      <c r="E2485" s="2" t="str">
        <f>IFERROR(__xludf.DUMMYFUNCTION("""COMPUTED_VALUE"""),"BASHUNDHARA")</f>
        <v>BASHUNDHARA</v>
      </c>
      <c r="F2485" s="3">
        <f>IFERROR(__xludf.DUMMYFUNCTION("""COMPUTED_VALUE"""),55.0)</f>
        <v>55</v>
      </c>
      <c r="G2485" s="5">
        <f>IFERROR(__xludf.DUMMYFUNCTION("""COMPUTED_VALUE"""),6.0260556E7)</f>
        <v>60260556</v>
      </c>
    </row>
    <row r="2486">
      <c r="A2486" s="3">
        <f>IFERROR(__xludf.DUMMYFUNCTION("""COMPUTED_VALUE"""),126.0)</f>
        <v>126</v>
      </c>
      <c r="B2486" s="2" t="str">
        <f>IFERROR(__xludf.DUMMYFUNCTION("""COMPUTED_VALUE"""),"DHAKA-NORTH")</f>
        <v>DHAKA-NORTH</v>
      </c>
      <c r="C2486" s="4">
        <f>IFERROR(__xludf.DUMMYFUNCTION("""COMPUTED_VALUE"""),60.0)</f>
        <v>60</v>
      </c>
      <c r="D2486" s="2" t="str">
        <f>IFERROR(__xludf.DUMMYFUNCTION("""COMPUTED_VALUE"""),"BRAC BANK LTD.")</f>
        <v>BRAC BANK LTD.</v>
      </c>
      <c r="E2486" s="2" t="str">
        <f>IFERROR(__xludf.DUMMYFUNCTION("""COMPUTED_VALUE"""),"BEGUM ROKEYA SAWRANI")</f>
        <v>BEGUM ROKEYA SAWRANI</v>
      </c>
      <c r="F2486" s="3">
        <f>IFERROR(__xludf.DUMMYFUNCTION("""COMPUTED_VALUE"""),67.0)</f>
        <v>67</v>
      </c>
      <c r="G2486" s="5">
        <f>IFERROR(__xludf.DUMMYFUNCTION("""COMPUTED_VALUE"""),6.0260677E7)</f>
        <v>60260677</v>
      </c>
    </row>
    <row r="2487">
      <c r="A2487" s="3">
        <f>IFERROR(__xludf.DUMMYFUNCTION("""COMPUTED_VALUE"""),126.0)</f>
        <v>126</v>
      </c>
      <c r="B2487" s="2" t="str">
        <f>IFERROR(__xludf.DUMMYFUNCTION("""COMPUTED_VALUE"""),"DHAKA-NORTH")</f>
        <v>DHAKA-NORTH</v>
      </c>
      <c r="C2487" s="4">
        <f>IFERROR(__xludf.DUMMYFUNCTION("""COMPUTED_VALUE"""),60.0)</f>
        <v>60</v>
      </c>
      <c r="D2487" s="2" t="str">
        <f>IFERROR(__xludf.DUMMYFUNCTION("""COMPUTED_VALUE"""),"BRAC BANK LTD.")</f>
        <v>BRAC BANK LTD.</v>
      </c>
      <c r="E2487" s="2" t="str">
        <f>IFERROR(__xludf.DUMMYFUNCTION("""COMPUTED_VALUE"""),"BANANI-11")</f>
        <v>BANANI-11</v>
      </c>
      <c r="F2487" s="3">
        <f>IFERROR(__xludf.DUMMYFUNCTION("""COMPUTED_VALUE"""),68.0)</f>
        <v>68</v>
      </c>
      <c r="G2487" s="5">
        <f>IFERROR(__xludf.DUMMYFUNCTION("""COMPUTED_VALUE"""),6.026068E7)</f>
        <v>60260680</v>
      </c>
    </row>
    <row r="2488">
      <c r="A2488" s="3">
        <f>IFERROR(__xludf.DUMMYFUNCTION("""COMPUTED_VALUE"""),126.0)</f>
        <v>126</v>
      </c>
      <c r="B2488" s="2" t="str">
        <f>IFERROR(__xludf.DUMMYFUNCTION("""COMPUTED_VALUE"""),"DHAKA-NORTH")</f>
        <v>DHAKA-NORTH</v>
      </c>
      <c r="C2488" s="4">
        <f>IFERROR(__xludf.DUMMYFUNCTION("""COMPUTED_VALUE"""),60.0)</f>
        <v>60</v>
      </c>
      <c r="D2488" s="2" t="str">
        <f>IFERROR(__xludf.DUMMYFUNCTION("""COMPUTED_VALUE"""),"BRAC BANK LTD.")</f>
        <v>BRAC BANK LTD.</v>
      </c>
      <c r="E2488" s="2" t="str">
        <f>IFERROR(__xludf.DUMMYFUNCTION("""COMPUTED_VALUE"""),"BONOSREE")</f>
        <v>BONOSREE</v>
      </c>
      <c r="F2488" s="3">
        <f>IFERROR(__xludf.DUMMYFUNCTION("""COMPUTED_VALUE"""),72.0)</f>
        <v>72</v>
      </c>
      <c r="G2488" s="5">
        <f>IFERROR(__xludf.DUMMYFUNCTION("""COMPUTED_VALUE"""),6.0260727E7)</f>
        <v>60260727</v>
      </c>
    </row>
    <row r="2489">
      <c r="A2489" s="3">
        <f>IFERROR(__xludf.DUMMYFUNCTION("""COMPUTED_VALUE"""),126.0)</f>
        <v>126</v>
      </c>
      <c r="B2489" s="2" t="str">
        <f>IFERROR(__xludf.DUMMYFUNCTION("""COMPUTED_VALUE"""),"DHAKA-NORTH")</f>
        <v>DHAKA-NORTH</v>
      </c>
      <c r="C2489" s="4">
        <f>IFERROR(__xludf.DUMMYFUNCTION("""COMPUTED_VALUE"""),60.0)</f>
        <v>60</v>
      </c>
      <c r="D2489" s="2" t="str">
        <f>IFERROR(__xludf.DUMMYFUNCTION("""COMPUTED_VALUE"""),"BRAC BANK LTD.")</f>
        <v>BRAC BANK LTD.</v>
      </c>
      <c r="E2489" s="2" t="str">
        <f>IFERROR(__xludf.DUMMYFUNCTION("""COMPUTED_VALUE"""),"DAKSHIN KHAN")</f>
        <v>DAKSHIN KHAN</v>
      </c>
      <c r="F2489" s="3">
        <f>IFERROR(__xludf.DUMMYFUNCTION("""COMPUTED_VALUE"""),91.0)</f>
        <v>91</v>
      </c>
      <c r="G2489" s="5">
        <f>IFERROR(__xludf.DUMMYFUNCTION("""COMPUTED_VALUE"""),6.0260914E7)</f>
        <v>60260914</v>
      </c>
    </row>
    <row r="2490">
      <c r="A2490" s="3">
        <f>IFERROR(__xludf.DUMMYFUNCTION("""COMPUTED_VALUE"""),126.0)</f>
        <v>126</v>
      </c>
      <c r="B2490" s="2" t="str">
        <f>IFERROR(__xludf.DUMMYFUNCTION("""COMPUTED_VALUE"""),"DHAKA-NORTH")</f>
        <v>DHAKA-NORTH</v>
      </c>
      <c r="C2490" s="4">
        <f>IFERROR(__xludf.DUMMYFUNCTION("""COMPUTED_VALUE"""),60.0)</f>
        <v>60</v>
      </c>
      <c r="D2490" s="2" t="str">
        <f>IFERROR(__xludf.DUMMYFUNCTION("""COMPUTED_VALUE"""),"BRAC BANK LTD.")</f>
        <v>BRAC BANK LTD.</v>
      </c>
      <c r="E2490" s="2" t="str">
        <f>IFERROR(__xludf.DUMMYFUNCTION("""COMPUTED_VALUE"""),"ASAD GATE")</f>
        <v>ASAD GATE</v>
      </c>
      <c r="F2490" s="3">
        <f>IFERROR(__xludf.DUMMYFUNCTION("""COMPUTED_VALUE"""),118.0)</f>
        <v>118</v>
      </c>
      <c r="G2490" s="5">
        <f>IFERROR(__xludf.DUMMYFUNCTION("""COMPUTED_VALUE"""),6.0261184E7)</f>
        <v>60261184</v>
      </c>
    </row>
    <row r="2491">
      <c r="A2491" s="3">
        <f>IFERROR(__xludf.DUMMYFUNCTION("""COMPUTED_VALUE"""),126.0)</f>
        <v>126</v>
      </c>
      <c r="B2491" s="2" t="str">
        <f>IFERROR(__xludf.DUMMYFUNCTION("""COMPUTED_VALUE"""),"DHAKA-NORTH")</f>
        <v>DHAKA-NORTH</v>
      </c>
      <c r="C2491" s="4">
        <f>IFERROR(__xludf.DUMMYFUNCTION("""COMPUTED_VALUE"""),60.0)</f>
        <v>60</v>
      </c>
      <c r="D2491" s="2" t="str">
        <f>IFERROR(__xludf.DUMMYFUNCTION("""COMPUTED_VALUE"""),"BRAC BANK LTD.")</f>
        <v>BRAC BANK LTD.</v>
      </c>
      <c r="E2491" s="2" t="str">
        <f>IFERROR(__xludf.DUMMYFUNCTION("""COMPUTED_VALUE"""),"DHANMONDI")</f>
        <v>DHANMONDI</v>
      </c>
      <c r="F2491" s="3">
        <f>IFERROR(__xludf.DUMMYFUNCTION("""COMPUTED_VALUE"""),120.0)</f>
        <v>120</v>
      </c>
      <c r="G2491" s="5">
        <f>IFERROR(__xludf.DUMMYFUNCTION("""COMPUTED_VALUE"""),6.0261205E7)</f>
        <v>60261205</v>
      </c>
    </row>
    <row r="2492">
      <c r="A2492" s="3">
        <f>IFERROR(__xludf.DUMMYFUNCTION("""COMPUTED_VALUE"""),126.0)</f>
        <v>126</v>
      </c>
      <c r="B2492" s="2" t="str">
        <f>IFERROR(__xludf.DUMMYFUNCTION("""COMPUTED_VALUE"""),"DHAKA-NORTH")</f>
        <v>DHAKA-NORTH</v>
      </c>
      <c r="C2492" s="4">
        <f>IFERROR(__xludf.DUMMYFUNCTION("""COMPUTED_VALUE"""),60.0)</f>
        <v>60</v>
      </c>
      <c r="D2492" s="2" t="str">
        <f>IFERROR(__xludf.DUMMYFUNCTION("""COMPUTED_VALUE"""),"BRAC BANK LTD.")</f>
        <v>BRAC BANK LTD.</v>
      </c>
      <c r="E2492" s="2" t="str">
        <f>IFERROR(__xludf.DUMMYFUNCTION("""COMPUTED_VALUE"""),"ELEPHANT ROAD")</f>
        <v>ELEPHANT ROAD</v>
      </c>
      <c r="F2492" s="3">
        <f>IFERROR(__xludf.DUMMYFUNCTION("""COMPUTED_VALUE"""),133.0)</f>
        <v>133</v>
      </c>
      <c r="G2492" s="5">
        <f>IFERROR(__xludf.DUMMYFUNCTION("""COMPUTED_VALUE"""),6.0261339E7)</f>
        <v>60261339</v>
      </c>
    </row>
    <row r="2493">
      <c r="A2493" s="3">
        <f>IFERROR(__xludf.DUMMYFUNCTION("""COMPUTED_VALUE"""),126.0)</f>
        <v>126</v>
      </c>
      <c r="B2493" s="2" t="str">
        <f>IFERROR(__xludf.DUMMYFUNCTION("""COMPUTED_VALUE"""),"DHAKA-NORTH")</f>
        <v>DHAKA-NORTH</v>
      </c>
      <c r="C2493" s="4">
        <f>IFERROR(__xludf.DUMMYFUNCTION("""COMPUTED_VALUE"""),60.0)</f>
        <v>60</v>
      </c>
      <c r="D2493" s="2" t="str">
        <f>IFERROR(__xludf.DUMMYFUNCTION("""COMPUTED_VALUE"""),"BRAC BANK LTD.")</f>
        <v>BRAC BANK LTD.</v>
      </c>
      <c r="E2493" s="2" t="str">
        <f>IFERROR(__xludf.DUMMYFUNCTION("""COMPUTED_VALUE"""),"ELEPHANT ROAD SME")</f>
        <v>ELEPHANT ROAD SME</v>
      </c>
      <c r="F2493" s="3">
        <f>IFERROR(__xludf.DUMMYFUNCTION("""COMPUTED_VALUE"""),135.0)</f>
        <v>135</v>
      </c>
      <c r="G2493" s="5">
        <f>IFERROR(__xludf.DUMMYFUNCTION("""COMPUTED_VALUE"""),6.0261355E7)</f>
        <v>60261355</v>
      </c>
    </row>
    <row r="2494">
      <c r="A2494" s="3">
        <f>IFERROR(__xludf.DUMMYFUNCTION("""COMPUTED_VALUE"""),126.0)</f>
        <v>126</v>
      </c>
      <c r="B2494" s="2" t="str">
        <f>IFERROR(__xludf.DUMMYFUNCTION("""COMPUTED_VALUE"""),"DHAKA-NORTH")</f>
        <v>DHAKA-NORTH</v>
      </c>
      <c r="C2494" s="4">
        <f>IFERROR(__xludf.DUMMYFUNCTION("""COMPUTED_VALUE"""),60.0)</f>
        <v>60</v>
      </c>
      <c r="D2494" s="2" t="str">
        <f>IFERROR(__xludf.DUMMYFUNCTION("""COMPUTED_VALUE"""),"BRAC BANK LTD.")</f>
        <v>BRAC BANK LTD.</v>
      </c>
      <c r="E2494" s="2" t="str">
        <f>IFERROR(__xludf.DUMMYFUNCTION("""COMPUTED_VALUE"""),"ESKATON")</f>
        <v>ESKATON</v>
      </c>
      <c r="F2494" s="3">
        <f>IFERROR(__xludf.DUMMYFUNCTION("""COMPUTED_VALUE"""),139.0)</f>
        <v>139</v>
      </c>
      <c r="G2494" s="5">
        <f>IFERROR(__xludf.DUMMYFUNCTION("""COMPUTED_VALUE"""),6.0261397E7)</f>
        <v>60261397</v>
      </c>
    </row>
    <row r="2495">
      <c r="A2495" s="3">
        <f>IFERROR(__xludf.DUMMYFUNCTION("""COMPUTED_VALUE"""),126.0)</f>
        <v>126</v>
      </c>
      <c r="B2495" s="2" t="str">
        <f>IFERROR(__xludf.DUMMYFUNCTION("""COMPUTED_VALUE"""),"DHAKA-NORTH")</f>
        <v>DHAKA-NORTH</v>
      </c>
      <c r="C2495" s="4">
        <f>IFERROR(__xludf.DUMMYFUNCTION("""COMPUTED_VALUE"""),60.0)</f>
        <v>60</v>
      </c>
      <c r="D2495" s="2" t="str">
        <f>IFERROR(__xludf.DUMMYFUNCTION("""COMPUTED_VALUE"""),"BRAC BANK LTD.")</f>
        <v>BRAC BANK LTD.</v>
      </c>
      <c r="E2495" s="2" t="str">
        <f>IFERROR(__xludf.DUMMYFUNCTION("""COMPUTED_VALUE"""),"GULSHAN")</f>
        <v>GULSHAN</v>
      </c>
      <c r="F2495" s="3">
        <f>IFERROR(__xludf.DUMMYFUNCTION("""COMPUTED_VALUE"""),172.0)</f>
        <v>172</v>
      </c>
      <c r="G2495" s="5">
        <f>IFERROR(__xludf.DUMMYFUNCTION("""COMPUTED_VALUE"""),6.0261726E7)</f>
        <v>60261726</v>
      </c>
    </row>
    <row r="2496">
      <c r="A2496" s="3">
        <f>IFERROR(__xludf.DUMMYFUNCTION("""COMPUTED_VALUE"""),126.0)</f>
        <v>126</v>
      </c>
      <c r="B2496" s="2" t="str">
        <f>IFERROR(__xludf.DUMMYFUNCTION("""COMPUTED_VALUE"""),"DHAKA-NORTH")</f>
        <v>DHAKA-NORTH</v>
      </c>
      <c r="C2496" s="4">
        <f>IFERROR(__xludf.DUMMYFUNCTION("""COMPUTED_VALUE"""),60.0)</f>
        <v>60</v>
      </c>
      <c r="D2496" s="2" t="str">
        <f>IFERROR(__xludf.DUMMYFUNCTION("""COMPUTED_VALUE"""),"BRAC BANK LTD.")</f>
        <v>BRAC BANK LTD.</v>
      </c>
      <c r="E2496" s="2" t="str">
        <f>IFERROR(__xludf.DUMMYFUNCTION("""COMPUTED_VALUE"""),"GULSHAN NORTH")</f>
        <v>GULSHAN NORTH</v>
      </c>
      <c r="F2496" s="3">
        <f>IFERROR(__xludf.DUMMYFUNCTION("""COMPUTED_VALUE"""),187.0)</f>
        <v>187</v>
      </c>
      <c r="G2496" s="5">
        <f>IFERROR(__xludf.DUMMYFUNCTION("""COMPUTED_VALUE"""),6.0261876E7)</f>
        <v>60261876</v>
      </c>
    </row>
    <row r="2497">
      <c r="A2497" s="3">
        <f>IFERROR(__xludf.DUMMYFUNCTION("""COMPUTED_VALUE"""),126.0)</f>
        <v>126</v>
      </c>
      <c r="B2497" s="2" t="str">
        <f>IFERROR(__xludf.DUMMYFUNCTION("""COMPUTED_VALUE"""),"DHAKA-NORTH")</f>
        <v>DHAKA-NORTH</v>
      </c>
      <c r="C2497" s="4">
        <f>IFERROR(__xludf.DUMMYFUNCTION("""COMPUTED_VALUE"""),60.0)</f>
        <v>60</v>
      </c>
      <c r="D2497" s="2" t="str">
        <f>IFERROR(__xludf.DUMMYFUNCTION("""COMPUTED_VALUE"""),"BRAC BANK LTD.")</f>
        <v>BRAC BANK LTD.</v>
      </c>
      <c r="E2497" s="2" t="str">
        <f>IFERROR(__xludf.DUMMYFUNCTION("""COMPUTED_VALUE"""),"HAZARIBAGH SME")</f>
        <v>HAZARIBAGH SME</v>
      </c>
      <c r="F2497" s="3">
        <f>IFERROR(__xludf.DUMMYFUNCTION("""COMPUTED_VALUE"""),197.0)</f>
        <v>197</v>
      </c>
      <c r="G2497" s="5">
        <f>IFERROR(__xludf.DUMMYFUNCTION("""COMPUTED_VALUE"""),6.0261971E7)</f>
        <v>60261971</v>
      </c>
    </row>
    <row r="2498">
      <c r="A2498" s="3">
        <f>IFERROR(__xludf.DUMMYFUNCTION("""COMPUTED_VALUE"""),126.0)</f>
        <v>126</v>
      </c>
      <c r="B2498" s="2" t="str">
        <f>IFERROR(__xludf.DUMMYFUNCTION("""COMPUTED_VALUE"""),"DHAKA-NORTH")</f>
        <v>DHAKA-NORTH</v>
      </c>
      <c r="C2498" s="4">
        <f>IFERROR(__xludf.DUMMYFUNCTION("""COMPUTED_VALUE"""),60.0)</f>
        <v>60</v>
      </c>
      <c r="D2498" s="2" t="str">
        <f>IFERROR(__xludf.DUMMYFUNCTION("""COMPUTED_VALUE"""),"BRAC BANK LTD.")</f>
        <v>BRAC BANK LTD.</v>
      </c>
      <c r="E2498" s="2" t="str">
        <f>IFERROR(__xludf.DUMMYFUNCTION("""COMPUTED_VALUE"""),"MIRPUR SME")</f>
        <v>MIRPUR SME</v>
      </c>
      <c r="F2498" s="3">
        <f>IFERROR(__xludf.DUMMYFUNCTION("""COMPUTED_VALUE"""),199.0)</f>
        <v>199</v>
      </c>
      <c r="G2498" s="5">
        <f>IFERROR(__xludf.DUMMYFUNCTION("""COMPUTED_VALUE"""),6.0261997E7)</f>
        <v>60261997</v>
      </c>
    </row>
    <row r="2499">
      <c r="A2499" s="3">
        <f>IFERROR(__xludf.DUMMYFUNCTION("""COMPUTED_VALUE"""),126.0)</f>
        <v>126</v>
      </c>
      <c r="B2499" s="2" t="str">
        <f>IFERROR(__xludf.DUMMYFUNCTION("""COMPUTED_VALUE"""),"DHAKA-NORTH")</f>
        <v>DHAKA-NORTH</v>
      </c>
      <c r="C2499" s="4">
        <f>IFERROR(__xludf.DUMMYFUNCTION("""COMPUTED_VALUE"""),60.0)</f>
        <v>60</v>
      </c>
      <c r="D2499" s="2" t="str">
        <f>IFERROR(__xludf.DUMMYFUNCTION("""COMPUTED_VALUE"""),"BRAC BANK LTD.")</f>
        <v>BRAC BANK LTD.</v>
      </c>
      <c r="E2499" s="2" t="str">
        <f>IFERROR(__xludf.DUMMYFUNCTION("""COMPUTED_VALUE"""),"KARWAN BAZAR SME")</f>
        <v>KARWAN BAZAR SME</v>
      </c>
      <c r="F2499" s="3">
        <f>IFERROR(__xludf.DUMMYFUNCTION("""COMPUTED_VALUE"""),254.0)</f>
        <v>254</v>
      </c>
      <c r="G2499" s="5">
        <f>IFERROR(__xludf.DUMMYFUNCTION("""COMPUTED_VALUE"""),6.0262541E7)</f>
        <v>60262541</v>
      </c>
    </row>
    <row r="2500">
      <c r="A2500" s="3">
        <f>IFERROR(__xludf.DUMMYFUNCTION("""COMPUTED_VALUE"""),126.0)</f>
        <v>126</v>
      </c>
      <c r="B2500" s="2" t="str">
        <f>IFERROR(__xludf.DUMMYFUNCTION("""COMPUTED_VALUE"""),"DHAKA-NORTH")</f>
        <v>DHAKA-NORTH</v>
      </c>
      <c r="C2500" s="4">
        <f>IFERROR(__xludf.DUMMYFUNCTION("""COMPUTED_VALUE"""),60.0)</f>
        <v>60</v>
      </c>
      <c r="D2500" s="2" t="str">
        <f>IFERROR(__xludf.DUMMYFUNCTION("""COMPUTED_VALUE"""),"BRAC BANK LTD.")</f>
        <v>BRAC BANK LTD.</v>
      </c>
      <c r="E2500" s="2" t="str">
        <f>IFERROR(__xludf.DUMMYFUNCTION("""COMPUTED_VALUE"""),"MANDA")</f>
        <v>MANDA</v>
      </c>
      <c r="F2500" s="3">
        <f>IFERROR(__xludf.DUMMYFUNCTION("""COMPUTED_VALUE"""),287.0)</f>
        <v>287</v>
      </c>
      <c r="G2500" s="5">
        <f>IFERROR(__xludf.DUMMYFUNCTION("""COMPUTED_VALUE"""),6.0262875E7)</f>
        <v>60262875</v>
      </c>
    </row>
    <row r="2501">
      <c r="A2501" s="3">
        <f>IFERROR(__xludf.DUMMYFUNCTION("""COMPUTED_VALUE"""),126.0)</f>
        <v>126</v>
      </c>
      <c r="B2501" s="2" t="str">
        <f>IFERROR(__xludf.DUMMYFUNCTION("""COMPUTED_VALUE"""),"DHAKA-NORTH")</f>
        <v>DHAKA-NORTH</v>
      </c>
      <c r="C2501" s="4">
        <f>IFERROR(__xludf.DUMMYFUNCTION("""COMPUTED_VALUE"""),60.0)</f>
        <v>60</v>
      </c>
      <c r="D2501" s="2" t="str">
        <f>IFERROR(__xludf.DUMMYFUNCTION("""COMPUTED_VALUE"""),"BRAC BANK LTD.")</f>
        <v>BRAC BANK LTD.</v>
      </c>
      <c r="E2501" s="2" t="str">
        <f>IFERROR(__xludf.DUMMYFUNCTION("""COMPUTED_VALUE"""),"MIRPUR")</f>
        <v>MIRPUR</v>
      </c>
      <c r="F2501" s="3">
        <f>IFERROR(__xludf.DUMMYFUNCTION("""COMPUTED_VALUE"""),298.0)</f>
        <v>298</v>
      </c>
      <c r="G2501" s="5">
        <f>IFERROR(__xludf.DUMMYFUNCTION("""COMPUTED_VALUE"""),6.0262983E7)</f>
        <v>60262983</v>
      </c>
    </row>
    <row r="2502">
      <c r="A2502" s="3">
        <f>IFERROR(__xludf.DUMMYFUNCTION("""COMPUTED_VALUE"""),126.0)</f>
        <v>126</v>
      </c>
      <c r="B2502" s="2" t="str">
        <f>IFERROR(__xludf.DUMMYFUNCTION("""COMPUTED_VALUE"""),"DHAKA-NORTH")</f>
        <v>DHAKA-NORTH</v>
      </c>
      <c r="C2502" s="4">
        <f>IFERROR(__xludf.DUMMYFUNCTION("""COMPUTED_VALUE"""),60.0)</f>
        <v>60</v>
      </c>
      <c r="D2502" s="2" t="str">
        <f>IFERROR(__xludf.DUMMYFUNCTION("""COMPUTED_VALUE"""),"BRAC BANK LTD.")</f>
        <v>BRAC BANK LTD.</v>
      </c>
      <c r="E2502" s="2" t="str">
        <f>IFERROR(__xludf.DUMMYFUNCTION("""COMPUTED_VALUE"""),"MOHAMMADPUR SME")</f>
        <v>MOHAMMADPUR SME</v>
      </c>
      <c r="F2502" s="3">
        <f>IFERROR(__xludf.DUMMYFUNCTION("""COMPUTED_VALUE"""),329.0)</f>
        <v>329</v>
      </c>
      <c r="G2502" s="5">
        <f>IFERROR(__xludf.DUMMYFUNCTION("""COMPUTED_VALUE"""),6.026329E7)</f>
        <v>60263290</v>
      </c>
    </row>
    <row r="2503">
      <c r="A2503" s="3">
        <f>IFERROR(__xludf.DUMMYFUNCTION("""COMPUTED_VALUE"""),126.0)</f>
        <v>126</v>
      </c>
      <c r="B2503" s="2" t="str">
        <f>IFERROR(__xludf.DUMMYFUNCTION("""COMPUTED_VALUE"""),"DHAKA-NORTH")</f>
        <v>DHAKA-NORTH</v>
      </c>
      <c r="C2503" s="4">
        <f>IFERROR(__xludf.DUMMYFUNCTION("""COMPUTED_VALUE"""),60.0)</f>
        <v>60</v>
      </c>
      <c r="D2503" s="2" t="str">
        <f>IFERROR(__xludf.DUMMYFUNCTION("""COMPUTED_VALUE"""),"BRAC BANK LTD.")</f>
        <v>BRAC BANK LTD.</v>
      </c>
      <c r="E2503" s="2" t="str">
        <f>IFERROR(__xludf.DUMMYFUNCTION("""COMPUTED_VALUE"""),"NATUN BAZAR")</f>
        <v>NATUN BAZAR</v>
      </c>
      <c r="F2503" s="3">
        <f>IFERROR(__xludf.DUMMYFUNCTION("""COMPUTED_VALUE"""),342.0)</f>
        <v>342</v>
      </c>
      <c r="G2503" s="5">
        <f>IFERROR(__xludf.DUMMYFUNCTION("""COMPUTED_VALUE"""),6.0263429E7)</f>
        <v>60263429</v>
      </c>
    </row>
    <row r="2504">
      <c r="A2504" s="3">
        <f>IFERROR(__xludf.DUMMYFUNCTION("""COMPUTED_VALUE"""),126.0)</f>
        <v>126</v>
      </c>
      <c r="B2504" s="2" t="str">
        <f>IFERROR(__xludf.DUMMYFUNCTION("""COMPUTED_VALUE"""),"DHAKA-NORTH")</f>
        <v>DHAKA-NORTH</v>
      </c>
      <c r="C2504" s="4">
        <f>IFERROR(__xludf.DUMMYFUNCTION("""COMPUTED_VALUE"""),60.0)</f>
        <v>60</v>
      </c>
      <c r="D2504" s="2" t="str">
        <f>IFERROR(__xludf.DUMMYFUNCTION("""COMPUTED_VALUE"""),"BRAC BANK LTD.")</f>
        <v>BRAC BANK LTD.</v>
      </c>
      <c r="E2504" s="2" t="str">
        <f>IFERROR(__xludf.DUMMYFUNCTION("""COMPUTED_VALUE"""),"PANTHA PATH SME")</f>
        <v>PANTHA PATH SME</v>
      </c>
      <c r="F2504" s="3">
        <f>IFERROR(__xludf.DUMMYFUNCTION("""COMPUTED_VALUE"""),362.0)</f>
        <v>362</v>
      </c>
      <c r="G2504" s="5">
        <f>IFERROR(__xludf.DUMMYFUNCTION("""COMPUTED_VALUE"""),6.0263629E7)</f>
        <v>60263629</v>
      </c>
    </row>
    <row r="2505">
      <c r="A2505" s="3">
        <f>IFERROR(__xludf.DUMMYFUNCTION("""COMPUTED_VALUE"""),126.0)</f>
        <v>126</v>
      </c>
      <c r="B2505" s="2" t="str">
        <f>IFERROR(__xludf.DUMMYFUNCTION("""COMPUTED_VALUE"""),"DHAKA-NORTH")</f>
        <v>DHAKA-NORTH</v>
      </c>
      <c r="C2505" s="4">
        <f>IFERROR(__xludf.DUMMYFUNCTION("""COMPUTED_VALUE"""),60.0)</f>
        <v>60</v>
      </c>
      <c r="D2505" s="2" t="str">
        <f>IFERROR(__xludf.DUMMYFUNCTION("""COMPUTED_VALUE"""),"BRAC BANK LTD.")</f>
        <v>BRAC BANK LTD.</v>
      </c>
      <c r="E2505" s="2" t="str">
        <f>IFERROR(__xludf.DUMMYFUNCTION("""COMPUTED_VALUE"""),"SAVAR")</f>
        <v>SAVAR</v>
      </c>
      <c r="F2505" s="3">
        <f>IFERROR(__xludf.DUMMYFUNCTION("""COMPUTED_VALUE"""),409.0)</f>
        <v>409</v>
      </c>
      <c r="G2505" s="5">
        <f>IFERROR(__xludf.DUMMYFUNCTION("""COMPUTED_VALUE"""),6.0264099E7)</f>
        <v>60264099</v>
      </c>
    </row>
    <row r="2506">
      <c r="A2506" s="3">
        <f>IFERROR(__xludf.DUMMYFUNCTION("""COMPUTED_VALUE"""),126.0)</f>
        <v>126</v>
      </c>
      <c r="B2506" s="2" t="str">
        <f>IFERROR(__xludf.DUMMYFUNCTION("""COMPUTED_VALUE"""),"DHAKA-NORTH")</f>
        <v>DHAKA-NORTH</v>
      </c>
      <c r="C2506" s="4">
        <f>IFERROR(__xludf.DUMMYFUNCTION("""COMPUTED_VALUE"""),60.0)</f>
        <v>60</v>
      </c>
      <c r="D2506" s="2" t="str">
        <f>IFERROR(__xludf.DUMMYFUNCTION("""COMPUTED_VALUE"""),"BRAC BANK LTD.")</f>
        <v>BRAC BANK LTD.</v>
      </c>
      <c r="E2506" s="2" t="str">
        <f>IFERROR(__xludf.DUMMYFUNCTION("""COMPUTED_VALUE"""),"SHYAMALI")</f>
        <v>SHYAMALI</v>
      </c>
      <c r="F2506" s="3">
        <f>IFERROR(__xludf.DUMMYFUNCTION("""COMPUTED_VALUE"""),430.0)</f>
        <v>430</v>
      </c>
      <c r="G2506" s="5">
        <f>IFERROR(__xludf.DUMMYFUNCTION("""COMPUTED_VALUE"""),6.0264307E7)</f>
        <v>60264307</v>
      </c>
    </row>
    <row r="2507">
      <c r="A2507" s="3">
        <f>IFERROR(__xludf.DUMMYFUNCTION("""COMPUTED_VALUE"""),126.0)</f>
        <v>126</v>
      </c>
      <c r="B2507" s="2" t="str">
        <f>IFERROR(__xludf.DUMMYFUNCTION("""COMPUTED_VALUE"""),"DHAKA-NORTH")</f>
        <v>DHAKA-NORTH</v>
      </c>
      <c r="C2507" s="4">
        <f>IFERROR(__xludf.DUMMYFUNCTION("""COMPUTED_VALUE"""),60.0)</f>
        <v>60</v>
      </c>
      <c r="D2507" s="2" t="str">
        <f>IFERROR(__xludf.DUMMYFUNCTION("""COMPUTED_VALUE"""),"BRAC BANK LTD.")</f>
        <v>BRAC BANK LTD.</v>
      </c>
      <c r="E2507" s="2" t="str">
        <f>IFERROR(__xludf.DUMMYFUNCTION("""COMPUTED_VALUE"""),"UTTARA")</f>
        <v>UTTARA</v>
      </c>
      <c r="F2507" s="3">
        <f>IFERROR(__xludf.DUMMYFUNCTION("""COMPUTED_VALUE"""),463.0)</f>
        <v>463</v>
      </c>
      <c r="G2507" s="5">
        <f>IFERROR(__xludf.DUMMYFUNCTION("""COMPUTED_VALUE"""),6.0264631E7)</f>
        <v>60264631</v>
      </c>
    </row>
    <row r="2508">
      <c r="A2508" s="3">
        <f>IFERROR(__xludf.DUMMYFUNCTION("""COMPUTED_VALUE"""),126.0)</f>
        <v>126</v>
      </c>
      <c r="B2508" s="2" t="str">
        <f>IFERROR(__xludf.DUMMYFUNCTION("""COMPUTED_VALUE"""),"DHAKA-NORTH")</f>
        <v>DHAKA-NORTH</v>
      </c>
      <c r="C2508" s="4">
        <f>IFERROR(__xludf.DUMMYFUNCTION("""COMPUTED_VALUE"""),60.0)</f>
        <v>60</v>
      </c>
      <c r="D2508" s="2" t="str">
        <f>IFERROR(__xludf.DUMMYFUNCTION("""COMPUTED_VALUE"""),"BRAC BANK LTD.")</f>
        <v>BRAC BANK LTD.</v>
      </c>
      <c r="E2508" s="2" t="str">
        <f>IFERROR(__xludf.DUMMYFUNCTION("""COMPUTED_VALUE"""),"UTTARA SME")</f>
        <v>UTTARA SME</v>
      </c>
      <c r="F2508" s="3">
        <f>IFERROR(__xludf.DUMMYFUNCTION("""COMPUTED_VALUE"""),464.0)</f>
        <v>464</v>
      </c>
      <c r="G2508" s="5">
        <f>IFERROR(__xludf.DUMMYFUNCTION("""COMPUTED_VALUE"""),6.0264644E7)</f>
        <v>60264644</v>
      </c>
    </row>
    <row r="2509">
      <c r="A2509" s="3">
        <f>IFERROR(__xludf.DUMMYFUNCTION("""COMPUTED_VALUE"""),127.0)</f>
        <v>127</v>
      </c>
      <c r="B2509" s="2" t="str">
        <f>IFERROR(__xludf.DUMMYFUNCTION("""COMPUTED_VALUE"""),"DHAKA-SOUTH")</f>
        <v>DHAKA-SOUTH</v>
      </c>
      <c r="C2509" s="4">
        <f>IFERROR(__xludf.DUMMYFUNCTION("""COMPUTED_VALUE"""),60.0)</f>
        <v>60</v>
      </c>
      <c r="D2509" s="2" t="str">
        <f>IFERROR(__xludf.DUMMYFUNCTION("""COMPUTED_VALUE"""),"BRAC BANK LTD.")</f>
        <v>BRAC BANK LTD.</v>
      </c>
      <c r="E2509" s="2" t="str">
        <f>IFERROR(__xludf.DUMMYFUNCTION("""COMPUTED_VALUE"""),"TRUNCATION POINT")</f>
        <v>TRUNCATION POINT</v>
      </c>
      <c r="F2509" s="3">
        <f>IFERROR(__xludf.DUMMYFUNCTION("""COMPUTED_VALUE"""),0.0)</f>
        <v>0</v>
      </c>
      <c r="G2509" s="5">
        <f>IFERROR(__xludf.DUMMYFUNCTION("""COMPUTED_VALUE"""),6.0270009E7)</f>
        <v>60270009</v>
      </c>
    </row>
    <row r="2510">
      <c r="A2510" s="3">
        <f>IFERROR(__xludf.DUMMYFUNCTION("""COMPUTED_VALUE"""),127.0)</f>
        <v>127</v>
      </c>
      <c r="B2510" s="2" t="str">
        <f>IFERROR(__xludf.DUMMYFUNCTION("""COMPUTED_VALUE"""),"DHAKA-SOUTH")</f>
        <v>DHAKA-SOUTH</v>
      </c>
      <c r="C2510" s="4">
        <f>IFERROR(__xludf.DUMMYFUNCTION("""COMPUTED_VALUE"""),60.0)</f>
        <v>60</v>
      </c>
      <c r="D2510" s="2" t="str">
        <f>IFERROR(__xludf.DUMMYFUNCTION("""COMPUTED_VALUE"""),"BRAC BANK LTD.")</f>
        <v>BRAC BANK LTD.</v>
      </c>
      <c r="E2510" s="2" t="str">
        <f>IFERROR(__xludf.DUMMYFUNCTION("""COMPUTED_VALUE"""),"ATI BAZAR")</f>
        <v>ATI BAZAR</v>
      </c>
      <c r="F2510" s="3">
        <f>IFERROR(__xludf.DUMMYFUNCTION("""COMPUTED_VALUE"""),34.0)</f>
        <v>34</v>
      </c>
      <c r="G2510" s="5">
        <f>IFERROR(__xludf.DUMMYFUNCTION("""COMPUTED_VALUE"""),6.0270346E7)</f>
        <v>60270346</v>
      </c>
    </row>
    <row r="2511">
      <c r="A2511" s="3">
        <f>IFERROR(__xludf.DUMMYFUNCTION("""COMPUTED_VALUE"""),127.0)</f>
        <v>127</v>
      </c>
      <c r="B2511" s="2" t="str">
        <f>IFERROR(__xludf.DUMMYFUNCTION("""COMPUTED_VALUE"""),"DHAKA-SOUTH")</f>
        <v>DHAKA-SOUTH</v>
      </c>
      <c r="C2511" s="4">
        <f>IFERROR(__xludf.DUMMYFUNCTION("""COMPUTED_VALUE"""),60.0)</f>
        <v>60</v>
      </c>
      <c r="D2511" s="2" t="str">
        <f>IFERROR(__xludf.DUMMYFUNCTION("""COMPUTED_VALUE"""),"BRAC BANK LTD.")</f>
        <v>BRAC BANK LTD.</v>
      </c>
      <c r="E2511" s="2" t="str">
        <f>IFERROR(__xludf.DUMMYFUNCTION("""COMPUTED_VALUE"""),"BASHABOO SME")</f>
        <v>BASHABOO SME</v>
      </c>
      <c r="F2511" s="3">
        <f>IFERROR(__xludf.DUMMYFUNCTION("""COMPUTED_VALUE"""),98.0)</f>
        <v>98</v>
      </c>
      <c r="G2511" s="5">
        <f>IFERROR(__xludf.DUMMYFUNCTION("""COMPUTED_VALUE"""),6.0270988E7)</f>
        <v>60270988</v>
      </c>
    </row>
    <row r="2512">
      <c r="A2512" s="3">
        <f>IFERROR(__xludf.DUMMYFUNCTION("""COMPUTED_VALUE"""),127.0)</f>
        <v>127</v>
      </c>
      <c r="B2512" s="2" t="str">
        <f>IFERROR(__xludf.DUMMYFUNCTION("""COMPUTED_VALUE"""),"DHAKA-SOUTH")</f>
        <v>DHAKA-SOUTH</v>
      </c>
      <c r="C2512" s="4">
        <f>IFERROR(__xludf.DUMMYFUNCTION("""COMPUTED_VALUE"""),60.0)</f>
        <v>60</v>
      </c>
      <c r="D2512" s="2" t="str">
        <f>IFERROR(__xludf.DUMMYFUNCTION("""COMPUTED_VALUE"""),"BRAC BANK LTD.")</f>
        <v>BRAC BANK LTD.</v>
      </c>
      <c r="E2512" s="2" t="str">
        <f>IFERROR(__xludf.DUMMYFUNCTION("""COMPUTED_VALUE"""),"BIJOY NAGAR SME")</f>
        <v>BIJOY NAGAR SME</v>
      </c>
      <c r="F2512" s="3">
        <f>IFERROR(__xludf.DUMMYFUNCTION("""COMPUTED_VALUE"""),110.0)</f>
        <v>110</v>
      </c>
      <c r="G2512" s="5">
        <f>IFERROR(__xludf.DUMMYFUNCTION("""COMPUTED_VALUE"""),6.0271103E7)</f>
        <v>60271103</v>
      </c>
    </row>
    <row r="2513">
      <c r="A2513" s="3">
        <f>IFERROR(__xludf.DUMMYFUNCTION("""COMPUTED_VALUE"""),127.0)</f>
        <v>127</v>
      </c>
      <c r="B2513" s="2" t="str">
        <f>IFERROR(__xludf.DUMMYFUNCTION("""COMPUTED_VALUE"""),"DHAKA-SOUTH")</f>
        <v>DHAKA-SOUTH</v>
      </c>
      <c r="C2513" s="4">
        <f>IFERROR(__xludf.DUMMYFUNCTION("""COMPUTED_VALUE"""),60.0)</f>
        <v>60</v>
      </c>
      <c r="D2513" s="2" t="str">
        <f>IFERROR(__xludf.DUMMYFUNCTION("""COMPUTED_VALUE"""),"BRAC BANK LTD.")</f>
        <v>BRAC BANK LTD.</v>
      </c>
      <c r="E2513" s="2" t="str">
        <f>IFERROR(__xludf.DUMMYFUNCTION("""COMPUTED_VALUE"""),"DANIA")</f>
        <v>DANIA</v>
      </c>
      <c r="F2513" s="3">
        <f>IFERROR(__xludf.DUMMYFUNCTION("""COMPUTED_VALUE"""),142.0)</f>
        <v>142</v>
      </c>
      <c r="G2513" s="5">
        <f>IFERROR(__xludf.DUMMYFUNCTION("""COMPUTED_VALUE"""),6.0271424E7)</f>
        <v>60271424</v>
      </c>
    </row>
    <row r="2514">
      <c r="A2514" s="3">
        <f>IFERROR(__xludf.DUMMYFUNCTION("""COMPUTED_VALUE"""),127.0)</f>
        <v>127</v>
      </c>
      <c r="B2514" s="2" t="str">
        <f>IFERROR(__xludf.DUMMYFUNCTION("""COMPUTED_VALUE"""),"DHAKA-SOUTH")</f>
        <v>DHAKA-SOUTH</v>
      </c>
      <c r="C2514" s="4">
        <f>IFERROR(__xludf.DUMMYFUNCTION("""COMPUTED_VALUE"""),60.0)</f>
        <v>60</v>
      </c>
      <c r="D2514" s="2" t="str">
        <f>IFERROR(__xludf.DUMMYFUNCTION("""COMPUTED_VALUE"""),"BRAC BANK LTD.")</f>
        <v>BRAC BANK LTD.</v>
      </c>
      <c r="E2514" s="2" t="str">
        <f>IFERROR(__xludf.DUMMYFUNCTION("""COMPUTED_VALUE"""),"DEMRA SME")</f>
        <v>DEMRA SME</v>
      </c>
      <c r="F2514" s="3">
        <f>IFERROR(__xludf.DUMMYFUNCTION("""COMPUTED_VALUE"""),149.0)</f>
        <v>149</v>
      </c>
      <c r="G2514" s="5">
        <f>IFERROR(__xludf.DUMMYFUNCTION("""COMPUTED_VALUE"""),6.0271495E7)</f>
        <v>60271495</v>
      </c>
    </row>
    <row r="2515">
      <c r="A2515" s="3">
        <f>IFERROR(__xludf.DUMMYFUNCTION("""COMPUTED_VALUE"""),127.0)</f>
        <v>127</v>
      </c>
      <c r="B2515" s="2" t="str">
        <f>IFERROR(__xludf.DUMMYFUNCTION("""COMPUTED_VALUE"""),"DHAKA-SOUTH")</f>
        <v>DHAKA-SOUTH</v>
      </c>
      <c r="C2515" s="4">
        <f>IFERROR(__xludf.DUMMYFUNCTION("""COMPUTED_VALUE"""),60.0)</f>
        <v>60</v>
      </c>
      <c r="D2515" s="2" t="str">
        <f>IFERROR(__xludf.DUMMYFUNCTION("""COMPUTED_VALUE"""),"BRAC BANK LTD.")</f>
        <v>BRAC BANK LTD.</v>
      </c>
      <c r="E2515" s="2" t="str">
        <f>IFERROR(__xludf.DUMMYFUNCTION("""COMPUTED_VALUE"""),"DHOLAIKHAL SME")</f>
        <v>DHOLAIKHAL SME</v>
      </c>
      <c r="F2515" s="3">
        <f>IFERROR(__xludf.DUMMYFUNCTION("""COMPUTED_VALUE"""),184.0)</f>
        <v>184</v>
      </c>
      <c r="G2515" s="5">
        <f>IFERROR(__xludf.DUMMYFUNCTION("""COMPUTED_VALUE"""),6.027184E7)</f>
        <v>60271840</v>
      </c>
    </row>
    <row r="2516">
      <c r="A2516" s="3">
        <f>IFERROR(__xludf.DUMMYFUNCTION("""COMPUTED_VALUE"""),127.0)</f>
        <v>127</v>
      </c>
      <c r="B2516" s="2" t="str">
        <f>IFERROR(__xludf.DUMMYFUNCTION("""COMPUTED_VALUE"""),"DHAKA-SOUTH")</f>
        <v>DHAKA-SOUTH</v>
      </c>
      <c r="C2516" s="4">
        <f>IFERROR(__xludf.DUMMYFUNCTION("""COMPUTED_VALUE"""),60.0)</f>
        <v>60</v>
      </c>
      <c r="D2516" s="2" t="str">
        <f>IFERROR(__xludf.DUMMYFUNCTION("""COMPUTED_VALUE"""),"BRAC BANK LTD.")</f>
        <v>BRAC BANK LTD.</v>
      </c>
      <c r="E2516" s="2" t="str">
        <f>IFERROR(__xludf.DUMMYFUNCTION("""COMPUTED_VALUE"""),"DOHAR")</f>
        <v>DOHAR</v>
      </c>
      <c r="F2516" s="3">
        <f>IFERROR(__xludf.DUMMYFUNCTION("""COMPUTED_VALUE"""),205.0)</f>
        <v>205</v>
      </c>
      <c r="G2516" s="5">
        <f>IFERROR(__xludf.DUMMYFUNCTION("""COMPUTED_VALUE"""),6.0272052E7)</f>
        <v>60272052</v>
      </c>
    </row>
    <row r="2517">
      <c r="A2517" s="3">
        <f>IFERROR(__xludf.DUMMYFUNCTION("""COMPUTED_VALUE"""),127.0)</f>
        <v>127</v>
      </c>
      <c r="B2517" s="2" t="str">
        <f>IFERROR(__xludf.DUMMYFUNCTION("""COMPUTED_VALUE"""),"DHAKA-SOUTH")</f>
        <v>DHAKA-SOUTH</v>
      </c>
      <c r="C2517" s="4">
        <f>IFERROR(__xludf.DUMMYFUNCTION("""COMPUTED_VALUE"""),60.0)</f>
        <v>60</v>
      </c>
      <c r="D2517" s="2" t="str">
        <f>IFERROR(__xludf.DUMMYFUNCTION("""COMPUTED_VALUE"""),"BRAC BANK LTD.")</f>
        <v>BRAC BANK LTD.</v>
      </c>
      <c r="E2517" s="2" t="str">
        <f>IFERROR(__xludf.DUMMYFUNCTION("""COMPUTED_VALUE"""),"GANAKBARI")</f>
        <v>GANAKBARI</v>
      </c>
      <c r="F2517" s="3">
        <f>IFERROR(__xludf.DUMMYFUNCTION("""COMPUTED_VALUE"""),241.0)</f>
        <v>241</v>
      </c>
      <c r="G2517" s="5">
        <f>IFERROR(__xludf.DUMMYFUNCTION("""COMPUTED_VALUE"""),6.027241E7)</f>
        <v>60272410</v>
      </c>
    </row>
    <row r="2518">
      <c r="A2518" s="3">
        <f>IFERROR(__xludf.DUMMYFUNCTION("""COMPUTED_VALUE"""),127.0)</f>
        <v>127</v>
      </c>
      <c r="B2518" s="2" t="str">
        <f>IFERROR(__xludf.DUMMYFUNCTION("""COMPUTED_VALUE"""),"DHAKA-SOUTH")</f>
        <v>DHAKA-SOUTH</v>
      </c>
      <c r="C2518" s="4">
        <f>IFERROR(__xludf.DUMMYFUNCTION("""COMPUTED_VALUE"""),60.0)</f>
        <v>60</v>
      </c>
      <c r="D2518" s="2" t="str">
        <f>IFERROR(__xludf.DUMMYFUNCTION("""COMPUTED_VALUE"""),"BRAC BANK LTD.")</f>
        <v>BRAC BANK LTD.</v>
      </c>
      <c r="E2518" s="2" t="str">
        <f>IFERROR(__xludf.DUMMYFUNCTION("""COMPUTED_VALUE"""),"GANDARIA")</f>
        <v>GANDARIA</v>
      </c>
      <c r="F2518" s="3">
        <f>IFERROR(__xludf.DUMMYFUNCTION("""COMPUTED_VALUE"""),244.0)</f>
        <v>244</v>
      </c>
      <c r="G2518" s="5">
        <f>IFERROR(__xludf.DUMMYFUNCTION("""COMPUTED_VALUE"""),6.0272449E7)</f>
        <v>60272449</v>
      </c>
    </row>
    <row r="2519">
      <c r="A2519" s="3">
        <f>IFERROR(__xludf.DUMMYFUNCTION("""COMPUTED_VALUE"""),127.0)</f>
        <v>127</v>
      </c>
      <c r="B2519" s="2" t="str">
        <f>IFERROR(__xludf.DUMMYFUNCTION("""COMPUTED_VALUE"""),"DHAKA-SOUTH")</f>
        <v>DHAKA-SOUTH</v>
      </c>
      <c r="C2519" s="4">
        <f>IFERROR(__xludf.DUMMYFUNCTION("""COMPUTED_VALUE"""),60.0)</f>
        <v>60</v>
      </c>
      <c r="D2519" s="2" t="str">
        <f>IFERROR(__xludf.DUMMYFUNCTION("""COMPUTED_VALUE"""),"BRAC BANK LTD.")</f>
        <v>BRAC BANK LTD.</v>
      </c>
      <c r="E2519" s="2" t="str">
        <f>IFERROR(__xludf.DUMMYFUNCTION("""COMPUTED_VALUE"""),"GRAPHICS BUILDING")</f>
        <v>GRAPHICS BUILDING</v>
      </c>
      <c r="F2519" s="3">
        <f>IFERROR(__xludf.DUMMYFUNCTION("""COMPUTED_VALUE"""),253.0)</f>
        <v>253</v>
      </c>
      <c r="G2519" s="5">
        <f>IFERROR(__xludf.DUMMYFUNCTION("""COMPUTED_VALUE"""),6.0272531E7)</f>
        <v>60272531</v>
      </c>
    </row>
    <row r="2520">
      <c r="A2520" s="3">
        <f>IFERROR(__xludf.DUMMYFUNCTION("""COMPUTED_VALUE"""),127.0)</f>
        <v>127</v>
      </c>
      <c r="B2520" s="2" t="str">
        <f>IFERROR(__xludf.DUMMYFUNCTION("""COMPUTED_VALUE"""),"DHAKA-SOUTH")</f>
        <v>DHAKA-SOUTH</v>
      </c>
      <c r="C2520" s="4">
        <f>IFERROR(__xludf.DUMMYFUNCTION("""COMPUTED_VALUE"""),60.0)</f>
        <v>60</v>
      </c>
      <c r="D2520" s="2" t="str">
        <f>IFERROR(__xludf.DUMMYFUNCTION("""COMPUTED_VALUE"""),"BRAC BANK LTD.")</f>
        <v>BRAC BANK LTD.</v>
      </c>
      <c r="E2520" s="2" t="str">
        <f>IFERROR(__xludf.DUMMYFUNCTION("""COMPUTED_VALUE"""),"GULISTAN SME")</f>
        <v>GULISTAN SME</v>
      </c>
      <c r="F2520" s="3">
        <f>IFERROR(__xludf.DUMMYFUNCTION("""COMPUTED_VALUE"""),254.0)</f>
        <v>254</v>
      </c>
      <c r="G2520" s="5">
        <f>IFERROR(__xludf.DUMMYFUNCTION("""COMPUTED_VALUE"""),6.0272544E7)</f>
        <v>60272544</v>
      </c>
    </row>
    <row r="2521">
      <c r="A2521" s="3">
        <f>IFERROR(__xludf.DUMMYFUNCTION("""COMPUTED_VALUE"""),127.0)</f>
        <v>127</v>
      </c>
      <c r="B2521" s="2" t="str">
        <f>IFERROR(__xludf.DUMMYFUNCTION("""COMPUTED_VALUE"""),"DHAKA-SOUTH")</f>
        <v>DHAKA-SOUTH</v>
      </c>
      <c r="C2521" s="4">
        <f>IFERROR(__xludf.DUMMYFUNCTION("""COMPUTED_VALUE"""),60.0)</f>
        <v>60</v>
      </c>
      <c r="D2521" s="2" t="str">
        <f>IFERROR(__xludf.DUMMYFUNCTION("""COMPUTED_VALUE"""),"BRAC BANK LTD.")</f>
        <v>BRAC BANK LTD.</v>
      </c>
      <c r="E2521" s="2" t="str">
        <f>IFERROR(__xludf.DUMMYFUNCTION("""COMPUTED_VALUE"""),"HEAD OFFICE")</f>
        <v>HEAD OFFICE</v>
      </c>
      <c r="F2521" s="3">
        <f>IFERROR(__xludf.DUMMYFUNCTION("""COMPUTED_VALUE"""),268.0)</f>
        <v>268</v>
      </c>
      <c r="G2521" s="5">
        <f>IFERROR(__xludf.DUMMYFUNCTION("""COMPUTED_VALUE"""),6.0272681E7)</f>
        <v>60272681</v>
      </c>
    </row>
    <row r="2522">
      <c r="A2522" s="3">
        <f>IFERROR(__xludf.DUMMYFUNCTION("""COMPUTED_VALUE"""),127.0)</f>
        <v>127</v>
      </c>
      <c r="B2522" s="2" t="str">
        <f>IFERROR(__xludf.DUMMYFUNCTION("""COMPUTED_VALUE"""),"DHAKA-SOUTH")</f>
        <v>DHAKA-SOUTH</v>
      </c>
      <c r="C2522" s="4">
        <f>IFERROR(__xludf.DUMMYFUNCTION("""COMPUTED_VALUE"""),60.0)</f>
        <v>60</v>
      </c>
      <c r="D2522" s="2" t="str">
        <f>IFERROR(__xludf.DUMMYFUNCTION("""COMPUTED_VALUE"""),"BRAC BANK LTD.")</f>
        <v>BRAC BANK LTD.</v>
      </c>
      <c r="E2522" s="2" t="str">
        <f>IFERROR(__xludf.DUMMYFUNCTION("""COMPUTED_VALUE"""),"IMAMGANJ")</f>
        <v>IMAMGANJ</v>
      </c>
      <c r="F2522" s="3">
        <f>IFERROR(__xludf.DUMMYFUNCTION("""COMPUTED_VALUE"""),280.0)</f>
        <v>280</v>
      </c>
      <c r="G2522" s="5">
        <f>IFERROR(__xludf.DUMMYFUNCTION("""COMPUTED_VALUE"""),6.0272807E7)</f>
        <v>60272807</v>
      </c>
    </row>
    <row r="2523">
      <c r="A2523" s="3">
        <f>IFERROR(__xludf.DUMMYFUNCTION("""COMPUTED_VALUE"""),127.0)</f>
        <v>127</v>
      </c>
      <c r="B2523" s="2" t="str">
        <f>IFERROR(__xludf.DUMMYFUNCTION("""COMPUTED_VALUE"""),"DHAKA-SOUTH")</f>
        <v>DHAKA-SOUTH</v>
      </c>
      <c r="C2523" s="4">
        <f>IFERROR(__xludf.DUMMYFUNCTION("""COMPUTED_VALUE"""),60.0)</f>
        <v>60</v>
      </c>
      <c r="D2523" s="2" t="str">
        <f>IFERROR(__xludf.DUMMYFUNCTION("""COMPUTED_VALUE"""),"BRAC BANK LTD.")</f>
        <v>BRAC BANK LTD.</v>
      </c>
      <c r="E2523" s="2" t="str">
        <f>IFERROR(__xludf.DUMMYFUNCTION("""COMPUTED_VALUE"""),"ISLAMPUR")</f>
        <v>ISLAMPUR</v>
      </c>
      <c r="F2523" s="3">
        <f>IFERROR(__xludf.DUMMYFUNCTION("""COMPUTED_VALUE"""),298.0)</f>
        <v>298</v>
      </c>
      <c r="G2523" s="5">
        <f>IFERROR(__xludf.DUMMYFUNCTION("""COMPUTED_VALUE"""),6.0272986E7)</f>
        <v>60272986</v>
      </c>
    </row>
    <row r="2524">
      <c r="A2524" s="3">
        <f>IFERROR(__xludf.DUMMYFUNCTION("""COMPUTED_VALUE"""),127.0)</f>
        <v>127</v>
      </c>
      <c r="B2524" s="2" t="str">
        <f>IFERROR(__xludf.DUMMYFUNCTION("""COMPUTED_VALUE"""),"DHAKA-SOUTH")</f>
        <v>DHAKA-SOUTH</v>
      </c>
      <c r="C2524" s="4">
        <f>IFERROR(__xludf.DUMMYFUNCTION("""COMPUTED_VALUE"""),60.0)</f>
        <v>60</v>
      </c>
      <c r="D2524" s="2" t="str">
        <f>IFERROR(__xludf.DUMMYFUNCTION("""COMPUTED_VALUE"""),"BRAC BANK LTD.")</f>
        <v>BRAC BANK LTD.</v>
      </c>
      <c r="E2524" s="2" t="str">
        <f>IFERROR(__xludf.DUMMYFUNCTION("""COMPUTED_VALUE"""),"JATRABARI SME")</f>
        <v>JATRABARI SME</v>
      </c>
      <c r="F2524" s="3">
        <f>IFERROR(__xludf.DUMMYFUNCTION("""COMPUTED_VALUE"""),323.0)</f>
        <v>323</v>
      </c>
      <c r="G2524" s="5">
        <f>IFERROR(__xludf.DUMMYFUNCTION("""COMPUTED_VALUE"""),6.0273235E7)</f>
        <v>60273235</v>
      </c>
    </row>
    <row r="2525">
      <c r="A2525" s="3">
        <f>IFERROR(__xludf.DUMMYFUNCTION("""COMPUTED_VALUE"""),127.0)</f>
        <v>127</v>
      </c>
      <c r="B2525" s="2" t="str">
        <f>IFERROR(__xludf.DUMMYFUNCTION("""COMPUTED_VALUE"""),"DHAKA-SOUTH")</f>
        <v>DHAKA-SOUTH</v>
      </c>
      <c r="C2525" s="4">
        <f>IFERROR(__xludf.DUMMYFUNCTION("""COMPUTED_VALUE"""),60.0)</f>
        <v>60</v>
      </c>
      <c r="D2525" s="2" t="str">
        <f>IFERROR(__xludf.DUMMYFUNCTION("""COMPUTED_VALUE"""),"BRAC BANK LTD.")</f>
        <v>BRAC BANK LTD.</v>
      </c>
      <c r="E2525" s="2" t="str">
        <f>IFERROR(__xludf.DUMMYFUNCTION("""COMPUTED_VALUE"""),"KERANIGANJ")</f>
        <v>KERANIGANJ</v>
      </c>
      <c r="F2525" s="3">
        <f>IFERROR(__xludf.DUMMYFUNCTION("""COMPUTED_VALUE"""),364.0)</f>
        <v>364</v>
      </c>
      <c r="G2525" s="5">
        <f>IFERROR(__xludf.DUMMYFUNCTION("""COMPUTED_VALUE"""),6.0273648E7)</f>
        <v>60273648</v>
      </c>
    </row>
    <row r="2526">
      <c r="A2526" s="3">
        <f>IFERROR(__xludf.DUMMYFUNCTION("""COMPUTED_VALUE"""),127.0)</f>
        <v>127</v>
      </c>
      <c r="B2526" s="2" t="str">
        <f>IFERROR(__xludf.DUMMYFUNCTION("""COMPUTED_VALUE"""),"DHAKA-SOUTH")</f>
        <v>DHAKA-SOUTH</v>
      </c>
      <c r="C2526" s="4">
        <f>IFERROR(__xludf.DUMMYFUNCTION("""COMPUTED_VALUE"""),60.0)</f>
        <v>60</v>
      </c>
      <c r="D2526" s="2" t="str">
        <f>IFERROR(__xludf.DUMMYFUNCTION("""COMPUTED_VALUE"""),"BRAC BANK LTD.")</f>
        <v>BRAC BANK LTD.</v>
      </c>
      <c r="E2526" s="2" t="str">
        <f>IFERROR(__xludf.DUMMYFUNCTION("""COMPUTED_VALUE"""),"MITFORD")</f>
        <v>MITFORD</v>
      </c>
      <c r="F2526" s="3">
        <f>IFERROR(__xludf.DUMMYFUNCTION("""COMPUTED_VALUE"""),406.0)</f>
        <v>406</v>
      </c>
      <c r="G2526" s="5">
        <f>IFERROR(__xludf.DUMMYFUNCTION("""COMPUTED_VALUE"""),6.0274063E7)</f>
        <v>60274063</v>
      </c>
    </row>
    <row r="2527">
      <c r="A2527" s="3">
        <f>IFERROR(__xludf.DUMMYFUNCTION("""COMPUTED_VALUE"""),127.0)</f>
        <v>127</v>
      </c>
      <c r="B2527" s="2" t="str">
        <f>IFERROR(__xludf.DUMMYFUNCTION("""COMPUTED_VALUE"""),"DHAKA-SOUTH")</f>
        <v>DHAKA-SOUTH</v>
      </c>
      <c r="C2527" s="4">
        <f>IFERROR(__xludf.DUMMYFUNCTION("""COMPUTED_VALUE"""),60.0)</f>
        <v>60</v>
      </c>
      <c r="D2527" s="2" t="str">
        <f>IFERROR(__xludf.DUMMYFUNCTION("""COMPUTED_VALUE"""),"BRAC BANK LTD.")</f>
        <v>BRAC BANK LTD.</v>
      </c>
      <c r="E2527" s="2" t="str">
        <f>IFERROR(__xludf.DUMMYFUNCTION("""COMPUTED_VALUE"""),"MOGHBAZAR")</f>
        <v>MOGHBAZAR</v>
      </c>
      <c r="F2527" s="3">
        <f>IFERROR(__xludf.DUMMYFUNCTION("""COMPUTED_VALUE"""),418.0)</f>
        <v>418</v>
      </c>
      <c r="G2527" s="5">
        <f>IFERROR(__xludf.DUMMYFUNCTION("""COMPUTED_VALUE"""),6.0274184E7)</f>
        <v>60274184</v>
      </c>
    </row>
    <row r="2528">
      <c r="A2528" s="3">
        <f>IFERROR(__xludf.DUMMYFUNCTION("""COMPUTED_VALUE"""),127.0)</f>
        <v>127</v>
      </c>
      <c r="B2528" s="2" t="str">
        <f>IFERROR(__xludf.DUMMYFUNCTION("""COMPUTED_VALUE"""),"DHAKA-SOUTH")</f>
        <v>DHAKA-SOUTH</v>
      </c>
      <c r="C2528" s="4">
        <f>IFERROR(__xludf.DUMMYFUNCTION("""COMPUTED_VALUE"""),60.0)</f>
        <v>60</v>
      </c>
      <c r="D2528" s="2" t="str">
        <f>IFERROR(__xludf.DUMMYFUNCTION("""COMPUTED_VALUE"""),"BRAC BANK LTD.")</f>
        <v>BRAC BANK LTD.</v>
      </c>
      <c r="E2528" s="2" t="str">
        <f>IFERROR(__xludf.DUMMYFUNCTION("""COMPUTED_VALUE"""),"MOTIJHEEL")</f>
        <v>MOTIJHEEL</v>
      </c>
      <c r="F2528" s="3">
        <f>IFERROR(__xludf.DUMMYFUNCTION("""COMPUTED_VALUE"""),424.0)</f>
        <v>424</v>
      </c>
      <c r="G2528" s="5">
        <f>IFERROR(__xludf.DUMMYFUNCTION("""COMPUTED_VALUE"""),6.0274247E7)</f>
        <v>60274247</v>
      </c>
    </row>
    <row r="2529">
      <c r="A2529" s="3">
        <f>IFERROR(__xludf.DUMMYFUNCTION("""COMPUTED_VALUE"""),127.0)</f>
        <v>127</v>
      </c>
      <c r="B2529" s="2" t="str">
        <f>IFERROR(__xludf.DUMMYFUNCTION("""COMPUTED_VALUE"""),"DHAKA-SOUTH")</f>
        <v>DHAKA-SOUTH</v>
      </c>
      <c r="C2529" s="4">
        <f>IFERROR(__xludf.DUMMYFUNCTION("""COMPUTED_VALUE"""),60.0)</f>
        <v>60</v>
      </c>
      <c r="D2529" s="2" t="str">
        <f>IFERROR(__xludf.DUMMYFUNCTION("""COMPUTED_VALUE"""),"BRAC BANK LTD.")</f>
        <v>BRAC BANK LTD.</v>
      </c>
      <c r="E2529" s="2" t="str">
        <f>IFERROR(__xludf.DUMMYFUNCTION("""COMPUTED_VALUE"""),"MOTIJHEEL SME")</f>
        <v>MOTIJHEEL SME</v>
      </c>
      <c r="F2529" s="3">
        <f>IFERROR(__xludf.DUMMYFUNCTION("""COMPUTED_VALUE"""),428.0)</f>
        <v>428</v>
      </c>
      <c r="G2529" s="5">
        <f>IFERROR(__xludf.DUMMYFUNCTION("""COMPUTED_VALUE"""),6.0274289E7)</f>
        <v>60274289</v>
      </c>
    </row>
    <row r="2530">
      <c r="A2530" s="3">
        <f>IFERROR(__xludf.DUMMYFUNCTION("""COMPUTED_VALUE"""),127.0)</f>
        <v>127</v>
      </c>
      <c r="B2530" s="2" t="str">
        <f>IFERROR(__xludf.DUMMYFUNCTION("""COMPUTED_VALUE"""),"DHAKA-SOUTH")</f>
        <v>DHAKA-SOUTH</v>
      </c>
      <c r="C2530" s="4">
        <f>IFERROR(__xludf.DUMMYFUNCTION("""COMPUTED_VALUE"""),60.0)</f>
        <v>60</v>
      </c>
      <c r="D2530" s="2" t="str">
        <f>IFERROR(__xludf.DUMMYFUNCTION("""COMPUTED_VALUE"""),"BRAC BANK LTD.")</f>
        <v>BRAC BANK LTD.</v>
      </c>
      <c r="E2530" s="2" t="str">
        <f>IFERROR(__xludf.DUMMYFUNCTION("""COMPUTED_VALUE"""),"NAWABGANJ")</f>
        <v>NAWABGANJ</v>
      </c>
      <c r="F2530" s="3">
        <f>IFERROR(__xludf.DUMMYFUNCTION("""COMPUTED_VALUE"""),469.0)</f>
        <v>469</v>
      </c>
      <c r="G2530" s="5">
        <f>IFERROR(__xludf.DUMMYFUNCTION("""COMPUTED_VALUE"""),6.0274692E7)</f>
        <v>60274692</v>
      </c>
    </row>
    <row r="2531">
      <c r="A2531" s="3">
        <f>IFERROR(__xludf.DUMMYFUNCTION("""COMPUTED_VALUE"""),127.0)</f>
        <v>127</v>
      </c>
      <c r="B2531" s="2" t="str">
        <f>IFERROR(__xludf.DUMMYFUNCTION("""COMPUTED_VALUE"""),"DHAKA-SOUTH")</f>
        <v>DHAKA-SOUTH</v>
      </c>
      <c r="C2531" s="4">
        <f>IFERROR(__xludf.DUMMYFUNCTION("""COMPUTED_VALUE"""),60.0)</f>
        <v>60</v>
      </c>
      <c r="D2531" s="2" t="str">
        <f>IFERROR(__xludf.DUMMYFUNCTION("""COMPUTED_VALUE"""),"BRAC BANK LTD.")</f>
        <v>BRAC BANK LTD.</v>
      </c>
      <c r="E2531" s="2" t="str">
        <f>IFERROR(__xludf.DUMMYFUNCTION("""COMPUTED_VALUE"""),"NAWABPUR")</f>
        <v>NAWABPUR</v>
      </c>
      <c r="F2531" s="3">
        <f>IFERROR(__xludf.DUMMYFUNCTION("""COMPUTED_VALUE"""),472.0)</f>
        <v>472</v>
      </c>
      <c r="G2531" s="5">
        <f>IFERROR(__xludf.DUMMYFUNCTION("""COMPUTED_VALUE"""),6.0274726E7)</f>
        <v>60274726</v>
      </c>
    </row>
    <row r="2532">
      <c r="A2532" s="3">
        <f>IFERROR(__xludf.DUMMYFUNCTION("""COMPUTED_VALUE"""),127.0)</f>
        <v>127</v>
      </c>
      <c r="B2532" s="2" t="str">
        <f>IFERROR(__xludf.DUMMYFUNCTION("""COMPUTED_VALUE"""),"DHAKA-SOUTH")</f>
        <v>DHAKA-SOUTH</v>
      </c>
      <c r="C2532" s="4">
        <f>IFERROR(__xludf.DUMMYFUNCTION("""COMPUTED_VALUE"""),60.0)</f>
        <v>60</v>
      </c>
      <c r="D2532" s="2" t="str">
        <f>IFERROR(__xludf.DUMMYFUNCTION("""COMPUTED_VALUE"""),"BRAC BANK LTD.")</f>
        <v>BRAC BANK LTD.</v>
      </c>
      <c r="E2532" s="2" t="str">
        <f>IFERROR(__xludf.DUMMYFUNCTION("""COMPUTED_VALUE"""),"RAMPURA")</f>
        <v>RAMPURA</v>
      </c>
      <c r="F2532" s="3">
        <f>IFERROR(__xludf.DUMMYFUNCTION("""COMPUTED_VALUE"""),574.0)</f>
        <v>574</v>
      </c>
      <c r="G2532" s="5">
        <f>IFERROR(__xludf.DUMMYFUNCTION("""COMPUTED_VALUE"""),6.0275741E7)</f>
        <v>60275741</v>
      </c>
    </row>
    <row r="2533">
      <c r="A2533" s="3">
        <f>IFERROR(__xludf.DUMMYFUNCTION("""COMPUTED_VALUE"""),127.0)</f>
        <v>127</v>
      </c>
      <c r="B2533" s="2" t="str">
        <f>IFERROR(__xludf.DUMMYFUNCTION("""COMPUTED_VALUE"""),"DHAKA-SOUTH")</f>
        <v>DHAKA-SOUTH</v>
      </c>
      <c r="C2533" s="4">
        <f>IFERROR(__xludf.DUMMYFUNCTION("""COMPUTED_VALUE"""),60.0)</f>
        <v>60</v>
      </c>
      <c r="D2533" s="2" t="str">
        <f>IFERROR(__xludf.DUMMYFUNCTION("""COMPUTED_VALUE"""),"BRAC BANK LTD.")</f>
        <v>BRAC BANK LTD.</v>
      </c>
      <c r="E2533" s="2" t="str">
        <f>IFERROR(__xludf.DUMMYFUNCTION("""COMPUTED_VALUE"""),"SATMASJID ROAD")</f>
        <v>SATMASJID ROAD</v>
      </c>
      <c r="F2533" s="3">
        <f>IFERROR(__xludf.DUMMYFUNCTION("""COMPUTED_VALUE"""),607.0)</f>
        <v>607</v>
      </c>
      <c r="G2533" s="5">
        <f>IFERROR(__xludf.DUMMYFUNCTION("""COMPUTED_VALUE"""),6.0276074E7)</f>
        <v>60276074</v>
      </c>
    </row>
    <row r="2534">
      <c r="A2534" s="3">
        <f>IFERROR(__xludf.DUMMYFUNCTION("""COMPUTED_VALUE"""),127.0)</f>
        <v>127</v>
      </c>
      <c r="B2534" s="2" t="str">
        <f>IFERROR(__xludf.DUMMYFUNCTION("""COMPUTED_VALUE"""),"DHAKA-SOUTH")</f>
        <v>DHAKA-SOUTH</v>
      </c>
      <c r="C2534" s="4">
        <f>IFERROR(__xludf.DUMMYFUNCTION("""COMPUTED_VALUE"""),60.0)</f>
        <v>60</v>
      </c>
      <c r="D2534" s="2" t="str">
        <f>IFERROR(__xludf.DUMMYFUNCTION("""COMPUTED_VALUE"""),"BRAC BANK LTD.")</f>
        <v>BRAC BANK LTD.</v>
      </c>
      <c r="E2534" s="2" t="str">
        <f>IFERROR(__xludf.DUMMYFUNCTION("""COMPUTED_VALUE"""),"SHAMBAZAR")</f>
        <v>SHAMBAZAR</v>
      </c>
      <c r="F2534" s="3">
        <f>IFERROR(__xludf.DUMMYFUNCTION("""COMPUTED_VALUE"""),628.0)</f>
        <v>628</v>
      </c>
      <c r="G2534" s="5">
        <f>IFERROR(__xludf.DUMMYFUNCTION("""COMPUTED_VALUE"""),6.0276287E7)</f>
        <v>60276287</v>
      </c>
    </row>
    <row r="2535">
      <c r="A2535" s="3">
        <f>IFERROR(__xludf.DUMMYFUNCTION("""COMPUTED_VALUE"""),127.0)</f>
        <v>127</v>
      </c>
      <c r="B2535" s="2" t="str">
        <f>IFERROR(__xludf.DUMMYFUNCTION("""COMPUTED_VALUE"""),"DHAKA-SOUTH")</f>
        <v>DHAKA-SOUTH</v>
      </c>
      <c r="C2535" s="4">
        <f>IFERROR(__xludf.DUMMYFUNCTION("""COMPUTED_VALUE"""),60.0)</f>
        <v>60</v>
      </c>
      <c r="D2535" s="2" t="str">
        <f>IFERROR(__xludf.DUMMYFUNCTION("""COMPUTED_VALUE"""),"BRAC BANK LTD.")</f>
        <v>BRAC BANK LTD.</v>
      </c>
      <c r="E2535" s="2" t="str">
        <f>IFERROR(__xludf.DUMMYFUNCTION("""COMPUTED_VALUE"""),"SHYAMPUR SME")</f>
        <v>SHYAMPUR SME</v>
      </c>
      <c r="F2535" s="3">
        <f>IFERROR(__xludf.DUMMYFUNCTION("""COMPUTED_VALUE"""),653.0)</f>
        <v>653</v>
      </c>
      <c r="G2535" s="5">
        <f>IFERROR(__xludf.DUMMYFUNCTION("""COMPUTED_VALUE"""),6.0276537E7)</f>
        <v>60276537</v>
      </c>
    </row>
    <row r="2536">
      <c r="A2536" s="3">
        <f>IFERROR(__xludf.DUMMYFUNCTION("""COMPUTED_VALUE"""),127.0)</f>
        <v>127</v>
      </c>
      <c r="B2536" s="2" t="str">
        <f>IFERROR(__xludf.DUMMYFUNCTION("""COMPUTED_VALUE"""),"DHAKA-SOUTH")</f>
        <v>DHAKA-SOUTH</v>
      </c>
      <c r="C2536" s="4">
        <f>IFERROR(__xludf.DUMMYFUNCTION("""COMPUTED_VALUE"""),60.0)</f>
        <v>60</v>
      </c>
      <c r="D2536" s="2" t="str">
        <f>IFERROR(__xludf.DUMMYFUNCTION("""COMPUTED_VALUE"""),"BRAC BANK LTD.")</f>
        <v>BRAC BANK LTD.</v>
      </c>
      <c r="E2536" s="2" t="str">
        <f>IFERROR(__xludf.DUMMYFUNCTION("""COMPUTED_VALUE"""),"ZINZIRA")</f>
        <v>ZINZIRA</v>
      </c>
      <c r="F2536" s="3">
        <f>IFERROR(__xludf.DUMMYFUNCTION("""COMPUTED_VALUE"""),709.0)</f>
        <v>709</v>
      </c>
      <c r="G2536" s="5">
        <f>IFERROR(__xludf.DUMMYFUNCTION("""COMPUTED_VALUE"""),6.0277099E7)</f>
        <v>60277099</v>
      </c>
    </row>
    <row r="2537">
      <c r="A2537" s="3">
        <f>IFERROR(__xludf.DUMMYFUNCTION("""COMPUTED_VALUE"""),728.0)</f>
        <v>728</v>
      </c>
      <c r="B2537" s="2" t="str">
        <f>IFERROR(__xludf.DUMMYFUNCTION("""COMPUTED_VALUE"""),"DINAJPUR")</f>
        <v>DINAJPUR</v>
      </c>
      <c r="C2537" s="4">
        <f>IFERROR(__xludf.DUMMYFUNCTION("""COMPUTED_VALUE"""),60.0)</f>
        <v>60</v>
      </c>
      <c r="D2537" s="2" t="str">
        <f>IFERROR(__xludf.DUMMYFUNCTION("""COMPUTED_VALUE"""),"BRAC BANK LTD.")</f>
        <v>BRAC BANK LTD.</v>
      </c>
      <c r="E2537" s="2" t="str">
        <f>IFERROR(__xludf.DUMMYFUNCTION("""COMPUTED_VALUE"""),"DINAJPUR")</f>
        <v>DINAJPUR</v>
      </c>
      <c r="F2537" s="3">
        <f>IFERROR(__xludf.DUMMYFUNCTION("""COMPUTED_VALUE"""),67.0)</f>
        <v>67</v>
      </c>
      <c r="G2537" s="5">
        <f>IFERROR(__xludf.DUMMYFUNCTION("""COMPUTED_VALUE"""),6.0280673E7)</f>
        <v>60280673</v>
      </c>
    </row>
    <row r="2538">
      <c r="A2538" s="3">
        <f>IFERROR(__xludf.DUMMYFUNCTION("""COMPUTED_VALUE"""),329.0)</f>
        <v>329</v>
      </c>
      <c r="B2538" s="2" t="str">
        <f>IFERROR(__xludf.DUMMYFUNCTION("""COMPUTED_VALUE"""),"FARIDPUR")</f>
        <v>FARIDPUR</v>
      </c>
      <c r="C2538" s="4">
        <f>IFERROR(__xludf.DUMMYFUNCTION("""COMPUTED_VALUE"""),60.0)</f>
        <v>60</v>
      </c>
      <c r="D2538" s="2" t="str">
        <f>IFERROR(__xludf.DUMMYFUNCTION("""COMPUTED_VALUE"""),"BRAC BANK LTD.")</f>
        <v>BRAC BANK LTD.</v>
      </c>
      <c r="E2538" s="2" t="str">
        <f>IFERROR(__xludf.DUMMYFUNCTION("""COMPUTED_VALUE"""),"BHANGA")</f>
        <v>BHANGA</v>
      </c>
      <c r="F2538" s="3">
        <f>IFERROR(__xludf.DUMMYFUNCTION("""COMPUTED_VALUE"""),28.0)</f>
        <v>28</v>
      </c>
      <c r="G2538" s="5">
        <f>IFERROR(__xludf.DUMMYFUNCTION("""COMPUTED_VALUE"""),6.0290289E7)</f>
        <v>60290289</v>
      </c>
    </row>
    <row r="2539">
      <c r="A2539" s="3">
        <f>IFERROR(__xludf.DUMMYFUNCTION("""COMPUTED_VALUE"""),329.0)</f>
        <v>329</v>
      </c>
      <c r="B2539" s="2" t="str">
        <f>IFERROR(__xludf.DUMMYFUNCTION("""COMPUTED_VALUE"""),"FARIDPUR")</f>
        <v>FARIDPUR</v>
      </c>
      <c r="C2539" s="4">
        <f>IFERROR(__xludf.DUMMYFUNCTION("""COMPUTED_VALUE"""),60.0)</f>
        <v>60</v>
      </c>
      <c r="D2539" s="2" t="str">
        <f>IFERROR(__xludf.DUMMYFUNCTION("""COMPUTED_VALUE"""),"BRAC BANK LTD.")</f>
        <v>BRAC BANK LTD.</v>
      </c>
      <c r="E2539" s="2" t="str">
        <f>IFERROR(__xludf.DUMMYFUNCTION("""COMPUTED_VALUE"""),"FARIDPUR")</f>
        <v>FARIDPUR</v>
      </c>
      <c r="F2539" s="3">
        <f>IFERROR(__xludf.DUMMYFUNCTION("""COMPUTED_VALUE"""),52.0)</f>
        <v>52</v>
      </c>
      <c r="G2539" s="5">
        <f>IFERROR(__xludf.DUMMYFUNCTION("""COMPUTED_VALUE"""),6.0290526E7)</f>
        <v>60290526</v>
      </c>
    </row>
    <row r="2540">
      <c r="A2540" s="3">
        <f>IFERROR(__xludf.DUMMYFUNCTION("""COMPUTED_VALUE"""),230.0)</f>
        <v>230</v>
      </c>
      <c r="B2540" s="2" t="str">
        <f>IFERROR(__xludf.DUMMYFUNCTION("""COMPUTED_VALUE"""),"FENI")</f>
        <v>FENI</v>
      </c>
      <c r="C2540" s="4">
        <f>IFERROR(__xludf.DUMMYFUNCTION("""COMPUTED_VALUE"""),60.0)</f>
        <v>60</v>
      </c>
      <c r="D2540" s="2" t="str">
        <f>IFERROR(__xludf.DUMMYFUNCTION("""COMPUTED_VALUE"""),"BRAC BANK LTD.")</f>
        <v>BRAC BANK LTD.</v>
      </c>
      <c r="E2540" s="2" t="str">
        <f>IFERROR(__xludf.DUMMYFUNCTION("""COMPUTED_VALUE"""),"FENI")</f>
        <v>FENI</v>
      </c>
      <c r="F2540" s="3">
        <f>IFERROR(__xludf.DUMMYFUNCTION("""COMPUTED_VALUE"""),52.0)</f>
        <v>52</v>
      </c>
      <c r="G2540" s="5">
        <f>IFERROR(__xludf.DUMMYFUNCTION("""COMPUTED_VALUE"""),6.0300524E7)</f>
        <v>60300524</v>
      </c>
    </row>
    <row r="2541">
      <c r="A2541" s="3">
        <f>IFERROR(__xludf.DUMMYFUNCTION("""COMPUTED_VALUE"""),230.0)</f>
        <v>230</v>
      </c>
      <c r="B2541" s="2" t="str">
        <f>IFERROR(__xludf.DUMMYFUNCTION("""COMPUTED_VALUE"""),"FENI")</f>
        <v>FENI</v>
      </c>
      <c r="C2541" s="4">
        <f>IFERROR(__xludf.DUMMYFUNCTION("""COMPUTED_VALUE"""),60.0)</f>
        <v>60</v>
      </c>
      <c r="D2541" s="2" t="str">
        <f>IFERROR(__xludf.DUMMYFUNCTION("""COMPUTED_VALUE"""),"BRAC BANK LTD.")</f>
        <v>BRAC BANK LTD.</v>
      </c>
      <c r="E2541" s="2" t="str">
        <f>IFERROR(__xludf.DUMMYFUNCTION("""COMPUTED_VALUE"""),"SONAGAZI")</f>
        <v>SONAGAZI</v>
      </c>
      <c r="F2541" s="3">
        <f>IFERROR(__xludf.DUMMYFUNCTION("""COMPUTED_VALUE"""),148.0)</f>
        <v>148</v>
      </c>
      <c r="G2541" s="5">
        <f>IFERROR(__xludf.DUMMYFUNCTION("""COMPUTED_VALUE"""),6.0301486E7)</f>
        <v>60301486</v>
      </c>
    </row>
    <row r="2542">
      <c r="A2542" s="3">
        <f>IFERROR(__xludf.DUMMYFUNCTION("""COMPUTED_VALUE"""),632.0)</f>
        <v>632</v>
      </c>
      <c r="B2542" s="2" t="str">
        <f>IFERROR(__xludf.DUMMYFUNCTION("""COMPUTED_VALUE"""),"GAIBANDHA")</f>
        <v>GAIBANDHA</v>
      </c>
      <c r="C2542" s="4">
        <f>IFERROR(__xludf.DUMMYFUNCTION("""COMPUTED_VALUE"""),60.0)</f>
        <v>60</v>
      </c>
      <c r="D2542" s="2" t="str">
        <f>IFERROR(__xludf.DUMMYFUNCTION("""COMPUTED_VALUE"""),"BRAC BANK LTD.")</f>
        <v>BRAC BANK LTD.</v>
      </c>
      <c r="E2542" s="2" t="str">
        <f>IFERROR(__xludf.DUMMYFUNCTION("""COMPUTED_VALUE"""),"GOBINDAGANJ")</f>
        <v>GOBINDAGANJ</v>
      </c>
      <c r="F2542" s="3">
        <f>IFERROR(__xludf.DUMMYFUNCTION("""COMPUTED_VALUE"""),58.0)</f>
        <v>58</v>
      </c>
      <c r="G2542" s="5">
        <f>IFERROR(__xludf.DUMMYFUNCTION("""COMPUTED_VALUE"""),6.0320588E7)</f>
        <v>60320588</v>
      </c>
    </row>
    <row r="2543">
      <c r="A2543" s="3">
        <f>IFERROR(__xludf.DUMMYFUNCTION("""COMPUTED_VALUE"""),133.0)</f>
        <v>133</v>
      </c>
      <c r="B2543" s="2" t="str">
        <f>IFERROR(__xludf.DUMMYFUNCTION("""COMPUTED_VALUE"""),"GAZIPUR")</f>
        <v>GAZIPUR</v>
      </c>
      <c r="C2543" s="4">
        <f>IFERROR(__xludf.DUMMYFUNCTION("""COMPUTED_VALUE"""),60.0)</f>
        <v>60</v>
      </c>
      <c r="D2543" s="2" t="str">
        <f>IFERROR(__xludf.DUMMYFUNCTION("""COMPUTED_VALUE"""),"BRAC BANK LTD.")</f>
        <v>BRAC BANK LTD.</v>
      </c>
      <c r="E2543" s="2" t="str">
        <f>IFERROR(__xludf.DUMMYFUNCTION("""COMPUTED_VALUE"""),"BOARD BAZAR")</f>
        <v>BOARD BAZAR</v>
      </c>
      <c r="F2543" s="3">
        <f>IFERROR(__xludf.DUMMYFUNCTION("""COMPUTED_VALUE"""),22.0)</f>
        <v>22</v>
      </c>
      <c r="G2543" s="5">
        <f>IFERROR(__xludf.DUMMYFUNCTION("""COMPUTED_VALUE"""),6.0330228E7)</f>
        <v>60330228</v>
      </c>
    </row>
    <row r="2544">
      <c r="A2544" s="3">
        <f>IFERROR(__xludf.DUMMYFUNCTION("""COMPUTED_VALUE"""),133.0)</f>
        <v>133</v>
      </c>
      <c r="B2544" s="2" t="str">
        <f>IFERROR(__xludf.DUMMYFUNCTION("""COMPUTED_VALUE"""),"GAZIPUR")</f>
        <v>GAZIPUR</v>
      </c>
      <c r="C2544" s="4">
        <f>IFERROR(__xludf.DUMMYFUNCTION("""COMPUTED_VALUE"""),60.0)</f>
        <v>60</v>
      </c>
      <c r="D2544" s="2" t="str">
        <f>IFERROR(__xludf.DUMMYFUNCTION("""COMPUTED_VALUE"""),"BRAC BANK LTD.")</f>
        <v>BRAC BANK LTD.</v>
      </c>
      <c r="E2544" s="2" t="str">
        <f>IFERROR(__xludf.DUMMYFUNCTION("""COMPUTED_VALUE"""),"GAZIPUR")</f>
        <v>GAZIPUR</v>
      </c>
      <c r="F2544" s="3">
        <f>IFERROR(__xludf.DUMMYFUNCTION("""COMPUTED_VALUE"""),52.0)</f>
        <v>52</v>
      </c>
      <c r="G2544" s="5">
        <f>IFERROR(__xludf.DUMMYFUNCTION("""COMPUTED_VALUE"""),6.0330523E7)</f>
        <v>60330523</v>
      </c>
    </row>
    <row r="2545">
      <c r="A2545" s="3">
        <f>IFERROR(__xludf.DUMMYFUNCTION("""COMPUTED_VALUE"""),133.0)</f>
        <v>133</v>
      </c>
      <c r="B2545" s="2" t="str">
        <f>IFERROR(__xludf.DUMMYFUNCTION("""COMPUTED_VALUE"""),"GAZIPUR")</f>
        <v>GAZIPUR</v>
      </c>
      <c r="C2545" s="4">
        <f>IFERROR(__xludf.DUMMYFUNCTION("""COMPUTED_VALUE"""),60.0)</f>
        <v>60</v>
      </c>
      <c r="D2545" s="2" t="str">
        <f>IFERROR(__xludf.DUMMYFUNCTION("""COMPUTED_VALUE"""),"BRAC BANK LTD.")</f>
        <v>BRAC BANK LTD.</v>
      </c>
      <c r="E2545" s="2" t="str">
        <f>IFERROR(__xludf.DUMMYFUNCTION("""COMPUTED_VALUE"""),"JOYDEBPUR")</f>
        <v>JOYDEBPUR</v>
      </c>
      <c r="F2545" s="3">
        <f>IFERROR(__xludf.DUMMYFUNCTION("""COMPUTED_VALUE"""),73.0)</f>
        <v>73</v>
      </c>
      <c r="G2545" s="5">
        <f>IFERROR(__xludf.DUMMYFUNCTION("""COMPUTED_VALUE"""),6.0330736E7)</f>
        <v>60330736</v>
      </c>
    </row>
    <row r="2546">
      <c r="A2546" s="3">
        <f>IFERROR(__xludf.DUMMYFUNCTION("""COMPUTED_VALUE"""),133.0)</f>
        <v>133</v>
      </c>
      <c r="B2546" s="2" t="str">
        <f>IFERROR(__xludf.DUMMYFUNCTION("""COMPUTED_VALUE"""),"GAZIPUR")</f>
        <v>GAZIPUR</v>
      </c>
      <c r="C2546" s="4">
        <f>IFERROR(__xludf.DUMMYFUNCTION("""COMPUTED_VALUE"""),60.0)</f>
        <v>60</v>
      </c>
      <c r="D2546" s="2" t="str">
        <f>IFERROR(__xludf.DUMMYFUNCTION("""COMPUTED_VALUE"""),"BRAC BANK LTD.")</f>
        <v>BRAC BANK LTD.</v>
      </c>
      <c r="E2546" s="2" t="str">
        <f>IFERROR(__xludf.DUMMYFUNCTION("""COMPUTED_VALUE"""),"KAPASIA")</f>
        <v>KAPASIA</v>
      </c>
      <c r="F2546" s="3">
        <f>IFERROR(__xludf.DUMMYFUNCTION("""COMPUTED_VALUE"""),88.0)</f>
        <v>88</v>
      </c>
      <c r="G2546" s="5">
        <f>IFERROR(__xludf.DUMMYFUNCTION("""COMPUTED_VALUE"""),6.0330886E7)</f>
        <v>60330886</v>
      </c>
    </row>
    <row r="2547">
      <c r="A2547" s="3">
        <f>IFERROR(__xludf.DUMMYFUNCTION("""COMPUTED_VALUE"""),133.0)</f>
        <v>133</v>
      </c>
      <c r="B2547" s="2" t="str">
        <f>IFERROR(__xludf.DUMMYFUNCTION("""COMPUTED_VALUE"""),"GAZIPUR")</f>
        <v>GAZIPUR</v>
      </c>
      <c r="C2547" s="4">
        <f>IFERROR(__xludf.DUMMYFUNCTION("""COMPUTED_VALUE"""),60.0)</f>
        <v>60</v>
      </c>
      <c r="D2547" s="2" t="str">
        <f>IFERROR(__xludf.DUMMYFUNCTION("""COMPUTED_VALUE"""),"BRAC BANK LTD.")</f>
        <v>BRAC BANK LTD.</v>
      </c>
      <c r="E2547" s="2" t="str">
        <f>IFERROR(__xludf.DUMMYFUNCTION("""COMPUTED_VALUE"""),"KONABARI SME")</f>
        <v>KONABARI SME</v>
      </c>
      <c r="F2547" s="3">
        <f>IFERROR(__xludf.DUMMYFUNCTION("""COMPUTED_VALUE"""),95.0)</f>
        <v>95</v>
      </c>
      <c r="G2547" s="5">
        <f>IFERROR(__xludf.DUMMYFUNCTION("""COMPUTED_VALUE"""),6.0330952E7)</f>
        <v>60330952</v>
      </c>
    </row>
    <row r="2548">
      <c r="A2548" s="3">
        <f>IFERROR(__xludf.DUMMYFUNCTION("""COMPUTED_VALUE"""),133.0)</f>
        <v>133</v>
      </c>
      <c r="B2548" s="2" t="str">
        <f>IFERROR(__xludf.DUMMYFUNCTION("""COMPUTED_VALUE"""),"GAZIPUR")</f>
        <v>GAZIPUR</v>
      </c>
      <c r="C2548" s="4">
        <f>IFERROR(__xludf.DUMMYFUNCTION("""COMPUTED_VALUE"""),60.0)</f>
        <v>60</v>
      </c>
      <c r="D2548" s="2" t="str">
        <f>IFERROR(__xludf.DUMMYFUNCTION("""COMPUTED_VALUE"""),"BRAC BANK LTD.")</f>
        <v>BRAC BANK LTD.</v>
      </c>
      <c r="E2548" s="2" t="str">
        <f>IFERROR(__xludf.DUMMYFUNCTION("""COMPUTED_VALUE"""),"MAWNA")</f>
        <v>MAWNA</v>
      </c>
      <c r="F2548" s="3">
        <f>IFERROR(__xludf.DUMMYFUNCTION("""COMPUTED_VALUE"""),100.0)</f>
        <v>100</v>
      </c>
      <c r="G2548" s="5">
        <f>IFERROR(__xludf.DUMMYFUNCTION("""COMPUTED_VALUE"""),6.0331001E7)</f>
        <v>60331001</v>
      </c>
    </row>
    <row r="2549">
      <c r="A2549" s="3">
        <f>IFERROR(__xludf.DUMMYFUNCTION("""COMPUTED_VALUE"""),133.0)</f>
        <v>133</v>
      </c>
      <c r="B2549" s="2" t="str">
        <f>IFERROR(__xludf.DUMMYFUNCTION("""COMPUTED_VALUE"""),"GAZIPUR")</f>
        <v>GAZIPUR</v>
      </c>
      <c r="C2549" s="4">
        <f>IFERROR(__xludf.DUMMYFUNCTION("""COMPUTED_VALUE"""),60.0)</f>
        <v>60</v>
      </c>
      <c r="D2549" s="2" t="str">
        <f>IFERROR(__xludf.DUMMYFUNCTION("""COMPUTED_VALUE"""),"BRAC BANK LTD.")</f>
        <v>BRAC BANK LTD.</v>
      </c>
      <c r="E2549" s="2" t="str">
        <f>IFERROR(__xludf.DUMMYFUNCTION("""COMPUTED_VALUE"""),"TONGI")</f>
        <v>TONGI</v>
      </c>
      <c r="F2549" s="3">
        <f>IFERROR(__xludf.DUMMYFUNCTION("""COMPUTED_VALUE"""),163.0)</f>
        <v>163</v>
      </c>
      <c r="G2549" s="5">
        <f>IFERROR(__xludf.DUMMYFUNCTION("""COMPUTED_VALUE"""),6.033163E7)</f>
        <v>60331630</v>
      </c>
    </row>
    <row r="2550">
      <c r="A2550" s="3">
        <f>IFERROR(__xludf.DUMMYFUNCTION("""COMPUTED_VALUE"""),435.0)</f>
        <v>435</v>
      </c>
      <c r="B2550" s="2" t="str">
        <f>IFERROR(__xludf.DUMMYFUNCTION("""COMPUTED_VALUE"""),"GOPALGANJ")</f>
        <v>GOPALGANJ</v>
      </c>
      <c r="C2550" s="4">
        <f>IFERROR(__xludf.DUMMYFUNCTION("""COMPUTED_VALUE"""),60.0)</f>
        <v>60</v>
      </c>
      <c r="D2550" s="2" t="str">
        <f>IFERROR(__xludf.DUMMYFUNCTION("""COMPUTED_VALUE"""),"BRAC BANK LTD.")</f>
        <v>BRAC BANK LTD.</v>
      </c>
      <c r="E2550" s="2" t="str">
        <f>IFERROR(__xludf.DUMMYFUNCTION("""COMPUTED_VALUE"""),"GOPALGANJ")</f>
        <v>GOPALGANJ</v>
      </c>
      <c r="F2550" s="3">
        <f>IFERROR(__xludf.DUMMYFUNCTION("""COMPUTED_VALUE"""),37.0)</f>
        <v>37</v>
      </c>
      <c r="G2550" s="5">
        <f>IFERROR(__xludf.DUMMYFUNCTION("""COMPUTED_VALUE"""),6.0350374E7)</f>
        <v>60350374</v>
      </c>
    </row>
    <row r="2551">
      <c r="A2551" s="3">
        <f>IFERROR(__xludf.DUMMYFUNCTION("""COMPUTED_VALUE"""),836.0)</f>
        <v>836</v>
      </c>
      <c r="B2551" s="2" t="str">
        <f>IFERROR(__xludf.DUMMYFUNCTION("""COMPUTED_VALUE"""),"HABIGANJ")</f>
        <v>HABIGANJ</v>
      </c>
      <c r="C2551" s="4">
        <f>IFERROR(__xludf.DUMMYFUNCTION("""COMPUTED_VALUE"""),60.0)</f>
        <v>60</v>
      </c>
      <c r="D2551" s="2" t="str">
        <f>IFERROR(__xludf.DUMMYFUNCTION("""COMPUTED_VALUE"""),"BRAC BANK LTD.")</f>
        <v>BRAC BANK LTD.</v>
      </c>
      <c r="E2551" s="2" t="str">
        <f>IFERROR(__xludf.DUMMYFUNCTION("""COMPUTED_VALUE"""),"BANIACHANG")</f>
        <v>BANIACHANG</v>
      </c>
      <c r="F2551" s="3">
        <f>IFERROR(__xludf.DUMMYFUNCTION("""COMPUTED_VALUE"""),16.0)</f>
        <v>16</v>
      </c>
      <c r="G2551" s="5">
        <f>IFERROR(__xludf.DUMMYFUNCTION("""COMPUTED_VALUE"""),6.0360164E7)</f>
        <v>60360164</v>
      </c>
    </row>
    <row r="2552">
      <c r="A2552" s="3">
        <f>IFERROR(__xludf.DUMMYFUNCTION("""COMPUTED_VALUE"""),836.0)</f>
        <v>836</v>
      </c>
      <c r="B2552" s="2" t="str">
        <f>IFERROR(__xludf.DUMMYFUNCTION("""COMPUTED_VALUE"""),"HABIGANJ")</f>
        <v>HABIGANJ</v>
      </c>
      <c r="C2552" s="4">
        <f>IFERROR(__xludf.DUMMYFUNCTION("""COMPUTED_VALUE"""),60.0)</f>
        <v>60</v>
      </c>
      <c r="D2552" s="2" t="str">
        <f>IFERROR(__xludf.DUMMYFUNCTION("""COMPUTED_VALUE"""),"BRAC BANK LTD.")</f>
        <v>BRAC BANK LTD.</v>
      </c>
      <c r="E2552" s="2" t="str">
        <f>IFERROR(__xludf.DUMMYFUNCTION("""COMPUTED_VALUE"""),"HABIGANJ")</f>
        <v>HABIGANJ</v>
      </c>
      <c r="F2552" s="3">
        <f>IFERROR(__xludf.DUMMYFUNCTION("""COMPUTED_VALUE"""),61.0)</f>
        <v>61</v>
      </c>
      <c r="G2552" s="5">
        <f>IFERROR(__xludf.DUMMYFUNCTION("""COMPUTED_VALUE"""),6.0360614E7)</f>
        <v>60360614</v>
      </c>
    </row>
    <row r="2553">
      <c r="A2553" s="3">
        <f>IFERROR(__xludf.DUMMYFUNCTION("""COMPUTED_VALUE"""),836.0)</f>
        <v>836</v>
      </c>
      <c r="B2553" s="2" t="str">
        <f>IFERROR(__xludf.DUMMYFUNCTION("""COMPUTED_VALUE"""),"HABIGANJ")</f>
        <v>HABIGANJ</v>
      </c>
      <c r="C2553" s="4">
        <f>IFERROR(__xludf.DUMMYFUNCTION("""COMPUTED_VALUE"""),60.0)</f>
        <v>60</v>
      </c>
      <c r="D2553" s="2" t="str">
        <f>IFERROR(__xludf.DUMMYFUNCTION("""COMPUTED_VALUE"""),"BRAC BANK LTD.")</f>
        <v>BRAC BANK LTD.</v>
      </c>
      <c r="E2553" s="2" t="str">
        <f>IFERROR(__xludf.DUMMYFUNCTION("""COMPUTED_VALUE"""),"NABIGANJ")</f>
        <v>NABIGANJ</v>
      </c>
      <c r="F2553" s="3">
        <f>IFERROR(__xludf.DUMMYFUNCTION("""COMPUTED_VALUE"""),109.0)</f>
        <v>109</v>
      </c>
      <c r="G2553" s="5">
        <f>IFERROR(__xludf.DUMMYFUNCTION("""COMPUTED_VALUE"""),6.0361097E7)</f>
        <v>60361097</v>
      </c>
    </row>
    <row r="2554">
      <c r="A2554" s="3">
        <f>IFERROR(__xludf.DUMMYFUNCTION("""COMPUTED_VALUE"""),638.0)</f>
        <v>638</v>
      </c>
      <c r="B2554" s="2" t="str">
        <f>IFERROR(__xludf.DUMMYFUNCTION("""COMPUTED_VALUE"""),"JOYPURHAT")</f>
        <v>JOYPURHAT</v>
      </c>
      <c r="C2554" s="4">
        <f>IFERROR(__xludf.DUMMYFUNCTION("""COMPUTED_VALUE"""),60.0)</f>
        <v>60</v>
      </c>
      <c r="D2554" s="2" t="str">
        <f>IFERROR(__xludf.DUMMYFUNCTION("""COMPUTED_VALUE"""),"BRAC BANK LTD.")</f>
        <v>BRAC BANK LTD.</v>
      </c>
      <c r="E2554" s="2" t="str">
        <f>IFERROR(__xludf.DUMMYFUNCTION("""COMPUTED_VALUE"""),"JOYPURHAT")</f>
        <v>JOYPURHAT</v>
      </c>
      <c r="F2554" s="3">
        <f>IFERROR(__xludf.DUMMYFUNCTION("""COMPUTED_VALUE"""),40.0)</f>
        <v>40</v>
      </c>
      <c r="G2554" s="5">
        <f>IFERROR(__xludf.DUMMYFUNCTION("""COMPUTED_VALUE"""),6.0380407E7)</f>
        <v>60380407</v>
      </c>
    </row>
    <row r="2555">
      <c r="A2555" s="3">
        <f>IFERROR(__xludf.DUMMYFUNCTION("""COMPUTED_VALUE"""),139.0)</f>
        <v>139</v>
      </c>
      <c r="B2555" s="2" t="str">
        <f>IFERROR(__xludf.DUMMYFUNCTION("""COMPUTED_VALUE"""),"JAMALPUR")</f>
        <v>JAMALPUR</v>
      </c>
      <c r="C2555" s="4">
        <f>IFERROR(__xludf.DUMMYFUNCTION("""COMPUTED_VALUE"""),60.0)</f>
        <v>60</v>
      </c>
      <c r="D2555" s="2" t="str">
        <f>IFERROR(__xludf.DUMMYFUNCTION("""COMPUTED_VALUE"""),"BRAC BANK LTD.")</f>
        <v>BRAC BANK LTD.</v>
      </c>
      <c r="E2555" s="2" t="str">
        <f>IFERROR(__xludf.DUMMYFUNCTION("""COMPUTED_VALUE"""),"JAMALPUR")</f>
        <v>JAMALPUR</v>
      </c>
      <c r="F2555" s="3">
        <f>IFERROR(__xludf.DUMMYFUNCTION("""COMPUTED_VALUE"""),85.0)</f>
        <v>85</v>
      </c>
      <c r="G2555" s="5">
        <f>IFERROR(__xludf.DUMMYFUNCTION("""COMPUTED_VALUE"""),6.0390855E7)</f>
        <v>60390855</v>
      </c>
    </row>
    <row r="2556">
      <c r="A2556" s="3">
        <f>IFERROR(__xludf.DUMMYFUNCTION("""COMPUTED_VALUE"""),441.0)</f>
        <v>441</v>
      </c>
      <c r="B2556" s="2" t="str">
        <f>IFERROR(__xludf.DUMMYFUNCTION("""COMPUTED_VALUE"""),"JESSORE")</f>
        <v>JESSORE</v>
      </c>
      <c r="C2556" s="4">
        <f>IFERROR(__xludf.DUMMYFUNCTION("""COMPUTED_VALUE"""),60.0)</f>
        <v>60</v>
      </c>
      <c r="D2556" s="2" t="str">
        <f>IFERROR(__xludf.DUMMYFUNCTION("""COMPUTED_VALUE"""),"BRAC BANK LTD.")</f>
        <v>BRAC BANK LTD.</v>
      </c>
      <c r="E2556" s="2" t="str">
        <f>IFERROR(__xludf.DUMMYFUNCTION("""COMPUTED_VALUE"""),"BENAPOLE SME")</f>
        <v>BENAPOLE SME</v>
      </c>
      <c r="F2556" s="3">
        <f>IFERROR(__xludf.DUMMYFUNCTION("""COMPUTED_VALUE"""),29.0)</f>
        <v>29</v>
      </c>
      <c r="G2556" s="5">
        <f>IFERROR(__xludf.DUMMYFUNCTION("""COMPUTED_VALUE"""),6.0410298E7)</f>
        <v>60410298</v>
      </c>
    </row>
    <row r="2557">
      <c r="A2557" s="3">
        <f>IFERROR(__xludf.DUMMYFUNCTION("""COMPUTED_VALUE"""),441.0)</f>
        <v>441</v>
      </c>
      <c r="B2557" s="2" t="str">
        <f>IFERROR(__xludf.DUMMYFUNCTION("""COMPUTED_VALUE"""),"JESSORE")</f>
        <v>JESSORE</v>
      </c>
      <c r="C2557" s="4">
        <f>IFERROR(__xludf.DUMMYFUNCTION("""COMPUTED_VALUE"""),60.0)</f>
        <v>60</v>
      </c>
      <c r="D2557" s="2" t="str">
        <f>IFERROR(__xludf.DUMMYFUNCTION("""COMPUTED_VALUE"""),"BRAC BANK LTD.")</f>
        <v>BRAC BANK LTD.</v>
      </c>
      <c r="E2557" s="2" t="str">
        <f>IFERROR(__xludf.DUMMYFUNCTION("""COMPUTED_VALUE"""),"JESSORE")</f>
        <v>JESSORE</v>
      </c>
      <c r="F2557" s="3">
        <f>IFERROR(__xludf.DUMMYFUNCTION("""COMPUTED_VALUE"""),94.0)</f>
        <v>94</v>
      </c>
      <c r="G2557" s="5">
        <f>IFERROR(__xludf.DUMMYFUNCTION("""COMPUTED_VALUE"""),6.0410948E7)</f>
        <v>60410948</v>
      </c>
    </row>
    <row r="2558">
      <c r="A2558" s="3">
        <f>IFERROR(__xludf.DUMMYFUNCTION("""COMPUTED_VALUE"""),441.0)</f>
        <v>441</v>
      </c>
      <c r="B2558" s="2" t="str">
        <f>IFERROR(__xludf.DUMMYFUNCTION("""COMPUTED_VALUE"""),"JESSORE")</f>
        <v>JESSORE</v>
      </c>
      <c r="C2558" s="4">
        <f>IFERROR(__xludf.DUMMYFUNCTION("""COMPUTED_VALUE"""),60.0)</f>
        <v>60</v>
      </c>
      <c r="D2558" s="2" t="str">
        <f>IFERROR(__xludf.DUMMYFUNCTION("""COMPUTED_VALUE"""),"BRAC BANK LTD.")</f>
        <v>BRAC BANK LTD.</v>
      </c>
      <c r="E2558" s="2" t="str">
        <f>IFERROR(__xludf.DUMMYFUNCTION("""COMPUTED_VALUE"""),"NOAPARA")</f>
        <v>NOAPARA</v>
      </c>
      <c r="F2558" s="3">
        <f>IFERROR(__xludf.DUMMYFUNCTION("""COMPUTED_VALUE"""),163.0)</f>
        <v>163</v>
      </c>
      <c r="G2558" s="5">
        <f>IFERROR(__xludf.DUMMYFUNCTION("""COMPUTED_VALUE"""),6.0411639E7)</f>
        <v>60411639</v>
      </c>
    </row>
    <row r="2559">
      <c r="A2559" s="3">
        <f>IFERROR(__xludf.DUMMYFUNCTION("""COMPUTED_VALUE"""),342.0)</f>
        <v>342</v>
      </c>
      <c r="B2559" s="2" t="str">
        <f>IFERROR(__xludf.DUMMYFUNCTION("""COMPUTED_VALUE"""),"JHALOKATHI")</f>
        <v>JHALOKATHI</v>
      </c>
      <c r="C2559" s="4">
        <f>IFERROR(__xludf.DUMMYFUNCTION("""COMPUTED_VALUE"""),60.0)</f>
        <v>60</v>
      </c>
      <c r="D2559" s="2" t="str">
        <f>IFERROR(__xludf.DUMMYFUNCTION("""COMPUTED_VALUE"""),"BRAC BANK LTD.")</f>
        <v>BRAC BANK LTD.</v>
      </c>
      <c r="E2559" s="2" t="str">
        <f>IFERROR(__xludf.DUMMYFUNCTION("""COMPUTED_VALUE"""),"JHALOKATHI SME")</f>
        <v>JHALOKATHI SME</v>
      </c>
      <c r="F2559" s="3">
        <f>IFERROR(__xludf.DUMMYFUNCTION("""COMPUTED_VALUE"""),32.0)</f>
        <v>32</v>
      </c>
      <c r="G2559" s="5">
        <f>IFERROR(__xludf.DUMMYFUNCTION("""COMPUTED_VALUE"""),6.0420325E7)</f>
        <v>60420325</v>
      </c>
    </row>
    <row r="2560">
      <c r="A2560" s="3">
        <f>IFERROR(__xludf.DUMMYFUNCTION("""COMPUTED_VALUE"""),444.0)</f>
        <v>444</v>
      </c>
      <c r="B2560" s="2" t="str">
        <f>IFERROR(__xludf.DUMMYFUNCTION("""COMPUTED_VALUE"""),"JHENAIDAH")</f>
        <v>JHENAIDAH</v>
      </c>
      <c r="C2560" s="4">
        <f>IFERROR(__xludf.DUMMYFUNCTION("""COMPUTED_VALUE"""),60.0)</f>
        <v>60</v>
      </c>
      <c r="D2560" s="2" t="str">
        <f>IFERROR(__xludf.DUMMYFUNCTION("""COMPUTED_VALUE"""),"BRAC BANK LTD.")</f>
        <v>BRAC BANK LTD.</v>
      </c>
      <c r="E2560" s="2" t="str">
        <f>IFERROR(__xludf.DUMMYFUNCTION("""COMPUTED_VALUE"""),"JHENAIDAH")</f>
        <v>JHENAIDAH</v>
      </c>
      <c r="F2560" s="3">
        <f>IFERROR(__xludf.DUMMYFUNCTION("""COMPUTED_VALUE"""),64.0)</f>
        <v>64</v>
      </c>
      <c r="G2560" s="5">
        <f>IFERROR(__xludf.DUMMYFUNCTION("""COMPUTED_VALUE"""),6.0440642E7)</f>
        <v>60440642</v>
      </c>
    </row>
    <row r="2561">
      <c r="A2561" s="3">
        <f>IFERROR(__xludf.DUMMYFUNCTION("""COMPUTED_VALUE"""),447.0)</f>
        <v>447</v>
      </c>
      <c r="B2561" s="2" t="str">
        <f>IFERROR(__xludf.DUMMYFUNCTION("""COMPUTED_VALUE"""),"KHULNA")</f>
        <v>KHULNA</v>
      </c>
      <c r="C2561" s="4">
        <f>IFERROR(__xludf.DUMMYFUNCTION("""COMPUTED_VALUE"""),60.0)</f>
        <v>60</v>
      </c>
      <c r="D2561" s="2" t="str">
        <f>IFERROR(__xludf.DUMMYFUNCTION("""COMPUTED_VALUE"""),"BRAC BANK LTD.")</f>
        <v>BRAC BANK LTD.</v>
      </c>
      <c r="E2561" s="2" t="str">
        <f>IFERROR(__xludf.DUMMYFUNCTION("""COMPUTED_VALUE"""),"BORO BAZAR")</f>
        <v>BORO BAZAR</v>
      </c>
      <c r="F2561" s="3">
        <f>IFERROR(__xludf.DUMMYFUNCTION("""COMPUTED_VALUE"""),37.0)</f>
        <v>37</v>
      </c>
      <c r="G2561" s="5">
        <f>IFERROR(__xludf.DUMMYFUNCTION("""COMPUTED_VALUE"""),6.0470375E7)</f>
        <v>60470375</v>
      </c>
    </row>
    <row r="2562">
      <c r="A2562" s="3">
        <f>IFERROR(__xludf.DUMMYFUNCTION("""COMPUTED_VALUE"""),447.0)</f>
        <v>447</v>
      </c>
      <c r="B2562" s="2" t="str">
        <f>IFERROR(__xludf.DUMMYFUNCTION("""COMPUTED_VALUE"""),"KHULNA")</f>
        <v>KHULNA</v>
      </c>
      <c r="C2562" s="4">
        <f>IFERROR(__xludf.DUMMYFUNCTION("""COMPUTED_VALUE"""),60.0)</f>
        <v>60</v>
      </c>
      <c r="D2562" s="2" t="str">
        <f>IFERROR(__xludf.DUMMYFUNCTION("""COMPUTED_VALUE"""),"BRAC BANK LTD.")</f>
        <v>BRAC BANK LTD.</v>
      </c>
      <c r="E2562" s="2" t="str">
        <f>IFERROR(__xludf.DUMMYFUNCTION("""COMPUTED_VALUE"""),"DAULATPUR")</f>
        <v>DAULATPUR</v>
      </c>
      <c r="F2562" s="3">
        <f>IFERROR(__xludf.DUMMYFUNCTION("""COMPUTED_VALUE"""),70.0)</f>
        <v>70</v>
      </c>
      <c r="G2562" s="5">
        <f>IFERROR(__xludf.DUMMYFUNCTION("""COMPUTED_VALUE"""),6.0470704E7)</f>
        <v>60470704</v>
      </c>
    </row>
    <row r="2563">
      <c r="A2563" s="3">
        <f>IFERROR(__xludf.DUMMYFUNCTION("""COMPUTED_VALUE"""),447.0)</f>
        <v>447</v>
      </c>
      <c r="B2563" s="2" t="str">
        <f>IFERROR(__xludf.DUMMYFUNCTION("""COMPUTED_VALUE"""),"KHULNA")</f>
        <v>KHULNA</v>
      </c>
      <c r="C2563" s="4">
        <f>IFERROR(__xludf.DUMMYFUNCTION("""COMPUTED_VALUE"""),60.0)</f>
        <v>60</v>
      </c>
      <c r="D2563" s="2" t="str">
        <f>IFERROR(__xludf.DUMMYFUNCTION("""COMPUTED_VALUE"""),"BRAC BANK LTD.")</f>
        <v>BRAC BANK LTD.</v>
      </c>
      <c r="E2563" s="2" t="str">
        <f>IFERROR(__xludf.DUMMYFUNCTION("""COMPUTED_VALUE"""),"KHULNA")</f>
        <v>KHULNA</v>
      </c>
      <c r="F2563" s="3">
        <f>IFERROR(__xludf.DUMMYFUNCTION("""COMPUTED_VALUE"""),154.0)</f>
        <v>154</v>
      </c>
      <c r="G2563" s="5">
        <f>IFERROR(__xludf.DUMMYFUNCTION("""COMPUTED_VALUE"""),6.0471545E7)</f>
        <v>60471545</v>
      </c>
    </row>
    <row r="2564">
      <c r="A2564" s="3">
        <f>IFERROR(__xludf.DUMMYFUNCTION("""COMPUTED_VALUE"""),148.0)</f>
        <v>148</v>
      </c>
      <c r="B2564" s="2" t="str">
        <f>IFERROR(__xludf.DUMMYFUNCTION("""COMPUTED_VALUE"""),"KISHOREGANJ")</f>
        <v>KISHOREGANJ</v>
      </c>
      <c r="C2564" s="4">
        <f>IFERROR(__xludf.DUMMYFUNCTION("""COMPUTED_VALUE"""),60.0)</f>
        <v>60</v>
      </c>
      <c r="D2564" s="2" t="str">
        <f>IFERROR(__xludf.DUMMYFUNCTION("""COMPUTED_VALUE"""),"BRAC BANK LTD.")</f>
        <v>BRAC BANK LTD.</v>
      </c>
      <c r="E2564" s="2" t="str">
        <f>IFERROR(__xludf.DUMMYFUNCTION("""COMPUTED_VALUE"""),"BHAIRAB")</f>
        <v>BHAIRAB</v>
      </c>
      <c r="F2564" s="3">
        <f>IFERROR(__xludf.DUMMYFUNCTION("""COMPUTED_VALUE"""),19.0)</f>
        <v>19</v>
      </c>
      <c r="G2564" s="5">
        <f>IFERROR(__xludf.DUMMYFUNCTION("""COMPUTED_VALUE"""),6.0480194E7)</f>
        <v>60480194</v>
      </c>
    </row>
    <row r="2565">
      <c r="A2565" s="3">
        <f>IFERROR(__xludf.DUMMYFUNCTION("""COMPUTED_VALUE"""),148.0)</f>
        <v>148</v>
      </c>
      <c r="B2565" s="2" t="str">
        <f>IFERROR(__xludf.DUMMYFUNCTION("""COMPUTED_VALUE"""),"KISHOREGANJ")</f>
        <v>KISHOREGANJ</v>
      </c>
      <c r="C2565" s="4">
        <f>IFERROR(__xludf.DUMMYFUNCTION("""COMPUTED_VALUE"""),60.0)</f>
        <v>60</v>
      </c>
      <c r="D2565" s="2" t="str">
        <f>IFERROR(__xludf.DUMMYFUNCTION("""COMPUTED_VALUE"""),"BRAC BANK LTD.")</f>
        <v>BRAC BANK LTD.</v>
      </c>
      <c r="E2565" s="2" t="str">
        <f>IFERROR(__xludf.DUMMYFUNCTION("""COMPUTED_VALUE"""),"KISHOREGANJ")</f>
        <v>KISHOREGANJ</v>
      </c>
      <c r="F2565" s="3">
        <f>IFERROR(__xludf.DUMMYFUNCTION("""COMPUTED_VALUE"""),67.0)</f>
        <v>67</v>
      </c>
      <c r="G2565" s="5">
        <f>IFERROR(__xludf.DUMMYFUNCTION("""COMPUTED_VALUE"""),6.0480673E7)</f>
        <v>60480673</v>
      </c>
    </row>
    <row r="2566">
      <c r="A2566" s="3">
        <f>IFERROR(__xludf.DUMMYFUNCTION("""COMPUTED_VALUE"""),450.0)</f>
        <v>450</v>
      </c>
      <c r="B2566" s="2" t="str">
        <f>IFERROR(__xludf.DUMMYFUNCTION("""COMPUTED_VALUE"""),"KUSHTIA")</f>
        <v>KUSHTIA</v>
      </c>
      <c r="C2566" s="4">
        <f>IFERROR(__xludf.DUMMYFUNCTION("""COMPUTED_VALUE"""),60.0)</f>
        <v>60</v>
      </c>
      <c r="D2566" s="2" t="str">
        <f>IFERROR(__xludf.DUMMYFUNCTION("""COMPUTED_VALUE"""),"BRAC BANK LTD.")</f>
        <v>BRAC BANK LTD.</v>
      </c>
      <c r="E2566" s="2" t="str">
        <f>IFERROR(__xludf.DUMMYFUNCTION("""COMPUTED_VALUE"""),"BHERAMARA")</f>
        <v>BHERAMARA</v>
      </c>
      <c r="F2566" s="3">
        <f>IFERROR(__xludf.DUMMYFUNCTION("""COMPUTED_VALUE"""),28.0)</f>
        <v>28</v>
      </c>
      <c r="G2566" s="5">
        <f>IFERROR(__xludf.DUMMYFUNCTION("""COMPUTED_VALUE"""),6.0500287E7)</f>
        <v>60500287</v>
      </c>
    </row>
    <row r="2567">
      <c r="A2567" s="3">
        <f>IFERROR(__xludf.DUMMYFUNCTION("""COMPUTED_VALUE"""),450.0)</f>
        <v>450</v>
      </c>
      <c r="B2567" s="2" t="str">
        <f>IFERROR(__xludf.DUMMYFUNCTION("""COMPUTED_VALUE"""),"KUSHTIA")</f>
        <v>KUSHTIA</v>
      </c>
      <c r="C2567" s="4">
        <f>IFERROR(__xludf.DUMMYFUNCTION("""COMPUTED_VALUE"""),60.0)</f>
        <v>60</v>
      </c>
      <c r="D2567" s="2" t="str">
        <f>IFERROR(__xludf.DUMMYFUNCTION("""COMPUTED_VALUE"""),"BRAC BANK LTD.")</f>
        <v>BRAC BANK LTD.</v>
      </c>
      <c r="E2567" s="2" t="str">
        <f>IFERROR(__xludf.DUMMYFUNCTION("""COMPUTED_VALUE"""),"KUSHTIA")</f>
        <v>KUSHTIA</v>
      </c>
      <c r="F2567" s="3">
        <f>IFERROR(__xludf.DUMMYFUNCTION("""COMPUTED_VALUE"""),94.0)</f>
        <v>94</v>
      </c>
      <c r="G2567" s="5">
        <f>IFERROR(__xludf.DUMMYFUNCTION("""COMPUTED_VALUE"""),6.050094E7)</f>
        <v>60500940</v>
      </c>
    </row>
    <row r="2568">
      <c r="A2568" s="3">
        <f>IFERROR(__xludf.DUMMYFUNCTION("""COMPUTED_VALUE"""),450.0)</f>
        <v>450</v>
      </c>
      <c r="B2568" s="2" t="str">
        <f>IFERROR(__xludf.DUMMYFUNCTION("""COMPUTED_VALUE"""),"KUSHTIA")</f>
        <v>KUSHTIA</v>
      </c>
      <c r="C2568" s="4">
        <f>IFERROR(__xludf.DUMMYFUNCTION("""COMPUTED_VALUE"""),60.0)</f>
        <v>60</v>
      </c>
      <c r="D2568" s="2" t="str">
        <f>IFERROR(__xludf.DUMMYFUNCTION("""COMPUTED_VALUE"""),"BRAC BANK LTD.")</f>
        <v>BRAC BANK LTD.</v>
      </c>
      <c r="E2568" s="2" t="str">
        <f>IFERROR(__xludf.DUMMYFUNCTION("""COMPUTED_VALUE"""),"PORADAH")</f>
        <v>PORADAH</v>
      </c>
      <c r="F2568" s="3">
        <f>IFERROR(__xludf.DUMMYFUNCTION("""COMPUTED_VALUE"""),136.0)</f>
        <v>136</v>
      </c>
      <c r="G2568" s="5">
        <f>IFERROR(__xludf.DUMMYFUNCTION("""COMPUTED_VALUE"""),6.0501365E7)</f>
        <v>60501365</v>
      </c>
    </row>
    <row r="2569">
      <c r="A2569" s="3">
        <f>IFERROR(__xludf.DUMMYFUNCTION("""COMPUTED_VALUE"""),251.0)</f>
        <v>251</v>
      </c>
      <c r="B2569" s="2" t="str">
        <f>IFERROR(__xludf.DUMMYFUNCTION("""COMPUTED_VALUE"""),"LAKSHMIPUR")</f>
        <v>LAKSHMIPUR</v>
      </c>
      <c r="C2569" s="4">
        <f>IFERROR(__xludf.DUMMYFUNCTION("""COMPUTED_VALUE"""),60.0)</f>
        <v>60</v>
      </c>
      <c r="D2569" s="2" t="str">
        <f>IFERROR(__xludf.DUMMYFUNCTION("""COMPUTED_VALUE"""),"BRAC BANK LTD.")</f>
        <v>BRAC BANK LTD.</v>
      </c>
      <c r="E2569" s="2" t="str">
        <f>IFERROR(__xludf.DUMMYFUNCTION("""COMPUTED_VALUE"""),"LAKSHMIPUR")</f>
        <v>LAKSHMIPUR</v>
      </c>
      <c r="F2569" s="4">
        <f>IFERROR(__xludf.DUMMYFUNCTION("""COMPUTED_VALUE"""),73.0)</f>
        <v>73</v>
      </c>
      <c r="G2569" s="5">
        <f>IFERROR(__xludf.DUMMYFUNCTION("""COMPUTED_VALUE"""),6.051073E7)</f>
        <v>60510730</v>
      </c>
    </row>
    <row r="2570">
      <c r="A2570" s="3">
        <f>IFERROR(__xludf.DUMMYFUNCTION("""COMPUTED_VALUE"""),251.0)</f>
        <v>251</v>
      </c>
      <c r="B2570" s="2" t="str">
        <f>IFERROR(__xludf.DUMMYFUNCTION("""COMPUTED_VALUE"""),"LAKSHMIPUR")</f>
        <v>LAKSHMIPUR</v>
      </c>
      <c r="C2570" s="4">
        <f>IFERROR(__xludf.DUMMYFUNCTION("""COMPUTED_VALUE"""),60.0)</f>
        <v>60</v>
      </c>
      <c r="D2570" s="2" t="str">
        <f>IFERROR(__xludf.DUMMYFUNCTION("""COMPUTED_VALUE"""),"BRAC BANK LTD.")</f>
        <v>BRAC BANK LTD.</v>
      </c>
      <c r="E2570" s="2" t="str">
        <f>IFERROR(__xludf.DUMMYFUNCTION("""COMPUTED_VALUE"""),"RAIPUR")</f>
        <v>RAIPUR</v>
      </c>
      <c r="F2570" s="4">
        <f>IFERROR(__xludf.DUMMYFUNCTION("""COMPUTED_VALUE"""),97.0)</f>
        <v>97</v>
      </c>
      <c r="G2570" s="5">
        <f>IFERROR(__xludf.DUMMYFUNCTION("""COMPUTED_VALUE"""),6.0510972E7)</f>
        <v>60510972</v>
      </c>
    </row>
    <row r="2571">
      <c r="A2571" s="3">
        <f>IFERROR(__xludf.DUMMYFUNCTION("""COMPUTED_VALUE"""),354.0)</f>
        <v>354</v>
      </c>
      <c r="B2571" s="2" t="str">
        <f>IFERROR(__xludf.DUMMYFUNCTION("""COMPUTED_VALUE"""),"MADARIPUR")</f>
        <v>MADARIPUR</v>
      </c>
      <c r="C2571" s="4">
        <f>IFERROR(__xludf.DUMMYFUNCTION("""COMPUTED_VALUE"""),60.0)</f>
        <v>60</v>
      </c>
      <c r="D2571" s="2" t="str">
        <f>IFERROR(__xludf.DUMMYFUNCTION("""COMPUTED_VALUE"""),"BRAC BANK LTD.")</f>
        <v>BRAC BANK LTD.</v>
      </c>
      <c r="E2571" s="2" t="str">
        <f>IFERROR(__xludf.DUMMYFUNCTION("""COMPUTED_VALUE"""),"MADARIPUR")</f>
        <v>MADARIPUR</v>
      </c>
      <c r="F2571" s="4">
        <f>IFERROR(__xludf.DUMMYFUNCTION("""COMPUTED_VALUE"""),40.0)</f>
        <v>40</v>
      </c>
      <c r="G2571" s="5">
        <f>IFERROR(__xludf.DUMMYFUNCTION("""COMPUTED_VALUE"""),6.0540405E7)</f>
        <v>60540405</v>
      </c>
    </row>
    <row r="2572">
      <c r="A2572" s="3">
        <f>IFERROR(__xludf.DUMMYFUNCTION("""COMPUTED_VALUE"""),354.0)</f>
        <v>354</v>
      </c>
      <c r="B2572" s="2" t="str">
        <f>IFERROR(__xludf.DUMMYFUNCTION("""COMPUTED_VALUE"""),"MADARIPUR")</f>
        <v>MADARIPUR</v>
      </c>
      <c r="C2572" s="4">
        <f>IFERROR(__xludf.DUMMYFUNCTION("""COMPUTED_VALUE"""),60.0)</f>
        <v>60</v>
      </c>
      <c r="D2572" s="2" t="str">
        <f>IFERROR(__xludf.DUMMYFUNCTION("""COMPUTED_VALUE"""),"BRAC BANK LTD.")</f>
        <v>BRAC BANK LTD.</v>
      </c>
      <c r="E2572" s="2" t="str">
        <f>IFERROR(__xludf.DUMMYFUNCTION("""COMPUTED_VALUE"""),"SHIBCHAR")</f>
        <v>SHIBCHAR</v>
      </c>
      <c r="F2572" s="4">
        <f>IFERROR(__xludf.DUMMYFUNCTION("""COMPUTED_VALUE"""),70.0)</f>
        <v>70</v>
      </c>
      <c r="G2572" s="5">
        <f>IFERROR(__xludf.DUMMYFUNCTION("""COMPUTED_VALUE"""),6.05407E7)</f>
        <v>60540700</v>
      </c>
    </row>
    <row r="2573">
      <c r="A2573" s="3">
        <f>IFERROR(__xludf.DUMMYFUNCTION("""COMPUTED_VALUE"""),455.0)</f>
        <v>455</v>
      </c>
      <c r="B2573" s="2" t="str">
        <f>IFERROR(__xludf.DUMMYFUNCTION("""COMPUTED_VALUE"""),"MAGURA")</f>
        <v>MAGURA</v>
      </c>
      <c r="C2573" s="4">
        <f>IFERROR(__xludf.DUMMYFUNCTION("""COMPUTED_VALUE"""),60.0)</f>
        <v>60</v>
      </c>
      <c r="D2573" s="2" t="str">
        <f>IFERROR(__xludf.DUMMYFUNCTION("""COMPUTED_VALUE"""),"BRAC BANK LTD.")</f>
        <v>BRAC BANK LTD.</v>
      </c>
      <c r="E2573" s="2" t="str">
        <f>IFERROR(__xludf.DUMMYFUNCTION("""COMPUTED_VALUE"""),"MAGURA SME")</f>
        <v>MAGURA SME</v>
      </c>
      <c r="F2573" s="4">
        <f>IFERROR(__xludf.DUMMYFUNCTION("""COMPUTED_VALUE"""),56.0)</f>
        <v>56</v>
      </c>
      <c r="G2573" s="5">
        <f>IFERROR(__xludf.DUMMYFUNCTION("""COMPUTED_VALUE"""),6.0550561E7)</f>
        <v>60550561</v>
      </c>
    </row>
    <row r="2574">
      <c r="A2574" s="3">
        <f>IFERROR(__xludf.DUMMYFUNCTION("""COMPUTED_VALUE"""),156.0)</f>
        <v>156</v>
      </c>
      <c r="B2574" s="2" t="str">
        <f>IFERROR(__xludf.DUMMYFUNCTION("""COMPUTED_VALUE"""),"MANIKGANJ")</f>
        <v>MANIKGANJ</v>
      </c>
      <c r="C2574" s="4">
        <f>IFERROR(__xludf.DUMMYFUNCTION("""COMPUTED_VALUE"""),60.0)</f>
        <v>60</v>
      </c>
      <c r="D2574" s="2" t="str">
        <f>IFERROR(__xludf.DUMMYFUNCTION("""COMPUTED_VALUE"""),"BRAC BANK LTD.")</f>
        <v>BRAC BANK LTD.</v>
      </c>
      <c r="E2574" s="2" t="str">
        <f>IFERROR(__xludf.DUMMYFUNCTION("""COMPUTED_VALUE"""),"MANIKGANJ")</f>
        <v>MANIKGANJ</v>
      </c>
      <c r="F2574" s="4">
        <f>IFERROR(__xludf.DUMMYFUNCTION("""COMPUTED_VALUE"""),61.0)</f>
        <v>61</v>
      </c>
      <c r="G2574" s="5">
        <f>IFERROR(__xludf.DUMMYFUNCTION("""COMPUTED_VALUE"""),6.0560614E7)</f>
        <v>60560614</v>
      </c>
    </row>
    <row r="2575">
      <c r="A2575" s="3">
        <f>IFERROR(__xludf.DUMMYFUNCTION("""COMPUTED_VALUE"""),275.0)</f>
        <v>275</v>
      </c>
      <c r="B2575" s="2" t="str">
        <f>IFERROR(__xludf.DUMMYFUNCTION("""COMPUTED_VALUE"""),"NOAKHALI")</f>
        <v>NOAKHALI</v>
      </c>
      <c r="C2575" s="4">
        <f>IFERROR(__xludf.DUMMYFUNCTION("""COMPUTED_VALUE"""),60.0)</f>
        <v>60</v>
      </c>
      <c r="D2575" s="2" t="str">
        <f>IFERROR(__xludf.DUMMYFUNCTION("""COMPUTED_VALUE"""),"BRAC BANK LTD.")</f>
        <v>BRAC BANK LTD.</v>
      </c>
      <c r="E2575" s="2" t="str">
        <f>IFERROR(__xludf.DUMMYFUNCTION("""COMPUTED_VALUE"""),"MAIJDEE COURT")</f>
        <v>MAIJDEE COURT</v>
      </c>
      <c r="F2575" s="4">
        <f>IFERROR(__xludf.DUMMYFUNCTION("""COMPUTED_VALUE"""),157.0)</f>
        <v>157</v>
      </c>
      <c r="G2575" s="5">
        <f>IFERROR(__xludf.DUMMYFUNCTION("""COMPUTED_VALUE"""),6.0571579E7)</f>
        <v>60571579</v>
      </c>
    </row>
    <row r="2576">
      <c r="A2576" s="3">
        <f>IFERROR(__xludf.DUMMYFUNCTION("""COMPUTED_VALUE"""),858.0)</f>
        <v>858</v>
      </c>
      <c r="B2576" s="2" t="str">
        <f>IFERROR(__xludf.DUMMYFUNCTION("""COMPUTED_VALUE"""),"MOULVI BAZAR")</f>
        <v>MOULVI BAZAR</v>
      </c>
      <c r="C2576" s="4">
        <f>IFERROR(__xludf.DUMMYFUNCTION("""COMPUTED_VALUE"""),60.0)</f>
        <v>60</v>
      </c>
      <c r="D2576" s="2" t="str">
        <f>IFERROR(__xludf.DUMMYFUNCTION("""COMPUTED_VALUE"""),"BRAC BANK LTD.")</f>
        <v>BRAC BANK LTD.</v>
      </c>
      <c r="E2576" s="2" t="str">
        <f>IFERROR(__xludf.DUMMYFUNCTION("""COMPUTED_VALUE"""),"MOULAVI BAZAR")</f>
        <v>MOULAVI BAZAR</v>
      </c>
      <c r="F2576" s="4">
        <f>IFERROR(__xludf.DUMMYFUNCTION("""COMPUTED_VALUE"""),118.0)</f>
        <v>118</v>
      </c>
      <c r="G2576" s="5">
        <f>IFERROR(__xludf.DUMMYFUNCTION("""COMPUTED_VALUE"""),6.0581185E7)</f>
        <v>60581185</v>
      </c>
    </row>
    <row r="2577">
      <c r="A2577" s="3">
        <f>IFERROR(__xludf.DUMMYFUNCTION("""COMPUTED_VALUE"""),159.0)</f>
        <v>159</v>
      </c>
      <c r="B2577" s="2" t="str">
        <f>IFERROR(__xludf.DUMMYFUNCTION("""COMPUTED_VALUE"""),"MUNSHIGANJ")</f>
        <v>MUNSHIGANJ</v>
      </c>
      <c r="C2577" s="4">
        <f>IFERROR(__xludf.DUMMYFUNCTION("""COMPUTED_VALUE"""),60.0)</f>
        <v>60</v>
      </c>
      <c r="D2577" s="2" t="str">
        <f>IFERROR(__xludf.DUMMYFUNCTION("""COMPUTED_VALUE"""),"BRAC BANK LTD.")</f>
        <v>BRAC BANK LTD.</v>
      </c>
      <c r="E2577" s="2" t="str">
        <f>IFERROR(__xludf.DUMMYFUNCTION("""COMPUTED_VALUE"""),"MUNSHIGANJ")</f>
        <v>MUNSHIGANJ</v>
      </c>
      <c r="F2577" s="4">
        <f>IFERROR(__xludf.DUMMYFUNCTION("""COMPUTED_VALUE"""),103.0)</f>
        <v>103</v>
      </c>
      <c r="G2577" s="5">
        <f>IFERROR(__xludf.DUMMYFUNCTION("""COMPUTED_VALUE"""),6.0591038E7)</f>
        <v>60591038</v>
      </c>
    </row>
    <row r="2578">
      <c r="A2578" s="3">
        <f>IFERROR(__xludf.DUMMYFUNCTION("""COMPUTED_VALUE"""),159.0)</f>
        <v>159</v>
      </c>
      <c r="B2578" s="2" t="str">
        <f>IFERROR(__xludf.DUMMYFUNCTION("""COMPUTED_VALUE"""),"MUNSHIGANJ")</f>
        <v>MUNSHIGANJ</v>
      </c>
      <c r="C2578" s="4">
        <f>IFERROR(__xludf.DUMMYFUNCTION("""COMPUTED_VALUE"""),60.0)</f>
        <v>60</v>
      </c>
      <c r="D2578" s="2" t="str">
        <f>IFERROR(__xludf.DUMMYFUNCTION("""COMPUTED_VALUE"""),"BRAC BANK LTD.")</f>
        <v>BRAC BANK LTD.</v>
      </c>
      <c r="E2578" s="2" t="str">
        <f>IFERROR(__xludf.DUMMYFUNCTION("""COMPUTED_VALUE"""),"SREENAGAR")</f>
        <v>SREENAGAR</v>
      </c>
      <c r="F2578" s="4">
        <f>IFERROR(__xludf.DUMMYFUNCTION("""COMPUTED_VALUE"""),142.0)</f>
        <v>142</v>
      </c>
      <c r="G2578" s="5">
        <f>IFERROR(__xludf.DUMMYFUNCTION("""COMPUTED_VALUE"""),6.0591425E7)</f>
        <v>60591425</v>
      </c>
    </row>
    <row r="2579">
      <c r="A2579" s="3">
        <f>IFERROR(__xludf.DUMMYFUNCTION("""COMPUTED_VALUE"""),161.0)</f>
        <v>161</v>
      </c>
      <c r="B2579" s="2" t="str">
        <f>IFERROR(__xludf.DUMMYFUNCTION("""COMPUTED_VALUE"""),"MYMENSINGH")</f>
        <v>MYMENSINGH</v>
      </c>
      <c r="C2579" s="4">
        <f>IFERROR(__xludf.DUMMYFUNCTION("""COMPUTED_VALUE"""),60.0)</f>
        <v>60</v>
      </c>
      <c r="D2579" s="2" t="str">
        <f>IFERROR(__xludf.DUMMYFUNCTION("""COMPUTED_VALUE"""),"BRAC BANK LTD.")</f>
        <v>BRAC BANK LTD.</v>
      </c>
      <c r="E2579" s="2" t="str">
        <f>IFERROR(__xludf.DUMMYFUNCTION("""COMPUTED_VALUE"""),"MUKTAGACHA")</f>
        <v>MUKTAGACHA</v>
      </c>
      <c r="F2579" s="4">
        <f>IFERROR(__xludf.DUMMYFUNCTION("""COMPUTED_VALUE"""),169.0)</f>
        <v>169</v>
      </c>
      <c r="G2579" s="5">
        <f>IFERROR(__xludf.DUMMYFUNCTION("""COMPUTED_VALUE"""),6.0611697E7)</f>
        <v>60611697</v>
      </c>
    </row>
    <row r="2580">
      <c r="A2580" s="3">
        <f>IFERROR(__xludf.DUMMYFUNCTION("""COMPUTED_VALUE"""),161.0)</f>
        <v>161</v>
      </c>
      <c r="B2580" s="2" t="str">
        <f>IFERROR(__xludf.DUMMYFUNCTION("""COMPUTED_VALUE"""),"MYMENSINGH")</f>
        <v>MYMENSINGH</v>
      </c>
      <c r="C2580" s="4">
        <f>IFERROR(__xludf.DUMMYFUNCTION("""COMPUTED_VALUE"""),60.0)</f>
        <v>60</v>
      </c>
      <c r="D2580" s="2" t="str">
        <f>IFERROR(__xludf.DUMMYFUNCTION("""COMPUTED_VALUE"""),"BRAC BANK LTD.")</f>
        <v>BRAC BANK LTD.</v>
      </c>
      <c r="E2580" s="2" t="str">
        <f>IFERROR(__xludf.DUMMYFUNCTION("""COMPUTED_VALUE"""),"MYMENSINGH")</f>
        <v>MYMENSINGH</v>
      </c>
      <c r="F2580" s="4">
        <f>IFERROR(__xludf.DUMMYFUNCTION("""COMPUTED_VALUE"""),175.0)</f>
        <v>175</v>
      </c>
      <c r="G2580" s="5">
        <f>IFERROR(__xludf.DUMMYFUNCTION("""COMPUTED_VALUE"""),6.061175E7)</f>
        <v>60611750</v>
      </c>
    </row>
    <row r="2581">
      <c r="A2581" s="3">
        <f>IFERROR(__xludf.DUMMYFUNCTION("""COMPUTED_VALUE"""),564.0)</f>
        <v>564</v>
      </c>
      <c r="B2581" s="2" t="str">
        <f>IFERROR(__xludf.DUMMYFUNCTION("""COMPUTED_VALUE"""),"NAOGAON")</f>
        <v>NAOGAON</v>
      </c>
      <c r="C2581" s="4">
        <f>IFERROR(__xludf.DUMMYFUNCTION("""COMPUTED_VALUE"""),60.0)</f>
        <v>60</v>
      </c>
      <c r="D2581" s="2" t="str">
        <f>IFERROR(__xludf.DUMMYFUNCTION("""COMPUTED_VALUE"""),"BRAC BANK LTD.")</f>
        <v>BRAC BANK LTD.</v>
      </c>
      <c r="E2581" s="2" t="str">
        <f>IFERROR(__xludf.DUMMYFUNCTION("""COMPUTED_VALUE"""),"MOHADEBPUR")</f>
        <v>MOHADEBPUR</v>
      </c>
      <c r="F2581" s="4">
        <f>IFERROR(__xludf.DUMMYFUNCTION("""COMPUTED_VALUE"""),109.0)</f>
        <v>109</v>
      </c>
      <c r="G2581" s="5">
        <f>IFERROR(__xludf.DUMMYFUNCTION("""COMPUTED_VALUE"""),6.0641096E7)</f>
        <v>60641096</v>
      </c>
    </row>
    <row r="2582">
      <c r="A2582" s="3">
        <f>IFERROR(__xludf.DUMMYFUNCTION("""COMPUTED_VALUE"""),564.0)</f>
        <v>564</v>
      </c>
      <c r="B2582" s="2" t="str">
        <f>IFERROR(__xludf.DUMMYFUNCTION("""COMPUTED_VALUE"""),"NAOGAON")</f>
        <v>NAOGAON</v>
      </c>
      <c r="C2582" s="4">
        <f>IFERROR(__xludf.DUMMYFUNCTION("""COMPUTED_VALUE"""),60.0)</f>
        <v>60</v>
      </c>
      <c r="D2582" s="2" t="str">
        <f>IFERROR(__xludf.DUMMYFUNCTION("""COMPUTED_VALUE"""),"BRAC BANK LTD.")</f>
        <v>BRAC BANK LTD.</v>
      </c>
      <c r="E2582" s="2" t="str">
        <f>IFERROR(__xludf.DUMMYFUNCTION("""COMPUTED_VALUE"""),"NAOGAON SME")</f>
        <v>NAOGAON SME</v>
      </c>
      <c r="F2582" s="4">
        <f>IFERROR(__xludf.DUMMYFUNCTION("""COMPUTED_VALUE"""),119.0)</f>
        <v>119</v>
      </c>
      <c r="G2582" s="5">
        <f>IFERROR(__xludf.DUMMYFUNCTION("""COMPUTED_VALUE"""),6.0641191E7)</f>
        <v>60641191</v>
      </c>
    </row>
    <row r="2583">
      <c r="A2583" s="3">
        <f>IFERROR(__xludf.DUMMYFUNCTION("""COMPUTED_VALUE"""),167.0)</f>
        <v>167</v>
      </c>
      <c r="B2583" s="2" t="str">
        <f>IFERROR(__xludf.DUMMYFUNCTION("""COMPUTED_VALUE"""),"NARAYANGANJ")</f>
        <v>NARAYANGANJ</v>
      </c>
      <c r="C2583" s="4">
        <f>IFERROR(__xludf.DUMMYFUNCTION("""COMPUTED_VALUE"""),60.0)</f>
        <v>60</v>
      </c>
      <c r="D2583" s="2" t="str">
        <f>IFERROR(__xludf.DUMMYFUNCTION("""COMPUTED_VALUE"""),"BRAC BANK LTD.")</f>
        <v>BRAC BANK LTD.</v>
      </c>
      <c r="E2583" s="2" t="str">
        <f>IFERROR(__xludf.DUMMYFUNCTION("""COMPUTED_VALUE"""),"ARAIHAZAR SME")</f>
        <v>ARAIHAZAR SME</v>
      </c>
      <c r="F2583" s="4">
        <f>IFERROR(__xludf.DUMMYFUNCTION("""COMPUTED_VALUE"""),5.0)</f>
        <v>5</v>
      </c>
      <c r="G2583" s="5">
        <f>IFERROR(__xludf.DUMMYFUNCTION("""COMPUTED_VALUE"""),6.0670054E7)</f>
        <v>60670054</v>
      </c>
    </row>
    <row r="2584">
      <c r="A2584" s="3">
        <f>IFERROR(__xludf.DUMMYFUNCTION("""COMPUTED_VALUE"""),167.0)</f>
        <v>167</v>
      </c>
      <c r="B2584" s="2" t="str">
        <f>IFERROR(__xludf.DUMMYFUNCTION("""COMPUTED_VALUE"""),"NARAYANGANJ")</f>
        <v>NARAYANGANJ</v>
      </c>
      <c r="C2584" s="4">
        <f>IFERROR(__xludf.DUMMYFUNCTION("""COMPUTED_VALUE"""),60.0)</f>
        <v>60</v>
      </c>
      <c r="D2584" s="2" t="str">
        <f>IFERROR(__xludf.DUMMYFUNCTION("""COMPUTED_VALUE"""),"BRAC BANK LTD.")</f>
        <v>BRAC BANK LTD.</v>
      </c>
      <c r="E2584" s="2" t="str">
        <f>IFERROR(__xludf.DUMMYFUNCTION("""COMPUTED_VALUE"""),"BHULTA SME")</f>
        <v>BHULTA SME</v>
      </c>
      <c r="F2584" s="4">
        <f>IFERROR(__xludf.DUMMYFUNCTION("""COMPUTED_VALUE"""),23.0)</f>
        <v>23</v>
      </c>
      <c r="G2584" s="5">
        <f>IFERROR(__xludf.DUMMYFUNCTION("""COMPUTED_VALUE"""),6.0670238E7)</f>
        <v>60670238</v>
      </c>
    </row>
    <row r="2585">
      <c r="A2585" s="3">
        <f>IFERROR(__xludf.DUMMYFUNCTION("""COMPUTED_VALUE"""),167.0)</f>
        <v>167</v>
      </c>
      <c r="B2585" s="2" t="str">
        <f>IFERROR(__xludf.DUMMYFUNCTION("""COMPUTED_VALUE"""),"NARAYANGANJ")</f>
        <v>NARAYANGANJ</v>
      </c>
      <c r="C2585" s="4">
        <f>IFERROR(__xludf.DUMMYFUNCTION("""COMPUTED_VALUE"""),60.0)</f>
        <v>60</v>
      </c>
      <c r="D2585" s="2" t="str">
        <f>IFERROR(__xludf.DUMMYFUNCTION("""COMPUTED_VALUE"""),"BRAC BANK LTD.")</f>
        <v>BRAC BANK LTD.</v>
      </c>
      <c r="E2585" s="2" t="str">
        <f>IFERROR(__xludf.DUMMYFUNCTION("""COMPUTED_VALUE"""),"NARAYANGANJ")</f>
        <v>NARAYANGANJ</v>
      </c>
      <c r="F2585" s="4">
        <f>IFERROR(__xludf.DUMMYFUNCTION("""COMPUTED_VALUE"""),118.0)</f>
        <v>118</v>
      </c>
      <c r="G2585" s="5">
        <f>IFERROR(__xludf.DUMMYFUNCTION("""COMPUTED_VALUE"""),6.0671187E7)</f>
        <v>60671187</v>
      </c>
    </row>
    <row r="2586">
      <c r="A2586" s="3">
        <f>IFERROR(__xludf.DUMMYFUNCTION("""COMPUTED_VALUE"""),167.0)</f>
        <v>167</v>
      </c>
      <c r="B2586" s="2" t="str">
        <f>IFERROR(__xludf.DUMMYFUNCTION("""COMPUTED_VALUE"""),"NARAYANGANJ")</f>
        <v>NARAYANGANJ</v>
      </c>
      <c r="C2586" s="4">
        <f>IFERROR(__xludf.DUMMYFUNCTION("""COMPUTED_VALUE"""),60.0)</f>
        <v>60</v>
      </c>
      <c r="D2586" s="2" t="str">
        <f>IFERROR(__xludf.DUMMYFUNCTION("""COMPUTED_VALUE"""),"BRAC BANK LTD.")</f>
        <v>BRAC BANK LTD.</v>
      </c>
      <c r="E2586" s="2" t="str">
        <f>IFERROR(__xludf.DUMMYFUNCTION("""COMPUTED_VALUE"""),"SIDDIRGANJ")</f>
        <v>SIDDIRGANJ</v>
      </c>
      <c r="F2586" s="4">
        <f>IFERROR(__xludf.DUMMYFUNCTION("""COMPUTED_VALUE"""),160.0)</f>
        <v>160</v>
      </c>
      <c r="G2586" s="5">
        <f>IFERROR(__xludf.DUMMYFUNCTION("""COMPUTED_VALUE"""),6.0671608E7)</f>
        <v>60671608</v>
      </c>
    </row>
    <row r="2587">
      <c r="A2587" s="3">
        <f>IFERROR(__xludf.DUMMYFUNCTION("""COMPUTED_VALUE"""),167.0)</f>
        <v>167</v>
      </c>
      <c r="B2587" s="2" t="str">
        <f>IFERROR(__xludf.DUMMYFUNCTION("""COMPUTED_VALUE"""),"NARAYANGANJ")</f>
        <v>NARAYANGANJ</v>
      </c>
      <c r="C2587" s="4">
        <f>IFERROR(__xludf.DUMMYFUNCTION("""COMPUTED_VALUE"""),60.0)</f>
        <v>60</v>
      </c>
      <c r="D2587" s="2" t="str">
        <f>IFERROR(__xludf.DUMMYFUNCTION("""COMPUTED_VALUE"""),"BRAC BANK LTD.")</f>
        <v>BRAC BANK LTD.</v>
      </c>
      <c r="E2587" s="2" t="str">
        <f>IFERROR(__xludf.DUMMYFUNCTION("""COMPUTED_VALUE"""),"SONARGAON")</f>
        <v>SONARGAON</v>
      </c>
      <c r="F2587" s="4">
        <f>IFERROR(__xludf.DUMMYFUNCTION("""COMPUTED_VALUE"""),169.0)</f>
        <v>169</v>
      </c>
      <c r="G2587" s="5">
        <f>IFERROR(__xludf.DUMMYFUNCTION("""COMPUTED_VALUE"""),6.0671695E7)</f>
        <v>60671695</v>
      </c>
    </row>
    <row r="2588">
      <c r="A2588" s="3">
        <f>IFERROR(__xludf.DUMMYFUNCTION("""COMPUTED_VALUE"""),167.0)</f>
        <v>167</v>
      </c>
      <c r="B2588" s="2" t="str">
        <f>IFERROR(__xludf.DUMMYFUNCTION("""COMPUTED_VALUE"""),"NARAYANGANJ")</f>
        <v>NARAYANGANJ</v>
      </c>
      <c r="C2588" s="4">
        <f>IFERROR(__xludf.DUMMYFUNCTION("""COMPUTED_VALUE"""),60.0)</f>
        <v>60</v>
      </c>
      <c r="D2588" s="2" t="str">
        <f>IFERROR(__xludf.DUMMYFUNCTION("""COMPUTED_VALUE"""),"BRAC BANK LTD.")</f>
        <v>BRAC BANK LTD.</v>
      </c>
      <c r="E2588" s="2" t="str">
        <f>IFERROR(__xludf.DUMMYFUNCTION("""COMPUTED_VALUE"""),"NITAIGANJ SME")</f>
        <v>NITAIGANJ SME</v>
      </c>
      <c r="F2588" s="4">
        <f>IFERROR(__xludf.DUMMYFUNCTION("""COMPUTED_VALUE"""),545.0)</f>
        <v>545</v>
      </c>
      <c r="G2588" s="5">
        <f>IFERROR(__xludf.DUMMYFUNCTION("""COMPUTED_VALUE"""),6.0675459E7)</f>
        <v>60675459</v>
      </c>
    </row>
    <row r="2589">
      <c r="A2589" s="3">
        <f>IFERROR(__xludf.DUMMYFUNCTION("""COMPUTED_VALUE"""),168.0)</f>
        <v>168</v>
      </c>
      <c r="B2589" s="2" t="str">
        <f>IFERROR(__xludf.DUMMYFUNCTION("""COMPUTED_VALUE"""),"NARSHINGDI")</f>
        <v>NARSHINGDI</v>
      </c>
      <c r="C2589" s="4">
        <f>IFERROR(__xludf.DUMMYFUNCTION("""COMPUTED_VALUE"""),60.0)</f>
        <v>60</v>
      </c>
      <c r="D2589" s="2" t="str">
        <f>IFERROR(__xludf.DUMMYFUNCTION("""COMPUTED_VALUE"""),"BRAC BANK LTD.")</f>
        <v>BRAC BANK LTD.</v>
      </c>
      <c r="E2589" s="2" t="str">
        <f>IFERROR(__xludf.DUMMYFUNCTION("""COMPUTED_VALUE"""),"GHORASAL")</f>
        <v>GHORASAL</v>
      </c>
      <c r="F2589" s="4">
        <f>IFERROR(__xludf.DUMMYFUNCTION("""COMPUTED_VALUE"""),49.0)</f>
        <v>49</v>
      </c>
      <c r="G2589" s="5">
        <f>IFERROR(__xludf.DUMMYFUNCTION("""COMPUTED_VALUE"""),6.0680499E7)</f>
        <v>60680499</v>
      </c>
    </row>
    <row r="2590">
      <c r="A2590" s="3">
        <f>IFERROR(__xludf.DUMMYFUNCTION("""COMPUTED_VALUE"""),168.0)</f>
        <v>168</v>
      </c>
      <c r="B2590" s="2" t="str">
        <f>IFERROR(__xludf.DUMMYFUNCTION("""COMPUTED_VALUE"""),"NARSHINGDI")</f>
        <v>NARSHINGDI</v>
      </c>
      <c r="C2590" s="4">
        <f>IFERROR(__xludf.DUMMYFUNCTION("""COMPUTED_VALUE"""),60.0)</f>
        <v>60</v>
      </c>
      <c r="D2590" s="2" t="str">
        <f>IFERROR(__xludf.DUMMYFUNCTION("""COMPUTED_VALUE"""),"BRAC BANK LTD.")</f>
        <v>BRAC BANK LTD.</v>
      </c>
      <c r="E2590" s="2" t="str">
        <f>IFERROR(__xludf.DUMMYFUNCTION("""COMPUTED_VALUE"""),"MADHABDI")</f>
        <v>MADHABDI</v>
      </c>
      <c r="F2590" s="4">
        <f>IFERROR(__xludf.DUMMYFUNCTION("""COMPUTED_VALUE"""),67.0)</f>
        <v>67</v>
      </c>
      <c r="G2590" s="5">
        <f>IFERROR(__xludf.DUMMYFUNCTION("""COMPUTED_VALUE"""),6.0680673E7)</f>
        <v>60680673</v>
      </c>
    </row>
    <row r="2591">
      <c r="A2591" s="3">
        <f>IFERROR(__xludf.DUMMYFUNCTION("""COMPUTED_VALUE"""),168.0)</f>
        <v>168</v>
      </c>
      <c r="B2591" s="2" t="str">
        <f>IFERROR(__xludf.DUMMYFUNCTION("""COMPUTED_VALUE"""),"NARSHINGDI")</f>
        <v>NARSHINGDI</v>
      </c>
      <c r="C2591" s="4">
        <f>IFERROR(__xludf.DUMMYFUNCTION("""COMPUTED_VALUE"""),60.0)</f>
        <v>60</v>
      </c>
      <c r="D2591" s="2" t="str">
        <f>IFERROR(__xludf.DUMMYFUNCTION("""COMPUTED_VALUE"""),"BRAC BANK LTD.")</f>
        <v>BRAC BANK LTD.</v>
      </c>
      <c r="E2591" s="2" t="str">
        <f>IFERROR(__xludf.DUMMYFUNCTION("""COMPUTED_VALUE"""),"MONOHARDI")</f>
        <v>MONOHARDI</v>
      </c>
      <c r="F2591" s="4">
        <f>IFERROR(__xludf.DUMMYFUNCTION("""COMPUTED_VALUE"""),73.0)</f>
        <v>73</v>
      </c>
      <c r="G2591" s="5">
        <f>IFERROR(__xludf.DUMMYFUNCTION("""COMPUTED_VALUE"""),6.0680736E7)</f>
        <v>60680736</v>
      </c>
    </row>
    <row r="2592">
      <c r="A2592" s="3">
        <f>IFERROR(__xludf.DUMMYFUNCTION("""COMPUTED_VALUE"""),168.0)</f>
        <v>168</v>
      </c>
      <c r="B2592" s="2" t="str">
        <f>IFERROR(__xludf.DUMMYFUNCTION("""COMPUTED_VALUE"""),"NARSHINGDI")</f>
        <v>NARSHINGDI</v>
      </c>
      <c r="C2592" s="4">
        <f>IFERROR(__xludf.DUMMYFUNCTION("""COMPUTED_VALUE"""),60.0)</f>
        <v>60</v>
      </c>
      <c r="D2592" s="2" t="str">
        <f>IFERROR(__xludf.DUMMYFUNCTION("""COMPUTED_VALUE"""),"BRAC BANK LTD.")</f>
        <v>BRAC BANK LTD.</v>
      </c>
      <c r="E2592" s="2" t="str">
        <f>IFERROR(__xludf.DUMMYFUNCTION("""COMPUTED_VALUE"""),"NARSHINGDI")</f>
        <v>NARSHINGDI</v>
      </c>
      <c r="F2592" s="4">
        <f>IFERROR(__xludf.DUMMYFUNCTION("""COMPUTED_VALUE"""),85.0)</f>
        <v>85</v>
      </c>
      <c r="G2592" s="5">
        <f>IFERROR(__xludf.DUMMYFUNCTION("""COMPUTED_VALUE"""),6.0680857E7)</f>
        <v>60680857</v>
      </c>
    </row>
    <row r="2593">
      <c r="A2593" s="3">
        <f>IFERROR(__xludf.DUMMYFUNCTION("""COMPUTED_VALUE"""),569.0)</f>
        <v>569</v>
      </c>
      <c r="B2593" s="2" t="str">
        <f>IFERROR(__xludf.DUMMYFUNCTION("""COMPUTED_VALUE"""),"NATORE")</f>
        <v>NATORE</v>
      </c>
      <c r="C2593" s="4">
        <f>IFERROR(__xludf.DUMMYFUNCTION("""COMPUTED_VALUE"""),60.0)</f>
        <v>60</v>
      </c>
      <c r="D2593" s="2" t="str">
        <f>IFERROR(__xludf.DUMMYFUNCTION("""COMPUTED_VALUE"""),"BRAC BANK LTD.")</f>
        <v>BRAC BANK LTD.</v>
      </c>
      <c r="E2593" s="2" t="str">
        <f>IFERROR(__xludf.DUMMYFUNCTION("""COMPUTED_VALUE"""),"NATORE")</f>
        <v>NATORE</v>
      </c>
      <c r="F2593" s="4">
        <f>IFERROR(__xludf.DUMMYFUNCTION("""COMPUTED_VALUE"""),109.0)</f>
        <v>109</v>
      </c>
      <c r="G2593" s="5">
        <f>IFERROR(__xludf.DUMMYFUNCTION("""COMPUTED_VALUE"""),6.0691091E7)</f>
        <v>60691091</v>
      </c>
    </row>
    <row r="2594">
      <c r="A2594" s="3">
        <f>IFERROR(__xludf.DUMMYFUNCTION("""COMPUTED_VALUE"""),570.0)</f>
        <v>570</v>
      </c>
      <c r="B2594" s="2" t="str">
        <f>IFERROR(__xludf.DUMMYFUNCTION("""COMPUTED_VALUE"""),"NAWABGANJ")</f>
        <v>NAWABGANJ</v>
      </c>
      <c r="C2594" s="4">
        <f>IFERROR(__xludf.DUMMYFUNCTION("""COMPUTED_VALUE"""),60.0)</f>
        <v>60</v>
      </c>
      <c r="D2594" s="2" t="str">
        <f>IFERROR(__xludf.DUMMYFUNCTION("""COMPUTED_VALUE"""),"BRAC BANK LTD.")</f>
        <v>BRAC BANK LTD.</v>
      </c>
      <c r="E2594" s="2" t="str">
        <f>IFERROR(__xludf.DUMMYFUNCTION("""COMPUTED_VALUE"""),"CHAPAI NAWABGANJ SME")</f>
        <v>CHAPAI NAWABGANJ SME</v>
      </c>
      <c r="F2594" s="4">
        <f>IFERROR(__xludf.DUMMYFUNCTION("""COMPUTED_VALUE"""),26.0)</f>
        <v>26</v>
      </c>
      <c r="G2594" s="5">
        <f>IFERROR(__xludf.DUMMYFUNCTION("""COMPUTED_VALUE"""),6.0700261E7)</f>
        <v>60700261</v>
      </c>
    </row>
    <row r="2595">
      <c r="A2595" s="3">
        <f>IFERROR(__xludf.DUMMYFUNCTION("""COMPUTED_VALUE"""),172.0)</f>
        <v>172</v>
      </c>
      <c r="B2595" s="2" t="str">
        <f>IFERROR(__xludf.DUMMYFUNCTION("""COMPUTED_VALUE"""),"NETROKONA")</f>
        <v>NETROKONA</v>
      </c>
      <c r="C2595" s="4">
        <f>IFERROR(__xludf.DUMMYFUNCTION("""COMPUTED_VALUE"""),60.0)</f>
        <v>60</v>
      </c>
      <c r="D2595" s="2" t="str">
        <f>IFERROR(__xludf.DUMMYFUNCTION("""COMPUTED_VALUE"""),"BRAC BANK LTD.")</f>
        <v>BRAC BANK LTD.</v>
      </c>
      <c r="E2595" s="2" t="str">
        <f>IFERROR(__xludf.DUMMYFUNCTION("""COMPUTED_VALUE"""),"NETROKONA SME")</f>
        <v>NETROKONA SME</v>
      </c>
      <c r="F2595" s="4">
        <f>IFERROR(__xludf.DUMMYFUNCTION("""COMPUTED_VALUE"""),74.0)</f>
        <v>74</v>
      </c>
      <c r="G2595" s="5">
        <f>IFERROR(__xludf.DUMMYFUNCTION("""COMPUTED_VALUE"""),6.0720746E7)</f>
        <v>60720746</v>
      </c>
    </row>
    <row r="2596">
      <c r="A2596" s="3">
        <f>IFERROR(__xludf.DUMMYFUNCTION("""COMPUTED_VALUE"""),773.0)</f>
        <v>773</v>
      </c>
      <c r="B2596" s="2" t="str">
        <f>IFERROR(__xludf.DUMMYFUNCTION("""COMPUTED_VALUE"""),"NILPHAMARI")</f>
        <v>NILPHAMARI</v>
      </c>
      <c r="C2596" s="4">
        <f>IFERROR(__xludf.DUMMYFUNCTION("""COMPUTED_VALUE"""),60.0)</f>
        <v>60</v>
      </c>
      <c r="D2596" s="2" t="str">
        <f>IFERROR(__xludf.DUMMYFUNCTION("""COMPUTED_VALUE"""),"BRAC BANK LTD.")</f>
        <v>BRAC BANK LTD.</v>
      </c>
      <c r="E2596" s="2" t="str">
        <f>IFERROR(__xludf.DUMMYFUNCTION("""COMPUTED_VALUE"""),"NILPHAMARI")</f>
        <v>NILPHAMARI</v>
      </c>
      <c r="F2596" s="4">
        <f>IFERROR(__xludf.DUMMYFUNCTION("""COMPUTED_VALUE"""),73.0)</f>
        <v>73</v>
      </c>
      <c r="G2596" s="5">
        <f>IFERROR(__xludf.DUMMYFUNCTION("""COMPUTED_VALUE"""),6.0730736E7)</f>
        <v>60730736</v>
      </c>
    </row>
    <row r="2597">
      <c r="A2597" s="3">
        <f>IFERROR(__xludf.DUMMYFUNCTION("""COMPUTED_VALUE"""),773.0)</f>
        <v>773</v>
      </c>
      <c r="B2597" s="2" t="str">
        <f>IFERROR(__xludf.DUMMYFUNCTION("""COMPUTED_VALUE"""),"NILPHAMARI")</f>
        <v>NILPHAMARI</v>
      </c>
      <c r="C2597" s="4">
        <f>IFERROR(__xludf.DUMMYFUNCTION("""COMPUTED_VALUE"""),60.0)</f>
        <v>60</v>
      </c>
      <c r="D2597" s="2" t="str">
        <f>IFERROR(__xludf.DUMMYFUNCTION("""COMPUTED_VALUE"""),"BRAC BANK LTD.")</f>
        <v>BRAC BANK LTD.</v>
      </c>
      <c r="E2597" s="2" t="str">
        <f>IFERROR(__xludf.DUMMYFUNCTION("""COMPUTED_VALUE"""),"SAYEDPUR")</f>
        <v>SAYEDPUR</v>
      </c>
      <c r="F2597" s="4">
        <f>IFERROR(__xludf.DUMMYFUNCTION("""COMPUTED_VALUE"""),79.0)</f>
        <v>79</v>
      </c>
      <c r="G2597" s="5">
        <f>IFERROR(__xludf.DUMMYFUNCTION("""COMPUTED_VALUE"""),6.0730794E7)</f>
        <v>60730794</v>
      </c>
    </row>
    <row r="2598">
      <c r="A2598" s="3">
        <f>IFERROR(__xludf.DUMMYFUNCTION("""COMPUTED_VALUE"""),275.0)</f>
        <v>275</v>
      </c>
      <c r="B2598" s="2" t="str">
        <f>IFERROR(__xludf.DUMMYFUNCTION("""COMPUTED_VALUE"""),"NOAKHALI")</f>
        <v>NOAKHALI</v>
      </c>
      <c r="C2598" s="4">
        <f>IFERROR(__xludf.DUMMYFUNCTION("""COMPUTED_VALUE"""),60.0)</f>
        <v>60</v>
      </c>
      <c r="D2598" s="2" t="str">
        <f>IFERROR(__xludf.DUMMYFUNCTION("""COMPUTED_VALUE"""),"BRAC BANK LTD.")</f>
        <v>BRAC BANK LTD.</v>
      </c>
      <c r="E2598" s="2" t="str">
        <f>IFERROR(__xludf.DUMMYFUNCTION("""COMPUTED_VALUE"""),"COMPANIGANJ")</f>
        <v>COMPANIGANJ</v>
      </c>
      <c r="F2598" s="4">
        <f>IFERROR(__xludf.DUMMYFUNCTION("""COMPUTED_VALUE"""),15.0)</f>
        <v>15</v>
      </c>
      <c r="G2598" s="5">
        <f>IFERROR(__xludf.DUMMYFUNCTION("""COMPUTED_VALUE"""),6.0750158E7)</f>
        <v>60750158</v>
      </c>
    </row>
    <row r="2599">
      <c r="A2599" s="3">
        <f>IFERROR(__xludf.DUMMYFUNCTION("""COMPUTED_VALUE"""),275.0)</f>
        <v>275</v>
      </c>
      <c r="B2599" s="2" t="str">
        <f>IFERROR(__xludf.DUMMYFUNCTION("""COMPUTED_VALUE"""),"NOAKHALI")</f>
        <v>NOAKHALI</v>
      </c>
      <c r="C2599" s="4">
        <f>IFERROR(__xludf.DUMMYFUNCTION("""COMPUTED_VALUE"""),60.0)</f>
        <v>60</v>
      </c>
      <c r="D2599" s="2" t="str">
        <f>IFERROR(__xludf.DUMMYFUNCTION("""COMPUTED_VALUE"""),"BRAC BANK LTD.")</f>
        <v>BRAC BANK LTD.</v>
      </c>
      <c r="E2599" s="2" t="str">
        <f>IFERROR(__xludf.DUMMYFUNCTION("""COMPUTED_VALUE"""),"CHOUMOHANI")</f>
        <v>CHOUMOHANI</v>
      </c>
      <c r="F2599" s="4">
        <f>IFERROR(__xludf.DUMMYFUNCTION("""COMPUTED_VALUE"""),67.0)</f>
        <v>67</v>
      </c>
      <c r="G2599" s="5">
        <f>IFERROR(__xludf.DUMMYFUNCTION("""COMPUTED_VALUE"""),6.0750679E7)</f>
        <v>60750679</v>
      </c>
    </row>
    <row r="2600">
      <c r="A2600" s="3">
        <f>IFERROR(__xludf.DUMMYFUNCTION("""COMPUTED_VALUE"""),576.0)</f>
        <v>576</v>
      </c>
      <c r="B2600" s="2" t="str">
        <f>IFERROR(__xludf.DUMMYFUNCTION("""COMPUTED_VALUE"""),"PABNA")</f>
        <v>PABNA</v>
      </c>
      <c r="C2600" s="4">
        <f>IFERROR(__xludf.DUMMYFUNCTION("""COMPUTED_VALUE"""),60.0)</f>
        <v>60</v>
      </c>
      <c r="D2600" s="2" t="str">
        <f>IFERROR(__xludf.DUMMYFUNCTION("""COMPUTED_VALUE"""),"BRAC BANK LTD.")</f>
        <v>BRAC BANK LTD.</v>
      </c>
      <c r="E2600" s="2" t="str">
        <f>IFERROR(__xludf.DUMMYFUNCTION("""COMPUTED_VALUE"""),"ISHWARDI")</f>
        <v>ISHWARDI</v>
      </c>
      <c r="F2600" s="4">
        <f>IFERROR(__xludf.DUMMYFUNCTION("""COMPUTED_VALUE"""),121.0)</f>
        <v>121</v>
      </c>
      <c r="G2600" s="5">
        <f>IFERROR(__xludf.DUMMYFUNCTION("""COMPUTED_VALUE"""),6.0761213E7)</f>
        <v>60761213</v>
      </c>
    </row>
    <row r="2601">
      <c r="A2601" s="3">
        <f>IFERROR(__xludf.DUMMYFUNCTION("""COMPUTED_VALUE"""),576.0)</f>
        <v>576</v>
      </c>
      <c r="B2601" s="2" t="str">
        <f>IFERROR(__xludf.DUMMYFUNCTION("""COMPUTED_VALUE"""),"PABNA")</f>
        <v>PABNA</v>
      </c>
      <c r="C2601" s="4">
        <f>IFERROR(__xludf.DUMMYFUNCTION("""COMPUTED_VALUE"""),60.0)</f>
        <v>60</v>
      </c>
      <c r="D2601" s="2" t="str">
        <f>IFERROR(__xludf.DUMMYFUNCTION("""COMPUTED_VALUE"""),"BRAC BANK LTD.")</f>
        <v>BRAC BANK LTD.</v>
      </c>
      <c r="E2601" s="2" t="str">
        <f>IFERROR(__xludf.DUMMYFUNCTION("""COMPUTED_VALUE"""),"PABNA")</f>
        <v>PABNA</v>
      </c>
      <c r="F2601" s="4">
        <f>IFERROR(__xludf.DUMMYFUNCTION("""COMPUTED_VALUE"""),178.0)</f>
        <v>178</v>
      </c>
      <c r="G2601" s="5">
        <f>IFERROR(__xludf.DUMMYFUNCTION("""COMPUTED_VALUE"""),6.0761789E7)</f>
        <v>60761789</v>
      </c>
    </row>
    <row r="2602">
      <c r="A2602" s="3">
        <f>IFERROR(__xludf.DUMMYFUNCTION("""COMPUTED_VALUE"""),777.0)</f>
        <v>777</v>
      </c>
      <c r="B2602" s="2" t="str">
        <f>IFERROR(__xludf.DUMMYFUNCTION("""COMPUTED_VALUE"""),"PANCHAGARH")</f>
        <v>PANCHAGARH</v>
      </c>
      <c r="C2602" s="4">
        <f>IFERROR(__xludf.DUMMYFUNCTION("""COMPUTED_VALUE"""),60.0)</f>
        <v>60</v>
      </c>
      <c r="D2602" s="2" t="str">
        <f>IFERROR(__xludf.DUMMYFUNCTION("""COMPUTED_VALUE"""),"BRAC BANK LTD.")</f>
        <v>BRAC BANK LTD.</v>
      </c>
      <c r="E2602" s="2" t="str">
        <f>IFERROR(__xludf.DUMMYFUNCTION("""COMPUTED_VALUE"""),"PANCHAGARH SME")</f>
        <v>PANCHAGARH SME</v>
      </c>
      <c r="F2602" s="4">
        <f>IFERROR(__xludf.DUMMYFUNCTION("""COMPUTED_VALUE"""),56.0)</f>
        <v>56</v>
      </c>
      <c r="G2602" s="5">
        <f>IFERROR(__xludf.DUMMYFUNCTION("""COMPUTED_VALUE"""),6.0770567E7)</f>
        <v>60770567</v>
      </c>
    </row>
    <row r="2603">
      <c r="A2603" s="3">
        <f>IFERROR(__xludf.DUMMYFUNCTION("""COMPUTED_VALUE"""),378.0)</f>
        <v>378</v>
      </c>
      <c r="B2603" s="2" t="str">
        <f>IFERROR(__xludf.DUMMYFUNCTION("""COMPUTED_VALUE"""),"PATUAKHALI")</f>
        <v>PATUAKHALI</v>
      </c>
      <c r="C2603" s="4">
        <f>IFERROR(__xludf.DUMMYFUNCTION("""COMPUTED_VALUE"""),60.0)</f>
        <v>60</v>
      </c>
      <c r="D2603" s="2" t="str">
        <f>IFERROR(__xludf.DUMMYFUNCTION("""COMPUTED_VALUE"""),"BRAC BANK LTD.")</f>
        <v>BRAC BANK LTD.</v>
      </c>
      <c r="E2603" s="2" t="str">
        <f>IFERROR(__xludf.DUMMYFUNCTION("""COMPUTED_VALUE"""),"PATUAKHALI")</f>
        <v>PATUAKHALI</v>
      </c>
      <c r="F2603" s="4">
        <f>IFERROR(__xludf.DUMMYFUNCTION("""COMPUTED_VALUE"""),109.0)</f>
        <v>109</v>
      </c>
      <c r="G2603" s="5">
        <f>IFERROR(__xludf.DUMMYFUNCTION("""COMPUTED_VALUE"""),6.0781093E7)</f>
        <v>60781093</v>
      </c>
    </row>
    <row r="2604">
      <c r="A2604" s="3">
        <f>IFERROR(__xludf.DUMMYFUNCTION("""COMPUTED_VALUE"""),379.0)</f>
        <v>379</v>
      </c>
      <c r="B2604" s="2" t="str">
        <f>IFERROR(__xludf.DUMMYFUNCTION("""COMPUTED_VALUE"""),"PIROJPUR")</f>
        <v>PIROJPUR</v>
      </c>
      <c r="C2604" s="4">
        <f>IFERROR(__xludf.DUMMYFUNCTION("""COMPUTED_VALUE"""),60.0)</f>
        <v>60</v>
      </c>
      <c r="D2604" s="2" t="str">
        <f>IFERROR(__xludf.DUMMYFUNCTION("""COMPUTED_VALUE"""),"BRAC BANK LTD.")</f>
        <v>BRAC BANK LTD.</v>
      </c>
      <c r="E2604" s="2" t="str">
        <f>IFERROR(__xludf.DUMMYFUNCTION("""COMPUTED_VALUE"""),"PIROJPUR SME")</f>
        <v>PIROJPUR SME</v>
      </c>
      <c r="F2604" s="4">
        <f>IFERROR(__xludf.DUMMYFUNCTION("""COMPUTED_VALUE"""),77.0)</f>
        <v>77</v>
      </c>
      <c r="G2604" s="5">
        <f>IFERROR(__xludf.DUMMYFUNCTION("""COMPUTED_VALUE"""),6.0790776E7)</f>
        <v>60790776</v>
      </c>
    </row>
    <row r="2605">
      <c r="A2605" s="3">
        <f>IFERROR(__xludf.DUMMYFUNCTION("""COMPUTED_VALUE"""),379.0)</f>
        <v>379</v>
      </c>
      <c r="B2605" s="2" t="str">
        <f>IFERROR(__xludf.DUMMYFUNCTION("""COMPUTED_VALUE"""),"PIROJPUR")</f>
        <v>PIROJPUR</v>
      </c>
      <c r="C2605" s="4">
        <f>IFERROR(__xludf.DUMMYFUNCTION("""COMPUTED_VALUE"""),60.0)</f>
        <v>60</v>
      </c>
      <c r="D2605" s="2" t="str">
        <f>IFERROR(__xludf.DUMMYFUNCTION("""COMPUTED_VALUE"""),"BRAC BANK LTD.")</f>
        <v>BRAC BANK LTD.</v>
      </c>
      <c r="E2605" s="2" t="str">
        <f>IFERROR(__xludf.DUMMYFUNCTION("""COMPUTED_VALUE"""),"SWARUPKATI SME")</f>
        <v>SWARUPKATI SME</v>
      </c>
      <c r="F2605" s="4">
        <f>IFERROR(__xludf.DUMMYFUNCTION("""COMPUTED_VALUE"""),98.0)</f>
        <v>98</v>
      </c>
      <c r="G2605" s="5">
        <f>IFERROR(__xludf.DUMMYFUNCTION("""COMPUTED_VALUE"""),6.0790989E7)</f>
        <v>60790989</v>
      </c>
    </row>
    <row r="2606">
      <c r="A2606" s="3">
        <f>IFERROR(__xludf.DUMMYFUNCTION("""COMPUTED_VALUE"""),581.0)</f>
        <v>581</v>
      </c>
      <c r="B2606" s="2" t="str">
        <f>IFERROR(__xludf.DUMMYFUNCTION("""COMPUTED_VALUE"""),"RAJSHAHI")</f>
        <v>RAJSHAHI</v>
      </c>
      <c r="C2606" s="4">
        <f>IFERROR(__xludf.DUMMYFUNCTION("""COMPUTED_VALUE"""),60.0)</f>
        <v>60</v>
      </c>
      <c r="D2606" s="2" t="str">
        <f>IFERROR(__xludf.DUMMYFUNCTION("""COMPUTED_VALUE"""),"BRAC BANK LTD.")</f>
        <v>BRAC BANK LTD.</v>
      </c>
      <c r="E2606" s="2" t="str">
        <f>IFERROR(__xludf.DUMMYFUNCTION("""COMPUTED_VALUE"""),"RAJSHAHI")</f>
        <v>RAJSHAHI</v>
      </c>
      <c r="F2606" s="4">
        <f>IFERROR(__xludf.DUMMYFUNCTION("""COMPUTED_VALUE"""),193.0)</f>
        <v>193</v>
      </c>
      <c r="G2606" s="5">
        <f>IFERROR(__xludf.DUMMYFUNCTION("""COMPUTED_VALUE"""),6.0811934E7)</f>
        <v>60811934</v>
      </c>
    </row>
    <row r="2607">
      <c r="A2607" s="3">
        <f>IFERROR(__xludf.DUMMYFUNCTION("""COMPUTED_VALUE"""),382.0)</f>
        <v>382</v>
      </c>
      <c r="B2607" s="2" t="str">
        <f>IFERROR(__xludf.DUMMYFUNCTION("""COMPUTED_VALUE"""),"RAJBARI")</f>
        <v>RAJBARI</v>
      </c>
      <c r="C2607" s="4">
        <f>IFERROR(__xludf.DUMMYFUNCTION("""COMPUTED_VALUE"""),60.0)</f>
        <v>60</v>
      </c>
      <c r="D2607" s="2" t="str">
        <f>IFERROR(__xludf.DUMMYFUNCTION("""COMPUTED_VALUE"""),"BRAC BANK LTD.")</f>
        <v>BRAC BANK LTD.</v>
      </c>
      <c r="E2607" s="2" t="str">
        <f>IFERROR(__xludf.DUMMYFUNCTION("""COMPUTED_VALUE"""),"RAJBARI")</f>
        <v>RAJBARI</v>
      </c>
      <c r="F2607" s="4">
        <f>IFERROR(__xludf.DUMMYFUNCTION("""COMPUTED_VALUE"""),73.0)</f>
        <v>73</v>
      </c>
      <c r="G2607" s="5">
        <f>IFERROR(__xludf.DUMMYFUNCTION("""COMPUTED_VALUE"""),6.0820738E7)</f>
        <v>60820738</v>
      </c>
    </row>
    <row r="2608">
      <c r="A2608" s="3">
        <f>IFERROR(__xludf.DUMMYFUNCTION("""COMPUTED_VALUE"""),785.0)</f>
        <v>785</v>
      </c>
      <c r="B2608" s="2" t="str">
        <f>IFERROR(__xludf.DUMMYFUNCTION("""COMPUTED_VALUE"""),"RANGPUR")</f>
        <v>RANGPUR</v>
      </c>
      <c r="C2608" s="4">
        <f>IFERROR(__xludf.DUMMYFUNCTION("""COMPUTED_VALUE"""),60.0)</f>
        <v>60</v>
      </c>
      <c r="D2608" s="2" t="str">
        <f>IFERROR(__xludf.DUMMYFUNCTION("""COMPUTED_VALUE"""),"BRAC BANK LTD.")</f>
        <v>BRAC BANK LTD.</v>
      </c>
      <c r="E2608" s="2" t="str">
        <f>IFERROR(__xludf.DUMMYFUNCTION("""COMPUTED_VALUE"""),"RANGPUR")</f>
        <v>RANGPUR</v>
      </c>
      <c r="F2608" s="4">
        <f>IFERROR(__xludf.DUMMYFUNCTION("""COMPUTED_VALUE"""),145.0)</f>
        <v>145</v>
      </c>
      <c r="G2608" s="5">
        <f>IFERROR(__xludf.DUMMYFUNCTION("""COMPUTED_VALUE"""),6.0851457E7)</f>
        <v>60851457</v>
      </c>
    </row>
    <row r="2609">
      <c r="A2609" s="3">
        <f>IFERROR(__xludf.DUMMYFUNCTION("""COMPUTED_VALUE"""),386.0)</f>
        <v>386</v>
      </c>
      <c r="B2609" s="2" t="str">
        <f>IFERROR(__xludf.DUMMYFUNCTION("""COMPUTED_VALUE"""),"SHARIATPUR")</f>
        <v>SHARIATPUR</v>
      </c>
      <c r="C2609" s="4">
        <f>IFERROR(__xludf.DUMMYFUNCTION("""COMPUTED_VALUE"""),60.0)</f>
        <v>60</v>
      </c>
      <c r="D2609" s="2" t="str">
        <f>IFERROR(__xludf.DUMMYFUNCTION("""COMPUTED_VALUE"""),"BRAC BANK LTD.")</f>
        <v>BRAC BANK LTD.</v>
      </c>
      <c r="E2609" s="2" t="str">
        <f>IFERROR(__xludf.DUMMYFUNCTION("""COMPUTED_VALUE"""),"BHEDERGANJ")</f>
        <v>BHEDERGANJ</v>
      </c>
      <c r="F2609" s="4">
        <f>IFERROR(__xludf.DUMMYFUNCTION("""COMPUTED_VALUE"""),10.0)</f>
        <v>10</v>
      </c>
      <c r="G2609" s="5">
        <f>IFERROR(__xludf.DUMMYFUNCTION("""COMPUTED_VALUE"""),6.0860101E7)</f>
        <v>60860101</v>
      </c>
    </row>
    <row r="2610">
      <c r="A2610" s="3">
        <f>IFERROR(__xludf.DUMMYFUNCTION("""COMPUTED_VALUE"""),487.0)</f>
        <v>487</v>
      </c>
      <c r="B2610" s="2" t="str">
        <f>IFERROR(__xludf.DUMMYFUNCTION("""COMPUTED_VALUE"""),"SATKHIRA")</f>
        <v>SATKHIRA</v>
      </c>
      <c r="C2610" s="4">
        <f>IFERROR(__xludf.DUMMYFUNCTION("""COMPUTED_VALUE"""),60.0)</f>
        <v>60</v>
      </c>
      <c r="D2610" s="2" t="str">
        <f>IFERROR(__xludf.DUMMYFUNCTION("""COMPUTED_VALUE"""),"BRAC BANK LTD.")</f>
        <v>BRAC BANK LTD.</v>
      </c>
      <c r="E2610" s="2" t="str">
        <f>IFERROR(__xludf.DUMMYFUNCTION("""COMPUTED_VALUE"""),"SATKHIRA")</f>
        <v>SATKHIRA</v>
      </c>
      <c r="F2610" s="4">
        <f>IFERROR(__xludf.DUMMYFUNCTION("""COMPUTED_VALUE"""),109.0)</f>
        <v>109</v>
      </c>
      <c r="G2610" s="5">
        <f>IFERROR(__xludf.DUMMYFUNCTION("""COMPUTED_VALUE"""),6.0871095E7)</f>
        <v>60871095</v>
      </c>
    </row>
    <row r="2611">
      <c r="A2611" s="3">
        <f>IFERROR(__xludf.DUMMYFUNCTION("""COMPUTED_VALUE"""),688.0)</f>
        <v>688</v>
      </c>
      <c r="B2611" s="2" t="str">
        <f>IFERROR(__xludf.DUMMYFUNCTION("""COMPUTED_VALUE"""),"SIRAJGANJ")</f>
        <v>SIRAJGANJ</v>
      </c>
      <c r="C2611" s="4">
        <f>IFERROR(__xludf.DUMMYFUNCTION("""COMPUTED_VALUE"""),60.0)</f>
        <v>60</v>
      </c>
      <c r="D2611" s="2" t="str">
        <f>IFERROR(__xludf.DUMMYFUNCTION("""COMPUTED_VALUE"""),"BRAC BANK LTD.")</f>
        <v>BRAC BANK LTD.</v>
      </c>
      <c r="E2611" s="2" t="str">
        <f>IFERROR(__xludf.DUMMYFUNCTION("""COMPUTED_VALUE"""),"BELKUCHI")</f>
        <v>BELKUCHI</v>
      </c>
      <c r="F2611" s="4">
        <f>IFERROR(__xludf.DUMMYFUNCTION("""COMPUTED_VALUE"""),22.0)</f>
        <v>22</v>
      </c>
      <c r="G2611" s="5">
        <f>IFERROR(__xludf.DUMMYFUNCTION("""COMPUTED_VALUE"""),6.0880228E7)</f>
        <v>60880228</v>
      </c>
    </row>
    <row r="2612">
      <c r="A2612" s="3">
        <f>IFERROR(__xludf.DUMMYFUNCTION("""COMPUTED_VALUE"""),688.0)</f>
        <v>688</v>
      </c>
      <c r="B2612" s="2" t="str">
        <f>IFERROR(__xludf.DUMMYFUNCTION("""COMPUTED_VALUE"""),"SIRAJGANJ")</f>
        <v>SIRAJGANJ</v>
      </c>
      <c r="C2612" s="4">
        <f>IFERROR(__xludf.DUMMYFUNCTION("""COMPUTED_VALUE"""),60.0)</f>
        <v>60</v>
      </c>
      <c r="D2612" s="2" t="str">
        <f>IFERROR(__xludf.DUMMYFUNCTION("""COMPUTED_VALUE"""),"BRAC BANK LTD.")</f>
        <v>BRAC BANK LTD.</v>
      </c>
      <c r="E2612" s="2" t="str">
        <f>IFERROR(__xludf.DUMMYFUNCTION("""COMPUTED_VALUE"""),"SERAJGANJ SME")</f>
        <v>SERAJGANJ SME</v>
      </c>
      <c r="F2612" s="4">
        <f>IFERROR(__xludf.DUMMYFUNCTION("""COMPUTED_VALUE"""),188.0)</f>
        <v>188</v>
      </c>
      <c r="G2612" s="5">
        <f>IFERROR(__xludf.DUMMYFUNCTION("""COMPUTED_VALUE"""),6.0881885E7)</f>
        <v>60881885</v>
      </c>
    </row>
    <row r="2613">
      <c r="A2613" s="3">
        <f>IFERROR(__xludf.DUMMYFUNCTION("""COMPUTED_VALUE"""),688.0)</f>
        <v>688</v>
      </c>
      <c r="B2613" s="2" t="str">
        <f>IFERROR(__xludf.DUMMYFUNCTION("""COMPUTED_VALUE"""),"SIRAJGANJ")</f>
        <v>SIRAJGANJ</v>
      </c>
      <c r="C2613" s="4">
        <f>IFERROR(__xludf.DUMMYFUNCTION("""COMPUTED_VALUE"""),60.0)</f>
        <v>60</v>
      </c>
      <c r="D2613" s="2" t="str">
        <f>IFERROR(__xludf.DUMMYFUNCTION("""COMPUTED_VALUE"""),"BRAC BANK LTD.")</f>
        <v>BRAC BANK LTD.</v>
      </c>
      <c r="E2613" s="2" t="str">
        <f>IFERROR(__xludf.DUMMYFUNCTION("""COMPUTED_VALUE"""),"SHAHJADPUR")</f>
        <v>SHAHJADPUR</v>
      </c>
      <c r="F2613" s="4">
        <f>IFERROR(__xludf.DUMMYFUNCTION("""COMPUTED_VALUE"""),190.0)</f>
        <v>190</v>
      </c>
      <c r="G2613" s="5">
        <f>IFERROR(__xludf.DUMMYFUNCTION("""COMPUTED_VALUE"""),6.0881906E7)</f>
        <v>60881906</v>
      </c>
    </row>
    <row r="2614">
      <c r="A2614" s="3">
        <f>IFERROR(__xludf.DUMMYFUNCTION("""COMPUTED_VALUE"""),189.0)</f>
        <v>189</v>
      </c>
      <c r="B2614" s="2" t="str">
        <f>IFERROR(__xludf.DUMMYFUNCTION("""COMPUTED_VALUE"""),"SHERPUR")</f>
        <v>SHERPUR</v>
      </c>
      <c r="C2614" s="4">
        <f>IFERROR(__xludf.DUMMYFUNCTION("""COMPUTED_VALUE"""),60.0)</f>
        <v>60</v>
      </c>
      <c r="D2614" s="2" t="str">
        <f>IFERROR(__xludf.DUMMYFUNCTION("""COMPUTED_VALUE"""),"BRAC BANK LTD.")</f>
        <v>BRAC BANK LTD.</v>
      </c>
      <c r="E2614" s="2" t="str">
        <f>IFERROR(__xludf.DUMMYFUNCTION("""COMPUTED_VALUE"""),"SHERPUR")</f>
        <v>SHERPUR</v>
      </c>
      <c r="F2614" s="4">
        <f>IFERROR(__xludf.DUMMYFUNCTION("""COMPUTED_VALUE"""),55.0)</f>
        <v>55</v>
      </c>
      <c r="G2614" s="5">
        <f>IFERROR(__xludf.DUMMYFUNCTION("""COMPUTED_VALUE"""),6.0890555E7)</f>
        <v>60890555</v>
      </c>
    </row>
    <row r="2615">
      <c r="A2615" s="3">
        <f>IFERROR(__xludf.DUMMYFUNCTION("""COMPUTED_VALUE"""),890.0)</f>
        <v>890</v>
      </c>
      <c r="B2615" s="2" t="str">
        <f>IFERROR(__xludf.DUMMYFUNCTION("""COMPUTED_VALUE"""),"SUNAMGANJ")</f>
        <v>SUNAMGANJ</v>
      </c>
      <c r="C2615" s="4">
        <f>IFERROR(__xludf.DUMMYFUNCTION("""COMPUTED_VALUE"""),60.0)</f>
        <v>60</v>
      </c>
      <c r="D2615" s="2" t="str">
        <f>IFERROR(__xludf.DUMMYFUNCTION("""COMPUTED_VALUE"""),"BRAC BANK LTD.")</f>
        <v>BRAC BANK LTD.</v>
      </c>
      <c r="E2615" s="2" t="str">
        <f>IFERROR(__xludf.DUMMYFUNCTION("""COMPUTED_VALUE"""),"SUNAMGANJ")</f>
        <v>SUNAMGANJ</v>
      </c>
      <c r="F2615" s="4">
        <f>IFERROR(__xludf.DUMMYFUNCTION("""COMPUTED_VALUE"""),112.0)</f>
        <v>112</v>
      </c>
      <c r="G2615" s="5">
        <f>IFERROR(__xludf.DUMMYFUNCTION("""COMPUTED_VALUE"""),6.0901123E7)</f>
        <v>60901123</v>
      </c>
    </row>
    <row r="2616">
      <c r="A2616" s="3">
        <f>IFERROR(__xludf.DUMMYFUNCTION("""COMPUTED_VALUE"""),891.0)</f>
        <v>891</v>
      </c>
      <c r="B2616" s="2" t="str">
        <f>IFERROR(__xludf.DUMMYFUNCTION("""COMPUTED_VALUE"""),"SYLHET")</f>
        <v>SYLHET</v>
      </c>
      <c r="C2616" s="4">
        <f>IFERROR(__xludf.DUMMYFUNCTION("""COMPUTED_VALUE"""),60.0)</f>
        <v>60</v>
      </c>
      <c r="D2616" s="2" t="str">
        <f>IFERROR(__xludf.DUMMYFUNCTION("""COMPUTED_VALUE"""),"BRAC BANK LTD.")</f>
        <v>BRAC BANK LTD.</v>
      </c>
      <c r="E2616" s="2" t="str">
        <f>IFERROR(__xludf.DUMMYFUNCTION("""COMPUTED_VALUE"""),"BEANI BAZAR")</f>
        <v>BEANI BAZAR</v>
      </c>
      <c r="F2616" s="4">
        <f>IFERROR(__xludf.DUMMYFUNCTION("""COMPUTED_VALUE"""),31.0)</f>
        <v>31</v>
      </c>
      <c r="G2616" s="5">
        <f>IFERROR(__xludf.DUMMYFUNCTION("""COMPUTED_VALUE"""),6.0910314E7)</f>
        <v>60910314</v>
      </c>
    </row>
    <row r="2617">
      <c r="A2617" s="3">
        <f>IFERROR(__xludf.DUMMYFUNCTION("""COMPUTED_VALUE"""),891.0)</f>
        <v>891</v>
      </c>
      <c r="B2617" s="2" t="str">
        <f>IFERROR(__xludf.DUMMYFUNCTION("""COMPUTED_VALUE"""),"SYLHET")</f>
        <v>SYLHET</v>
      </c>
      <c r="C2617" s="4">
        <f>IFERROR(__xludf.DUMMYFUNCTION("""COMPUTED_VALUE"""),60.0)</f>
        <v>60</v>
      </c>
      <c r="D2617" s="2" t="str">
        <f>IFERROR(__xludf.DUMMYFUNCTION("""COMPUTED_VALUE"""),"BRAC BANK LTD.")</f>
        <v>BRAC BANK LTD.</v>
      </c>
      <c r="E2617" s="2" t="str">
        <f>IFERROR(__xludf.DUMMYFUNCTION("""COMPUTED_VALUE"""),"BISHWANATH")</f>
        <v>BISHWANATH</v>
      </c>
      <c r="F2617" s="4">
        <f>IFERROR(__xludf.DUMMYFUNCTION("""COMPUTED_VALUE"""),43.0)</f>
        <v>43</v>
      </c>
      <c r="G2617" s="5">
        <f>IFERROR(__xludf.DUMMYFUNCTION("""COMPUTED_VALUE"""),6.0910435E7)</f>
        <v>60910435</v>
      </c>
    </row>
    <row r="2618">
      <c r="A2618" s="3">
        <f>IFERROR(__xludf.DUMMYFUNCTION("""COMPUTED_VALUE"""),891.0)</f>
        <v>891</v>
      </c>
      <c r="B2618" s="2" t="str">
        <f>IFERROR(__xludf.DUMMYFUNCTION("""COMPUTED_VALUE"""),"SYLHET")</f>
        <v>SYLHET</v>
      </c>
      <c r="C2618" s="4">
        <f>IFERROR(__xludf.DUMMYFUNCTION("""COMPUTED_VALUE"""),60.0)</f>
        <v>60</v>
      </c>
      <c r="D2618" s="2" t="str">
        <f>IFERROR(__xludf.DUMMYFUNCTION("""COMPUTED_VALUE"""),"BRAC BANK LTD.")</f>
        <v>BRAC BANK LTD.</v>
      </c>
      <c r="E2618" s="2" t="str">
        <f>IFERROR(__xludf.DUMMYFUNCTION("""COMPUTED_VALUE"""),"GOALA BAZAR")</f>
        <v>GOALA BAZAR</v>
      </c>
      <c r="F2618" s="4">
        <f>IFERROR(__xludf.DUMMYFUNCTION("""COMPUTED_VALUE"""),154.0)</f>
        <v>154</v>
      </c>
      <c r="G2618" s="5">
        <f>IFERROR(__xludf.DUMMYFUNCTION("""COMPUTED_VALUE"""),6.0911542E7)</f>
        <v>60911542</v>
      </c>
    </row>
    <row r="2619">
      <c r="A2619" s="3">
        <f>IFERROR(__xludf.DUMMYFUNCTION("""COMPUTED_VALUE"""),891.0)</f>
        <v>891</v>
      </c>
      <c r="B2619" s="2" t="str">
        <f>IFERROR(__xludf.DUMMYFUNCTION("""COMPUTED_VALUE"""),"SYLHET")</f>
        <v>SYLHET</v>
      </c>
      <c r="C2619" s="4">
        <f>IFERROR(__xludf.DUMMYFUNCTION("""COMPUTED_VALUE"""),60.0)</f>
        <v>60</v>
      </c>
      <c r="D2619" s="2" t="str">
        <f>IFERROR(__xludf.DUMMYFUNCTION("""COMPUTED_VALUE"""),"BRAC BANK LTD.")</f>
        <v>BRAC BANK LTD.</v>
      </c>
      <c r="E2619" s="2" t="str">
        <f>IFERROR(__xludf.DUMMYFUNCTION("""COMPUTED_VALUE"""),"SYLHET SOUTH SURMA SME")</f>
        <v>SYLHET SOUTH SURMA SME</v>
      </c>
      <c r="F2619" s="4">
        <f>IFERROR(__xludf.DUMMYFUNCTION("""COMPUTED_VALUE"""),350.0)</f>
        <v>350</v>
      </c>
      <c r="G2619" s="5">
        <f>IFERROR(__xludf.DUMMYFUNCTION("""COMPUTED_VALUE"""),6.0913508E7)</f>
        <v>60913508</v>
      </c>
    </row>
    <row r="2620">
      <c r="A2620" s="3">
        <f>IFERROR(__xludf.DUMMYFUNCTION("""COMPUTED_VALUE"""),891.0)</f>
        <v>891</v>
      </c>
      <c r="B2620" s="2" t="str">
        <f>IFERROR(__xludf.DUMMYFUNCTION("""COMPUTED_VALUE"""),"SYLHET")</f>
        <v>SYLHET</v>
      </c>
      <c r="C2620" s="4">
        <f>IFERROR(__xludf.DUMMYFUNCTION("""COMPUTED_VALUE"""),60.0)</f>
        <v>60</v>
      </c>
      <c r="D2620" s="2" t="str">
        <f>IFERROR(__xludf.DUMMYFUNCTION("""COMPUTED_VALUE"""),"BRAC BANK LTD.")</f>
        <v>BRAC BANK LTD.</v>
      </c>
      <c r="E2620" s="2" t="str">
        <f>IFERROR(__xludf.DUMMYFUNCTION("""COMPUTED_VALUE"""),"SYLHET")</f>
        <v>SYLHET</v>
      </c>
      <c r="F2620" s="4">
        <f>IFERROR(__xludf.DUMMYFUNCTION("""COMPUTED_VALUE"""),355.0)</f>
        <v>355</v>
      </c>
      <c r="G2620" s="5">
        <f>IFERROR(__xludf.DUMMYFUNCTION("""COMPUTED_VALUE"""),6.0913553E7)</f>
        <v>60913553</v>
      </c>
    </row>
    <row r="2621">
      <c r="A2621" s="3">
        <f>IFERROR(__xludf.DUMMYFUNCTION("""COMPUTED_VALUE"""),891.0)</f>
        <v>891</v>
      </c>
      <c r="B2621" s="2" t="str">
        <f>IFERROR(__xludf.DUMMYFUNCTION("""COMPUTED_VALUE"""),"SYLHET")</f>
        <v>SYLHET</v>
      </c>
      <c r="C2621" s="4">
        <f>IFERROR(__xludf.DUMMYFUNCTION("""COMPUTED_VALUE"""),60.0)</f>
        <v>60</v>
      </c>
      <c r="D2621" s="2" t="str">
        <f>IFERROR(__xludf.DUMMYFUNCTION("""COMPUTED_VALUE"""),"BRAC BANK LTD.")</f>
        <v>BRAC BANK LTD.</v>
      </c>
      <c r="E2621" s="2" t="str">
        <f>IFERROR(__xludf.DUMMYFUNCTION("""COMPUTED_VALUE"""),"SYLHET BONDOR SME")</f>
        <v>SYLHET BONDOR SME</v>
      </c>
      <c r="F2621" s="4">
        <f>IFERROR(__xludf.DUMMYFUNCTION("""COMPUTED_VALUE"""),356.0)</f>
        <v>356</v>
      </c>
      <c r="G2621" s="5">
        <f>IFERROR(__xludf.DUMMYFUNCTION("""COMPUTED_VALUE"""),6.0913566E7)</f>
        <v>60913566</v>
      </c>
    </row>
    <row r="2622">
      <c r="A2622" s="3">
        <f>IFERROR(__xludf.DUMMYFUNCTION("""COMPUTED_VALUE"""),891.0)</f>
        <v>891</v>
      </c>
      <c r="B2622" s="2" t="str">
        <f>IFERROR(__xludf.DUMMYFUNCTION("""COMPUTED_VALUE"""),"SYLHET")</f>
        <v>SYLHET</v>
      </c>
      <c r="C2622" s="4">
        <f>IFERROR(__xludf.DUMMYFUNCTION("""COMPUTED_VALUE"""),60.0)</f>
        <v>60</v>
      </c>
      <c r="D2622" s="2" t="str">
        <f>IFERROR(__xludf.DUMMYFUNCTION("""COMPUTED_VALUE"""),"BRAC BANK LTD.")</f>
        <v>BRAC BANK LTD.</v>
      </c>
      <c r="E2622" s="2" t="str">
        <f>IFERROR(__xludf.DUMMYFUNCTION("""COMPUTED_VALUE"""),"SYLHET UPASHAHAR")</f>
        <v>SYLHET UPASHAHAR</v>
      </c>
      <c r="F2622" s="4">
        <f>IFERROR(__xludf.DUMMYFUNCTION("""COMPUTED_VALUE"""),373.0)</f>
        <v>373</v>
      </c>
      <c r="G2622" s="5">
        <f>IFERROR(__xludf.DUMMYFUNCTION("""COMPUTED_VALUE"""),6.0913737E7)</f>
        <v>60913737</v>
      </c>
    </row>
    <row r="2623">
      <c r="A2623" s="3">
        <f>IFERROR(__xludf.DUMMYFUNCTION("""COMPUTED_VALUE"""),891.0)</f>
        <v>891</v>
      </c>
      <c r="B2623" s="2" t="str">
        <f>IFERROR(__xludf.DUMMYFUNCTION("""COMPUTED_VALUE"""),"SYLHET")</f>
        <v>SYLHET</v>
      </c>
      <c r="C2623" s="4">
        <f>IFERROR(__xludf.DUMMYFUNCTION("""COMPUTED_VALUE"""),60.0)</f>
        <v>60</v>
      </c>
      <c r="D2623" s="2" t="str">
        <f>IFERROR(__xludf.DUMMYFUNCTION("""COMPUTED_VALUE"""),"BRAC BANK LTD.")</f>
        <v>BRAC BANK LTD.</v>
      </c>
      <c r="E2623" s="2" t="str">
        <f>IFERROR(__xludf.DUMMYFUNCTION("""COMPUTED_VALUE"""),"ZINDA BAZAR")</f>
        <v>ZINDA BAZAR</v>
      </c>
      <c r="F2623" s="4">
        <f>IFERROR(__xludf.DUMMYFUNCTION("""COMPUTED_VALUE"""),415.0)</f>
        <v>415</v>
      </c>
      <c r="G2623" s="5">
        <f>IFERROR(__xludf.DUMMYFUNCTION("""COMPUTED_VALUE"""),6.0914152E7)</f>
        <v>60914152</v>
      </c>
    </row>
    <row r="2624">
      <c r="A2624" s="3">
        <f>IFERROR(__xludf.DUMMYFUNCTION("""COMPUTED_VALUE"""),193.0)</f>
        <v>193</v>
      </c>
      <c r="B2624" s="2" t="str">
        <f>IFERROR(__xludf.DUMMYFUNCTION("""COMPUTED_VALUE"""),"TANGAIL")</f>
        <v>TANGAIL</v>
      </c>
      <c r="C2624" s="4">
        <f>IFERROR(__xludf.DUMMYFUNCTION("""COMPUTED_VALUE"""),60.0)</f>
        <v>60</v>
      </c>
      <c r="D2624" s="2" t="str">
        <f>IFERROR(__xludf.DUMMYFUNCTION("""COMPUTED_VALUE"""),"BRAC BANK LTD.")</f>
        <v>BRAC BANK LTD.</v>
      </c>
      <c r="E2624" s="2" t="str">
        <f>IFERROR(__xludf.DUMMYFUNCTION("""COMPUTED_VALUE"""),"SHAKHIPUR")</f>
        <v>SHAKHIPUR</v>
      </c>
      <c r="F2624" s="4">
        <f>IFERROR(__xludf.DUMMYFUNCTION("""COMPUTED_VALUE"""),220.0)</f>
        <v>220</v>
      </c>
      <c r="G2624" s="5">
        <f>IFERROR(__xludf.DUMMYFUNCTION("""COMPUTED_VALUE"""),6.09322E7)</f>
        <v>60932200</v>
      </c>
    </row>
    <row r="2625">
      <c r="A2625" s="3">
        <f>IFERROR(__xludf.DUMMYFUNCTION("""COMPUTED_VALUE"""),193.0)</f>
        <v>193</v>
      </c>
      <c r="B2625" s="2" t="str">
        <f>IFERROR(__xludf.DUMMYFUNCTION("""COMPUTED_VALUE"""),"TANGAIL")</f>
        <v>TANGAIL</v>
      </c>
      <c r="C2625" s="4">
        <f>IFERROR(__xludf.DUMMYFUNCTION("""COMPUTED_VALUE"""),60.0)</f>
        <v>60</v>
      </c>
      <c r="D2625" s="2" t="str">
        <f>IFERROR(__xludf.DUMMYFUNCTION("""COMPUTED_VALUE"""),"BRAC BANK LTD.")</f>
        <v>BRAC BANK LTD.</v>
      </c>
      <c r="E2625" s="2" t="str">
        <f>IFERROR(__xludf.DUMMYFUNCTION("""COMPUTED_VALUE"""),"GHATAIL SME")</f>
        <v>GHATAIL SME</v>
      </c>
      <c r="F2625" s="3">
        <f>IFERROR(__xludf.DUMMYFUNCTION("""COMPUTED_VALUE"""),229.0)</f>
        <v>229</v>
      </c>
      <c r="G2625" s="5">
        <f>IFERROR(__xludf.DUMMYFUNCTION("""COMPUTED_VALUE"""),6.0932297E7)</f>
        <v>60932297</v>
      </c>
    </row>
    <row r="2626">
      <c r="A2626" s="3">
        <f>IFERROR(__xludf.DUMMYFUNCTION("""COMPUTED_VALUE"""),193.0)</f>
        <v>193</v>
      </c>
      <c r="B2626" s="2" t="str">
        <f>IFERROR(__xludf.DUMMYFUNCTION("""COMPUTED_VALUE"""),"TANGAIL")</f>
        <v>TANGAIL</v>
      </c>
      <c r="C2626" s="4">
        <f>IFERROR(__xludf.DUMMYFUNCTION("""COMPUTED_VALUE"""),60.0)</f>
        <v>60</v>
      </c>
      <c r="D2626" s="2" t="str">
        <f>IFERROR(__xludf.DUMMYFUNCTION("""COMPUTED_VALUE"""),"BRAC BANK LTD.")</f>
        <v>BRAC BANK LTD.</v>
      </c>
      <c r="E2626" s="2" t="str">
        <f>IFERROR(__xludf.DUMMYFUNCTION("""COMPUTED_VALUE"""),"TANGAIL")</f>
        <v>TANGAIL</v>
      </c>
      <c r="F2626" s="3">
        <f>IFERROR(__xludf.DUMMYFUNCTION("""COMPUTED_VALUE"""),230.0)</f>
        <v>230</v>
      </c>
      <c r="G2626" s="5">
        <f>IFERROR(__xludf.DUMMYFUNCTION("""COMPUTED_VALUE"""),6.0932305E7)</f>
        <v>60932305</v>
      </c>
    </row>
    <row r="2627">
      <c r="A2627" s="3">
        <f>IFERROR(__xludf.DUMMYFUNCTION("""COMPUTED_VALUE"""),794.0)</f>
        <v>794</v>
      </c>
      <c r="B2627" s="2" t="str">
        <f>IFERROR(__xludf.DUMMYFUNCTION("""COMPUTED_VALUE"""),"THAKURGAON")</f>
        <v>THAKURGAON</v>
      </c>
      <c r="C2627" s="4">
        <f>IFERROR(__xludf.DUMMYFUNCTION("""COMPUTED_VALUE"""),60.0)</f>
        <v>60</v>
      </c>
      <c r="D2627" s="2" t="str">
        <f>IFERROR(__xludf.DUMMYFUNCTION("""COMPUTED_VALUE"""),"BRAC BANK LTD.")</f>
        <v>BRAC BANK LTD.</v>
      </c>
      <c r="E2627" s="2" t="str">
        <f>IFERROR(__xludf.DUMMYFUNCTION("""COMPUTED_VALUE"""),"THAKURGAON SME")</f>
        <v>THAKURGAON SME</v>
      </c>
      <c r="F2627" s="3">
        <f>IFERROR(__xludf.DUMMYFUNCTION("""COMPUTED_VALUE"""),99.0)</f>
        <v>99</v>
      </c>
      <c r="G2627" s="5">
        <f>IFERROR(__xludf.DUMMYFUNCTION("""COMPUTED_VALUE"""),6.0940997E7)</f>
        <v>60940997</v>
      </c>
    </row>
    <row r="2628">
      <c r="A2628" s="3">
        <f>IFERROR(__xludf.DUMMYFUNCTION("""COMPUTED_VALUE"""),215.0)</f>
        <v>215</v>
      </c>
      <c r="B2628" s="2" t="str">
        <f>IFERROR(__xludf.DUMMYFUNCTION("""COMPUTED_VALUE"""),"CHITTAGONG")</f>
        <v>CHITTAGONG</v>
      </c>
      <c r="C2628" s="4">
        <f>IFERROR(__xludf.DUMMYFUNCTION("""COMPUTED_VALUE"""),65.0)</f>
        <v>65</v>
      </c>
      <c r="D2628" s="2" t="str">
        <f>IFERROR(__xludf.DUMMYFUNCTION("""COMPUTED_VALUE"""),"BANK AL-FALAH LTD")</f>
        <v>BANK AL-FALAH LTD</v>
      </c>
      <c r="E2628" s="2" t="str">
        <f>IFERROR(__xludf.DUMMYFUNCTION("""COMPUTED_VALUE"""),"AGRABAD")</f>
        <v>AGRABAD</v>
      </c>
      <c r="F2628" s="3">
        <f>IFERROR(__xludf.DUMMYFUNCTION("""COMPUTED_VALUE"""),13.0)</f>
        <v>13</v>
      </c>
      <c r="G2628" s="5">
        <f>IFERROR(__xludf.DUMMYFUNCTION("""COMPUTED_VALUE"""),6.5150137E7)</f>
        <v>65150137</v>
      </c>
    </row>
    <row r="2629">
      <c r="A2629" s="3">
        <f>IFERROR(__xludf.DUMMYFUNCTION("""COMPUTED_VALUE"""),126.0)</f>
        <v>126</v>
      </c>
      <c r="B2629" s="2" t="str">
        <f>IFERROR(__xludf.DUMMYFUNCTION("""COMPUTED_VALUE"""),"DHAKA-NORTH")</f>
        <v>DHAKA-NORTH</v>
      </c>
      <c r="C2629" s="4">
        <f>IFERROR(__xludf.DUMMYFUNCTION("""COMPUTED_VALUE"""),65.0)</f>
        <v>65</v>
      </c>
      <c r="D2629" s="2" t="str">
        <f>IFERROR(__xludf.DUMMYFUNCTION("""COMPUTED_VALUE"""),"BANK AL-FALAH LTD")</f>
        <v>BANK AL-FALAH LTD</v>
      </c>
      <c r="E2629" s="2" t="str">
        <f>IFERROR(__xludf.DUMMYFUNCTION("""COMPUTED_VALUE"""),"DHANMONDI")</f>
        <v>DHANMONDI</v>
      </c>
      <c r="F2629" s="3">
        <f>IFERROR(__xludf.DUMMYFUNCTION("""COMPUTED_VALUE"""),118.0)</f>
        <v>118</v>
      </c>
      <c r="G2629" s="5">
        <f>IFERROR(__xludf.DUMMYFUNCTION("""COMPUTED_VALUE"""),6.5261189E7)</f>
        <v>65261189</v>
      </c>
    </row>
    <row r="2630">
      <c r="A2630" s="3">
        <f>IFERROR(__xludf.DUMMYFUNCTION("""COMPUTED_VALUE"""),126.0)</f>
        <v>126</v>
      </c>
      <c r="B2630" s="2" t="str">
        <f>IFERROR(__xludf.DUMMYFUNCTION("""COMPUTED_VALUE"""),"DHAKA-NORTH")</f>
        <v>DHAKA-NORTH</v>
      </c>
      <c r="C2630" s="4">
        <f>IFERROR(__xludf.DUMMYFUNCTION("""COMPUTED_VALUE"""),65.0)</f>
        <v>65</v>
      </c>
      <c r="D2630" s="2" t="str">
        <f>IFERROR(__xludf.DUMMYFUNCTION("""COMPUTED_VALUE"""),"BANK AL-FALAH LTD")</f>
        <v>BANK AL-FALAH LTD</v>
      </c>
      <c r="E2630" s="2" t="str">
        <f>IFERROR(__xludf.DUMMYFUNCTION("""COMPUTED_VALUE"""),"GULSHAN")</f>
        <v>GULSHAN</v>
      </c>
      <c r="F2630" s="3">
        <f>IFERROR(__xludf.DUMMYFUNCTION("""COMPUTED_VALUE"""),172.0)</f>
        <v>172</v>
      </c>
      <c r="G2630" s="5">
        <f>IFERROR(__xludf.DUMMYFUNCTION("""COMPUTED_VALUE"""),6.5261721E7)</f>
        <v>65261721</v>
      </c>
    </row>
    <row r="2631">
      <c r="A2631" s="3">
        <f>IFERROR(__xludf.DUMMYFUNCTION("""COMPUTED_VALUE"""),126.0)</f>
        <v>126</v>
      </c>
      <c r="B2631" s="2" t="str">
        <f>IFERROR(__xludf.DUMMYFUNCTION("""COMPUTED_VALUE"""),"DHAKA-NORTH")</f>
        <v>DHAKA-NORTH</v>
      </c>
      <c r="C2631" s="4">
        <f>IFERROR(__xludf.DUMMYFUNCTION("""COMPUTED_VALUE"""),65.0)</f>
        <v>65</v>
      </c>
      <c r="D2631" s="2" t="str">
        <f>IFERROR(__xludf.DUMMYFUNCTION("""COMPUTED_VALUE"""),"BANK AL-FALAH LTD")</f>
        <v>BANK AL-FALAH LTD</v>
      </c>
      <c r="E2631" s="2" t="str">
        <f>IFERROR(__xludf.DUMMYFUNCTION("""COMPUTED_VALUE"""),"MIRPUR")</f>
        <v>MIRPUR</v>
      </c>
      <c r="F2631" s="3">
        <f>IFERROR(__xludf.DUMMYFUNCTION("""COMPUTED_VALUE"""),298.0)</f>
        <v>298</v>
      </c>
      <c r="G2631" s="5">
        <f>IFERROR(__xludf.DUMMYFUNCTION("""COMPUTED_VALUE"""),6.5262988E7)</f>
        <v>65262988</v>
      </c>
    </row>
    <row r="2632">
      <c r="A2632" s="3">
        <f>IFERROR(__xludf.DUMMYFUNCTION("""COMPUTED_VALUE"""),126.0)</f>
        <v>126</v>
      </c>
      <c r="B2632" s="2" t="str">
        <f>IFERROR(__xludf.DUMMYFUNCTION("""COMPUTED_VALUE"""),"DHAKA-NORTH")</f>
        <v>DHAKA-NORTH</v>
      </c>
      <c r="C2632" s="4">
        <f>IFERROR(__xludf.DUMMYFUNCTION("""COMPUTED_VALUE"""),65.0)</f>
        <v>65</v>
      </c>
      <c r="D2632" s="2" t="str">
        <f>IFERROR(__xludf.DUMMYFUNCTION("""COMPUTED_VALUE"""),"BANK AL-FALAH LTD")</f>
        <v>BANK AL-FALAH LTD</v>
      </c>
      <c r="E2632" s="2" t="str">
        <f>IFERROR(__xludf.DUMMYFUNCTION("""COMPUTED_VALUE"""),"UTTARA")</f>
        <v>UTTARA</v>
      </c>
      <c r="F2632" s="3">
        <f>IFERROR(__xludf.DUMMYFUNCTION("""COMPUTED_VALUE"""),463.0)</f>
        <v>463</v>
      </c>
      <c r="G2632" s="5">
        <f>IFERROR(__xludf.DUMMYFUNCTION("""COMPUTED_VALUE"""),6.5264636E7)</f>
        <v>65264636</v>
      </c>
    </row>
    <row r="2633">
      <c r="A2633" s="3">
        <f>IFERROR(__xludf.DUMMYFUNCTION("""COMPUTED_VALUE"""),127.0)</f>
        <v>127</v>
      </c>
      <c r="B2633" s="2" t="str">
        <f>IFERROR(__xludf.DUMMYFUNCTION("""COMPUTED_VALUE"""),"DHAKA-SOUTH")</f>
        <v>DHAKA-SOUTH</v>
      </c>
      <c r="C2633" s="4">
        <f>IFERROR(__xludf.DUMMYFUNCTION("""COMPUTED_VALUE"""),65.0)</f>
        <v>65</v>
      </c>
      <c r="D2633" s="2" t="str">
        <f>IFERROR(__xludf.DUMMYFUNCTION("""COMPUTED_VALUE"""),"BANK AL-FALAH LTD")</f>
        <v>BANK AL-FALAH LTD</v>
      </c>
      <c r="E2633" s="2" t="str">
        <f>IFERROR(__xludf.DUMMYFUNCTION("""COMPUTED_VALUE"""),"TRUNCATION POINT")</f>
        <v>TRUNCATION POINT</v>
      </c>
      <c r="F2633" s="3">
        <f>IFERROR(__xludf.DUMMYFUNCTION("""COMPUTED_VALUE"""),0.0)</f>
        <v>0</v>
      </c>
      <c r="G2633" s="5">
        <f>IFERROR(__xludf.DUMMYFUNCTION("""COMPUTED_VALUE"""),6.5270004E7)</f>
        <v>65270004</v>
      </c>
    </row>
    <row r="2634">
      <c r="A2634" s="3">
        <f>IFERROR(__xludf.DUMMYFUNCTION("""COMPUTED_VALUE"""),127.0)</f>
        <v>127</v>
      </c>
      <c r="B2634" s="2" t="str">
        <f>IFERROR(__xludf.DUMMYFUNCTION("""COMPUTED_VALUE"""),"DHAKA-SOUTH")</f>
        <v>DHAKA-SOUTH</v>
      </c>
      <c r="C2634" s="4">
        <f>IFERROR(__xludf.DUMMYFUNCTION("""COMPUTED_VALUE"""),65.0)</f>
        <v>65</v>
      </c>
      <c r="D2634" s="2" t="str">
        <f>IFERROR(__xludf.DUMMYFUNCTION("""COMPUTED_VALUE"""),"BANK AL-FALAH LTD")</f>
        <v>BANK AL-FALAH LTD</v>
      </c>
      <c r="E2634" s="2" t="str">
        <f>IFERROR(__xludf.DUMMYFUNCTION("""COMPUTED_VALUE"""),"DHAKA(MAIN)")</f>
        <v>DHAKA(MAIN)</v>
      </c>
      <c r="F2634" s="3">
        <f>IFERROR(__xludf.DUMMYFUNCTION("""COMPUTED_VALUE"""),178.0)</f>
        <v>178</v>
      </c>
      <c r="G2634" s="5">
        <f>IFERROR(__xludf.DUMMYFUNCTION("""COMPUTED_VALUE"""),6.5271782E7)</f>
        <v>65271782</v>
      </c>
    </row>
    <row r="2635">
      <c r="A2635" s="3">
        <f>IFERROR(__xludf.DUMMYFUNCTION("""COMPUTED_VALUE"""),891.0)</f>
        <v>891</v>
      </c>
      <c r="B2635" s="2" t="str">
        <f>IFERROR(__xludf.DUMMYFUNCTION("""COMPUTED_VALUE"""),"SYLHET")</f>
        <v>SYLHET</v>
      </c>
      <c r="C2635" s="4">
        <f>IFERROR(__xludf.DUMMYFUNCTION("""COMPUTED_VALUE"""),65.0)</f>
        <v>65</v>
      </c>
      <c r="D2635" s="2" t="str">
        <f>IFERROR(__xludf.DUMMYFUNCTION("""COMPUTED_VALUE"""),"BANK AL-FALAH LTD")</f>
        <v>BANK AL-FALAH LTD</v>
      </c>
      <c r="E2635" s="2" t="str">
        <f>IFERROR(__xludf.DUMMYFUNCTION("""COMPUTED_VALUE"""),"SYLHET")</f>
        <v>SYLHET</v>
      </c>
      <c r="F2635" s="3">
        <f>IFERROR(__xludf.DUMMYFUNCTION("""COMPUTED_VALUE"""),355.0)</f>
        <v>355</v>
      </c>
      <c r="G2635" s="5">
        <f>IFERROR(__xludf.DUMMYFUNCTION("""COMPUTED_VALUE"""),6.5913558E7)</f>
        <v>65913558</v>
      </c>
    </row>
    <row r="2636">
      <c r="A2636" s="3">
        <f>IFERROR(__xludf.DUMMYFUNCTION("""COMPUTED_VALUE"""),306.0)</f>
        <v>306</v>
      </c>
      <c r="B2636" s="2" t="str">
        <f>IFERROR(__xludf.DUMMYFUNCTION("""COMPUTED_VALUE"""),"BARISHAL")</f>
        <v>BARISHAL</v>
      </c>
      <c r="C2636" s="4">
        <f>IFERROR(__xludf.DUMMYFUNCTION("""COMPUTED_VALUE"""),70.0)</f>
        <v>70</v>
      </c>
      <c r="D2636" s="2" t="str">
        <f>IFERROR(__xludf.DUMMYFUNCTION("""COMPUTED_VALUE"""),"BANK ASIA LTD.")</f>
        <v>BANK ASIA LTD.</v>
      </c>
      <c r="E2636" s="2" t="str">
        <f>IFERROR(__xludf.DUMMYFUNCTION("""COMPUTED_VALUE"""),"BARISAL")</f>
        <v>BARISAL</v>
      </c>
      <c r="F2636" s="3">
        <f>IFERROR(__xludf.DUMMYFUNCTION("""COMPUTED_VALUE"""),28.0)</f>
        <v>28</v>
      </c>
      <c r="G2636" s="5">
        <f>IFERROR(__xludf.DUMMYFUNCTION("""COMPUTED_VALUE"""),7.0060283E7)</f>
        <v>70060283</v>
      </c>
    </row>
    <row r="2637">
      <c r="A2637" s="3">
        <f>IFERROR(__xludf.DUMMYFUNCTION("""COMPUTED_VALUE"""),309.0)</f>
        <v>309</v>
      </c>
      <c r="B2637" s="2" t="str">
        <f>IFERROR(__xludf.DUMMYFUNCTION("""COMPUTED_VALUE"""),"BHOLA")</f>
        <v>BHOLA</v>
      </c>
      <c r="C2637" s="4">
        <f>IFERROR(__xludf.DUMMYFUNCTION("""COMPUTED_VALUE"""),70.0)</f>
        <v>70</v>
      </c>
      <c r="D2637" s="2" t="str">
        <f>IFERROR(__xludf.DUMMYFUNCTION("""COMPUTED_VALUE"""),"BANK ASIA LTD.")</f>
        <v>BANK ASIA LTD.</v>
      </c>
      <c r="E2637" s="2" t="str">
        <f>IFERROR(__xludf.DUMMYFUNCTION("""COMPUTED_VALUE"""),"BHOLA")</f>
        <v>BHOLA</v>
      </c>
      <c r="F2637" s="3">
        <f>IFERROR(__xludf.DUMMYFUNCTION("""COMPUTED_VALUE"""),10.0)</f>
        <v>10</v>
      </c>
      <c r="G2637" s="5">
        <f>IFERROR(__xludf.DUMMYFUNCTION("""COMPUTED_VALUE"""),7.0090103E7)</f>
        <v>70090103</v>
      </c>
    </row>
    <row r="2638">
      <c r="A2638" s="3">
        <f>IFERROR(__xludf.DUMMYFUNCTION("""COMPUTED_VALUE"""),610.0)</f>
        <v>610</v>
      </c>
      <c r="B2638" s="2" t="str">
        <f>IFERROR(__xludf.DUMMYFUNCTION("""COMPUTED_VALUE"""),"BOGRA")</f>
        <v>BOGRA</v>
      </c>
      <c r="C2638" s="4">
        <f>IFERROR(__xludf.DUMMYFUNCTION("""COMPUTED_VALUE"""),70.0)</f>
        <v>70</v>
      </c>
      <c r="D2638" s="2" t="str">
        <f>IFERROR(__xludf.DUMMYFUNCTION("""COMPUTED_VALUE"""),"BANK ASIA LTD.")</f>
        <v>BANK ASIA LTD.</v>
      </c>
      <c r="E2638" s="2" t="str">
        <f>IFERROR(__xludf.DUMMYFUNCTION("""COMPUTED_VALUE"""),"BOGRA")</f>
        <v>BOGRA</v>
      </c>
      <c r="F2638" s="3">
        <f>IFERROR(__xludf.DUMMYFUNCTION("""COMPUTED_VALUE"""),37.0)</f>
        <v>37</v>
      </c>
      <c r="G2638" s="5">
        <f>IFERROR(__xludf.DUMMYFUNCTION("""COMPUTED_VALUE"""),7.0100372E7)</f>
        <v>70100372</v>
      </c>
    </row>
    <row r="2639">
      <c r="A2639" s="3">
        <f>IFERROR(__xludf.DUMMYFUNCTION("""COMPUTED_VALUE"""),112.0)</f>
        <v>112</v>
      </c>
      <c r="B2639" s="2" t="str">
        <f>IFERROR(__xludf.DUMMYFUNCTION("""COMPUTED_VALUE"""),"BRAHMANBARIA")</f>
        <v>BRAHMANBARIA</v>
      </c>
      <c r="C2639" s="4">
        <f>IFERROR(__xludf.DUMMYFUNCTION("""COMPUTED_VALUE"""),70.0)</f>
        <v>70</v>
      </c>
      <c r="D2639" s="2" t="str">
        <f>IFERROR(__xludf.DUMMYFUNCTION("""COMPUTED_VALUE"""),"BANK ASIA LTD.")</f>
        <v>BANK ASIA LTD.</v>
      </c>
      <c r="E2639" s="2" t="str">
        <f>IFERROR(__xludf.DUMMYFUNCTION("""COMPUTED_VALUE"""),"BRAHMANBARIA")</f>
        <v>BRAHMANBARIA</v>
      </c>
      <c r="F2639" s="3">
        <f>IFERROR(__xludf.DUMMYFUNCTION("""COMPUTED_VALUE"""),43.0)</f>
        <v>43</v>
      </c>
      <c r="G2639" s="5">
        <f>IFERROR(__xludf.DUMMYFUNCTION("""COMPUTED_VALUE"""),7.0120431E7)</f>
        <v>70120431</v>
      </c>
    </row>
    <row r="2640">
      <c r="A2640" s="3">
        <f>IFERROR(__xludf.DUMMYFUNCTION("""COMPUTED_VALUE"""),112.0)</f>
        <v>112</v>
      </c>
      <c r="B2640" s="2" t="str">
        <f>IFERROR(__xludf.DUMMYFUNCTION("""COMPUTED_VALUE"""),"BRAHMANBARIA")</f>
        <v>BRAHMANBARIA</v>
      </c>
      <c r="C2640" s="4">
        <f>IFERROR(__xludf.DUMMYFUNCTION("""COMPUTED_VALUE"""),70.0)</f>
        <v>70</v>
      </c>
      <c r="D2640" s="2" t="str">
        <f>IFERROR(__xludf.DUMMYFUNCTION("""COMPUTED_VALUE"""),"BANK ASIA LTD.")</f>
        <v>BANK ASIA LTD.</v>
      </c>
      <c r="E2640" s="2" t="str">
        <f>IFERROR(__xludf.DUMMYFUNCTION("""COMPUTED_VALUE"""),"KASBA")</f>
        <v>KASBA</v>
      </c>
      <c r="F2640" s="3">
        <f>IFERROR(__xludf.DUMMYFUNCTION("""COMPUTED_VALUE"""),103.0)</f>
        <v>103</v>
      </c>
      <c r="G2640" s="5">
        <f>IFERROR(__xludf.DUMMYFUNCTION("""COMPUTED_VALUE"""),7.012103E7)</f>
        <v>70121030</v>
      </c>
    </row>
    <row r="2641">
      <c r="A2641" s="3">
        <f>IFERROR(__xludf.DUMMYFUNCTION("""COMPUTED_VALUE"""),113.0)</f>
        <v>113</v>
      </c>
      <c r="B2641" s="2" t="str">
        <f>IFERROR(__xludf.DUMMYFUNCTION("""COMPUTED_VALUE"""),"CHANDPUR")</f>
        <v>CHANDPUR</v>
      </c>
      <c r="C2641" s="4">
        <f>IFERROR(__xludf.DUMMYFUNCTION("""COMPUTED_VALUE"""),70.0)</f>
        <v>70</v>
      </c>
      <c r="D2641" s="2" t="str">
        <f>IFERROR(__xludf.DUMMYFUNCTION("""COMPUTED_VALUE"""),"BANK ASIA LTD.")</f>
        <v>BANK ASIA LTD.</v>
      </c>
      <c r="E2641" s="2" t="str">
        <f>IFERROR(__xludf.DUMMYFUNCTION("""COMPUTED_VALUE"""),"RUPSHA")</f>
        <v>RUPSHA</v>
      </c>
      <c r="F2641" s="3">
        <f>IFERROR(__xludf.DUMMYFUNCTION("""COMPUTED_VALUE"""),15.0)</f>
        <v>15</v>
      </c>
      <c r="G2641" s="5">
        <f>IFERROR(__xludf.DUMMYFUNCTION("""COMPUTED_VALUE"""),7.0130155E7)</f>
        <v>70130155</v>
      </c>
    </row>
    <row r="2642">
      <c r="A2642" s="3">
        <f>IFERROR(__xludf.DUMMYFUNCTION("""COMPUTED_VALUE"""),113.0)</f>
        <v>113</v>
      </c>
      <c r="B2642" s="2" t="str">
        <f>IFERROR(__xludf.DUMMYFUNCTION("""COMPUTED_VALUE"""),"CHANDPUR")</f>
        <v>CHANDPUR</v>
      </c>
      <c r="C2642" s="4">
        <f>IFERROR(__xludf.DUMMYFUNCTION("""COMPUTED_VALUE"""),70.0)</f>
        <v>70</v>
      </c>
      <c r="D2642" s="2" t="str">
        <f>IFERROR(__xludf.DUMMYFUNCTION("""COMPUTED_VALUE"""),"BANK ASIA LTD.")</f>
        <v>BANK ASIA LTD.</v>
      </c>
      <c r="E2642" s="2" t="str">
        <f>IFERROR(__xludf.DUMMYFUNCTION("""COMPUTED_VALUE"""),"CHANDPUR")</f>
        <v>CHANDPUR</v>
      </c>
      <c r="F2642" s="3">
        <f>IFERROR(__xludf.DUMMYFUNCTION("""COMPUTED_VALUE"""),31.0)</f>
        <v>31</v>
      </c>
      <c r="G2642" s="5">
        <f>IFERROR(__xludf.DUMMYFUNCTION("""COMPUTED_VALUE"""),7.0130313E7)</f>
        <v>70130313</v>
      </c>
    </row>
    <row r="2643">
      <c r="A2643" s="3">
        <f>IFERROR(__xludf.DUMMYFUNCTION("""COMPUTED_VALUE"""),230.0)</f>
        <v>230</v>
      </c>
      <c r="B2643" s="2" t="str">
        <f>IFERROR(__xludf.DUMMYFUNCTION("""COMPUTED_VALUE"""),"FENI")</f>
        <v>FENI</v>
      </c>
      <c r="C2643" s="4">
        <f>IFERROR(__xludf.DUMMYFUNCTION("""COMPUTED_VALUE"""),70.0)</f>
        <v>70</v>
      </c>
      <c r="D2643" s="2" t="str">
        <f>IFERROR(__xludf.DUMMYFUNCTION("""COMPUTED_VALUE"""),"BANK ASIA LTD.")</f>
        <v>BANK ASIA LTD.</v>
      </c>
      <c r="E2643" s="2" t="str">
        <f>IFERROR(__xludf.DUMMYFUNCTION("""COMPUTED_VALUE"""),"FENI")</f>
        <v>FENI</v>
      </c>
      <c r="F2643" s="3">
        <f>IFERROR(__xludf.DUMMYFUNCTION("""COMPUTED_VALUE"""),52.0)</f>
        <v>52</v>
      </c>
      <c r="G2643" s="5">
        <f>IFERROR(__xludf.DUMMYFUNCTION("""COMPUTED_VALUE"""),7.0130526E7)</f>
        <v>70130526</v>
      </c>
    </row>
    <row r="2644">
      <c r="A2644" s="3">
        <f>IFERROR(__xludf.DUMMYFUNCTION("""COMPUTED_VALUE"""),113.0)</f>
        <v>113</v>
      </c>
      <c r="B2644" s="2" t="str">
        <f>IFERROR(__xludf.DUMMYFUNCTION("""COMPUTED_VALUE"""),"CHANDPUR")</f>
        <v>CHANDPUR</v>
      </c>
      <c r="C2644" s="4">
        <f>IFERROR(__xludf.DUMMYFUNCTION("""COMPUTED_VALUE"""),70.0)</f>
        <v>70</v>
      </c>
      <c r="D2644" s="2" t="str">
        <f>IFERROR(__xludf.DUMMYFUNCTION("""COMPUTED_VALUE"""),"BANK ASIA LTD.")</f>
        <v>BANK ASIA LTD.</v>
      </c>
      <c r="E2644" s="2" t="str">
        <f>IFERROR(__xludf.DUMMYFUNCTION("""COMPUTED_VALUE"""),"FARIDGANJ")</f>
        <v>FARIDGANJ</v>
      </c>
      <c r="F2644" s="3">
        <f>IFERROR(__xludf.DUMMYFUNCTION("""COMPUTED_VALUE"""),67.0)</f>
        <v>67</v>
      </c>
      <c r="G2644" s="5">
        <f>IFERROR(__xludf.DUMMYFUNCTION("""COMPUTED_VALUE"""),7.0130676E7)</f>
        <v>70130676</v>
      </c>
    </row>
    <row r="2645">
      <c r="A2645" s="3">
        <f>IFERROR(__xludf.DUMMYFUNCTION("""COMPUTED_VALUE"""),113.0)</f>
        <v>113</v>
      </c>
      <c r="B2645" s="2" t="str">
        <f>IFERROR(__xludf.DUMMYFUNCTION("""COMPUTED_VALUE"""),"CHANDPUR")</f>
        <v>CHANDPUR</v>
      </c>
      <c r="C2645" s="4">
        <f>IFERROR(__xludf.DUMMYFUNCTION("""COMPUTED_VALUE"""),70.0)</f>
        <v>70</v>
      </c>
      <c r="D2645" s="2" t="str">
        <f>IFERROR(__xludf.DUMMYFUNCTION("""COMPUTED_VALUE"""),"BANK ASIA LTD.")</f>
        <v>BANK ASIA LTD.</v>
      </c>
      <c r="E2645" s="2" t="str">
        <f>IFERROR(__xludf.DUMMYFUNCTION("""COMPUTED_VALUE"""),"HAJIGANJ")</f>
        <v>HAJIGANJ</v>
      </c>
      <c r="F2645" s="3">
        <f>IFERROR(__xludf.DUMMYFUNCTION("""COMPUTED_VALUE"""),88.0)</f>
        <v>88</v>
      </c>
      <c r="G2645" s="5">
        <f>IFERROR(__xludf.DUMMYFUNCTION("""COMPUTED_VALUE"""),7.0130889E7)</f>
        <v>70130889</v>
      </c>
    </row>
    <row r="2646">
      <c r="A2646" s="3">
        <f>IFERROR(__xludf.DUMMYFUNCTION("""COMPUTED_VALUE"""),215.0)</f>
        <v>215</v>
      </c>
      <c r="B2646" s="2" t="str">
        <f>IFERROR(__xludf.DUMMYFUNCTION("""COMPUTED_VALUE"""),"CHITTAGONG")</f>
        <v>CHITTAGONG</v>
      </c>
      <c r="C2646" s="4">
        <f>IFERROR(__xludf.DUMMYFUNCTION("""COMPUTED_VALUE"""),70.0)</f>
        <v>70</v>
      </c>
      <c r="D2646" s="2" t="str">
        <f>IFERROR(__xludf.DUMMYFUNCTION("""COMPUTED_VALUE"""),"BANK ASIA LTD.")</f>
        <v>BANK ASIA LTD.</v>
      </c>
      <c r="E2646" s="2" t="str">
        <f>IFERROR(__xludf.DUMMYFUNCTION("""COMPUTED_VALUE"""),"AGRABAD")</f>
        <v>AGRABAD</v>
      </c>
      <c r="F2646" s="3">
        <f>IFERROR(__xludf.DUMMYFUNCTION("""COMPUTED_VALUE"""),13.0)</f>
        <v>13</v>
      </c>
      <c r="G2646" s="5">
        <f>IFERROR(__xludf.DUMMYFUNCTION("""COMPUTED_VALUE"""),7.0150135E7)</f>
        <v>70150135</v>
      </c>
    </row>
    <row r="2647">
      <c r="A2647" s="3">
        <f>IFERROR(__xludf.DUMMYFUNCTION("""COMPUTED_VALUE"""),215.0)</f>
        <v>215</v>
      </c>
      <c r="B2647" s="2" t="str">
        <f>IFERROR(__xludf.DUMMYFUNCTION("""COMPUTED_VALUE"""),"CHITTAGONG")</f>
        <v>CHITTAGONG</v>
      </c>
      <c r="C2647" s="4">
        <f>IFERROR(__xludf.DUMMYFUNCTION("""COMPUTED_VALUE"""),70.0)</f>
        <v>70</v>
      </c>
      <c r="D2647" s="2" t="str">
        <f>IFERROR(__xludf.DUMMYFUNCTION("""COMPUTED_VALUE"""),"BANK ASIA LTD.")</f>
        <v>BANK ASIA LTD.</v>
      </c>
      <c r="E2647" s="2" t="str">
        <f>IFERROR(__xludf.DUMMYFUNCTION("""COMPUTED_VALUE"""),"BANK ASIA BHABAN")</f>
        <v>BANK ASIA BHABAN</v>
      </c>
      <c r="F2647" s="3">
        <f>IFERROR(__xludf.DUMMYFUNCTION("""COMPUTED_VALUE"""),26.0)</f>
        <v>26</v>
      </c>
      <c r="G2647" s="5">
        <f>IFERROR(__xludf.DUMMYFUNCTION("""COMPUTED_VALUE"""),7.0150269E7)</f>
        <v>70150269</v>
      </c>
    </row>
    <row r="2648">
      <c r="A2648" s="3">
        <f>IFERROR(__xludf.DUMMYFUNCTION("""COMPUTED_VALUE"""),215.0)</f>
        <v>215</v>
      </c>
      <c r="B2648" s="2" t="str">
        <f>IFERROR(__xludf.DUMMYFUNCTION("""COMPUTED_VALUE"""),"CHITTAGONG")</f>
        <v>CHITTAGONG</v>
      </c>
      <c r="C2648" s="4">
        <f>IFERROR(__xludf.DUMMYFUNCTION("""COMPUTED_VALUE"""),70.0)</f>
        <v>70</v>
      </c>
      <c r="D2648" s="2" t="str">
        <f>IFERROR(__xludf.DUMMYFUNCTION("""COMPUTED_VALUE"""),"BANK ASIA LTD.")</f>
        <v>BANK ASIA LTD.</v>
      </c>
      <c r="E2648" s="2" t="str">
        <f>IFERROR(__xludf.DUMMYFUNCTION("""COMPUTED_VALUE"""),"ANDERKILLA")</f>
        <v>ANDERKILLA</v>
      </c>
      <c r="F2648" s="3">
        <f>IFERROR(__xludf.DUMMYFUNCTION("""COMPUTED_VALUE"""),46.0)</f>
        <v>46</v>
      </c>
      <c r="G2648" s="5">
        <f>IFERROR(__xludf.DUMMYFUNCTION("""COMPUTED_VALUE"""),7.0150469E7)</f>
        <v>70150469</v>
      </c>
    </row>
    <row r="2649">
      <c r="A2649" s="3">
        <f>IFERROR(__xludf.DUMMYFUNCTION("""COMPUTED_VALUE"""),215.0)</f>
        <v>215</v>
      </c>
      <c r="B2649" s="2" t="str">
        <f>IFERROR(__xludf.DUMMYFUNCTION("""COMPUTED_VALUE"""),"CHITTAGONG")</f>
        <v>CHITTAGONG</v>
      </c>
      <c r="C2649" s="4">
        <f>IFERROR(__xludf.DUMMYFUNCTION("""COMPUTED_VALUE"""),70.0)</f>
        <v>70</v>
      </c>
      <c r="D2649" s="2" t="str">
        <f>IFERROR(__xludf.DUMMYFUNCTION("""COMPUTED_VALUE"""),"BANK ASIA LTD.")</f>
        <v>BANK ASIA LTD.</v>
      </c>
      <c r="E2649" s="2" t="str">
        <f>IFERROR(__xludf.DUMMYFUNCTION("""COMPUTED_VALUE"""),"BAHADDAR HAT")</f>
        <v>BAHADDAR HAT</v>
      </c>
      <c r="F2649" s="3">
        <f>IFERROR(__xludf.DUMMYFUNCTION("""COMPUTED_VALUE"""),79.0)</f>
        <v>79</v>
      </c>
      <c r="G2649" s="5">
        <f>IFERROR(__xludf.DUMMYFUNCTION("""COMPUTED_VALUE"""),7.0150793E7)</f>
        <v>70150793</v>
      </c>
    </row>
    <row r="2650">
      <c r="A2650" s="3">
        <f>IFERROR(__xludf.DUMMYFUNCTION("""COMPUTED_VALUE"""),215.0)</f>
        <v>215</v>
      </c>
      <c r="B2650" s="2" t="str">
        <f>IFERROR(__xludf.DUMMYFUNCTION("""COMPUTED_VALUE"""),"CHITTAGONG")</f>
        <v>CHITTAGONG</v>
      </c>
      <c r="C2650" s="4">
        <f>IFERROR(__xludf.DUMMYFUNCTION("""COMPUTED_VALUE"""),70.0)</f>
        <v>70</v>
      </c>
      <c r="D2650" s="2" t="str">
        <f>IFERROR(__xludf.DUMMYFUNCTION("""COMPUTED_VALUE"""),"BANK ASIA LTD.")</f>
        <v>BANK ASIA LTD.</v>
      </c>
      <c r="E2650" s="2" t="str">
        <f>IFERROR(__xludf.DUMMYFUNCTION("""COMPUTED_VALUE"""),"BHATIARY")</f>
        <v>BHATIARY</v>
      </c>
      <c r="F2650" s="3">
        <f>IFERROR(__xludf.DUMMYFUNCTION("""COMPUTED_VALUE"""),121.0)</f>
        <v>121</v>
      </c>
      <c r="G2650" s="5">
        <f>IFERROR(__xludf.DUMMYFUNCTION("""COMPUTED_VALUE"""),7.0151213E7)</f>
        <v>70151213</v>
      </c>
    </row>
    <row r="2651">
      <c r="A2651" s="3">
        <f>IFERROR(__xludf.DUMMYFUNCTION("""COMPUTED_VALUE"""),215.0)</f>
        <v>215</v>
      </c>
      <c r="B2651" s="2" t="str">
        <f>IFERROR(__xludf.DUMMYFUNCTION("""COMPUTED_VALUE"""),"CHITTAGONG")</f>
        <v>CHITTAGONG</v>
      </c>
      <c r="C2651" s="4">
        <f>IFERROR(__xludf.DUMMYFUNCTION("""COMPUTED_VALUE"""),70.0)</f>
        <v>70</v>
      </c>
      <c r="D2651" s="2" t="str">
        <f>IFERROR(__xludf.DUMMYFUNCTION("""COMPUTED_VALUE"""),"BANK ASIA LTD.")</f>
        <v>BANK ASIA LTD.</v>
      </c>
      <c r="E2651" s="2" t="str">
        <f>IFERROR(__xludf.DUMMYFUNCTION("""COMPUTED_VALUE"""),"C.D.A. AVENUE")</f>
        <v>C.D.A. AVENUE</v>
      </c>
      <c r="F2651" s="3">
        <f>IFERROR(__xludf.DUMMYFUNCTION("""COMPUTED_VALUE"""),148.0)</f>
        <v>148</v>
      </c>
      <c r="G2651" s="5">
        <f>IFERROR(__xludf.DUMMYFUNCTION("""COMPUTED_VALUE"""),7.0151484E7)</f>
        <v>70151484</v>
      </c>
    </row>
    <row r="2652">
      <c r="A2652" s="3">
        <f>IFERROR(__xludf.DUMMYFUNCTION("""COMPUTED_VALUE"""),215.0)</f>
        <v>215</v>
      </c>
      <c r="B2652" s="2" t="str">
        <f>IFERROR(__xludf.DUMMYFUNCTION("""COMPUTED_VALUE"""),"CHITTAGONG")</f>
        <v>CHITTAGONG</v>
      </c>
      <c r="C2652" s="4">
        <f>IFERROR(__xludf.DUMMYFUNCTION("""COMPUTED_VALUE"""),70.0)</f>
        <v>70</v>
      </c>
      <c r="D2652" s="2" t="str">
        <f>IFERROR(__xludf.DUMMYFUNCTION("""COMPUTED_VALUE"""),"BANK ASIA LTD.")</f>
        <v>BANK ASIA LTD.</v>
      </c>
      <c r="E2652" s="2" t="str">
        <f>IFERROR(__xludf.DUMMYFUNCTION("""COMPUTED_VALUE"""),"C.E.P.Z.")</f>
        <v>C.E.P.Z.</v>
      </c>
      <c r="F2652" s="3">
        <f>IFERROR(__xludf.DUMMYFUNCTION("""COMPUTED_VALUE"""),157.0)</f>
        <v>157</v>
      </c>
      <c r="G2652" s="5">
        <f>IFERROR(__xludf.DUMMYFUNCTION("""COMPUTED_VALUE"""),7.0151576E7)</f>
        <v>70151576</v>
      </c>
    </row>
    <row r="2653">
      <c r="A2653" s="3">
        <f>IFERROR(__xludf.DUMMYFUNCTION("""COMPUTED_VALUE"""),215.0)</f>
        <v>215</v>
      </c>
      <c r="B2653" s="2" t="str">
        <f>IFERROR(__xludf.DUMMYFUNCTION("""COMPUTED_VALUE"""),"CHITTAGONG")</f>
        <v>CHITTAGONG</v>
      </c>
      <c r="C2653" s="4">
        <f>IFERROR(__xludf.DUMMYFUNCTION("""COMPUTED_VALUE"""),70.0)</f>
        <v>70</v>
      </c>
      <c r="D2653" s="2" t="str">
        <f>IFERROR(__xludf.DUMMYFUNCTION("""COMPUTED_VALUE"""),"BANK ASIA LTD.")</f>
        <v>BANK ASIA LTD.</v>
      </c>
      <c r="E2653" s="2" t="str">
        <f>IFERROR(__xludf.DUMMYFUNCTION("""COMPUTED_VALUE"""),"CHAKTAI SME")</f>
        <v>CHAKTAI SME</v>
      </c>
      <c r="F2653" s="3">
        <f>IFERROR(__xludf.DUMMYFUNCTION("""COMPUTED_VALUE"""),176.0)</f>
        <v>176</v>
      </c>
      <c r="G2653" s="5">
        <f>IFERROR(__xludf.DUMMYFUNCTION("""COMPUTED_VALUE"""),7.0151763E7)</f>
        <v>70151763</v>
      </c>
    </row>
    <row r="2654">
      <c r="A2654" s="3">
        <f>IFERROR(__xludf.DUMMYFUNCTION("""COMPUTED_VALUE"""),215.0)</f>
        <v>215</v>
      </c>
      <c r="B2654" s="2" t="str">
        <f>IFERROR(__xludf.DUMMYFUNCTION("""COMPUTED_VALUE"""),"CHITTAGONG")</f>
        <v>CHITTAGONG</v>
      </c>
      <c r="C2654" s="4">
        <f>IFERROR(__xludf.DUMMYFUNCTION("""COMPUTED_VALUE"""),70.0)</f>
        <v>70</v>
      </c>
      <c r="D2654" s="2" t="str">
        <f>IFERROR(__xludf.DUMMYFUNCTION("""COMPUTED_VALUE"""),"BANK ASIA LTD.")</f>
        <v>BANK ASIA LTD.</v>
      </c>
      <c r="E2654" s="2" t="str">
        <f>IFERROR(__xludf.DUMMYFUNCTION("""COMPUTED_VALUE"""),"DOHAZARI")</f>
        <v>DOHAZARI</v>
      </c>
      <c r="F2654" s="3">
        <f>IFERROR(__xludf.DUMMYFUNCTION("""COMPUTED_VALUE"""),256.0)</f>
        <v>256</v>
      </c>
      <c r="G2654" s="5">
        <f>IFERROR(__xludf.DUMMYFUNCTION("""COMPUTED_VALUE"""),7.0152562E7)</f>
        <v>70152562</v>
      </c>
    </row>
    <row r="2655">
      <c r="A2655" s="3">
        <f>IFERROR(__xludf.DUMMYFUNCTION("""COMPUTED_VALUE"""),215.0)</f>
        <v>215</v>
      </c>
      <c r="B2655" s="2" t="str">
        <f>IFERROR(__xludf.DUMMYFUNCTION("""COMPUTED_VALUE"""),"CHITTAGONG")</f>
        <v>CHITTAGONG</v>
      </c>
      <c r="C2655" s="4">
        <f>IFERROR(__xludf.DUMMYFUNCTION("""COMPUTED_VALUE"""),70.0)</f>
        <v>70</v>
      </c>
      <c r="D2655" s="2" t="str">
        <f>IFERROR(__xludf.DUMMYFUNCTION("""COMPUTED_VALUE"""),"BANK ASIA LTD.")</f>
        <v>BANK ASIA LTD.</v>
      </c>
      <c r="E2655" s="2" t="str">
        <f>IFERROR(__xludf.DUMMYFUNCTION("""COMPUTED_VALUE"""),"KAMAL BAZAR")</f>
        <v>KAMAL BAZAR</v>
      </c>
      <c r="F2655" s="3">
        <f>IFERROR(__xludf.DUMMYFUNCTION("""COMPUTED_VALUE"""),397.0)</f>
        <v>397</v>
      </c>
      <c r="G2655" s="5">
        <f>IFERROR(__xludf.DUMMYFUNCTION("""COMPUTED_VALUE"""),7.0153974E7)</f>
        <v>70153974</v>
      </c>
    </row>
    <row r="2656">
      <c r="A2656" s="3">
        <f>IFERROR(__xludf.DUMMYFUNCTION("""COMPUTED_VALUE"""),215.0)</f>
        <v>215</v>
      </c>
      <c r="B2656" s="2" t="str">
        <f>IFERROR(__xludf.DUMMYFUNCTION("""COMPUTED_VALUE"""),"CHITTAGONG")</f>
        <v>CHITTAGONG</v>
      </c>
      <c r="C2656" s="4">
        <f>IFERROR(__xludf.DUMMYFUNCTION("""COMPUTED_VALUE"""),70.0)</f>
        <v>70</v>
      </c>
      <c r="D2656" s="2" t="str">
        <f>IFERROR(__xludf.DUMMYFUNCTION("""COMPUTED_VALUE"""),"BANK ASIA LTD.")</f>
        <v>BANK ASIA LTD.</v>
      </c>
      <c r="E2656" s="2" t="str">
        <f>IFERROR(__xludf.DUMMYFUNCTION("""COMPUTED_VALUE"""),"KEPZ")</f>
        <v>KEPZ</v>
      </c>
      <c r="F2656" s="3">
        <f>IFERROR(__xludf.DUMMYFUNCTION("""COMPUTED_VALUE"""),407.0)</f>
        <v>407</v>
      </c>
      <c r="G2656" s="5">
        <f>IFERROR(__xludf.DUMMYFUNCTION("""COMPUTED_VALUE"""),7.0154078E7)</f>
        <v>70154078</v>
      </c>
    </row>
    <row r="2657">
      <c r="A2657" s="3">
        <f>IFERROR(__xludf.DUMMYFUNCTION("""COMPUTED_VALUE"""),215.0)</f>
        <v>215</v>
      </c>
      <c r="B2657" s="2" t="str">
        <f>IFERROR(__xludf.DUMMYFUNCTION("""COMPUTED_VALUE"""),"CHITTAGONG")</f>
        <v>CHITTAGONG</v>
      </c>
      <c r="C2657" s="4">
        <f>IFERROR(__xludf.DUMMYFUNCTION("""COMPUTED_VALUE"""),70.0)</f>
        <v>70</v>
      </c>
      <c r="D2657" s="2" t="str">
        <f>IFERROR(__xludf.DUMMYFUNCTION("""COMPUTED_VALUE"""),"BANK ASIA LTD.")</f>
        <v>BANK ASIA LTD.</v>
      </c>
      <c r="E2657" s="2" t="str">
        <f>IFERROR(__xludf.DUMMYFUNCTION("""COMPUTED_VALUE"""),"KHATUNGANJ")</f>
        <v>KHATUNGANJ</v>
      </c>
      <c r="F2657" s="3">
        <f>IFERROR(__xludf.DUMMYFUNCTION("""COMPUTED_VALUE"""),427.0)</f>
        <v>427</v>
      </c>
      <c r="G2657" s="5">
        <f>IFERROR(__xludf.DUMMYFUNCTION("""COMPUTED_VALUE"""),7.0154278E7)</f>
        <v>70154278</v>
      </c>
    </row>
    <row r="2658">
      <c r="A2658" s="3">
        <f>IFERROR(__xludf.DUMMYFUNCTION("""COMPUTED_VALUE"""),215.0)</f>
        <v>215</v>
      </c>
      <c r="B2658" s="2" t="str">
        <f>IFERROR(__xludf.DUMMYFUNCTION("""COMPUTED_VALUE"""),"CHITTAGONG")</f>
        <v>CHITTAGONG</v>
      </c>
      <c r="C2658" s="4">
        <f>IFERROR(__xludf.DUMMYFUNCTION("""COMPUTED_VALUE"""),70.0)</f>
        <v>70</v>
      </c>
      <c r="D2658" s="2" t="str">
        <f>IFERROR(__xludf.DUMMYFUNCTION("""COMPUTED_VALUE"""),"BANK ASIA LTD.")</f>
        <v>BANK ASIA LTD.</v>
      </c>
      <c r="E2658" s="2" t="str">
        <f>IFERROR(__xludf.DUMMYFUNCTION("""COMPUTED_VALUE"""),"LICHU BAGAN")</f>
        <v>LICHU BAGAN</v>
      </c>
      <c r="F2658" s="3">
        <f>IFERROR(__xludf.DUMMYFUNCTION("""COMPUTED_VALUE"""),463.0)</f>
        <v>463</v>
      </c>
      <c r="G2658" s="5">
        <f>IFERROR(__xludf.DUMMYFUNCTION("""COMPUTED_VALUE"""),7.0154636E7)</f>
        <v>70154636</v>
      </c>
    </row>
    <row r="2659">
      <c r="A2659" s="3">
        <f>IFERROR(__xludf.DUMMYFUNCTION("""COMPUTED_VALUE"""),215.0)</f>
        <v>215</v>
      </c>
      <c r="B2659" s="2" t="str">
        <f>IFERROR(__xludf.DUMMYFUNCTION("""COMPUTED_VALUE"""),"CHITTAGONG")</f>
        <v>CHITTAGONG</v>
      </c>
      <c r="C2659" s="4">
        <f>IFERROR(__xludf.DUMMYFUNCTION("""COMPUTED_VALUE"""),70.0)</f>
        <v>70</v>
      </c>
      <c r="D2659" s="2" t="str">
        <f>IFERROR(__xludf.DUMMYFUNCTION("""COMPUTED_VALUE"""),"BANK ASIA LTD.")</f>
        <v>BANK ASIA LTD.</v>
      </c>
      <c r="E2659" s="2" t="str">
        <f>IFERROR(__xludf.DUMMYFUNCTION("""COMPUTED_VALUE"""),"LOHA GARA")</f>
        <v>LOHA GARA</v>
      </c>
      <c r="F2659" s="3">
        <f>IFERROR(__xludf.DUMMYFUNCTION("""COMPUTED_VALUE"""),466.0)</f>
        <v>466</v>
      </c>
      <c r="G2659" s="5">
        <f>IFERROR(__xludf.DUMMYFUNCTION("""COMPUTED_VALUE"""),7.0154665E7)</f>
        <v>70154665</v>
      </c>
    </row>
    <row r="2660">
      <c r="A2660" s="3">
        <f>IFERROR(__xludf.DUMMYFUNCTION("""COMPUTED_VALUE"""),215.0)</f>
        <v>215</v>
      </c>
      <c r="B2660" s="2" t="str">
        <f>IFERROR(__xludf.DUMMYFUNCTION("""COMPUTED_VALUE"""),"CHITTAGONG")</f>
        <v>CHITTAGONG</v>
      </c>
      <c r="C2660" s="4">
        <f>IFERROR(__xludf.DUMMYFUNCTION("""COMPUTED_VALUE"""),70.0)</f>
        <v>70</v>
      </c>
      <c r="D2660" s="2" t="str">
        <f>IFERROR(__xludf.DUMMYFUNCTION("""COMPUTED_VALUE"""),"BANK ASIA LTD.")</f>
        <v>BANK ASIA LTD.</v>
      </c>
      <c r="E2660" s="2" t="str">
        <f>IFERROR(__xludf.DUMMYFUNCTION("""COMPUTED_VALUE"""),"MCB SK. MUJIB ROAD")</f>
        <v>MCB SK. MUJIB ROAD</v>
      </c>
      <c r="F2660" s="3">
        <f>IFERROR(__xludf.DUMMYFUNCTION("""COMPUTED_VALUE"""),490.0)</f>
        <v>490</v>
      </c>
      <c r="G2660" s="5">
        <f>IFERROR(__xludf.DUMMYFUNCTION("""COMPUTED_VALUE"""),7.0154902E7)</f>
        <v>70154902</v>
      </c>
    </row>
    <row r="2661">
      <c r="A2661" s="3">
        <f>IFERROR(__xludf.DUMMYFUNCTION("""COMPUTED_VALUE"""),215.0)</f>
        <v>215</v>
      </c>
      <c r="B2661" s="2" t="str">
        <f>IFERROR(__xludf.DUMMYFUNCTION("""COMPUTED_VALUE"""),"CHITTAGONG")</f>
        <v>CHITTAGONG</v>
      </c>
      <c r="C2661" s="4">
        <f>IFERROR(__xludf.DUMMYFUNCTION("""COMPUTED_VALUE"""),70.0)</f>
        <v>70</v>
      </c>
      <c r="D2661" s="2" t="str">
        <f>IFERROR(__xludf.DUMMYFUNCTION("""COMPUTED_VALUE"""),"BANK ASIA LTD.")</f>
        <v>BANK ASIA LTD.</v>
      </c>
      <c r="E2661" s="2" t="str">
        <f>IFERROR(__xludf.DUMMYFUNCTION("""COMPUTED_VALUE"""),"OXYGEN MOUR SME")</f>
        <v>OXYGEN MOUR SME</v>
      </c>
      <c r="F2661" s="3">
        <f>IFERROR(__xludf.DUMMYFUNCTION("""COMPUTED_VALUE"""),588.0)</f>
        <v>588</v>
      </c>
      <c r="G2661" s="5">
        <f>IFERROR(__xludf.DUMMYFUNCTION("""COMPUTED_VALUE"""),7.015588E7)</f>
        <v>70155880</v>
      </c>
    </row>
    <row r="2662">
      <c r="A2662" s="3">
        <f>IFERROR(__xludf.DUMMYFUNCTION("""COMPUTED_VALUE"""),215.0)</f>
        <v>215</v>
      </c>
      <c r="B2662" s="2" t="str">
        <f>IFERROR(__xludf.DUMMYFUNCTION("""COMPUTED_VALUE"""),"CHITTAGONG")</f>
        <v>CHITTAGONG</v>
      </c>
      <c r="C2662" s="4">
        <f>IFERROR(__xludf.DUMMYFUNCTION("""COMPUTED_VALUE"""),70.0)</f>
        <v>70</v>
      </c>
      <c r="D2662" s="2" t="str">
        <f>IFERROR(__xludf.DUMMYFUNCTION("""COMPUTED_VALUE"""),"BANK ASIA LTD.")</f>
        <v>BANK ASIA LTD.</v>
      </c>
      <c r="E2662" s="2" t="str">
        <f>IFERROR(__xludf.DUMMYFUNCTION("""COMPUTED_VALUE"""),"STATION ROAD")</f>
        <v>STATION ROAD</v>
      </c>
      <c r="F2662" s="3">
        <f>IFERROR(__xludf.DUMMYFUNCTION("""COMPUTED_VALUE"""),751.0)</f>
        <v>751</v>
      </c>
      <c r="G2662" s="5">
        <f>IFERROR(__xludf.DUMMYFUNCTION("""COMPUTED_VALUE"""),7.0157512E7)</f>
        <v>70157512</v>
      </c>
    </row>
    <row r="2663">
      <c r="A2663" s="3">
        <f>IFERROR(__xludf.DUMMYFUNCTION("""COMPUTED_VALUE"""),215.0)</f>
        <v>215</v>
      </c>
      <c r="B2663" s="2" t="str">
        <f>IFERROR(__xludf.DUMMYFUNCTION("""COMPUTED_VALUE"""),"CHITTAGONG")</f>
        <v>CHITTAGONG</v>
      </c>
      <c r="C2663" s="4">
        <f>IFERROR(__xludf.DUMMYFUNCTION("""COMPUTED_VALUE"""),70.0)</f>
        <v>70</v>
      </c>
      <c r="D2663" s="2" t="str">
        <f>IFERROR(__xludf.DUMMYFUNCTION("""COMPUTED_VALUE"""),"BANK ASIA LTD.")</f>
        <v>BANK ASIA LTD.</v>
      </c>
      <c r="E2663" s="2" t="str">
        <f>IFERROR(__xludf.DUMMYFUNCTION("""COMPUTED_VALUE"""),"STRAND ROAD")</f>
        <v>STRAND ROAD</v>
      </c>
      <c r="F2663" s="3">
        <f>IFERROR(__xludf.DUMMYFUNCTION("""COMPUTED_VALUE"""),757.0)</f>
        <v>757</v>
      </c>
      <c r="G2663" s="5">
        <f>IFERROR(__xludf.DUMMYFUNCTION("""COMPUTED_VALUE"""),7.015757E7)</f>
        <v>70157570</v>
      </c>
    </row>
    <row r="2664">
      <c r="A2664" s="3">
        <f>IFERROR(__xludf.DUMMYFUNCTION("""COMPUTED_VALUE"""),215.0)</f>
        <v>215</v>
      </c>
      <c r="B2664" s="2" t="str">
        <f>IFERROR(__xludf.DUMMYFUNCTION("""COMPUTED_VALUE"""),"CHITTAGONG")</f>
        <v>CHITTAGONG</v>
      </c>
      <c r="C2664" s="4">
        <f>IFERROR(__xludf.DUMMYFUNCTION("""COMPUTED_VALUE"""),70.0)</f>
        <v>70</v>
      </c>
      <c r="D2664" s="2" t="str">
        <f>IFERROR(__xludf.DUMMYFUNCTION("""COMPUTED_VALUE"""),"BANK ASIA LTD.")</f>
        <v>BANK ASIA LTD.</v>
      </c>
      <c r="E2664" s="2" t="str">
        <f>IFERROR(__xludf.DUMMYFUNCTION("""COMPUTED_VALUE"""),"POTHER HAAT")</f>
        <v>POTHER HAAT</v>
      </c>
      <c r="F2664" s="3">
        <f>IFERROR(__xludf.DUMMYFUNCTION("""COMPUTED_VALUE"""),814.0)</f>
        <v>814</v>
      </c>
      <c r="G2664" s="5">
        <f>IFERROR(__xludf.DUMMYFUNCTION("""COMPUTED_VALUE"""),7.015814E7)</f>
        <v>70158140</v>
      </c>
    </row>
    <row r="2665">
      <c r="A2665" s="3">
        <f>IFERROR(__xludf.DUMMYFUNCTION("""COMPUTED_VALUE"""),119.0)</f>
        <v>119</v>
      </c>
      <c r="B2665" s="2" t="str">
        <f>IFERROR(__xludf.DUMMYFUNCTION("""COMPUTED_VALUE"""),"COMILLA")</f>
        <v>COMILLA</v>
      </c>
      <c r="C2665" s="4">
        <f>IFERROR(__xludf.DUMMYFUNCTION("""COMPUTED_VALUE"""),70.0)</f>
        <v>70</v>
      </c>
      <c r="D2665" s="2" t="str">
        <f>IFERROR(__xludf.DUMMYFUNCTION("""COMPUTED_VALUE"""),"BANK ASIA LTD.")</f>
        <v>BANK ASIA LTD.</v>
      </c>
      <c r="E2665" s="2" t="str">
        <f>IFERROR(__xludf.DUMMYFUNCTION("""COMPUTED_VALUE"""),"COMILLA")</f>
        <v>COMILLA</v>
      </c>
      <c r="F2665" s="3">
        <f>IFERROR(__xludf.DUMMYFUNCTION("""COMPUTED_VALUE"""),115.0)</f>
        <v>115</v>
      </c>
      <c r="G2665" s="5">
        <f>IFERROR(__xludf.DUMMYFUNCTION("""COMPUTED_VALUE"""),7.0191152E7)</f>
        <v>70191152</v>
      </c>
    </row>
    <row r="2666">
      <c r="A2666" s="3">
        <f>IFERROR(__xludf.DUMMYFUNCTION("""COMPUTED_VALUE"""),119.0)</f>
        <v>119</v>
      </c>
      <c r="B2666" s="2" t="str">
        <f>IFERROR(__xludf.DUMMYFUNCTION("""COMPUTED_VALUE"""),"COMILLA")</f>
        <v>COMILLA</v>
      </c>
      <c r="C2666" s="4">
        <f>IFERROR(__xludf.DUMMYFUNCTION("""COMPUTED_VALUE"""),70.0)</f>
        <v>70</v>
      </c>
      <c r="D2666" s="2" t="str">
        <f>IFERROR(__xludf.DUMMYFUNCTION("""COMPUTED_VALUE"""),"BANK ASIA LTD.")</f>
        <v>BANK ASIA LTD.</v>
      </c>
      <c r="E2666" s="2" t="str">
        <f>IFERROR(__xludf.DUMMYFUNCTION("""COMPUTED_VALUE"""),"COMPANIGANJ")</f>
        <v>COMPANIGANJ</v>
      </c>
      <c r="F2666" s="3">
        <f>IFERROR(__xludf.DUMMYFUNCTION("""COMPUTED_VALUE"""),142.0)</f>
        <v>142</v>
      </c>
      <c r="G2666" s="5">
        <f>IFERROR(__xludf.DUMMYFUNCTION("""COMPUTED_VALUE"""),7.0191428E7)</f>
        <v>70191428</v>
      </c>
    </row>
    <row r="2667">
      <c r="A2667" s="3">
        <f>IFERROR(__xludf.DUMMYFUNCTION("""COMPUTED_VALUE"""),119.0)</f>
        <v>119</v>
      </c>
      <c r="B2667" s="2" t="str">
        <f>IFERROR(__xludf.DUMMYFUNCTION("""COMPUTED_VALUE"""),"COMILLA")</f>
        <v>COMILLA</v>
      </c>
      <c r="C2667" s="4">
        <f>IFERROR(__xludf.DUMMYFUNCTION("""COMPUTED_VALUE"""),70.0)</f>
        <v>70</v>
      </c>
      <c r="D2667" s="2" t="str">
        <f>IFERROR(__xludf.DUMMYFUNCTION("""COMPUTED_VALUE"""),"BANK ASIA LTD.")</f>
        <v>BANK ASIA LTD.</v>
      </c>
      <c r="E2667" s="2" t="str">
        <f>IFERROR(__xludf.DUMMYFUNCTION("""COMPUTED_VALUE"""),"GOURIPUR")</f>
        <v>GOURIPUR</v>
      </c>
      <c r="F2667" s="3">
        <f>IFERROR(__xludf.DUMMYFUNCTION("""COMPUTED_VALUE"""),211.0)</f>
        <v>211</v>
      </c>
      <c r="G2667" s="5">
        <f>IFERROR(__xludf.DUMMYFUNCTION("""COMPUTED_VALUE"""),7.0192119E7)</f>
        <v>70192119</v>
      </c>
    </row>
    <row r="2668">
      <c r="A2668" s="3">
        <f>IFERROR(__xludf.DUMMYFUNCTION("""COMPUTED_VALUE"""),119.0)</f>
        <v>119</v>
      </c>
      <c r="B2668" s="2" t="str">
        <f>IFERROR(__xludf.DUMMYFUNCTION("""COMPUTED_VALUE"""),"COMILLA")</f>
        <v>COMILLA</v>
      </c>
      <c r="C2668" s="4">
        <f>IFERROR(__xludf.DUMMYFUNCTION("""COMPUTED_VALUE"""),70.0)</f>
        <v>70</v>
      </c>
      <c r="D2668" s="2" t="str">
        <f>IFERROR(__xludf.DUMMYFUNCTION("""COMPUTED_VALUE"""),"BANK ASIA LTD.")</f>
        <v>BANK ASIA LTD.</v>
      </c>
      <c r="E2668" s="2" t="str">
        <f>IFERROR(__xludf.DUMMYFUNCTION("""COMPUTED_VALUE"""),"NANGALKOT")</f>
        <v>NANGALKOT</v>
      </c>
      <c r="F2668" s="3">
        <f>IFERROR(__xludf.DUMMYFUNCTION("""COMPUTED_VALUE"""),325.0)</f>
        <v>325</v>
      </c>
      <c r="G2668" s="5">
        <f>IFERROR(__xludf.DUMMYFUNCTION("""COMPUTED_VALUE"""),7.0193255E7)</f>
        <v>70193255</v>
      </c>
    </row>
    <row r="2669">
      <c r="A2669" s="3">
        <f>IFERROR(__xludf.DUMMYFUNCTION("""COMPUTED_VALUE"""),222.0)</f>
        <v>222</v>
      </c>
      <c r="B2669" s="2" t="str">
        <f>IFERROR(__xludf.DUMMYFUNCTION("""COMPUTED_VALUE"""),"COXS BAZAR")</f>
        <v>COXS BAZAR</v>
      </c>
      <c r="C2669" s="4">
        <f>IFERROR(__xludf.DUMMYFUNCTION("""COMPUTED_VALUE"""),70.0)</f>
        <v>70</v>
      </c>
      <c r="D2669" s="2" t="str">
        <f>IFERROR(__xludf.DUMMYFUNCTION("""COMPUTED_VALUE"""),"BANK ASIA LTD.")</f>
        <v>BANK ASIA LTD.</v>
      </c>
      <c r="E2669" s="2" t="str">
        <f>IFERROR(__xludf.DUMMYFUNCTION("""COMPUTED_VALUE"""),"COXS BAZAR")</f>
        <v>COXS BAZAR</v>
      </c>
      <c r="F2669" s="3">
        <f>IFERROR(__xludf.DUMMYFUNCTION("""COMPUTED_VALUE"""),25.0)</f>
        <v>25</v>
      </c>
      <c r="G2669" s="5">
        <f>IFERROR(__xludf.DUMMYFUNCTION("""COMPUTED_VALUE"""),7.0220252E7)</f>
        <v>70220252</v>
      </c>
    </row>
    <row r="2670">
      <c r="A2670" s="3">
        <f>IFERROR(__xludf.DUMMYFUNCTION("""COMPUTED_VALUE"""),126.0)</f>
        <v>126</v>
      </c>
      <c r="B2670" s="2" t="str">
        <f>IFERROR(__xludf.DUMMYFUNCTION("""COMPUTED_VALUE"""),"DHAKA-NORTH")</f>
        <v>DHAKA-NORTH</v>
      </c>
      <c r="C2670" s="4">
        <f>IFERROR(__xludf.DUMMYFUNCTION("""COMPUTED_VALUE"""),70.0)</f>
        <v>70</v>
      </c>
      <c r="D2670" s="2" t="str">
        <f>IFERROR(__xludf.DUMMYFUNCTION("""COMPUTED_VALUE"""),"BANK ASIA LTD.")</f>
        <v>BANK ASIA LTD.</v>
      </c>
      <c r="E2670" s="2" t="str">
        <f>IFERROR(__xludf.DUMMYFUNCTION("""COMPUTED_VALUE"""),"SONARGAON JANAPATH ROAD")</f>
        <v>SONARGAON JANAPATH ROAD</v>
      </c>
      <c r="F2670" s="3">
        <f>IFERROR(__xludf.DUMMYFUNCTION("""COMPUTED_VALUE"""),8.0)</f>
        <v>8</v>
      </c>
      <c r="G2670" s="5">
        <f>IFERROR(__xludf.DUMMYFUNCTION("""COMPUTED_VALUE"""),7.0260083E7)</f>
        <v>70260083</v>
      </c>
    </row>
    <row r="2671">
      <c r="A2671" s="3">
        <f>IFERROR(__xludf.DUMMYFUNCTION("""COMPUTED_VALUE"""),126.0)</f>
        <v>126</v>
      </c>
      <c r="B2671" s="2" t="str">
        <f>IFERROR(__xludf.DUMMYFUNCTION("""COMPUTED_VALUE"""),"DHAKA-NORTH")</f>
        <v>DHAKA-NORTH</v>
      </c>
      <c r="C2671" s="4">
        <f>IFERROR(__xludf.DUMMYFUNCTION("""COMPUTED_VALUE"""),70.0)</f>
        <v>70</v>
      </c>
      <c r="D2671" s="2" t="str">
        <f>IFERROR(__xludf.DUMMYFUNCTION("""COMPUTED_VALUE"""),"BANK ASIA LTD.")</f>
        <v>BANK ASIA LTD.</v>
      </c>
      <c r="E2671" s="2" t="str">
        <f>IFERROR(__xludf.DUMMYFUNCTION("""COMPUTED_VALUE"""),"ASHULIA")</f>
        <v>ASHULIA</v>
      </c>
      <c r="F2671" s="3">
        <f>IFERROR(__xludf.DUMMYFUNCTION("""COMPUTED_VALUE"""),22.0)</f>
        <v>22</v>
      </c>
      <c r="G2671" s="5">
        <f>IFERROR(__xludf.DUMMYFUNCTION("""COMPUTED_VALUE"""),7.0260225E7)</f>
        <v>70260225</v>
      </c>
    </row>
    <row r="2672">
      <c r="A2672" s="3">
        <f>IFERROR(__xludf.DUMMYFUNCTION("""COMPUTED_VALUE"""),126.0)</f>
        <v>126</v>
      </c>
      <c r="B2672" s="2" t="str">
        <f>IFERROR(__xludf.DUMMYFUNCTION("""COMPUTED_VALUE"""),"DHAKA-NORTH")</f>
        <v>DHAKA-NORTH</v>
      </c>
      <c r="C2672" s="4">
        <f>IFERROR(__xludf.DUMMYFUNCTION("""COMPUTED_VALUE"""),70.0)</f>
        <v>70</v>
      </c>
      <c r="D2672" s="2" t="str">
        <f>IFERROR(__xludf.DUMMYFUNCTION("""COMPUTED_VALUE"""),"BANK ASIA LTD.")</f>
        <v>BANK ASIA LTD.</v>
      </c>
      <c r="E2672" s="2" t="str">
        <f>IFERROR(__xludf.DUMMYFUNCTION("""COMPUTED_VALUE"""),"ASHULIA SME")</f>
        <v>ASHULIA SME</v>
      </c>
      <c r="F2672" s="3">
        <f>IFERROR(__xludf.DUMMYFUNCTION("""COMPUTED_VALUE"""),23.0)</f>
        <v>23</v>
      </c>
      <c r="G2672" s="5">
        <f>IFERROR(__xludf.DUMMYFUNCTION("""COMPUTED_VALUE"""),7.0260238E7)</f>
        <v>70260238</v>
      </c>
    </row>
    <row r="2673">
      <c r="A2673" s="3">
        <f>IFERROR(__xludf.DUMMYFUNCTION("""COMPUTED_VALUE"""),126.0)</f>
        <v>126</v>
      </c>
      <c r="B2673" s="2" t="str">
        <f>IFERROR(__xludf.DUMMYFUNCTION("""COMPUTED_VALUE"""),"DHAKA-NORTH")</f>
        <v>DHAKA-NORTH</v>
      </c>
      <c r="C2673" s="4">
        <f>IFERROR(__xludf.DUMMYFUNCTION("""COMPUTED_VALUE"""),70.0)</f>
        <v>70</v>
      </c>
      <c r="D2673" s="2" t="str">
        <f>IFERROR(__xludf.DUMMYFUNCTION("""COMPUTED_VALUE"""),"BANK ASIA LTD.")</f>
        <v>BANK ASIA LTD.</v>
      </c>
      <c r="E2673" s="2" t="str">
        <f>IFERROR(__xludf.DUMMYFUNCTION("""COMPUTED_VALUE"""),"BASHUNDHARA")</f>
        <v>BASHUNDHARA</v>
      </c>
      <c r="F2673" s="3">
        <f>IFERROR(__xludf.DUMMYFUNCTION("""COMPUTED_VALUE"""),55.0)</f>
        <v>55</v>
      </c>
      <c r="G2673" s="5">
        <f>IFERROR(__xludf.DUMMYFUNCTION("""COMPUTED_VALUE"""),7.0260559E7)</f>
        <v>70260559</v>
      </c>
    </row>
    <row r="2674">
      <c r="A2674" s="3">
        <f>IFERROR(__xludf.DUMMYFUNCTION("""COMPUTED_VALUE"""),126.0)</f>
        <v>126</v>
      </c>
      <c r="B2674" s="2" t="str">
        <f>IFERROR(__xludf.DUMMYFUNCTION("""COMPUTED_VALUE"""),"DHAKA-NORTH")</f>
        <v>DHAKA-NORTH</v>
      </c>
      <c r="C2674" s="4">
        <f>IFERROR(__xludf.DUMMYFUNCTION("""COMPUTED_VALUE"""),70.0)</f>
        <v>70</v>
      </c>
      <c r="D2674" s="2" t="str">
        <f>IFERROR(__xludf.DUMMYFUNCTION("""COMPUTED_VALUE"""),"BANK ASIA LTD.")</f>
        <v>BANK ASIA LTD.</v>
      </c>
      <c r="E2674" s="2" t="str">
        <f>IFERROR(__xludf.DUMMYFUNCTION("""COMPUTED_VALUE"""),"KAZIPARA")</f>
        <v>KAZIPARA</v>
      </c>
      <c r="F2674" s="3">
        <f>IFERROR(__xludf.DUMMYFUNCTION("""COMPUTED_VALUE"""),69.0)</f>
        <v>69</v>
      </c>
      <c r="G2674" s="5">
        <f>IFERROR(__xludf.DUMMYFUNCTION("""COMPUTED_VALUE"""),7.0260696E7)</f>
        <v>70260696</v>
      </c>
    </row>
    <row r="2675">
      <c r="A2675" s="3">
        <f>IFERROR(__xludf.DUMMYFUNCTION("""COMPUTED_VALUE"""),126.0)</f>
        <v>126</v>
      </c>
      <c r="B2675" s="2" t="str">
        <f>IFERROR(__xludf.DUMMYFUNCTION("""COMPUTED_VALUE"""),"DHAKA-NORTH")</f>
        <v>DHAKA-NORTH</v>
      </c>
      <c r="C2675" s="4">
        <f>IFERROR(__xludf.DUMMYFUNCTION("""COMPUTED_VALUE"""),70.0)</f>
        <v>70</v>
      </c>
      <c r="D2675" s="2" t="str">
        <f>IFERROR(__xludf.DUMMYFUNCTION("""COMPUTED_VALUE"""),"BANK ASIA LTD.")</f>
        <v>BANK ASIA LTD.</v>
      </c>
      <c r="E2675" s="2" t="str">
        <f>IFERROR(__xludf.DUMMYFUNCTION("""COMPUTED_VALUE"""),"GULSHAN-2")</f>
        <v>GULSHAN-2</v>
      </c>
      <c r="F2675" s="3">
        <f>IFERROR(__xludf.DUMMYFUNCTION("""COMPUTED_VALUE"""),83.0)</f>
        <v>83</v>
      </c>
      <c r="G2675" s="5">
        <f>IFERROR(__xludf.DUMMYFUNCTION("""COMPUTED_VALUE"""),7.0260838E7)</f>
        <v>70260838</v>
      </c>
    </row>
    <row r="2676">
      <c r="A2676" s="3">
        <f>IFERROR(__xludf.DUMMYFUNCTION("""COMPUTED_VALUE"""),126.0)</f>
        <v>126</v>
      </c>
      <c r="B2676" s="2" t="str">
        <f>IFERROR(__xludf.DUMMYFUNCTION("""COMPUTED_VALUE"""),"DHAKA-NORTH")</f>
        <v>DHAKA-NORTH</v>
      </c>
      <c r="C2676" s="4">
        <f>IFERROR(__xludf.DUMMYFUNCTION("""COMPUTED_VALUE"""),70.0)</f>
        <v>70</v>
      </c>
      <c r="D2676" s="2" t="str">
        <f>IFERROR(__xludf.DUMMYFUNCTION("""COMPUTED_VALUE"""),"BANK ASIA LTD.")</f>
        <v>BANK ASIA LTD.</v>
      </c>
      <c r="E2676" s="2" t="str">
        <f>IFERROR(__xludf.DUMMYFUNCTION("""COMPUTED_VALUE"""),"CORPORATE")</f>
        <v>CORPORATE</v>
      </c>
      <c r="F2676" s="3">
        <f>IFERROR(__xludf.DUMMYFUNCTION("""COMPUTED_VALUE"""),85.0)</f>
        <v>85</v>
      </c>
      <c r="G2676" s="5">
        <f>IFERROR(__xludf.DUMMYFUNCTION("""COMPUTED_VALUE"""),7.0260854E7)</f>
        <v>70260854</v>
      </c>
    </row>
    <row r="2677">
      <c r="A2677" s="3">
        <f>IFERROR(__xludf.DUMMYFUNCTION("""COMPUTED_VALUE"""),126.0)</f>
        <v>126</v>
      </c>
      <c r="B2677" s="2" t="str">
        <f>IFERROR(__xludf.DUMMYFUNCTION("""COMPUTED_VALUE"""),"DHAKA-NORTH")</f>
        <v>DHAKA-NORTH</v>
      </c>
      <c r="C2677" s="4">
        <f>IFERROR(__xludf.DUMMYFUNCTION("""COMPUTED_VALUE"""),70.0)</f>
        <v>70</v>
      </c>
      <c r="D2677" s="2" t="str">
        <f>IFERROR(__xludf.DUMMYFUNCTION("""COMPUTED_VALUE"""),"BANK ASIA LTD.")</f>
        <v>BANK ASIA LTD.</v>
      </c>
      <c r="E2677" s="2" t="str">
        <f>IFERROR(__xludf.DUMMYFUNCTION("""COMPUTED_VALUE"""),"DAKSHIN KHAN")</f>
        <v>DAKSHIN KHAN</v>
      </c>
      <c r="F2677" s="3">
        <f>IFERROR(__xludf.DUMMYFUNCTION("""COMPUTED_VALUE"""),91.0)</f>
        <v>91</v>
      </c>
      <c r="G2677" s="5">
        <f>IFERROR(__xludf.DUMMYFUNCTION("""COMPUTED_VALUE"""),7.0260917E7)</f>
        <v>70260917</v>
      </c>
    </row>
    <row r="2678">
      <c r="A2678" s="3">
        <f>IFERROR(__xludf.DUMMYFUNCTION("""COMPUTED_VALUE"""),126.0)</f>
        <v>126</v>
      </c>
      <c r="B2678" s="2" t="str">
        <f>IFERROR(__xludf.DUMMYFUNCTION("""COMPUTED_VALUE"""),"DHAKA-NORTH")</f>
        <v>DHAKA-NORTH</v>
      </c>
      <c r="C2678" s="4">
        <f>IFERROR(__xludf.DUMMYFUNCTION("""COMPUTED_VALUE"""),70.0)</f>
        <v>70</v>
      </c>
      <c r="D2678" s="2" t="str">
        <f>IFERROR(__xludf.DUMMYFUNCTION("""COMPUTED_VALUE"""),"BANK ASIA LTD.")</f>
        <v>BANK ASIA LTD.</v>
      </c>
      <c r="E2678" s="2" t="str">
        <f>IFERROR(__xludf.DUMMYFUNCTION("""COMPUTED_VALUE"""),"DHANMONDI")</f>
        <v>DHANMONDI</v>
      </c>
      <c r="F2678" s="3">
        <f>IFERROR(__xludf.DUMMYFUNCTION("""COMPUTED_VALUE"""),118.0)</f>
        <v>118</v>
      </c>
      <c r="G2678" s="5">
        <f>IFERROR(__xludf.DUMMYFUNCTION("""COMPUTED_VALUE"""),7.0261187E7)</f>
        <v>70261187</v>
      </c>
    </row>
    <row r="2679">
      <c r="A2679" s="3">
        <f>IFERROR(__xludf.DUMMYFUNCTION("""COMPUTED_VALUE"""),126.0)</f>
        <v>126</v>
      </c>
      <c r="B2679" s="2" t="str">
        <f>IFERROR(__xludf.DUMMYFUNCTION("""COMPUTED_VALUE"""),"DHAKA-NORTH")</f>
        <v>DHAKA-NORTH</v>
      </c>
      <c r="C2679" s="4">
        <f>IFERROR(__xludf.DUMMYFUNCTION("""COMPUTED_VALUE"""),70.0)</f>
        <v>70</v>
      </c>
      <c r="D2679" s="2" t="str">
        <f>IFERROR(__xludf.DUMMYFUNCTION("""COMPUTED_VALUE"""),"BANK ASIA LTD.")</f>
        <v>BANK ASIA LTD.</v>
      </c>
      <c r="E2679" s="2" t="str">
        <f>IFERROR(__xludf.DUMMYFUNCTION("""COMPUTED_VALUE"""),"ELEPHANT ROAD")</f>
        <v>ELEPHANT ROAD</v>
      </c>
      <c r="F2679" s="3">
        <f>IFERROR(__xludf.DUMMYFUNCTION("""COMPUTED_VALUE"""),133.0)</f>
        <v>133</v>
      </c>
      <c r="G2679" s="5">
        <f>IFERROR(__xludf.DUMMYFUNCTION("""COMPUTED_VALUE"""),7.0261332E7)</f>
        <v>70261332</v>
      </c>
    </row>
    <row r="2680">
      <c r="A2680" s="3">
        <f>IFERROR(__xludf.DUMMYFUNCTION("""COMPUTED_VALUE"""),126.0)</f>
        <v>126</v>
      </c>
      <c r="B2680" s="2" t="str">
        <f>IFERROR(__xludf.DUMMYFUNCTION("""COMPUTED_VALUE"""),"DHAKA-NORTH")</f>
        <v>DHAKA-NORTH</v>
      </c>
      <c r="C2680" s="4">
        <f>IFERROR(__xludf.DUMMYFUNCTION("""COMPUTED_VALUE"""),70.0)</f>
        <v>70</v>
      </c>
      <c r="D2680" s="2" t="str">
        <f>IFERROR(__xludf.DUMMYFUNCTION("""COMPUTED_VALUE"""),"BANK ASIA LTD.")</f>
        <v>BANK ASIA LTD.</v>
      </c>
      <c r="E2680" s="2" t="str">
        <f>IFERROR(__xludf.DUMMYFUNCTION("""COMPUTED_VALUE"""),"GULSHAN")</f>
        <v>GULSHAN</v>
      </c>
      <c r="F2680" s="3">
        <f>IFERROR(__xludf.DUMMYFUNCTION("""COMPUTED_VALUE"""),172.0)</f>
        <v>172</v>
      </c>
      <c r="G2680" s="5">
        <f>IFERROR(__xludf.DUMMYFUNCTION("""COMPUTED_VALUE"""),7.0261729E7)</f>
        <v>70261729</v>
      </c>
    </row>
    <row r="2681">
      <c r="A2681" s="3">
        <f>IFERROR(__xludf.DUMMYFUNCTION("""COMPUTED_VALUE"""),126.0)</f>
        <v>126</v>
      </c>
      <c r="B2681" s="2" t="str">
        <f>IFERROR(__xludf.DUMMYFUNCTION("""COMPUTED_VALUE"""),"DHAKA-NORTH")</f>
        <v>DHAKA-NORTH</v>
      </c>
      <c r="C2681" s="4">
        <f>IFERROR(__xludf.DUMMYFUNCTION("""COMPUTED_VALUE"""),70.0)</f>
        <v>70</v>
      </c>
      <c r="D2681" s="2" t="str">
        <f>IFERROR(__xludf.DUMMYFUNCTION("""COMPUTED_VALUE"""),"BANK ASIA LTD.")</f>
        <v>BANK ASIA LTD.</v>
      </c>
      <c r="E2681" s="2" t="str">
        <f>IFERROR(__xludf.DUMMYFUNCTION("""COMPUTED_VALUE"""),"HEMAYET PUR")</f>
        <v>HEMAYET PUR</v>
      </c>
      <c r="F2681" s="3">
        <f>IFERROR(__xludf.DUMMYFUNCTION("""COMPUTED_VALUE"""),205.0)</f>
        <v>205</v>
      </c>
      <c r="G2681" s="5">
        <f>IFERROR(__xludf.DUMMYFUNCTION("""COMPUTED_VALUE"""),7.0262052E7)</f>
        <v>70262052</v>
      </c>
    </row>
    <row r="2682">
      <c r="A2682" s="3">
        <f>IFERROR(__xludf.DUMMYFUNCTION("""COMPUTED_VALUE"""),126.0)</f>
        <v>126</v>
      </c>
      <c r="B2682" s="2" t="str">
        <f>IFERROR(__xludf.DUMMYFUNCTION("""COMPUTED_VALUE"""),"DHAKA-NORTH")</f>
        <v>DHAKA-NORTH</v>
      </c>
      <c r="C2682" s="4">
        <f>IFERROR(__xludf.DUMMYFUNCTION("""COMPUTED_VALUE"""),70.0)</f>
        <v>70</v>
      </c>
      <c r="D2682" s="2" t="str">
        <f>IFERROR(__xludf.DUMMYFUNCTION("""COMPUTED_VALUE"""),"BANK ASIA LTD.")</f>
        <v>BANK ASIA LTD.</v>
      </c>
      <c r="E2682" s="2" t="str">
        <f>IFERROR(__xludf.DUMMYFUNCTION("""COMPUTED_VALUE"""),"LALMATIA")</f>
        <v>LALMATIA</v>
      </c>
      <c r="F2682" s="3">
        <f>IFERROR(__xludf.DUMMYFUNCTION("""COMPUTED_VALUE"""),283.0)</f>
        <v>283</v>
      </c>
      <c r="G2682" s="5">
        <f>IFERROR(__xludf.DUMMYFUNCTION("""COMPUTED_VALUE"""),7.0262836E7)</f>
        <v>70262836</v>
      </c>
    </row>
    <row r="2683">
      <c r="A2683" s="3">
        <f>IFERROR(__xludf.DUMMYFUNCTION("""COMPUTED_VALUE"""),126.0)</f>
        <v>126</v>
      </c>
      <c r="B2683" s="2" t="str">
        <f>IFERROR(__xludf.DUMMYFUNCTION("""COMPUTED_VALUE"""),"DHAKA-NORTH")</f>
        <v>DHAKA-NORTH</v>
      </c>
      <c r="C2683" s="4">
        <f>IFERROR(__xludf.DUMMYFUNCTION("""COMPUTED_VALUE"""),70.0)</f>
        <v>70</v>
      </c>
      <c r="D2683" s="2" t="str">
        <f>IFERROR(__xludf.DUMMYFUNCTION("""COMPUTED_VALUE"""),"BANK ASIA LTD.")</f>
        <v>BANK ASIA LTD.</v>
      </c>
      <c r="E2683" s="2" t="str">
        <f>IFERROR(__xludf.DUMMYFUNCTION("""COMPUTED_VALUE"""),"MCB DILKUSHA")</f>
        <v>MCB DILKUSHA</v>
      </c>
      <c r="F2683" s="3">
        <f>IFERROR(__xludf.DUMMYFUNCTION("""COMPUTED_VALUE"""),292.0)</f>
        <v>292</v>
      </c>
      <c r="G2683" s="5">
        <f>IFERROR(__xludf.DUMMYFUNCTION("""COMPUTED_VALUE"""),7.0262928E7)</f>
        <v>70262928</v>
      </c>
    </row>
    <row r="2684">
      <c r="A2684" s="3">
        <f>IFERROR(__xludf.DUMMYFUNCTION("""COMPUTED_VALUE"""),126.0)</f>
        <v>126</v>
      </c>
      <c r="B2684" s="2" t="str">
        <f>IFERROR(__xludf.DUMMYFUNCTION("""COMPUTED_VALUE"""),"DHAKA-NORTH")</f>
        <v>DHAKA-NORTH</v>
      </c>
      <c r="C2684" s="4">
        <f>IFERROR(__xludf.DUMMYFUNCTION("""COMPUTED_VALUE"""),70.0)</f>
        <v>70</v>
      </c>
      <c r="D2684" s="2" t="str">
        <f>IFERROR(__xludf.DUMMYFUNCTION("""COMPUTED_VALUE"""),"BANK ASIA LTD.")</f>
        <v>BANK ASIA LTD.</v>
      </c>
      <c r="E2684" s="2" t="str">
        <f>IFERROR(__xludf.DUMMYFUNCTION("""COMPUTED_VALUE"""),"MIRPUR")</f>
        <v>MIRPUR</v>
      </c>
      <c r="F2684" s="3">
        <f>IFERROR(__xludf.DUMMYFUNCTION("""COMPUTED_VALUE"""),298.0)</f>
        <v>298</v>
      </c>
      <c r="G2684" s="5">
        <f>IFERROR(__xludf.DUMMYFUNCTION("""COMPUTED_VALUE"""),7.0262986E7)</f>
        <v>70262986</v>
      </c>
    </row>
    <row r="2685">
      <c r="A2685" s="3">
        <f>IFERROR(__xludf.DUMMYFUNCTION("""COMPUTED_VALUE"""),126.0)</f>
        <v>126</v>
      </c>
      <c r="B2685" s="2" t="str">
        <f>IFERROR(__xludf.DUMMYFUNCTION("""COMPUTED_VALUE"""),"DHAKA-NORTH")</f>
        <v>DHAKA-NORTH</v>
      </c>
      <c r="C2685" s="4">
        <f>IFERROR(__xludf.DUMMYFUNCTION("""COMPUTED_VALUE"""),70.0)</f>
        <v>70</v>
      </c>
      <c r="D2685" s="2" t="str">
        <f>IFERROR(__xludf.DUMMYFUNCTION("""COMPUTED_VALUE"""),"BANK ASIA LTD.")</f>
        <v>BANK ASIA LTD.</v>
      </c>
      <c r="E2685" s="2" t="str">
        <f>IFERROR(__xludf.DUMMYFUNCTION("""COMPUTED_VALUE"""),"MIRPUR-1")</f>
        <v>MIRPUR-1</v>
      </c>
      <c r="F2685" s="3">
        <f>IFERROR(__xludf.DUMMYFUNCTION("""COMPUTED_VALUE"""),310.0)</f>
        <v>310</v>
      </c>
      <c r="G2685" s="5">
        <f>IFERROR(__xludf.DUMMYFUNCTION("""COMPUTED_VALUE"""),7.0263101E7)</f>
        <v>70263101</v>
      </c>
    </row>
    <row r="2686">
      <c r="A2686" s="3">
        <f>IFERROR(__xludf.DUMMYFUNCTION("""COMPUTED_VALUE"""),126.0)</f>
        <v>126</v>
      </c>
      <c r="B2686" s="2" t="str">
        <f>IFERROR(__xludf.DUMMYFUNCTION("""COMPUTED_VALUE"""),"DHAKA-NORTH")</f>
        <v>DHAKA-NORTH</v>
      </c>
      <c r="C2686" s="4">
        <f>IFERROR(__xludf.DUMMYFUNCTION("""COMPUTED_VALUE"""),70.0)</f>
        <v>70</v>
      </c>
      <c r="D2686" s="2" t="str">
        <f>IFERROR(__xludf.DUMMYFUNCTION("""COMPUTED_VALUE"""),"BANK ASIA LTD.")</f>
        <v>BANK ASIA LTD.</v>
      </c>
      <c r="E2686" s="2" t="str">
        <f>IFERROR(__xludf.DUMMYFUNCTION("""COMPUTED_VALUE"""),"MOHAKHALI")</f>
        <v>MOHAKHALI</v>
      </c>
      <c r="F2686" s="3">
        <f>IFERROR(__xludf.DUMMYFUNCTION("""COMPUTED_VALUE"""),319.0)</f>
        <v>319</v>
      </c>
      <c r="G2686" s="5">
        <f>IFERROR(__xludf.DUMMYFUNCTION("""COMPUTED_VALUE"""),7.0263198E7)</f>
        <v>70263198</v>
      </c>
    </row>
    <row r="2687">
      <c r="A2687" s="3">
        <f>IFERROR(__xludf.DUMMYFUNCTION("""COMPUTED_VALUE"""),126.0)</f>
        <v>126</v>
      </c>
      <c r="B2687" s="2" t="str">
        <f>IFERROR(__xludf.DUMMYFUNCTION("""COMPUTED_VALUE"""),"DHAKA-NORTH")</f>
        <v>DHAKA-NORTH</v>
      </c>
      <c r="C2687" s="4">
        <f>IFERROR(__xludf.DUMMYFUNCTION("""COMPUTED_VALUE"""),70.0)</f>
        <v>70</v>
      </c>
      <c r="D2687" s="2" t="str">
        <f>IFERROR(__xludf.DUMMYFUNCTION("""COMPUTED_VALUE"""),"BANK ASIA LTD.")</f>
        <v>BANK ASIA LTD.</v>
      </c>
      <c r="E2687" s="2" t="str">
        <f>IFERROR(__xludf.DUMMYFUNCTION("""COMPUTED_VALUE"""),"NORTH SOUTH ROAD")</f>
        <v>NORTH SOUTH ROAD</v>
      </c>
      <c r="F2687" s="3">
        <f>IFERROR(__xludf.DUMMYFUNCTION("""COMPUTED_VALUE"""),355.0)</f>
        <v>355</v>
      </c>
      <c r="G2687" s="5">
        <f>IFERROR(__xludf.DUMMYFUNCTION("""COMPUTED_VALUE"""),7.0263556E7)</f>
        <v>70263556</v>
      </c>
    </row>
    <row r="2688">
      <c r="A2688" s="3">
        <f>IFERROR(__xludf.DUMMYFUNCTION("""COMPUTED_VALUE"""),126.0)</f>
        <v>126</v>
      </c>
      <c r="B2688" s="2" t="str">
        <f>IFERROR(__xludf.DUMMYFUNCTION("""COMPUTED_VALUE"""),"DHAKA-NORTH")</f>
        <v>DHAKA-NORTH</v>
      </c>
      <c r="C2688" s="4">
        <f>IFERROR(__xludf.DUMMYFUNCTION("""COMPUTED_VALUE"""),70.0)</f>
        <v>70</v>
      </c>
      <c r="D2688" s="2" t="str">
        <f>IFERROR(__xludf.DUMMYFUNCTION("""COMPUTED_VALUE"""),"BANK ASIA LTD.")</f>
        <v>BANK ASIA LTD.</v>
      </c>
      <c r="E2688" s="2" t="str">
        <f>IFERROR(__xludf.DUMMYFUNCTION("""COMPUTED_VALUE"""),"PRAGATI SARANI")</f>
        <v>PRAGATI SARANI</v>
      </c>
      <c r="F2688" s="3">
        <f>IFERROR(__xludf.DUMMYFUNCTION("""COMPUTED_VALUE"""),370.0)</f>
        <v>370</v>
      </c>
      <c r="G2688" s="5">
        <f>IFERROR(__xludf.DUMMYFUNCTION("""COMPUTED_VALUE"""),7.0263701E7)</f>
        <v>70263701</v>
      </c>
    </row>
    <row r="2689">
      <c r="A2689" s="3">
        <f>IFERROR(__xludf.DUMMYFUNCTION("""COMPUTED_VALUE"""),126.0)</f>
        <v>126</v>
      </c>
      <c r="B2689" s="2" t="str">
        <f>IFERROR(__xludf.DUMMYFUNCTION("""COMPUTED_VALUE"""),"DHAKA-NORTH")</f>
        <v>DHAKA-NORTH</v>
      </c>
      <c r="C2689" s="4">
        <f>IFERROR(__xludf.DUMMYFUNCTION("""COMPUTED_VALUE"""),70.0)</f>
        <v>70</v>
      </c>
      <c r="D2689" s="2" t="str">
        <f>IFERROR(__xludf.DUMMYFUNCTION("""COMPUTED_VALUE"""),"BANK ASIA LTD.")</f>
        <v>BANK ASIA LTD.</v>
      </c>
      <c r="E2689" s="2" t="str">
        <f>IFERROR(__xludf.DUMMYFUNCTION("""COMPUTED_VALUE"""),"RING ROAD")</f>
        <v>RING ROAD</v>
      </c>
      <c r="F2689" s="3">
        <f>IFERROR(__xludf.DUMMYFUNCTION("""COMPUTED_VALUE"""),397.0)</f>
        <v>397</v>
      </c>
      <c r="G2689" s="5">
        <f>IFERROR(__xludf.DUMMYFUNCTION("""COMPUTED_VALUE"""),7.0263972E7)</f>
        <v>70263972</v>
      </c>
    </row>
    <row r="2690">
      <c r="A2690" s="3">
        <f>IFERROR(__xludf.DUMMYFUNCTION("""COMPUTED_VALUE"""),126.0)</f>
        <v>126</v>
      </c>
      <c r="B2690" s="2" t="str">
        <f>IFERROR(__xludf.DUMMYFUNCTION("""COMPUTED_VALUE"""),"DHAKA-NORTH")</f>
        <v>DHAKA-NORTH</v>
      </c>
      <c r="C2690" s="4">
        <f>IFERROR(__xludf.DUMMYFUNCTION("""COMPUTED_VALUE"""),70.0)</f>
        <v>70</v>
      </c>
      <c r="D2690" s="2" t="str">
        <f>IFERROR(__xludf.DUMMYFUNCTION("""COMPUTED_VALUE"""),"BANK ASIA LTD.")</f>
        <v>BANK ASIA LTD.</v>
      </c>
      <c r="E2690" s="2" t="str">
        <f>IFERROR(__xludf.DUMMYFUNCTION("""COMPUTED_VALUE"""),"RUPNAGAR SME")</f>
        <v>RUPNAGAR SME</v>
      </c>
      <c r="F2690" s="3">
        <f>IFERROR(__xludf.DUMMYFUNCTION("""COMPUTED_VALUE"""),401.0)</f>
        <v>401</v>
      </c>
      <c r="G2690" s="5">
        <f>IFERROR(__xludf.DUMMYFUNCTION("""COMPUTED_VALUE"""),7.0264018E7)</f>
        <v>70264018</v>
      </c>
    </row>
    <row r="2691">
      <c r="A2691" s="3">
        <f>IFERROR(__xludf.DUMMYFUNCTION("""COMPUTED_VALUE"""),126.0)</f>
        <v>126</v>
      </c>
      <c r="B2691" s="2" t="str">
        <f>IFERROR(__xludf.DUMMYFUNCTION("""COMPUTED_VALUE"""),"DHAKA-NORTH")</f>
        <v>DHAKA-NORTH</v>
      </c>
      <c r="C2691" s="4">
        <f>IFERROR(__xludf.DUMMYFUNCTION("""COMPUTED_VALUE"""),70.0)</f>
        <v>70</v>
      </c>
      <c r="D2691" s="2" t="str">
        <f>IFERROR(__xludf.DUMMYFUNCTION("""COMPUTED_VALUE"""),"BANK ASIA LTD.")</f>
        <v>BANK ASIA LTD.</v>
      </c>
      <c r="E2691" s="2" t="str">
        <f>IFERROR(__xludf.DUMMYFUNCTION("""COMPUTED_VALUE"""),"SATMASJID ROAD")</f>
        <v>SATMASJID ROAD</v>
      </c>
      <c r="F2691" s="3">
        <f>IFERROR(__xludf.DUMMYFUNCTION("""COMPUTED_VALUE"""),403.0)</f>
        <v>403</v>
      </c>
      <c r="G2691" s="5">
        <f>IFERROR(__xludf.DUMMYFUNCTION("""COMPUTED_VALUE"""),7.0264034E7)</f>
        <v>70264034</v>
      </c>
    </row>
    <row r="2692">
      <c r="A2692" s="3">
        <f>IFERROR(__xludf.DUMMYFUNCTION("""COMPUTED_VALUE"""),126.0)</f>
        <v>126</v>
      </c>
      <c r="B2692" s="2" t="str">
        <f>IFERROR(__xludf.DUMMYFUNCTION("""COMPUTED_VALUE"""),"DHAKA-NORTH")</f>
        <v>DHAKA-NORTH</v>
      </c>
      <c r="C2692" s="4">
        <f>IFERROR(__xludf.DUMMYFUNCTION("""COMPUTED_VALUE"""),70.0)</f>
        <v>70</v>
      </c>
      <c r="D2692" s="2" t="str">
        <f>IFERROR(__xludf.DUMMYFUNCTION("""COMPUTED_VALUE"""),"BANK ASIA LTD.")</f>
        <v>BANK ASIA LTD.</v>
      </c>
      <c r="E2692" s="2" t="str">
        <f>IFERROR(__xludf.DUMMYFUNCTION("""COMPUTED_VALUE"""),"SAVAR")</f>
        <v>SAVAR</v>
      </c>
      <c r="F2692" s="3">
        <f>IFERROR(__xludf.DUMMYFUNCTION("""COMPUTED_VALUE"""),409.0)</f>
        <v>409</v>
      </c>
      <c r="G2692" s="5">
        <f>IFERROR(__xludf.DUMMYFUNCTION("""COMPUTED_VALUE"""),7.0264092E7)</f>
        <v>70264092</v>
      </c>
    </row>
    <row r="2693">
      <c r="A2693" s="3">
        <f>IFERROR(__xludf.DUMMYFUNCTION("""COMPUTED_VALUE"""),126.0)</f>
        <v>126</v>
      </c>
      <c r="B2693" s="2" t="str">
        <f>IFERROR(__xludf.DUMMYFUNCTION("""COMPUTED_VALUE"""),"DHAKA-NORTH")</f>
        <v>DHAKA-NORTH</v>
      </c>
      <c r="C2693" s="4">
        <f>IFERROR(__xludf.DUMMYFUNCTION("""COMPUTED_VALUE"""),70.0)</f>
        <v>70</v>
      </c>
      <c r="D2693" s="2" t="str">
        <f>IFERROR(__xludf.DUMMYFUNCTION("""COMPUTED_VALUE"""),"BANK ASIA LTD.")</f>
        <v>BANK ASIA LTD.</v>
      </c>
      <c r="E2693" s="2" t="str">
        <f>IFERROR(__xludf.DUMMYFUNCTION("""COMPUTED_VALUE"""),"SHYAMALI")</f>
        <v>SHYAMALI</v>
      </c>
      <c r="F2693" s="3">
        <f>IFERROR(__xludf.DUMMYFUNCTION("""COMPUTED_VALUE"""),430.0)</f>
        <v>430</v>
      </c>
      <c r="G2693" s="5">
        <f>IFERROR(__xludf.DUMMYFUNCTION("""COMPUTED_VALUE"""),7.02643E7)</f>
        <v>70264300</v>
      </c>
    </row>
    <row r="2694">
      <c r="A2694" s="3">
        <f>IFERROR(__xludf.DUMMYFUNCTION("""COMPUTED_VALUE"""),126.0)</f>
        <v>126</v>
      </c>
      <c r="B2694" s="2" t="str">
        <f>IFERROR(__xludf.DUMMYFUNCTION("""COMPUTED_VALUE"""),"DHAKA-NORTH")</f>
        <v>DHAKA-NORTH</v>
      </c>
      <c r="C2694" s="4">
        <f>IFERROR(__xludf.DUMMYFUNCTION("""COMPUTED_VALUE"""),70.0)</f>
        <v>70</v>
      </c>
      <c r="D2694" s="2" t="str">
        <f>IFERROR(__xludf.DUMMYFUNCTION("""COMPUTED_VALUE"""),"BANK ASIA LTD.")</f>
        <v>BANK ASIA LTD.</v>
      </c>
      <c r="E2694" s="2" t="str">
        <f>IFERROR(__xludf.DUMMYFUNCTION("""COMPUTED_VALUE"""),"TEJGOAN LINK ROAD")</f>
        <v>TEJGOAN LINK ROAD</v>
      </c>
      <c r="F2694" s="3">
        <f>IFERROR(__xludf.DUMMYFUNCTION("""COMPUTED_VALUE"""),452.0)</f>
        <v>452</v>
      </c>
      <c r="G2694" s="5">
        <f>IFERROR(__xludf.DUMMYFUNCTION("""COMPUTED_VALUE"""),7.0264526E7)</f>
        <v>70264526</v>
      </c>
    </row>
    <row r="2695">
      <c r="A2695" s="3">
        <f>IFERROR(__xludf.DUMMYFUNCTION("""COMPUTED_VALUE"""),126.0)</f>
        <v>126</v>
      </c>
      <c r="B2695" s="2" t="str">
        <f>IFERROR(__xludf.DUMMYFUNCTION("""COMPUTED_VALUE"""),"DHAKA-NORTH")</f>
        <v>DHAKA-NORTH</v>
      </c>
      <c r="C2695" s="4">
        <f>IFERROR(__xludf.DUMMYFUNCTION("""COMPUTED_VALUE"""),70.0)</f>
        <v>70</v>
      </c>
      <c r="D2695" s="2" t="str">
        <f>IFERROR(__xludf.DUMMYFUNCTION("""COMPUTED_VALUE"""),"BANK ASIA LTD.")</f>
        <v>BANK ASIA LTD.</v>
      </c>
      <c r="E2695" s="2" t="str">
        <f>IFERROR(__xludf.DUMMYFUNCTION("""COMPUTED_VALUE"""),"UTTARA")</f>
        <v>UTTARA</v>
      </c>
      <c r="F2695" s="3">
        <f>IFERROR(__xludf.DUMMYFUNCTION("""COMPUTED_VALUE"""),463.0)</f>
        <v>463</v>
      </c>
      <c r="G2695" s="5">
        <f>IFERROR(__xludf.DUMMYFUNCTION("""COMPUTED_VALUE"""),7.0264634E7)</f>
        <v>70264634</v>
      </c>
    </row>
    <row r="2696">
      <c r="A2696" s="3">
        <f>IFERROR(__xludf.DUMMYFUNCTION("""COMPUTED_VALUE"""),127.0)</f>
        <v>127</v>
      </c>
      <c r="B2696" s="2" t="str">
        <f>IFERROR(__xludf.DUMMYFUNCTION("""COMPUTED_VALUE"""),"DHAKA-SOUTH")</f>
        <v>DHAKA-SOUTH</v>
      </c>
      <c r="C2696" s="4">
        <f>IFERROR(__xludf.DUMMYFUNCTION("""COMPUTED_VALUE"""),70.0)</f>
        <v>70</v>
      </c>
      <c r="D2696" s="2" t="str">
        <f>IFERROR(__xludf.DUMMYFUNCTION("""COMPUTED_VALUE"""),"BANK ASIA LTD.")</f>
        <v>BANK ASIA LTD.</v>
      </c>
      <c r="E2696" s="2" t="str">
        <f>IFERROR(__xludf.DUMMYFUNCTION("""COMPUTED_VALUE"""),"TRUNCATION POINT")</f>
        <v>TRUNCATION POINT</v>
      </c>
      <c r="F2696" s="3">
        <f>IFERROR(__xludf.DUMMYFUNCTION("""COMPUTED_VALUE"""),0.0)</f>
        <v>0</v>
      </c>
      <c r="G2696" s="5">
        <f>IFERROR(__xludf.DUMMYFUNCTION("""COMPUTED_VALUE"""),7.0270002E7)</f>
        <v>70270002</v>
      </c>
    </row>
    <row r="2697">
      <c r="A2697" s="3">
        <f>IFERROR(__xludf.DUMMYFUNCTION("""COMPUTED_VALUE"""),127.0)</f>
        <v>127</v>
      </c>
      <c r="B2697" s="2" t="str">
        <f>IFERROR(__xludf.DUMMYFUNCTION("""COMPUTED_VALUE"""),"DHAKA-SOUTH")</f>
        <v>DHAKA-SOUTH</v>
      </c>
      <c r="C2697" s="4">
        <f>IFERROR(__xludf.DUMMYFUNCTION("""COMPUTED_VALUE"""),70.0)</f>
        <v>70</v>
      </c>
      <c r="D2697" s="2" t="str">
        <f>IFERROR(__xludf.DUMMYFUNCTION("""COMPUTED_VALUE"""),"BANK ASIA LTD.")</f>
        <v>BANK ASIA LTD.</v>
      </c>
      <c r="E2697" s="2" t="str">
        <f>IFERROR(__xludf.DUMMYFUNCTION("""COMPUTED_VALUE"""),"AGANAGAR")</f>
        <v>AGANAGAR</v>
      </c>
      <c r="F2697" s="3">
        <f>IFERROR(__xludf.DUMMYFUNCTION("""COMPUTED_VALUE"""),13.0)</f>
        <v>13</v>
      </c>
      <c r="G2697" s="5">
        <f>IFERROR(__xludf.DUMMYFUNCTION("""COMPUTED_VALUE"""),7.0270136E7)</f>
        <v>70270136</v>
      </c>
    </row>
    <row r="2698">
      <c r="A2698" s="3">
        <f>IFERROR(__xludf.DUMMYFUNCTION("""COMPUTED_VALUE"""),127.0)</f>
        <v>127</v>
      </c>
      <c r="B2698" s="2" t="str">
        <f>IFERROR(__xludf.DUMMYFUNCTION("""COMPUTED_VALUE"""),"DHAKA-SOUTH")</f>
        <v>DHAKA-SOUTH</v>
      </c>
      <c r="C2698" s="4">
        <f>IFERROR(__xludf.DUMMYFUNCTION("""COMPUTED_VALUE"""),70.0)</f>
        <v>70</v>
      </c>
      <c r="D2698" s="2" t="str">
        <f>IFERROR(__xludf.DUMMYFUNCTION("""COMPUTED_VALUE"""),"BANK ASIA LTD.")</f>
        <v>BANK ASIA LTD.</v>
      </c>
      <c r="E2698" s="2" t="str">
        <f>IFERROR(__xludf.DUMMYFUNCTION("""COMPUTED_VALUE"""),"PARAGRAM")</f>
        <v>PARAGRAM</v>
      </c>
      <c r="F2698" s="3">
        <f>IFERROR(__xludf.DUMMYFUNCTION("""COMPUTED_VALUE"""),15.0)</f>
        <v>15</v>
      </c>
      <c r="G2698" s="5">
        <f>IFERROR(__xludf.DUMMYFUNCTION("""COMPUTED_VALUE"""),7.0270152E7)</f>
        <v>70270152</v>
      </c>
    </row>
    <row r="2699">
      <c r="A2699" s="3">
        <f>IFERROR(__xludf.DUMMYFUNCTION("""COMPUTED_VALUE"""),127.0)</f>
        <v>127</v>
      </c>
      <c r="B2699" s="2" t="str">
        <f>IFERROR(__xludf.DUMMYFUNCTION("""COMPUTED_VALUE"""),"DHAKA-SOUTH")</f>
        <v>DHAKA-SOUTH</v>
      </c>
      <c r="C2699" s="4">
        <f>IFERROR(__xludf.DUMMYFUNCTION("""COMPUTED_VALUE"""),70.0)</f>
        <v>70</v>
      </c>
      <c r="D2699" s="2" t="str">
        <f>IFERROR(__xludf.DUMMYFUNCTION("""COMPUTED_VALUE"""),"BANK ASIA LTD.")</f>
        <v>BANK ASIA LTD.</v>
      </c>
      <c r="E2699" s="2" t="str">
        <f>IFERROR(__xludf.DUMMYFUNCTION("""COMPUTED_VALUE"""),"AGLA")</f>
        <v>AGLA</v>
      </c>
      <c r="F2699" s="3">
        <f>IFERROR(__xludf.DUMMYFUNCTION("""COMPUTED_VALUE"""),16.0)</f>
        <v>16</v>
      </c>
      <c r="G2699" s="5">
        <f>IFERROR(__xludf.DUMMYFUNCTION("""COMPUTED_VALUE"""),7.0270165E7)</f>
        <v>70270165</v>
      </c>
    </row>
    <row r="2700">
      <c r="A2700" s="3">
        <f>IFERROR(__xludf.DUMMYFUNCTION("""COMPUTED_VALUE"""),127.0)</f>
        <v>127</v>
      </c>
      <c r="B2700" s="2" t="str">
        <f>IFERROR(__xludf.DUMMYFUNCTION("""COMPUTED_VALUE"""),"DHAKA-SOUTH")</f>
        <v>DHAKA-SOUTH</v>
      </c>
      <c r="C2700" s="4">
        <f>IFERROR(__xludf.DUMMYFUNCTION("""COMPUTED_VALUE"""),70.0)</f>
        <v>70</v>
      </c>
      <c r="D2700" s="2" t="str">
        <f>IFERROR(__xludf.DUMMYFUNCTION("""COMPUTED_VALUE"""),"BANK ASIA LTD.")</f>
        <v>BANK ASIA LTD.</v>
      </c>
      <c r="E2700" s="2" t="str">
        <f>IFERROR(__xludf.DUMMYFUNCTION("""COMPUTED_VALUE"""),"PARIBAGH")</f>
        <v>PARIBAGH</v>
      </c>
      <c r="F2700" s="3">
        <f>IFERROR(__xludf.DUMMYFUNCTION("""COMPUTED_VALUE"""),20.0)</f>
        <v>20</v>
      </c>
      <c r="G2700" s="5">
        <f>IFERROR(__xludf.DUMMYFUNCTION("""COMPUTED_VALUE"""),7.0270202E7)</f>
        <v>70270202</v>
      </c>
    </row>
    <row r="2701">
      <c r="A2701" s="3">
        <f>IFERROR(__xludf.DUMMYFUNCTION("""COMPUTED_VALUE"""),127.0)</f>
        <v>127</v>
      </c>
      <c r="B2701" s="2" t="str">
        <f>IFERROR(__xludf.DUMMYFUNCTION("""COMPUTED_VALUE"""),"DHAKA-SOUTH")</f>
        <v>DHAKA-SOUTH</v>
      </c>
      <c r="C2701" s="4">
        <f>IFERROR(__xludf.DUMMYFUNCTION("""COMPUTED_VALUE"""),70.0)</f>
        <v>70</v>
      </c>
      <c r="D2701" s="2" t="str">
        <f>IFERROR(__xludf.DUMMYFUNCTION("""COMPUTED_VALUE"""),"BANK ASIA LTD.")</f>
        <v>BANK ASIA LTD.</v>
      </c>
      <c r="E2701" s="2" t="str">
        <f>IFERROR(__xludf.DUMMYFUNCTION("""COMPUTED_VALUE"""),"ESKATON GARDEN ROAD")</f>
        <v>ESKATON GARDEN ROAD</v>
      </c>
      <c r="F2701" s="3">
        <f>IFERROR(__xludf.DUMMYFUNCTION("""COMPUTED_VALUE"""),21.0)</f>
        <v>21</v>
      </c>
      <c r="G2701" s="5">
        <f>IFERROR(__xludf.DUMMYFUNCTION("""COMPUTED_VALUE"""),7.0270215E7)</f>
        <v>70270215</v>
      </c>
    </row>
    <row r="2702">
      <c r="A2702" s="3">
        <f>IFERROR(__xludf.DUMMYFUNCTION("""COMPUTED_VALUE"""),127.0)</f>
        <v>127</v>
      </c>
      <c r="B2702" s="2" t="str">
        <f>IFERROR(__xludf.DUMMYFUNCTION("""COMPUTED_VALUE"""),"DHAKA-SOUTH")</f>
        <v>DHAKA-SOUTH</v>
      </c>
      <c r="C2702" s="4">
        <f>IFERROR(__xludf.DUMMYFUNCTION("""COMPUTED_VALUE"""),70.0)</f>
        <v>70</v>
      </c>
      <c r="D2702" s="2" t="str">
        <f>IFERROR(__xludf.DUMMYFUNCTION("""COMPUTED_VALUE"""),"BANK ASIA LTD.")</f>
        <v>BANK ASIA LTD.</v>
      </c>
      <c r="E2702" s="2" t="str">
        <f>IFERROR(__xludf.DUMMYFUNCTION("""COMPUTED_VALUE"""),"BASHABOO SME")</f>
        <v>BASHABOO SME</v>
      </c>
      <c r="F2702" s="3">
        <f>IFERROR(__xludf.DUMMYFUNCTION("""COMPUTED_VALUE"""),98.0)</f>
        <v>98</v>
      </c>
      <c r="G2702" s="5">
        <f>IFERROR(__xludf.DUMMYFUNCTION("""COMPUTED_VALUE"""),7.0270981E7)</f>
        <v>70270981</v>
      </c>
    </row>
    <row r="2703">
      <c r="A2703" s="3">
        <f>IFERROR(__xludf.DUMMYFUNCTION("""COMPUTED_VALUE"""),127.0)</f>
        <v>127</v>
      </c>
      <c r="B2703" s="2" t="str">
        <f>IFERROR(__xludf.DUMMYFUNCTION("""COMPUTED_VALUE"""),"DHAKA-SOUTH")</f>
        <v>DHAKA-SOUTH</v>
      </c>
      <c r="C2703" s="4">
        <f>IFERROR(__xludf.DUMMYFUNCTION("""COMPUTED_VALUE"""),70.0)</f>
        <v>70</v>
      </c>
      <c r="D2703" s="2" t="str">
        <f>IFERROR(__xludf.DUMMYFUNCTION("""COMPUTED_VALUE"""),"BANK ASIA LTD.")</f>
        <v>BANK ASIA LTD.</v>
      </c>
      <c r="E2703" s="2" t="str">
        <f>IFERROR(__xludf.DUMMYFUNCTION("""COMPUTED_VALUE"""),"DANIA")</f>
        <v>DANIA</v>
      </c>
      <c r="F2703" s="3">
        <f>IFERROR(__xludf.DUMMYFUNCTION("""COMPUTED_VALUE"""),142.0)</f>
        <v>142</v>
      </c>
      <c r="G2703" s="5">
        <f>IFERROR(__xludf.DUMMYFUNCTION("""COMPUTED_VALUE"""),7.0271427E7)</f>
        <v>70271427</v>
      </c>
    </row>
    <row r="2704">
      <c r="A2704" s="3">
        <f>IFERROR(__xludf.DUMMYFUNCTION("""COMPUTED_VALUE"""),127.0)</f>
        <v>127</v>
      </c>
      <c r="B2704" s="2" t="str">
        <f>IFERROR(__xludf.DUMMYFUNCTION("""COMPUTED_VALUE"""),"DHAKA-SOUTH")</f>
        <v>DHAKA-SOUTH</v>
      </c>
      <c r="C2704" s="4">
        <f>IFERROR(__xludf.DUMMYFUNCTION("""COMPUTED_VALUE"""),70.0)</f>
        <v>70</v>
      </c>
      <c r="D2704" s="2" t="str">
        <f>IFERROR(__xludf.DUMMYFUNCTION("""COMPUTED_VALUE"""),"BANK ASIA LTD.")</f>
        <v>BANK ASIA LTD.</v>
      </c>
      <c r="E2704" s="2" t="str">
        <f>IFERROR(__xludf.DUMMYFUNCTION("""COMPUTED_VALUE"""),"HEAD OFFICE")</f>
        <v>HEAD OFFICE</v>
      </c>
      <c r="F2704" s="3">
        <f>IFERROR(__xludf.DUMMYFUNCTION("""COMPUTED_VALUE"""),268.0)</f>
        <v>268</v>
      </c>
      <c r="G2704" s="5">
        <f>IFERROR(__xludf.DUMMYFUNCTION("""COMPUTED_VALUE"""),7.0272684E7)</f>
        <v>70272684</v>
      </c>
    </row>
    <row r="2705">
      <c r="A2705" s="3">
        <f>IFERROR(__xludf.DUMMYFUNCTION("""COMPUTED_VALUE"""),127.0)</f>
        <v>127</v>
      </c>
      <c r="B2705" s="2" t="str">
        <f>IFERROR(__xludf.DUMMYFUNCTION("""COMPUTED_VALUE"""),"DHAKA-SOUTH")</f>
        <v>DHAKA-SOUTH</v>
      </c>
      <c r="C2705" s="4">
        <f>IFERROR(__xludf.DUMMYFUNCTION("""COMPUTED_VALUE"""),70.0)</f>
        <v>70</v>
      </c>
      <c r="D2705" s="2" t="str">
        <f>IFERROR(__xludf.DUMMYFUNCTION("""COMPUTED_VALUE"""),"BANK ASIA LTD.")</f>
        <v>BANK ASIA LTD.</v>
      </c>
      <c r="E2705" s="2" t="str">
        <f>IFERROR(__xludf.DUMMYFUNCTION("""COMPUTED_VALUE"""),"JATRABARI SME")</f>
        <v>JATRABARI SME</v>
      </c>
      <c r="F2705" s="3">
        <f>IFERROR(__xludf.DUMMYFUNCTION("""COMPUTED_VALUE"""),323.0)</f>
        <v>323</v>
      </c>
      <c r="G2705" s="5">
        <f>IFERROR(__xludf.DUMMYFUNCTION("""COMPUTED_VALUE"""),7.0273238E7)</f>
        <v>70273238</v>
      </c>
    </row>
    <row r="2706">
      <c r="A2706" s="3">
        <f>IFERROR(__xludf.DUMMYFUNCTION("""COMPUTED_VALUE"""),127.0)</f>
        <v>127</v>
      </c>
      <c r="B2706" s="2" t="str">
        <f>IFERROR(__xludf.DUMMYFUNCTION("""COMPUTED_VALUE"""),"DHAKA-SOUTH")</f>
        <v>DHAKA-SOUTH</v>
      </c>
      <c r="C2706" s="4">
        <f>IFERROR(__xludf.DUMMYFUNCTION("""COMPUTED_VALUE"""),70.0)</f>
        <v>70</v>
      </c>
      <c r="D2706" s="2" t="str">
        <f>IFERROR(__xludf.DUMMYFUNCTION("""COMPUTED_VALUE"""),"BANK ASIA LTD.")</f>
        <v>BANK ASIA LTD.</v>
      </c>
      <c r="E2706" s="2" t="str">
        <f>IFERROR(__xludf.DUMMYFUNCTION("""COMPUTED_VALUE"""),"JURAIN SME")</f>
        <v>JURAIN SME</v>
      </c>
      <c r="F2706" s="3">
        <f>IFERROR(__xludf.DUMMYFUNCTION("""COMPUTED_VALUE"""),332.0)</f>
        <v>332</v>
      </c>
      <c r="G2706" s="5">
        <f>IFERROR(__xludf.DUMMYFUNCTION("""COMPUTED_VALUE"""),7.027332E7)</f>
        <v>70273320</v>
      </c>
    </row>
    <row r="2707">
      <c r="A2707" s="3">
        <f>IFERROR(__xludf.DUMMYFUNCTION("""COMPUTED_VALUE"""),127.0)</f>
        <v>127</v>
      </c>
      <c r="B2707" s="2" t="str">
        <f>IFERROR(__xludf.DUMMYFUNCTION("""COMPUTED_VALUE"""),"DHAKA-SOUTH")</f>
        <v>DHAKA-SOUTH</v>
      </c>
      <c r="C2707" s="4">
        <f>IFERROR(__xludf.DUMMYFUNCTION("""COMPUTED_VALUE"""),70.0)</f>
        <v>70</v>
      </c>
      <c r="D2707" s="2" t="str">
        <f>IFERROR(__xludf.DUMMYFUNCTION("""COMPUTED_VALUE"""),"BANK ASIA LTD.")</f>
        <v>BANK ASIA LTD.</v>
      </c>
      <c r="E2707" s="2" t="str">
        <f>IFERROR(__xludf.DUMMYFUNCTION("""COMPUTED_VALUE"""),"KALATIA")</f>
        <v>KALATIA</v>
      </c>
      <c r="F2707" s="3">
        <f>IFERROR(__xludf.DUMMYFUNCTION("""COMPUTED_VALUE"""),343.0)</f>
        <v>343</v>
      </c>
      <c r="G2707" s="5">
        <f>IFERROR(__xludf.DUMMYFUNCTION("""COMPUTED_VALUE"""),7.0273438E7)</f>
        <v>70273438</v>
      </c>
    </row>
    <row r="2708">
      <c r="A2708" s="3">
        <f>IFERROR(__xludf.DUMMYFUNCTION("""COMPUTED_VALUE"""),127.0)</f>
        <v>127</v>
      </c>
      <c r="B2708" s="2" t="str">
        <f>IFERROR(__xludf.DUMMYFUNCTION("""COMPUTED_VALUE"""),"DHAKA-SOUTH")</f>
        <v>DHAKA-SOUTH</v>
      </c>
      <c r="C2708" s="4">
        <f>IFERROR(__xludf.DUMMYFUNCTION("""COMPUTED_VALUE"""),70.0)</f>
        <v>70</v>
      </c>
      <c r="D2708" s="2" t="str">
        <f>IFERROR(__xludf.DUMMYFUNCTION("""COMPUTED_VALUE"""),"BANK ASIA LTD.")</f>
        <v>BANK ASIA LTD.</v>
      </c>
      <c r="E2708" s="2" t="str">
        <f>IFERROR(__xludf.DUMMYFUNCTION("""COMPUTED_VALUE"""),"MCB BANANI")</f>
        <v>MCB BANANI</v>
      </c>
      <c r="F2708" s="3">
        <f>IFERROR(__xludf.DUMMYFUNCTION("""COMPUTED_VALUE"""),403.0)</f>
        <v>403</v>
      </c>
      <c r="G2708" s="5">
        <f>IFERROR(__xludf.DUMMYFUNCTION("""COMPUTED_VALUE"""),7.0274037E7)</f>
        <v>70274037</v>
      </c>
    </row>
    <row r="2709">
      <c r="A2709" s="3">
        <f>IFERROR(__xludf.DUMMYFUNCTION("""COMPUTED_VALUE"""),127.0)</f>
        <v>127</v>
      </c>
      <c r="B2709" s="2" t="str">
        <f>IFERROR(__xludf.DUMMYFUNCTION("""COMPUTED_VALUE"""),"DHAKA-SOUTH")</f>
        <v>DHAKA-SOUTH</v>
      </c>
      <c r="C2709" s="4">
        <f>IFERROR(__xludf.DUMMYFUNCTION("""COMPUTED_VALUE"""),70.0)</f>
        <v>70</v>
      </c>
      <c r="D2709" s="2" t="str">
        <f>IFERROR(__xludf.DUMMYFUNCTION("""COMPUTED_VALUE"""),"BANK ASIA LTD.")</f>
        <v>BANK ASIA LTD.</v>
      </c>
      <c r="E2709" s="2" t="str">
        <f>IFERROR(__xludf.DUMMYFUNCTION("""COMPUTED_VALUE"""),"MITFORD")</f>
        <v>MITFORD</v>
      </c>
      <c r="F2709" s="3">
        <f>IFERROR(__xludf.DUMMYFUNCTION("""COMPUTED_VALUE"""),406.0)</f>
        <v>406</v>
      </c>
      <c r="G2709" s="5">
        <f>IFERROR(__xludf.DUMMYFUNCTION("""COMPUTED_VALUE"""),7.0274066E7)</f>
        <v>70274066</v>
      </c>
    </row>
    <row r="2710">
      <c r="A2710" s="3">
        <f>IFERROR(__xludf.DUMMYFUNCTION("""COMPUTED_VALUE"""),127.0)</f>
        <v>127</v>
      </c>
      <c r="B2710" s="2" t="str">
        <f>IFERROR(__xludf.DUMMYFUNCTION("""COMPUTED_VALUE"""),"DHAKA-SOUTH")</f>
        <v>DHAKA-SOUTH</v>
      </c>
      <c r="C2710" s="4">
        <f>IFERROR(__xludf.DUMMYFUNCTION("""COMPUTED_VALUE"""),70.0)</f>
        <v>70</v>
      </c>
      <c r="D2710" s="2" t="str">
        <f>IFERROR(__xludf.DUMMYFUNCTION("""COMPUTED_VALUE"""),"BANK ASIA LTD.")</f>
        <v>BANK ASIA LTD.</v>
      </c>
      <c r="E2710" s="2" t="str">
        <f>IFERROR(__xludf.DUMMYFUNCTION("""COMPUTED_VALUE"""),"MOGHBAZAR")</f>
        <v>MOGHBAZAR</v>
      </c>
      <c r="F2710" s="3">
        <f>IFERROR(__xludf.DUMMYFUNCTION("""COMPUTED_VALUE"""),418.0)</f>
        <v>418</v>
      </c>
      <c r="G2710" s="5">
        <f>IFERROR(__xludf.DUMMYFUNCTION("""COMPUTED_VALUE"""),7.0274187E7)</f>
        <v>70274187</v>
      </c>
    </row>
    <row r="2711">
      <c r="A2711" s="3">
        <f>IFERROR(__xludf.DUMMYFUNCTION("""COMPUTED_VALUE"""),127.0)</f>
        <v>127</v>
      </c>
      <c r="B2711" s="2" t="str">
        <f>IFERROR(__xludf.DUMMYFUNCTION("""COMPUTED_VALUE"""),"DHAKA-SOUTH")</f>
        <v>DHAKA-SOUTH</v>
      </c>
      <c r="C2711" s="4">
        <f>IFERROR(__xludf.DUMMYFUNCTION("""COMPUTED_VALUE"""),70.0)</f>
        <v>70</v>
      </c>
      <c r="D2711" s="2" t="str">
        <f>IFERROR(__xludf.DUMMYFUNCTION("""COMPUTED_VALUE"""),"BANK ASIA LTD.")</f>
        <v>BANK ASIA LTD.</v>
      </c>
      <c r="E2711" s="2" t="str">
        <f>IFERROR(__xludf.DUMMYFUNCTION("""COMPUTED_VALUE"""),"PALTAN")</f>
        <v>PALTAN</v>
      </c>
      <c r="F2711" s="3">
        <f>IFERROR(__xludf.DUMMYFUNCTION("""COMPUTED_VALUE"""),520.0)</f>
        <v>520</v>
      </c>
      <c r="G2711" s="5">
        <f>IFERROR(__xludf.DUMMYFUNCTION("""COMPUTED_VALUE"""),7.0275207E7)</f>
        <v>70275207</v>
      </c>
    </row>
    <row r="2712">
      <c r="A2712" s="3">
        <f>IFERROR(__xludf.DUMMYFUNCTION("""COMPUTED_VALUE"""),127.0)</f>
        <v>127</v>
      </c>
      <c r="B2712" s="2" t="str">
        <f>IFERROR(__xludf.DUMMYFUNCTION("""COMPUTED_VALUE"""),"DHAKA-SOUTH")</f>
        <v>DHAKA-SOUTH</v>
      </c>
      <c r="C2712" s="4">
        <f>IFERROR(__xludf.DUMMYFUNCTION("""COMPUTED_VALUE"""),70.0)</f>
        <v>70</v>
      </c>
      <c r="D2712" s="2" t="str">
        <f>IFERROR(__xludf.DUMMYFUNCTION("""COMPUTED_VALUE"""),"BANK ASIA LTD.")</f>
        <v>BANK ASIA LTD.</v>
      </c>
      <c r="E2712" s="2" t="str">
        <f>IFERROR(__xludf.DUMMYFUNCTION("""COMPUTED_VALUE"""),"PRINCIPAL")</f>
        <v>PRINCIPAL</v>
      </c>
      <c r="F2712" s="3">
        <f>IFERROR(__xludf.DUMMYFUNCTION("""COMPUTED_VALUE"""),535.0)</f>
        <v>535</v>
      </c>
      <c r="G2712" s="5">
        <f>IFERROR(__xludf.DUMMYFUNCTION("""COMPUTED_VALUE"""),7.0275357E7)</f>
        <v>70275357</v>
      </c>
    </row>
    <row r="2713">
      <c r="A2713" s="3">
        <f>IFERROR(__xludf.DUMMYFUNCTION("""COMPUTED_VALUE"""),127.0)</f>
        <v>127</v>
      </c>
      <c r="B2713" s="2" t="str">
        <f>IFERROR(__xludf.DUMMYFUNCTION("""COMPUTED_VALUE"""),"DHAKA-SOUTH")</f>
        <v>DHAKA-SOUTH</v>
      </c>
      <c r="C2713" s="4">
        <f>IFERROR(__xludf.DUMMYFUNCTION("""COMPUTED_VALUE"""),70.0)</f>
        <v>70</v>
      </c>
      <c r="D2713" s="2" t="str">
        <f>IFERROR(__xludf.DUMMYFUNCTION("""COMPUTED_VALUE"""),"BANK ASIA LTD.")</f>
        <v>BANK ASIA LTD.</v>
      </c>
      <c r="E2713" s="2" t="str">
        <f>IFERROR(__xludf.DUMMYFUNCTION("""COMPUTED_VALUE"""),"RUHITPUR")</f>
        <v>RUHITPUR</v>
      </c>
      <c r="F2713" s="3">
        <f>IFERROR(__xludf.DUMMYFUNCTION("""COMPUTED_VALUE"""),583.0)</f>
        <v>583</v>
      </c>
      <c r="G2713" s="5">
        <f>IFERROR(__xludf.DUMMYFUNCTION("""COMPUTED_VALUE"""),7.0275836E7)</f>
        <v>70275836</v>
      </c>
    </row>
    <row r="2714">
      <c r="A2714" s="3">
        <f>IFERROR(__xludf.DUMMYFUNCTION("""COMPUTED_VALUE"""),127.0)</f>
        <v>127</v>
      </c>
      <c r="B2714" s="2" t="str">
        <f>IFERROR(__xludf.DUMMYFUNCTION("""COMPUTED_VALUE"""),"DHAKA-SOUTH")</f>
        <v>DHAKA-SOUTH</v>
      </c>
      <c r="C2714" s="4">
        <f>IFERROR(__xludf.DUMMYFUNCTION("""COMPUTED_VALUE"""),70.0)</f>
        <v>70</v>
      </c>
      <c r="D2714" s="2" t="str">
        <f>IFERROR(__xludf.DUMMYFUNCTION("""COMPUTED_VALUE"""),"BANK ASIA LTD.")</f>
        <v>BANK ASIA LTD.</v>
      </c>
      <c r="E2714" s="2" t="str">
        <f>IFERROR(__xludf.DUMMYFUNCTION("""COMPUTED_VALUE"""),"SCOTIA")</f>
        <v>SCOTIA</v>
      </c>
      <c r="F2714" s="3">
        <f>IFERROR(__xludf.DUMMYFUNCTION("""COMPUTED_VALUE"""),613.0)</f>
        <v>613</v>
      </c>
      <c r="G2714" s="5">
        <f>IFERROR(__xludf.DUMMYFUNCTION("""COMPUTED_VALUE"""),7.027613E7)</f>
        <v>70276130</v>
      </c>
    </row>
    <row r="2715">
      <c r="A2715" s="3">
        <f>IFERROR(__xludf.DUMMYFUNCTION("""COMPUTED_VALUE"""),127.0)</f>
        <v>127</v>
      </c>
      <c r="B2715" s="2" t="str">
        <f>IFERROR(__xludf.DUMMYFUNCTION("""COMPUTED_VALUE"""),"DHAKA-SOUTH")</f>
        <v>DHAKA-SOUTH</v>
      </c>
      <c r="C2715" s="4">
        <f>IFERROR(__xludf.DUMMYFUNCTION("""COMPUTED_VALUE"""),70.0)</f>
        <v>70</v>
      </c>
      <c r="D2715" s="2" t="str">
        <f>IFERROR(__xludf.DUMMYFUNCTION("""COMPUTED_VALUE"""),"BANK ASIA LTD.")</f>
        <v>BANK ASIA LTD.</v>
      </c>
      <c r="E2715" s="2" t="str">
        <f>IFERROR(__xludf.DUMMYFUNCTION("""COMPUTED_VALUE"""),"SHANTINAGAR")</f>
        <v>SHANTINAGAR</v>
      </c>
      <c r="F2715" s="3">
        <f>IFERROR(__xludf.DUMMYFUNCTION("""COMPUTED_VALUE"""),634.0)</f>
        <v>634</v>
      </c>
      <c r="G2715" s="5">
        <f>IFERROR(__xludf.DUMMYFUNCTION("""COMPUTED_VALUE"""),7.0276343E7)</f>
        <v>70276343</v>
      </c>
    </row>
    <row r="2716">
      <c r="A2716" s="3">
        <f>IFERROR(__xludf.DUMMYFUNCTION("""COMPUTED_VALUE"""),728.0)</f>
        <v>728</v>
      </c>
      <c r="B2716" s="2" t="str">
        <f>IFERROR(__xludf.DUMMYFUNCTION("""COMPUTED_VALUE"""),"DINAJPUR")</f>
        <v>DINAJPUR</v>
      </c>
      <c r="C2716" s="4">
        <f>IFERROR(__xludf.DUMMYFUNCTION("""COMPUTED_VALUE"""),70.0)</f>
        <v>70</v>
      </c>
      <c r="D2716" s="2" t="str">
        <f>IFERROR(__xludf.DUMMYFUNCTION("""COMPUTED_VALUE"""),"BANK ASIA LTD.")</f>
        <v>BANK ASIA LTD.</v>
      </c>
      <c r="E2716" s="2" t="str">
        <f>IFERROR(__xludf.DUMMYFUNCTION("""COMPUTED_VALUE"""),"DINAJPUR")</f>
        <v>DINAJPUR</v>
      </c>
      <c r="F2716" s="3">
        <f>IFERROR(__xludf.DUMMYFUNCTION("""COMPUTED_VALUE"""),67.0)</f>
        <v>67</v>
      </c>
      <c r="G2716" s="5">
        <f>IFERROR(__xludf.DUMMYFUNCTION("""COMPUTED_VALUE"""),7.0280676E7)</f>
        <v>70280676</v>
      </c>
    </row>
    <row r="2717">
      <c r="A2717" s="3">
        <f>IFERROR(__xludf.DUMMYFUNCTION("""COMPUTED_VALUE"""),329.0)</f>
        <v>329</v>
      </c>
      <c r="B2717" s="2" t="str">
        <f>IFERROR(__xludf.DUMMYFUNCTION("""COMPUTED_VALUE"""),"FARIDPUR")</f>
        <v>FARIDPUR</v>
      </c>
      <c r="C2717" s="4">
        <f>IFERROR(__xludf.DUMMYFUNCTION("""COMPUTED_VALUE"""),70.0)</f>
        <v>70</v>
      </c>
      <c r="D2717" s="2" t="str">
        <f>IFERROR(__xludf.DUMMYFUNCTION("""COMPUTED_VALUE"""),"BANK ASIA LTD.")</f>
        <v>BANK ASIA LTD.</v>
      </c>
      <c r="E2717" s="2" t="str">
        <f>IFERROR(__xludf.DUMMYFUNCTION("""COMPUTED_VALUE"""),"FARIDPUR")</f>
        <v>FARIDPUR</v>
      </c>
      <c r="F2717" s="3">
        <f>IFERROR(__xludf.DUMMYFUNCTION("""COMPUTED_VALUE"""),52.0)</f>
        <v>52</v>
      </c>
      <c r="G2717" s="5">
        <f>IFERROR(__xludf.DUMMYFUNCTION("""COMPUTED_VALUE"""),7.0290529E7)</f>
        <v>70290529</v>
      </c>
    </row>
    <row r="2718">
      <c r="A2718" s="3">
        <f>IFERROR(__xludf.DUMMYFUNCTION("""COMPUTED_VALUE"""),133.0)</f>
        <v>133</v>
      </c>
      <c r="B2718" s="2" t="str">
        <f>IFERROR(__xludf.DUMMYFUNCTION("""COMPUTED_VALUE"""),"GAZIPUR")</f>
        <v>GAZIPUR</v>
      </c>
      <c r="C2718" s="4">
        <f>IFERROR(__xludf.DUMMYFUNCTION("""COMPUTED_VALUE"""),70.0)</f>
        <v>70</v>
      </c>
      <c r="D2718" s="2" t="str">
        <f>IFERROR(__xludf.DUMMYFUNCTION("""COMPUTED_VALUE"""),"BANK ASIA LTD.")</f>
        <v>BANK ASIA LTD.</v>
      </c>
      <c r="E2718" s="2" t="str">
        <f>IFERROR(__xludf.DUMMYFUNCTION("""COMPUTED_VALUE"""),"GAZIPUR")</f>
        <v>GAZIPUR</v>
      </c>
      <c r="F2718" s="3">
        <f>IFERROR(__xludf.DUMMYFUNCTION("""COMPUTED_VALUE"""),52.0)</f>
        <v>52</v>
      </c>
      <c r="G2718" s="5">
        <f>IFERROR(__xludf.DUMMYFUNCTION("""COMPUTED_VALUE"""),7.0330526E7)</f>
        <v>70330526</v>
      </c>
    </row>
    <row r="2719">
      <c r="A2719" s="3">
        <f>IFERROR(__xludf.DUMMYFUNCTION("""COMPUTED_VALUE"""),133.0)</f>
        <v>133</v>
      </c>
      <c r="B2719" s="2" t="str">
        <f>IFERROR(__xludf.DUMMYFUNCTION("""COMPUTED_VALUE"""),"GAZIPUR")</f>
        <v>GAZIPUR</v>
      </c>
      <c r="C2719" s="4">
        <f>IFERROR(__xludf.DUMMYFUNCTION("""COMPUTED_VALUE"""),70.0)</f>
        <v>70</v>
      </c>
      <c r="D2719" s="2" t="str">
        <f>IFERROR(__xludf.DUMMYFUNCTION("""COMPUTED_VALUE"""),"BANK ASIA LTD.")</f>
        <v>BANK ASIA LTD.</v>
      </c>
      <c r="E2719" s="2" t="str">
        <f>IFERROR(__xludf.DUMMYFUNCTION("""COMPUTED_VALUE"""),"KALIAKOIR")</f>
        <v>KALIAKOIR</v>
      </c>
      <c r="F2719" s="3">
        <f>IFERROR(__xludf.DUMMYFUNCTION("""COMPUTED_VALUE"""),79.0)</f>
        <v>79</v>
      </c>
      <c r="G2719" s="5">
        <f>IFERROR(__xludf.DUMMYFUNCTION("""COMPUTED_VALUE"""),7.0330797E7)</f>
        <v>70330797</v>
      </c>
    </row>
    <row r="2720">
      <c r="A2720" s="3">
        <f>IFERROR(__xludf.DUMMYFUNCTION("""COMPUTED_VALUE"""),133.0)</f>
        <v>133</v>
      </c>
      <c r="B2720" s="2" t="str">
        <f>IFERROR(__xludf.DUMMYFUNCTION("""COMPUTED_VALUE"""),"GAZIPUR")</f>
        <v>GAZIPUR</v>
      </c>
      <c r="C2720" s="4">
        <f>IFERROR(__xludf.DUMMYFUNCTION("""COMPUTED_VALUE"""),70.0)</f>
        <v>70</v>
      </c>
      <c r="D2720" s="2" t="str">
        <f>IFERROR(__xludf.DUMMYFUNCTION("""COMPUTED_VALUE"""),"BANK ASIA LTD.")</f>
        <v>BANK ASIA LTD.</v>
      </c>
      <c r="E2720" s="2" t="str">
        <f>IFERROR(__xludf.DUMMYFUNCTION("""COMPUTED_VALUE"""),"KONABARI")</f>
        <v>KONABARI</v>
      </c>
      <c r="F2720" s="3">
        <f>IFERROR(__xludf.DUMMYFUNCTION("""COMPUTED_VALUE"""),94.0)</f>
        <v>94</v>
      </c>
      <c r="G2720" s="5">
        <f>IFERROR(__xludf.DUMMYFUNCTION("""COMPUTED_VALUE"""),7.0330942E7)</f>
        <v>70330942</v>
      </c>
    </row>
    <row r="2721">
      <c r="A2721" s="3">
        <f>IFERROR(__xludf.DUMMYFUNCTION("""COMPUTED_VALUE"""),133.0)</f>
        <v>133</v>
      </c>
      <c r="B2721" s="2" t="str">
        <f>IFERROR(__xludf.DUMMYFUNCTION("""COMPUTED_VALUE"""),"GAZIPUR")</f>
        <v>GAZIPUR</v>
      </c>
      <c r="C2721" s="4">
        <f>IFERROR(__xludf.DUMMYFUNCTION("""COMPUTED_VALUE"""),70.0)</f>
        <v>70</v>
      </c>
      <c r="D2721" s="2" t="str">
        <f>IFERROR(__xludf.DUMMYFUNCTION("""COMPUTED_VALUE"""),"BANK ASIA LTD.")</f>
        <v>BANK ASIA LTD.</v>
      </c>
      <c r="E2721" s="2" t="str">
        <f>IFERROR(__xludf.DUMMYFUNCTION("""COMPUTED_VALUE"""),"TONGI")</f>
        <v>TONGI</v>
      </c>
      <c r="F2721" s="3">
        <f>IFERROR(__xludf.DUMMYFUNCTION("""COMPUTED_VALUE"""),163.0)</f>
        <v>163</v>
      </c>
      <c r="G2721" s="5">
        <f>IFERROR(__xludf.DUMMYFUNCTION("""COMPUTED_VALUE"""),7.0331633E7)</f>
        <v>70331633</v>
      </c>
    </row>
    <row r="2722">
      <c r="A2722" s="3">
        <f>IFERROR(__xludf.DUMMYFUNCTION("""COMPUTED_VALUE"""),435.0)</f>
        <v>435</v>
      </c>
      <c r="B2722" s="2" t="str">
        <f>IFERROR(__xludf.DUMMYFUNCTION("""COMPUTED_VALUE"""),"GOPALGANJ")</f>
        <v>GOPALGANJ</v>
      </c>
      <c r="C2722" s="4">
        <f>IFERROR(__xludf.DUMMYFUNCTION("""COMPUTED_VALUE"""),70.0)</f>
        <v>70</v>
      </c>
      <c r="D2722" s="2" t="str">
        <f>IFERROR(__xludf.DUMMYFUNCTION("""COMPUTED_VALUE"""),"BANK ASIA LTD.")</f>
        <v>BANK ASIA LTD.</v>
      </c>
      <c r="E2722" s="2" t="str">
        <f>IFERROR(__xludf.DUMMYFUNCTION("""COMPUTED_VALUE"""),"GOPALGANJ")</f>
        <v>GOPALGANJ</v>
      </c>
      <c r="F2722" s="3">
        <f>IFERROR(__xludf.DUMMYFUNCTION("""COMPUTED_VALUE"""),37.0)</f>
        <v>37</v>
      </c>
      <c r="G2722" s="5">
        <f>IFERROR(__xludf.DUMMYFUNCTION("""COMPUTED_VALUE"""),7.0350377E7)</f>
        <v>70350377</v>
      </c>
    </row>
    <row r="2723">
      <c r="A2723" s="3">
        <f>IFERROR(__xludf.DUMMYFUNCTION("""COMPUTED_VALUE"""),435.0)</f>
        <v>435</v>
      </c>
      <c r="B2723" s="2" t="str">
        <f>IFERROR(__xludf.DUMMYFUNCTION("""COMPUTED_VALUE"""),"GOPALGANJ")</f>
        <v>GOPALGANJ</v>
      </c>
      <c r="C2723" s="4">
        <f>IFERROR(__xludf.DUMMYFUNCTION("""COMPUTED_VALUE"""),70.0)</f>
        <v>70</v>
      </c>
      <c r="D2723" s="2" t="str">
        <f>IFERROR(__xludf.DUMMYFUNCTION("""COMPUTED_VALUE"""),"BANK ASIA LTD.")</f>
        <v>BANK ASIA LTD.</v>
      </c>
      <c r="E2723" s="2" t="str">
        <f>IFERROR(__xludf.DUMMYFUNCTION("""COMPUTED_VALUE"""),"MUKSUDPUR")</f>
        <v>MUKSUDPUR</v>
      </c>
      <c r="F2723" s="3">
        <f>IFERROR(__xludf.DUMMYFUNCTION("""COMPUTED_VALUE"""),73.0)</f>
        <v>73</v>
      </c>
      <c r="G2723" s="5">
        <f>IFERROR(__xludf.DUMMYFUNCTION("""COMPUTED_VALUE"""),7.0350735E7)</f>
        <v>70350735</v>
      </c>
    </row>
    <row r="2724">
      <c r="A2724" s="3">
        <f>IFERROR(__xludf.DUMMYFUNCTION("""COMPUTED_VALUE"""),441.0)</f>
        <v>441</v>
      </c>
      <c r="B2724" s="2" t="str">
        <f>IFERROR(__xludf.DUMMYFUNCTION("""COMPUTED_VALUE"""),"JESSORE")</f>
        <v>JESSORE</v>
      </c>
      <c r="C2724" s="4">
        <f>IFERROR(__xludf.DUMMYFUNCTION("""COMPUTED_VALUE"""),70.0)</f>
        <v>70</v>
      </c>
      <c r="D2724" s="2" t="str">
        <f>IFERROR(__xludf.DUMMYFUNCTION("""COMPUTED_VALUE"""),"BANK ASIA LTD.")</f>
        <v>BANK ASIA LTD.</v>
      </c>
      <c r="E2724" s="2" t="str">
        <f>IFERROR(__xludf.DUMMYFUNCTION("""COMPUTED_VALUE"""),"JESSORE")</f>
        <v>JESSORE</v>
      </c>
      <c r="F2724" s="3">
        <f>IFERROR(__xludf.DUMMYFUNCTION("""COMPUTED_VALUE"""),94.0)</f>
        <v>94</v>
      </c>
      <c r="G2724" s="5">
        <f>IFERROR(__xludf.DUMMYFUNCTION("""COMPUTED_VALUE"""),7.0410941E7)</f>
        <v>70410941</v>
      </c>
    </row>
    <row r="2725">
      <c r="A2725" s="3">
        <f>IFERROR(__xludf.DUMMYFUNCTION("""COMPUTED_VALUE"""),447.0)</f>
        <v>447</v>
      </c>
      <c r="B2725" s="2" t="str">
        <f>IFERROR(__xludf.DUMMYFUNCTION("""COMPUTED_VALUE"""),"KHULNA")</f>
        <v>KHULNA</v>
      </c>
      <c r="C2725" s="4">
        <f>IFERROR(__xludf.DUMMYFUNCTION("""COMPUTED_VALUE"""),70.0)</f>
        <v>70</v>
      </c>
      <c r="D2725" s="2" t="str">
        <f>IFERROR(__xludf.DUMMYFUNCTION("""COMPUTED_VALUE"""),"BANK ASIA LTD.")</f>
        <v>BANK ASIA LTD.</v>
      </c>
      <c r="E2725" s="2" t="str">
        <f>IFERROR(__xludf.DUMMYFUNCTION("""COMPUTED_VALUE"""),"KHULNA")</f>
        <v>KHULNA</v>
      </c>
      <c r="F2725" s="3">
        <f>IFERROR(__xludf.DUMMYFUNCTION("""COMPUTED_VALUE"""),154.0)</f>
        <v>154</v>
      </c>
      <c r="G2725" s="5">
        <f>IFERROR(__xludf.DUMMYFUNCTION("""COMPUTED_VALUE"""),7.0471548E7)</f>
        <v>70471548</v>
      </c>
    </row>
    <row r="2726">
      <c r="A2726" s="3">
        <f>IFERROR(__xludf.DUMMYFUNCTION("""COMPUTED_VALUE"""),447.0)</f>
        <v>447</v>
      </c>
      <c r="B2726" s="2" t="str">
        <f>IFERROR(__xludf.DUMMYFUNCTION("""COMPUTED_VALUE"""),"KHULNA")</f>
        <v>KHULNA</v>
      </c>
      <c r="C2726" s="4">
        <f>IFERROR(__xludf.DUMMYFUNCTION("""COMPUTED_VALUE"""),70.0)</f>
        <v>70</v>
      </c>
      <c r="D2726" s="2" t="str">
        <f>IFERROR(__xludf.DUMMYFUNCTION("""COMPUTED_VALUE"""),"BANK ASIA LTD.")</f>
        <v>BANK ASIA LTD.</v>
      </c>
      <c r="E2726" s="2" t="str">
        <f>IFERROR(__xludf.DUMMYFUNCTION("""COMPUTED_VALUE"""),"PURATON BORO BAZAR SME")</f>
        <v>PURATON BORO BAZAR SME</v>
      </c>
      <c r="F2726" s="3">
        <f>IFERROR(__xludf.DUMMYFUNCTION("""COMPUTED_VALUE"""),216.0)</f>
        <v>216</v>
      </c>
      <c r="G2726" s="5">
        <f>IFERROR(__xludf.DUMMYFUNCTION("""COMPUTED_VALUE"""),7.0472163E7)</f>
        <v>70472163</v>
      </c>
    </row>
    <row r="2727">
      <c r="A2727" s="3">
        <f>IFERROR(__xludf.DUMMYFUNCTION("""COMPUTED_VALUE"""),148.0)</f>
        <v>148</v>
      </c>
      <c r="B2727" s="2" t="str">
        <f>IFERROR(__xludf.DUMMYFUNCTION("""COMPUTED_VALUE"""),"KISHOREGANJ")</f>
        <v>KISHOREGANJ</v>
      </c>
      <c r="C2727" s="4">
        <f>IFERROR(__xludf.DUMMYFUNCTION("""COMPUTED_VALUE"""),70.0)</f>
        <v>70</v>
      </c>
      <c r="D2727" s="2" t="str">
        <f>IFERROR(__xludf.DUMMYFUNCTION("""COMPUTED_VALUE"""),"BANK ASIA LTD.")</f>
        <v>BANK ASIA LTD.</v>
      </c>
      <c r="E2727" s="2" t="str">
        <f>IFERROR(__xludf.DUMMYFUNCTION("""COMPUTED_VALUE"""),"BHAIRAB")</f>
        <v>BHAIRAB</v>
      </c>
      <c r="F2727" s="3">
        <f>IFERROR(__xludf.DUMMYFUNCTION("""COMPUTED_VALUE"""),19.0)</f>
        <v>19</v>
      </c>
      <c r="G2727" s="5">
        <f>IFERROR(__xludf.DUMMYFUNCTION("""COMPUTED_VALUE"""),7.0480197E7)</f>
        <v>70480197</v>
      </c>
    </row>
    <row r="2728">
      <c r="A2728" s="3">
        <f>IFERROR(__xludf.DUMMYFUNCTION("""COMPUTED_VALUE"""),148.0)</f>
        <v>148</v>
      </c>
      <c r="B2728" s="2" t="str">
        <f>IFERROR(__xludf.DUMMYFUNCTION("""COMPUTED_VALUE"""),"KISHOREGANJ")</f>
        <v>KISHOREGANJ</v>
      </c>
      <c r="C2728" s="4">
        <f>IFERROR(__xludf.DUMMYFUNCTION("""COMPUTED_VALUE"""),70.0)</f>
        <v>70</v>
      </c>
      <c r="D2728" s="2" t="str">
        <f>IFERROR(__xludf.DUMMYFUNCTION("""COMPUTED_VALUE"""),"BANK ASIA LTD.")</f>
        <v>BANK ASIA LTD.</v>
      </c>
      <c r="E2728" s="2" t="str">
        <f>IFERROR(__xludf.DUMMYFUNCTION("""COMPUTED_VALUE"""),"TARAIL")</f>
        <v>TARAIL</v>
      </c>
      <c r="F2728" s="3">
        <f>IFERROR(__xludf.DUMMYFUNCTION("""COMPUTED_VALUE"""),115.0)</f>
        <v>115</v>
      </c>
      <c r="G2728" s="5">
        <f>IFERROR(__xludf.DUMMYFUNCTION("""COMPUTED_VALUE"""),7.0481154E7)</f>
        <v>70481154</v>
      </c>
    </row>
    <row r="2729">
      <c r="A2729" s="3">
        <f>IFERROR(__xludf.DUMMYFUNCTION("""COMPUTED_VALUE"""),450.0)</f>
        <v>450</v>
      </c>
      <c r="B2729" s="2" t="str">
        <f>IFERROR(__xludf.DUMMYFUNCTION("""COMPUTED_VALUE"""),"KUSHTIA")</f>
        <v>KUSHTIA</v>
      </c>
      <c r="C2729" s="4">
        <f>IFERROR(__xludf.DUMMYFUNCTION("""COMPUTED_VALUE"""),70.0)</f>
        <v>70</v>
      </c>
      <c r="D2729" s="2" t="str">
        <f>IFERROR(__xludf.DUMMYFUNCTION("""COMPUTED_VALUE"""),"BANK ASIA LTD.")</f>
        <v>BANK ASIA LTD.</v>
      </c>
      <c r="E2729" s="2" t="str">
        <f>IFERROR(__xludf.DUMMYFUNCTION("""COMPUTED_VALUE"""),"KUSHTIA")</f>
        <v>KUSHTIA</v>
      </c>
      <c r="F2729" s="3">
        <f>IFERROR(__xludf.DUMMYFUNCTION("""COMPUTED_VALUE"""),94.0)</f>
        <v>94</v>
      </c>
      <c r="G2729" s="5">
        <f>IFERROR(__xludf.DUMMYFUNCTION("""COMPUTED_VALUE"""),7.0500943E7)</f>
        <v>70500943</v>
      </c>
    </row>
    <row r="2730">
      <c r="A2730" s="3">
        <f>IFERROR(__xludf.DUMMYFUNCTION("""COMPUTED_VALUE"""),251.0)</f>
        <v>251</v>
      </c>
      <c r="B2730" s="2" t="str">
        <f>IFERROR(__xludf.DUMMYFUNCTION("""COMPUTED_VALUE"""),"LAKSHMIPUR")</f>
        <v>LAKSHMIPUR</v>
      </c>
      <c r="C2730" s="4">
        <f>IFERROR(__xludf.DUMMYFUNCTION("""COMPUTED_VALUE"""),70.0)</f>
        <v>70</v>
      </c>
      <c r="D2730" s="2" t="str">
        <f>IFERROR(__xludf.DUMMYFUNCTION("""COMPUTED_VALUE"""),"BANK ASIA LTD.")</f>
        <v>BANK ASIA LTD.</v>
      </c>
      <c r="E2730" s="2" t="str">
        <f>IFERROR(__xludf.DUMMYFUNCTION("""COMPUTED_VALUE"""),"CHANDRAGANJ")</f>
        <v>CHANDRAGANJ</v>
      </c>
      <c r="F2730" s="3">
        <f>IFERROR(__xludf.DUMMYFUNCTION("""COMPUTED_VALUE"""),19.0)</f>
        <v>19</v>
      </c>
      <c r="G2730" s="5">
        <f>IFERROR(__xludf.DUMMYFUNCTION("""COMPUTED_VALUE"""),7.0510191E7)</f>
        <v>70510191</v>
      </c>
    </row>
    <row r="2731">
      <c r="A2731" s="3">
        <f>IFERROR(__xludf.DUMMYFUNCTION("""COMPUTED_VALUE"""),251.0)</f>
        <v>251</v>
      </c>
      <c r="B2731" s="2" t="str">
        <f>IFERROR(__xludf.DUMMYFUNCTION("""COMPUTED_VALUE"""),"LAKSHMIPUR")</f>
        <v>LAKSHMIPUR</v>
      </c>
      <c r="C2731" s="4">
        <f>IFERROR(__xludf.DUMMYFUNCTION("""COMPUTED_VALUE"""),70.0)</f>
        <v>70</v>
      </c>
      <c r="D2731" s="2" t="str">
        <f>IFERROR(__xludf.DUMMYFUNCTION("""COMPUTED_VALUE"""),"BANK ASIA LTD.")</f>
        <v>BANK ASIA LTD.</v>
      </c>
      <c r="E2731" s="2" t="str">
        <f>IFERROR(__xludf.DUMMYFUNCTION("""COMPUTED_VALUE"""),"RAMGANJ SME")</f>
        <v>RAMGANJ SME</v>
      </c>
      <c r="F2731" s="3">
        <f>IFERROR(__xludf.DUMMYFUNCTION("""COMPUTED_VALUE"""),103.0)</f>
        <v>103</v>
      </c>
      <c r="G2731" s="5">
        <f>IFERROR(__xludf.DUMMYFUNCTION("""COMPUTED_VALUE"""),7.0511037E7)</f>
        <v>70511037</v>
      </c>
    </row>
    <row r="2732">
      <c r="A2732" s="3">
        <f>IFERROR(__xludf.DUMMYFUNCTION("""COMPUTED_VALUE"""),858.0)</f>
        <v>858</v>
      </c>
      <c r="B2732" s="2" t="str">
        <f>IFERROR(__xludf.DUMMYFUNCTION("""COMPUTED_VALUE"""),"MOULVI BAZAR")</f>
        <v>MOULVI BAZAR</v>
      </c>
      <c r="C2732" s="4">
        <f>IFERROR(__xludf.DUMMYFUNCTION("""COMPUTED_VALUE"""),70.0)</f>
        <v>70</v>
      </c>
      <c r="D2732" s="2" t="str">
        <f>IFERROR(__xludf.DUMMYFUNCTION("""COMPUTED_VALUE"""),"BANK ASIA LTD.")</f>
        <v>BANK ASIA LTD.</v>
      </c>
      <c r="E2732" s="2" t="str">
        <f>IFERROR(__xludf.DUMMYFUNCTION("""COMPUTED_VALUE"""),"MOULAVI BAZAR")</f>
        <v>MOULAVI BAZAR</v>
      </c>
      <c r="F2732" s="3">
        <f>IFERROR(__xludf.DUMMYFUNCTION("""COMPUTED_VALUE"""),118.0)</f>
        <v>118</v>
      </c>
      <c r="G2732" s="5">
        <f>IFERROR(__xludf.DUMMYFUNCTION("""COMPUTED_VALUE"""),7.0581188E7)</f>
        <v>70581188</v>
      </c>
    </row>
    <row r="2733">
      <c r="A2733" s="3">
        <f>IFERROR(__xludf.DUMMYFUNCTION("""COMPUTED_VALUE"""),159.0)</f>
        <v>159</v>
      </c>
      <c r="B2733" s="2" t="str">
        <f>IFERROR(__xludf.DUMMYFUNCTION("""COMPUTED_VALUE"""),"MUNSHIGANJ")</f>
        <v>MUNSHIGANJ</v>
      </c>
      <c r="C2733" s="4">
        <f>IFERROR(__xludf.DUMMYFUNCTION("""COMPUTED_VALUE"""),70.0)</f>
        <v>70</v>
      </c>
      <c r="D2733" s="2" t="str">
        <f>IFERROR(__xludf.DUMMYFUNCTION("""COMPUTED_VALUE"""),"BANK ASIA LTD.")</f>
        <v>BANK ASIA LTD.</v>
      </c>
      <c r="E2733" s="2" t="str">
        <f>IFERROR(__xludf.DUMMYFUNCTION("""COMPUTED_VALUE"""),"BALIGAON SME")</f>
        <v>BALIGAON SME</v>
      </c>
      <c r="F2733" s="3">
        <f>IFERROR(__xludf.DUMMYFUNCTION("""COMPUTED_VALUE"""),15.0)</f>
        <v>15</v>
      </c>
      <c r="G2733" s="5">
        <f>IFERROR(__xludf.DUMMYFUNCTION("""COMPUTED_VALUE"""),7.0590153E7)</f>
        <v>70590153</v>
      </c>
    </row>
    <row r="2734">
      <c r="A2734" s="3">
        <f>IFERROR(__xludf.DUMMYFUNCTION("""COMPUTED_VALUE"""),159.0)</f>
        <v>159</v>
      </c>
      <c r="B2734" s="2" t="str">
        <f>IFERROR(__xludf.DUMMYFUNCTION("""COMPUTED_VALUE"""),"MUNSHIGANJ")</f>
        <v>MUNSHIGANJ</v>
      </c>
      <c r="C2734" s="4">
        <f>IFERROR(__xludf.DUMMYFUNCTION("""COMPUTED_VALUE"""),70.0)</f>
        <v>70</v>
      </c>
      <c r="D2734" s="2" t="str">
        <f>IFERROR(__xludf.DUMMYFUNCTION("""COMPUTED_VALUE"""),"BANK ASIA LTD.")</f>
        <v>BANK ASIA LTD.</v>
      </c>
      <c r="E2734" s="2" t="str">
        <f>IFERROR(__xludf.DUMMYFUNCTION("""COMPUTED_VALUE"""),"MALKHANAGAR")</f>
        <v>MALKHANAGAR</v>
      </c>
      <c r="F2734" s="3">
        <f>IFERROR(__xludf.DUMMYFUNCTION("""COMPUTED_VALUE"""),88.0)</f>
        <v>88</v>
      </c>
      <c r="G2734" s="5">
        <f>IFERROR(__xludf.DUMMYFUNCTION("""COMPUTED_VALUE"""),7.0590887E7)</f>
        <v>70590887</v>
      </c>
    </row>
    <row r="2735">
      <c r="A2735" s="3">
        <f>IFERROR(__xludf.DUMMYFUNCTION("""COMPUTED_VALUE"""),159.0)</f>
        <v>159</v>
      </c>
      <c r="B2735" s="2" t="str">
        <f>IFERROR(__xludf.DUMMYFUNCTION("""COMPUTED_VALUE"""),"MUNSHIGANJ")</f>
        <v>MUNSHIGANJ</v>
      </c>
      <c r="C2735" s="4">
        <f>IFERROR(__xludf.DUMMYFUNCTION("""COMPUTED_VALUE"""),70.0)</f>
        <v>70</v>
      </c>
      <c r="D2735" s="2" t="str">
        <f>IFERROR(__xludf.DUMMYFUNCTION("""COMPUTED_VALUE"""),"BANK ASIA LTD.")</f>
        <v>BANK ASIA LTD.</v>
      </c>
      <c r="E2735" s="2" t="str">
        <f>IFERROR(__xludf.DUMMYFUNCTION("""COMPUTED_VALUE"""),"SERAJDIKHAN SME")</f>
        <v>SERAJDIKHAN SME</v>
      </c>
      <c r="F2735" s="3">
        <f>IFERROR(__xludf.DUMMYFUNCTION("""COMPUTED_VALUE"""),128.0)</f>
        <v>128</v>
      </c>
      <c r="G2735" s="5">
        <f>IFERROR(__xludf.DUMMYFUNCTION("""COMPUTED_VALUE"""),7.0591286E7)</f>
        <v>70591286</v>
      </c>
    </row>
    <row r="2736">
      <c r="A2736" s="3">
        <f>IFERROR(__xludf.DUMMYFUNCTION("""COMPUTED_VALUE"""),159.0)</f>
        <v>159</v>
      </c>
      <c r="B2736" s="2" t="str">
        <f>IFERROR(__xludf.DUMMYFUNCTION("""COMPUTED_VALUE"""),"MUNSHIGANJ")</f>
        <v>MUNSHIGANJ</v>
      </c>
      <c r="C2736" s="4">
        <f>IFERROR(__xludf.DUMMYFUNCTION("""COMPUTED_VALUE"""),70.0)</f>
        <v>70</v>
      </c>
      <c r="D2736" s="2" t="str">
        <f>IFERROR(__xludf.DUMMYFUNCTION("""COMPUTED_VALUE"""),"BANK ASIA LTD.")</f>
        <v>BANK ASIA LTD.</v>
      </c>
      <c r="E2736" s="2" t="str">
        <f>IFERROR(__xludf.DUMMYFUNCTION("""COMPUTED_VALUE"""),"NIMTALA")</f>
        <v>NIMTALA</v>
      </c>
      <c r="F2736" s="3">
        <f>IFERROR(__xludf.DUMMYFUNCTION("""COMPUTED_VALUE"""),166.0)</f>
        <v>166</v>
      </c>
      <c r="G2736" s="5">
        <f>IFERROR(__xludf.DUMMYFUNCTION("""COMPUTED_VALUE"""),7.059166E7)</f>
        <v>70591660</v>
      </c>
    </row>
    <row r="2737">
      <c r="A2737" s="3">
        <f>IFERROR(__xludf.DUMMYFUNCTION("""COMPUTED_VALUE"""),161.0)</f>
        <v>161</v>
      </c>
      <c r="B2737" s="2" t="str">
        <f>IFERROR(__xludf.DUMMYFUNCTION("""COMPUTED_VALUE"""),"MYMENSINGH")</f>
        <v>MYMENSINGH</v>
      </c>
      <c r="C2737" s="4">
        <f>IFERROR(__xludf.DUMMYFUNCTION("""COMPUTED_VALUE"""),70.0)</f>
        <v>70</v>
      </c>
      <c r="D2737" s="2" t="str">
        <f>IFERROR(__xludf.DUMMYFUNCTION("""COMPUTED_VALUE"""),"BANK ASIA LTD.")</f>
        <v>BANK ASIA LTD.</v>
      </c>
      <c r="E2737" s="2" t="str">
        <f>IFERROR(__xludf.DUMMYFUNCTION("""COMPUTED_VALUE"""),"MYMENSINGH")</f>
        <v>MYMENSINGH</v>
      </c>
      <c r="F2737" s="3">
        <f>IFERROR(__xludf.DUMMYFUNCTION("""COMPUTED_VALUE"""),175.0)</f>
        <v>175</v>
      </c>
      <c r="G2737" s="5">
        <f>IFERROR(__xludf.DUMMYFUNCTION("""COMPUTED_VALUE"""),7.0611753E7)</f>
        <v>70611753</v>
      </c>
    </row>
    <row r="2738">
      <c r="A2738" s="3">
        <f>IFERROR(__xludf.DUMMYFUNCTION("""COMPUTED_VALUE"""),564.0)</f>
        <v>564</v>
      </c>
      <c r="B2738" s="2" t="str">
        <f>IFERROR(__xludf.DUMMYFUNCTION("""COMPUTED_VALUE"""),"NAOGAON")</f>
        <v>NAOGAON</v>
      </c>
      <c r="C2738" s="4">
        <f>IFERROR(__xludf.DUMMYFUNCTION("""COMPUTED_VALUE"""),70.0)</f>
        <v>70</v>
      </c>
      <c r="D2738" s="2" t="str">
        <f>IFERROR(__xludf.DUMMYFUNCTION("""COMPUTED_VALUE"""),"BANK ASIA LTD.")</f>
        <v>BANK ASIA LTD.</v>
      </c>
      <c r="E2738" s="2" t="str">
        <f>IFERROR(__xludf.DUMMYFUNCTION("""COMPUTED_VALUE"""),"MOHADEBPUR")</f>
        <v>MOHADEBPUR</v>
      </c>
      <c r="F2738" s="3">
        <f>IFERROR(__xludf.DUMMYFUNCTION("""COMPUTED_VALUE"""),109.0)</f>
        <v>109</v>
      </c>
      <c r="G2738" s="5">
        <f>IFERROR(__xludf.DUMMYFUNCTION("""COMPUTED_VALUE"""),7.0641099E7)</f>
        <v>70641099</v>
      </c>
    </row>
    <row r="2739">
      <c r="A2739" s="3">
        <f>IFERROR(__xludf.DUMMYFUNCTION("""COMPUTED_VALUE"""),167.0)</f>
        <v>167</v>
      </c>
      <c r="B2739" s="2" t="str">
        <f>IFERROR(__xludf.DUMMYFUNCTION("""COMPUTED_VALUE"""),"NARAYANGANJ")</f>
        <v>NARAYANGANJ</v>
      </c>
      <c r="C2739" s="4">
        <f>IFERROR(__xludf.DUMMYFUNCTION("""COMPUTED_VALUE"""),70.0)</f>
        <v>70</v>
      </c>
      <c r="D2739" s="2" t="str">
        <f>IFERROR(__xludf.DUMMYFUNCTION("""COMPUTED_VALUE"""),"BANK ASIA LTD.")</f>
        <v>BANK ASIA LTD.</v>
      </c>
      <c r="E2739" s="2" t="str">
        <f>IFERROR(__xludf.DUMMYFUNCTION("""COMPUTED_VALUE"""),"FATULLA")</f>
        <v>FATULLA</v>
      </c>
      <c r="F2739" s="3">
        <f>IFERROR(__xludf.DUMMYFUNCTION("""COMPUTED_VALUE"""),52.0)</f>
        <v>52</v>
      </c>
      <c r="G2739" s="5">
        <f>IFERROR(__xludf.DUMMYFUNCTION("""COMPUTED_VALUE"""),7.0670523E7)</f>
        <v>70670523</v>
      </c>
    </row>
    <row r="2740">
      <c r="A2740" s="3">
        <f>IFERROR(__xludf.DUMMYFUNCTION("""COMPUTED_VALUE"""),167.0)</f>
        <v>167</v>
      </c>
      <c r="B2740" s="2" t="str">
        <f>IFERROR(__xludf.DUMMYFUNCTION("""COMPUTED_VALUE"""),"NARAYANGANJ")</f>
        <v>NARAYANGANJ</v>
      </c>
      <c r="C2740" s="4">
        <f>IFERROR(__xludf.DUMMYFUNCTION("""COMPUTED_VALUE"""),70.0)</f>
        <v>70</v>
      </c>
      <c r="D2740" s="2" t="str">
        <f>IFERROR(__xludf.DUMMYFUNCTION("""COMPUTED_VALUE"""),"BANK ASIA LTD.")</f>
        <v>BANK ASIA LTD.</v>
      </c>
      <c r="E2740" s="2" t="str">
        <f>IFERROR(__xludf.DUMMYFUNCTION("""COMPUTED_VALUE"""),"NARAYANGANJ")</f>
        <v>NARAYANGANJ</v>
      </c>
      <c r="F2740" s="3">
        <f>IFERROR(__xludf.DUMMYFUNCTION("""COMPUTED_VALUE"""),118.0)</f>
        <v>118</v>
      </c>
      <c r="G2740" s="5">
        <f>IFERROR(__xludf.DUMMYFUNCTION("""COMPUTED_VALUE"""),7.067118E7)</f>
        <v>70671180</v>
      </c>
    </row>
    <row r="2741">
      <c r="A2741" s="3">
        <f>IFERROR(__xludf.DUMMYFUNCTION("""COMPUTED_VALUE"""),168.0)</f>
        <v>168</v>
      </c>
      <c r="B2741" s="2" t="str">
        <f>IFERROR(__xludf.DUMMYFUNCTION("""COMPUTED_VALUE"""),"NARSHINGDI")</f>
        <v>NARSHINGDI</v>
      </c>
      <c r="C2741" s="4">
        <f>IFERROR(__xludf.DUMMYFUNCTION("""COMPUTED_VALUE"""),70.0)</f>
        <v>70</v>
      </c>
      <c r="D2741" s="2" t="str">
        <f>IFERROR(__xludf.DUMMYFUNCTION("""COMPUTED_VALUE"""),"BANK ASIA LTD.")</f>
        <v>BANK ASIA LTD.</v>
      </c>
      <c r="E2741" s="2" t="str">
        <f>IFERROR(__xludf.DUMMYFUNCTION("""COMPUTED_VALUE"""),"HATIRDIA")</f>
        <v>HATIRDIA</v>
      </c>
      <c r="F2741" s="3">
        <f>IFERROR(__xludf.DUMMYFUNCTION("""COMPUTED_VALUE"""),55.0)</f>
        <v>55</v>
      </c>
      <c r="G2741" s="5">
        <f>IFERROR(__xludf.DUMMYFUNCTION("""COMPUTED_VALUE"""),7.0680555E7)</f>
        <v>70680555</v>
      </c>
    </row>
    <row r="2742">
      <c r="A2742" s="3">
        <f>IFERROR(__xludf.DUMMYFUNCTION("""COMPUTED_VALUE"""),168.0)</f>
        <v>168</v>
      </c>
      <c r="B2742" s="2" t="str">
        <f>IFERROR(__xludf.DUMMYFUNCTION("""COMPUTED_VALUE"""),"NARSHINGDI")</f>
        <v>NARSHINGDI</v>
      </c>
      <c r="C2742" s="4">
        <f>IFERROR(__xludf.DUMMYFUNCTION("""COMPUTED_VALUE"""),70.0)</f>
        <v>70</v>
      </c>
      <c r="D2742" s="2" t="str">
        <f>IFERROR(__xludf.DUMMYFUNCTION("""COMPUTED_VALUE"""),"BANK ASIA LTD.")</f>
        <v>BANK ASIA LTD.</v>
      </c>
      <c r="E2742" s="2" t="str">
        <f>IFERROR(__xludf.DUMMYFUNCTION("""COMPUTED_VALUE"""),"MADHABDI")</f>
        <v>MADHABDI</v>
      </c>
      <c r="F2742" s="3">
        <f>IFERROR(__xludf.DUMMYFUNCTION("""COMPUTED_VALUE"""),67.0)</f>
        <v>67</v>
      </c>
      <c r="G2742" s="5">
        <f>IFERROR(__xludf.DUMMYFUNCTION("""COMPUTED_VALUE"""),7.0680676E7)</f>
        <v>70680676</v>
      </c>
    </row>
    <row r="2743">
      <c r="A2743" s="3">
        <f>IFERROR(__xludf.DUMMYFUNCTION("""COMPUTED_VALUE"""),275.0)</f>
        <v>275</v>
      </c>
      <c r="B2743" s="2" t="str">
        <f>IFERROR(__xludf.DUMMYFUNCTION("""COMPUTED_VALUE"""),"NOAKHALI")</f>
        <v>NOAKHALI</v>
      </c>
      <c r="C2743" s="4">
        <f>IFERROR(__xludf.DUMMYFUNCTION("""COMPUTED_VALUE"""),70.0)</f>
        <v>70</v>
      </c>
      <c r="D2743" s="2" t="str">
        <f>IFERROR(__xludf.DUMMYFUNCTION("""COMPUTED_VALUE"""),"BANK ASIA LTD.")</f>
        <v>BANK ASIA LTD.</v>
      </c>
      <c r="E2743" s="2" t="str">
        <f>IFERROR(__xludf.DUMMYFUNCTION("""COMPUTED_VALUE"""),"MAIJDEE COURT")</f>
        <v>MAIJDEE COURT</v>
      </c>
      <c r="F2743" s="3">
        <f>IFERROR(__xludf.DUMMYFUNCTION("""COMPUTED_VALUE"""),21.0)</f>
        <v>21</v>
      </c>
      <c r="G2743" s="5">
        <f>IFERROR(__xludf.DUMMYFUNCTION("""COMPUTED_VALUE"""),7.0750214E7)</f>
        <v>70750214</v>
      </c>
    </row>
    <row r="2744">
      <c r="A2744" s="3">
        <f>IFERROR(__xludf.DUMMYFUNCTION("""COMPUTED_VALUE"""),275.0)</f>
        <v>275</v>
      </c>
      <c r="B2744" s="2" t="str">
        <f>IFERROR(__xludf.DUMMYFUNCTION("""COMPUTED_VALUE"""),"NOAKHALI")</f>
        <v>NOAKHALI</v>
      </c>
      <c r="C2744" s="4">
        <f>IFERROR(__xludf.DUMMYFUNCTION("""COMPUTED_VALUE"""),70.0)</f>
        <v>70</v>
      </c>
      <c r="D2744" s="2" t="str">
        <f>IFERROR(__xludf.DUMMYFUNCTION("""COMPUTED_VALUE"""),"BANK ASIA LTD.")</f>
        <v>BANK ASIA LTD.</v>
      </c>
      <c r="E2744" s="2" t="str">
        <f>IFERROR(__xludf.DUMMYFUNCTION("""COMPUTED_VALUE"""),"CHATKHIL")</f>
        <v>CHATKHIL</v>
      </c>
      <c r="F2744" s="3">
        <f>IFERROR(__xludf.DUMMYFUNCTION("""COMPUTED_VALUE"""),58.0)</f>
        <v>58</v>
      </c>
      <c r="G2744" s="5">
        <f>IFERROR(__xludf.DUMMYFUNCTION("""COMPUTED_VALUE"""),7.075058E7)</f>
        <v>70750580</v>
      </c>
    </row>
    <row r="2745">
      <c r="A2745" s="3">
        <f>IFERROR(__xludf.DUMMYFUNCTION("""COMPUTED_VALUE"""),275.0)</f>
        <v>275</v>
      </c>
      <c r="B2745" s="2" t="str">
        <f>IFERROR(__xludf.DUMMYFUNCTION("""COMPUTED_VALUE"""),"NOAKHALI")</f>
        <v>NOAKHALI</v>
      </c>
      <c r="C2745" s="4">
        <f>IFERROR(__xludf.DUMMYFUNCTION("""COMPUTED_VALUE"""),70.0)</f>
        <v>70</v>
      </c>
      <c r="D2745" s="2" t="str">
        <f>IFERROR(__xludf.DUMMYFUNCTION("""COMPUTED_VALUE"""),"BANK ASIA LTD.")</f>
        <v>BANK ASIA LTD.</v>
      </c>
      <c r="E2745" s="2" t="str">
        <f>IFERROR(__xludf.DUMMYFUNCTION("""COMPUTED_VALUE"""),"SONAIMURI")</f>
        <v>SONAIMURI</v>
      </c>
      <c r="F2745" s="3">
        <f>IFERROR(__xludf.DUMMYFUNCTION("""COMPUTED_VALUE"""),223.0)</f>
        <v>223</v>
      </c>
      <c r="G2745" s="5">
        <f>IFERROR(__xludf.DUMMYFUNCTION("""COMPUTED_VALUE"""),7.0752238E7)</f>
        <v>70752238</v>
      </c>
    </row>
    <row r="2746">
      <c r="A2746" s="3">
        <f>IFERROR(__xludf.DUMMYFUNCTION("""COMPUTED_VALUE"""),576.0)</f>
        <v>576</v>
      </c>
      <c r="B2746" s="2" t="str">
        <f>IFERROR(__xludf.DUMMYFUNCTION("""COMPUTED_VALUE"""),"PABNA")</f>
        <v>PABNA</v>
      </c>
      <c r="C2746" s="4">
        <f>IFERROR(__xludf.DUMMYFUNCTION("""COMPUTED_VALUE"""),70.0)</f>
        <v>70</v>
      </c>
      <c r="D2746" s="2" t="str">
        <f>IFERROR(__xludf.DUMMYFUNCTION("""COMPUTED_VALUE"""),"BANK ASIA LTD.")</f>
        <v>BANK ASIA LTD.</v>
      </c>
      <c r="E2746" s="2" t="str">
        <f>IFERROR(__xludf.DUMMYFUNCTION("""COMPUTED_VALUE"""),"ISHWARDI")</f>
        <v>ISHWARDI</v>
      </c>
      <c r="F2746" s="3">
        <f>IFERROR(__xludf.DUMMYFUNCTION("""COMPUTED_VALUE"""),121.0)</f>
        <v>121</v>
      </c>
      <c r="G2746" s="5">
        <f>IFERROR(__xludf.DUMMYFUNCTION("""COMPUTED_VALUE"""),7.0761216E7)</f>
        <v>70761216</v>
      </c>
    </row>
    <row r="2747">
      <c r="A2747" s="3">
        <f>IFERROR(__xludf.DUMMYFUNCTION("""COMPUTED_VALUE"""),777.0)</f>
        <v>777</v>
      </c>
      <c r="B2747" s="2" t="str">
        <f>IFERROR(__xludf.DUMMYFUNCTION("""COMPUTED_VALUE"""),"PANCHAGARH")</f>
        <v>PANCHAGARH</v>
      </c>
      <c r="C2747" s="4">
        <f>IFERROR(__xludf.DUMMYFUNCTION("""COMPUTED_VALUE"""),70.0)</f>
        <v>70</v>
      </c>
      <c r="D2747" s="2" t="str">
        <f>IFERROR(__xludf.DUMMYFUNCTION("""COMPUTED_VALUE"""),"BANK ASIA LTD.")</f>
        <v>BANK ASIA LTD.</v>
      </c>
      <c r="E2747" s="2" t="str">
        <f>IFERROR(__xludf.DUMMYFUNCTION("""COMPUTED_VALUE"""),"PANCHAGARH")</f>
        <v>PANCHAGARH</v>
      </c>
      <c r="F2747" s="3">
        <f>IFERROR(__xludf.DUMMYFUNCTION("""COMPUTED_VALUE"""),55.0)</f>
        <v>55</v>
      </c>
      <c r="G2747" s="5">
        <f>IFERROR(__xludf.DUMMYFUNCTION("""COMPUTED_VALUE"""),7.0770557E7)</f>
        <v>70770557</v>
      </c>
    </row>
    <row r="2748">
      <c r="A2748" s="3">
        <f>IFERROR(__xludf.DUMMYFUNCTION("""COMPUTED_VALUE"""),581.0)</f>
        <v>581</v>
      </c>
      <c r="B2748" s="2" t="str">
        <f>IFERROR(__xludf.DUMMYFUNCTION("""COMPUTED_VALUE"""),"RAJSHAHI")</f>
        <v>RAJSHAHI</v>
      </c>
      <c r="C2748" s="4">
        <f>IFERROR(__xludf.DUMMYFUNCTION("""COMPUTED_VALUE"""),70.0)</f>
        <v>70</v>
      </c>
      <c r="D2748" s="2" t="str">
        <f>IFERROR(__xludf.DUMMYFUNCTION("""COMPUTED_VALUE"""),"BANK ASIA LTD.")</f>
        <v>BANK ASIA LTD.</v>
      </c>
      <c r="E2748" s="2" t="str">
        <f>IFERROR(__xludf.DUMMYFUNCTION("""COMPUTED_VALUE"""),"RAJSHAHI")</f>
        <v>RAJSHAHI</v>
      </c>
      <c r="F2748" s="3">
        <f>IFERROR(__xludf.DUMMYFUNCTION("""COMPUTED_VALUE"""),193.0)</f>
        <v>193</v>
      </c>
      <c r="G2748" s="5">
        <f>IFERROR(__xludf.DUMMYFUNCTION("""COMPUTED_VALUE"""),7.0811937E7)</f>
        <v>70811937</v>
      </c>
    </row>
    <row r="2749">
      <c r="A2749" s="3">
        <f>IFERROR(__xludf.DUMMYFUNCTION("""COMPUTED_VALUE"""),382.0)</f>
        <v>382</v>
      </c>
      <c r="B2749" s="2" t="str">
        <f>IFERROR(__xludf.DUMMYFUNCTION("""COMPUTED_VALUE"""),"RAJBARI")</f>
        <v>RAJBARI</v>
      </c>
      <c r="C2749" s="4">
        <f>IFERROR(__xludf.DUMMYFUNCTION("""COMPUTED_VALUE"""),70.0)</f>
        <v>70</v>
      </c>
      <c r="D2749" s="2" t="str">
        <f>IFERROR(__xludf.DUMMYFUNCTION("""COMPUTED_VALUE"""),"BANK ASIA LTD.")</f>
        <v>BANK ASIA LTD.</v>
      </c>
      <c r="E2749" s="2" t="str">
        <f>IFERROR(__xludf.DUMMYFUNCTION("""COMPUTED_VALUE"""),"PANGSHA")</f>
        <v>PANGSHA</v>
      </c>
      <c r="F2749" s="3">
        <f>IFERROR(__xludf.DUMMYFUNCTION("""COMPUTED_VALUE"""),67.0)</f>
        <v>67</v>
      </c>
      <c r="G2749" s="5">
        <f>IFERROR(__xludf.DUMMYFUNCTION("""COMPUTED_VALUE"""),7.0820678E7)</f>
        <v>70820678</v>
      </c>
    </row>
    <row r="2750">
      <c r="A2750" s="3">
        <f>IFERROR(__xludf.DUMMYFUNCTION("""COMPUTED_VALUE"""),785.0)</f>
        <v>785</v>
      </c>
      <c r="B2750" s="2" t="str">
        <f>IFERROR(__xludf.DUMMYFUNCTION("""COMPUTED_VALUE"""),"RANGPUR")</f>
        <v>RANGPUR</v>
      </c>
      <c r="C2750" s="4">
        <f>IFERROR(__xludf.DUMMYFUNCTION("""COMPUTED_VALUE"""),70.0)</f>
        <v>70</v>
      </c>
      <c r="D2750" s="2" t="str">
        <f>IFERROR(__xludf.DUMMYFUNCTION("""COMPUTED_VALUE"""),"BANK ASIA LTD.")</f>
        <v>BANK ASIA LTD.</v>
      </c>
      <c r="E2750" s="2" t="str">
        <f>IFERROR(__xludf.DUMMYFUNCTION("""COMPUTED_VALUE"""),"RANGPUR")</f>
        <v>RANGPUR</v>
      </c>
      <c r="F2750" s="3">
        <f>IFERROR(__xludf.DUMMYFUNCTION("""COMPUTED_VALUE"""),145.0)</f>
        <v>145</v>
      </c>
      <c r="G2750" s="5">
        <f>IFERROR(__xludf.DUMMYFUNCTION("""COMPUTED_VALUE"""),7.085145E7)</f>
        <v>70851450</v>
      </c>
    </row>
    <row r="2751">
      <c r="A2751" s="3">
        <f>IFERROR(__xludf.DUMMYFUNCTION("""COMPUTED_VALUE"""),688.0)</f>
        <v>688</v>
      </c>
      <c r="B2751" s="2" t="str">
        <f>IFERROR(__xludf.DUMMYFUNCTION("""COMPUTED_VALUE"""),"SIRAJGANJ")</f>
        <v>SIRAJGANJ</v>
      </c>
      <c r="C2751" s="4">
        <f>IFERROR(__xludf.DUMMYFUNCTION("""COMPUTED_VALUE"""),70.0)</f>
        <v>70</v>
      </c>
      <c r="D2751" s="2" t="str">
        <f>IFERROR(__xludf.DUMMYFUNCTION("""COMPUTED_VALUE"""),"BANK ASIA LTD.")</f>
        <v>BANK ASIA LTD.</v>
      </c>
      <c r="E2751" s="2" t="str">
        <f>IFERROR(__xludf.DUMMYFUNCTION("""COMPUTED_VALUE"""),"SIRAJGANJ")</f>
        <v>SIRAJGANJ</v>
      </c>
      <c r="F2751" s="3">
        <f>IFERROR(__xludf.DUMMYFUNCTION("""COMPUTED_VALUE"""),5.0)</f>
        <v>5</v>
      </c>
      <c r="G2751" s="5">
        <f>IFERROR(__xludf.DUMMYFUNCTION("""COMPUTED_VALUE"""),7.088005E7)</f>
        <v>70880050</v>
      </c>
    </row>
    <row r="2752">
      <c r="A2752" s="3">
        <f>IFERROR(__xludf.DUMMYFUNCTION("""COMPUTED_VALUE"""),890.0)</f>
        <v>890</v>
      </c>
      <c r="B2752" s="2" t="str">
        <f>IFERROR(__xludf.DUMMYFUNCTION("""COMPUTED_VALUE"""),"SUNAMGANJ")</f>
        <v>SUNAMGANJ</v>
      </c>
      <c r="C2752" s="4">
        <f>IFERROR(__xludf.DUMMYFUNCTION("""COMPUTED_VALUE"""),70.0)</f>
        <v>70</v>
      </c>
      <c r="D2752" s="2" t="str">
        <f>IFERROR(__xludf.DUMMYFUNCTION("""COMPUTED_VALUE"""),"BANK ASIA LTD.")</f>
        <v>BANK ASIA LTD.</v>
      </c>
      <c r="E2752" s="2" t="str">
        <f>IFERROR(__xludf.DUMMYFUNCTION("""COMPUTED_VALUE"""),"JAGANNATHPUR")</f>
        <v>JAGANNATHPUR</v>
      </c>
      <c r="F2752" s="3">
        <f>IFERROR(__xludf.DUMMYFUNCTION("""COMPUTED_VALUE"""),49.0)</f>
        <v>49</v>
      </c>
      <c r="G2752" s="5">
        <f>IFERROR(__xludf.DUMMYFUNCTION("""COMPUTED_VALUE"""),7.0900493E7)</f>
        <v>70900493</v>
      </c>
    </row>
    <row r="2753">
      <c r="A2753" s="3">
        <f>IFERROR(__xludf.DUMMYFUNCTION("""COMPUTED_VALUE"""),891.0)</f>
        <v>891</v>
      </c>
      <c r="B2753" s="2" t="str">
        <f>IFERROR(__xludf.DUMMYFUNCTION("""COMPUTED_VALUE"""),"SYLHET")</f>
        <v>SYLHET</v>
      </c>
      <c r="C2753" s="4">
        <f>IFERROR(__xludf.DUMMYFUNCTION("""COMPUTED_VALUE"""),70.0)</f>
        <v>70</v>
      </c>
      <c r="D2753" s="2" t="str">
        <f>IFERROR(__xludf.DUMMYFUNCTION("""COMPUTED_VALUE"""),"BANK ASIA LTD.")</f>
        <v>BANK ASIA LTD.</v>
      </c>
      <c r="E2753" s="2" t="str">
        <f>IFERROR(__xludf.DUMMYFUNCTION("""COMPUTED_VALUE"""),"BEANI BAZAR")</f>
        <v>BEANI BAZAR</v>
      </c>
      <c r="F2753" s="3">
        <f>IFERROR(__xludf.DUMMYFUNCTION("""COMPUTED_VALUE"""),31.0)</f>
        <v>31</v>
      </c>
      <c r="G2753" s="5">
        <f>IFERROR(__xludf.DUMMYFUNCTION("""COMPUTED_VALUE"""),7.0910317E7)</f>
        <v>70910317</v>
      </c>
    </row>
    <row r="2754">
      <c r="A2754" s="3">
        <f>IFERROR(__xludf.DUMMYFUNCTION("""COMPUTED_VALUE"""),891.0)</f>
        <v>891</v>
      </c>
      <c r="B2754" s="2" t="str">
        <f>IFERROR(__xludf.DUMMYFUNCTION("""COMPUTED_VALUE"""),"SYLHET")</f>
        <v>SYLHET</v>
      </c>
      <c r="C2754" s="4">
        <f>IFERROR(__xludf.DUMMYFUNCTION("""COMPUTED_VALUE"""),70.0)</f>
        <v>70</v>
      </c>
      <c r="D2754" s="2" t="str">
        <f>IFERROR(__xludf.DUMMYFUNCTION("""COMPUTED_VALUE"""),"BANK ASIA LTD.")</f>
        <v>BANK ASIA LTD.</v>
      </c>
      <c r="E2754" s="2" t="str">
        <f>IFERROR(__xludf.DUMMYFUNCTION("""COMPUTED_VALUE"""),"LALDIGHIRPAR")</f>
        <v>LALDIGHIRPAR</v>
      </c>
      <c r="F2754" s="3">
        <f>IFERROR(__xludf.DUMMYFUNCTION("""COMPUTED_VALUE"""),250.0)</f>
        <v>250</v>
      </c>
      <c r="G2754" s="5">
        <f>IFERROR(__xludf.DUMMYFUNCTION("""COMPUTED_VALUE"""),7.0912502E7)</f>
        <v>70912502</v>
      </c>
    </row>
    <row r="2755">
      <c r="A2755" s="3">
        <f>IFERROR(__xludf.DUMMYFUNCTION("""COMPUTED_VALUE"""),891.0)</f>
        <v>891</v>
      </c>
      <c r="B2755" s="2" t="str">
        <f>IFERROR(__xludf.DUMMYFUNCTION("""COMPUTED_VALUE"""),"SYLHET")</f>
        <v>SYLHET</v>
      </c>
      <c r="C2755" s="4">
        <f>IFERROR(__xludf.DUMMYFUNCTION("""COMPUTED_VALUE"""),70.0)</f>
        <v>70</v>
      </c>
      <c r="D2755" s="2" t="str">
        <f>IFERROR(__xludf.DUMMYFUNCTION("""COMPUTED_VALUE"""),"BANK ASIA LTD.")</f>
        <v>BANK ASIA LTD.</v>
      </c>
      <c r="E2755" s="2" t="str">
        <f>IFERROR(__xludf.DUMMYFUNCTION("""COMPUTED_VALUE"""),"REKABIBAZAR SME")</f>
        <v>REKABIBAZAR SME</v>
      </c>
      <c r="F2755" s="3">
        <f>IFERROR(__xludf.DUMMYFUNCTION("""COMPUTED_VALUE"""),303.0)</f>
        <v>303</v>
      </c>
      <c r="G2755" s="5">
        <f>IFERROR(__xludf.DUMMYFUNCTION("""COMPUTED_VALUE"""),7.0913035E7)</f>
        <v>70913035</v>
      </c>
    </row>
    <row r="2756">
      <c r="A2756" s="3">
        <f>IFERROR(__xludf.DUMMYFUNCTION("""COMPUTED_VALUE"""),891.0)</f>
        <v>891</v>
      </c>
      <c r="B2756" s="2" t="str">
        <f>IFERROR(__xludf.DUMMYFUNCTION("""COMPUTED_VALUE"""),"SYLHET")</f>
        <v>SYLHET</v>
      </c>
      <c r="C2756" s="4">
        <f>IFERROR(__xludf.DUMMYFUNCTION("""COMPUTED_VALUE"""),70.0)</f>
        <v>70</v>
      </c>
      <c r="D2756" s="2" t="str">
        <f>IFERROR(__xludf.DUMMYFUNCTION("""COMPUTED_VALUE"""),"BANK ASIA LTD.")</f>
        <v>BANK ASIA LTD.</v>
      </c>
      <c r="E2756" s="2" t="str">
        <f>IFERROR(__xludf.DUMMYFUNCTION("""COMPUTED_VALUE"""),"SYLHET UPASHAHAR")</f>
        <v>SYLHET UPASHAHAR</v>
      </c>
      <c r="F2756" s="3">
        <f>IFERROR(__xludf.DUMMYFUNCTION("""COMPUTED_VALUE"""),373.0)</f>
        <v>373</v>
      </c>
      <c r="G2756" s="5">
        <f>IFERROR(__xludf.DUMMYFUNCTION("""COMPUTED_VALUE"""),7.091373E7)</f>
        <v>70913730</v>
      </c>
    </row>
    <row r="2757">
      <c r="A2757" s="3">
        <f>IFERROR(__xludf.DUMMYFUNCTION("""COMPUTED_VALUE"""),891.0)</f>
        <v>891</v>
      </c>
      <c r="B2757" s="2" t="str">
        <f>IFERROR(__xludf.DUMMYFUNCTION("""COMPUTED_VALUE"""),"SYLHET")</f>
        <v>SYLHET</v>
      </c>
      <c r="C2757" s="4">
        <f>IFERROR(__xludf.DUMMYFUNCTION("""COMPUTED_VALUE"""),70.0)</f>
        <v>70</v>
      </c>
      <c r="D2757" s="2" t="str">
        <f>IFERROR(__xludf.DUMMYFUNCTION("""COMPUTED_VALUE"""),"BANK ASIA LTD.")</f>
        <v>BANK ASIA LTD.</v>
      </c>
      <c r="E2757" s="2" t="str">
        <f>IFERROR(__xludf.DUMMYFUNCTION("""COMPUTED_VALUE"""),"SYLHET(MAIN)")</f>
        <v>SYLHET(MAIN)</v>
      </c>
      <c r="F2757" s="3">
        <f>IFERROR(__xludf.DUMMYFUNCTION("""COMPUTED_VALUE"""),379.0)</f>
        <v>379</v>
      </c>
      <c r="G2757" s="5">
        <f>IFERROR(__xludf.DUMMYFUNCTION("""COMPUTED_VALUE"""),7.0913798E7)</f>
        <v>70913798</v>
      </c>
    </row>
    <row r="2758">
      <c r="A2758" s="3">
        <f>IFERROR(__xludf.DUMMYFUNCTION("""COMPUTED_VALUE"""),193.0)</f>
        <v>193</v>
      </c>
      <c r="B2758" s="2" t="str">
        <f>IFERROR(__xludf.DUMMYFUNCTION("""COMPUTED_VALUE"""),"TANGAIL")</f>
        <v>TANGAIL</v>
      </c>
      <c r="C2758" s="4">
        <f>IFERROR(__xludf.DUMMYFUNCTION("""COMPUTED_VALUE"""),70.0)</f>
        <v>70</v>
      </c>
      <c r="D2758" s="2" t="str">
        <f>IFERROR(__xludf.DUMMYFUNCTION("""COMPUTED_VALUE"""),"BANK ASIA LTD.")</f>
        <v>BANK ASIA LTD.</v>
      </c>
      <c r="E2758" s="2" t="str">
        <f>IFERROR(__xludf.DUMMYFUNCTION("""COMPUTED_VALUE"""),"TANGAIL")</f>
        <v>TANGAIL</v>
      </c>
      <c r="F2758" s="3">
        <f>IFERROR(__xludf.DUMMYFUNCTION("""COMPUTED_VALUE"""),229.0)</f>
        <v>229</v>
      </c>
      <c r="G2758" s="5">
        <f>IFERROR(__xludf.DUMMYFUNCTION("""COMPUTED_VALUE"""),7.093229E7)</f>
        <v>70932290</v>
      </c>
    </row>
    <row r="2759">
      <c r="A2759" s="3">
        <f>IFERROR(__xludf.DUMMYFUNCTION("""COMPUTED_VALUE"""),215.0)</f>
        <v>215</v>
      </c>
      <c r="B2759" s="2" t="str">
        <f>IFERROR(__xludf.DUMMYFUNCTION("""COMPUTED_VALUE"""),"CHITTAGONG")</f>
        <v>CHITTAGONG</v>
      </c>
      <c r="C2759" s="4">
        <f>IFERROR(__xludf.DUMMYFUNCTION("""COMPUTED_VALUE"""),75.0)</f>
        <v>75</v>
      </c>
      <c r="D2759" s="2" t="str">
        <f>IFERROR(__xludf.DUMMYFUNCTION("""COMPUTED_VALUE"""),"CITI BANK N A")</f>
        <v>CITI BANK N A</v>
      </c>
      <c r="E2759" s="2" t="str">
        <f>IFERROR(__xludf.DUMMYFUNCTION("""COMPUTED_VALUE"""),"CHITTAGONG")</f>
        <v>CHITTAGONG</v>
      </c>
      <c r="F2759" s="3">
        <f>IFERROR(__xludf.DUMMYFUNCTION("""COMPUTED_VALUE"""),196.0)</f>
        <v>196</v>
      </c>
      <c r="G2759" s="5">
        <f>IFERROR(__xludf.DUMMYFUNCTION("""COMPUTED_VALUE"""),7.5151968E7)</f>
        <v>75151968</v>
      </c>
    </row>
    <row r="2760">
      <c r="A2760" s="3">
        <f>IFERROR(__xludf.DUMMYFUNCTION("""COMPUTED_VALUE"""),126.0)</f>
        <v>126</v>
      </c>
      <c r="B2760" s="2" t="str">
        <f>IFERROR(__xludf.DUMMYFUNCTION("""COMPUTED_VALUE"""),"DHAKA-NORTH")</f>
        <v>DHAKA-NORTH</v>
      </c>
      <c r="C2760" s="4">
        <f>IFERROR(__xludf.DUMMYFUNCTION("""COMPUTED_VALUE"""),75.0)</f>
        <v>75</v>
      </c>
      <c r="D2760" s="2" t="str">
        <f>IFERROR(__xludf.DUMMYFUNCTION("""COMPUTED_VALUE"""),"CITI BANK N A")</f>
        <v>CITI BANK N A</v>
      </c>
      <c r="E2760" s="2" t="str">
        <f>IFERROR(__xludf.DUMMYFUNCTION("""COMPUTED_VALUE"""),"DHANMONDI")</f>
        <v>DHANMONDI</v>
      </c>
      <c r="F2760" s="3">
        <f>IFERROR(__xludf.DUMMYFUNCTION("""COMPUTED_VALUE"""),118.0)</f>
        <v>118</v>
      </c>
      <c r="G2760" s="5">
        <f>IFERROR(__xludf.DUMMYFUNCTION("""COMPUTED_VALUE"""),7.5261182E7)</f>
        <v>75261182</v>
      </c>
    </row>
    <row r="2761">
      <c r="A2761" s="3">
        <f>IFERROR(__xludf.DUMMYFUNCTION("""COMPUTED_VALUE"""),126.0)</f>
        <v>126</v>
      </c>
      <c r="B2761" s="2" t="str">
        <f>IFERROR(__xludf.DUMMYFUNCTION("""COMPUTED_VALUE"""),"DHAKA-NORTH")</f>
        <v>DHAKA-NORTH</v>
      </c>
      <c r="C2761" s="4">
        <f>IFERROR(__xludf.DUMMYFUNCTION("""COMPUTED_VALUE"""),75.0)</f>
        <v>75</v>
      </c>
      <c r="D2761" s="2" t="str">
        <f>IFERROR(__xludf.DUMMYFUNCTION("""COMPUTED_VALUE"""),"CITI BANK N A")</f>
        <v>CITI BANK N A</v>
      </c>
      <c r="E2761" s="2" t="str">
        <f>IFERROR(__xludf.DUMMYFUNCTION("""COMPUTED_VALUE"""),"GULSHAN")</f>
        <v>GULSHAN</v>
      </c>
      <c r="F2761" s="3">
        <f>IFERROR(__xludf.DUMMYFUNCTION("""COMPUTED_VALUE"""),172.0)</f>
        <v>172</v>
      </c>
      <c r="G2761" s="5">
        <f>IFERROR(__xludf.DUMMYFUNCTION("""COMPUTED_VALUE"""),7.5261724E7)</f>
        <v>75261724</v>
      </c>
    </row>
    <row r="2762">
      <c r="A2762" s="3">
        <f>IFERROR(__xludf.DUMMYFUNCTION("""COMPUTED_VALUE"""),127.0)</f>
        <v>127</v>
      </c>
      <c r="B2762" s="2" t="str">
        <f>IFERROR(__xludf.DUMMYFUNCTION("""COMPUTED_VALUE"""),"DHAKA-SOUTH")</f>
        <v>DHAKA-SOUTH</v>
      </c>
      <c r="C2762" s="4">
        <f>IFERROR(__xludf.DUMMYFUNCTION("""COMPUTED_VALUE"""),75.0)</f>
        <v>75</v>
      </c>
      <c r="D2762" s="2" t="str">
        <f>IFERROR(__xludf.DUMMYFUNCTION("""COMPUTED_VALUE"""),"CITI BANK N A")</f>
        <v>CITI BANK N A</v>
      </c>
      <c r="E2762" s="2" t="str">
        <f>IFERROR(__xludf.DUMMYFUNCTION("""COMPUTED_VALUE"""),"TRUNCATION POINT")</f>
        <v>TRUNCATION POINT</v>
      </c>
      <c r="F2762" s="3">
        <f>IFERROR(__xludf.DUMMYFUNCTION("""COMPUTED_VALUE"""),0.0)</f>
        <v>0</v>
      </c>
      <c r="G2762" s="5">
        <f>IFERROR(__xludf.DUMMYFUNCTION("""COMPUTED_VALUE"""),7.5270007E7)</f>
        <v>75270007</v>
      </c>
    </row>
    <row r="2763">
      <c r="A2763" s="3">
        <f>IFERROR(__xludf.DUMMYFUNCTION("""COMPUTED_VALUE"""),127.0)</f>
        <v>127</v>
      </c>
      <c r="B2763" s="2" t="str">
        <f>IFERROR(__xludf.DUMMYFUNCTION("""COMPUTED_VALUE"""),"DHAKA-SOUTH")</f>
        <v>DHAKA-SOUTH</v>
      </c>
      <c r="C2763" s="4">
        <f>IFERROR(__xludf.DUMMYFUNCTION("""COMPUTED_VALUE"""),75.0)</f>
        <v>75</v>
      </c>
      <c r="D2763" s="2" t="str">
        <f>IFERROR(__xludf.DUMMYFUNCTION("""COMPUTED_VALUE"""),"CITI BANK N A")</f>
        <v>CITI BANK N A</v>
      </c>
      <c r="E2763" s="2" t="str">
        <f>IFERROR(__xludf.DUMMYFUNCTION("""COMPUTED_VALUE"""),"MOTIJHEEL")</f>
        <v>MOTIJHEEL</v>
      </c>
      <c r="F2763" s="3">
        <f>IFERROR(__xludf.DUMMYFUNCTION("""COMPUTED_VALUE"""),424.0)</f>
        <v>424</v>
      </c>
      <c r="G2763" s="5">
        <f>IFERROR(__xludf.DUMMYFUNCTION("""COMPUTED_VALUE"""),7.5274245E7)</f>
        <v>75274245</v>
      </c>
    </row>
    <row r="2764">
      <c r="A2764" s="3">
        <f>IFERROR(__xludf.DUMMYFUNCTION("""COMPUTED_VALUE"""),215.0)</f>
        <v>215</v>
      </c>
      <c r="B2764" s="2" t="str">
        <f>IFERROR(__xludf.DUMMYFUNCTION("""COMPUTED_VALUE"""),"CHITTAGONG")</f>
        <v>CHITTAGONG</v>
      </c>
      <c r="C2764" s="4">
        <f>IFERROR(__xludf.DUMMYFUNCTION("""COMPUTED_VALUE"""),80.0)</f>
        <v>80</v>
      </c>
      <c r="D2764" s="2" t="str">
        <f>IFERROR(__xludf.DUMMYFUNCTION("""COMPUTED_VALUE"""),"COMMERCIAL BANK OF CYLON")</f>
        <v>COMMERCIAL BANK OF CYLON</v>
      </c>
      <c r="E2764" s="2" t="str">
        <f>IFERROR(__xludf.DUMMYFUNCTION("""COMPUTED_VALUE"""),"CHITTAGONG")</f>
        <v>CHITTAGONG</v>
      </c>
      <c r="F2764" s="3">
        <f>IFERROR(__xludf.DUMMYFUNCTION("""COMPUTED_VALUE"""),196.0)</f>
        <v>196</v>
      </c>
      <c r="G2764" s="5">
        <f>IFERROR(__xludf.DUMMYFUNCTION("""COMPUTED_VALUE"""),8.0151966E7)</f>
        <v>80151966</v>
      </c>
    </row>
    <row r="2765">
      <c r="A2765" s="3">
        <f>IFERROR(__xludf.DUMMYFUNCTION("""COMPUTED_VALUE"""),126.0)</f>
        <v>126</v>
      </c>
      <c r="B2765" s="2" t="str">
        <f>IFERROR(__xludf.DUMMYFUNCTION("""COMPUTED_VALUE"""),"DHAKA-NORTH")</f>
        <v>DHAKA-NORTH</v>
      </c>
      <c r="C2765" s="4">
        <f>IFERROR(__xludf.DUMMYFUNCTION("""COMPUTED_VALUE"""),80.0)</f>
        <v>80</v>
      </c>
      <c r="D2765" s="2" t="str">
        <f>IFERROR(__xludf.DUMMYFUNCTION("""COMPUTED_VALUE"""),"COMMERCIAL BANK OF CYLON")</f>
        <v>COMMERCIAL BANK OF CYLON</v>
      </c>
      <c r="E2765" s="2" t="str">
        <f>IFERROR(__xludf.DUMMYFUNCTION("""COMPUTED_VALUE"""),"CORPORATE")</f>
        <v>CORPORATE</v>
      </c>
      <c r="F2765" s="3">
        <f>IFERROR(__xludf.DUMMYFUNCTION("""COMPUTED_VALUE"""),85.0)</f>
        <v>85</v>
      </c>
      <c r="G2765" s="5">
        <f>IFERROR(__xludf.DUMMYFUNCTION("""COMPUTED_VALUE"""),8.0260857E7)</f>
        <v>80260857</v>
      </c>
    </row>
    <row r="2766">
      <c r="A2766" s="3">
        <f>IFERROR(__xludf.DUMMYFUNCTION("""COMPUTED_VALUE"""),126.0)</f>
        <v>126</v>
      </c>
      <c r="B2766" s="2" t="str">
        <f>IFERROR(__xludf.DUMMYFUNCTION("""COMPUTED_VALUE"""),"DHAKA-NORTH")</f>
        <v>DHAKA-NORTH</v>
      </c>
      <c r="C2766" s="4">
        <f>IFERROR(__xludf.DUMMYFUNCTION("""COMPUTED_VALUE"""),80.0)</f>
        <v>80</v>
      </c>
      <c r="D2766" s="2" t="str">
        <f>IFERROR(__xludf.DUMMYFUNCTION("""COMPUTED_VALUE"""),"COMMERCIAL BANK OF CYLON")</f>
        <v>COMMERCIAL BANK OF CYLON</v>
      </c>
      <c r="E2766" s="2" t="str">
        <f>IFERROR(__xludf.DUMMYFUNCTION("""COMPUTED_VALUE"""),"DHANMONDI")</f>
        <v>DHANMONDI</v>
      </c>
      <c r="F2766" s="3">
        <f>IFERROR(__xludf.DUMMYFUNCTION("""COMPUTED_VALUE"""),118.0)</f>
        <v>118</v>
      </c>
      <c r="G2766" s="5">
        <f>IFERROR(__xludf.DUMMYFUNCTION("""COMPUTED_VALUE"""),8.026118E7)</f>
        <v>80261180</v>
      </c>
    </row>
    <row r="2767">
      <c r="A2767" s="3">
        <f>IFERROR(__xludf.DUMMYFUNCTION("""COMPUTED_VALUE"""),126.0)</f>
        <v>126</v>
      </c>
      <c r="B2767" s="2" t="str">
        <f>IFERROR(__xludf.DUMMYFUNCTION("""COMPUTED_VALUE"""),"DHAKA-NORTH")</f>
        <v>DHAKA-NORTH</v>
      </c>
      <c r="C2767" s="4">
        <f>IFERROR(__xludf.DUMMYFUNCTION("""COMPUTED_VALUE"""),80.0)</f>
        <v>80</v>
      </c>
      <c r="D2767" s="2" t="str">
        <f>IFERROR(__xludf.DUMMYFUNCTION("""COMPUTED_VALUE"""),"COMMERCIAL BANK OF CYLON")</f>
        <v>COMMERCIAL BANK OF CYLON</v>
      </c>
      <c r="E2767" s="2" t="str">
        <f>IFERROR(__xludf.DUMMYFUNCTION("""COMPUTED_VALUE"""),"GULSHAN")</f>
        <v>GULSHAN</v>
      </c>
      <c r="F2767" s="3">
        <f>IFERROR(__xludf.DUMMYFUNCTION("""COMPUTED_VALUE"""),172.0)</f>
        <v>172</v>
      </c>
      <c r="G2767" s="5">
        <f>IFERROR(__xludf.DUMMYFUNCTION("""COMPUTED_VALUE"""),8.0261722E7)</f>
        <v>80261722</v>
      </c>
    </row>
    <row r="2768">
      <c r="A2768" s="3">
        <f>IFERROR(__xludf.DUMMYFUNCTION("""COMPUTED_VALUE"""),126.0)</f>
        <v>126</v>
      </c>
      <c r="B2768" s="2" t="str">
        <f>IFERROR(__xludf.DUMMYFUNCTION("""COMPUTED_VALUE"""),"DHAKA-NORTH")</f>
        <v>DHAKA-NORTH</v>
      </c>
      <c r="C2768" s="4">
        <f>IFERROR(__xludf.DUMMYFUNCTION("""COMPUTED_VALUE"""),80.0)</f>
        <v>80</v>
      </c>
      <c r="D2768" s="2" t="str">
        <f>IFERROR(__xludf.DUMMYFUNCTION("""COMPUTED_VALUE"""),"COMMERCIAL BANK OF CYLON")</f>
        <v>COMMERCIAL BANK OF CYLON</v>
      </c>
      <c r="E2768" s="2" t="str">
        <f>IFERROR(__xludf.DUMMYFUNCTION("""COMPUTED_VALUE"""),"MIRPUR")</f>
        <v>MIRPUR</v>
      </c>
      <c r="F2768" s="3">
        <f>IFERROR(__xludf.DUMMYFUNCTION("""COMPUTED_VALUE"""),298.0)</f>
        <v>298</v>
      </c>
      <c r="G2768" s="5">
        <f>IFERROR(__xludf.DUMMYFUNCTION("""COMPUTED_VALUE"""),8.0262989E7)</f>
        <v>80262989</v>
      </c>
    </row>
    <row r="2769">
      <c r="A2769" s="3">
        <f>IFERROR(__xludf.DUMMYFUNCTION("""COMPUTED_VALUE"""),126.0)</f>
        <v>126</v>
      </c>
      <c r="B2769" s="2" t="str">
        <f>IFERROR(__xludf.DUMMYFUNCTION("""COMPUTED_VALUE"""),"DHAKA-NORTH")</f>
        <v>DHAKA-NORTH</v>
      </c>
      <c r="C2769" s="4">
        <f>IFERROR(__xludf.DUMMYFUNCTION("""COMPUTED_VALUE"""),80.0)</f>
        <v>80</v>
      </c>
      <c r="D2769" s="2" t="str">
        <f>IFERROR(__xludf.DUMMYFUNCTION("""COMPUTED_VALUE"""),"COMMERCIAL BANK OF CYLON")</f>
        <v>COMMERCIAL BANK OF CYLON</v>
      </c>
      <c r="E2769" s="2" t="str">
        <f>IFERROR(__xludf.DUMMYFUNCTION("""COMPUTED_VALUE"""),"PANTHA PATH")</f>
        <v>PANTHA PATH</v>
      </c>
      <c r="F2769" s="3">
        <f>IFERROR(__xludf.DUMMYFUNCTION("""COMPUTED_VALUE"""),361.0)</f>
        <v>361</v>
      </c>
      <c r="G2769" s="5">
        <f>IFERROR(__xludf.DUMMYFUNCTION("""COMPUTED_VALUE"""),8.0263612E7)</f>
        <v>80263612</v>
      </c>
    </row>
    <row r="2770">
      <c r="A2770" s="3">
        <f>IFERROR(__xludf.DUMMYFUNCTION("""COMPUTED_VALUE"""),126.0)</f>
        <v>126</v>
      </c>
      <c r="B2770" s="2" t="str">
        <f>IFERROR(__xludf.DUMMYFUNCTION("""COMPUTED_VALUE"""),"DHAKA-NORTH")</f>
        <v>DHAKA-NORTH</v>
      </c>
      <c r="C2770" s="4">
        <f>IFERROR(__xludf.DUMMYFUNCTION("""COMPUTED_VALUE"""),80.0)</f>
        <v>80</v>
      </c>
      <c r="D2770" s="2" t="str">
        <f>IFERROR(__xludf.DUMMYFUNCTION("""COMPUTED_VALUE"""),"COMMERCIAL BANK OF CYLON")</f>
        <v>COMMERCIAL BANK OF CYLON</v>
      </c>
      <c r="E2770" s="2" t="str">
        <f>IFERROR(__xludf.DUMMYFUNCTION("""COMPUTED_VALUE"""),"TEJGAON")</f>
        <v>TEJGAON</v>
      </c>
      <c r="F2770" s="3">
        <f>IFERROR(__xludf.DUMMYFUNCTION("""COMPUTED_VALUE"""),448.0)</f>
        <v>448</v>
      </c>
      <c r="G2770" s="5">
        <f>IFERROR(__xludf.DUMMYFUNCTION("""COMPUTED_VALUE"""),8.0264482E7)</f>
        <v>80264482</v>
      </c>
    </row>
    <row r="2771">
      <c r="A2771" s="3">
        <f>IFERROR(__xludf.DUMMYFUNCTION("""COMPUTED_VALUE"""),126.0)</f>
        <v>126</v>
      </c>
      <c r="B2771" s="2" t="str">
        <f>IFERROR(__xludf.DUMMYFUNCTION("""COMPUTED_VALUE"""),"DHAKA-NORTH")</f>
        <v>DHAKA-NORTH</v>
      </c>
      <c r="C2771" s="4">
        <f>IFERROR(__xludf.DUMMYFUNCTION("""COMPUTED_VALUE"""),80.0)</f>
        <v>80</v>
      </c>
      <c r="D2771" s="2" t="str">
        <f>IFERROR(__xludf.DUMMYFUNCTION("""COMPUTED_VALUE"""),"COMMERCIAL BANK OF CYLON")</f>
        <v>COMMERCIAL BANK OF CYLON</v>
      </c>
      <c r="E2771" s="2" t="str">
        <f>IFERROR(__xludf.DUMMYFUNCTION("""COMPUTED_VALUE"""),"UTTARA")</f>
        <v>UTTARA</v>
      </c>
      <c r="F2771" s="3">
        <f>IFERROR(__xludf.DUMMYFUNCTION("""COMPUTED_VALUE"""),463.0)</f>
        <v>463</v>
      </c>
      <c r="G2771" s="5">
        <f>IFERROR(__xludf.DUMMYFUNCTION("""COMPUTED_VALUE"""),8.0264637E7)</f>
        <v>80264637</v>
      </c>
    </row>
    <row r="2772">
      <c r="A2772" s="3">
        <f>IFERROR(__xludf.DUMMYFUNCTION("""COMPUTED_VALUE"""),127.0)</f>
        <v>127</v>
      </c>
      <c r="B2772" s="2" t="str">
        <f>IFERROR(__xludf.DUMMYFUNCTION("""COMPUTED_VALUE"""),"DHAKA-SOUTH")</f>
        <v>DHAKA-SOUTH</v>
      </c>
      <c r="C2772" s="4">
        <f>IFERROR(__xludf.DUMMYFUNCTION("""COMPUTED_VALUE"""),80.0)</f>
        <v>80</v>
      </c>
      <c r="D2772" s="2" t="str">
        <f>IFERROR(__xludf.DUMMYFUNCTION("""COMPUTED_VALUE"""),"COMMERCIAL BANK OF CYLON")</f>
        <v>COMMERCIAL BANK OF CYLON</v>
      </c>
      <c r="E2772" s="2" t="str">
        <f>IFERROR(__xludf.DUMMYFUNCTION("""COMPUTED_VALUE"""),"TRUNCATION POINT")</f>
        <v>TRUNCATION POINT</v>
      </c>
      <c r="F2772" s="3">
        <f>IFERROR(__xludf.DUMMYFUNCTION("""COMPUTED_VALUE"""),0.0)</f>
        <v>0</v>
      </c>
      <c r="G2772" s="5">
        <f>IFERROR(__xludf.DUMMYFUNCTION("""COMPUTED_VALUE"""),8.0270005E7)</f>
        <v>80270005</v>
      </c>
    </row>
    <row r="2773">
      <c r="A2773" s="3">
        <f>IFERROR(__xludf.DUMMYFUNCTION("""COMPUTED_VALUE"""),127.0)</f>
        <v>127</v>
      </c>
      <c r="B2773" s="2" t="str">
        <f>IFERROR(__xludf.DUMMYFUNCTION("""COMPUTED_VALUE"""),"DHAKA-SOUTH")</f>
        <v>DHAKA-SOUTH</v>
      </c>
      <c r="C2773" s="4">
        <f>IFERROR(__xludf.DUMMYFUNCTION("""COMPUTED_VALUE"""),80.0)</f>
        <v>80</v>
      </c>
      <c r="D2773" s="2" t="str">
        <f>IFERROR(__xludf.DUMMYFUNCTION("""COMPUTED_VALUE"""),"COMMERCIAL BANK OF CYLON")</f>
        <v>COMMERCIAL BANK OF CYLON</v>
      </c>
      <c r="E2773" s="2" t="str">
        <f>IFERROR(__xludf.DUMMYFUNCTION("""COMPUTED_VALUE"""),"DHAKA")</f>
        <v>DHAKA</v>
      </c>
      <c r="F2773" s="3">
        <f>IFERROR(__xludf.DUMMYFUNCTION("""COMPUTED_VALUE"""),151.0)</f>
        <v>151</v>
      </c>
      <c r="G2773" s="5">
        <f>IFERROR(__xludf.DUMMYFUNCTION("""COMPUTED_VALUE"""),8.0271512E7)</f>
        <v>80271512</v>
      </c>
    </row>
    <row r="2774">
      <c r="A2774" s="3">
        <f>IFERROR(__xludf.DUMMYFUNCTION("""COMPUTED_VALUE"""),167.0)</f>
        <v>167</v>
      </c>
      <c r="B2774" s="2" t="str">
        <f>IFERROR(__xludf.DUMMYFUNCTION("""COMPUTED_VALUE"""),"NARAYANGANJ")</f>
        <v>NARAYANGANJ</v>
      </c>
      <c r="C2774" s="4">
        <f>IFERROR(__xludf.DUMMYFUNCTION("""COMPUTED_VALUE"""),80.0)</f>
        <v>80</v>
      </c>
      <c r="D2774" s="2" t="str">
        <f>IFERROR(__xludf.DUMMYFUNCTION("""COMPUTED_VALUE"""),"COMMERCIAL BANK OF CYLON")</f>
        <v>COMMERCIAL BANK OF CYLON</v>
      </c>
      <c r="E2774" s="2" t="str">
        <f>IFERROR(__xludf.DUMMYFUNCTION("""COMPUTED_VALUE"""),"NARAYANGANJ")</f>
        <v>NARAYANGANJ</v>
      </c>
      <c r="F2774" s="3">
        <f>IFERROR(__xludf.DUMMYFUNCTION("""COMPUTED_VALUE"""),118.0)</f>
        <v>118</v>
      </c>
      <c r="G2774" s="5">
        <f>IFERROR(__xludf.DUMMYFUNCTION("""COMPUTED_VALUE"""),8.0671183E7)</f>
        <v>80671183</v>
      </c>
    </row>
    <row r="2775">
      <c r="A2775" s="3">
        <f>IFERROR(__xludf.DUMMYFUNCTION("""COMPUTED_VALUE"""),891.0)</f>
        <v>891</v>
      </c>
      <c r="B2775" s="2" t="str">
        <f>IFERROR(__xludf.DUMMYFUNCTION("""COMPUTED_VALUE"""),"SYLHET")</f>
        <v>SYLHET</v>
      </c>
      <c r="C2775" s="4">
        <f>IFERROR(__xludf.DUMMYFUNCTION("""COMPUTED_VALUE"""),80.0)</f>
        <v>80</v>
      </c>
      <c r="D2775" s="2" t="str">
        <f>IFERROR(__xludf.DUMMYFUNCTION("""COMPUTED_VALUE"""),"COMMERCIAL BANK OF CYLON")</f>
        <v>COMMERCIAL BANK OF CYLON</v>
      </c>
      <c r="E2775" s="2" t="str">
        <f>IFERROR(__xludf.DUMMYFUNCTION("""COMPUTED_VALUE"""),"SYLHET SADAR")</f>
        <v>SYLHET SADAR</v>
      </c>
      <c r="F2775" s="3">
        <f>IFERROR(__xludf.DUMMYFUNCTION("""COMPUTED_VALUE"""),367.0)</f>
        <v>367</v>
      </c>
      <c r="G2775" s="5">
        <f>IFERROR(__xludf.DUMMYFUNCTION("""COMPUTED_VALUE"""),8.091367E7)</f>
        <v>80913670</v>
      </c>
    </row>
    <row r="2776">
      <c r="A2776" s="3">
        <f>IFERROR(__xludf.DUMMYFUNCTION("""COMPUTED_VALUE"""),306.0)</f>
        <v>306</v>
      </c>
      <c r="B2776" s="2" t="str">
        <f>IFERROR(__xludf.DUMMYFUNCTION("""COMPUTED_VALUE"""),"BARISHAL")</f>
        <v>BARISHAL</v>
      </c>
      <c r="C2776" s="4">
        <f>IFERROR(__xludf.DUMMYFUNCTION("""COMPUTED_VALUE"""),85.0)</f>
        <v>85</v>
      </c>
      <c r="D2776" s="2" t="str">
        <f>IFERROR(__xludf.DUMMYFUNCTION("""COMPUTED_VALUE"""),"DHAKA BANK LTD.")</f>
        <v>DHAKA BANK LTD.</v>
      </c>
      <c r="E2776" s="2" t="str">
        <f>IFERROR(__xludf.DUMMYFUNCTION("""COMPUTED_VALUE"""),"BARISAL")</f>
        <v>BARISAL</v>
      </c>
      <c r="F2776" s="3">
        <f>IFERROR(__xludf.DUMMYFUNCTION("""COMPUTED_VALUE"""),28.0)</f>
        <v>28</v>
      </c>
      <c r="G2776" s="5">
        <f>IFERROR(__xludf.DUMMYFUNCTION("""COMPUTED_VALUE"""),8.5060281E7)</f>
        <v>85060281</v>
      </c>
    </row>
    <row r="2777">
      <c r="A2777" s="3">
        <f>IFERROR(__xludf.DUMMYFUNCTION("""COMPUTED_VALUE"""),610.0)</f>
        <v>610</v>
      </c>
      <c r="B2777" s="2" t="str">
        <f>IFERROR(__xludf.DUMMYFUNCTION("""COMPUTED_VALUE"""),"BOGRA")</f>
        <v>BOGRA</v>
      </c>
      <c r="C2777" s="4">
        <f>IFERROR(__xludf.DUMMYFUNCTION("""COMPUTED_VALUE"""),85.0)</f>
        <v>85</v>
      </c>
      <c r="D2777" s="2" t="str">
        <f>IFERROR(__xludf.DUMMYFUNCTION("""COMPUTED_VALUE"""),"DHAKA BANK LTD.")</f>
        <v>DHAKA BANK LTD.</v>
      </c>
      <c r="E2777" s="2" t="str">
        <f>IFERROR(__xludf.DUMMYFUNCTION("""COMPUTED_VALUE"""),"BOGRA")</f>
        <v>BOGRA</v>
      </c>
      <c r="F2777" s="3">
        <f>IFERROR(__xludf.DUMMYFUNCTION("""COMPUTED_VALUE"""),37.0)</f>
        <v>37</v>
      </c>
      <c r="G2777" s="5">
        <f>IFERROR(__xludf.DUMMYFUNCTION("""COMPUTED_VALUE"""),8.510037E7)</f>
        <v>85100370</v>
      </c>
    </row>
    <row r="2778">
      <c r="A2778" s="3">
        <f>IFERROR(__xludf.DUMMYFUNCTION("""COMPUTED_VALUE"""),610.0)</f>
        <v>610</v>
      </c>
      <c r="B2778" s="2" t="str">
        <f>IFERROR(__xludf.DUMMYFUNCTION("""COMPUTED_VALUE"""),"BOGRA")</f>
        <v>BOGRA</v>
      </c>
      <c r="C2778" s="4">
        <f>IFERROR(__xludf.DUMMYFUNCTION("""COMPUTED_VALUE"""),85.0)</f>
        <v>85</v>
      </c>
      <c r="D2778" s="2" t="str">
        <f>IFERROR(__xludf.DUMMYFUNCTION("""COMPUTED_VALUE"""),"DHAKA BANK LTD.")</f>
        <v>DHAKA BANK LTD.</v>
      </c>
      <c r="E2778" s="2" t="str">
        <f>IFERROR(__xludf.DUMMYFUNCTION("""COMPUTED_VALUE"""),"SHERPUR")</f>
        <v>SHERPUR</v>
      </c>
      <c r="F2778" s="3">
        <f>IFERROR(__xludf.DUMMYFUNCTION("""COMPUTED_VALUE"""),274.0)</f>
        <v>274</v>
      </c>
      <c r="G2778" s="5">
        <f>IFERROR(__xludf.DUMMYFUNCTION("""COMPUTED_VALUE"""),8.5102749E7)</f>
        <v>85102749</v>
      </c>
    </row>
    <row r="2779">
      <c r="A2779" s="3">
        <f>IFERROR(__xludf.DUMMYFUNCTION("""COMPUTED_VALUE"""),112.0)</f>
        <v>112</v>
      </c>
      <c r="B2779" s="2" t="str">
        <f>IFERROR(__xludf.DUMMYFUNCTION("""COMPUTED_VALUE"""),"BRAHMANBARIA")</f>
        <v>BRAHMANBARIA</v>
      </c>
      <c r="C2779" s="4">
        <f>IFERROR(__xludf.DUMMYFUNCTION("""COMPUTED_VALUE"""),85.0)</f>
        <v>85</v>
      </c>
      <c r="D2779" s="2" t="str">
        <f>IFERROR(__xludf.DUMMYFUNCTION("""COMPUTED_VALUE"""),"DHAKA BANK LTD.")</f>
        <v>DHAKA BANK LTD.</v>
      </c>
      <c r="E2779" s="2" t="str">
        <f>IFERROR(__xludf.DUMMYFUNCTION("""COMPUTED_VALUE"""),"ASHUGANJ")</f>
        <v>ASHUGANJ</v>
      </c>
      <c r="F2779" s="3">
        <f>IFERROR(__xludf.DUMMYFUNCTION("""COMPUTED_VALUE"""),10.0)</f>
        <v>10</v>
      </c>
      <c r="G2779" s="5">
        <f>IFERROR(__xludf.DUMMYFUNCTION("""COMPUTED_VALUE"""),8.5120105E7)</f>
        <v>85120105</v>
      </c>
    </row>
    <row r="2780">
      <c r="A2780" s="3">
        <f>IFERROR(__xludf.DUMMYFUNCTION("""COMPUTED_VALUE"""),215.0)</f>
        <v>215</v>
      </c>
      <c r="B2780" s="2" t="str">
        <f>IFERROR(__xludf.DUMMYFUNCTION("""COMPUTED_VALUE"""),"CHITTAGONG")</f>
        <v>CHITTAGONG</v>
      </c>
      <c r="C2780" s="4">
        <f>IFERROR(__xludf.DUMMYFUNCTION("""COMPUTED_VALUE"""),85.0)</f>
        <v>85</v>
      </c>
      <c r="D2780" s="2" t="str">
        <f>IFERROR(__xludf.DUMMYFUNCTION("""COMPUTED_VALUE"""),"DHAKA BANK LTD.")</f>
        <v>DHAKA BANK LTD.</v>
      </c>
      <c r="E2780" s="2" t="str">
        <f>IFERROR(__xludf.DUMMYFUNCTION("""COMPUTED_VALUE"""),"AGRABAD")</f>
        <v>AGRABAD</v>
      </c>
      <c r="F2780" s="3">
        <f>IFERROR(__xludf.DUMMYFUNCTION("""COMPUTED_VALUE"""),13.0)</f>
        <v>13</v>
      </c>
      <c r="G2780" s="5">
        <f>IFERROR(__xludf.DUMMYFUNCTION("""COMPUTED_VALUE"""),8.5150133E7)</f>
        <v>85150133</v>
      </c>
    </row>
    <row r="2781">
      <c r="A2781" s="3">
        <f>IFERROR(__xludf.DUMMYFUNCTION("""COMPUTED_VALUE"""),215.0)</f>
        <v>215</v>
      </c>
      <c r="B2781" s="2" t="str">
        <f>IFERROR(__xludf.DUMMYFUNCTION("""COMPUTED_VALUE"""),"CHITTAGONG")</f>
        <v>CHITTAGONG</v>
      </c>
      <c r="C2781" s="4">
        <f>IFERROR(__xludf.DUMMYFUNCTION("""COMPUTED_VALUE"""),85.0)</f>
        <v>85</v>
      </c>
      <c r="D2781" s="2" t="str">
        <f>IFERROR(__xludf.DUMMYFUNCTION("""COMPUTED_VALUE"""),"DHAKA BANK LTD.")</f>
        <v>DHAKA BANK LTD.</v>
      </c>
      <c r="E2781" s="2" t="str">
        <f>IFERROR(__xludf.DUMMYFUNCTION("""COMPUTED_VALUE"""),"ANDERKILLA")</f>
        <v>ANDERKILLA</v>
      </c>
      <c r="F2781" s="3">
        <f>IFERROR(__xludf.DUMMYFUNCTION("""COMPUTED_VALUE"""),46.0)</f>
        <v>46</v>
      </c>
      <c r="G2781" s="5">
        <f>IFERROR(__xludf.DUMMYFUNCTION("""COMPUTED_VALUE"""),8.5150467E7)</f>
        <v>85150467</v>
      </c>
    </row>
    <row r="2782">
      <c r="A2782" s="3">
        <f>IFERROR(__xludf.DUMMYFUNCTION("""COMPUTED_VALUE"""),215.0)</f>
        <v>215</v>
      </c>
      <c r="B2782" s="2" t="str">
        <f>IFERROR(__xludf.DUMMYFUNCTION("""COMPUTED_VALUE"""),"CHITTAGONG")</f>
        <v>CHITTAGONG</v>
      </c>
      <c r="C2782" s="4">
        <f>IFERROR(__xludf.DUMMYFUNCTION("""COMPUTED_VALUE"""),85.0)</f>
        <v>85</v>
      </c>
      <c r="D2782" s="2" t="str">
        <f>IFERROR(__xludf.DUMMYFUNCTION("""COMPUTED_VALUE"""),"DHAKA BANK LTD.")</f>
        <v>DHAKA BANK LTD.</v>
      </c>
      <c r="E2782" s="2" t="str">
        <f>IFERROR(__xludf.DUMMYFUNCTION("""COMPUTED_VALUE"""),"C.D.A. AVENUE")</f>
        <v>C.D.A. AVENUE</v>
      </c>
      <c r="F2782" s="3">
        <f>IFERROR(__xludf.DUMMYFUNCTION("""COMPUTED_VALUE"""),148.0)</f>
        <v>148</v>
      </c>
      <c r="G2782" s="5">
        <f>IFERROR(__xludf.DUMMYFUNCTION("""COMPUTED_VALUE"""),8.5151482E7)</f>
        <v>85151482</v>
      </c>
    </row>
    <row r="2783">
      <c r="A2783" s="3">
        <f>IFERROR(__xludf.DUMMYFUNCTION("""COMPUTED_VALUE"""),215.0)</f>
        <v>215</v>
      </c>
      <c r="B2783" s="2" t="str">
        <f>IFERROR(__xludf.DUMMYFUNCTION("""COMPUTED_VALUE"""),"CHITTAGONG")</f>
        <v>CHITTAGONG</v>
      </c>
      <c r="C2783" s="4">
        <f>IFERROR(__xludf.DUMMYFUNCTION("""COMPUTED_VALUE"""),85.0)</f>
        <v>85</v>
      </c>
      <c r="D2783" s="2" t="str">
        <f>IFERROR(__xludf.DUMMYFUNCTION("""COMPUTED_VALUE"""),"DHAKA BANK LTD.")</f>
        <v>DHAKA BANK LTD.</v>
      </c>
      <c r="E2783" s="2" t="str">
        <f>IFERROR(__xludf.DUMMYFUNCTION("""COMPUTED_VALUE"""),"FATIKCHARI")</f>
        <v>FATIKCHARI</v>
      </c>
      <c r="F2783" s="3">
        <f>IFERROR(__xludf.DUMMYFUNCTION("""COMPUTED_VALUE"""),274.0)</f>
        <v>274</v>
      </c>
      <c r="G2783" s="5">
        <f>IFERROR(__xludf.DUMMYFUNCTION("""COMPUTED_VALUE"""),8.5152744E7)</f>
        <v>85152744</v>
      </c>
    </row>
    <row r="2784">
      <c r="A2784" s="3">
        <f>IFERROR(__xludf.DUMMYFUNCTION("""COMPUTED_VALUE"""),215.0)</f>
        <v>215</v>
      </c>
      <c r="B2784" s="2" t="str">
        <f>IFERROR(__xludf.DUMMYFUNCTION("""COMPUTED_VALUE"""),"CHITTAGONG")</f>
        <v>CHITTAGONG</v>
      </c>
      <c r="C2784" s="4">
        <f>IFERROR(__xludf.DUMMYFUNCTION("""COMPUTED_VALUE"""),85.0)</f>
        <v>85</v>
      </c>
      <c r="D2784" s="2" t="str">
        <f>IFERROR(__xludf.DUMMYFUNCTION("""COMPUTED_VALUE"""),"DHAKA BANK LTD.")</f>
        <v>DHAKA BANK LTD.</v>
      </c>
      <c r="E2784" s="2" t="str">
        <f>IFERROR(__xludf.DUMMYFUNCTION("""COMPUTED_VALUE"""),"GOHIRA")</f>
        <v>GOHIRA</v>
      </c>
      <c r="F2784" s="3">
        <f>IFERROR(__xludf.DUMMYFUNCTION("""COMPUTED_VALUE"""),301.0)</f>
        <v>301</v>
      </c>
      <c r="G2784" s="5">
        <f>IFERROR(__xludf.DUMMYFUNCTION("""COMPUTED_VALUE"""),8.5153019E7)</f>
        <v>85153019</v>
      </c>
    </row>
    <row r="2785">
      <c r="A2785" s="3">
        <f>IFERROR(__xludf.DUMMYFUNCTION("""COMPUTED_VALUE"""),215.0)</f>
        <v>215</v>
      </c>
      <c r="B2785" s="2" t="str">
        <f>IFERROR(__xludf.DUMMYFUNCTION("""COMPUTED_VALUE"""),"CHITTAGONG")</f>
        <v>CHITTAGONG</v>
      </c>
      <c r="C2785" s="4">
        <f>IFERROR(__xludf.DUMMYFUNCTION("""COMPUTED_VALUE"""),85.0)</f>
        <v>85</v>
      </c>
      <c r="D2785" s="2" t="str">
        <f>IFERROR(__xludf.DUMMYFUNCTION("""COMPUTED_VALUE"""),"DHAKA BANK LTD.")</f>
        <v>DHAKA BANK LTD.</v>
      </c>
      <c r="E2785" s="2" t="str">
        <f>IFERROR(__xludf.DUMMYFUNCTION("""COMPUTED_VALUE"""),"HALISHAHAR")</f>
        <v>HALISHAHAR</v>
      </c>
      <c r="F2785" s="3">
        <f>IFERROR(__xludf.DUMMYFUNCTION("""COMPUTED_VALUE"""),316.0)</f>
        <v>316</v>
      </c>
      <c r="G2785" s="5">
        <f>IFERROR(__xludf.DUMMYFUNCTION("""COMPUTED_VALUE"""),8.5153169E7)</f>
        <v>85153169</v>
      </c>
    </row>
    <row r="2786">
      <c r="A2786" s="3">
        <f>IFERROR(__xludf.DUMMYFUNCTION("""COMPUTED_VALUE"""),215.0)</f>
        <v>215</v>
      </c>
      <c r="B2786" s="2" t="str">
        <f>IFERROR(__xludf.DUMMYFUNCTION("""COMPUTED_VALUE"""),"CHITTAGONG")</f>
        <v>CHITTAGONG</v>
      </c>
      <c r="C2786" s="4">
        <f>IFERROR(__xludf.DUMMYFUNCTION("""COMPUTED_VALUE"""),85.0)</f>
        <v>85</v>
      </c>
      <c r="D2786" s="2" t="str">
        <f>IFERROR(__xludf.DUMMYFUNCTION("""COMPUTED_VALUE"""),"DHAKA BANK LTD.")</f>
        <v>DHAKA BANK LTD.</v>
      </c>
      <c r="E2786" s="2" t="str">
        <f>IFERROR(__xludf.DUMMYFUNCTION("""COMPUTED_VALUE"""),"HATHAZARI")</f>
        <v>HATHAZARI</v>
      </c>
      <c r="F2786" s="3">
        <f>IFERROR(__xludf.DUMMYFUNCTION("""COMPUTED_VALUE"""),322.0)</f>
        <v>322</v>
      </c>
      <c r="G2786" s="5">
        <f>IFERROR(__xludf.DUMMYFUNCTION("""COMPUTED_VALUE"""),8.5153222E7)</f>
        <v>85153222</v>
      </c>
    </row>
    <row r="2787">
      <c r="A2787" s="3">
        <f>IFERROR(__xludf.DUMMYFUNCTION("""COMPUTED_VALUE"""),215.0)</f>
        <v>215</v>
      </c>
      <c r="B2787" s="2" t="str">
        <f>IFERROR(__xludf.DUMMYFUNCTION("""COMPUTED_VALUE"""),"CHITTAGONG")</f>
        <v>CHITTAGONG</v>
      </c>
      <c r="C2787" s="4">
        <f>IFERROR(__xludf.DUMMYFUNCTION("""COMPUTED_VALUE"""),85.0)</f>
        <v>85</v>
      </c>
      <c r="D2787" s="2" t="str">
        <f>IFERROR(__xludf.DUMMYFUNCTION("""COMPUTED_VALUE"""),"DHAKA BANK LTD.")</f>
        <v>DHAKA BANK LTD.</v>
      </c>
      <c r="E2787" s="2" t="str">
        <f>IFERROR(__xludf.DUMMYFUNCTION("""COMPUTED_VALUE"""),"ISLAMI BANKING")</f>
        <v>ISLAMI BANKING</v>
      </c>
      <c r="F2787" s="3">
        <f>IFERROR(__xludf.DUMMYFUNCTION("""COMPUTED_VALUE"""),346.0)</f>
        <v>346</v>
      </c>
      <c r="G2787" s="5">
        <f>IFERROR(__xludf.DUMMYFUNCTION("""COMPUTED_VALUE"""),8.5153464E7)</f>
        <v>85153464</v>
      </c>
    </row>
    <row r="2788">
      <c r="A2788" s="3">
        <f>IFERROR(__xludf.DUMMYFUNCTION("""COMPUTED_VALUE"""),215.0)</f>
        <v>215</v>
      </c>
      <c r="B2788" s="2" t="str">
        <f>IFERROR(__xludf.DUMMYFUNCTION("""COMPUTED_VALUE"""),"CHITTAGONG")</f>
        <v>CHITTAGONG</v>
      </c>
      <c r="C2788" s="4">
        <f>IFERROR(__xludf.DUMMYFUNCTION("""COMPUTED_VALUE"""),85.0)</f>
        <v>85</v>
      </c>
      <c r="D2788" s="2" t="str">
        <f>IFERROR(__xludf.DUMMYFUNCTION("""COMPUTED_VALUE"""),"DHAKA BANK LTD.")</f>
        <v>DHAKA BANK LTD.</v>
      </c>
      <c r="E2788" s="2" t="str">
        <f>IFERROR(__xludf.DUMMYFUNCTION("""COMPUTED_VALUE"""),"JUBILEE ROAD")</f>
        <v>JUBILEE ROAD</v>
      </c>
      <c r="F2788" s="3">
        <f>IFERROR(__xludf.DUMMYFUNCTION("""COMPUTED_VALUE"""),364.0)</f>
        <v>364</v>
      </c>
      <c r="G2788" s="5">
        <f>IFERROR(__xludf.DUMMYFUNCTION("""COMPUTED_VALUE"""),8.5153648E7)</f>
        <v>85153648</v>
      </c>
    </row>
    <row r="2789">
      <c r="A2789" s="3">
        <f>IFERROR(__xludf.DUMMYFUNCTION("""COMPUTED_VALUE"""),215.0)</f>
        <v>215</v>
      </c>
      <c r="B2789" s="2" t="str">
        <f>IFERROR(__xludf.DUMMYFUNCTION("""COMPUTED_VALUE"""),"CHITTAGONG")</f>
        <v>CHITTAGONG</v>
      </c>
      <c r="C2789" s="4">
        <f>IFERROR(__xludf.DUMMYFUNCTION("""COMPUTED_VALUE"""),85.0)</f>
        <v>85</v>
      </c>
      <c r="D2789" s="2" t="str">
        <f>IFERROR(__xludf.DUMMYFUNCTION("""COMPUTED_VALUE"""),"DHAKA BANK LTD.")</f>
        <v>DHAKA BANK LTD.</v>
      </c>
      <c r="E2789" s="2" t="str">
        <f>IFERROR(__xludf.DUMMYFUNCTION("""COMPUTED_VALUE"""),"KHATUNGANJ")</f>
        <v>KHATUNGANJ</v>
      </c>
      <c r="F2789" s="3">
        <f>IFERROR(__xludf.DUMMYFUNCTION("""COMPUTED_VALUE"""),427.0)</f>
        <v>427</v>
      </c>
      <c r="G2789" s="5">
        <f>IFERROR(__xludf.DUMMYFUNCTION("""COMPUTED_VALUE"""),8.5154276E7)</f>
        <v>85154276</v>
      </c>
    </row>
    <row r="2790">
      <c r="A2790" s="3">
        <f>IFERROR(__xludf.DUMMYFUNCTION("""COMPUTED_VALUE"""),215.0)</f>
        <v>215</v>
      </c>
      <c r="B2790" s="2" t="str">
        <f>IFERROR(__xludf.DUMMYFUNCTION("""COMPUTED_VALUE"""),"CHITTAGONG")</f>
        <v>CHITTAGONG</v>
      </c>
      <c r="C2790" s="4">
        <f>IFERROR(__xludf.DUMMYFUNCTION("""COMPUTED_VALUE"""),85.0)</f>
        <v>85</v>
      </c>
      <c r="D2790" s="2" t="str">
        <f>IFERROR(__xludf.DUMMYFUNCTION("""COMPUTED_VALUE"""),"DHAKA BANK LTD.")</f>
        <v>DHAKA BANK LTD.</v>
      </c>
      <c r="E2790" s="2" t="str">
        <f>IFERROR(__xludf.DUMMYFUNCTION("""COMPUTED_VALUE"""),"NEW MARKET")</f>
        <v>NEW MARKET</v>
      </c>
      <c r="F2790" s="3">
        <f>IFERROR(__xludf.DUMMYFUNCTION("""COMPUTED_VALUE"""),565.0)</f>
        <v>565</v>
      </c>
      <c r="G2790" s="5">
        <f>IFERROR(__xludf.DUMMYFUNCTION("""COMPUTED_VALUE"""),8.5155659E7)</f>
        <v>85155659</v>
      </c>
    </row>
    <row r="2791">
      <c r="A2791" s="3">
        <f>IFERROR(__xludf.DUMMYFUNCTION("""COMPUTED_VALUE"""),215.0)</f>
        <v>215</v>
      </c>
      <c r="B2791" s="2" t="str">
        <f>IFERROR(__xludf.DUMMYFUNCTION("""COMPUTED_VALUE"""),"CHITTAGONG")</f>
        <v>CHITTAGONG</v>
      </c>
      <c r="C2791" s="4">
        <f>IFERROR(__xludf.DUMMYFUNCTION("""COMPUTED_VALUE"""),85.0)</f>
        <v>85</v>
      </c>
      <c r="D2791" s="2" t="str">
        <f>IFERROR(__xludf.DUMMYFUNCTION("""COMPUTED_VALUE"""),"DHAKA BANK LTD.")</f>
        <v>DHAKA BANK LTD.</v>
      </c>
      <c r="E2791" s="2" t="str">
        <f>IFERROR(__xludf.DUMMYFUNCTION("""COMPUTED_VALUE"""),"PATIYA")</f>
        <v>PATIYA</v>
      </c>
      <c r="F2791" s="3">
        <f>IFERROR(__xludf.DUMMYFUNCTION("""COMPUTED_VALUE"""),616.0)</f>
        <v>616</v>
      </c>
      <c r="G2791" s="5">
        <f>IFERROR(__xludf.DUMMYFUNCTION("""COMPUTED_VALUE"""),8.5156166E7)</f>
        <v>85156166</v>
      </c>
    </row>
    <row r="2792">
      <c r="A2792" s="3">
        <f>IFERROR(__xludf.DUMMYFUNCTION("""COMPUTED_VALUE"""),119.0)</f>
        <v>119</v>
      </c>
      <c r="B2792" s="2" t="str">
        <f>IFERROR(__xludf.DUMMYFUNCTION("""COMPUTED_VALUE"""),"COMILLA")</f>
        <v>COMILLA</v>
      </c>
      <c r="C2792" s="4">
        <f>IFERROR(__xludf.DUMMYFUNCTION("""COMPUTED_VALUE"""),85.0)</f>
        <v>85</v>
      </c>
      <c r="D2792" s="2" t="str">
        <f>IFERROR(__xludf.DUMMYFUNCTION("""COMPUTED_VALUE"""),"DHAKA BANK LTD.")</f>
        <v>DHAKA BANK LTD.</v>
      </c>
      <c r="E2792" s="2" t="str">
        <f>IFERROR(__xludf.DUMMYFUNCTION("""COMPUTED_VALUE"""),"COMILLA")</f>
        <v>COMILLA</v>
      </c>
      <c r="F2792" s="3">
        <f>IFERROR(__xludf.DUMMYFUNCTION("""COMPUTED_VALUE"""),115.0)</f>
        <v>115</v>
      </c>
      <c r="G2792" s="5">
        <f>IFERROR(__xludf.DUMMYFUNCTION("""COMPUTED_VALUE"""),8.519115E7)</f>
        <v>85191150</v>
      </c>
    </row>
    <row r="2793">
      <c r="A2793" s="3">
        <f>IFERROR(__xludf.DUMMYFUNCTION("""COMPUTED_VALUE"""),222.0)</f>
        <v>222</v>
      </c>
      <c r="B2793" s="2" t="str">
        <f>IFERROR(__xludf.DUMMYFUNCTION("""COMPUTED_VALUE"""),"COXS BAZAR")</f>
        <v>COXS BAZAR</v>
      </c>
      <c r="C2793" s="4">
        <f>IFERROR(__xludf.DUMMYFUNCTION("""COMPUTED_VALUE"""),85.0)</f>
        <v>85</v>
      </c>
      <c r="D2793" s="2" t="str">
        <f>IFERROR(__xludf.DUMMYFUNCTION("""COMPUTED_VALUE"""),"DHAKA BANK LTD.")</f>
        <v>DHAKA BANK LTD.</v>
      </c>
      <c r="E2793" s="2" t="str">
        <f>IFERROR(__xludf.DUMMYFUNCTION("""COMPUTED_VALUE"""),"CHAKARIA")</f>
        <v>CHAKARIA</v>
      </c>
      <c r="F2793" s="4">
        <f>IFERROR(__xludf.DUMMYFUNCTION("""COMPUTED_VALUE"""),16.0)</f>
        <v>16</v>
      </c>
      <c r="G2793" s="5">
        <f>IFERROR(__xludf.DUMMYFUNCTION("""COMPUTED_VALUE"""),8.5220168E7)</f>
        <v>85220168</v>
      </c>
    </row>
    <row r="2794">
      <c r="A2794" s="3">
        <f>IFERROR(__xludf.DUMMYFUNCTION("""COMPUTED_VALUE"""),222.0)</f>
        <v>222</v>
      </c>
      <c r="B2794" s="2" t="str">
        <f>IFERROR(__xludf.DUMMYFUNCTION("""COMPUTED_VALUE"""),"COXS BAZAR")</f>
        <v>COXS BAZAR</v>
      </c>
      <c r="C2794" s="4">
        <f>IFERROR(__xludf.DUMMYFUNCTION("""COMPUTED_VALUE"""),85.0)</f>
        <v>85</v>
      </c>
      <c r="D2794" s="2" t="str">
        <f>IFERROR(__xludf.DUMMYFUNCTION("""COMPUTED_VALUE"""),"DHAKA BANK LTD.")</f>
        <v>DHAKA BANK LTD.</v>
      </c>
      <c r="E2794" s="2" t="str">
        <f>IFERROR(__xludf.DUMMYFUNCTION("""COMPUTED_VALUE"""),"COXS BAZAR")</f>
        <v>COXS BAZAR</v>
      </c>
      <c r="F2794" s="4">
        <f>IFERROR(__xludf.DUMMYFUNCTION("""COMPUTED_VALUE"""),25.0)</f>
        <v>25</v>
      </c>
      <c r="G2794" s="5">
        <f>IFERROR(__xludf.DUMMYFUNCTION("""COMPUTED_VALUE"""),8.522025E7)</f>
        <v>85220250</v>
      </c>
    </row>
    <row r="2795">
      <c r="A2795" s="3">
        <f>IFERROR(__xludf.DUMMYFUNCTION("""COMPUTED_VALUE"""),222.0)</f>
        <v>222</v>
      </c>
      <c r="B2795" s="2" t="str">
        <f>IFERROR(__xludf.DUMMYFUNCTION("""COMPUTED_VALUE"""),"COXS BAZAR")</f>
        <v>COXS BAZAR</v>
      </c>
      <c r="C2795" s="4">
        <f>IFERROR(__xludf.DUMMYFUNCTION("""COMPUTED_VALUE"""),85.0)</f>
        <v>85</v>
      </c>
      <c r="D2795" s="2" t="str">
        <f>IFERROR(__xludf.DUMMYFUNCTION("""COMPUTED_VALUE"""),"DHAKA BANK LTD.")</f>
        <v>DHAKA BANK LTD.</v>
      </c>
      <c r="E2795" s="2" t="str">
        <f>IFERROR(__xludf.DUMMYFUNCTION("""COMPUTED_VALUE"""),"TEKNAF")</f>
        <v>TEKNAF</v>
      </c>
      <c r="F2795" s="4">
        <f>IFERROR(__xludf.DUMMYFUNCTION("""COMPUTED_VALUE"""),91.0)</f>
        <v>91</v>
      </c>
      <c r="G2795" s="5">
        <f>IFERROR(__xludf.DUMMYFUNCTION("""COMPUTED_VALUE"""),8.5220913E7)</f>
        <v>85220913</v>
      </c>
    </row>
    <row r="2796">
      <c r="A2796" s="3">
        <f>IFERROR(__xludf.DUMMYFUNCTION("""COMPUTED_VALUE"""),126.0)</f>
        <v>126</v>
      </c>
      <c r="B2796" s="2" t="str">
        <f>IFERROR(__xludf.DUMMYFUNCTION("""COMPUTED_VALUE"""),"DHAKA-NORTH")</f>
        <v>DHAKA-NORTH</v>
      </c>
      <c r="C2796" s="4">
        <f>IFERROR(__xludf.DUMMYFUNCTION("""COMPUTED_VALUE"""),85.0)</f>
        <v>85</v>
      </c>
      <c r="D2796" s="2" t="str">
        <f>IFERROR(__xludf.DUMMYFUNCTION("""COMPUTED_VALUE"""),"DHAKA BANK LTD.")</f>
        <v>DHAKA BANK LTD.</v>
      </c>
      <c r="E2796" s="2" t="str">
        <f>IFERROR(__xludf.DUMMYFUNCTION("""COMPUTED_VALUE"""),"AMIN BAZAR")</f>
        <v>AMIN BAZAR</v>
      </c>
      <c r="F2796" s="4">
        <f>IFERROR(__xludf.DUMMYFUNCTION("""COMPUTED_VALUE"""),13.0)</f>
        <v>13</v>
      </c>
      <c r="G2796" s="5">
        <f>IFERROR(__xludf.DUMMYFUNCTION("""COMPUTED_VALUE"""),8.5260131E7)</f>
        <v>85260131</v>
      </c>
    </row>
    <row r="2797">
      <c r="A2797" s="3">
        <f>IFERROR(__xludf.DUMMYFUNCTION("""COMPUTED_VALUE"""),126.0)</f>
        <v>126</v>
      </c>
      <c r="B2797" s="2" t="str">
        <f>IFERROR(__xludf.DUMMYFUNCTION("""COMPUTED_VALUE"""),"DHAKA-NORTH")</f>
        <v>DHAKA-NORTH</v>
      </c>
      <c r="C2797" s="4">
        <f>IFERROR(__xludf.DUMMYFUNCTION("""COMPUTED_VALUE"""),85.0)</f>
        <v>85</v>
      </c>
      <c r="D2797" s="2" t="str">
        <f>IFERROR(__xludf.DUMMYFUNCTION("""COMPUTED_VALUE"""),"DHAKA BANK LTD.")</f>
        <v>DHAKA BANK LTD.</v>
      </c>
      <c r="E2797" s="2" t="str">
        <f>IFERROR(__xludf.DUMMYFUNCTION("""COMPUTED_VALUE"""),"PRAGATI SARANI")</f>
        <v>PRAGATI SARANI</v>
      </c>
      <c r="F2797" s="4">
        <f>IFERROR(__xludf.DUMMYFUNCTION("""COMPUTED_VALUE"""),34.0)</f>
        <v>34</v>
      </c>
      <c r="G2797" s="5">
        <f>IFERROR(__xludf.DUMMYFUNCTION("""COMPUTED_VALUE"""),8.5260344E7)</f>
        <v>85260344</v>
      </c>
    </row>
    <row r="2798">
      <c r="A2798" s="3">
        <f>IFERROR(__xludf.DUMMYFUNCTION("""COMPUTED_VALUE"""),126.0)</f>
        <v>126</v>
      </c>
      <c r="B2798" s="2" t="str">
        <f>IFERROR(__xludf.DUMMYFUNCTION("""COMPUTED_VALUE"""),"DHAKA-NORTH")</f>
        <v>DHAKA-NORTH</v>
      </c>
      <c r="C2798" s="4">
        <f>IFERROR(__xludf.DUMMYFUNCTION("""COMPUTED_VALUE"""),85.0)</f>
        <v>85</v>
      </c>
      <c r="D2798" s="2" t="str">
        <f>IFERROR(__xludf.DUMMYFUNCTION("""COMPUTED_VALUE"""),"DHAKA BANK LTD.")</f>
        <v>DHAKA BANK LTD.</v>
      </c>
      <c r="E2798" s="2" t="str">
        <f>IFERROR(__xludf.DUMMYFUNCTION("""COMPUTED_VALUE"""),"BANANI")</f>
        <v>BANANI</v>
      </c>
      <c r="F2798" s="4">
        <f>IFERROR(__xludf.DUMMYFUNCTION("""COMPUTED_VALUE"""),43.0)</f>
        <v>43</v>
      </c>
      <c r="G2798" s="5">
        <f>IFERROR(__xludf.DUMMYFUNCTION("""COMPUTED_VALUE"""),8.5260436E7)</f>
        <v>85260436</v>
      </c>
    </row>
    <row r="2799">
      <c r="A2799" s="3">
        <f>IFERROR(__xludf.DUMMYFUNCTION("""COMPUTED_VALUE"""),126.0)</f>
        <v>126</v>
      </c>
      <c r="B2799" s="2" t="str">
        <f>IFERROR(__xludf.DUMMYFUNCTION("""COMPUTED_VALUE"""),"DHAKA-NORTH")</f>
        <v>DHAKA-NORTH</v>
      </c>
      <c r="C2799" s="4">
        <f>IFERROR(__xludf.DUMMYFUNCTION("""COMPUTED_VALUE"""),85.0)</f>
        <v>85</v>
      </c>
      <c r="D2799" s="2" t="str">
        <f>IFERROR(__xludf.DUMMYFUNCTION("""COMPUTED_VALUE"""),"DHAKA BANK LTD.")</f>
        <v>DHAKA BANK LTD.</v>
      </c>
      <c r="E2799" s="2" t="str">
        <f>IFERROR(__xludf.DUMMYFUNCTION("""COMPUTED_VALUE"""),"BARIDHARA")</f>
        <v>BARIDHARA</v>
      </c>
      <c r="F2799" s="4">
        <f>IFERROR(__xludf.DUMMYFUNCTION("""COMPUTED_VALUE"""),52.0)</f>
        <v>52</v>
      </c>
      <c r="G2799" s="5">
        <f>IFERROR(__xludf.DUMMYFUNCTION("""COMPUTED_VALUE"""),8.5260528E7)</f>
        <v>85260528</v>
      </c>
    </row>
    <row r="2800">
      <c r="A2800" s="3">
        <f>IFERROR(__xludf.DUMMYFUNCTION("""COMPUTED_VALUE"""),126.0)</f>
        <v>126</v>
      </c>
      <c r="B2800" s="2" t="str">
        <f>IFERROR(__xludf.DUMMYFUNCTION("""COMPUTED_VALUE"""),"DHAKA-NORTH")</f>
        <v>DHAKA-NORTH</v>
      </c>
      <c r="C2800" s="4">
        <f>IFERROR(__xludf.DUMMYFUNCTION("""COMPUTED_VALUE"""),85.0)</f>
        <v>85</v>
      </c>
      <c r="D2800" s="2" t="str">
        <f>IFERROR(__xludf.DUMMYFUNCTION("""COMPUTED_VALUE"""),"DHAKA BANK LTD.")</f>
        <v>DHAKA BANK LTD.</v>
      </c>
      <c r="E2800" s="2" t="str">
        <f>IFERROR(__xludf.DUMMYFUNCTION("""COMPUTED_VALUE"""),"BONOSREE")</f>
        <v>BONOSREE</v>
      </c>
      <c r="F2800" s="4">
        <f>IFERROR(__xludf.DUMMYFUNCTION("""COMPUTED_VALUE"""),72.0)</f>
        <v>72</v>
      </c>
      <c r="G2800" s="5">
        <f>IFERROR(__xludf.DUMMYFUNCTION("""COMPUTED_VALUE"""),8.5260728E7)</f>
        <v>85260728</v>
      </c>
    </row>
    <row r="2801">
      <c r="A2801" s="3">
        <f>IFERROR(__xludf.DUMMYFUNCTION("""COMPUTED_VALUE"""),126.0)</f>
        <v>126</v>
      </c>
      <c r="B2801" s="2" t="str">
        <f>IFERROR(__xludf.DUMMYFUNCTION("""COMPUTED_VALUE"""),"DHAKA-NORTH")</f>
        <v>DHAKA-NORTH</v>
      </c>
      <c r="C2801" s="4">
        <f>IFERROR(__xludf.DUMMYFUNCTION("""COMPUTED_VALUE"""),85.0)</f>
        <v>85</v>
      </c>
      <c r="D2801" s="2" t="str">
        <f>IFERROR(__xludf.DUMMYFUNCTION("""COMPUTED_VALUE"""),"DHAKA BANK LTD.")</f>
        <v>DHAKA BANK LTD.</v>
      </c>
      <c r="E2801" s="2" t="str">
        <f>IFERROR(__xludf.DUMMYFUNCTION("""COMPUTED_VALUE"""),"DHAKA EPZ")</f>
        <v>DHAKA EPZ</v>
      </c>
      <c r="F2801" s="4">
        <f>IFERROR(__xludf.DUMMYFUNCTION("""COMPUTED_VALUE"""),109.0)</f>
        <v>109</v>
      </c>
      <c r="G2801" s="5">
        <f>IFERROR(__xludf.DUMMYFUNCTION("""COMPUTED_VALUE"""),8.5261093E7)</f>
        <v>85261093</v>
      </c>
    </row>
    <row r="2802">
      <c r="A2802" s="3">
        <f>IFERROR(__xludf.DUMMYFUNCTION("""COMPUTED_VALUE"""),126.0)</f>
        <v>126</v>
      </c>
      <c r="B2802" s="2" t="str">
        <f>IFERROR(__xludf.DUMMYFUNCTION("""COMPUTED_VALUE"""),"DHAKA-NORTH")</f>
        <v>DHAKA-NORTH</v>
      </c>
      <c r="C2802" s="4">
        <f>IFERROR(__xludf.DUMMYFUNCTION("""COMPUTED_VALUE"""),85.0)</f>
        <v>85</v>
      </c>
      <c r="D2802" s="2" t="str">
        <f>IFERROR(__xludf.DUMMYFUNCTION("""COMPUTED_VALUE"""),"DHAKA BANK LTD.")</f>
        <v>DHAKA BANK LTD.</v>
      </c>
      <c r="E2802" s="2" t="str">
        <f>IFERROR(__xludf.DUMMYFUNCTION("""COMPUTED_VALUE"""),"DHANMONDI")</f>
        <v>DHANMONDI</v>
      </c>
      <c r="F2802" s="4">
        <f>IFERROR(__xludf.DUMMYFUNCTION("""COMPUTED_VALUE"""),118.0)</f>
        <v>118</v>
      </c>
      <c r="G2802" s="5">
        <f>IFERROR(__xludf.DUMMYFUNCTION("""COMPUTED_VALUE"""),8.5261185E7)</f>
        <v>85261185</v>
      </c>
    </row>
    <row r="2803">
      <c r="A2803" s="3">
        <f>IFERROR(__xludf.DUMMYFUNCTION("""COMPUTED_VALUE"""),126.0)</f>
        <v>126</v>
      </c>
      <c r="B2803" s="2" t="str">
        <f>IFERROR(__xludf.DUMMYFUNCTION("""COMPUTED_VALUE"""),"DHAKA-NORTH")</f>
        <v>DHAKA-NORTH</v>
      </c>
      <c r="C2803" s="4">
        <f>IFERROR(__xludf.DUMMYFUNCTION("""COMPUTED_VALUE"""),85.0)</f>
        <v>85</v>
      </c>
      <c r="D2803" s="2" t="str">
        <f>IFERROR(__xludf.DUMMYFUNCTION("""COMPUTED_VALUE"""),"DHAKA BANK LTD.")</f>
        <v>DHAKA BANK LTD.</v>
      </c>
      <c r="E2803" s="2" t="str">
        <f>IFERROR(__xludf.DUMMYFUNCTION("""COMPUTED_VALUE"""),"DHANMONDI MODEL")</f>
        <v>DHANMONDI MODEL</v>
      </c>
      <c r="F2803" s="4">
        <f>IFERROR(__xludf.DUMMYFUNCTION("""COMPUTED_VALUE"""),119.0)</f>
        <v>119</v>
      </c>
      <c r="G2803" s="5">
        <f>IFERROR(__xludf.DUMMYFUNCTION("""COMPUTED_VALUE"""),8.5261198E7)</f>
        <v>85261198</v>
      </c>
    </row>
    <row r="2804">
      <c r="A2804" s="3">
        <f>IFERROR(__xludf.DUMMYFUNCTION("""COMPUTED_VALUE"""),126.0)</f>
        <v>126</v>
      </c>
      <c r="B2804" s="2" t="str">
        <f>IFERROR(__xludf.DUMMYFUNCTION("""COMPUTED_VALUE"""),"DHAKA-NORTH")</f>
        <v>DHAKA-NORTH</v>
      </c>
      <c r="C2804" s="4">
        <f>IFERROR(__xludf.DUMMYFUNCTION("""COMPUTED_VALUE"""),85.0)</f>
        <v>85</v>
      </c>
      <c r="D2804" s="2" t="str">
        <f>IFERROR(__xludf.DUMMYFUNCTION("""COMPUTED_VALUE"""),"DHAKA BANK LTD.")</f>
        <v>DHAKA BANK LTD.</v>
      </c>
      <c r="E2804" s="2" t="str">
        <f>IFERROR(__xludf.DUMMYFUNCTION("""COMPUTED_VALUE"""),"FANTASY KINGDOM")</f>
        <v>FANTASY KINGDOM</v>
      </c>
      <c r="F2804" s="4">
        <f>IFERROR(__xludf.DUMMYFUNCTION("""COMPUTED_VALUE"""),142.0)</f>
        <v>142</v>
      </c>
      <c r="G2804" s="5">
        <f>IFERROR(__xludf.DUMMYFUNCTION("""COMPUTED_VALUE"""),8.5261422E7)</f>
        <v>85261422</v>
      </c>
    </row>
    <row r="2805">
      <c r="A2805" s="3">
        <f>IFERROR(__xludf.DUMMYFUNCTION("""COMPUTED_VALUE"""),126.0)</f>
        <v>126</v>
      </c>
      <c r="B2805" s="2" t="str">
        <f>IFERROR(__xludf.DUMMYFUNCTION("""COMPUTED_VALUE"""),"DHAKA-NORTH")</f>
        <v>DHAKA-NORTH</v>
      </c>
      <c r="C2805" s="4">
        <f>IFERROR(__xludf.DUMMYFUNCTION("""COMPUTED_VALUE"""),85.0)</f>
        <v>85</v>
      </c>
      <c r="D2805" s="2" t="str">
        <f>IFERROR(__xludf.DUMMYFUNCTION("""COMPUTED_VALUE"""),"DHAKA BANK LTD.")</f>
        <v>DHAKA BANK LTD.</v>
      </c>
      <c r="E2805" s="2" t="str">
        <f>IFERROR(__xludf.DUMMYFUNCTION("""COMPUTED_VALUE"""),"KAMARPARA")</f>
        <v>KAMARPARA</v>
      </c>
      <c r="F2805" s="4">
        <f>IFERROR(__xludf.DUMMYFUNCTION("""COMPUTED_VALUE"""),151.0)</f>
        <v>151</v>
      </c>
      <c r="G2805" s="5">
        <f>IFERROR(__xludf.DUMMYFUNCTION("""COMPUTED_VALUE"""),8.5261514E7)</f>
        <v>85261514</v>
      </c>
    </row>
    <row r="2806">
      <c r="A2806" s="3">
        <f>IFERROR(__xludf.DUMMYFUNCTION("""COMPUTED_VALUE"""),126.0)</f>
        <v>126</v>
      </c>
      <c r="B2806" s="2" t="str">
        <f>IFERROR(__xludf.DUMMYFUNCTION("""COMPUTED_VALUE"""),"DHAKA-NORTH")</f>
        <v>DHAKA-NORTH</v>
      </c>
      <c r="C2806" s="4">
        <f>IFERROR(__xludf.DUMMYFUNCTION("""COMPUTED_VALUE"""),85.0)</f>
        <v>85</v>
      </c>
      <c r="D2806" s="2" t="str">
        <f>IFERROR(__xludf.DUMMYFUNCTION("""COMPUTED_VALUE"""),"DHAKA BANK LTD.")</f>
        <v>DHAKA BANK LTD.</v>
      </c>
      <c r="E2806" s="2" t="str">
        <f>IFERROR(__xludf.DUMMYFUNCTION("""COMPUTED_VALUE"""),"GULSHAN")</f>
        <v>GULSHAN</v>
      </c>
      <c r="F2806" s="4">
        <f>IFERROR(__xludf.DUMMYFUNCTION("""COMPUTED_VALUE"""),172.0)</f>
        <v>172</v>
      </c>
      <c r="G2806" s="5">
        <f>IFERROR(__xludf.DUMMYFUNCTION("""COMPUTED_VALUE"""),8.5261727E7)</f>
        <v>85261727</v>
      </c>
    </row>
    <row r="2807">
      <c r="A2807" s="3">
        <f>IFERROR(__xludf.DUMMYFUNCTION("""COMPUTED_VALUE"""),126.0)</f>
        <v>126</v>
      </c>
      <c r="B2807" s="2" t="str">
        <f>IFERROR(__xludf.DUMMYFUNCTION("""COMPUTED_VALUE"""),"DHAKA-NORTH")</f>
        <v>DHAKA-NORTH</v>
      </c>
      <c r="C2807" s="4">
        <f>IFERROR(__xludf.DUMMYFUNCTION("""COMPUTED_VALUE"""),85.0)</f>
        <v>85</v>
      </c>
      <c r="D2807" s="2" t="str">
        <f>IFERROR(__xludf.DUMMYFUNCTION("""COMPUTED_VALUE"""),"DHAKA BANK LTD.")</f>
        <v>DHAKA BANK LTD.</v>
      </c>
      <c r="E2807" s="2" t="str">
        <f>IFERROR(__xludf.DUMMYFUNCTION("""COMPUTED_VALUE"""),"GULSHAN CIRCLE-2")</f>
        <v>GULSHAN CIRCLE-2</v>
      </c>
      <c r="F2807" s="4">
        <f>IFERROR(__xludf.DUMMYFUNCTION("""COMPUTED_VALUE"""),177.0)</f>
        <v>177</v>
      </c>
      <c r="G2807" s="5">
        <f>IFERROR(__xludf.DUMMYFUNCTION("""COMPUTED_VALUE"""),8.5261772E7)</f>
        <v>85261772</v>
      </c>
    </row>
    <row r="2808">
      <c r="A2808" s="3">
        <f>IFERROR(__xludf.DUMMYFUNCTION("""COMPUTED_VALUE"""),126.0)</f>
        <v>126</v>
      </c>
      <c r="B2808" s="2" t="str">
        <f>IFERROR(__xludf.DUMMYFUNCTION("""COMPUTED_VALUE"""),"DHAKA-NORTH")</f>
        <v>DHAKA-NORTH</v>
      </c>
      <c r="C2808" s="4">
        <f>IFERROR(__xludf.DUMMYFUNCTION("""COMPUTED_VALUE"""),85.0)</f>
        <v>85</v>
      </c>
      <c r="D2808" s="2" t="str">
        <f>IFERROR(__xludf.DUMMYFUNCTION("""COMPUTED_VALUE"""),"DHAKA BANK LTD.")</f>
        <v>DHAKA BANK LTD.</v>
      </c>
      <c r="E2808" s="2" t="str">
        <f>IFERROR(__xludf.DUMMYFUNCTION("""COMPUTED_VALUE"""),"KARWAN BAZAR")</f>
        <v>KARWAN BAZAR</v>
      </c>
      <c r="F2808" s="4">
        <f>IFERROR(__xludf.DUMMYFUNCTION("""COMPUTED_VALUE"""),253.0)</f>
        <v>253</v>
      </c>
      <c r="G2808" s="5">
        <f>IFERROR(__xludf.DUMMYFUNCTION("""COMPUTED_VALUE"""),8.5262539E7)</f>
        <v>85262539</v>
      </c>
    </row>
    <row r="2809">
      <c r="A2809" s="3">
        <f>IFERROR(__xludf.DUMMYFUNCTION("""COMPUTED_VALUE"""),126.0)</f>
        <v>126</v>
      </c>
      <c r="B2809" s="2" t="str">
        <f>IFERROR(__xludf.DUMMYFUNCTION("""COMPUTED_VALUE"""),"DHAKA-NORTH")</f>
        <v>DHAKA-NORTH</v>
      </c>
      <c r="C2809" s="4">
        <f>IFERROR(__xludf.DUMMYFUNCTION("""COMPUTED_VALUE"""),85.0)</f>
        <v>85</v>
      </c>
      <c r="D2809" s="2" t="str">
        <f>IFERROR(__xludf.DUMMYFUNCTION("""COMPUTED_VALUE"""),"DHAKA BANK LTD.")</f>
        <v>DHAKA BANK LTD.</v>
      </c>
      <c r="E2809" s="2" t="str">
        <f>IFERROR(__xludf.DUMMYFUNCTION("""COMPUTED_VALUE"""),"MIRPUR")</f>
        <v>MIRPUR</v>
      </c>
      <c r="F2809" s="4">
        <f>IFERROR(__xludf.DUMMYFUNCTION("""COMPUTED_VALUE"""),298.0)</f>
        <v>298</v>
      </c>
      <c r="G2809" s="5">
        <f>IFERROR(__xludf.DUMMYFUNCTION("""COMPUTED_VALUE"""),8.5262984E7)</f>
        <v>85262984</v>
      </c>
    </row>
    <row r="2810">
      <c r="A2810" s="3">
        <f>IFERROR(__xludf.DUMMYFUNCTION("""COMPUTED_VALUE"""),126.0)</f>
        <v>126</v>
      </c>
      <c r="B2810" s="2" t="str">
        <f>IFERROR(__xludf.DUMMYFUNCTION("""COMPUTED_VALUE"""),"DHAKA-NORTH")</f>
        <v>DHAKA-NORTH</v>
      </c>
      <c r="C2810" s="4">
        <f>IFERROR(__xludf.DUMMYFUNCTION("""COMPUTED_VALUE"""),85.0)</f>
        <v>85</v>
      </c>
      <c r="D2810" s="2" t="str">
        <f>IFERROR(__xludf.DUMMYFUNCTION("""COMPUTED_VALUE"""),"DHAKA BANK LTD.")</f>
        <v>DHAKA BANK LTD.</v>
      </c>
      <c r="E2810" s="2" t="str">
        <f>IFERROR(__xludf.DUMMYFUNCTION("""COMPUTED_VALUE"""),"MOHAKHALI")</f>
        <v>MOHAKHALI</v>
      </c>
      <c r="F2810" s="4">
        <f>IFERROR(__xludf.DUMMYFUNCTION("""COMPUTED_VALUE"""),319.0)</f>
        <v>319</v>
      </c>
      <c r="G2810" s="5">
        <f>IFERROR(__xludf.DUMMYFUNCTION("""COMPUTED_VALUE"""),8.5263196E7)</f>
        <v>85263196</v>
      </c>
    </row>
    <row r="2811">
      <c r="A2811" s="3">
        <f>IFERROR(__xludf.DUMMYFUNCTION("""COMPUTED_VALUE"""),126.0)</f>
        <v>126</v>
      </c>
      <c r="B2811" s="2" t="str">
        <f>IFERROR(__xludf.DUMMYFUNCTION("""COMPUTED_VALUE"""),"DHAKA-NORTH")</f>
        <v>DHAKA-NORTH</v>
      </c>
      <c r="C2811" s="4">
        <f>IFERROR(__xludf.DUMMYFUNCTION("""COMPUTED_VALUE"""),85.0)</f>
        <v>85</v>
      </c>
      <c r="D2811" s="2" t="str">
        <f>IFERROR(__xludf.DUMMYFUNCTION("""COMPUTED_VALUE"""),"DHAKA BANK LTD.")</f>
        <v>DHAKA BANK LTD.</v>
      </c>
      <c r="E2811" s="2" t="str">
        <f>IFERROR(__xludf.DUMMYFUNCTION("""COMPUTED_VALUE"""),"SAVAR BAZAR")</f>
        <v>SAVAR BAZAR</v>
      </c>
      <c r="F2811" s="4">
        <f>IFERROR(__xludf.DUMMYFUNCTION("""COMPUTED_VALUE"""),412.0)</f>
        <v>412</v>
      </c>
      <c r="G2811" s="5">
        <f>IFERROR(__xludf.DUMMYFUNCTION("""COMPUTED_VALUE"""),8.5264124E7)</f>
        <v>85264124</v>
      </c>
    </row>
    <row r="2812">
      <c r="A2812" s="3">
        <f>IFERROR(__xludf.DUMMYFUNCTION("""COMPUTED_VALUE"""),126.0)</f>
        <v>126</v>
      </c>
      <c r="B2812" s="2" t="str">
        <f>IFERROR(__xludf.DUMMYFUNCTION("""COMPUTED_VALUE"""),"DHAKA-NORTH")</f>
        <v>DHAKA-NORTH</v>
      </c>
      <c r="C2812" s="4">
        <f>IFERROR(__xludf.DUMMYFUNCTION("""COMPUTED_VALUE"""),85.0)</f>
        <v>85</v>
      </c>
      <c r="D2812" s="2" t="str">
        <f>IFERROR(__xludf.DUMMYFUNCTION("""COMPUTED_VALUE"""),"DHAKA BANK LTD.")</f>
        <v>DHAKA BANK LTD.</v>
      </c>
      <c r="E2812" s="2" t="str">
        <f>IFERROR(__xludf.DUMMYFUNCTION("""COMPUTED_VALUE"""),"UTTARA")</f>
        <v>UTTARA</v>
      </c>
      <c r="F2812" s="4">
        <f>IFERROR(__xludf.DUMMYFUNCTION("""COMPUTED_VALUE"""),463.0)</f>
        <v>463</v>
      </c>
      <c r="G2812" s="5">
        <f>IFERROR(__xludf.DUMMYFUNCTION("""COMPUTED_VALUE"""),8.5264632E7)</f>
        <v>85264632</v>
      </c>
    </row>
    <row r="2813">
      <c r="A2813" s="3">
        <f>IFERROR(__xludf.DUMMYFUNCTION("""COMPUTED_VALUE"""),127.0)</f>
        <v>127</v>
      </c>
      <c r="B2813" s="2" t="str">
        <f>IFERROR(__xludf.DUMMYFUNCTION("""COMPUTED_VALUE"""),"DHAKA-SOUTH")</f>
        <v>DHAKA-SOUTH</v>
      </c>
      <c r="C2813" s="4">
        <f>IFERROR(__xludf.DUMMYFUNCTION("""COMPUTED_VALUE"""),85.0)</f>
        <v>85</v>
      </c>
      <c r="D2813" s="2" t="str">
        <f>IFERROR(__xludf.DUMMYFUNCTION("""COMPUTED_VALUE"""),"DHAKA BANK LTD.")</f>
        <v>DHAKA BANK LTD.</v>
      </c>
      <c r="E2813" s="2" t="str">
        <f>IFERROR(__xludf.DUMMYFUNCTION("""COMPUTED_VALUE"""),"TRUNCATION POINT")</f>
        <v>TRUNCATION POINT</v>
      </c>
      <c r="F2813" s="4">
        <f>IFERROR(__xludf.DUMMYFUNCTION("""COMPUTED_VALUE"""),0.0)</f>
        <v>0</v>
      </c>
      <c r="G2813" s="5">
        <f>IFERROR(__xludf.DUMMYFUNCTION("""COMPUTED_VALUE"""),8.527E7)</f>
        <v>85270000</v>
      </c>
    </row>
    <row r="2814">
      <c r="A2814" s="3">
        <f>IFERROR(__xludf.DUMMYFUNCTION("""COMPUTED_VALUE"""),127.0)</f>
        <v>127</v>
      </c>
      <c r="B2814" s="2" t="str">
        <f>IFERROR(__xludf.DUMMYFUNCTION("""COMPUTED_VALUE"""),"DHAKA-SOUTH")</f>
        <v>DHAKA-SOUTH</v>
      </c>
      <c r="C2814" s="4">
        <f>IFERROR(__xludf.DUMMYFUNCTION("""COMPUTED_VALUE"""),85.0)</f>
        <v>85</v>
      </c>
      <c r="D2814" s="2" t="str">
        <f>IFERROR(__xludf.DUMMYFUNCTION("""COMPUTED_VALUE"""),"DHAKA BANK LTD.")</f>
        <v>DHAKA BANK LTD.</v>
      </c>
      <c r="E2814" s="2" t="str">
        <f>IFERROR(__xludf.DUMMYFUNCTION("""COMPUTED_VALUE"""),"BANGSHAL")</f>
        <v>BANGSHAL</v>
      </c>
      <c r="F2814" s="4">
        <f>IFERROR(__xludf.DUMMYFUNCTION("""COMPUTED_VALUE"""),88.0)</f>
        <v>88</v>
      </c>
      <c r="G2814" s="5">
        <f>IFERROR(__xludf.DUMMYFUNCTION("""COMPUTED_VALUE"""),8.5270884E7)</f>
        <v>85270884</v>
      </c>
    </row>
    <row r="2815">
      <c r="A2815" s="3">
        <f>IFERROR(__xludf.DUMMYFUNCTION("""COMPUTED_VALUE"""),127.0)</f>
        <v>127</v>
      </c>
      <c r="B2815" s="2" t="str">
        <f>IFERROR(__xludf.DUMMYFUNCTION("""COMPUTED_VALUE"""),"DHAKA-SOUTH")</f>
        <v>DHAKA-SOUTH</v>
      </c>
      <c r="C2815" s="4">
        <f>IFERROR(__xludf.DUMMYFUNCTION("""COMPUTED_VALUE"""),85.0)</f>
        <v>85</v>
      </c>
      <c r="D2815" s="2" t="str">
        <f>IFERROR(__xludf.DUMMYFUNCTION("""COMPUTED_VALUE"""),"DHAKA BANK LTD.")</f>
        <v>DHAKA BANK LTD.</v>
      </c>
      <c r="E2815" s="2" t="str">
        <f>IFERROR(__xludf.DUMMYFUNCTION("""COMPUTED_VALUE"""),"FOREIGN EXCHANGE")</f>
        <v>FOREIGN EXCHANGE</v>
      </c>
      <c r="F2815" s="4">
        <f>IFERROR(__xludf.DUMMYFUNCTION("""COMPUTED_VALUE"""),232.0)</f>
        <v>232</v>
      </c>
      <c r="G2815" s="5">
        <f>IFERROR(__xludf.DUMMYFUNCTION("""COMPUTED_VALUE"""),8.5272329E7)</f>
        <v>85272329</v>
      </c>
    </row>
    <row r="2816">
      <c r="A2816" s="3">
        <f>IFERROR(__xludf.DUMMYFUNCTION("""COMPUTED_VALUE"""),127.0)</f>
        <v>127</v>
      </c>
      <c r="B2816" s="2" t="str">
        <f>IFERROR(__xludf.DUMMYFUNCTION("""COMPUTED_VALUE"""),"DHAKA-SOUTH")</f>
        <v>DHAKA-SOUTH</v>
      </c>
      <c r="C2816" s="4">
        <f>IFERROR(__xludf.DUMMYFUNCTION("""COMPUTED_VALUE"""),85.0)</f>
        <v>85</v>
      </c>
      <c r="D2816" s="2" t="str">
        <f>IFERROR(__xludf.DUMMYFUNCTION("""COMPUTED_VALUE"""),"DHAKA BANK LTD.")</f>
        <v>DHAKA BANK LTD.</v>
      </c>
      <c r="E2816" s="2" t="str">
        <f>IFERROR(__xludf.DUMMYFUNCTION("""COMPUTED_VALUE"""),"HEAD OFFICE")</f>
        <v>HEAD OFFICE</v>
      </c>
      <c r="F2816" s="4">
        <f>IFERROR(__xludf.DUMMYFUNCTION("""COMPUTED_VALUE"""),268.0)</f>
        <v>268</v>
      </c>
      <c r="G2816" s="5">
        <f>IFERROR(__xludf.DUMMYFUNCTION("""COMPUTED_VALUE"""),8.5272682E7)</f>
        <v>85272682</v>
      </c>
    </row>
    <row r="2817">
      <c r="A2817" s="3">
        <f>IFERROR(__xludf.DUMMYFUNCTION("""COMPUTED_VALUE"""),127.0)</f>
        <v>127</v>
      </c>
      <c r="B2817" s="2" t="str">
        <f>IFERROR(__xludf.DUMMYFUNCTION("""COMPUTED_VALUE"""),"DHAKA-SOUTH")</f>
        <v>DHAKA-SOUTH</v>
      </c>
      <c r="C2817" s="4">
        <f>IFERROR(__xludf.DUMMYFUNCTION("""COMPUTED_VALUE"""),85.0)</f>
        <v>85</v>
      </c>
      <c r="D2817" s="2" t="str">
        <f>IFERROR(__xludf.DUMMYFUNCTION("""COMPUTED_VALUE"""),"DHAKA BANK LTD.")</f>
        <v>DHAKA BANK LTD.</v>
      </c>
      <c r="E2817" s="2" t="str">
        <f>IFERROR(__xludf.DUMMYFUNCTION("""COMPUTED_VALUE"""),"IMAMGANJ")</f>
        <v>IMAMGANJ</v>
      </c>
      <c r="F2817" s="4">
        <f>IFERROR(__xludf.DUMMYFUNCTION("""COMPUTED_VALUE"""),280.0)</f>
        <v>280</v>
      </c>
      <c r="G2817" s="5">
        <f>IFERROR(__xludf.DUMMYFUNCTION("""COMPUTED_VALUE"""),8.5272808E7)</f>
        <v>85272808</v>
      </c>
    </row>
    <row r="2818">
      <c r="A2818" s="3">
        <f>IFERROR(__xludf.DUMMYFUNCTION("""COMPUTED_VALUE"""),127.0)</f>
        <v>127</v>
      </c>
      <c r="B2818" s="2" t="str">
        <f>IFERROR(__xludf.DUMMYFUNCTION("""COMPUTED_VALUE"""),"DHAKA-SOUTH")</f>
        <v>DHAKA-SOUTH</v>
      </c>
      <c r="C2818" s="4">
        <f>IFERROR(__xludf.DUMMYFUNCTION("""COMPUTED_VALUE"""),85.0)</f>
        <v>85</v>
      </c>
      <c r="D2818" s="2" t="str">
        <f>IFERROR(__xludf.DUMMYFUNCTION("""COMPUTED_VALUE"""),"DHAKA BANK LTD.")</f>
        <v>DHAKA BANK LTD.</v>
      </c>
      <c r="E2818" s="2" t="str">
        <f>IFERROR(__xludf.DUMMYFUNCTION("""COMPUTED_VALUE"""),"ISLAMI BANKING(MOTIJHEEL)")</f>
        <v>ISLAMI BANKING(MOTIJHEEL)</v>
      </c>
      <c r="F2818" s="4">
        <f>IFERROR(__xludf.DUMMYFUNCTION("""COMPUTED_VALUE"""),295.0)</f>
        <v>295</v>
      </c>
      <c r="G2818" s="5">
        <f>IFERROR(__xludf.DUMMYFUNCTION("""COMPUTED_VALUE"""),8.5272958E7)</f>
        <v>85272958</v>
      </c>
    </row>
    <row r="2819">
      <c r="A2819" s="3">
        <f>IFERROR(__xludf.DUMMYFUNCTION("""COMPUTED_VALUE"""),127.0)</f>
        <v>127</v>
      </c>
      <c r="B2819" s="2" t="str">
        <f>IFERROR(__xludf.DUMMYFUNCTION("""COMPUTED_VALUE"""),"DHAKA-SOUTH")</f>
        <v>DHAKA-SOUTH</v>
      </c>
      <c r="C2819" s="4">
        <f>IFERROR(__xludf.DUMMYFUNCTION("""COMPUTED_VALUE"""),85.0)</f>
        <v>85</v>
      </c>
      <c r="D2819" s="2" t="str">
        <f>IFERROR(__xludf.DUMMYFUNCTION("""COMPUTED_VALUE"""),"DHAKA BANK LTD.")</f>
        <v>DHAKA BANK LTD.</v>
      </c>
      <c r="E2819" s="2" t="str">
        <f>IFERROR(__xludf.DUMMYFUNCTION("""COMPUTED_VALUE"""),"ISLAMPUR")</f>
        <v>ISLAMPUR</v>
      </c>
      <c r="F2819" s="4">
        <f>IFERROR(__xludf.DUMMYFUNCTION("""COMPUTED_VALUE"""),298.0)</f>
        <v>298</v>
      </c>
      <c r="G2819" s="5">
        <f>IFERROR(__xludf.DUMMYFUNCTION("""COMPUTED_VALUE"""),8.5272987E7)</f>
        <v>85272987</v>
      </c>
    </row>
    <row r="2820">
      <c r="A2820" s="3">
        <f>IFERROR(__xludf.DUMMYFUNCTION("""COMPUTED_VALUE"""),127.0)</f>
        <v>127</v>
      </c>
      <c r="B2820" s="2" t="str">
        <f>IFERROR(__xludf.DUMMYFUNCTION("""COMPUTED_VALUE"""),"DHAKA-SOUTH")</f>
        <v>DHAKA-SOUTH</v>
      </c>
      <c r="C2820" s="4">
        <f>IFERROR(__xludf.DUMMYFUNCTION("""COMPUTED_VALUE"""),85.0)</f>
        <v>85</v>
      </c>
      <c r="D2820" s="2" t="str">
        <f>IFERROR(__xludf.DUMMYFUNCTION("""COMPUTED_VALUE"""),"DHAKA BANK LTD.")</f>
        <v>DHAKA BANK LTD.</v>
      </c>
      <c r="E2820" s="2" t="str">
        <f>IFERROR(__xludf.DUMMYFUNCTION("""COMPUTED_VALUE"""),"JATRABARI")</f>
        <v>JATRABARI</v>
      </c>
      <c r="F2820" s="4">
        <f>IFERROR(__xludf.DUMMYFUNCTION("""COMPUTED_VALUE"""),322.0)</f>
        <v>322</v>
      </c>
      <c r="G2820" s="5">
        <f>IFERROR(__xludf.DUMMYFUNCTION("""COMPUTED_VALUE"""),8.5273223E7)</f>
        <v>85273223</v>
      </c>
    </row>
    <row r="2821">
      <c r="A2821" s="3">
        <f>IFERROR(__xludf.DUMMYFUNCTION("""COMPUTED_VALUE"""),127.0)</f>
        <v>127</v>
      </c>
      <c r="B2821" s="2" t="str">
        <f>IFERROR(__xludf.DUMMYFUNCTION("""COMPUTED_VALUE"""),"DHAKA-SOUTH")</f>
        <v>DHAKA-SOUTH</v>
      </c>
      <c r="C2821" s="4">
        <f>IFERROR(__xludf.DUMMYFUNCTION("""COMPUTED_VALUE"""),85.0)</f>
        <v>85</v>
      </c>
      <c r="D2821" s="2" t="str">
        <f>IFERROR(__xludf.DUMMYFUNCTION("""COMPUTED_VALUE"""),"DHAKA BANK LTD.")</f>
        <v>DHAKA BANK LTD.</v>
      </c>
      <c r="E2821" s="2" t="str">
        <f>IFERROR(__xludf.DUMMYFUNCTION("""COMPUTED_VALUE"""),"JOYPARA")</f>
        <v>JOYPARA</v>
      </c>
      <c r="F2821" s="4">
        <f>IFERROR(__xludf.DUMMYFUNCTION("""COMPUTED_VALUE"""),328.0)</f>
        <v>328</v>
      </c>
      <c r="G2821" s="5">
        <f>IFERROR(__xludf.DUMMYFUNCTION("""COMPUTED_VALUE"""),8.5273281E7)</f>
        <v>85273281</v>
      </c>
    </row>
    <row r="2822">
      <c r="A2822" s="3">
        <f>IFERROR(__xludf.DUMMYFUNCTION("""COMPUTED_VALUE"""),127.0)</f>
        <v>127</v>
      </c>
      <c r="B2822" s="2" t="str">
        <f>IFERROR(__xludf.DUMMYFUNCTION("""COMPUTED_VALUE"""),"DHAKA-SOUTH")</f>
        <v>DHAKA-SOUTH</v>
      </c>
      <c r="C2822" s="4">
        <f>IFERROR(__xludf.DUMMYFUNCTION("""COMPUTED_VALUE"""),85.0)</f>
        <v>85</v>
      </c>
      <c r="D2822" s="2" t="str">
        <f>IFERROR(__xludf.DUMMYFUNCTION("""COMPUTED_VALUE"""),"DHAKA BANK LTD.")</f>
        <v>DHAKA BANK LTD.</v>
      </c>
      <c r="E2822" s="2" t="str">
        <f>IFERROR(__xludf.DUMMYFUNCTION("""COMPUTED_VALUE"""),"KAKRAIL")</f>
        <v>KAKRAIL</v>
      </c>
      <c r="F2822" s="4">
        <f>IFERROR(__xludf.DUMMYFUNCTION("""COMPUTED_VALUE"""),337.0)</f>
        <v>337</v>
      </c>
      <c r="G2822" s="5">
        <f>IFERROR(__xludf.DUMMYFUNCTION("""COMPUTED_VALUE"""),8.5273373E7)</f>
        <v>85273373</v>
      </c>
    </row>
    <row r="2823">
      <c r="A2823" s="3">
        <f>IFERROR(__xludf.DUMMYFUNCTION("""COMPUTED_VALUE"""),127.0)</f>
        <v>127</v>
      </c>
      <c r="B2823" s="2" t="str">
        <f>IFERROR(__xludf.DUMMYFUNCTION("""COMPUTED_VALUE"""),"DHAKA-SOUTH")</f>
        <v>DHAKA-SOUTH</v>
      </c>
      <c r="C2823" s="4">
        <f>IFERROR(__xludf.DUMMYFUNCTION("""COMPUTED_VALUE"""),85.0)</f>
        <v>85</v>
      </c>
      <c r="D2823" s="2" t="str">
        <f>IFERROR(__xludf.DUMMYFUNCTION("""COMPUTED_VALUE"""),"DHAKA BANK LTD.")</f>
        <v>DHAKA BANK LTD.</v>
      </c>
      <c r="E2823" s="2" t="str">
        <f>IFERROR(__xludf.DUMMYFUNCTION("""COMPUTED_VALUE"""),"KALATIA")</f>
        <v>KALATIA</v>
      </c>
      <c r="F2823" s="4">
        <f>IFERROR(__xludf.DUMMYFUNCTION("""COMPUTED_VALUE"""),343.0)</f>
        <v>343</v>
      </c>
      <c r="G2823" s="5">
        <f>IFERROR(__xludf.DUMMYFUNCTION("""COMPUTED_VALUE"""),8.5273436E7)</f>
        <v>85273436</v>
      </c>
    </row>
    <row r="2824">
      <c r="A2824" s="3">
        <f>IFERROR(__xludf.DUMMYFUNCTION("""COMPUTED_VALUE"""),127.0)</f>
        <v>127</v>
      </c>
      <c r="B2824" s="2" t="str">
        <f>IFERROR(__xludf.DUMMYFUNCTION("""COMPUTED_VALUE"""),"DHAKA-SOUTH")</f>
        <v>DHAKA-SOUTH</v>
      </c>
      <c r="C2824" s="4">
        <f>IFERROR(__xludf.DUMMYFUNCTION("""COMPUTED_VALUE"""),85.0)</f>
        <v>85</v>
      </c>
      <c r="D2824" s="2" t="str">
        <f>IFERROR(__xludf.DUMMYFUNCTION("""COMPUTED_VALUE"""),"DHAKA BANK LTD.")</f>
        <v>DHAKA BANK LTD.</v>
      </c>
      <c r="E2824" s="2" t="str">
        <f>IFERROR(__xludf.DUMMYFUNCTION("""COMPUTED_VALUE"""),"KERANIGANJ")</f>
        <v>KERANIGANJ</v>
      </c>
      <c r="F2824" s="4">
        <f>IFERROR(__xludf.DUMMYFUNCTION("""COMPUTED_VALUE"""),364.0)</f>
        <v>364</v>
      </c>
      <c r="G2824" s="5">
        <f>IFERROR(__xludf.DUMMYFUNCTION("""COMPUTED_VALUE"""),8.5273649E7)</f>
        <v>85273649</v>
      </c>
    </row>
    <row r="2825">
      <c r="A2825" s="3">
        <f>IFERROR(__xludf.DUMMYFUNCTION("""COMPUTED_VALUE"""),127.0)</f>
        <v>127</v>
      </c>
      <c r="B2825" s="2" t="str">
        <f>IFERROR(__xludf.DUMMYFUNCTION("""COMPUTED_VALUE"""),"DHAKA-SOUTH")</f>
        <v>DHAKA-SOUTH</v>
      </c>
      <c r="C2825" s="4">
        <f>IFERROR(__xludf.DUMMYFUNCTION("""COMPUTED_VALUE"""),85.0)</f>
        <v>85</v>
      </c>
      <c r="D2825" s="2" t="str">
        <f>IFERROR(__xludf.DUMMYFUNCTION("""COMPUTED_VALUE"""),"DHAKA BANK LTD.")</f>
        <v>DHAKA BANK LTD.</v>
      </c>
      <c r="E2825" s="2" t="str">
        <f>IFERROR(__xludf.DUMMYFUNCTION("""COMPUTED_VALUE"""),"KHILGAON")</f>
        <v>KHILGAON</v>
      </c>
      <c r="F2825" s="4">
        <f>IFERROR(__xludf.DUMMYFUNCTION("""COMPUTED_VALUE"""),367.0)</f>
        <v>367</v>
      </c>
      <c r="G2825" s="5">
        <f>IFERROR(__xludf.DUMMYFUNCTION("""COMPUTED_VALUE"""),8.5273678E7)</f>
        <v>85273678</v>
      </c>
    </row>
    <row r="2826">
      <c r="A2826" s="3">
        <f>IFERROR(__xludf.DUMMYFUNCTION("""COMPUTED_VALUE"""),127.0)</f>
        <v>127</v>
      </c>
      <c r="B2826" s="2" t="str">
        <f>IFERROR(__xludf.DUMMYFUNCTION("""COMPUTED_VALUE"""),"DHAKA-SOUTH")</f>
        <v>DHAKA-SOUTH</v>
      </c>
      <c r="C2826" s="4">
        <f>IFERROR(__xludf.DUMMYFUNCTION("""COMPUTED_VALUE"""),85.0)</f>
        <v>85</v>
      </c>
      <c r="D2826" s="2" t="str">
        <f>IFERROR(__xludf.DUMMYFUNCTION("""COMPUTED_VALUE"""),"DHAKA BANK LTD.")</f>
        <v>DHAKA BANK LTD.</v>
      </c>
      <c r="E2826" s="2" t="str">
        <f>IFERROR(__xludf.DUMMYFUNCTION("""COMPUTED_VALUE"""),"LOCAL OFFICE")</f>
        <v>LOCAL OFFICE</v>
      </c>
      <c r="F2826" s="4">
        <f>IFERROR(__xludf.DUMMYFUNCTION("""COMPUTED_VALUE"""),388.0)</f>
        <v>388</v>
      </c>
      <c r="G2826" s="5">
        <f>IFERROR(__xludf.DUMMYFUNCTION("""COMPUTED_VALUE"""),8.5273881E7)</f>
        <v>85273881</v>
      </c>
    </row>
    <row r="2827">
      <c r="A2827" s="3">
        <f>IFERROR(__xludf.DUMMYFUNCTION("""COMPUTED_VALUE"""),127.0)</f>
        <v>127</v>
      </c>
      <c r="B2827" s="2" t="str">
        <f>IFERROR(__xludf.DUMMYFUNCTION("""COMPUTED_VALUE"""),"DHAKA-SOUTH")</f>
        <v>DHAKA-SOUTH</v>
      </c>
      <c r="C2827" s="4">
        <f>IFERROR(__xludf.DUMMYFUNCTION("""COMPUTED_VALUE"""),85.0)</f>
        <v>85</v>
      </c>
      <c r="D2827" s="2" t="str">
        <f>IFERROR(__xludf.DUMMYFUNCTION("""COMPUTED_VALUE"""),"DHAKA BANK LTD.")</f>
        <v>DHAKA BANK LTD.</v>
      </c>
      <c r="E2827" s="2" t="str">
        <f>IFERROR(__xludf.DUMMYFUNCTION("""COMPUTED_VALUE"""),"SHAHJAHANPUR")</f>
        <v>SHAHJAHANPUR</v>
      </c>
      <c r="F2827" s="4">
        <f>IFERROR(__xludf.DUMMYFUNCTION("""COMPUTED_VALUE"""),418.0)</f>
        <v>418</v>
      </c>
      <c r="G2827" s="5">
        <f>IFERROR(__xludf.DUMMYFUNCTION("""COMPUTED_VALUE"""),8.5274185E7)</f>
        <v>85274185</v>
      </c>
    </row>
    <row r="2828">
      <c r="A2828" s="3">
        <f>IFERROR(__xludf.DUMMYFUNCTION("""COMPUTED_VALUE"""),127.0)</f>
        <v>127</v>
      </c>
      <c r="B2828" s="2" t="str">
        <f>IFERROR(__xludf.DUMMYFUNCTION("""COMPUTED_VALUE"""),"DHAKA-SOUTH")</f>
        <v>DHAKA-SOUTH</v>
      </c>
      <c r="C2828" s="4">
        <f>IFERROR(__xludf.DUMMYFUNCTION("""COMPUTED_VALUE"""),85.0)</f>
        <v>85</v>
      </c>
      <c r="D2828" s="2" t="str">
        <f>IFERROR(__xludf.DUMMYFUNCTION("""COMPUTED_VALUE"""),"DHAKA BANK LTD.")</f>
        <v>DHAKA BANK LTD.</v>
      </c>
      <c r="E2828" s="2" t="str">
        <f>IFERROR(__xludf.DUMMYFUNCTION("""COMPUTED_VALUE"""),"MOTIJHEEL")</f>
        <v>MOTIJHEEL</v>
      </c>
      <c r="F2828" s="4">
        <f>IFERROR(__xludf.DUMMYFUNCTION("""COMPUTED_VALUE"""),424.0)</f>
        <v>424</v>
      </c>
      <c r="G2828" s="5">
        <f>IFERROR(__xludf.DUMMYFUNCTION("""COMPUTED_VALUE"""),8.5274248E7)</f>
        <v>85274248</v>
      </c>
    </row>
    <row r="2829">
      <c r="A2829" s="3">
        <f>IFERROR(__xludf.DUMMYFUNCTION("""COMPUTED_VALUE"""),127.0)</f>
        <v>127</v>
      </c>
      <c r="B2829" s="2" t="str">
        <f>IFERROR(__xludf.DUMMYFUNCTION("""COMPUTED_VALUE"""),"DHAKA-SOUTH")</f>
        <v>DHAKA-SOUTH</v>
      </c>
      <c r="C2829" s="4">
        <f>IFERROR(__xludf.DUMMYFUNCTION("""COMPUTED_VALUE"""),85.0)</f>
        <v>85</v>
      </c>
      <c r="D2829" s="2" t="str">
        <f>IFERROR(__xludf.DUMMYFUNCTION("""COMPUTED_VALUE"""),"DHAKA BANK LTD.")</f>
        <v>DHAKA BANK LTD.</v>
      </c>
      <c r="E2829" s="2" t="str">
        <f>IFERROR(__xludf.DUMMYFUNCTION("""COMPUTED_VALUE"""),"NANDIPARA")</f>
        <v>NANDIPARA</v>
      </c>
      <c r="F2829" s="4">
        <f>IFERROR(__xludf.DUMMYFUNCTION("""COMPUTED_VALUE"""),460.0)</f>
        <v>460</v>
      </c>
      <c r="G2829" s="5">
        <f>IFERROR(__xludf.DUMMYFUNCTION("""COMPUTED_VALUE"""),8.5274606E7)</f>
        <v>85274606</v>
      </c>
    </row>
    <row r="2830">
      <c r="A2830" s="3">
        <f>IFERROR(__xludf.DUMMYFUNCTION("""COMPUTED_VALUE"""),728.0)</f>
        <v>728</v>
      </c>
      <c r="B2830" s="2" t="str">
        <f>IFERROR(__xludf.DUMMYFUNCTION("""COMPUTED_VALUE"""),"DINAJPUR")</f>
        <v>DINAJPUR</v>
      </c>
      <c r="C2830" s="4">
        <f>IFERROR(__xludf.DUMMYFUNCTION("""COMPUTED_VALUE"""),85.0)</f>
        <v>85</v>
      </c>
      <c r="D2830" s="2" t="str">
        <f>IFERROR(__xludf.DUMMYFUNCTION("""COMPUTED_VALUE"""),"DHAKA BANK LTD.")</f>
        <v>DHAKA BANK LTD.</v>
      </c>
      <c r="E2830" s="2" t="str">
        <f>IFERROR(__xludf.DUMMYFUNCTION("""COMPUTED_VALUE"""),"DINAJPUR")</f>
        <v>DINAJPUR</v>
      </c>
      <c r="F2830" s="4">
        <f>IFERROR(__xludf.DUMMYFUNCTION("""COMPUTED_VALUE"""),67.0)</f>
        <v>67</v>
      </c>
      <c r="G2830" s="5">
        <f>IFERROR(__xludf.DUMMYFUNCTION("""COMPUTED_VALUE"""),8.5280674E7)</f>
        <v>85280674</v>
      </c>
    </row>
    <row r="2831">
      <c r="A2831" s="3">
        <f>IFERROR(__xludf.DUMMYFUNCTION("""COMPUTED_VALUE"""),329.0)</f>
        <v>329</v>
      </c>
      <c r="B2831" s="2" t="str">
        <f>IFERROR(__xludf.DUMMYFUNCTION("""COMPUTED_VALUE"""),"FARIDPUR")</f>
        <v>FARIDPUR</v>
      </c>
      <c r="C2831" s="4">
        <f>IFERROR(__xludf.DUMMYFUNCTION("""COMPUTED_VALUE"""),85.0)</f>
        <v>85</v>
      </c>
      <c r="D2831" s="2" t="str">
        <f>IFERROR(__xludf.DUMMYFUNCTION("""COMPUTED_VALUE"""),"DHAKA BANK LTD.")</f>
        <v>DHAKA BANK LTD.</v>
      </c>
      <c r="E2831" s="2" t="str">
        <f>IFERROR(__xludf.DUMMYFUNCTION("""COMPUTED_VALUE"""),"FARIDPUR")</f>
        <v>FARIDPUR</v>
      </c>
      <c r="F2831" s="4">
        <f>IFERROR(__xludf.DUMMYFUNCTION("""COMPUTED_VALUE"""),52.0)</f>
        <v>52</v>
      </c>
      <c r="G2831" s="5">
        <f>IFERROR(__xludf.DUMMYFUNCTION("""COMPUTED_VALUE"""),8.5290527E7)</f>
        <v>85290527</v>
      </c>
    </row>
    <row r="2832">
      <c r="A2832" s="3">
        <f>IFERROR(__xludf.DUMMYFUNCTION("""COMPUTED_VALUE"""),230.0)</f>
        <v>230</v>
      </c>
      <c r="B2832" s="2" t="str">
        <f>IFERROR(__xludf.DUMMYFUNCTION("""COMPUTED_VALUE"""),"FENI")</f>
        <v>FENI</v>
      </c>
      <c r="C2832" s="4">
        <f>IFERROR(__xludf.DUMMYFUNCTION("""COMPUTED_VALUE"""),85.0)</f>
        <v>85</v>
      </c>
      <c r="D2832" s="2" t="str">
        <f>IFERROR(__xludf.DUMMYFUNCTION("""COMPUTED_VALUE"""),"DHAKA BANK LTD.")</f>
        <v>DHAKA BANK LTD.</v>
      </c>
      <c r="E2832" s="2" t="str">
        <f>IFERROR(__xludf.DUMMYFUNCTION("""COMPUTED_VALUE"""),"CHHAGALNAIYA")</f>
        <v>CHHAGALNAIYA</v>
      </c>
      <c r="F2832" s="4">
        <f>IFERROR(__xludf.DUMMYFUNCTION("""COMPUTED_VALUE"""),31.0)</f>
        <v>31</v>
      </c>
      <c r="G2832" s="5">
        <f>IFERROR(__xludf.DUMMYFUNCTION("""COMPUTED_VALUE"""),8.5300312E7)</f>
        <v>85300312</v>
      </c>
    </row>
    <row r="2833">
      <c r="A2833" s="3">
        <f>IFERROR(__xludf.DUMMYFUNCTION("""COMPUTED_VALUE"""),230.0)</f>
        <v>230</v>
      </c>
      <c r="B2833" s="2" t="str">
        <f>IFERROR(__xludf.DUMMYFUNCTION("""COMPUTED_VALUE"""),"FENI")</f>
        <v>FENI</v>
      </c>
      <c r="C2833" s="4">
        <f>IFERROR(__xludf.DUMMYFUNCTION("""COMPUTED_VALUE"""),85.0)</f>
        <v>85</v>
      </c>
      <c r="D2833" s="2" t="str">
        <f>IFERROR(__xludf.DUMMYFUNCTION("""COMPUTED_VALUE"""),"DHAKA BANK LTD.")</f>
        <v>DHAKA BANK LTD.</v>
      </c>
      <c r="E2833" s="2" t="str">
        <f>IFERROR(__xludf.DUMMYFUNCTION("""COMPUTED_VALUE"""),"FENI")</f>
        <v>FENI</v>
      </c>
      <c r="F2833" s="4">
        <f>IFERROR(__xludf.DUMMYFUNCTION("""COMPUTED_VALUE"""),52.0)</f>
        <v>52</v>
      </c>
      <c r="G2833" s="5">
        <f>IFERROR(__xludf.DUMMYFUNCTION("""COMPUTED_VALUE"""),8.5300525E7)</f>
        <v>85300525</v>
      </c>
    </row>
    <row r="2834">
      <c r="A2834" s="3">
        <f>IFERROR(__xludf.DUMMYFUNCTION("""COMPUTED_VALUE"""),133.0)</f>
        <v>133</v>
      </c>
      <c r="B2834" s="2" t="str">
        <f>IFERROR(__xludf.DUMMYFUNCTION("""COMPUTED_VALUE"""),"GAZIPUR")</f>
        <v>GAZIPUR</v>
      </c>
      <c r="C2834" s="4">
        <f>IFERROR(__xludf.DUMMYFUNCTION("""COMPUTED_VALUE"""),85.0)</f>
        <v>85</v>
      </c>
      <c r="D2834" s="2" t="str">
        <f>IFERROR(__xludf.DUMMYFUNCTION("""COMPUTED_VALUE"""),"DHAKA BANK LTD.")</f>
        <v>DHAKA BANK LTD.</v>
      </c>
      <c r="E2834" s="2" t="str">
        <f>IFERROR(__xludf.DUMMYFUNCTION("""COMPUTED_VALUE"""),"BOARD BAZAR")</f>
        <v>BOARD BAZAR</v>
      </c>
      <c r="F2834" s="4">
        <f>IFERROR(__xludf.DUMMYFUNCTION("""COMPUTED_VALUE"""),22.0)</f>
        <v>22</v>
      </c>
      <c r="G2834" s="5">
        <f>IFERROR(__xludf.DUMMYFUNCTION("""COMPUTED_VALUE"""),8.5330229E7)</f>
        <v>85330229</v>
      </c>
    </row>
    <row r="2835">
      <c r="A2835" s="3">
        <f>IFERROR(__xludf.DUMMYFUNCTION("""COMPUTED_VALUE"""),133.0)</f>
        <v>133</v>
      </c>
      <c r="B2835" s="2" t="str">
        <f>IFERROR(__xludf.DUMMYFUNCTION("""COMPUTED_VALUE"""),"GAZIPUR")</f>
        <v>GAZIPUR</v>
      </c>
      <c r="C2835" s="4">
        <f>IFERROR(__xludf.DUMMYFUNCTION("""COMPUTED_VALUE"""),85.0)</f>
        <v>85</v>
      </c>
      <c r="D2835" s="2" t="str">
        <f>IFERROR(__xludf.DUMMYFUNCTION("""COMPUTED_VALUE"""),"DHAKA BANK LTD.")</f>
        <v>DHAKA BANK LTD.</v>
      </c>
      <c r="E2835" s="2" t="str">
        <f>IFERROR(__xludf.DUMMYFUNCTION("""COMPUTED_VALUE"""),"KONABARI")</f>
        <v>KONABARI</v>
      </c>
      <c r="F2835" s="4">
        <f>IFERROR(__xludf.DUMMYFUNCTION("""COMPUTED_VALUE"""),94.0)</f>
        <v>94</v>
      </c>
      <c r="G2835" s="5">
        <f>IFERROR(__xludf.DUMMYFUNCTION("""COMPUTED_VALUE"""),8.533094E7)</f>
        <v>85330940</v>
      </c>
    </row>
    <row r="2836">
      <c r="A2836" s="3">
        <f>IFERROR(__xludf.DUMMYFUNCTION("""COMPUTED_VALUE"""),133.0)</f>
        <v>133</v>
      </c>
      <c r="B2836" s="2" t="str">
        <f>IFERROR(__xludf.DUMMYFUNCTION("""COMPUTED_VALUE"""),"GAZIPUR")</f>
        <v>GAZIPUR</v>
      </c>
      <c r="C2836" s="4">
        <f>IFERROR(__xludf.DUMMYFUNCTION("""COMPUTED_VALUE"""),85.0)</f>
        <v>85</v>
      </c>
      <c r="D2836" s="2" t="str">
        <f>IFERROR(__xludf.DUMMYFUNCTION("""COMPUTED_VALUE"""),"DHAKA BANK LTD.")</f>
        <v>DHAKA BANK LTD.</v>
      </c>
      <c r="E2836" s="2" t="str">
        <f>IFERROR(__xludf.DUMMYFUNCTION("""COMPUTED_VALUE"""),"MAWNA")</f>
        <v>MAWNA</v>
      </c>
      <c r="F2836" s="4">
        <f>IFERROR(__xludf.DUMMYFUNCTION("""COMPUTED_VALUE"""),100.0)</f>
        <v>100</v>
      </c>
      <c r="G2836" s="5">
        <f>IFERROR(__xludf.DUMMYFUNCTION("""COMPUTED_VALUE"""),8.5331002E7)</f>
        <v>85331002</v>
      </c>
    </row>
    <row r="2837">
      <c r="A2837" s="3">
        <f>IFERROR(__xludf.DUMMYFUNCTION("""COMPUTED_VALUE"""),836.0)</f>
        <v>836</v>
      </c>
      <c r="B2837" s="2" t="str">
        <f>IFERROR(__xludf.DUMMYFUNCTION("""COMPUTED_VALUE"""),"HABIGANJ")</f>
        <v>HABIGANJ</v>
      </c>
      <c r="C2837" s="4">
        <f>IFERROR(__xludf.DUMMYFUNCTION("""COMPUTED_VALUE"""),85.0)</f>
        <v>85</v>
      </c>
      <c r="D2837" s="2" t="str">
        <f>IFERROR(__xludf.DUMMYFUNCTION("""COMPUTED_VALUE"""),"DHAKA BANK LTD.")</f>
        <v>DHAKA BANK LTD.</v>
      </c>
      <c r="E2837" s="2" t="str">
        <f>IFERROR(__xludf.DUMMYFUNCTION("""COMPUTED_VALUE"""),"HABIGANJ")</f>
        <v>HABIGANJ</v>
      </c>
      <c r="F2837" s="4">
        <f>IFERROR(__xludf.DUMMYFUNCTION("""COMPUTED_VALUE"""),61.0)</f>
        <v>61</v>
      </c>
      <c r="G2837" s="5">
        <f>IFERROR(__xludf.DUMMYFUNCTION("""COMPUTED_VALUE"""),8.5360615E7)</f>
        <v>85360615</v>
      </c>
    </row>
    <row r="2838">
      <c r="A2838" s="3">
        <f>IFERROR(__xludf.DUMMYFUNCTION("""COMPUTED_VALUE"""),441.0)</f>
        <v>441</v>
      </c>
      <c r="B2838" s="2" t="str">
        <f>IFERROR(__xludf.DUMMYFUNCTION("""COMPUTED_VALUE"""),"JESSORE")</f>
        <v>JESSORE</v>
      </c>
      <c r="C2838" s="4">
        <f>IFERROR(__xludf.DUMMYFUNCTION("""COMPUTED_VALUE"""),85.0)</f>
        <v>85</v>
      </c>
      <c r="D2838" s="2" t="str">
        <f>IFERROR(__xludf.DUMMYFUNCTION("""COMPUTED_VALUE"""),"DHAKA BANK LTD.")</f>
        <v>DHAKA BANK LTD.</v>
      </c>
      <c r="E2838" s="2" t="str">
        <f>IFERROR(__xludf.DUMMYFUNCTION("""COMPUTED_VALUE"""),"JESSORE")</f>
        <v>JESSORE</v>
      </c>
      <c r="F2838" s="4">
        <f>IFERROR(__xludf.DUMMYFUNCTION("""COMPUTED_VALUE"""),94.0)</f>
        <v>94</v>
      </c>
      <c r="G2838" s="5">
        <f>IFERROR(__xludf.DUMMYFUNCTION("""COMPUTED_VALUE"""),8.5410949E7)</f>
        <v>85410949</v>
      </c>
    </row>
    <row r="2839">
      <c r="A2839" s="3">
        <f>IFERROR(__xludf.DUMMYFUNCTION("""COMPUTED_VALUE"""),447.0)</f>
        <v>447</v>
      </c>
      <c r="B2839" s="2" t="str">
        <f>IFERROR(__xludf.DUMMYFUNCTION("""COMPUTED_VALUE"""),"KHULNA")</f>
        <v>KHULNA</v>
      </c>
      <c r="C2839" s="4">
        <f>IFERROR(__xludf.DUMMYFUNCTION("""COMPUTED_VALUE"""),85.0)</f>
        <v>85</v>
      </c>
      <c r="D2839" s="2" t="str">
        <f>IFERROR(__xludf.DUMMYFUNCTION("""COMPUTED_VALUE"""),"DHAKA BANK LTD.")</f>
        <v>DHAKA BANK LTD.</v>
      </c>
      <c r="E2839" s="2" t="str">
        <f>IFERROR(__xludf.DUMMYFUNCTION("""COMPUTED_VALUE"""),"K.D.A. AVENUE")</f>
        <v>K.D.A. AVENUE</v>
      </c>
      <c r="F2839" s="4">
        <f>IFERROR(__xludf.DUMMYFUNCTION("""COMPUTED_VALUE"""),117.0)</f>
        <v>117</v>
      </c>
      <c r="G2839" s="5">
        <f>IFERROR(__xludf.DUMMYFUNCTION("""COMPUTED_VALUE"""),8.5471175E7)</f>
        <v>85471175</v>
      </c>
    </row>
    <row r="2840">
      <c r="A2840" s="3">
        <f>IFERROR(__xludf.DUMMYFUNCTION("""COMPUTED_VALUE"""),148.0)</f>
        <v>148</v>
      </c>
      <c r="B2840" s="2" t="str">
        <f>IFERROR(__xludf.DUMMYFUNCTION("""COMPUTED_VALUE"""),"KISHOREGANJ")</f>
        <v>KISHOREGANJ</v>
      </c>
      <c r="C2840" s="4">
        <f>IFERROR(__xludf.DUMMYFUNCTION("""COMPUTED_VALUE"""),85.0)</f>
        <v>85</v>
      </c>
      <c r="D2840" s="2" t="str">
        <f>IFERROR(__xludf.DUMMYFUNCTION("""COMPUTED_VALUE"""),"DHAKA BANK LTD.")</f>
        <v>DHAKA BANK LTD.</v>
      </c>
      <c r="E2840" s="2" t="str">
        <f>IFERROR(__xludf.DUMMYFUNCTION("""COMPUTED_VALUE"""),"BHAIRAB BAZAR")</f>
        <v>BHAIRAB BAZAR</v>
      </c>
      <c r="F2840" s="4">
        <f>IFERROR(__xludf.DUMMYFUNCTION("""COMPUTED_VALUE"""),22.0)</f>
        <v>22</v>
      </c>
      <c r="G2840" s="5">
        <f>IFERROR(__xludf.DUMMYFUNCTION("""COMPUTED_VALUE"""),8.5480229E7)</f>
        <v>85480229</v>
      </c>
    </row>
    <row r="2841">
      <c r="A2841" s="3">
        <f>IFERROR(__xludf.DUMMYFUNCTION("""COMPUTED_VALUE"""),148.0)</f>
        <v>148</v>
      </c>
      <c r="B2841" s="2" t="str">
        <f>IFERROR(__xludf.DUMMYFUNCTION("""COMPUTED_VALUE"""),"KISHOREGANJ")</f>
        <v>KISHOREGANJ</v>
      </c>
      <c r="C2841" s="4">
        <f>IFERROR(__xludf.DUMMYFUNCTION("""COMPUTED_VALUE"""),85.0)</f>
        <v>85</v>
      </c>
      <c r="D2841" s="2" t="str">
        <f>IFERROR(__xludf.DUMMYFUNCTION("""COMPUTED_VALUE"""),"DHAKA BANK LTD.")</f>
        <v>DHAKA BANK LTD.</v>
      </c>
      <c r="E2841" s="2" t="str">
        <f>IFERROR(__xludf.DUMMYFUNCTION("""COMPUTED_VALUE"""),"KISHOREGANJ")</f>
        <v>KISHOREGANJ</v>
      </c>
      <c r="F2841" s="4">
        <f>IFERROR(__xludf.DUMMYFUNCTION("""COMPUTED_VALUE"""),67.0)</f>
        <v>67</v>
      </c>
      <c r="G2841" s="5">
        <f>IFERROR(__xludf.DUMMYFUNCTION("""COMPUTED_VALUE"""),8.5480674E7)</f>
        <v>85480674</v>
      </c>
    </row>
    <row r="2842">
      <c r="A2842" s="3">
        <f>IFERROR(__xludf.DUMMYFUNCTION("""COMPUTED_VALUE"""),251.0)</f>
        <v>251</v>
      </c>
      <c r="B2842" s="2" t="str">
        <f>IFERROR(__xludf.DUMMYFUNCTION("""COMPUTED_VALUE"""),"LAKSHMIPUR")</f>
        <v>LAKSHMIPUR</v>
      </c>
      <c r="C2842" s="4">
        <f>IFERROR(__xludf.DUMMYFUNCTION("""COMPUTED_VALUE"""),85.0)</f>
        <v>85</v>
      </c>
      <c r="D2842" s="2" t="str">
        <f>IFERROR(__xludf.DUMMYFUNCTION("""COMPUTED_VALUE"""),"DHAKA BANK LTD.")</f>
        <v>DHAKA BANK LTD.</v>
      </c>
      <c r="E2842" s="2" t="str">
        <f>IFERROR(__xludf.DUMMYFUNCTION("""COMPUTED_VALUE"""),"LAKSHMIPUR")</f>
        <v>LAKSHMIPUR</v>
      </c>
      <c r="F2842" s="4">
        <f>IFERROR(__xludf.DUMMYFUNCTION("""COMPUTED_VALUE"""),73.0)</f>
        <v>73</v>
      </c>
      <c r="G2842" s="5">
        <f>IFERROR(__xludf.DUMMYFUNCTION("""COMPUTED_VALUE"""),8.5510731E7)</f>
        <v>85510731</v>
      </c>
    </row>
    <row r="2843">
      <c r="A2843" s="3">
        <f>IFERROR(__xludf.DUMMYFUNCTION("""COMPUTED_VALUE"""),858.0)</f>
        <v>858</v>
      </c>
      <c r="B2843" s="2" t="str">
        <f>IFERROR(__xludf.DUMMYFUNCTION("""COMPUTED_VALUE"""),"MOULVI BAZAR")</f>
        <v>MOULVI BAZAR</v>
      </c>
      <c r="C2843" s="4">
        <f>IFERROR(__xludf.DUMMYFUNCTION("""COMPUTED_VALUE"""),85.0)</f>
        <v>85</v>
      </c>
      <c r="D2843" s="2" t="str">
        <f>IFERROR(__xludf.DUMMYFUNCTION("""COMPUTED_VALUE"""),"DHAKA BANK LTD.")</f>
        <v>DHAKA BANK LTD.</v>
      </c>
      <c r="E2843" s="2" t="str">
        <f>IFERROR(__xludf.DUMMYFUNCTION("""COMPUTED_VALUE"""),"MOULAVI BAZAR")</f>
        <v>MOULAVI BAZAR</v>
      </c>
      <c r="F2843" s="4">
        <f>IFERROR(__xludf.DUMMYFUNCTION("""COMPUTED_VALUE"""),118.0)</f>
        <v>118</v>
      </c>
      <c r="G2843" s="5">
        <f>IFERROR(__xludf.DUMMYFUNCTION("""COMPUTED_VALUE"""),8.5581186E7)</f>
        <v>85581186</v>
      </c>
    </row>
    <row r="2844">
      <c r="A2844" s="3">
        <f>IFERROR(__xludf.DUMMYFUNCTION("""COMPUTED_VALUE"""),159.0)</f>
        <v>159</v>
      </c>
      <c r="B2844" s="2" t="str">
        <f>IFERROR(__xludf.DUMMYFUNCTION("""COMPUTED_VALUE"""),"MUNSHIGANJ")</f>
        <v>MUNSHIGANJ</v>
      </c>
      <c r="C2844" s="4">
        <f>IFERROR(__xludf.DUMMYFUNCTION("""COMPUTED_VALUE"""),85.0)</f>
        <v>85</v>
      </c>
      <c r="D2844" s="2" t="str">
        <f>IFERROR(__xludf.DUMMYFUNCTION("""COMPUTED_VALUE"""),"DHAKA BANK LTD.")</f>
        <v>DHAKA BANK LTD.</v>
      </c>
      <c r="E2844" s="2" t="str">
        <f>IFERROR(__xludf.DUMMYFUNCTION("""COMPUTED_VALUE"""),"RAZANAGAR")</f>
        <v>RAZANAGAR</v>
      </c>
      <c r="F2844" s="4">
        <f>IFERROR(__xludf.DUMMYFUNCTION("""COMPUTED_VALUE"""),119.0)</f>
        <v>119</v>
      </c>
      <c r="G2844" s="5">
        <f>IFERROR(__xludf.DUMMYFUNCTION("""COMPUTED_VALUE"""),8.5591192E7)</f>
        <v>85591192</v>
      </c>
    </row>
    <row r="2845">
      <c r="A2845" s="3">
        <f>IFERROR(__xludf.DUMMYFUNCTION("""COMPUTED_VALUE"""),161.0)</f>
        <v>161</v>
      </c>
      <c r="B2845" s="2" t="str">
        <f>IFERROR(__xludf.DUMMYFUNCTION("""COMPUTED_VALUE"""),"MYMENSINGH")</f>
        <v>MYMENSINGH</v>
      </c>
      <c r="C2845" s="4">
        <f>IFERROR(__xludf.DUMMYFUNCTION("""COMPUTED_VALUE"""),85.0)</f>
        <v>85</v>
      </c>
      <c r="D2845" s="2" t="str">
        <f>IFERROR(__xludf.DUMMYFUNCTION("""COMPUTED_VALUE"""),"DHAKA BANK LTD.")</f>
        <v>DHAKA BANK LTD.</v>
      </c>
      <c r="E2845" s="2" t="str">
        <f>IFERROR(__xludf.DUMMYFUNCTION("""COMPUTED_VALUE"""),"MYMENSINGH")</f>
        <v>MYMENSINGH</v>
      </c>
      <c r="F2845" s="4">
        <f>IFERROR(__xludf.DUMMYFUNCTION("""COMPUTED_VALUE"""),175.0)</f>
        <v>175</v>
      </c>
      <c r="G2845" s="5">
        <f>IFERROR(__xludf.DUMMYFUNCTION("""COMPUTED_VALUE"""),8.5611751E7)</f>
        <v>85611751</v>
      </c>
    </row>
    <row r="2846">
      <c r="A2846" s="3">
        <f>IFERROR(__xludf.DUMMYFUNCTION("""COMPUTED_VALUE"""),167.0)</f>
        <v>167</v>
      </c>
      <c r="B2846" s="2" t="str">
        <f>IFERROR(__xludf.DUMMYFUNCTION("""COMPUTED_VALUE"""),"NARAYANGANJ")</f>
        <v>NARAYANGANJ</v>
      </c>
      <c r="C2846" s="4">
        <f>IFERROR(__xludf.DUMMYFUNCTION("""COMPUTED_VALUE"""),85.0)</f>
        <v>85</v>
      </c>
      <c r="D2846" s="2" t="str">
        <f>IFERROR(__xludf.DUMMYFUNCTION("""COMPUTED_VALUE"""),"DHAKA BANK LTD.")</f>
        <v>DHAKA BANK LTD.</v>
      </c>
      <c r="E2846" s="2" t="str">
        <f>IFERROR(__xludf.DUMMYFUNCTION("""COMPUTED_VALUE"""),"ARAIHAZAR")</f>
        <v>ARAIHAZAR</v>
      </c>
      <c r="F2846" s="4">
        <f>IFERROR(__xludf.DUMMYFUNCTION("""COMPUTED_VALUE"""),4.0)</f>
        <v>4</v>
      </c>
      <c r="G2846" s="5">
        <f>IFERROR(__xludf.DUMMYFUNCTION("""COMPUTED_VALUE"""),8.5670042E7)</f>
        <v>85670042</v>
      </c>
    </row>
    <row r="2847">
      <c r="A2847" s="3">
        <f>IFERROR(__xludf.DUMMYFUNCTION("""COMPUTED_VALUE"""),167.0)</f>
        <v>167</v>
      </c>
      <c r="B2847" s="2" t="str">
        <f>IFERROR(__xludf.DUMMYFUNCTION("""COMPUTED_VALUE"""),"NARAYANGANJ")</f>
        <v>NARAYANGANJ</v>
      </c>
      <c r="C2847" s="4">
        <f>IFERROR(__xludf.DUMMYFUNCTION("""COMPUTED_VALUE"""),85.0)</f>
        <v>85</v>
      </c>
      <c r="D2847" s="2" t="str">
        <f>IFERROR(__xludf.DUMMYFUNCTION("""COMPUTED_VALUE"""),"DHAKA BANK LTD.")</f>
        <v>DHAKA BANK LTD.</v>
      </c>
      <c r="E2847" s="2" t="str">
        <f>IFERROR(__xludf.DUMMYFUNCTION("""COMPUTED_VALUE"""),"B.B. ROAD")</f>
        <v>B.B. ROAD</v>
      </c>
      <c r="F2847" s="4">
        <f>IFERROR(__xludf.DUMMYFUNCTION("""COMPUTED_VALUE"""),7.0)</f>
        <v>7</v>
      </c>
      <c r="G2847" s="5">
        <f>IFERROR(__xludf.DUMMYFUNCTION("""COMPUTED_VALUE"""),8.5670071E7)</f>
        <v>85670071</v>
      </c>
    </row>
    <row r="2848">
      <c r="A2848" s="3">
        <f>IFERROR(__xludf.DUMMYFUNCTION("""COMPUTED_VALUE"""),167.0)</f>
        <v>167</v>
      </c>
      <c r="B2848" s="2" t="str">
        <f>IFERROR(__xludf.DUMMYFUNCTION("""COMPUTED_VALUE"""),"NARAYANGANJ")</f>
        <v>NARAYANGANJ</v>
      </c>
      <c r="C2848" s="4">
        <f>IFERROR(__xludf.DUMMYFUNCTION("""COMPUTED_VALUE"""),85.0)</f>
        <v>85</v>
      </c>
      <c r="D2848" s="2" t="str">
        <f>IFERROR(__xludf.DUMMYFUNCTION("""COMPUTED_VALUE"""),"DHAKA BANK LTD.")</f>
        <v>DHAKA BANK LTD.</v>
      </c>
      <c r="E2848" s="2" t="str">
        <f>IFERROR(__xludf.DUMMYFUNCTION("""COMPUTED_VALUE"""),"KALIBARI")</f>
        <v>KALIBARI</v>
      </c>
      <c r="F2848" s="4">
        <f>IFERROR(__xludf.DUMMYFUNCTION("""COMPUTED_VALUE"""),11.0)</f>
        <v>11</v>
      </c>
      <c r="G2848" s="5">
        <f>IFERROR(__xludf.DUMMYFUNCTION("""COMPUTED_VALUE"""),8.5670118E7)</f>
        <v>85670118</v>
      </c>
    </row>
    <row r="2849">
      <c r="A2849" s="3">
        <f>IFERROR(__xludf.DUMMYFUNCTION("""COMPUTED_VALUE"""),167.0)</f>
        <v>167</v>
      </c>
      <c r="B2849" s="2" t="str">
        <f>IFERROR(__xludf.DUMMYFUNCTION("""COMPUTED_VALUE"""),"NARAYANGANJ")</f>
        <v>NARAYANGANJ</v>
      </c>
      <c r="C2849" s="4">
        <f>IFERROR(__xludf.DUMMYFUNCTION("""COMPUTED_VALUE"""),85.0)</f>
        <v>85</v>
      </c>
      <c r="D2849" s="2" t="str">
        <f>IFERROR(__xludf.DUMMYFUNCTION("""COMPUTED_VALUE"""),"DHAKA BANK LTD.")</f>
        <v>DHAKA BANK LTD.</v>
      </c>
      <c r="E2849" s="2" t="str">
        <f>IFERROR(__xludf.DUMMYFUNCTION("""COMPUTED_VALUE"""),"BHULTA")</f>
        <v>BHULTA</v>
      </c>
      <c r="F2849" s="4">
        <f>IFERROR(__xludf.DUMMYFUNCTION("""COMPUTED_VALUE"""),22.0)</f>
        <v>22</v>
      </c>
      <c r="G2849" s="5">
        <f>IFERROR(__xludf.DUMMYFUNCTION("""COMPUTED_VALUE"""),8.5670226E7)</f>
        <v>85670226</v>
      </c>
    </row>
    <row r="2850">
      <c r="A2850" s="3">
        <f>IFERROR(__xludf.DUMMYFUNCTION("""COMPUTED_VALUE"""),167.0)</f>
        <v>167</v>
      </c>
      <c r="B2850" s="2" t="str">
        <f>IFERROR(__xludf.DUMMYFUNCTION("""COMPUTED_VALUE"""),"NARAYANGANJ")</f>
        <v>NARAYANGANJ</v>
      </c>
      <c r="C2850" s="4">
        <f>IFERROR(__xludf.DUMMYFUNCTION("""COMPUTED_VALUE"""),85.0)</f>
        <v>85</v>
      </c>
      <c r="D2850" s="2" t="str">
        <f>IFERROR(__xludf.DUMMYFUNCTION("""COMPUTED_VALUE"""),"DHAKA BANK LTD.")</f>
        <v>DHAKA BANK LTD.</v>
      </c>
      <c r="E2850" s="2" t="str">
        <f>IFERROR(__xludf.DUMMYFUNCTION("""COMPUTED_VALUE"""),"GOPALDI")</f>
        <v>GOPALDI</v>
      </c>
      <c r="F2850" s="4">
        <f>IFERROR(__xludf.DUMMYFUNCTION("""COMPUTED_VALUE"""),60.0)</f>
        <v>60</v>
      </c>
      <c r="G2850" s="5">
        <f>IFERROR(__xludf.DUMMYFUNCTION("""COMPUTED_VALUE"""),8.56706E7)</f>
        <v>85670600</v>
      </c>
    </row>
    <row r="2851">
      <c r="A2851" s="3">
        <f>IFERROR(__xludf.DUMMYFUNCTION("""COMPUTED_VALUE"""),167.0)</f>
        <v>167</v>
      </c>
      <c r="B2851" s="2" t="str">
        <f>IFERROR(__xludf.DUMMYFUNCTION("""COMPUTED_VALUE"""),"NARAYANGANJ")</f>
        <v>NARAYANGANJ</v>
      </c>
      <c r="C2851" s="4">
        <f>IFERROR(__xludf.DUMMYFUNCTION("""COMPUTED_VALUE"""),85.0)</f>
        <v>85</v>
      </c>
      <c r="D2851" s="2" t="str">
        <f>IFERROR(__xludf.DUMMYFUNCTION("""COMPUTED_VALUE"""),"DHAKA BANK LTD.")</f>
        <v>DHAKA BANK LTD.</v>
      </c>
      <c r="E2851" s="2" t="str">
        <f>IFERROR(__xludf.DUMMYFUNCTION("""COMPUTED_VALUE"""),"MURAPARA")</f>
        <v>MURAPARA</v>
      </c>
      <c r="F2851" s="4">
        <f>IFERROR(__xludf.DUMMYFUNCTION("""COMPUTED_VALUE"""),112.0)</f>
        <v>112</v>
      </c>
      <c r="G2851" s="5">
        <f>IFERROR(__xludf.DUMMYFUNCTION("""COMPUTED_VALUE"""),8.567112E7)</f>
        <v>85671120</v>
      </c>
    </row>
    <row r="2852">
      <c r="A2852" s="3">
        <f>IFERROR(__xludf.DUMMYFUNCTION("""COMPUTED_VALUE"""),167.0)</f>
        <v>167</v>
      </c>
      <c r="B2852" s="2" t="str">
        <f>IFERROR(__xludf.DUMMYFUNCTION("""COMPUTED_VALUE"""),"NARAYANGANJ")</f>
        <v>NARAYANGANJ</v>
      </c>
      <c r="C2852" s="4">
        <f>IFERROR(__xludf.DUMMYFUNCTION("""COMPUTED_VALUE"""),85.0)</f>
        <v>85</v>
      </c>
      <c r="D2852" s="2" t="str">
        <f>IFERROR(__xludf.DUMMYFUNCTION("""COMPUTED_VALUE"""),"DHAKA BANK LTD.")</f>
        <v>DHAKA BANK LTD.</v>
      </c>
      <c r="E2852" s="2" t="str">
        <f>IFERROR(__xludf.DUMMYFUNCTION("""COMPUTED_VALUE"""),"NARAYANGANJ")</f>
        <v>NARAYANGANJ</v>
      </c>
      <c r="F2852" s="4">
        <f>IFERROR(__xludf.DUMMYFUNCTION("""COMPUTED_VALUE"""),118.0)</f>
        <v>118</v>
      </c>
      <c r="G2852" s="5">
        <f>IFERROR(__xludf.DUMMYFUNCTION("""COMPUTED_VALUE"""),8.5671188E7)</f>
        <v>85671188</v>
      </c>
    </row>
    <row r="2853">
      <c r="A2853" s="3">
        <f>IFERROR(__xludf.DUMMYFUNCTION("""COMPUTED_VALUE"""),167.0)</f>
        <v>167</v>
      </c>
      <c r="B2853" s="2" t="str">
        <f>IFERROR(__xludf.DUMMYFUNCTION("""COMPUTED_VALUE"""),"NARAYANGANJ")</f>
        <v>NARAYANGANJ</v>
      </c>
      <c r="C2853" s="4">
        <f>IFERROR(__xludf.DUMMYFUNCTION("""COMPUTED_VALUE"""),85.0)</f>
        <v>85</v>
      </c>
      <c r="D2853" s="2" t="str">
        <f>IFERROR(__xludf.DUMMYFUNCTION("""COMPUTED_VALUE"""),"DHAKA BANK LTD.")</f>
        <v>DHAKA BANK LTD.</v>
      </c>
      <c r="E2853" s="2" t="str">
        <f>IFERROR(__xludf.DUMMYFUNCTION("""COMPUTED_VALUE"""),"PAGLA BAZAR")</f>
        <v>PAGLA BAZAR</v>
      </c>
      <c r="F2853" s="4">
        <f>IFERROR(__xludf.DUMMYFUNCTION("""COMPUTED_VALUE"""),133.0)</f>
        <v>133</v>
      </c>
      <c r="G2853" s="5">
        <f>IFERROR(__xludf.DUMMYFUNCTION("""COMPUTED_VALUE"""),8.5671333E7)</f>
        <v>85671333</v>
      </c>
    </row>
    <row r="2854">
      <c r="A2854" s="3">
        <f>IFERROR(__xludf.DUMMYFUNCTION("""COMPUTED_VALUE"""),168.0)</f>
        <v>168</v>
      </c>
      <c r="B2854" s="2" t="str">
        <f>IFERROR(__xludf.DUMMYFUNCTION("""COMPUTED_VALUE"""),"NARSHINGDI")</f>
        <v>NARSHINGDI</v>
      </c>
      <c r="C2854" s="4">
        <f>IFERROR(__xludf.DUMMYFUNCTION("""COMPUTED_VALUE"""),85.0)</f>
        <v>85</v>
      </c>
      <c r="D2854" s="2" t="str">
        <f>IFERROR(__xludf.DUMMYFUNCTION("""COMPUTED_VALUE"""),"DHAKA BANK LTD.")</f>
        <v>DHAKA BANK LTD.</v>
      </c>
      <c r="E2854" s="2" t="str">
        <f>IFERROR(__xludf.DUMMYFUNCTION("""COMPUTED_VALUE"""),"MADHABDI")</f>
        <v>MADHABDI</v>
      </c>
      <c r="F2854" s="4">
        <f>IFERROR(__xludf.DUMMYFUNCTION("""COMPUTED_VALUE"""),67.0)</f>
        <v>67</v>
      </c>
      <c r="G2854" s="5">
        <f>IFERROR(__xludf.DUMMYFUNCTION("""COMPUTED_VALUE"""),8.5680674E7)</f>
        <v>85680674</v>
      </c>
    </row>
    <row r="2855">
      <c r="A2855" s="3">
        <f>IFERROR(__xludf.DUMMYFUNCTION("""COMPUTED_VALUE"""),168.0)</f>
        <v>168</v>
      </c>
      <c r="B2855" s="2" t="str">
        <f>IFERROR(__xludf.DUMMYFUNCTION("""COMPUTED_VALUE"""),"NARSHINGDI")</f>
        <v>NARSHINGDI</v>
      </c>
      <c r="C2855" s="4">
        <f>IFERROR(__xludf.DUMMYFUNCTION("""COMPUTED_VALUE"""),85.0)</f>
        <v>85</v>
      </c>
      <c r="D2855" s="2" t="str">
        <f>IFERROR(__xludf.DUMMYFUNCTION("""COMPUTED_VALUE"""),"DHAKA BANK LTD.")</f>
        <v>DHAKA BANK LTD.</v>
      </c>
      <c r="E2855" s="2" t="str">
        <f>IFERROR(__xludf.DUMMYFUNCTION("""COMPUTED_VALUE"""),"PANCHADANA")</f>
        <v>PANCHADANA</v>
      </c>
      <c r="F2855" s="4">
        <f>IFERROR(__xludf.DUMMYFUNCTION("""COMPUTED_VALUE"""),97.0)</f>
        <v>97</v>
      </c>
      <c r="G2855" s="5">
        <f>IFERROR(__xludf.DUMMYFUNCTION("""COMPUTED_VALUE"""),8.5680979E7)</f>
        <v>85680979</v>
      </c>
    </row>
    <row r="2856">
      <c r="A2856" s="3">
        <f>IFERROR(__xludf.DUMMYFUNCTION("""COMPUTED_VALUE"""),570.0)</f>
        <v>570</v>
      </c>
      <c r="B2856" s="2" t="str">
        <f>IFERROR(__xludf.DUMMYFUNCTION("""COMPUTED_VALUE"""),"NAWABGANJ")</f>
        <v>NAWABGANJ</v>
      </c>
      <c r="C2856" s="4">
        <f>IFERROR(__xludf.DUMMYFUNCTION("""COMPUTED_VALUE"""),85.0)</f>
        <v>85</v>
      </c>
      <c r="D2856" s="2" t="str">
        <f>IFERROR(__xludf.DUMMYFUNCTION("""COMPUTED_VALUE"""),"DHAKA BANK LTD.")</f>
        <v>DHAKA BANK LTD.</v>
      </c>
      <c r="E2856" s="2" t="str">
        <f>IFERROR(__xludf.DUMMYFUNCTION("""COMPUTED_VALUE"""),"CHAPAI NAWABGANJ")</f>
        <v>CHAPAI NAWABGANJ</v>
      </c>
      <c r="F2856" s="4">
        <f>IFERROR(__xludf.DUMMYFUNCTION("""COMPUTED_VALUE"""),25.0)</f>
        <v>25</v>
      </c>
      <c r="G2856" s="5">
        <f>IFERROR(__xludf.DUMMYFUNCTION("""COMPUTED_VALUE"""),8.5700259E7)</f>
        <v>85700259</v>
      </c>
    </row>
    <row r="2857">
      <c r="A2857" s="3">
        <f>IFERROR(__xludf.DUMMYFUNCTION("""COMPUTED_VALUE"""),773.0)</f>
        <v>773</v>
      </c>
      <c r="B2857" s="2" t="str">
        <f>IFERROR(__xludf.DUMMYFUNCTION("""COMPUTED_VALUE"""),"NILPHAMARI")</f>
        <v>NILPHAMARI</v>
      </c>
      <c r="C2857" s="4">
        <f>IFERROR(__xludf.DUMMYFUNCTION("""COMPUTED_VALUE"""),85.0)</f>
        <v>85</v>
      </c>
      <c r="D2857" s="2" t="str">
        <f>IFERROR(__xludf.DUMMYFUNCTION("""COMPUTED_VALUE"""),"DHAKA BANK LTD.")</f>
        <v>DHAKA BANK LTD.</v>
      </c>
      <c r="E2857" s="2" t="str">
        <f>IFERROR(__xludf.DUMMYFUNCTION("""COMPUTED_VALUE"""),"SAYEDPUR")</f>
        <v>SAYEDPUR</v>
      </c>
      <c r="F2857" s="4">
        <f>IFERROR(__xludf.DUMMYFUNCTION("""COMPUTED_VALUE"""),79.0)</f>
        <v>79</v>
      </c>
      <c r="G2857" s="5">
        <f>IFERROR(__xludf.DUMMYFUNCTION("""COMPUTED_VALUE"""),8.5730795E7)</f>
        <v>85730795</v>
      </c>
    </row>
    <row r="2858">
      <c r="A2858" s="3">
        <f>IFERROR(__xludf.DUMMYFUNCTION("""COMPUTED_VALUE"""),275.0)</f>
        <v>275</v>
      </c>
      <c r="B2858" s="2" t="str">
        <f>IFERROR(__xludf.DUMMYFUNCTION("""COMPUTED_VALUE"""),"NOAKHALI")</f>
        <v>NOAKHALI</v>
      </c>
      <c r="C2858" s="4">
        <f>IFERROR(__xludf.DUMMYFUNCTION("""COMPUTED_VALUE"""),85.0)</f>
        <v>85</v>
      </c>
      <c r="D2858" s="2" t="str">
        <f>IFERROR(__xludf.DUMMYFUNCTION("""COMPUTED_VALUE"""),"DHAKA BANK LTD.")</f>
        <v>DHAKA BANK LTD.</v>
      </c>
      <c r="E2858" s="2" t="str">
        <f>IFERROR(__xludf.DUMMYFUNCTION("""COMPUTED_VALUE"""),"MAIJDEE")</f>
        <v>MAIJDEE</v>
      </c>
      <c r="F2858" s="4">
        <f>IFERROR(__xludf.DUMMYFUNCTION("""COMPUTED_VALUE"""),6.0)</f>
        <v>6</v>
      </c>
      <c r="G2858" s="5">
        <f>IFERROR(__xludf.DUMMYFUNCTION("""COMPUTED_VALUE"""),8.5750067E7)</f>
        <v>85750067</v>
      </c>
    </row>
    <row r="2859">
      <c r="A2859" s="3">
        <f>IFERROR(__xludf.DUMMYFUNCTION("""COMPUTED_VALUE"""),275.0)</f>
        <v>275</v>
      </c>
      <c r="B2859" s="2" t="str">
        <f>IFERROR(__xludf.DUMMYFUNCTION("""COMPUTED_VALUE"""),"NOAKHALI")</f>
        <v>NOAKHALI</v>
      </c>
      <c r="C2859" s="4">
        <f>IFERROR(__xludf.DUMMYFUNCTION("""COMPUTED_VALUE"""),85.0)</f>
        <v>85</v>
      </c>
      <c r="D2859" s="2" t="str">
        <f>IFERROR(__xludf.DUMMYFUNCTION("""COMPUTED_VALUE"""),"DHAKA BANK LTD.")</f>
        <v>DHAKA BANK LTD.</v>
      </c>
      <c r="E2859" s="2" t="str">
        <f>IFERROR(__xludf.DUMMYFUNCTION("""COMPUTED_VALUE"""),"CHOWMUHANI")</f>
        <v>CHOWMUHANI</v>
      </c>
      <c r="F2859" s="4">
        <f>IFERROR(__xludf.DUMMYFUNCTION("""COMPUTED_VALUE"""),23.0)</f>
        <v>23</v>
      </c>
      <c r="G2859" s="5">
        <f>IFERROR(__xludf.DUMMYFUNCTION("""COMPUTED_VALUE"""),8.5750238E7)</f>
        <v>85750238</v>
      </c>
    </row>
    <row r="2860">
      <c r="A2860" s="3">
        <f>IFERROR(__xludf.DUMMYFUNCTION("""COMPUTED_VALUE"""),275.0)</f>
        <v>275</v>
      </c>
      <c r="B2860" s="2" t="str">
        <f>IFERROR(__xludf.DUMMYFUNCTION("""COMPUTED_VALUE"""),"NOAKHALI")</f>
        <v>NOAKHALI</v>
      </c>
      <c r="C2860" s="4">
        <f>IFERROR(__xludf.DUMMYFUNCTION("""COMPUTED_VALUE"""),85.0)</f>
        <v>85</v>
      </c>
      <c r="D2860" s="2" t="str">
        <f>IFERROR(__xludf.DUMMYFUNCTION("""COMPUTED_VALUE"""),"DHAKA BANK LTD.")</f>
        <v>DHAKA BANK LTD.</v>
      </c>
      <c r="E2860" s="2" t="str">
        <f>IFERROR(__xludf.DUMMYFUNCTION("""COMPUTED_VALUE"""),"SONAIMURI")</f>
        <v>SONAIMURI</v>
      </c>
      <c r="F2860" s="4">
        <f>IFERROR(__xludf.DUMMYFUNCTION("""COMPUTED_VALUE"""),223.0)</f>
        <v>223</v>
      </c>
      <c r="G2860" s="5">
        <f>IFERROR(__xludf.DUMMYFUNCTION("""COMPUTED_VALUE"""),8.5752236E7)</f>
        <v>85752236</v>
      </c>
    </row>
    <row r="2861">
      <c r="A2861" s="3">
        <f>IFERROR(__xludf.DUMMYFUNCTION("""COMPUTED_VALUE"""),576.0)</f>
        <v>576</v>
      </c>
      <c r="B2861" s="2" t="str">
        <f>IFERROR(__xludf.DUMMYFUNCTION("""COMPUTED_VALUE"""),"PABNA")</f>
        <v>PABNA</v>
      </c>
      <c r="C2861" s="4">
        <f>IFERROR(__xludf.DUMMYFUNCTION("""COMPUTED_VALUE"""),85.0)</f>
        <v>85</v>
      </c>
      <c r="D2861" s="2" t="str">
        <f>IFERROR(__xludf.DUMMYFUNCTION("""COMPUTED_VALUE"""),"DHAKA BANK LTD.")</f>
        <v>DHAKA BANK LTD.</v>
      </c>
      <c r="E2861" s="2" t="str">
        <f>IFERROR(__xludf.DUMMYFUNCTION("""COMPUTED_VALUE"""),"CHATMOHAR")</f>
        <v>CHATMOHAR</v>
      </c>
      <c r="F2861" s="4">
        <f>IFERROR(__xludf.DUMMYFUNCTION("""COMPUTED_VALUE"""),64.0)</f>
        <v>64</v>
      </c>
      <c r="G2861" s="5">
        <f>IFERROR(__xludf.DUMMYFUNCTION("""COMPUTED_VALUE"""),8.5760644E7)</f>
        <v>85760644</v>
      </c>
    </row>
    <row r="2862">
      <c r="A2862" s="3">
        <f>IFERROR(__xludf.DUMMYFUNCTION("""COMPUTED_VALUE"""),576.0)</f>
        <v>576</v>
      </c>
      <c r="B2862" s="2" t="str">
        <f>IFERROR(__xludf.DUMMYFUNCTION("""COMPUTED_VALUE"""),"PABNA")</f>
        <v>PABNA</v>
      </c>
      <c r="C2862" s="4">
        <f>IFERROR(__xludf.DUMMYFUNCTION("""COMPUTED_VALUE"""),85.0)</f>
        <v>85</v>
      </c>
      <c r="D2862" s="2" t="str">
        <f>IFERROR(__xludf.DUMMYFUNCTION("""COMPUTED_VALUE"""),"DHAKA BANK LTD.")</f>
        <v>DHAKA BANK LTD.</v>
      </c>
      <c r="E2862" s="2" t="str">
        <f>IFERROR(__xludf.DUMMYFUNCTION("""COMPUTED_VALUE"""),"PABNA")</f>
        <v>PABNA</v>
      </c>
      <c r="F2862" s="4">
        <f>IFERROR(__xludf.DUMMYFUNCTION("""COMPUTED_VALUE"""),178.0)</f>
        <v>178</v>
      </c>
      <c r="G2862" s="5">
        <f>IFERROR(__xludf.DUMMYFUNCTION("""COMPUTED_VALUE"""),8.576178E7)</f>
        <v>85761780</v>
      </c>
    </row>
    <row r="2863">
      <c r="A2863" s="3">
        <f>IFERROR(__xludf.DUMMYFUNCTION("""COMPUTED_VALUE"""),581.0)</f>
        <v>581</v>
      </c>
      <c r="B2863" s="2" t="str">
        <f>IFERROR(__xludf.DUMMYFUNCTION("""COMPUTED_VALUE"""),"RAJSHAHI")</f>
        <v>RAJSHAHI</v>
      </c>
      <c r="C2863" s="4">
        <f>IFERROR(__xludf.DUMMYFUNCTION("""COMPUTED_VALUE"""),85.0)</f>
        <v>85</v>
      </c>
      <c r="D2863" s="2" t="str">
        <f>IFERROR(__xludf.DUMMYFUNCTION("""COMPUTED_VALUE"""),"DHAKA BANK LTD.")</f>
        <v>DHAKA BANK LTD.</v>
      </c>
      <c r="E2863" s="2" t="str">
        <f>IFERROR(__xludf.DUMMYFUNCTION("""COMPUTED_VALUE"""),"RAJSHAHI")</f>
        <v>RAJSHAHI</v>
      </c>
      <c r="F2863" s="4">
        <f>IFERROR(__xludf.DUMMYFUNCTION("""COMPUTED_VALUE"""),193.0)</f>
        <v>193</v>
      </c>
      <c r="G2863" s="5">
        <f>IFERROR(__xludf.DUMMYFUNCTION("""COMPUTED_VALUE"""),8.5811935E7)</f>
        <v>85811935</v>
      </c>
    </row>
    <row r="2864">
      <c r="A2864" s="3">
        <f>IFERROR(__xludf.DUMMYFUNCTION("""COMPUTED_VALUE"""),785.0)</f>
        <v>785</v>
      </c>
      <c r="B2864" s="2" t="str">
        <f>IFERROR(__xludf.DUMMYFUNCTION("""COMPUTED_VALUE"""),"RANGPUR")</f>
        <v>RANGPUR</v>
      </c>
      <c r="C2864" s="4">
        <f>IFERROR(__xludf.DUMMYFUNCTION("""COMPUTED_VALUE"""),85.0)</f>
        <v>85</v>
      </c>
      <c r="D2864" s="2" t="str">
        <f>IFERROR(__xludf.DUMMYFUNCTION("""COMPUTED_VALUE"""),"DHAKA BANK LTD.")</f>
        <v>DHAKA BANK LTD.</v>
      </c>
      <c r="E2864" s="2" t="str">
        <f>IFERROR(__xludf.DUMMYFUNCTION("""COMPUTED_VALUE"""),"RANGPUR")</f>
        <v>RANGPUR</v>
      </c>
      <c r="F2864" s="4">
        <f>IFERROR(__xludf.DUMMYFUNCTION("""COMPUTED_VALUE"""),145.0)</f>
        <v>145</v>
      </c>
      <c r="G2864" s="5">
        <f>IFERROR(__xludf.DUMMYFUNCTION("""COMPUTED_VALUE"""),8.5851458E7)</f>
        <v>85851458</v>
      </c>
    </row>
    <row r="2865">
      <c r="A2865" s="3">
        <f>IFERROR(__xludf.DUMMYFUNCTION("""COMPUTED_VALUE"""),487.0)</f>
        <v>487</v>
      </c>
      <c r="B2865" s="2" t="str">
        <f>IFERROR(__xludf.DUMMYFUNCTION("""COMPUTED_VALUE"""),"SATKHIRA")</f>
        <v>SATKHIRA</v>
      </c>
      <c r="C2865" s="4">
        <f>IFERROR(__xludf.DUMMYFUNCTION("""COMPUTED_VALUE"""),85.0)</f>
        <v>85</v>
      </c>
      <c r="D2865" s="2" t="str">
        <f>IFERROR(__xludf.DUMMYFUNCTION("""COMPUTED_VALUE"""),"DHAKA BANK LTD.")</f>
        <v>DHAKA BANK LTD.</v>
      </c>
      <c r="E2865" s="2" t="str">
        <f>IFERROR(__xludf.DUMMYFUNCTION("""COMPUTED_VALUE"""),"SATKHIRA")</f>
        <v>SATKHIRA</v>
      </c>
      <c r="F2865" s="4">
        <f>IFERROR(__xludf.DUMMYFUNCTION("""COMPUTED_VALUE"""),109.0)</f>
        <v>109</v>
      </c>
      <c r="G2865" s="5">
        <f>IFERROR(__xludf.DUMMYFUNCTION("""COMPUTED_VALUE"""),8.5871096E7)</f>
        <v>85871096</v>
      </c>
    </row>
    <row r="2866">
      <c r="A2866" s="3">
        <f>IFERROR(__xludf.DUMMYFUNCTION("""COMPUTED_VALUE"""),688.0)</f>
        <v>688</v>
      </c>
      <c r="B2866" s="2" t="str">
        <f>IFERROR(__xludf.DUMMYFUNCTION("""COMPUTED_VALUE"""),"SIRAJGANJ")</f>
        <v>SIRAJGANJ</v>
      </c>
      <c r="C2866" s="4">
        <f>IFERROR(__xludf.DUMMYFUNCTION("""COMPUTED_VALUE"""),85.0)</f>
        <v>85</v>
      </c>
      <c r="D2866" s="2" t="str">
        <f>IFERROR(__xludf.DUMMYFUNCTION("""COMPUTED_VALUE"""),"DHAKA BANK LTD.")</f>
        <v>DHAKA BANK LTD.</v>
      </c>
      <c r="E2866" s="2" t="str">
        <f>IFERROR(__xludf.DUMMYFUNCTION("""COMPUTED_VALUE"""),"BELKUCHI")</f>
        <v>BELKUCHI</v>
      </c>
      <c r="F2866" s="4">
        <f>IFERROR(__xludf.DUMMYFUNCTION("""COMPUTED_VALUE"""),22.0)</f>
        <v>22</v>
      </c>
      <c r="G2866" s="5">
        <f>IFERROR(__xludf.DUMMYFUNCTION("""COMPUTED_VALUE"""),8.5880229E7)</f>
        <v>85880229</v>
      </c>
    </row>
    <row r="2867">
      <c r="A2867" s="3">
        <f>IFERROR(__xludf.DUMMYFUNCTION("""COMPUTED_VALUE"""),688.0)</f>
        <v>688</v>
      </c>
      <c r="B2867" s="2" t="str">
        <f>IFERROR(__xludf.DUMMYFUNCTION("""COMPUTED_VALUE"""),"SIRAJGANJ")</f>
        <v>SIRAJGANJ</v>
      </c>
      <c r="C2867" s="4">
        <f>IFERROR(__xludf.DUMMYFUNCTION("""COMPUTED_VALUE"""),85.0)</f>
        <v>85</v>
      </c>
      <c r="D2867" s="2" t="str">
        <f>IFERROR(__xludf.DUMMYFUNCTION("""COMPUTED_VALUE"""),"DHAKA BANK LTD.")</f>
        <v>DHAKA BANK LTD.</v>
      </c>
      <c r="E2867" s="2" t="str">
        <f>IFERROR(__xludf.DUMMYFUNCTION("""COMPUTED_VALUE"""),"CHANDAIKONA")</f>
        <v>CHANDAIKONA</v>
      </c>
      <c r="F2867" s="4">
        <f>IFERROR(__xludf.DUMMYFUNCTION("""COMPUTED_VALUE"""),43.0)</f>
        <v>43</v>
      </c>
      <c r="G2867" s="5">
        <f>IFERROR(__xludf.DUMMYFUNCTION("""COMPUTED_VALUE"""),8.5880432E7)</f>
        <v>85880432</v>
      </c>
    </row>
    <row r="2868">
      <c r="A2868" s="3">
        <f>IFERROR(__xludf.DUMMYFUNCTION("""COMPUTED_VALUE"""),688.0)</f>
        <v>688</v>
      </c>
      <c r="B2868" s="2" t="str">
        <f>IFERROR(__xludf.DUMMYFUNCTION("""COMPUTED_VALUE"""),"SIRAJGANJ")</f>
        <v>SIRAJGANJ</v>
      </c>
      <c r="C2868" s="4">
        <f>IFERROR(__xludf.DUMMYFUNCTION("""COMPUTED_VALUE"""),85.0)</f>
        <v>85</v>
      </c>
      <c r="D2868" s="2" t="str">
        <f>IFERROR(__xludf.DUMMYFUNCTION("""COMPUTED_VALUE"""),"DHAKA BANK LTD.")</f>
        <v>DHAKA BANK LTD.</v>
      </c>
      <c r="E2868" s="2" t="str">
        <f>IFERROR(__xludf.DUMMYFUNCTION("""COMPUTED_VALUE"""),"SERAJGANJ")</f>
        <v>SERAJGANJ</v>
      </c>
      <c r="F2868" s="4">
        <f>IFERROR(__xludf.DUMMYFUNCTION("""COMPUTED_VALUE"""),187.0)</f>
        <v>187</v>
      </c>
      <c r="G2868" s="5">
        <f>IFERROR(__xludf.DUMMYFUNCTION("""COMPUTED_VALUE"""),8.5881873E7)</f>
        <v>85881873</v>
      </c>
    </row>
    <row r="2869">
      <c r="A2869" s="3">
        <f>IFERROR(__xludf.DUMMYFUNCTION("""COMPUTED_VALUE"""),688.0)</f>
        <v>688</v>
      </c>
      <c r="B2869" s="2" t="str">
        <f>IFERROR(__xludf.DUMMYFUNCTION("""COMPUTED_VALUE"""),"SIRAJGANJ")</f>
        <v>SIRAJGANJ</v>
      </c>
      <c r="C2869" s="4">
        <f>IFERROR(__xludf.DUMMYFUNCTION("""COMPUTED_VALUE"""),85.0)</f>
        <v>85</v>
      </c>
      <c r="D2869" s="2" t="str">
        <f>IFERROR(__xludf.DUMMYFUNCTION("""COMPUTED_VALUE"""),"DHAKA BANK LTD.")</f>
        <v>DHAKA BANK LTD.</v>
      </c>
      <c r="E2869" s="2" t="str">
        <f>IFERROR(__xludf.DUMMYFUNCTION("""COMPUTED_VALUE"""),"SHAHJADPUR")</f>
        <v>SHAHJADPUR</v>
      </c>
      <c r="F2869" s="4">
        <f>IFERROR(__xludf.DUMMYFUNCTION("""COMPUTED_VALUE"""),190.0)</f>
        <v>190</v>
      </c>
      <c r="G2869" s="5">
        <f>IFERROR(__xludf.DUMMYFUNCTION("""COMPUTED_VALUE"""),8.5881907E7)</f>
        <v>85881907</v>
      </c>
    </row>
    <row r="2870">
      <c r="A2870" s="3">
        <f>IFERROR(__xludf.DUMMYFUNCTION("""COMPUTED_VALUE"""),891.0)</f>
        <v>891</v>
      </c>
      <c r="B2870" s="2" t="str">
        <f>IFERROR(__xludf.DUMMYFUNCTION("""COMPUTED_VALUE"""),"SYLHET")</f>
        <v>SYLHET</v>
      </c>
      <c r="C2870" s="4">
        <f>IFERROR(__xludf.DUMMYFUNCTION("""COMPUTED_VALUE"""),85.0)</f>
        <v>85</v>
      </c>
      <c r="D2870" s="2" t="str">
        <f>IFERROR(__xludf.DUMMYFUNCTION("""COMPUTED_VALUE"""),"DHAKA BANK LTD.")</f>
        <v>DHAKA BANK LTD.</v>
      </c>
      <c r="E2870" s="2" t="str">
        <f>IFERROR(__xludf.DUMMYFUNCTION("""COMPUTED_VALUE"""),"GOALA BAZAR")</f>
        <v>GOALA BAZAR</v>
      </c>
      <c r="F2870" s="4">
        <f>IFERROR(__xludf.DUMMYFUNCTION("""COMPUTED_VALUE"""),154.0)</f>
        <v>154</v>
      </c>
      <c r="G2870" s="5">
        <f>IFERROR(__xludf.DUMMYFUNCTION("""COMPUTED_VALUE"""),8.5911543E7)</f>
        <v>85911543</v>
      </c>
    </row>
    <row r="2871">
      <c r="A2871" s="3">
        <f>IFERROR(__xludf.DUMMYFUNCTION("""COMPUTED_VALUE"""),891.0)</f>
        <v>891</v>
      </c>
      <c r="B2871" s="2" t="str">
        <f>IFERROR(__xludf.DUMMYFUNCTION("""COMPUTED_VALUE"""),"SYLHET")</f>
        <v>SYLHET</v>
      </c>
      <c r="C2871" s="4">
        <f>IFERROR(__xludf.DUMMYFUNCTION("""COMPUTED_VALUE"""),85.0)</f>
        <v>85</v>
      </c>
      <c r="D2871" s="2" t="str">
        <f>IFERROR(__xludf.DUMMYFUNCTION("""COMPUTED_VALUE"""),"DHAKA BANK LTD.")</f>
        <v>DHAKA BANK LTD.</v>
      </c>
      <c r="E2871" s="2" t="str">
        <f>IFERROR(__xludf.DUMMYFUNCTION("""COMPUTED_VALUE"""),"LALDIGHIRPAR")</f>
        <v>LALDIGHIRPAR</v>
      </c>
      <c r="F2871" s="4">
        <f>IFERROR(__xludf.DUMMYFUNCTION("""COMPUTED_VALUE"""),250.0)</f>
        <v>250</v>
      </c>
      <c r="G2871" s="5">
        <f>IFERROR(__xludf.DUMMYFUNCTION("""COMPUTED_VALUE"""),8.59125E7)</f>
        <v>85912500</v>
      </c>
    </row>
    <row r="2872">
      <c r="A2872" s="3">
        <f>IFERROR(__xludf.DUMMYFUNCTION("""COMPUTED_VALUE"""),891.0)</f>
        <v>891</v>
      </c>
      <c r="B2872" s="2" t="str">
        <f>IFERROR(__xludf.DUMMYFUNCTION("""COMPUTED_VALUE"""),"SYLHET")</f>
        <v>SYLHET</v>
      </c>
      <c r="C2872" s="4">
        <f>IFERROR(__xludf.DUMMYFUNCTION("""COMPUTED_VALUE"""),85.0)</f>
        <v>85</v>
      </c>
      <c r="D2872" s="2" t="str">
        <f>IFERROR(__xludf.DUMMYFUNCTION("""COMPUTED_VALUE"""),"DHAKA BANK LTD.")</f>
        <v>DHAKA BANK LTD.</v>
      </c>
      <c r="E2872" s="2" t="str">
        <f>IFERROR(__xludf.DUMMYFUNCTION("""COMPUTED_VALUE"""),"MADINA MARKET")</f>
        <v>MADINA MARKET</v>
      </c>
      <c r="F2872" s="4">
        <f>IFERROR(__xludf.DUMMYFUNCTION("""COMPUTED_VALUE"""),254.0)</f>
        <v>254</v>
      </c>
      <c r="G2872" s="5">
        <f>IFERROR(__xludf.DUMMYFUNCTION("""COMPUTED_VALUE"""),8.5912542E7)</f>
        <v>85912542</v>
      </c>
    </row>
    <row r="2873">
      <c r="A2873" s="3">
        <f>IFERROR(__xludf.DUMMYFUNCTION("""COMPUTED_VALUE"""),891.0)</f>
        <v>891</v>
      </c>
      <c r="B2873" s="2" t="str">
        <f>IFERROR(__xludf.DUMMYFUNCTION("""COMPUTED_VALUE"""),"SYLHET")</f>
        <v>SYLHET</v>
      </c>
      <c r="C2873" s="4">
        <f>IFERROR(__xludf.DUMMYFUNCTION("""COMPUTED_VALUE"""),85.0)</f>
        <v>85</v>
      </c>
      <c r="D2873" s="2" t="str">
        <f>IFERROR(__xludf.DUMMYFUNCTION("""COMPUTED_VALUE"""),"DHAKA BANK LTD.")</f>
        <v>DHAKA BANK LTD.</v>
      </c>
      <c r="E2873" s="2" t="str">
        <f>IFERROR(__xludf.DUMMYFUNCTION("""COMPUTED_VALUE"""),"UPASHAHAR")</f>
        <v>UPASHAHAR</v>
      </c>
      <c r="F2873" s="4">
        <f>IFERROR(__xludf.DUMMYFUNCTION("""COMPUTED_VALUE"""),403.0)</f>
        <v>403</v>
      </c>
      <c r="G2873" s="5">
        <f>IFERROR(__xludf.DUMMYFUNCTION("""COMPUTED_VALUE"""),8.5914032E7)</f>
        <v>85914032</v>
      </c>
    </row>
    <row r="2874">
      <c r="A2874" s="3">
        <f>IFERROR(__xludf.DUMMYFUNCTION("""COMPUTED_VALUE"""),193.0)</f>
        <v>193</v>
      </c>
      <c r="B2874" s="2" t="str">
        <f>IFERROR(__xludf.DUMMYFUNCTION("""COMPUTED_VALUE"""),"TANGAIL")</f>
        <v>TANGAIL</v>
      </c>
      <c r="C2874" s="4">
        <f>IFERROR(__xludf.DUMMYFUNCTION("""COMPUTED_VALUE"""),85.0)</f>
        <v>85</v>
      </c>
      <c r="D2874" s="2" t="str">
        <f>IFERROR(__xludf.DUMMYFUNCTION("""COMPUTED_VALUE"""),"DHAKA BANK LTD.")</f>
        <v>DHAKA BANK LTD.</v>
      </c>
      <c r="E2874" s="2" t="str">
        <f>IFERROR(__xludf.DUMMYFUNCTION("""COMPUTED_VALUE"""),"TANGAIL")</f>
        <v>TANGAIL</v>
      </c>
      <c r="F2874" s="4">
        <f>IFERROR(__xludf.DUMMYFUNCTION("""COMPUTED_VALUE"""),229.0)</f>
        <v>229</v>
      </c>
      <c r="G2874" s="5">
        <f>IFERROR(__xludf.DUMMYFUNCTION("""COMPUTED_VALUE"""),8.5932298E7)</f>
        <v>85932298</v>
      </c>
    </row>
    <row r="2875">
      <c r="A2875" s="3">
        <f>IFERROR(__xludf.DUMMYFUNCTION("""COMPUTED_VALUE"""),306.0)</f>
        <v>306</v>
      </c>
      <c r="B2875" s="2" t="str">
        <f>IFERROR(__xludf.DUMMYFUNCTION("""COMPUTED_VALUE"""),"BARISHAL")</f>
        <v>BARISHAL</v>
      </c>
      <c r="C2875" s="4">
        <f>IFERROR(__xludf.DUMMYFUNCTION("""COMPUTED_VALUE"""),90.0)</f>
        <v>90</v>
      </c>
      <c r="D2875" s="2" t="str">
        <f>IFERROR(__xludf.DUMMYFUNCTION("""COMPUTED_VALUE"""),"DUTCH-BANGLA BANK LTD")</f>
        <v>DUTCH-BANGLA BANK LTD</v>
      </c>
      <c r="E2875" s="2" t="str">
        <f>IFERROR(__xludf.DUMMYFUNCTION("""COMPUTED_VALUE"""),"BARISAL")</f>
        <v>BARISAL</v>
      </c>
      <c r="F2875" s="4">
        <f>IFERROR(__xludf.DUMMYFUNCTION("""COMPUTED_VALUE"""),28.0)</f>
        <v>28</v>
      </c>
      <c r="G2875" s="5">
        <f>IFERROR(__xludf.DUMMYFUNCTION("""COMPUTED_VALUE"""),9.0060289E7)</f>
        <v>90060289</v>
      </c>
    </row>
    <row r="2876">
      <c r="A2876" s="3">
        <f>IFERROR(__xludf.DUMMYFUNCTION("""COMPUTED_VALUE"""),610.0)</f>
        <v>610</v>
      </c>
      <c r="B2876" s="2" t="str">
        <f>IFERROR(__xludf.DUMMYFUNCTION("""COMPUTED_VALUE"""),"BOGRA")</f>
        <v>BOGRA</v>
      </c>
      <c r="C2876" s="4">
        <f>IFERROR(__xludf.DUMMYFUNCTION("""COMPUTED_VALUE"""),90.0)</f>
        <v>90</v>
      </c>
      <c r="D2876" s="2" t="str">
        <f>IFERROR(__xludf.DUMMYFUNCTION("""COMPUTED_VALUE"""),"DUTCH-BANGLA BANK LTD")</f>
        <v>DUTCH-BANGLA BANK LTD</v>
      </c>
      <c r="E2876" s="2" t="str">
        <f>IFERROR(__xludf.DUMMYFUNCTION("""COMPUTED_VALUE"""),"BOGRA")</f>
        <v>BOGRA</v>
      </c>
      <c r="F2876" s="4">
        <f>IFERROR(__xludf.DUMMYFUNCTION("""COMPUTED_VALUE"""),37.0)</f>
        <v>37</v>
      </c>
      <c r="G2876" s="5">
        <f>IFERROR(__xludf.DUMMYFUNCTION("""COMPUTED_VALUE"""),9.0100378E7)</f>
        <v>90100378</v>
      </c>
    </row>
    <row r="2877">
      <c r="A2877" s="3">
        <f>IFERROR(__xludf.DUMMYFUNCTION("""COMPUTED_VALUE"""),112.0)</f>
        <v>112</v>
      </c>
      <c r="B2877" s="2" t="str">
        <f>IFERROR(__xludf.DUMMYFUNCTION("""COMPUTED_VALUE"""),"BRAHMANBARIA")</f>
        <v>BRAHMANBARIA</v>
      </c>
      <c r="C2877" s="4">
        <f>IFERROR(__xludf.DUMMYFUNCTION("""COMPUTED_VALUE"""),90.0)</f>
        <v>90</v>
      </c>
      <c r="D2877" s="2" t="str">
        <f>IFERROR(__xludf.DUMMYFUNCTION("""COMPUTED_VALUE"""),"DUTCH-BANGLA BANK LTD")</f>
        <v>DUTCH-BANGLA BANK LTD</v>
      </c>
      <c r="E2877" s="2" t="str">
        <f>IFERROR(__xludf.DUMMYFUNCTION("""COMPUTED_VALUE"""),"ASHUGANJ")</f>
        <v>ASHUGANJ</v>
      </c>
      <c r="F2877" s="4">
        <f>IFERROR(__xludf.DUMMYFUNCTION("""COMPUTED_VALUE"""),10.0)</f>
        <v>10</v>
      </c>
      <c r="G2877" s="5">
        <f>IFERROR(__xludf.DUMMYFUNCTION("""COMPUTED_VALUE"""),9.0120103E7)</f>
        <v>90120103</v>
      </c>
    </row>
    <row r="2878">
      <c r="A2878" s="3">
        <f>IFERROR(__xludf.DUMMYFUNCTION("""COMPUTED_VALUE"""),112.0)</f>
        <v>112</v>
      </c>
      <c r="B2878" s="2" t="str">
        <f>IFERROR(__xludf.DUMMYFUNCTION("""COMPUTED_VALUE"""),"BRAHMANBARIA")</f>
        <v>BRAHMANBARIA</v>
      </c>
      <c r="C2878" s="4">
        <f>IFERROR(__xludf.DUMMYFUNCTION("""COMPUTED_VALUE"""),90.0)</f>
        <v>90</v>
      </c>
      <c r="D2878" s="2" t="str">
        <f>IFERROR(__xludf.DUMMYFUNCTION("""COMPUTED_VALUE"""),"DUTCH-BANGLA BANK LTD")</f>
        <v>DUTCH-BANGLA BANK LTD</v>
      </c>
      <c r="E2878" s="2" t="str">
        <f>IFERROR(__xludf.DUMMYFUNCTION("""COMPUTED_VALUE"""),"BRAHMANBARIA")</f>
        <v>BRAHMANBARIA</v>
      </c>
      <c r="F2878" s="4">
        <f>IFERROR(__xludf.DUMMYFUNCTION("""COMPUTED_VALUE"""),43.0)</f>
        <v>43</v>
      </c>
      <c r="G2878" s="5">
        <f>IFERROR(__xludf.DUMMYFUNCTION("""COMPUTED_VALUE"""),9.0120437E7)</f>
        <v>90120437</v>
      </c>
    </row>
    <row r="2879">
      <c r="A2879" s="3">
        <f>IFERROR(__xludf.DUMMYFUNCTION("""COMPUTED_VALUE"""),113.0)</f>
        <v>113</v>
      </c>
      <c r="B2879" s="2" t="str">
        <f>IFERROR(__xludf.DUMMYFUNCTION("""COMPUTED_VALUE"""),"CHANDPUR")</f>
        <v>CHANDPUR</v>
      </c>
      <c r="C2879" s="4">
        <f>IFERROR(__xludf.DUMMYFUNCTION("""COMPUTED_VALUE"""),90.0)</f>
        <v>90</v>
      </c>
      <c r="D2879" s="2" t="str">
        <f>IFERROR(__xludf.DUMMYFUNCTION("""COMPUTED_VALUE"""),"DUTCH-BANGLA BANK LTD")</f>
        <v>DUTCH-BANGLA BANK LTD</v>
      </c>
      <c r="E2879" s="2" t="str">
        <f>IFERROR(__xludf.DUMMYFUNCTION("""COMPUTED_VALUE"""),"CHANDPUR")</f>
        <v>CHANDPUR</v>
      </c>
      <c r="F2879" s="4">
        <f>IFERROR(__xludf.DUMMYFUNCTION("""COMPUTED_VALUE"""),31.0)</f>
        <v>31</v>
      </c>
      <c r="G2879" s="5">
        <f>IFERROR(__xludf.DUMMYFUNCTION("""COMPUTED_VALUE"""),9.0130319E7)</f>
        <v>90130319</v>
      </c>
    </row>
    <row r="2880">
      <c r="A2880" s="3">
        <f>IFERROR(__xludf.DUMMYFUNCTION("""COMPUTED_VALUE"""),215.0)</f>
        <v>215</v>
      </c>
      <c r="B2880" s="2" t="str">
        <f>IFERROR(__xludf.DUMMYFUNCTION("""COMPUTED_VALUE"""),"CHITTAGONG")</f>
        <v>CHITTAGONG</v>
      </c>
      <c r="C2880" s="4">
        <f>IFERROR(__xludf.DUMMYFUNCTION("""COMPUTED_VALUE"""),90.0)</f>
        <v>90</v>
      </c>
      <c r="D2880" s="2" t="str">
        <f>IFERROR(__xludf.DUMMYFUNCTION("""COMPUTED_VALUE"""),"DUTCH-BANGLA BANK LTD")</f>
        <v>DUTCH-BANGLA BANK LTD</v>
      </c>
      <c r="E2880" s="2" t="str">
        <f>IFERROR(__xludf.DUMMYFUNCTION("""COMPUTED_VALUE"""),"AGRABAD")</f>
        <v>AGRABAD</v>
      </c>
      <c r="F2880" s="4">
        <f>IFERROR(__xludf.DUMMYFUNCTION("""COMPUTED_VALUE"""),13.0)</f>
        <v>13</v>
      </c>
      <c r="G2880" s="5">
        <f>IFERROR(__xludf.DUMMYFUNCTION("""COMPUTED_VALUE"""),9.0150131E7)</f>
        <v>90150131</v>
      </c>
    </row>
    <row r="2881">
      <c r="A2881" s="3">
        <f>IFERROR(__xludf.DUMMYFUNCTION("""COMPUTED_VALUE"""),215.0)</f>
        <v>215</v>
      </c>
      <c r="B2881" s="2" t="str">
        <f>IFERROR(__xludf.DUMMYFUNCTION("""COMPUTED_VALUE"""),"CHITTAGONG")</f>
        <v>CHITTAGONG</v>
      </c>
      <c r="C2881" s="4">
        <f>IFERROR(__xludf.DUMMYFUNCTION("""COMPUTED_VALUE"""),90.0)</f>
        <v>90</v>
      </c>
      <c r="D2881" s="2" t="str">
        <f>IFERROR(__xludf.DUMMYFUNCTION("""COMPUTED_VALUE"""),"DUTCH-BANGLA BANK LTD")</f>
        <v>DUTCH-BANGLA BANK LTD</v>
      </c>
      <c r="E2881" s="2" t="str">
        <f>IFERROR(__xludf.DUMMYFUNCTION("""COMPUTED_VALUE"""),"C.D.A. AVENUE")</f>
        <v>C.D.A. AVENUE</v>
      </c>
      <c r="F2881" s="4">
        <f>IFERROR(__xludf.DUMMYFUNCTION("""COMPUTED_VALUE"""),148.0)</f>
        <v>148</v>
      </c>
      <c r="G2881" s="5">
        <f>IFERROR(__xludf.DUMMYFUNCTION("""COMPUTED_VALUE"""),9.015148E7)</f>
        <v>90151480</v>
      </c>
    </row>
    <row r="2882">
      <c r="A2882" s="3">
        <f>IFERROR(__xludf.DUMMYFUNCTION("""COMPUTED_VALUE"""),215.0)</f>
        <v>215</v>
      </c>
      <c r="B2882" s="2" t="str">
        <f>IFERROR(__xludf.DUMMYFUNCTION("""COMPUTED_VALUE"""),"CHITTAGONG")</f>
        <v>CHITTAGONG</v>
      </c>
      <c r="C2882" s="4">
        <f>IFERROR(__xludf.DUMMYFUNCTION("""COMPUTED_VALUE"""),90.0)</f>
        <v>90</v>
      </c>
      <c r="D2882" s="2" t="str">
        <f>IFERROR(__xludf.DUMMYFUNCTION("""COMPUTED_VALUE"""),"DUTCH-BANGLA BANK LTD")</f>
        <v>DUTCH-BANGLA BANK LTD</v>
      </c>
      <c r="E2882" s="2" t="str">
        <f>IFERROR(__xludf.DUMMYFUNCTION("""COMPUTED_VALUE"""),"CHITTAGONG EPZ")</f>
        <v>CHITTAGONG EPZ</v>
      </c>
      <c r="F2882" s="4">
        <f>IFERROR(__xludf.DUMMYFUNCTION("""COMPUTED_VALUE"""),200.0)</f>
        <v>200</v>
      </c>
      <c r="G2882" s="5">
        <f>IFERROR(__xludf.DUMMYFUNCTION("""COMPUTED_VALUE"""),9.0152005E7)</f>
        <v>90152005</v>
      </c>
    </row>
    <row r="2883">
      <c r="A2883" s="3">
        <f>IFERROR(__xludf.DUMMYFUNCTION("""COMPUTED_VALUE"""),215.0)</f>
        <v>215</v>
      </c>
      <c r="B2883" s="2" t="str">
        <f>IFERROR(__xludf.DUMMYFUNCTION("""COMPUTED_VALUE"""),"CHITTAGONG")</f>
        <v>CHITTAGONG</v>
      </c>
      <c r="C2883" s="4">
        <f>IFERROR(__xludf.DUMMYFUNCTION("""COMPUTED_VALUE"""),90.0)</f>
        <v>90</v>
      </c>
      <c r="D2883" s="2" t="str">
        <f>IFERROR(__xludf.DUMMYFUNCTION("""COMPUTED_VALUE"""),"DUTCH-BANGLA BANK LTD")</f>
        <v>DUTCH-BANGLA BANK LTD</v>
      </c>
      <c r="E2883" s="2" t="str">
        <f>IFERROR(__xludf.DUMMYFUNCTION("""COMPUTED_VALUE"""),"FATIKCHARI")</f>
        <v>FATIKCHARI</v>
      </c>
      <c r="F2883" s="4">
        <f>IFERROR(__xludf.DUMMYFUNCTION("""COMPUTED_VALUE"""),274.0)</f>
        <v>274</v>
      </c>
      <c r="G2883" s="5">
        <f>IFERROR(__xludf.DUMMYFUNCTION("""COMPUTED_VALUE"""),9.0152742E7)</f>
        <v>90152742</v>
      </c>
    </row>
    <row r="2884">
      <c r="A2884" s="3">
        <f>IFERROR(__xludf.DUMMYFUNCTION("""COMPUTED_VALUE"""),215.0)</f>
        <v>215</v>
      </c>
      <c r="B2884" s="2" t="str">
        <f>IFERROR(__xludf.DUMMYFUNCTION("""COMPUTED_VALUE"""),"CHITTAGONG")</f>
        <v>CHITTAGONG</v>
      </c>
      <c r="C2884" s="4">
        <f>IFERROR(__xludf.DUMMYFUNCTION("""COMPUTED_VALUE"""),90.0)</f>
        <v>90</v>
      </c>
      <c r="D2884" s="2" t="str">
        <f>IFERROR(__xludf.DUMMYFUNCTION("""COMPUTED_VALUE"""),"DUTCH-BANGLA BANK LTD")</f>
        <v>DUTCH-BANGLA BANK LTD</v>
      </c>
      <c r="E2884" s="2" t="str">
        <f>IFERROR(__xludf.DUMMYFUNCTION("""COMPUTED_VALUE"""),"HALISHAHAR")</f>
        <v>HALISHAHAR</v>
      </c>
      <c r="F2884" s="4">
        <f>IFERROR(__xludf.DUMMYFUNCTION("""COMPUTED_VALUE"""),316.0)</f>
        <v>316</v>
      </c>
      <c r="G2884" s="5">
        <f>IFERROR(__xludf.DUMMYFUNCTION("""COMPUTED_VALUE"""),9.0153167E7)</f>
        <v>90153167</v>
      </c>
    </row>
    <row r="2885">
      <c r="A2885" s="3">
        <f>IFERROR(__xludf.DUMMYFUNCTION("""COMPUTED_VALUE"""),215.0)</f>
        <v>215</v>
      </c>
      <c r="B2885" s="2" t="str">
        <f>IFERROR(__xludf.DUMMYFUNCTION("""COMPUTED_VALUE"""),"CHITTAGONG")</f>
        <v>CHITTAGONG</v>
      </c>
      <c r="C2885" s="4">
        <f>IFERROR(__xludf.DUMMYFUNCTION("""COMPUTED_VALUE"""),90.0)</f>
        <v>90</v>
      </c>
      <c r="D2885" s="2" t="str">
        <f>IFERROR(__xludf.DUMMYFUNCTION("""COMPUTED_VALUE"""),"DUTCH-BANGLA BANK LTD")</f>
        <v>DUTCH-BANGLA BANK LTD</v>
      </c>
      <c r="E2885" s="2" t="str">
        <f>IFERROR(__xludf.DUMMYFUNCTION("""COMPUTED_VALUE"""),"HATHAZARI")</f>
        <v>HATHAZARI</v>
      </c>
      <c r="F2885" s="4">
        <f>IFERROR(__xludf.DUMMYFUNCTION("""COMPUTED_VALUE"""),322.0)</f>
        <v>322</v>
      </c>
      <c r="G2885" s="5">
        <f>IFERROR(__xludf.DUMMYFUNCTION("""COMPUTED_VALUE"""),9.015322E7)</f>
        <v>90153220</v>
      </c>
    </row>
    <row r="2886">
      <c r="A2886" s="3">
        <f>IFERROR(__xludf.DUMMYFUNCTION("""COMPUTED_VALUE"""),215.0)</f>
        <v>215</v>
      </c>
      <c r="B2886" s="2" t="str">
        <f>IFERROR(__xludf.DUMMYFUNCTION("""COMPUTED_VALUE"""),"CHITTAGONG")</f>
        <v>CHITTAGONG</v>
      </c>
      <c r="C2886" s="4">
        <f>IFERROR(__xludf.DUMMYFUNCTION("""COMPUTED_VALUE"""),90.0)</f>
        <v>90</v>
      </c>
      <c r="D2886" s="2" t="str">
        <f>IFERROR(__xludf.DUMMYFUNCTION("""COMPUTED_VALUE"""),"DUTCH-BANGLA BANK LTD")</f>
        <v>DUTCH-BANGLA BANK LTD</v>
      </c>
      <c r="E2886" s="2" t="str">
        <f>IFERROR(__xludf.DUMMYFUNCTION("""COMPUTED_VALUE"""),"JUBILEE ROAD")</f>
        <v>JUBILEE ROAD</v>
      </c>
      <c r="F2886" s="4">
        <f>IFERROR(__xludf.DUMMYFUNCTION("""COMPUTED_VALUE"""),364.0)</f>
        <v>364</v>
      </c>
      <c r="G2886" s="5">
        <f>IFERROR(__xludf.DUMMYFUNCTION("""COMPUTED_VALUE"""),9.0153646E7)</f>
        <v>90153646</v>
      </c>
    </row>
    <row r="2887">
      <c r="A2887" s="3">
        <f>IFERROR(__xludf.DUMMYFUNCTION("""COMPUTED_VALUE"""),215.0)</f>
        <v>215</v>
      </c>
      <c r="B2887" s="2" t="str">
        <f>IFERROR(__xludf.DUMMYFUNCTION("""COMPUTED_VALUE"""),"CHITTAGONG")</f>
        <v>CHITTAGONG</v>
      </c>
      <c r="C2887" s="4">
        <f>IFERROR(__xludf.DUMMYFUNCTION("""COMPUTED_VALUE"""),90.0)</f>
        <v>90</v>
      </c>
      <c r="D2887" s="2" t="str">
        <f>IFERROR(__xludf.DUMMYFUNCTION("""COMPUTED_VALUE"""),"DUTCH-BANGLA BANK LTD")</f>
        <v>DUTCH-BANGLA BANK LTD</v>
      </c>
      <c r="E2887" s="2" t="str">
        <f>IFERROR(__xludf.DUMMYFUNCTION("""COMPUTED_VALUE"""),"KADAMTALI")</f>
        <v>KADAMTALI</v>
      </c>
      <c r="F2887" s="4">
        <f>IFERROR(__xludf.DUMMYFUNCTION("""COMPUTED_VALUE"""),373.0)</f>
        <v>373</v>
      </c>
      <c r="G2887" s="5">
        <f>IFERROR(__xludf.DUMMYFUNCTION("""COMPUTED_VALUE"""),9.0153738E7)</f>
        <v>90153738</v>
      </c>
    </row>
    <row r="2888">
      <c r="A2888" s="3">
        <f>IFERROR(__xludf.DUMMYFUNCTION("""COMPUTED_VALUE"""),215.0)</f>
        <v>215</v>
      </c>
      <c r="B2888" s="2" t="str">
        <f>IFERROR(__xludf.DUMMYFUNCTION("""COMPUTED_VALUE"""),"CHITTAGONG")</f>
        <v>CHITTAGONG</v>
      </c>
      <c r="C2888" s="4">
        <f>IFERROR(__xludf.DUMMYFUNCTION("""COMPUTED_VALUE"""),90.0)</f>
        <v>90</v>
      </c>
      <c r="D2888" s="2" t="str">
        <f>IFERROR(__xludf.DUMMYFUNCTION("""COMPUTED_VALUE"""),"DUTCH-BANGLA BANK LTD")</f>
        <v>DUTCH-BANGLA BANK LTD</v>
      </c>
      <c r="E2888" s="2" t="str">
        <f>IFERROR(__xludf.DUMMYFUNCTION("""COMPUTED_VALUE"""),"KHATUNGANJ")</f>
        <v>KHATUNGANJ</v>
      </c>
      <c r="F2888" s="4">
        <f>IFERROR(__xludf.DUMMYFUNCTION("""COMPUTED_VALUE"""),427.0)</f>
        <v>427</v>
      </c>
      <c r="G2888" s="5">
        <f>IFERROR(__xludf.DUMMYFUNCTION("""COMPUTED_VALUE"""),9.0154274E7)</f>
        <v>90154274</v>
      </c>
    </row>
    <row r="2889">
      <c r="A2889" s="3">
        <f>IFERROR(__xludf.DUMMYFUNCTION("""COMPUTED_VALUE"""),215.0)</f>
        <v>215</v>
      </c>
      <c r="B2889" s="2" t="str">
        <f>IFERROR(__xludf.DUMMYFUNCTION("""COMPUTED_VALUE"""),"CHITTAGONG")</f>
        <v>CHITTAGONG</v>
      </c>
      <c r="C2889" s="4">
        <f>IFERROR(__xludf.DUMMYFUNCTION("""COMPUTED_VALUE"""),90.0)</f>
        <v>90</v>
      </c>
      <c r="D2889" s="2" t="str">
        <f>IFERROR(__xludf.DUMMYFUNCTION("""COMPUTED_VALUE"""),"DUTCH-BANGLA BANK LTD")</f>
        <v>DUTCH-BANGLA BANK LTD</v>
      </c>
      <c r="E2889" s="2" t="str">
        <f>IFERROR(__xludf.DUMMYFUNCTION("""COMPUTED_VALUE"""),"LOHA GARA")</f>
        <v>LOHA GARA</v>
      </c>
      <c r="F2889" s="4">
        <f>IFERROR(__xludf.DUMMYFUNCTION("""COMPUTED_VALUE"""),466.0)</f>
        <v>466</v>
      </c>
      <c r="G2889" s="5">
        <f>IFERROR(__xludf.DUMMYFUNCTION("""COMPUTED_VALUE"""),9.0154661E7)</f>
        <v>90154661</v>
      </c>
    </row>
    <row r="2890">
      <c r="A2890" s="3">
        <f>IFERROR(__xludf.DUMMYFUNCTION("""COMPUTED_VALUE"""),215.0)</f>
        <v>215</v>
      </c>
      <c r="B2890" s="2" t="str">
        <f>IFERROR(__xludf.DUMMYFUNCTION("""COMPUTED_VALUE"""),"CHITTAGONG")</f>
        <v>CHITTAGONG</v>
      </c>
      <c r="C2890" s="4">
        <f>IFERROR(__xludf.DUMMYFUNCTION("""COMPUTED_VALUE"""),90.0)</f>
        <v>90</v>
      </c>
      <c r="D2890" s="2" t="str">
        <f>IFERROR(__xludf.DUMMYFUNCTION("""COMPUTED_VALUE"""),"DUTCH-BANGLA BANK LTD")</f>
        <v>DUTCH-BANGLA BANK LTD</v>
      </c>
      <c r="E2890" s="2" t="str">
        <f>IFERROR(__xludf.DUMMYFUNCTION("""COMPUTED_VALUE"""),"MURADPUR")</f>
        <v>MURADPUR</v>
      </c>
      <c r="F2890" s="4">
        <f>IFERROR(__xludf.DUMMYFUNCTION("""COMPUTED_VALUE"""),532.0)</f>
        <v>532</v>
      </c>
      <c r="G2890" s="5">
        <f>IFERROR(__xludf.DUMMYFUNCTION("""COMPUTED_VALUE"""),9.0155323E7)</f>
        <v>90155323</v>
      </c>
    </row>
    <row r="2891">
      <c r="A2891" s="3">
        <f>IFERROR(__xludf.DUMMYFUNCTION("""COMPUTED_VALUE"""),215.0)</f>
        <v>215</v>
      </c>
      <c r="B2891" s="2" t="str">
        <f>IFERROR(__xludf.DUMMYFUNCTION("""COMPUTED_VALUE"""),"CHITTAGONG")</f>
        <v>CHITTAGONG</v>
      </c>
      <c r="C2891" s="4">
        <f>IFERROR(__xludf.DUMMYFUNCTION("""COMPUTED_VALUE"""),90.0)</f>
        <v>90</v>
      </c>
      <c r="D2891" s="2" t="str">
        <f>IFERROR(__xludf.DUMMYFUNCTION("""COMPUTED_VALUE"""),"DUTCH-BANGLA BANK LTD")</f>
        <v>DUTCH-BANGLA BANK LTD</v>
      </c>
      <c r="E2891" s="2" t="str">
        <f>IFERROR(__xludf.DUMMYFUNCTION("""COMPUTED_VALUE"""),"PATHERHAT")</f>
        <v>PATHERHAT</v>
      </c>
      <c r="F2891" s="4">
        <f>IFERROR(__xludf.DUMMYFUNCTION("""COMPUTED_VALUE"""),613.0)</f>
        <v>613</v>
      </c>
      <c r="G2891" s="5">
        <f>IFERROR(__xludf.DUMMYFUNCTION("""COMPUTED_VALUE"""),9.0156135E7)</f>
        <v>90156135</v>
      </c>
    </row>
    <row r="2892">
      <c r="A2892" s="3">
        <f>IFERROR(__xludf.DUMMYFUNCTION("""COMPUTED_VALUE"""),215.0)</f>
        <v>215</v>
      </c>
      <c r="B2892" s="2" t="str">
        <f>IFERROR(__xludf.DUMMYFUNCTION("""COMPUTED_VALUE"""),"CHITTAGONG")</f>
        <v>CHITTAGONG</v>
      </c>
      <c r="C2892" s="4">
        <f>IFERROR(__xludf.DUMMYFUNCTION("""COMPUTED_VALUE"""),90.0)</f>
        <v>90</v>
      </c>
      <c r="D2892" s="2" t="str">
        <f>IFERROR(__xludf.DUMMYFUNCTION("""COMPUTED_VALUE"""),"DUTCH-BANGLA BANK LTD")</f>
        <v>DUTCH-BANGLA BANK LTD</v>
      </c>
      <c r="E2892" s="2" t="str">
        <f>IFERROR(__xludf.DUMMYFUNCTION("""COMPUTED_VALUE"""),"RAOZAN SME")</f>
        <v>RAOZAN SME</v>
      </c>
      <c r="F2892" s="4">
        <f>IFERROR(__xludf.DUMMYFUNCTION("""COMPUTED_VALUE"""),650.0)</f>
        <v>650</v>
      </c>
      <c r="G2892" s="5">
        <f>IFERROR(__xludf.DUMMYFUNCTION("""COMPUTED_VALUE"""),9.0156506E7)</f>
        <v>90156506</v>
      </c>
    </row>
    <row r="2893">
      <c r="A2893" s="3">
        <f>IFERROR(__xludf.DUMMYFUNCTION("""COMPUTED_VALUE"""),418.0)</f>
        <v>418</v>
      </c>
      <c r="B2893" s="2" t="str">
        <f>IFERROR(__xludf.DUMMYFUNCTION("""COMPUTED_VALUE"""),"CHUADANGA")</f>
        <v>CHUADANGA</v>
      </c>
      <c r="C2893" s="4">
        <f>IFERROR(__xludf.DUMMYFUNCTION("""COMPUTED_VALUE"""),90.0)</f>
        <v>90</v>
      </c>
      <c r="D2893" s="2" t="str">
        <f>IFERROR(__xludf.DUMMYFUNCTION("""COMPUTED_VALUE"""),"DUTCH-BANGLA BANK LTD")</f>
        <v>DUTCH-BANGLA BANK LTD</v>
      </c>
      <c r="E2893" s="2" t="str">
        <f>IFERROR(__xludf.DUMMYFUNCTION("""COMPUTED_VALUE"""),"CHUADANGA")</f>
        <v>CHUADANGA</v>
      </c>
      <c r="F2893" s="4">
        <f>IFERROR(__xludf.DUMMYFUNCTION("""COMPUTED_VALUE"""),19.0)</f>
        <v>19</v>
      </c>
      <c r="G2893" s="5">
        <f>IFERROR(__xludf.DUMMYFUNCTION("""COMPUTED_VALUE"""),9.0180198E7)</f>
        <v>90180198</v>
      </c>
    </row>
    <row r="2894">
      <c r="A2894" s="3">
        <f>IFERROR(__xludf.DUMMYFUNCTION("""COMPUTED_VALUE"""),119.0)</f>
        <v>119</v>
      </c>
      <c r="B2894" s="2" t="str">
        <f>IFERROR(__xludf.DUMMYFUNCTION("""COMPUTED_VALUE"""),"COMILLA")</f>
        <v>COMILLA</v>
      </c>
      <c r="C2894" s="4">
        <f>IFERROR(__xludf.DUMMYFUNCTION("""COMPUTED_VALUE"""),90.0)</f>
        <v>90</v>
      </c>
      <c r="D2894" s="2" t="str">
        <f>IFERROR(__xludf.DUMMYFUNCTION("""COMPUTED_VALUE"""),"DUTCH-BANGLA BANK LTD")</f>
        <v>DUTCH-BANGLA BANK LTD</v>
      </c>
      <c r="E2894" s="2" t="str">
        <f>IFERROR(__xludf.DUMMYFUNCTION("""COMPUTED_VALUE"""),"COMILLA")</f>
        <v>COMILLA</v>
      </c>
      <c r="F2894" s="4">
        <f>IFERROR(__xludf.DUMMYFUNCTION("""COMPUTED_VALUE"""),115.0)</f>
        <v>115</v>
      </c>
      <c r="G2894" s="5">
        <f>IFERROR(__xludf.DUMMYFUNCTION("""COMPUTED_VALUE"""),9.0191158E7)</f>
        <v>90191158</v>
      </c>
    </row>
    <row r="2895">
      <c r="A2895" s="3">
        <f>IFERROR(__xludf.DUMMYFUNCTION("""COMPUTED_VALUE"""),119.0)</f>
        <v>119</v>
      </c>
      <c r="B2895" s="2" t="str">
        <f>IFERROR(__xludf.DUMMYFUNCTION("""COMPUTED_VALUE"""),"COMILLA")</f>
        <v>COMILLA</v>
      </c>
      <c r="C2895" s="4">
        <f>IFERROR(__xludf.DUMMYFUNCTION("""COMPUTED_VALUE"""),90.0)</f>
        <v>90</v>
      </c>
      <c r="D2895" s="2" t="str">
        <f>IFERROR(__xludf.DUMMYFUNCTION("""COMPUTED_VALUE"""),"DUTCH-BANGLA BANK LTD")</f>
        <v>DUTCH-BANGLA BANK LTD</v>
      </c>
      <c r="E2895" s="2" t="str">
        <f>IFERROR(__xludf.DUMMYFUNCTION("""COMPUTED_VALUE"""),"JHAWTALA SME")</f>
        <v>JHAWTALA SME</v>
      </c>
      <c r="F2895" s="4">
        <f>IFERROR(__xludf.DUMMYFUNCTION("""COMPUTED_VALUE"""),116.0)</f>
        <v>116</v>
      </c>
      <c r="G2895" s="5">
        <f>IFERROR(__xludf.DUMMYFUNCTION("""COMPUTED_VALUE"""),9.0191161E7)</f>
        <v>90191161</v>
      </c>
    </row>
    <row r="2896">
      <c r="A2896" s="3">
        <f>IFERROR(__xludf.DUMMYFUNCTION("""COMPUTED_VALUE"""),119.0)</f>
        <v>119</v>
      </c>
      <c r="B2896" s="2" t="str">
        <f>IFERROR(__xludf.DUMMYFUNCTION("""COMPUTED_VALUE"""),"COMILLA")</f>
        <v>COMILLA</v>
      </c>
      <c r="C2896" s="4">
        <f>IFERROR(__xludf.DUMMYFUNCTION("""COMPUTED_VALUE"""),90.0)</f>
        <v>90</v>
      </c>
      <c r="D2896" s="2" t="str">
        <f>IFERROR(__xludf.DUMMYFUNCTION("""COMPUTED_VALUE"""),"DUTCH-BANGLA BANK LTD")</f>
        <v>DUTCH-BANGLA BANK LTD</v>
      </c>
      <c r="E2896" s="2" t="str">
        <f>IFERROR(__xludf.DUMMYFUNCTION("""COMPUTED_VALUE"""),"COMPANIGANJ")</f>
        <v>COMPANIGANJ</v>
      </c>
      <c r="F2896" s="4">
        <f>IFERROR(__xludf.DUMMYFUNCTION("""COMPUTED_VALUE"""),142.0)</f>
        <v>142</v>
      </c>
      <c r="G2896" s="5">
        <f>IFERROR(__xludf.DUMMYFUNCTION("""COMPUTED_VALUE"""),9.0191424E7)</f>
        <v>90191424</v>
      </c>
    </row>
    <row r="2897">
      <c r="A2897" s="3">
        <f>IFERROR(__xludf.DUMMYFUNCTION("""COMPUTED_VALUE"""),119.0)</f>
        <v>119</v>
      </c>
      <c r="B2897" s="2" t="str">
        <f>IFERROR(__xludf.DUMMYFUNCTION("""COMPUTED_VALUE"""),"COMILLA")</f>
        <v>COMILLA</v>
      </c>
      <c r="C2897" s="4">
        <f>IFERROR(__xludf.DUMMYFUNCTION("""COMPUTED_VALUE"""),90.0)</f>
        <v>90</v>
      </c>
      <c r="D2897" s="2" t="str">
        <f>IFERROR(__xludf.DUMMYFUNCTION("""COMPUTED_VALUE"""),"DUTCH-BANGLA BANK LTD")</f>
        <v>DUTCH-BANGLA BANK LTD</v>
      </c>
      <c r="E2897" s="2" t="str">
        <f>IFERROR(__xludf.DUMMYFUNCTION("""COMPUTED_VALUE"""),"GOURIPUR")</f>
        <v>GOURIPUR</v>
      </c>
      <c r="F2897" s="4">
        <f>IFERROR(__xludf.DUMMYFUNCTION("""COMPUTED_VALUE"""),211.0)</f>
        <v>211</v>
      </c>
      <c r="G2897" s="5">
        <f>IFERROR(__xludf.DUMMYFUNCTION("""COMPUTED_VALUE"""),9.0192115E7)</f>
        <v>90192115</v>
      </c>
    </row>
    <row r="2898">
      <c r="A2898" s="3">
        <f>IFERROR(__xludf.DUMMYFUNCTION("""COMPUTED_VALUE"""),119.0)</f>
        <v>119</v>
      </c>
      <c r="B2898" s="2" t="str">
        <f>IFERROR(__xludf.DUMMYFUNCTION("""COMPUTED_VALUE"""),"COMILLA")</f>
        <v>COMILLA</v>
      </c>
      <c r="C2898" s="4">
        <f>IFERROR(__xludf.DUMMYFUNCTION("""COMPUTED_VALUE"""),90.0)</f>
        <v>90</v>
      </c>
      <c r="D2898" s="2" t="str">
        <f>IFERROR(__xludf.DUMMYFUNCTION("""COMPUTED_VALUE"""),"DUTCH-BANGLA BANK LTD")</f>
        <v>DUTCH-BANGLA BANK LTD</v>
      </c>
      <c r="E2898" s="2" t="str">
        <f>IFERROR(__xludf.DUMMYFUNCTION("""COMPUTED_VALUE"""),"LAKSAM")</f>
        <v>LAKSAM</v>
      </c>
      <c r="F2898" s="4">
        <f>IFERROR(__xludf.DUMMYFUNCTION("""COMPUTED_VALUE"""),271.0)</f>
        <v>271</v>
      </c>
      <c r="G2898" s="5">
        <f>IFERROR(__xludf.DUMMYFUNCTION("""COMPUTED_VALUE"""),9.0192715E7)</f>
        <v>90192715</v>
      </c>
    </row>
    <row r="2899">
      <c r="A2899" s="3">
        <f>IFERROR(__xludf.DUMMYFUNCTION("""COMPUTED_VALUE"""),222.0)</f>
        <v>222</v>
      </c>
      <c r="B2899" s="2" t="str">
        <f>IFERROR(__xludf.DUMMYFUNCTION("""COMPUTED_VALUE"""),"COXS BAZAR")</f>
        <v>COXS BAZAR</v>
      </c>
      <c r="C2899" s="4">
        <f>IFERROR(__xludf.DUMMYFUNCTION("""COMPUTED_VALUE"""),90.0)</f>
        <v>90</v>
      </c>
      <c r="D2899" s="2" t="str">
        <f>IFERROR(__xludf.DUMMYFUNCTION("""COMPUTED_VALUE"""),"DUTCH-BANGLA BANK LTD")</f>
        <v>DUTCH-BANGLA BANK LTD</v>
      </c>
      <c r="E2899" s="2" t="str">
        <f>IFERROR(__xludf.DUMMYFUNCTION("""COMPUTED_VALUE"""),"CHAKARIA")</f>
        <v>CHAKARIA</v>
      </c>
      <c r="F2899" s="4">
        <f>IFERROR(__xludf.DUMMYFUNCTION("""COMPUTED_VALUE"""),16.0)</f>
        <v>16</v>
      </c>
      <c r="G2899" s="5">
        <f>IFERROR(__xludf.DUMMYFUNCTION("""COMPUTED_VALUE"""),9.0220166E7)</f>
        <v>90220166</v>
      </c>
    </row>
    <row r="2900">
      <c r="A2900" s="3">
        <f>IFERROR(__xludf.DUMMYFUNCTION("""COMPUTED_VALUE"""),222.0)</f>
        <v>222</v>
      </c>
      <c r="B2900" s="2" t="str">
        <f>IFERROR(__xludf.DUMMYFUNCTION("""COMPUTED_VALUE"""),"COXS BAZAR")</f>
        <v>COXS BAZAR</v>
      </c>
      <c r="C2900" s="4">
        <f>IFERROR(__xludf.DUMMYFUNCTION("""COMPUTED_VALUE"""),90.0)</f>
        <v>90</v>
      </c>
      <c r="D2900" s="2" t="str">
        <f>IFERROR(__xludf.DUMMYFUNCTION("""COMPUTED_VALUE"""),"DUTCH-BANGLA BANK LTD")</f>
        <v>DUTCH-BANGLA BANK LTD</v>
      </c>
      <c r="E2900" s="2" t="str">
        <f>IFERROR(__xludf.DUMMYFUNCTION("""COMPUTED_VALUE"""),"COXS BAZAR")</f>
        <v>COXS BAZAR</v>
      </c>
      <c r="F2900" s="4">
        <f>IFERROR(__xludf.DUMMYFUNCTION("""COMPUTED_VALUE"""),25.0)</f>
        <v>25</v>
      </c>
      <c r="G2900" s="5">
        <f>IFERROR(__xludf.DUMMYFUNCTION("""COMPUTED_VALUE"""),9.0220258E7)</f>
        <v>90220258</v>
      </c>
    </row>
    <row r="2901">
      <c r="A2901" s="3">
        <f>IFERROR(__xludf.DUMMYFUNCTION("""COMPUTED_VALUE"""),126.0)</f>
        <v>126</v>
      </c>
      <c r="B2901" s="2" t="str">
        <f>IFERROR(__xludf.DUMMYFUNCTION("""COMPUTED_VALUE"""),"DHAKA-NORTH")</f>
        <v>DHAKA-NORTH</v>
      </c>
      <c r="C2901" s="4">
        <f>IFERROR(__xludf.DUMMYFUNCTION("""COMPUTED_VALUE"""),90.0)</f>
        <v>90</v>
      </c>
      <c r="D2901" s="2" t="str">
        <f>IFERROR(__xludf.DUMMYFUNCTION("""COMPUTED_VALUE"""),"DUTCH-BANGLA BANK LTD")</f>
        <v>DUTCH-BANGLA BANK LTD</v>
      </c>
      <c r="E2901" s="2" t="str">
        <f>IFERROR(__xludf.DUMMYFUNCTION("""COMPUTED_VALUE"""),"ASHKONA")</f>
        <v>ASHKONA</v>
      </c>
      <c r="F2901" s="4">
        <f>IFERROR(__xludf.DUMMYFUNCTION("""COMPUTED_VALUE"""),20.0)</f>
        <v>20</v>
      </c>
      <c r="G2901" s="5">
        <f>IFERROR(__xludf.DUMMYFUNCTION("""COMPUTED_VALUE"""),9.0260205E7)</f>
        <v>90260205</v>
      </c>
    </row>
    <row r="2902">
      <c r="A2902" s="3">
        <f>IFERROR(__xludf.DUMMYFUNCTION("""COMPUTED_VALUE"""),126.0)</f>
        <v>126</v>
      </c>
      <c r="B2902" s="2" t="str">
        <f>IFERROR(__xludf.DUMMYFUNCTION("""COMPUTED_VALUE"""),"DHAKA-NORTH")</f>
        <v>DHAKA-NORTH</v>
      </c>
      <c r="C2902" s="4">
        <f>IFERROR(__xludf.DUMMYFUNCTION("""COMPUTED_VALUE"""),90.0)</f>
        <v>90</v>
      </c>
      <c r="D2902" s="2" t="str">
        <f>IFERROR(__xludf.DUMMYFUNCTION("""COMPUTED_VALUE"""),"DUTCH-BANGLA BANK LTD")</f>
        <v>DUTCH-BANGLA BANK LTD</v>
      </c>
      <c r="E2902" s="2" t="str">
        <f>IFERROR(__xludf.DUMMYFUNCTION("""COMPUTED_VALUE"""),"ASHULIA")</f>
        <v>ASHULIA</v>
      </c>
      <c r="F2902" s="4">
        <f>IFERROR(__xludf.DUMMYFUNCTION("""COMPUTED_VALUE"""),22.0)</f>
        <v>22</v>
      </c>
      <c r="G2902" s="5">
        <f>IFERROR(__xludf.DUMMYFUNCTION("""COMPUTED_VALUE"""),9.0260221E7)</f>
        <v>90260221</v>
      </c>
    </row>
    <row r="2903">
      <c r="A2903" s="3">
        <f>IFERROR(__xludf.DUMMYFUNCTION("""COMPUTED_VALUE"""),126.0)</f>
        <v>126</v>
      </c>
      <c r="B2903" s="2" t="str">
        <f>IFERROR(__xludf.DUMMYFUNCTION("""COMPUTED_VALUE"""),"DHAKA-NORTH")</f>
        <v>DHAKA-NORTH</v>
      </c>
      <c r="C2903" s="4">
        <f>IFERROR(__xludf.DUMMYFUNCTION("""COMPUTED_VALUE"""),90.0)</f>
        <v>90</v>
      </c>
      <c r="D2903" s="2" t="str">
        <f>IFERROR(__xludf.DUMMYFUNCTION("""COMPUTED_VALUE"""),"DUTCH-BANGLA BANK LTD")</f>
        <v>DUTCH-BANGLA BANK LTD</v>
      </c>
      <c r="E2903" s="2" t="str">
        <f>IFERROR(__xludf.DUMMYFUNCTION("""COMPUTED_VALUE"""),"DUMNI")</f>
        <v>DUMNI</v>
      </c>
      <c r="F2903" s="4">
        <f>IFERROR(__xludf.DUMMYFUNCTION("""COMPUTED_VALUE"""),36.0)</f>
        <v>36</v>
      </c>
      <c r="G2903" s="5">
        <f>IFERROR(__xludf.DUMMYFUNCTION("""COMPUTED_VALUE"""),9.0260368E7)</f>
        <v>90260368</v>
      </c>
    </row>
    <row r="2904">
      <c r="A2904" s="3">
        <f>IFERROR(__xludf.DUMMYFUNCTION("""COMPUTED_VALUE"""),126.0)</f>
        <v>126</v>
      </c>
      <c r="B2904" s="2" t="str">
        <f>IFERROR(__xludf.DUMMYFUNCTION("""COMPUTED_VALUE"""),"DHAKA-NORTH")</f>
        <v>DHAKA-NORTH</v>
      </c>
      <c r="C2904" s="4">
        <f>IFERROR(__xludf.DUMMYFUNCTION("""COMPUTED_VALUE"""),90.0)</f>
        <v>90</v>
      </c>
      <c r="D2904" s="2" t="str">
        <f>IFERROR(__xludf.DUMMYFUNCTION("""COMPUTED_VALUE"""),"DUTCH-BANGLA BANK LTD")</f>
        <v>DUTCH-BANGLA BANK LTD</v>
      </c>
      <c r="E2904" s="2" t="str">
        <f>IFERROR(__xludf.DUMMYFUNCTION("""COMPUTED_VALUE"""),"BANANI")</f>
        <v>BANANI</v>
      </c>
      <c r="F2904" s="4">
        <f>IFERROR(__xludf.DUMMYFUNCTION("""COMPUTED_VALUE"""),43.0)</f>
        <v>43</v>
      </c>
      <c r="G2904" s="5">
        <f>IFERROR(__xludf.DUMMYFUNCTION("""COMPUTED_VALUE"""),9.0260434E7)</f>
        <v>90260434</v>
      </c>
    </row>
    <row r="2905">
      <c r="A2905" s="3">
        <f>IFERROR(__xludf.DUMMYFUNCTION("""COMPUTED_VALUE"""),126.0)</f>
        <v>126</v>
      </c>
      <c r="B2905" s="2" t="str">
        <f>IFERROR(__xludf.DUMMYFUNCTION("""COMPUTED_VALUE"""),"DHAKA-NORTH")</f>
        <v>DHAKA-NORTH</v>
      </c>
      <c r="C2905" s="4">
        <f>IFERROR(__xludf.DUMMYFUNCTION("""COMPUTED_VALUE"""),90.0)</f>
        <v>90</v>
      </c>
      <c r="D2905" s="2" t="str">
        <f>IFERROR(__xludf.DUMMYFUNCTION("""COMPUTED_VALUE"""),"DUTCH-BANGLA BANK LTD")</f>
        <v>DUTCH-BANGLA BANK LTD</v>
      </c>
      <c r="E2905" s="2" t="str">
        <f>IFERROR(__xludf.DUMMYFUNCTION("""COMPUTED_VALUE"""),"BANANI BAZAR")</f>
        <v>BANANI BAZAR</v>
      </c>
      <c r="F2905" s="4">
        <f>IFERROR(__xludf.DUMMYFUNCTION("""COMPUTED_VALUE"""),46.0)</f>
        <v>46</v>
      </c>
      <c r="G2905" s="5">
        <f>IFERROR(__xludf.DUMMYFUNCTION("""COMPUTED_VALUE"""),9.0260463E7)</f>
        <v>90260463</v>
      </c>
    </row>
    <row r="2906">
      <c r="A2906" s="3">
        <f>IFERROR(__xludf.DUMMYFUNCTION("""COMPUTED_VALUE"""),126.0)</f>
        <v>126</v>
      </c>
      <c r="B2906" s="2" t="str">
        <f>IFERROR(__xludf.DUMMYFUNCTION("""COMPUTED_VALUE"""),"DHAKA-NORTH")</f>
        <v>DHAKA-NORTH</v>
      </c>
      <c r="C2906" s="4">
        <f>IFERROR(__xludf.DUMMYFUNCTION("""COMPUTED_VALUE"""),90.0)</f>
        <v>90</v>
      </c>
      <c r="D2906" s="2" t="str">
        <f>IFERROR(__xludf.DUMMYFUNCTION("""COMPUTED_VALUE"""),"DUTCH-BANGLA BANK LTD")</f>
        <v>DUTCH-BANGLA BANK LTD</v>
      </c>
      <c r="E2906" s="2" t="str">
        <f>IFERROR(__xludf.DUMMYFUNCTION("""COMPUTED_VALUE"""),"HEMAYET PUR")</f>
        <v>HEMAYET PUR</v>
      </c>
      <c r="F2906" s="4">
        <f>IFERROR(__xludf.DUMMYFUNCTION("""COMPUTED_VALUE"""),50.0)</f>
        <v>50</v>
      </c>
      <c r="G2906" s="5">
        <f>IFERROR(__xludf.DUMMYFUNCTION("""COMPUTED_VALUE"""),9.02605E7)</f>
        <v>90260500</v>
      </c>
    </row>
    <row r="2907">
      <c r="A2907" s="3">
        <f>IFERROR(__xludf.DUMMYFUNCTION("""COMPUTED_VALUE"""),126.0)</f>
        <v>126</v>
      </c>
      <c r="B2907" s="2" t="str">
        <f>IFERROR(__xludf.DUMMYFUNCTION("""COMPUTED_VALUE"""),"DHAKA-NORTH")</f>
        <v>DHAKA-NORTH</v>
      </c>
      <c r="C2907" s="4">
        <f>IFERROR(__xludf.DUMMYFUNCTION("""COMPUTED_VALUE"""),90.0)</f>
        <v>90</v>
      </c>
      <c r="D2907" s="2" t="str">
        <f>IFERROR(__xludf.DUMMYFUNCTION("""COMPUTED_VALUE"""),"DUTCH-BANGLA BANK LTD")</f>
        <v>DUTCH-BANGLA BANK LTD</v>
      </c>
      <c r="E2907" s="2" t="str">
        <f>IFERROR(__xludf.DUMMYFUNCTION("""COMPUTED_VALUE"""),"BASHUNDHARA")</f>
        <v>BASHUNDHARA</v>
      </c>
      <c r="F2907" s="4">
        <f>IFERROR(__xludf.DUMMYFUNCTION("""COMPUTED_VALUE"""),55.0)</f>
        <v>55</v>
      </c>
      <c r="G2907" s="5">
        <f>IFERROR(__xludf.DUMMYFUNCTION("""COMPUTED_VALUE"""),9.0260555E7)</f>
        <v>90260555</v>
      </c>
    </row>
    <row r="2908">
      <c r="A2908" s="3">
        <f>IFERROR(__xludf.DUMMYFUNCTION("""COMPUTED_VALUE"""),126.0)</f>
        <v>126</v>
      </c>
      <c r="B2908" s="2" t="str">
        <f>IFERROR(__xludf.DUMMYFUNCTION("""COMPUTED_VALUE"""),"DHAKA-NORTH")</f>
        <v>DHAKA-NORTH</v>
      </c>
      <c r="C2908" s="4">
        <f>IFERROR(__xludf.DUMMYFUNCTION("""COMPUTED_VALUE"""),90.0)</f>
        <v>90</v>
      </c>
      <c r="D2908" s="2" t="str">
        <f>IFERROR(__xludf.DUMMYFUNCTION("""COMPUTED_VALUE"""),"DUTCH-BANGLA BANK LTD")</f>
        <v>DUTCH-BANGLA BANK LTD</v>
      </c>
      <c r="E2908" s="2" t="str">
        <f>IFERROR(__xludf.DUMMYFUNCTION("""COMPUTED_VALUE"""),"DAKSHIN KHAN SME")</f>
        <v>DAKSHIN KHAN SME</v>
      </c>
      <c r="F2908" s="4">
        <f>IFERROR(__xludf.DUMMYFUNCTION("""COMPUTED_VALUE"""),92.0)</f>
        <v>92</v>
      </c>
      <c r="G2908" s="5">
        <f>IFERROR(__xludf.DUMMYFUNCTION("""COMPUTED_VALUE"""),9.0260926E7)</f>
        <v>90260926</v>
      </c>
    </row>
    <row r="2909">
      <c r="A2909" s="3">
        <f>IFERROR(__xludf.DUMMYFUNCTION("""COMPUTED_VALUE"""),126.0)</f>
        <v>126</v>
      </c>
      <c r="B2909" s="2" t="str">
        <f>IFERROR(__xludf.DUMMYFUNCTION("""COMPUTED_VALUE"""),"DHAKA-NORTH")</f>
        <v>DHAKA-NORTH</v>
      </c>
      <c r="C2909" s="4">
        <f>IFERROR(__xludf.DUMMYFUNCTION("""COMPUTED_VALUE"""),90.0)</f>
        <v>90</v>
      </c>
      <c r="D2909" s="2" t="str">
        <f>IFERROR(__xludf.DUMMYFUNCTION("""COMPUTED_VALUE"""),"DUTCH-BANGLA BANK LTD")</f>
        <v>DUTCH-BANGLA BANK LTD</v>
      </c>
      <c r="E2909" s="2" t="str">
        <f>IFERROR(__xludf.DUMMYFUNCTION("""COMPUTED_VALUE"""),"DHAKA EPZ")</f>
        <v>DHAKA EPZ</v>
      </c>
      <c r="F2909" s="4">
        <f>IFERROR(__xludf.DUMMYFUNCTION("""COMPUTED_VALUE"""),109.0)</f>
        <v>109</v>
      </c>
      <c r="G2909" s="5">
        <f>IFERROR(__xludf.DUMMYFUNCTION("""COMPUTED_VALUE"""),9.0261091E7)</f>
        <v>90261091</v>
      </c>
    </row>
    <row r="2910">
      <c r="A2910" s="3">
        <f>IFERROR(__xludf.DUMMYFUNCTION("""COMPUTED_VALUE"""),126.0)</f>
        <v>126</v>
      </c>
      <c r="B2910" s="2" t="str">
        <f>IFERROR(__xludf.DUMMYFUNCTION("""COMPUTED_VALUE"""),"DHAKA-NORTH")</f>
        <v>DHAKA-NORTH</v>
      </c>
      <c r="C2910" s="4">
        <f>IFERROR(__xludf.DUMMYFUNCTION("""COMPUTED_VALUE"""),90.0)</f>
        <v>90</v>
      </c>
      <c r="D2910" s="2" t="str">
        <f>IFERROR(__xludf.DUMMYFUNCTION("""COMPUTED_VALUE"""),"DUTCH-BANGLA BANK LTD")</f>
        <v>DUTCH-BANGLA BANK LTD</v>
      </c>
      <c r="E2910" s="2" t="str">
        <f>IFERROR(__xludf.DUMMYFUNCTION("""COMPUTED_VALUE"""),"DHANMONDI")</f>
        <v>DHANMONDI</v>
      </c>
      <c r="F2910" s="4">
        <f>IFERROR(__xludf.DUMMYFUNCTION("""COMPUTED_VALUE"""),118.0)</f>
        <v>118</v>
      </c>
      <c r="G2910" s="5">
        <f>IFERROR(__xludf.DUMMYFUNCTION("""COMPUTED_VALUE"""),9.0261183E7)</f>
        <v>90261183</v>
      </c>
    </row>
    <row r="2911">
      <c r="A2911" s="3">
        <f>IFERROR(__xludf.DUMMYFUNCTION("""COMPUTED_VALUE"""),126.0)</f>
        <v>126</v>
      </c>
      <c r="B2911" s="2" t="str">
        <f>IFERROR(__xludf.DUMMYFUNCTION("""COMPUTED_VALUE"""),"DHAKA-NORTH")</f>
        <v>DHAKA-NORTH</v>
      </c>
      <c r="C2911" s="4">
        <f>IFERROR(__xludf.DUMMYFUNCTION("""COMPUTED_VALUE"""),90.0)</f>
        <v>90</v>
      </c>
      <c r="D2911" s="2" t="str">
        <f>IFERROR(__xludf.DUMMYFUNCTION("""COMPUTED_VALUE"""),"DUTCH-BANGLA BANK LTD")</f>
        <v>DUTCH-BANGLA BANK LTD</v>
      </c>
      <c r="E2911" s="2" t="str">
        <f>IFERROR(__xludf.DUMMYFUNCTION("""COMPUTED_VALUE"""),"ELEPHANT ROAD")</f>
        <v>ELEPHANT ROAD</v>
      </c>
      <c r="F2911" s="4">
        <f>IFERROR(__xludf.DUMMYFUNCTION("""COMPUTED_VALUE"""),133.0)</f>
        <v>133</v>
      </c>
      <c r="G2911" s="5">
        <f>IFERROR(__xludf.DUMMYFUNCTION("""COMPUTED_VALUE"""),9.0261338E7)</f>
        <v>90261338</v>
      </c>
    </row>
    <row r="2912">
      <c r="A2912" s="3">
        <f>IFERROR(__xludf.DUMMYFUNCTION("""COMPUTED_VALUE"""),126.0)</f>
        <v>126</v>
      </c>
      <c r="B2912" s="2" t="str">
        <f>IFERROR(__xludf.DUMMYFUNCTION("""COMPUTED_VALUE"""),"DHAKA-NORTH")</f>
        <v>DHAKA-NORTH</v>
      </c>
      <c r="C2912" s="4">
        <f>IFERROR(__xludf.DUMMYFUNCTION("""COMPUTED_VALUE"""),90.0)</f>
        <v>90</v>
      </c>
      <c r="D2912" s="2" t="str">
        <f>IFERROR(__xludf.DUMMYFUNCTION("""COMPUTED_VALUE"""),"DUTCH-BANGLA BANK LTD")</f>
        <v>DUTCH-BANGLA BANK LTD</v>
      </c>
      <c r="E2912" s="2" t="str">
        <f>IFERROR(__xludf.DUMMYFUNCTION("""COMPUTED_VALUE"""),"GULSHAN")</f>
        <v>GULSHAN</v>
      </c>
      <c r="F2912" s="4">
        <f>IFERROR(__xludf.DUMMYFUNCTION("""COMPUTED_VALUE"""),172.0)</f>
        <v>172</v>
      </c>
      <c r="G2912" s="5">
        <f>IFERROR(__xludf.DUMMYFUNCTION("""COMPUTED_VALUE"""),9.0261725E7)</f>
        <v>90261725</v>
      </c>
    </row>
    <row r="2913">
      <c r="A2913" s="3">
        <f>IFERROR(__xludf.DUMMYFUNCTION("""COMPUTED_VALUE"""),126.0)</f>
        <v>126</v>
      </c>
      <c r="B2913" s="2" t="str">
        <f>IFERROR(__xludf.DUMMYFUNCTION("""COMPUTED_VALUE"""),"DHAKA-NORTH")</f>
        <v>DHAKA-NORTH</v>
      </c>
      <c r="C2913" s="4">
        <f>IFERROR(__xludf.DUMMYFUNCTION("""COMPUTED_VALUE"""),90.0)</f>
        <v>90</v>
      </c>
      <c r="D2913" s="2" t="str">
        <f>IFERROR(__xludf.DUMMYFUNCTION("""COMPUTED_VALUE"""),"DUTCH-BANGLA BANK LTD")</f>
        <v>DUTCH-BANGLA BANK LTD</v>
      </c>
      <c r="E2913" s="2" t="str">
        <f>IFERROR(__xludf.DUMMYFUNCTION("""COMPUTED_VALUE"""),"VATARA")</f>
        <v>VATARA</v>
      </c>
      <c r="F2913" s="4">
        <f>IFERROR(__xludf.DUMMYFUNCTION("""COMPUTED_VALUE"""),180.0)</f>
        <v>180</v>
      </c>
      <c r="G2913" s="5">
        <f>IFERROR(__xludf.DUMMYFUNCTION("""COMPUTED_VALUE"""),9.0261804E7)</f>
        <v>90261804</v>
      </c>
    </row>
    <row r="2914">
      <c r="A2914" s="3">
        <f>IFERROR(__xludf.DUMMYFUNCTION("""COMPUTED_VALUE"""),126.0)</f>
        <v>126</v>
      </c>
      <c r="B2914" s="2" t="str">
        <f>IFERROR(__xludf.DUMMYFUNCTION("""COMPUTED_VALUE"""),"DHAKA-NORTH")</f>
        <v>DHAKA-NORTH</v>
      </c>
      <c r="C2914" s="4">
        <f>IFERROR(__xludf.DUMMYFUNCTION("""COMPUTED_VALUE"""),90.0)</f>
        <v>90</v>
      </c>
      <c r="D2914" s="2" t="str">
        <f>IFERROR(__xludf.DUMMYFUNCTION("""COMPUTED_VALUE"""),"DUTCH-BANGLA BANK LTD")</f>
        <v>DUTCH-BANGLA BANK LTD</v>
      </c>
      <c r="E2914" s="2" t="str">
        <f>IFERROR(__xludf.DUMMYFUNCTION("""COMPUTED_VALUE"""),"AMIN BAZAR")</f>
        <v>AMIN BAZAR</v>
      </c>
      <c r="F2914" s="4">
        <f>IFERROR(__xludf.DUMMYFUNCTION("""COMPUTED_VALUE"""),205.0)</f>
        <v>205</v>
      </c>
      <c r="G2914" s="5">
        <f>IFERROR(__xludf.DUMMYFUNCTION("""COMPUTED_VALUE"""),9.0262058E7)</f>
        <v>90262058</v>
      </c>
    </row>
    <row r="2915">
      <c r="A2915" s="3">
        <f>IFERROR(__xludf.DUMMYFUNCTION("""COMPUTED_VALUE"""),126.0)</f>
        <v>126</v>
      </c>
      <c r="B2915" s="2" t="str">
        <f>IFERROR(__xludf.DUMMYFUNCTION("""COMPUTED_VALUE"""),"DHAKA-NORTH")</f>
        <v>DHAKA-NORTH</v>
      </c>
      <c r="C2915" s="4">
        <f>IFERROR(__xludf.DUMMYFUNCTION("""COMPUTED_VALUE"""),90.0)</f>
        <v>90</v>
      </c>
      <c r="D2915" s="2" t="str">
        <f>IFERROR(__xludf.DUMMYFUNCTION("""COMPUTED_VALUE"""),"DUTCH-BANGLA BANK LTD")</f>
        <v>DUTCH-BANGLA BANK LTD</v>
      </c>
      <c r="E2915" s="2" t="str">
        <f>IFERROR(__xludf.DUMMYFUNCTION("""COMPUTED_VALUE"""),"KALAMPUR")</f>
        <v>KALAMPUR</v>
      </c>
      <c r="F2915" s="4">
        <f>IFERROR(__xludf.DUMMYFUNCTION("""COMPUTED_VALUE"""),244.0)</f>
        <v>244</v>
      </c>
      <c r="G2915" s="5">
        <f>IFERROR(__xludf.DUMMYFUNCTION("""COMPUTED_VALUE"""),9.0262445E7)</f>
        <v>90262445</v>
      </c>
    </row>
    <row r="2916">
      <c r="A2916" s="3">
        <f>IFERROR(__xludf.DUMMYFUNCTION("""COMPUTED_VALUE"""),126.0)</f>
        <v>126</v>
      </c>
      <c r="B2916" s="2" t="str">
        <f>IFERROR(__xludf.DUMMYFUNCTION("""COMPUTED_VALUE"""),"DHAKA-NORTH")</f>
        <v>DHAKA-NORTH</v>
      </c>
      <c r="C2916" s="4">
        <f>IFERROR(__xludf.DUMMYFUNCTION("""COMPUTED_VALUE"""),90.0)</f>
        <v>90</v>
      </c>
      <c r="D2916" s="2" t="str">
        <f>IFERROR(__xludf.DUMMYFUNCTION("""COMPUTED_VALUE"""),"DUTCH-BANGLA BANK LTD")</f>
        <v>DUTCH-BANGLA BANK LTD</v>
      </c>
      <c r="E2916" s="2" t="str">
        <f>IFERROR(__xludf.DUMMYFUNCTION("""COMPUTED_VALUE"""),"KARWAN BAZAR")</f>
        <v>KARWAN BAZAR</v>
      </c>
      <c r="F2916" s="4">
        <f>IFERROR(__xludf.DUMMYFUNCTION("""COMPUTED_VALUE"""),253.0)</f>
        <v>253</v>
      </c>
      <c r="G2916" s="5">
        <f>IFERROR(__xludf.DUMMYFUNCTION("""COMPUTED_VALUE"""),9.0262537E7)</f>
        <v>90262537</v>
      </c>
    </row>
    <row r="2917">
      <c r="A2917" s="3">
        <f>IFERROR(__xludf.DUMMYFUNCTION("""COMPUTED_VALUE"""),126.0)</f>
        <v>126</v>
      </c>
      <c r="B2917" s="2" t="str">
        <f>IFERROR(__xludf.DUMMYFUNCTION("""COMPUTED_VALUE"""),"DHAKA-NORTH")</f>
        <v>DHAKA-NORTH</v>
      </c>
      <c r="C2917" s="4">
        <f>IFERROR(__xludf.DUMMYFUNCTION("""COMPUTED_VALUE"""),90.0)</f>
        <v>90</v>
      </c>
      <c r="D2917" s="2" t="str">
        <f>IFERROR(__xludf.DUMMYFUNCTION("""COMPUTED_VALUE"""),"DUTCH-BANGLA BANK LTD")</f>
        <v>DUTCH-BANGLA BANK LTD</v>
      </c>
      <c r="E2917" s="2" t="str">
        <f>IFERROR(__xludf.DUMMYFUNCTION("""COMPUTED_VALUE"""),"MANDA")</f>
        <v>MANDA</v>
      </c>
      <c r="F2917" s="4">
        <f>IFERROR(__xludf.DUMMYFUNCTION("""COMPUTED_VALUE"""),287.0)</f>
        <v>287</v>
      </c>
      <c r="G2917" s="5">
        <f>IFERROR(__xludf.DUMMYFUNCTION("""COMPUTED_VALUE"""),9.0262874E7)</f>
        <v>90262874</v>
      </c>
    </row>
    <row r="2918">
      <c r="A2918" s="3">
        <f>IFERROR(__xludf.DUMMYFUNCTION("""COMPUTED_VALUE"""),126.0)</f>
        <v>126</v>
      </c>
      <c r="B2918" s="2" t="str">
        <f>IFERROR(__xludf.DUMMYFUNCTION("""COMPUTED_VALUE"""),"DHAKA-NORTH")</f>
        <v>DHAKA-NORTH</v>
      </c>
      <c r="C2918" s="4">
        <f>IFERROR(__xludf.DUMMYFUNCTION("""COMPUTED_VALUE"""),90.0)</f>
        <v>90</v>
      </c>
      <c r="D2918" s="2" t="str">
        <f>IFERROR(__xludf.DUMMYFUNCTION("""COMPUTED_VALUE"""),"DUTCH-BANGLA BANK LTD")</f>
        <v>DUTCH-BANGLA BANK LTD</v>
      </c>
      <c r="E2918" s="2" t="str">
        <f>IFERROR(__xludf.DUMMYFUNCTION("""COMPUTED_VALUE"""),"MIRPUR")</f>
        <v>MIRPUR</v>
      </c>
      <c r="F2918" s="4">
        <f>IFERROR(__xludf.DUMMYFUNCTION("""COMPUTED_VALUE"""),298.0)</f>
        <v>298</v>
      </c>
      <c r="G2918" s="5">
        <f>IFERROR(__xludf.DUMMYFUNCTION("""COMPUTED_VALUE"""),9.0262982E7)</f>
        <v>90262982</v>
      </c>
    </row>
    <row r="2919">
      <c r="A2919" s="3">
        <f>IFERROR(__xludf.DUMMYFUNCTION("""COMPUTED_VALUE"""),126.0)</f>
        <v>126</v>
      </c>
      <c r="B2919" s="2" t="str">
        <f>IFERROR(__xludf.DUMMYFUNCTION("""COMPUTED_VALUE"""),"DHAKA-NORTH")</f>
        <v>DHAKA-NORTH</v>
      </c>
      <c r="C2919" s="4">
        <f>IFERROR(__xludf.DUMMYFUNCTION("""COMPUTED_VALUE"""),90.0)</f>
        <v>90</v>
      </c>
      <c r="D2919" s="2" t="str">
        <f>IFERROR(__xludf.DUMMYFUNCTION("""COMPUTED_VALUE"""),"DUTCH-BANGLA BANK LTD")</f>
        <v>DUTCH-BANGLA BANK LTD</v>
      </c>
      <c r="E2919" s="2" t="str">
        <f>IFERROR(__xludf.DUMMYFUNCTION("""COMPUTED_VALUE"""),"MIRPUR SECTION-10")</f>
        <v>MIRPUR SECTION-10</v>
      </c>
      <c r="F2919" s="4">
        <f>IFERROR(__xludf.DUMMYFUNCTION("""COMPUTED_VALUE"""),313.0)</f>
        <v>313</v>
      </c>
      <c r="G2919" s="5">
        <f>IFERROR(__xludf.DUMMYFUNCTION("""COMPUTED_VALUE"""),9.0263136E7)</f>
        <v>90263136</v>
      </c>
    </row>
    <row r="2920">
      <c r="A2920" s="3">
        <f>IFERROR(__xludf.DUMMYFUNCTION("""COMPUTED_VALUE"""),126.0)</f>
        <v>126</v>
      </c>
      <c r="B2920" s="2" t="str">
        <f>IFERROR(__xludf.DUMMYFUNCTION("""COMPUTED_VALUE"""),"DHAKA-NORTH")</f>
        <v>DHAKA-NORTH</v>
      </c>
      <c r="C2920" s="4">
        <f>IFERROR(__xludf.DUMMYFUNCTION("""COMPUTED_VALUE"""),90.0)</f>
        <v>90</v>
      </c>
      <c r="D2920" s="2" t="str">
        <f>IFERROR(__xludf.DUMMYFUNCTION("""COMPUTED_VALUE"""),"DUTCH-BANGLA BANK LTD")</f>
        <v>DUTCH-BANGLA BANK LTD</v>
      </c>
      <c r="E2920" s="2" t="str">
        <f>IFERROR(__xludf.DUMMYFUNCTION("""COMPUTED_VALUE"""),"MOHAKHALI")</f>
        <v>MOHAKHALI</v>
      </c>
      <c r="F2920" s="4">
        <f>IFERROR(__xludf.DUMMYFUNCTION("""COMPUTED_VALUE"""),319.0)</f>
        <v>319</v>
      </c>
      <c r="G2920" s="5">
        <f>IFERROR(__xludf.DUMMYFUNCTION("""COMPUTED_VALUE"""),9.0263194E7)</f>
        <v>90263194</v>
      </c>
    </row>
    <row r="2921">
      <c r="A2921" s="3">
        <f>IFERROR(__xludf.DUMMYFUNCTION("""COMPUTED_VALUE"""),126.0)</f>
        <v>126</v>
      </c>
      <c r="B2921" s="2" t="str">
        <f>IFERROR(__xludf.DUMMYFUNCTION("""COMPUTED_VALUE"""),"DHAKA-NORTH")</f>
        <v>DHAKA-NORTH</v>
      </c>
      <c r="C2921" s="4">
        <f>IFERROR(__xludf.DUMMYFUNCTION("""COMPUTED_VALUE"""),90.0)</f>
        <v>90</v>
      </c>
      <c r="D2921" s="2" t="str">
        <f>IFERROR(__xludf.DUMMYFUNCTION("""COMPUTED_VALUE"""),"DUTCH-BANGLA BANK LTD")</f>
        <v>DUTCH-BANGLA BANK LTD</v>
      </c>
      <c r="E2921" s="2" t="str">
        <f>IFERROR(__xludf.DUMMYFUNCTION("""COMPUTED_VALUE"""),"MOHAMMADPUR")</f>
        <v>MOHAMMADPUR</v>
      </c>
      <c r="F2921" s="4">
        <f>IFERROR(__xludf.DUMMYFUNCTION("""COMPUTED_VALUE"""),328.0)</f>
        <v>328</v>
      </c>
      <c r="G2921" s="5">
        <f>IFERROR(__xludf.DUMMYFUNCTION("""COMPUTED_VALUE"""),9.0263286E7)</f>
        <v>90263286</v>
      </c>
    </row>
    <row r="2922">
      <c r="A2922" s="3">
        <f>IFERROR(__xludf.DUMMYFUNCTION("""COMPUTED_VALUE"""),126.0)</f>
        <v>126</v>
      </c>
      <c r="B2922" s="2" t="str">
        <f>IFERROR(__xludf.DUMMYFUNCTION("""COMPUTED_VALUE"""),"DHAKA-NORTH")</f>
        <v>DHAKA-NORTH</v>
      </c>
      <c r="C2922" s="4">
        <f>IFERROR(__xludf.DUMMYFUNCTION("""COMPUTED_VALUE"""),90.0)</f>
        <v>90</v>
      </c>
      <c r="D2922" s="2" t="str">
        <f>IFERROR(__xludf.DUMMYFUNCTION("""COMPUTED_VALUE"""),"DUTCH-BANGLA BANK LTD")</f>
        <v>DUTCH-BANGLA BANK LTD</v>
      </c>
      <c r="E2922" s="2" t="str">
        <f>IFERROR(__xludf.DUMMYFUNCTION("""COMPUTED_VALUE"""),"PALLABI")</f>
        <v>PALLABI</v>
      </c>
      <c r="F2922" s="4">
        <f>IFERROR(__xludf.DUMMYFUNCTION("""COMPUTED_VALUE"""),358.0)</f>
        <v>358</v>
      </c>
      <c r="G2922" s="5">
        <f>IFERROR(__xludf.DUMMYFUNCTION("""COMPUTED_VALUE"""),9.0263581E7)</f>
        <v>90263581</v>
      </c>
    </row>
    <row r="2923">
      <c r="A2923" s="3">
        <f>IFERROR(__xludf.DUMMYFUNCTION("""COMPUTED_VALUE"""),126.0)</f>
        <v>126</v>
      </c>
      <c r="B2923" s="2" t="str">
        <f>IFERROR(__xludf.DUMMYFUNCTION("""COMPUTED_VALUE"""),"DHAKA-NORTH")</f>
        <v>DHAKA-NORTH</v>
      </c>
      <c r="C2923" s="4">
        <f>IFERROR(__xludf.DUMMYFUNCTION("""COMPUTED_VALUE"""),90.0)</f>
        <v>90</v>
      </c>
      <c r="D2923" s="2" t="str">
        <f>IFERROR(__xludf.DUMMYFUNCTION("""COMPUTED_VALUE"""),"DUTCH-BANGLA BANK LTD")</f>
        <v>DUTCH-BANGLA BANK LTD</v>
      </c>
      <c r="E2923" s="2" t="str">
        <f>IFERROR(__xludf.DUMMYFUNCTION("""COMPUTED_VALUE"""),"PRAGATI SARANI")</f>
        <v>PRAGATI SARANI</v>
      </c>
      <c r="F2923" s="4">
        <f>IFERROR(__xludf.DUMMYFUNCTION("""COMPUTED_VALUE"""),370.0)</f>
        <v>370</v>
      </c>
      <c r="G2923" s="5">
        <f>IFERROR(__xludf.DUMMYFUNCTION("""COMPUTED_VALUE"""),9.0263707E7)</f>
        <v>90263707</v>
      </c>
    </row>
    <row r="2924">
      <c r="A2924" s="3">
        <f>IFERROR(__xludf.DUMMYFUNCTION("""COMPUTED_VALUE"""),126.0)</f>
        <v>126</v>
      </c>
      <c r="B2924" s="2" t="str">
        <f>IFERROR(__xludf.DUMMYFUNCTION("""COMPUTED_VALUE"""),"DHAKA-NORTH")</f>
        <v>DHAKA-NORTH</v>
      </c>
      <c r="C2924" s="4">
        <f>IFERROR(__xludf.DUMMYFUNCTION("""COMPUTED_VALUE"""),90.0)</f>
        <v>90</v>
      </c>
      <c r="D2924" s="2" t="str">
        <f>IFERROR(__xludf.DUMMYFUNCTION("""COMPUTED_VALUE"""),"DUTCH-BANGLA BANK LTD")</f>
        <v>DUTCH-BANGLA BANK LTD</v>
      </c>
      <c r="E2924" s="2" t="str">
        <f>IFERROR(__xludf.DUMMYFUNCTION("""COMPUTED_VALUE"""),"RING ROAD")</f>
        <v>RING ROAD</v>
      </c>
      <c r="F2924" s="4">
        <f>IFERROR(__xludf.DUMMYFUNCTION("""COMPUTED_VALUE"""),397.0)</f>
        <v>397</v>
      </c>
      <c r="G2924" s="5">
        <f>IFERROR(__xludf.DUMMYFUNCTION("""COMPUTED_VALUE"""),9.0263978E7)</f>
        <v>90263978</v>
      </c>
    </row>
    <row r="2925">
      <c r="A2925" s="3">
        <f>IFERROR(__xludf.DUMMYFUNCTION("""COMPUTED_VALUE"""),126.0)</f>
        <v>126</v>
      </c>
      <c r="B2925" s="2" t="str">
        <f>IFERROR(__xludf.DUMMYFUNCTION("""COMPUTED_VALUE"""),"DHAKA-NORTH")</f>
        <v>DHAKA-NORTH</v>
      </c>
      <c r="C2925" s="4">
        <f>IFERROR(__xludf.DUMMYFUNCTION("""COMPUTED_VALUE"""),90.0)</f>
        <v>90</v>
      </c>
      <c r="D2925" s="2" t="str">
        <f>IFERROR(__xludf.DUMMYFUNCTION("""COMPUTED_VALUE"""),"DUTCH-BANGLA BANK LTD")</f>
        <v>DUTCH-BANGLA BANK LTD</v>
      </c>
      <c r="E2925" s="2" t="str">
        <f>IFERROR(__xludf.DUMMYFUNCTION("""COMPUTED_VALUE"""),"SATMASJID ROAD")</f>
        <v>SATMASJID ROAD</v>
      </c>
      <c r="F2925" s="4">
        <f>IFERROR(__xludf.DUMMYFUNCTION("""COMPUTED_VALUE"""),403.0)</f>
        <v>403</v>
      </c>
      <c r="G2925" s="5">
        <f>IFERROR(__xludf.DUMMYFUNCTION("""COMPUTED_VALUE"""),9.026403E7)</f>
        <v>90264030</v>
      </c>
    </row>
    <row r="2926">
      <c r="A2926" s="3">
        <f>IFERROR(__xludf.DUMMYFUNCTION("""COMPUTED_VALUE"""),126.0)</f>
        <v>126</v>
      </c>
      <c r="B2926" s="2" t="str">
        <f>IFERROR(__xludf.DUMMYFUNCTION("""COMPUTED_VALUE"""),"DHAKA-NORTH")</f>
        <v>DHAKA-NORTH</v>
      </c>
      <c r="C2926" s="4">
        <f>IFERROR(__xludf.DUMMYFUNCTION("""COMPUTED_VALUE"""),90.0)</f>
        <v>90</v>
      </c>
      <c r="D2926" s="2" t="str">
        <f>IFERROR(__xludf.DUMMYFUNCTION("""COMPUTED_VALUE"""),"DUTCH-BANGLA BANK LTD")</f>
        <v>DUTCH-BANGLA BANK LTD</v>
      </c>
      <c r="E2926" s="2" t="str">
        <f>IFERROR(__xludf.DUMMYFUNCTION("""COMPUTED_VALUE"""),"SAVAR BAZAR")</f>
        <v>SAVAR BAZAR</v>
      </c>
      <c r="F2926" s="4">
        <f>IFERROR(__xludf.DUMMYFUNCTION("""COMPUTED_VALUE"""),412.0)</f>
        <v>412</v>
      </c>
      <c r="G2926" s="5">
        <f>IFERROR(__xludf.DUMMYFUNCTION("""COMPUTED_VALUE"""),9.0264122E7)</f>
        <v>90264122</v>
      </c>
    </row>
    <row r="2927">
      <c r="A2927" s="3">
        <f>IFERROR(__xludf.DUMMYFUNCTION("""COMPUTED_VALUE"""),126.0)</f>
        <v>126</v>
      </c>
      <c r="B2927" s="2" t="str">
        <f>IFERROR(__xludf.DUMMYFUNCTION("""COMPUTED_VALUE"""),"DHAKA-NORTH")</f>
        <v>DHAKA-NORTH</v>
      </c>
      <c r="C2927" s="4">
        <f>IFERROR(__xludf.DUMMYFUNCTION("""COMPUTED_VALUE"""),90.0)</f>
        <v>90</v>
      </c>
      <c r="D2927" s="2" t="str">
        <f>IFERROR(__xludf.DUMMYFUNCTION("""COMPUTED_VALUE"""),"DUTCH-BANGLA BANK LTD")</f>
        <v>DUTCH-BANGLA BANK LTD</v>
      </c>
      <c r="E2927" s="2" t="str">
        <f>IFERROR(__xludf.DUMMYFUNCTION("""COMPUTED_VALUE"""),"TEJGAON")</f>
        <v>TEJGAON</v>
      </c>
      <c r="F2927" s="4">
        <f>IFERROR(__xludf.DUMMYFUNCTION("""COMPUTED_VALUE"""),448.0)</f>
        <v>448</v>
      </c>
      <c r="G2927" s="5">
        <f>IFERROR(__xludf.DUMMYFUNCTION("""COMPUTED_VALUE"""),9.0264485E7)</f>
        <v>90264485</v>
      </c>
    </row>
    <row r="2928">
      <c r="A2928" s="3">
        <f>IFERROR(__xludf.DUMMYFUNCTION("""COMPUTED_VALUE"""),126.0)</f>
        <v>126</v>
      </c>
      <c r="B2928" s="2" t="str">
        <f>IFERROR(__xludf.DUMMYFUNCTION("""COMPUTED_VALUE"""),"DHAKA-NORTH")</f>
        <v>DHAKA-NORTH</v>
      </c>
      <c r="C2928" s="4">
        <f>IFERROR(__xludf.DUMMYFUNCTION("""COMPUTED_VALUE"""),90.0)</f>
        <v>90</v>
      </c>
      <c r="D2928" s="2" t="str">
        <f>IFERROR(__xludf.DUMMYFUNCTION("""COMPUTED_VALUE"""),"DUTCH-BANGLA BANK LTD")</f>
        <v>DUTCH-BANGLA BANK LTD</v>
      </c>
      <c r="E2928" s="2" t="str">
        <f>IFERROR(__xludf.DUMMYFUNCTION("""COMPUTED_VALUE"""),"UTTAR KHAN")</f>
        <v>UTTAR KHAN</v>
      </c>
      <c r="F2928" s="4">
        <f>IFERROR(__xludf.DUMMYFUNCTION("""COMPUTED_VALUE"""),460.0)</f>
        <v>460</v>
      </c>
      <c r="G2928" s="5">
        <f>IFERROR(__xludf.DUMMYFUNCTION("""COMPUTED_VALUE"""),9.0264601E7)</f>
        <v>90264601</v>
      </c>
    </row>
    <row r="2929">
      <c r="A2929" s="3">
        <f>IFERROR(__xludf.DUMMYFUNCTION("""COMPUTED_VALUE"""),126.0)</f>
        <v>126</v>
      </c>
      <c r="B2929" s="2" t="str">
        <f>IFERROR(__xludf.DUMMYFUNCTION("""COMPUTED_VALUE"""),"DHAKA-NORTH")</f>
        <v>DHAKA-NORTH</v>
      </c>
      <c r="C2929" s="4">
        <f>IFERROR(__xludf.DUMMYFUNCTION("""COMPUTED_VALUE"""),90.0)</f>
        <v>90</v>
      </c>
      <c r="D2929" s="2" t="str">
        <f>IFERROR(__xludf.DUMMYFUNCTION("""COMPUTED_VALUE"""),"DUTCH-BANGLA BANK LTD")</f>
        <v>DUTCH-BANGLA BANK LTD</v>
      </c>
      <c r="E2929" s="2" t="str">
        <f>IFERROR(__xludf.DUMMYFUNCTION("""COMPUTED_VALUE"""),"UTTARA")</f>
        <v>UTTARA</v>
      </c>
      <c r="F2929" s="4">
        <f>IFERROR(__xludf.DUMMYFUNCTION("""COMPUTED_VALUE"""),463.0)</f>
        <v>463</v>
      </c>
      <c r="G2929" s="5">
        <f>IFERROR(__xludf.DUMMYFUNCTION("""COMPUTED_VALUE"""),9.026463E7)</f>
        <v>90264630</v>
      </c>
    </row>
    <row r="2930">
      <c r="A2930" s="3">
        <f>IFERROR(__xludf.DUMMYFUNCTION("""COMPUTED_VALUE"""),126.0)</f>
        <v>126</v>
      </c>
      <c r="B2930" s="2" t="str">
        <f>IFERROR(__xludf.DUMMYFUNCTION("""COMPUTED_VALUE"""),"DHAKA-NORTH")</f>
        <v>DHAKA-NORTH</v>
      </c>
      <c r="C2930" s="4">
        <f>IFERROR(__xludf.DUMMYFUNCTION("""COMPUTED_VALUE"""),90.0)</f>
        <v>90</v>
      </c>
      <c r="D2930" s="2" t="str">
        <f>IFERROR(__xludf.DUMMYFUNCTION("""COMPUTED_VALUE"""),"DUTCH-BANGLA BANK LTD")</f>
        <v>DUTCH-BANGLA BANK LTD</v>
      </c>
      <c r="E2930" s="2" t="str">
        <f>IFERROR(__xludf.DUMMYFUNCTION("""COMPUTED_VALUE"""),"UTTARA SONARGAON JANAPAD")</f>
        <v>UTTARA SONARGAON JANAPAD</v>
      </c>
      <c r="F2930" s="4">
        <f>IFERROR(__xludf.DUMMYFUNCTION("""COMPUTED_VALUE"""),465.0)</f>
        <v>465</v>
      </c>
      <c r="G2930" s="5">
        <f>IFERROR(__xludf.DUMMYFUNCTION("""COMPUTED_VALUE"""),9.0264656E7)</f>
        <v>90264656</v>
      </c>
    </row>
    <row r="2931">
      <c r="A2931" s="3">
        <f>IFERROR(__xludf.DUMMYFUNCTION("""COMPUTED_VALUE"""),126.0)</f>
        <v>126</v>
      </c>
      <c r="B2931" s="2" t="str">
        <f>IFERROR(__xludf.DUMMYFUNCTION("""COMPUTED_VALUE"""),"DHAKA-NORTH")</f>
        <v>DHAKA-NORTH</v>
      </c>
      <c r="C2931" s="4">
        <f>IFERROR(__xludf.DUMMYFUNCTION("""COMPUTED_VALUE"""),90.0)</f>
        <v>90</v>
      </c>
      <c r="D2931" s="2" t="str">
        <f>IFERROR(__xludf.DUMMYFUNCTION("""COMPUTED_VALUE"""),"DUTCH-BANGLA BANK LTD")</f>
        <v>DUTCH-BANGLA BANK LTD</v>
      </c>
      <c r="E2931" s="2" t="str">
        <f>IFERROR(__xludf.DUMMYFUNCTION("""COMPUTED_VALUE"""),"ZIRABO")</f>
        <v>ZIRABO</v>
      </c>
      <c r="F2931" s="4">
        <f>IFERROR(__xludf.DUMMYFUNCTION("""COMPUTED_VALUE"""),481.0)</f>
        <v>481</v>
      </c>
      <c r="G2931" s="5">
        <f>IFERROR(__xludf.DUMMYFUNCTION("""COMPUTED_VALUE"""),9.0264814E7)</f>
        <v>90264814</v>
      </c>
    </row>
    <row r="2932">
      <c r="A2932" s="3">
        <f>IFERROR(__xludf.DUMMYFUNCTION("""COMPUTED_VALUE"""),127.0)</f>
        <v>127</v>
      </c>
      <c r="B2932" s="2" t="str">
        <f>IFERROR(__xludf.DUMMYFUNCTION("""COMPUTED_VALUE"""),"DHAKA-SOUTH")</f>
        <v>DHAKA-SOUTH</v>
      </c>
      <c r="C2932" s="4">
        <f>IFERROR(__xludf.DUMMYFUNCTION("""COMPUTED_VALUE"""),90.0)</f>
        <v>90</v>
      </c>
      <c r="D2932" s="2" t="str">
        <f>IFERROR(__xludf.DUMMYFUNCTION("""COMPUTED_VALUE"""),"DUTCH-BANGLA BANK LTD")</f>
        <v>DUTCH-BANGLA BANK LTD</v>
      </c>
      <c r="E2932" s="2" t="str">
        <f>IFERROR(__xludf.DUMMYFUNCTION("""COMPUTED_VALUE"""),"TRUNCATION POINT")</f>
        <v>TRUNCATION POINT</v>
      </c>
      <c r="F2932" s="4">
        <f>IFERROR(__xludf.DUMMYFUNCTION("""COMPUTED_VALUE"""),0.0)</f>
        <v>0</v>
      </c>
      <c r="G2932" s="5">
        <f>IFERROR(__xludf.DUMMYFUNCTION("""COMPUTED_VALUE"""),9.0270008E7)</f>
        <v>90270008</v>
      </c>
    </row>
    <row r="2933">
      <c r="A2933" s="3">
        <f>IFERROR(__xludf.DUMMYFUNCTION("""COMPUTED_VALUE"""),127.0)</f>
        <v>127</v>
      </c>
      <c r="B2933" s="2" t="str">
        <f>IFERROR(__xludf.DUMMYFUNCTION("""COMPUTED_VALUE"""),"DHAKA-SOUTH")</f>
        <v>DHAKA-SOUTH</v>
      </c>
      <c r="C2933" s="4">
        <f>IFERROR(__xludf.DUMMYFUNCTION("""COMPUTED_VALUE"""),90.0)</f>
        <v>90</v>
      </c>
      <c r="D2933" s="2" t="str">
        <f>IFERROR(__xludf.DUMMYFUNCTION("""COMPUTED_VALUE"""),"DUTCH-BANGLA BANK LTD")</f>
        <v>DUTCH-BANGLA BANK LTD</v>
      </c>
      <c r="E2933" s="2" t="str">
        <f>IFERROR(__xludf.DUMMYFUNCTION("""COMPUTED_VALUE"""),"ABDULLAHPUR")</f>
        <v>ABDULLAHPUR</v>
      </c>
      <c r="F2933" s="4">
        <f>IFERROR(__xludf.DUMMYFUNCTION("""COMPUTED_VALUE"""),12.0)</f>
        <v>12</v>
      </c>
      <c r="G2933" s="5">
        <f>IFERROR(__xludf.DUMMYFUNCTION("""COMPUTED_VALUE"""),9.0270129E7)</f>
        <v>90270129</v>
      </c>
    </row>
    <row r="2934">
      <c r="A2934" s="3">
        <f>IFERROR(__xludf.DUMMYFUNCTION("""COMPUTED_VALUE"""),127.0)</f>
        <v>127</v>
      </c>
      <c r="B2934" s="2" t="str">
        <f>IFERROR(__xludf.DUMMYFUNCTION("""COMPUTED_VALUE"""),"DHAKA-SOUTH")</f>
        <v>DHAKA-SOUTH</v>
      </c>
      <c r="C2934" s="4">
        <f>IFERROR(__xludf.DUMMYFUNCTION("""COMPUTED_VALUE"""),90.0)</f>
        <v>90</v>
      </c>
      <c r="D2934" s="2" t="str">
        <f>IFERROR(__xludf.DUMMYFUNCTION("""COMPUTED_VALUE"""),"DUTCH-BANGLA BANK LTD")</f>
        <v>DUTCH-BANGLA BANK LTD</v>
      </c>
      <c r="E2934" s="2" t="str">
        <f>IFERROR(__xludf.DUMMYFUNCTION("""COMPUTED_VALUE"""),"AGANAGAR")</f>
        <v>AGANAGAR</v>
      </c>
      <c r="F2934" s="4">
        <f>IFERROR(__xludf.DUMMYFUNCTION("""COMPUTED_VALUE"""),13.0)</f>
        <v>13</v>
      </c>
      <c r="G2934" s="5">
        <f>IFERROR(__xludf.DUMMYFUNCTION("""COMPUTED_VALUE"""),9.0270132E7)</f>
        <v>90270132</v>
      </c>
    </row>
    <row r="2935">
      <c r="A2935" s="3">
        <f>IFERROR(__xludf.DUMMYFUNCTION("""COMPUTED_VALUE"""),127.0)</f>
        <v>127</v>
      </c>
      <c r="B2935" s="2" t="str">
        <f>IFERROR(__xludf.DUMMYFUNCTION("""COMPUTED_VALUE"""),"DHAKA-SOUTH")</f>
        <v>DHAKA-SOUTH</v>
      </c>
      <c r="C2935" s="4">
        <f>IFERROR(__xludf.DUMMYFUNCTION("""COMPUTED_VALUE"""),90.0)</f>
        <v>90</v>
      </c>
      <c r="D2935" s="2" t="str">
        <f>IFERROR(__xludf.DUMMYFUNCTION("""COMPUTED_VALUE"""),"DUTCH-BANGLA BANK LTD")</f>
        <v>DUTCH-BANGLA BANK LTD</v>
      </c>
      <c r="E2935" s="2" t="str">
        <f>IFERROR(__xludf.DUMMYFUNCTION("""COMPUTED_VALUE"""),"ATI BAZAR")</f>
        <v>ATI BAZAR</v>
      </c>
      <c r="F2935" s="4">
        <f>IFERROR(__xludf.DUMMYFUNCTION("""COMPUTED_VALUE"""),34.0)</f>
        <v>34</v>
      </c>
      <c r="G2935" s="5">
        <f>IFERROR(__xludf.DUMMYFUNCTION("""COMPUTED_VALUE"""),9.0270345E7)</f>
        <v>90270345</v>
      </c>
    </row>
    <row r="2936">
      <c r="A2936" s="3">
        <f>IFERROR(__xludf.DUMMYFUNCTION("""COMPUTED_VALUE"""),127.0)</f>
        <v>127</v>
      </c>
      <c r="B2936" s="2" t="str">
        <f>IFERROR(__xludf.DUMMYFUNCTION("""COMPUTED_VALUE"""),"DHAKA-SOUTH")</f>
        <v>DHAKA-SOUTH</v>
      </c>
      <c r="C2936" s="4">
        <f>IFERROR(__xludf.DUMMYFUNCTION("""COMPUTED_VALUE"""),90.0)</f>
        <v>90</v>
      </c>
      <c r="D2936" s="2" t="str">
        <f>IFERROR(__xludf.DUMMYFUNCTION("""COMPUTED_VALUE"""),"DUTCH-BANGLA BANK LTD")</f>
        <v>DUTCH-BANGLA BANK LTD</v>
      </c>
      <c r="E2936" s="2" t="str">
        <f>IFERROR(__xludf.DUMMYFUNCTION("""COMPUTED_VALUE"""),"PANTHAPATH")</f>
        <v>PANTHAPATH</v>
      </c>
      <c r="F2936" s="4">
        <f>IFERROR(__xludf.DUMMYFUNCTION("""COMPUTED_VALUE"""),42.0)</f>
        <v>42</v>
      </c>
      <c r="G2936" s="5">
        <f>IFERROR(__xludf.DUMMYFUNCTION("""COMPUTED_VALUE"""),9.0270424E7)</f>
        <v>90270424</v>
      </c>
    </row>
    <row r="2937">
      <c r="A2937" s="3">
        <f>IFERROR(__xludf.DUMMYFUNCTION("""COMPUTED_VALUE"""),127.0)</f>
        <v>127</v>
      </c>
      <c r="B2937" s="2" t="str">
        <f>IFERROR(__xludf.DUMMYFUNCTION("""COMPUTED_VALUE"""),"DHAKA-SOUTH")</f>
        <v>DHAKA-SOUTH</v>
      </c>
      <c r="C2937" s="4">
        <f>IFERROR(__xludf.DUMMYFUNCTION("""COMPUTED_VALUE"""),90.0)</f>
        <v>90</v>
      </c>
      <c r="D2937" s="2" t="str">
        <f>IFERROR(__xludf.DUMMYFUNCTION("""COMPUTED_VALUE"""),"DUTCH-BANGLA BANK LTD")</f>
        <v>DUTCH-BANGLA BANK LTD</v>
      </c>
      <c r="E2937" s="2" t="str">
        <f>IFERROR(__xludf.DUMMYFUNCTION("""COMPUTED_VALUE"""),"BANDURA")</f>
        <v>BANDURA</v>
      </c>
      <c r="F2937" s="4">
        <f>IFERROR(__xludf.DUMMYFUNCTION("""COMPUTED_VALUE"""),64.0)</f>
        <v>64</v>
      </c>
      <c r="G2937" s="5">
        <f>IFERROR(__xludf.DUMMYFUNCTION("""COMPUTED_VALUE"""),9.027064E7)</f>
        <v>90270640</v>
      </c>
    </row>
    <row r="2938">
      <c r="A2938" s="3">
        <f>IFERROR(__xludf.DUMMYFUNCTION("""COMPUTED_VALUE"""),127.0)</f>
        <v>127</v>
      </c>
      <c r="B2938" s="2" t="str">
        <f>IFERROR(__xludf.DUMMYFUNCTION("""COMPUTED_VALUE"""),"DHAKA-SOUTH")</f>
        <v>DHAKA-SOUTH</v>
      </c>
      <c r="C2938" s="4">
        <f>IFERROR(__xludf.DUMMYFUNCTION("""COMPUTED_VALUE"""),90.0)</f>
        <v>90</v>
      </c>
      <c r="D2938" s="2" t="str">
        <f>IFERROR(__xludf.DUMMYFUNCTION("""COMPUTED_VALUE"""),"DUTCH-BANGLA BANK LTD")</f>
        <v>DUTCH-BANGLA BANK LTD</v>
      </c>
      <c r="E2938" s="2" t="str">
        <f>IFERROR(__xludf.DUMMYFUNCTION("""COMPUTED_VALUE"""),"BIJOY NAGAR")</f>
        <v>BIJOY NAGAR</v>
      </c>
      <c r="F2938" s="4">
        <f>IFERROR(__xludf.DUMMYFUNCTION("""COMPUTED_VALUE"""),109.0)</f>
        <v>109</v>
      </c>
      <c r="G2938" s="5">
        <f>IFERROR(__xludf.DUMMYFUNCTION("""COMPUTED_VALUE"""),9.0271094E7)</f>
        <v>90271094</v>
      </c>
    </row>
    <row r="2939">
      <c r="A2939" s="3">
        <f>IFERROR(__xludf.DUMMYFUNCTION("""COMPUTED_VALUE"""),127.0)</f>
        <v>127</v>
      </c>
      <c r="B2939" s="2" t="str">
        <f>IFERROR(__xludf.DUMMYFUNCTION("""COMPUTED_VALUE"""),"DHAKA-SOUTH")</f>
        <v>DHAKA-SOUTH</v>
      </c>
      <c r="C2939" s="4">
        <f>IFERROR(__xludf.DUMMYFUNCTION("""COMPUTED_VALUE"""),90.0)</f>
        <v>90</v>
      </c>
      <c r="D2939" s="2" t="str">
        <f>IFERROR(__xludf.DUMMYFUNCTION("""COMPUTED_VALUE"""),"DUTCH-BANGLA BANK LTD")</f>
        <v>DUTCH-BANGLA BANK LTD</v>
      </c>
      <c r="E2939" s="2" t="str">
        <f>IFERROR(__xludf.DUMMYFUNCTION("""COMPUTED_VALUE"""),"DANIA")</f>
        <v>DANIA</v>
      </c>
      <c r="F2939" s="4">
        <f>IFERROR(__xludf.DUMMYFUNCTION("""COMPUTED_VALUE"""),142.0)</f>
        <v>142</v>
      </c>
      <c r="G2939" s="5">
        <f>IFERROR(__xludf.DUMMYFUNCTION("""COMPUTED_VALUE"""),9.0271423E7)</f>
        <v>90271423</v>
      </c>
    </row>
    <row r="2940">
      <c r="A2940" s="3">
        <f>IFERROR(__xludf.DUMMYFUNCTION("""COMPUTED_VALUE"""),127.0)</f>
        <v>127</v>
      </c>
      <c r="B2940" s="2" t="str">
        <f>IFERROR(__xludf.DUMMYFUNCTION("""COMPUTED_VALUE"""),"DHAKA-SOUTH")</f>
        <v>DHAKA-SOUTH</v>
      </c>
      <c r="C2940" s="4">
        <f>IFERROR(__xludf.DUMMYFUNCTION("""COMPUTED_VALUE"""),90.0)</f>
        <v>90</v>
      </c>
      <c r="D2940" s="2" t="str">
        <f>IFERROR(__xludf.DUMMYFUNCTION("""COMPUTED_VALUE"""),"DUTCH-BANGLA BANK LTD")</f>
        <v>DUTCH-BANGLA BANK LTD</v>
      </c>
      <c r="E2940" s="2" t="str">
        <f>IFERROR(__xludf.DUMMYFUNCTION("""COMPUTED_VALUE"""),"HASNABAD")</f>
        <v>HASNABAD</v>
      </c>
      <c r="F2940" s="4">
        <f>IFERROR(__xludf.DUMMYFUNCTION("""COMPUTED_VALUE"""),256.0)</f>
        <v>256</v>
      </c>
      <c r="G2940" s="5">
        <f>IFERROR(__xludf.DUMMYFUNCTION("""COMPUTED_VALUE"""),9.0272569E7)</f>
        <v>90272569</v>
      </c>
    </row>
    <row r="2941">
      <c r="A2941" s="3">
        <f>IFERROR(__xludf.DUMMYFUNCTION("""COMPUTED_VALUE"""),127.0)</f>
        <v>127</v>
      </c>
      <c r="B2941" s="2" t="str">
        <f>IFERROR(__xludf.DUMMYFUNCTION("""COMPUTED_VALUE"""),"DHAKA-SOUTH")</f>
        <v>DHAKA-SOUTH</v>
      </c>
      <c r="C2941" s="4">
        <f>IFERROR(__xludf.DUMMYFUNCTION("""COMPUTED_VALUE"""),90.0)</f>
        <v>90</v>
      </c>
      <c r="D2941" s="2" t="str">
        <f>IFERROR(__xludf.DUMMYFUNCTION("""COMPUTED_VALUE"""),"DUTCH-BANGLA BANK LTD")</f>
        <v>DUTCH-BANGLA BANK LTD</v>
      </c>
      <c r="E2941" s="2" t="str">
        <f>IFERROR(__xludf.DUMMYFUNCTION("""COMPUTED_VALUE"""),"IMAMGANJ")</f>
        <v>IMAMGANJ</v>
      </c>
      <c r="F2941" s="4">
        <f>IFERROR(__xludf.DUMMYFUNCTION("""COMPUTED_VALUE"""),280.0)</f>
        <v>280</v>
      </c>
      <c r="G2941" s="5">
        <f>IFERROR(__xludf.DUMMYFUNCTION("""COMPUTED_VALUE"""),9.0272806E7)</f>
        <v>90272806</v>
      </c>
    </row>
    <row r="2942">
      <c r="A2942" s="3">
        <f>IFERROR(__xludf.DUMMYFUNCTION("""COMPUTED_VALUE"""),127.0)</f>
        <v>127</v>
      </c>
      <c r="B2942" s="2" t="str">
        <f>IFERROR(__xludf.DUMMYFUNCTION("""COMPUTED_VALUE"""),"DHAKA-SOUTH")</f>
        <v>DHAKA-SOUTH</v>
      </c>
      <c r="C2942" s="4">
        <f>IFERROR(__xludf.DUMMYFUNCTION("""COMPUTED_VALUE"""),90.0)</f>
        <v>90</v>
      </c>
      <c r="D2942" s="2" t="str">
        <f>IFERROR(__xludf.DUMMYFUNCTION("""COMPUTED_VALUE"""),"DUTCH-BANGLA BANK LTD")</f>
        <v>DUTCH-BANGLA BANK LTD</v>
      </c>
      <c r="E2942" s="2" t="str">
        <f>IFERROR(__xludf.DUMMYFUNCTION("""COMPUTED_VALUE"""),"ISLAMPUR")</f>
        <v>ISLAMPUR</v>
      </c>
      <c r="F2942" s="4">
        <f>IFERROR(__xludf.DUMMYFUNCTION("""COMPUTED_VALUE"""),298.0)</f>
        <v>298</v>
      </c>
      <c r="G2942" s="5">
        <f>IFERROR(__xludf.DUMMYFUNCTION("""COMPUTED_VALUE"""),9.0272985E7)</f>
        <v>90272985</v>
      </c>
    </row>
    <row r="2943">
      <c r="A2943" s="3">
        <f>IFERROR(__xludf.DUMMYFUNCTION("""COMPUTED_VALUE"""),127.0)</f>
        <v>127</v>
      </c>
      <c r="B2943" s="2" t="str">
        <f>IFERROR(__xludf.DUMMYFUNCTION("""COMPUTED_VALUE"""),"DHAKA-SOUTH")</f>
        <v>DHAKA-SOUTH</v>
      </c>
      <c r="C2943" s="4">
        <f>IFERROR(__xludf.DUMMYFUNCTION("""COMPUTED_VALUE"""),90.0)</f>
        <v>90</v>
      </c>
      <c r="D2943" s="2" t="str">
        <f>IFERROR(__xludf.DUMMYFUNCTION("""COMPUTED_VALUE"""),"DUTCH-BANGLA BANK LTD")</f>
        <v>DUTCH-BANGLA BANK LTD</v>
      </c>
      <c r="E2943" s="2" t="str">
        <f>IFERROR(__xludf.DUMMYFUNCTION("""COMPUTED_VALUE"""),"JOYPARA")</f>
        <v>JOYPARA</v>
      </c>
      <c r="F2943" s="4">
        <f>IFERROR(__xludf.DUMMYFUNCTION("""COMPUTED_VALUE"""),328.0)</f>
        <v>328</v>
      </c>
      <c r="G2943" s="5">
        <f>IFERROR(__xludf.DUMMYFUNCTION("""COMPUTED_VALUE"""),9.0273289E7)</f>
        <v>90273289</v>
      </c>
    </row>
    <row r="2944">
      <c r="A2944" s="3">
        <f>IFERROR(__xludf.DUMMYFUNCTION("""COMPUTED_VALUE"""),127.0)</f>
        <v>127</v>
      </c>
      <c r="B2944" s="2" t="str">
        <f>IFERROR(__xludf.DUMMYFUNCTION("""COMPUTED_VALUE"""),"DHAKA-SOUTH")</f>
        <v>DHAKA-SOUTH</v>
      </c>
      <c r="C2944" s="4">
        <f>IFERROR(__xludf.DUMMYFUNCTION("""COMPUTED_VALUE"""),90.0)</f>
        <v>90</v>
      </c>
      <c r="D2944" s="2" t="str">
        <f>IFERROR(__xludf.DUMMYFUNCTION("""COMPUTED_VALUE"""),"DUTCH-BANGLA BANK LTD")</f>
        <v>DUTCH-BANGLA BANK LTD</v>
      </c>
      <c r="E2944" s="2" t="str">
        <f>IFERROR(__xludf.DUMMYFUNCTION("""COMPUTED_VALUE"""),"KERANIGANJ")</f>
        <v>KERANIGANJ</v>
      </c>
      <c r="F2944" s="4">
        <f>IFERROR(__xludf.DUMMYFUNCTION("""COMPUTED_VALUE"""),364.0)</f>
        <v>364</v>
      </c>
      <c r="G2944" s="5">
        <f>IFERROR(__xludf.DUMMYFUNCTION("""COMPUTED_VALUE"""),9.0273647E7)</f>
        <v>90273647</v>
      </c>
    </row>
    <row r="2945">
      <c r="A2945" s="3">
        <f>IFERROR(__xludf.DUMMYFUNCTION("""COMPUTED_VALUE"""),127.0)</f>
        <v>127</v>
      </c>
      <c r="B2945" s="2" t="str">
        <f>IFERROR(__xludf.DUMMYFUNCTION("""COMPUTED_VALUE"""),"DHAKA-SOUTH")</f>
        <v>DHAKA-SOUTH</v>
      </c>
      <c r="C2945" s="4">
        <f>IFERROR(__xludf.DUMMYFUNCTION("""COMPUTED_VALUE"""),90.0)</f>
        <v>90</v>
      </c>
      <c r="D2945" s="2" t="str">
        <f>IFERROR(__xludf.DUMMYFUNCTION("""COMPUTED_VALUE"""),"DUTCH-BANGLA BANK LTD")</f>
        <v>DUTCH-BANGLA BANK LTD</v>
      </c>
      <c r="E2945" s="2" t="str">
        <f>IFERROR(__xludf.DUMMYFUNCTION("""COMPUTED_VALUE"""),"LOCAL OFFICE")</f>
        <v>LOCAL OFFICE</v>
      </c>
      <c r="F2945" s="4">
        <f>IFERROR(__xludf.DUMMYFUNCTION("""COMPUTED_VALUE"""),388.0)</f>
        <v>388</v>
      </c>
      <c r="G2945" s="5">
        <f>IFERROR(__xludf.DUMMYFUNCTION("""COMPUTED_VALUE"""),9.0273889E7)</f>
        <v>90273889</v>
      </c>
    </row>
    <row r="2946">
      <c r="A2946" s="3">
        <f>IFERROR(__xludf.DUMMYFUNCTION("""COMPUTED_VALUE"""),127.0)</f>
        <v>127</v>
      </c>
      <c r="B2946" s="2" t="str">
        <f>IFERROR(__xludf.DUMMYFUNCTION("""COMPUTED_VALUE"""),"DHAKA-SOUTH")</f>
        <v>DHAKA-SOUTH</v>
      </c>
      <c r="C2946" s="4">
        <f>IFERROR(__xludf.DUMMYFUNCTION("""COMPUTED_VALUE"""),90.0)</f>
        <v>90</v>
      </c>
      <c r="D2946" s="2" t="str">
        <f>IFERROR(__xludf.DUMMYFUNCTION("""COMPUTED_VALUE"""),"DUTCH-BANGLA BANK LTD")</f>
        <v>DUTCH-BANGLA BANK LTD</v>
      </c>
      <c r="E2946" s="2" t="str">
        <f>IFERROR(__xludf.DUMMYFUNCTION("""COMPUTED_VALUE"""),"MATUAIL")</f>
        <v>MATUAIL</v>
      </c>
      <c r="F2946" s="4">
        <f>IFERROR(__xludf.DUMMYFUNCTION("""COMPUTED_VALUE"""),400.0)</f>
        <v>400</v>
      </c>
      <c r="G2946" s="5">
        <f>IFERROR(__xludf.DUMMYFUNCTION("""COMPUTED_VALUE"""),9.0274004E7)</f>
        <v>90274004</v>
      </c>
    </row>
    <row r="2947">
      <c r="A2947" s="3">
        <f>IFERROR(__xludf.DUMMYFUNCTION("""COMPUTED_VALUE"""),127.0)</f>
        <v>127</v>
      </c>
      <c r="B2947" s="2" t="str">
        <f>IFERROR(__xludf.DUMMYFUNCTION("""COMPUTED_VALUE"""),"DHAKA-SOUTH")</f>
        <v>DHAKA-SOUTH</v>
      </c>
      <c r="C2947" s="4">
        <f>IFERROR(__xludf.DUMMYFUNCTION("""COMPUTED_VALUE"""),90.0)</f>
        <v>90</v>
      </c>
      <c r="D2947" s="2" t="str">
        <f>IFERROR(__xludf.DUMMYFUNCTION("""COMPUTED_VALUE"""),"DUTCH-BANGLA BANK LTD")</f>
        <v>DUTCH-BANGLA BANK LTD</v>
      </c>
      <c r="E2947" s="2" t="str">
        <f>IFERROR(__xludf.DUMMYFUNCTION("""COMPUTED_VALUE"""),"MEGHULA SME")</f>
        <v>MEGHULA SME</v>
      </c>
      <c r="F2947" s="4">
        <f>IFERROR(__xludf.DUMMYFUNCTION("""COMPUTED_VALUE"""),405.0)</f>
        <v>405</v>
      </c>
      <c r="G2947" s="5">
        <f>IFERROR(__xludf.DUMMYFUNCTION("""COMPUTED_VALUE"""),9.0274059E7)</f>
        <v>90274059</v>
      </c>
    </row>
    <row r="2948">
      <c r="A2948" s="3">
        <f>IFERROR(__xludf.DUMMYFUNCTION("""COMPUTED_VALUE"""),127.0)</f>
        <v>127</v>
      </c>
      <c r="B2948" s="2" t="str">
        <f>IFERROR(__xludf.DUMMYFUNCTION("""COMPUTED_VALUE"""),"DHAKA-SOUTH")</f>
        <v>DHAKA-SOUTH</v>
      </c>
      <c r="C2948" s="4">
        <f>IFERROR(__xludf.DUMMYFUNCTION("""COMPUTED_VALUE"""),90.0)</f>
        <v>90</v>
      </c>
      <c r="D2948" s="2" t="str">
        <f>IFERROR(__xludf.DUMMYFUNCTION("""COMPUTED_VALUE"""),"DUTCH-BANGLA BANK LTD")</f>
        <v>DUTCH-BANGLA BANK LTD</v>
      </c>
      <c r="E2948" s="2" t="str">
        <f>IFERROR(__xludf.DUMMYFUNCTION("""COMPUTED_VALUE"""),"MOTIJHEEL FOREIGN EXCHANGE")</f>
        <v>MOTIJHEEL FOREIGN EXCHANGE</v>
      </c>
      <c r="F2948" s="4">
        <f>IFERROR(__xludf.DUMMYFUNCTION("""COMPUTED_VALUE"""),430.0)</f>
        <v>430</v>
      </c>
      <c r="G2948" s="5">
        <f>IFERROR(__xludf.DUMMYFUNCTION("""COMPUTED_VALUE"""),9.0274309E7)</f>
        <v>90274309</v>
      </c>
    </row>
    <row r="2949">
      <c r="A2949" s="3">
        <f>IFERROR(__xludf.DUMMYFUNCTION("""COMPUTED_VALUE"""),127.0)</f>
        <v>127</v>
      </c>
      <c r="B2949" s="2" t="str">
        <f>IFERROR(__xludf.DUMMYFUNCTION("""COMPUTED_VALUE"""),"DHAKA-SOUTH")</f>
        <v>DHAKA-SOUTH</v>
      </c>
      <c r="C2949" s="4">
        <f>IFERROR(__xludf.DUMMYFUNCTION("""COMPUTED_VALUE"""),90.0)</f>
        <v>90</v>
      </c>
      <c r="D2949" s="2" t="str">
        <f>IFERROR(__xludf.DUMMYFUNCTION("""COMPUTED_VALUE"""),"DUTCH-BANGLA BANK LTD")</f>
        <v>DUTCH-BANGLA BANK LTD</v>
      </c>
      <c r="E2949" s="2" t="str">
        <f>IFERROR(__xludf.DUMMYFUNCTION("""COMPUTED_VALUE"""),"NAWABPUR")</f>
        <v>NAWABPUR</v>
      </c>
      <c r="F2949" s="4">
        <f>IFERROR(__xludf.DUMMYFUNCTION("""COMPUTED_VALUE"""),472.0)</f>
        <v>472</v>
      </c>
      <c r="G2949" s="5">
        <f>IFERROR(__xludf.DUMMYFUNCTION("""COMPUTED_VALUE"""),9.0274725E7)</f>
        <v>90274725</v>
      </c>
    </row>
    <row r="2950">
      <c r="A2950" s="3">
        <f>IFERROR(__xludf.DUMMYFUNCTION("""COMPUTED_VALUE"""),127.0)</f>
        <v>127</v>
      </c>
      <c r="B2950" s="2" t="str">
        <f>IFERROR(__xludf.DUMMYFUNCTION("""COMPUTED_VALUE"""),"DHAKA-SOUTH")</f>
        <v>DHAKA-SOUTH</v>
      </c>
      <c r="C2950" s="4">
        <f>IFERROR(__xludf.DUMMYFUNCTION("""COMPUTED_VALUE"""),90.0)</f>
        <v>90</v>
      </c>
      <c r="D2950" s="2" t="str">
        <f>IFERROR(__xludf.DUMMYFUNCTION("""COMPUTED_VALUE"""),"DUTCH-BANGLA BANK LTD")</f>
        <v>DUTCH-BANGLA BANK LTD</v>
      </c>
      <c r="E2950" s="2" t="str">
        <f>IFERROR(__xludf.DUMMYFUNCTION("""COMPUTED_VALUE"""),"NAYA BAZAR")</f>
        <v>NAYA BAZAR</v>
      </c>
      <c r="F2950" s="4">
        <f>IFERROR(__xludf.DUMMYFUNCTION("""COMPUTED_VALUE"""),481.0)</f>
        <v>481</v>
      </c>
      <c r="G2950" s="5">
        <f>IFERROR(__xludf.DUMMYFUNCTION("""COMPUTED_VALUE"""),9.0274817E7)</f>
        <v>90274817</v>
      </c>
    </row>
    <row r="2951">
      <c r="A2951" s="3">
        <f>IFERROR(__xludf.DUMMYFUNCTION("""COMPUTED_VALUE"""),127.0)</f>
        <v>127</v>
      </c>
      <c r="B2951" s="2" t="str">
        <f>IFERROR(__xludf.DUMMYFUNCTION("""COMPUTED_VALUE"""),"DHAKA-SOUTH")</f>
        <v>DHAKA-SOUTH</v>
      </c>
      <c r="C2951" s="4">
        <f>IFERROR(__xludf.DUMMYFUNCTION("""COMPUTED_VALUE"""),90.0)</f>
        <v>90</v>
      </c>
      <c r="D2951" s="2" t="str">
        <f>IFERROR(__xludf.DUMMYFUNCTION("""COMPUTED_VALUE"""),"DUTCH-BANGLA BANK LTD")</f>
        <v>DUTCH-BANGLA BANK LTD</v>
      </c>
      <c r="E2951" s="2" t="str">
        <f>IFERROR(__xludf.DUMMYFUNCTION("""COMPUTED_VALUE"""),"NETAIGONJ")</f>
        <v>NETAIGONJ</v>
      </c>
      <c r="F2951" s="4">
        <f>IFERROR(__xludf.DUMMYFUNCTION("""COMPUTED_VALUE"""),499.0)</f>
        <v>499</v>
      </c>
      <c r="G2951" s="5">
        <f>IFERROR(__xludf.DUMMYFUNCTION("""COMPUTED_VALUE"""),9.0274996E7)</f>
        <v>90274996</v>
      </c>
    </row>
    <row r="2952">
      <c r="A2952" s="3">
        <f>IFERROR(__xludf.DUMMYFUNCTION("""COMPUTED_VALUE"""),127.0)</f>
        <v>127</v>
      </c>
      <c r="B2952" s="2" t="str">
        <f>IFERROR(__xludf.DUMMYFUNCTION("""COMPUTED_VALUE"""),"DHAKA-SOUTH")</f>
        <v>DHAKA-SOUTH</v>
      </c>
      <c r="C2952" s="4">
        <f>IFERROR(__xludf.DUMMYFUNCTION("""COMPUTED_VALUE"""),90.0)</f>
        <v>90</v>
      </c>
      <c r="D2952" s="2" t="str">
        <f>IFERROR(__xludf.DUMMYFUNCTION("""COMPUTED_VALUE"""),"DUTCH-BANGLA BANK LTD")</f>
        <v>DUTCH-BANGLA BANK LTD</v>
      </c>
      <c r="E2952" s="2" t="str">
        <f>IFERROR(__xludf.DUMMYFUNCTION("""COMPUTED_VALUE"""),"RAMPURA")</f>
        <v>RAMPURA</v>
      </c>
      <c r="F2952" s="4">
        <f>IFERROR(__xludf.DUMMYFUNCTION("""COMPUTED_VALUE"""),574.0)</f>
        <v>574</v>
      </c>
      <c r="G2952" s="5">
        <f>IFERROR(__xludf.DUMMYFUNCTION("""COMPUTED_VALUE"""),9.027574E7)</f>
        <v>90275740</v>
      </c>
    </row>
    <row r="2953">
      <c r="A2953" s="3">
        <f>IFERROR(__xludf.DUMMYFUNCTION("""COMPUTED_VALUE"""),127.0)</f>
        <v>127</v>
      </c>
      <c r="B2953" s="2" t="str">
        <f>IFERROR(__xludf.DUMMYFUNCTION("""COMPUTED_VALUE"""),"DHAKA-SOUTH")</f>
        <v>DHAKA-SOUTH</v>
      </c>
      <c r="C2953" s="4">
        <f>IFERROR(__xludf.DUMMYFUNCTION("""COMPUTED_VALUE"""),90.0)</f>
        <v>90</v>
      </c>
      <c r="D2953" s="2" t="str">
        <f>IFERROR(__xludf.DUMMYFUNCTION("""COMPUTED_VALUE"""),"DUTCH-BANGLA BANK LTD")</f>
        <v>DUTCH-BANGLA BANK LTD</v>
      </c>
      <c r="E2953" s="2" t="str">
        <f>IFERROR(__xludf.DUMMYFUNCTION("""COMPUTED_VALUE"""),"RUHITPUR")</f>
        <v>RUHITPUR</v>
      </c>
      <c r="F2953" s="4">
        <f>IFERROR(__xludf.DUMMYFUNCTION("""COMPUTED_VALUE"""),583.0)</f>
        <v>583</v>
      </c>
      <c r="G2953" s="5">
        <f>IFERROR(__xludf.DUMMYFUNCTION("""COMPUTED_VALUE"""),9.0275832E7)</f>
        <v>90275832</v>
      </c>
    </row>
    <row r="2954">
      <c r="A2954" s="3">
        <f>IFERROR(__xludf.DUMMYFUNCTION("""COMPUTED_VALUE"""),127.0)</f>
        <v>127</v>
      </c>
      <c r="B2954" s="2" t="str">
        <f>IFERROR(__xludf.DUMMYFUNCTION("""COMPUTED_VALUE"""),"DHAKA-SOUTH")</f>
        <v>DHAKA-SOUTH</v>
      </c>
      <c r="C2954" s="4">
        <f>IFERROR(__xludf.DUMMYFUNCTION("""COMPUTED_VALUE"""),90.0)</f>
        <v>90</v>
      </c>
      <c r="D2954" s="2" t="str">
        <f>IFERROR(__xludf.DUMMYFUNCTION("""COMPUTED_VALUE"""),"DUTCH-BANGLA BANK LTD")</f>
        <v>DUTCH-BANGLA BANK LTD</v>
      </c>
      <c r="E2954" s="2" t="str">
        <f>IFERROR(__xludf.DUMMYFUNCTION("""COMPUTED_VALUE"""),"SHANTINAGAR")</f>
        <v>SHANTINAGAR</v>
      </c>
      <c r="F2954" s="4">
        <f>IFERROR(__xludf.DUMMYFUNCTION("""COMPUTED_VALUE"""),634.0)</f>
        <v>634</v>
      </c>
      <c r="G2954" s="5">
        <f>IFERROR(__xludf.DUMMYFUNCTION("""COMPUTED_VALUE"""),9.0276349E7)</f>
        <v>90276349</v>
      </c>
    </row>
    <row r="2955">
      <c r="A2955" s="3">
        <f>IFERROR(__xludf.DUMMYFUNCTION("""COMPUTED_VALUE"""),127.0)</f>
        <v>127</v>
      </c>
      <c r="B2955" s="2" t="str">
        <f>IFERROR(__xludf.DUMMYFUNCTION("""COMPUTED_VALUE"""),"DHAKA-SOUTH")</f>
        <v>DHAKA-SOUTH</v>
      </c>
      <c r="C2955" s="4">
        <f>IFERROR(__xludf.DUMMYFUNCTION("""COMPUTED_VALUE"""),90.0)</f>
        <v>90</v>
      </c>
      <c r="D2955" s="2" t="str">
        <f>IFERROR(__xludf.DUMMYFUNCTION("""COMPUTED_VALUE"""),"DUTCH-BANGLA BANK LTD")</f>
        <v>DUTCH-BANGLA BANK LTD</v>
      </c>
      <c r="E2955" s="2" t="str">
        <f>IFERROR(__xludf.DUMMYFUNCTION("""COMPUTED_VALUE"""),"WARI")</f>
        <v>WARI</v>
      </c>
      <c r="F2955" s="4">
        <f>IFERROR(__xludf.DUMMYFUNCTION("""COMPUTED_VALUE"""),700.0)</f>
        <v>700</v>
      </c>
      <c r="G2955" s="5">
        <f>IFERROR(__xludf.DUMMYFUNCTION("""COMPUTED_VALUE"""),9.0277001E7)</f>
        <v>90277001</v>
      </c>
    </row>
    <row r="2956">
      <c r="A2956" s="3">
        <f>IFERROR(__xludf.DUMMYFUNCTION("""COMPUTED_VALUE"""),728.0)</f>
        <v>728</v>
      </c>
      <c r="B2956" s="2" t="str">
        <f>IFERROR(__xludf.DUMMYFUNCTION("""COMPUTED_VALUE"""),"DINAJPUR")</f>
        <v>DINAJPUR</v>
      </c>
      <c r="C2956" s="4">
        <f>IFERROR(__xludf.DUMMYFUNCTION("""COMPUTED_VALUE"""),90.0)</f>
        <v>90</v>
      </c>
      <c r="D2956" s="2" t="str">
        <f>IFERROR(__xludf.DUMMYFUNCTION("""COMPUTED_VALUE"""),"DUTCH-BANGLA BANK LTD")</f>
        <v>DUTCH-BANGLA BANK LTD</v>
      </c>
      <c r="E2956" s="2" t="str">
        <f>IFERROR(__xludf.DUMMYFUNCTION("""COMPUTED_VALUE"""),"DINAJPUR")</f>
        <v>DINAJPUR</v>
      </c>
      <c r="F2956" s="4">
        <f>IFERROR(__xludf.DUMMYFUNCTION("""COMPUTED_VALUE"""),67.0)</f>
        <v>67</v>
      </c>
      <c r="G2956" s="5">
        <f>IFERROR(__xludf.DUMMYFUNCTION("""COMPUTED_VALUE"""),9.0280672E7)</f>
        <v>90280672</v>
      </c>
    </row>
    <row r="2957">
      <c r="A2957" s="3">
        <f>IFERROR(__xludf.DUMMYFUNCTION("""COMPUTED_VALUE"""),329.0)</f>
        <v>329</v>
      </c>
      <c r="B2957" s="2" t="str">
        <f>IFERROR(__xludf.DUMMYFUNCTION("""COMPUTED_VALUE"""),"FARIDPUR")</f>
        <v>FARIDPUR</v>
      </c>
      <c r="C2957" s="4">
        <f>IFERROR(__xludf.DUMMYFUNCTION("""COMPUTED_VALUE"""),90.0)</f>
        <v>90</v>
      </c>
      <c r="D2957" s="2" t="str">
        <f>IFERROR(__xludf.DUMMYFUNCTION("""COMPUTED_VALUE"""),"DUTCH-BANGLA BANK LTD")</f>
        <v>DUTCH-BANGLA BANK LTD</v>
      </c>
      <c r="E2957" s="2" t="str">
        <f>IFERROR(__xludf.DUMMYFUNCTION("""COMPUTED_VALUE"""),"FARIDPUR")</f>
        <v>FARIDPUR</v>
      </c>
      <c r="F2957" s="4">
        <f>IFERROR(__xludf.DUMMYFUNCTION("""COMPUTED_VALUE"""),52.0)</f>
        <v>52</v>
      </c>
      <c r="G2957" s="5">
        <f>IFERROR(__xludf.DUMMYFUNCTION("""COMPUTED_VALUE"""),9.0290525E7)</f>
        <v>90290525</v>
      </c>
    </row>
    <row r="2958">
      <c r="A2958" s="3">
        <f>IFERROR(__xludf.DUMMYFUNCTION("""COMPUTED_VALUE"""),230.0)</f>
        <v>230</v>
      </c>
      <c r="B2958" s="2" t="str">
        <f>IFERROR(__xludf.DUMMYFUNCTION("""COMPUTED_VALUE"""),"FENI")</f>
        <v>FENI</v>
      </c>
      <c r="C2958" s="4">
        <f>IFERROR(__xludf.DUMMYFUNCTION("""COMPUTED_VALUE"""),90.0)</f>
        <v>90</v>
      </c>
      <c r="D2958" s="2" t="str">
        <f>IFERROR(__xludf.DUMMYFUNCTION("""COMPUTED_VALUE"""),"DUTCH-BANGLA BANK LTD")</f>
        <v>DUTCH-BANGLA BANK LTD</v>
      </c>
      <c r="E2958" s="2" t="str">
        <f>IFERROR(__xludf.DUMMYFUNCTION("""COMPUTED_VALUE"""),"DAGANBHUIYAN")</f>
        <v>DAGANBHUIYAN</v>
      </c>
      <c r="F2958" s="4">
        <f>IFERROR(__xludf.DUMMYFUNCTION("""COMPUTED_VALUE"""),37.0)</f>
        <v>37</v>
      </c>
      <c r="G2958" s="5">
        <f>IFERROR(__xludf.DUMMYFUNCTION("""COMPUTED_VALUE"""),9.0300378E7)</f>
        <v>90300378</v>
      </c>
    </row>
    <row r="2959">
      <c r="A2959" s="3">
        <f>IFERROR(__xludf.DUMMYFUNCTION("""COMPUTED_VALUE"""),230.0)</f>
        <v>230</v>
      </c>
      <c r="B2959" s="2" t="str">
        <f>IFERROR(__xludf.DUMMYFUNCTION("""COMPUTED_VALUE"""),"FENI")</f>
        <v>FENI</v>
      </c>
      <c r="C2959" s="4">
        <f>IFERROR(__xludf.DUMMYFUNCTION("""COMPUTED_VALUE"""),90.0)</f>
        <v>90</v>
      </c>
      <c r="D2959" s="2" t="str">
        <f>IFERROR(__xludf.DUMMYFUNCTION("""COMPUTED_VALUE"""),"DUTCH-BANGLA BANK LTD")</f>
        <v>DUTCH-BANGLA BANK LTD</v>
      </c>
      <c r="E2959" s="2" t="str">
        <f>IFERROR(__xludf.DUMMYFUNCTION("""COMPUTED_VALUE"""),"FENI")</f>
        <v>FENI</v>
      </c>
      <c r="F2959" s="4">
        <f>IFERROR(__xludf.DUMMYFUNCTION("""COMPUTED_VALUE"""),52.0)</f>
        <v>52</v>
      </c>
      <c r="G2959" s="5">
        <f>IFERROR(__xludf.DUMMYFUNCTION("""COMPUTED_VALUE"""),9.0300523E7)</f>
        <v>90300523</v>
      </c>
    </row>
    <row r="2960">
      <c r="A2960" s="3">
        <f>IFERROR(__xludf.DUMMYFUNCTION("""COMPUTED_VALUE"""),230.0)</f>
        <v>230</v>
      </c>
      <c r="B2960" s="2" t="str">
        <f>IFERROR(__xludf.DUMMYFUNCTION("""COMPUTED_VALUE"""),"FENI")</f>
        <v>FENI</v>
      </c>
      <c r="C2960" s="4">
        <f>IFERROR(__xludf.DUMMYFUNCTION("""COMPUTED_VALUE"""),90.0)</f>
        <v>90</v>
      </c>
      <c r="D2960" s="2" t="str">
        <f>IFERROR(__xludf.DUMMYFUNCTION("""COMPUTED_VALUE"""),"DUTCH-BANGLA BANK LTD")</f>
        <v>DUTCH-BANGLA BANK LTD</v>
      </c>
      <c r="E2960" s="2" t="str">
        <f>IFERROR(__xludf.DUMMYFUNCTION("""COMPUTED_VALUE"""),"SONAGAZI")</f>
        <v>SONAGAZI</v>
      </c>
      <c r="F2960" s="4">
        <f>IFERROR(__xludf.DUMMYFUNCTION("""COMPUTED_VALUE"""),148.0)</f>
        <v>148</v>
      </c>
      <c r="G2960" s="5">
        <f>IFERROR(__xludf.DUMMYFUNCTION("""COMPUTED_VALUE"""),9.0301485E7)</f>
        <v>90301485</v>
      </c>
    </row>
    <row r="2961">
      <c r="A2961" s="3">
        <f>IFERROR(__xludf.DUMMYFUNCTION("""COMPUTED_VALUE"""),632.0)</f>
        <v>632</v>
      </c>
      <c r="B2961" s="2" t="str">
        <f>IFERROR(__xludf.DUMMYFUNCTION("""COMPUTED_VALUE"""),"GAIBANDHA")</f>
        <v>GAIBANDHA</v>
      </c>
      <c r="C2961" s="4">
        <f>IFERROR(__xludf.DUMMYFUNCTION("""COMPUTED_VALUE"""),90.0)</f>
        <v>90</v>
      </c>
      <c r="D2961" s="2" t="str">
        <f>IFERROR(__xludf.DUMMYFUNCTION("""COMPUTED_VALUE"""),"DUTCH-BANGLA BANK LTD")</f>
        <v>DUTCH-BANGLA BANK LTD</v>
      </c>
      <c r="E2961" s="2" t="str">
        <f>IFERROR(__xludf.DUMMYFUNCTION("""COMPUTED_VALUE"""),"GOBINDAGANJ")</f>
        <v>GOBINDAGANJ</v>
      </c>
      <c r="F2961" s="4">
        <f>IFERROR(__xludf.DUMMYFUNCTION("""COMPUTED_VALUE"""),58.0)</f>
        <v>58</v>
      </c>
      <c r="G2961" s="5">
        <f>IFERROR(__xludf.DUMMYFUNCTION("""COMPUTED_VALUE"""),9.0320587E7)</f>
        <v>90320587</v>
      </c>
    </row>
    <row r="2962">
      <c r="A2962" s="3">
        <f>IFERROR(__xludf.DUMMYFUNCTION("""COMPUTED_VALUE"""),133.0)</f>
        <v>133</v>
      </c>
      <c r="B2962" s="2" t="str">
        <f>IFERROR(__xludf.DUMMYFUNCTION("""COMPUTED_VALUE"""),"GAZIPUR")</f>
        <v>GAZIPUR</v>
      </c>
      <c r="C2962" s="4">
        <f>IFERROR(__xludf.DUMMYFUNCTION("""COMPUTED_VALUE"""),90.0)</f>
        <v>90</v>
      </c>
      <c r="D2962" s="2" t="str">
        <f>IFERROR(__xludf.DUMMYFUNCTION("""COMPUTED_VALUE"""),"DUTCH-BANGLA BANK LTD")</f>
        <v>DUTCH-BANGLA BANK LTD</v>
      </c>
      <c r="E2962" s="2" t="str">
        <f>IFERROR(__xludf.DUMMYFUNCTION("""COMPUTED_VALUE"""),"MIRER BAZAR")</f>
        <v>MIRER BAZAR</v>
      </c>
      <c r="F2962" s="4">
        <f>IFERROR(__xludf.DUMMYFUNCTION("""COMPUTED_VALUE"""),5.0)</f>
        <v>5</v>
      </c>
      <c r="G2962" s="5">
        <f>IFERROR(__xludf.DUMMYFUNCTION("""COMPUTED_VALUE"""),9.0330056E7)</f>
        <v>90330056</v>
      </c>
    </row>
    <row r="2963">
      <c r="A2963" s="3">
        <f>IFERROR(__xludf.DUMMYFUNCTION("""COMPUTED_VALUE"""),133.0)</f>
        <v>133</v>
      </c>
      <c r="B2963" s="2" t="str">
        <f>IFERROR(__xludf.DUMMYFUNCTION("""COMPUTED_VALUE"""),"GAZIPUR")</f>
        <v>GAZIPUR</v>
      </c>
      <c r="C2963" s="4">
        <f>IFERROR(__xludf.DUMMYFUNCTION("""COMPUTED_VALUE"""),90.0)</f>
        <v>90</v>
      </c>
      <c r="D2963" s="2" t="str">
        <f>IFERROR(__xludf.DUMMYFUNCTION("""COMPUTED_VALUE"""),"DUTCH-BANGLA BANK LTD")</f>
        <v>DUTCH-BANGLA BANK LTD</v>
      </c>
      <c r="E2963" s="2" t="str">
        <f>IFERROR(__xludf.DUMMYFUNCTION("""COMPUTED_VALUE"""),"BOARD BAZAR")</f>
        <v>BOARD BAZAR</v>
      </c>
      <c r="F2963" s="4">
        <f>IFERROR(__xludf.DUMMYFUNCTION("""COMPUTED_VALUE"""),22.0)</f>
        <v>22</v>
      </c>
      <c r="G2963" s="5">
        <f>IFERROR(__xludf.DUMMYFUNCTION("""COMPUTED_VALUE"""),9.0330227E7)</f>
        <v>90330227</v>
      </c>
    </row>
    <row r="2964">
      <c r="A2964" s="3">
        <f>IFERROR(__xludf.DUMMYFUNCTION("""COMPUTED_VALUE"""),133.0)</f>
        <v>133</v>
      </c>
      <c r="B2964" s="2" t="str">
        <f>IFERROR(__xludf.DUMMYFUNCTION("""COMPUTED_VALUE"""),"GAZIPUR")</f>
        <v>GAZIPUR</v>
      </c>
      <c r="C2964" s="4">
        <f>IFERROR(__xludf.DUMMYFUNCTION("""COMPUTED_VALUE"""),90.0)</f>
        <v>90</v>
      </c>
      <c r="D2964" s="2" t="str">
        <f>IFERROR(__xludf.DUMMYFUNCTION("""COMPUTED_VALUE"""),"DUTCH-BANGLA BANK LTD")</f>
        <v>DUTCH-BANGLA BANK LTD</v>
      </c>
      <c r="E2964" s="2" t="str">
        <f>IFERROR(__xludf.DUMMYFUNCTION("""COMPUTED_VALUE"""),"GAZIPUR")</f>
        <v>GAZIPUR</v>
      </c>
      <c r="F2964" s="4">
        <f>IFERROR(__xludf.DUMMYFUNCTION("""COMPUTED_VALUE"""),52.0)</f>
        <v>52</v>
      </c>
      <c r="G2964" s="5">
        <f>IFERROR(__xludf.DUMMYFUNCTION("""COMPUTED_VALUE"""),9.0330522E7)</f>
        <v>90330522</v>
      </c>
    </row>
    <row r="2965">
      <c r="A2965" s="3">
        <f>IFERROR(__xludf.DUMMYFUNCTION("""COMPUTED_VALUE"""),133.0)</f>
        <v>133</v>
      </c>
      <c r="B2965" s="2" t="str">
        <f>IFERROR(__xludf.DUMMYFUNCTION("""COMPUTED_VALUE"""),"GAZIPUR")</f>
        <v>GAZIPUR</v>
      </c>
      <c r="C2965" s="4">
        <f>IFERROR(__xludf.DUMMYFUNCTION("""COMPUTED_VALUE"""),90.0)</f>
        <v>90</v>
      </c>
      <c r="D2965" s="2" t="str">
        <f>IFERROR(__xludf.DUMMYFUNCTION("""COMPUTED_VALUE"""),"DUTCH-BANGLA BANK LTD")</f>
        <v>DUTCH-BANGLA BANK LTD</v>
      </c>
      <c r="E2965" s="2" t="str">
        <f>IFERROR(__xludf.DUMMYFUNCTION("""COMPUTED_VALUE"""),"GAZIPUR CHOWRASTA")</f>
        <v>GAZIPUR CHOWRASTA</v>
      </c>
      <c r="F2965" s="4">
        <f>IFERROR(__xludf.DUMMYFUNCTION("""COMPUTED_VALUE"""),55.0)</f>
        <v>55</v>
      </c>
      <c r="G2965" s="5">
        <f>IFERROR(__xludf.DUMMYFUNCTION("""COMPUTED_VALUE"""),9.0330551E7)</f>
        <v>90330551</v>
      </c>
    </row>
    <row r="2966">
      <c r="A2966" s="3">
        <f>IFERROR(__xludf.DUMMYFUNCTION("""COMPUTED_VALUE"""),133.0)</f>
        <v>133</v>
      </c>
      <c r="B2966" s="2" t="str">
        <f>IFERROR(__xludf.DUMMYFUNCTION("""COMPUTED_VALUE"""),"GAZIPUR")</f>
        <v>GAZIPUR</v>
      </c>
      <c r="C2966" s="4">
        <f>IFERROR(__xludf.DUMMYFUNCTION("""COMPUTED_VALUE"""),90.0)</f>
        <v>90</v>
      </c>
      <c r="D2966" s="2" t="str">
        <f>IFERROR(__xludf.DUMMYFUNCTION("""COMPUTED_VALUE"""),"DUTCH-BANGLA BANK LTD")</f>
        <v>DUTCH-BANGLA BANK LTD</v>
      </c>
      <c r="E2966" s="2" t="str">
        <f>IFERROR(__xludf.DUMMYFUNCTION("""COMPUTED_VALUE"""),"KALIGANJ")</f>
        <v>KALIGANJ</v>
      </c>
      <c r="F2966" s="4">
        <f>IFERROR(__xludf.DUMMYFUNCTION("""COMPUTED_VALUE"""),82.0)</f>
        <v>82</v>
      </c>
      <c r="G2966" s="5">
        <f>IFERROR(__xludf.DUMMYFUNCTION("""COMPUTED_VALUE"""),9.0330827E7)</f>
        <v>90330827</v>
      </c>
    </row>
    <row r="2967">
      <c r="A2967" s="3">
        <f>IFERROR(__xludf.DUMMYFUNCTION("""COMPUTED_VALUE"""),133.0)</f>
        <v>133</v>
      </c>
      <c r="B2967" s="2" t="str">
        <f>IFERROR(__xludf.DUMMYFUNCTION("""COMPUTED_VALUE"""),"GAZIPUR")</f>
        <v>GAZIPUR</v>
      </c>
      <c r="C2967" s="4">
        <f>IFERROR(__xludf.DUMMYFUNCTION("""COMPUTED_VALUE"""),90.0)</f>
        <v>90</v>
      </c>
      <c r="D2967" s="2" t="str">
        <f>IFERROR(__xludf.DUMMYFUNCTION("""COMPUTED_VALUE"""),"DUTCH-BANGLA BANK LTD")</f>
        <v>DUTCH-BANGLA BANK LTD</v>
      </c>
      <c r="E2967" s="2" t="str">
        <f>IFERROR(__xludf.DUMMYFUNCTION("""COMPUTED_VALUE"""),"KAPASIA")</f>
        <v>KAPASIA</v>
      </c>
      <c r="F2967" s="4">
        <f>IFERROR(__xludf.DUMMYFUNCTION("""COMPUTED_VALUE"""),88.0)</f>
        <v>88</v>
      </c>
      <c r="G2967" s="5">
        <f>IFERROR(__xludf.DUMMYFUNCTION("""COMPUTED_VALUE"""),9.0330885E7)</f>
        <v>90330885</v>
      </c>
    </row>
    <row r="2968">
      <c r="A2968" s="3">
        <f>IFERROR(__xludf.DUMMYFUNCTION("""COMPUTED_VALUE"""),133.0)</f>
        <v>133</v>
      </c>
      <c r="B2968" s="2" t="str">
        <f>IFERROR(__xludf.DUMMYFUNCTION("""COMPUTED_VALUE"""),"GAZIPUR")</f>
        <v>GAZIPUR</v>
      </c>
      <c r="C2968" s="4">
        <f>IFERROR(__xludf.DUMMYFUNCTION("""COMPUTED_VALUE"""),90.0)</f>
        <v>90</v>
      </c>
      <c r="D2968" s="2" t="str">
        <f>IFERROR(__xludf.DUMMYFUNCTION("""COMPUTED_VALUE"""),"DUTCH-BANGLA BANK LTD")</f>
        <v>DUTCH-BANGLA BANK LTD</v>
      </c>
      <c r="E2968" s="2" t="str">
        <f>IFERROR(__xludf.DUMMYFUNCTION("""COMPUTED_VALUE"""),"KONABARI")</f>
        <v>KONABARI</v>
      </c>
      <c r="F2968" s="4">
        <f>IFERROR(__xludf.DUMMYFUNCTION("""COMPUTED_VALUE"""),94.0)</f>
        <v>94</v>
      </c>
      <c r="G2968" s="5">
        <f>IFERROR(__xludf.DUMMYFUNCTION("""COMPUTED_VALUE"""),9.0330948E7)</f>
        <v>90330948</v>
      </c>
    </row>
    <row r="2969">
      <c r="A2969" s="3">
        <f>IFERROR(__xludf.DUMMYFUNCTION("""COMPUTED_VALUE"""),133.0)</f>
        <v>133</v>
      </c>
      <c r="B2969" s="2" t="str">
        <f>IFERROR(__xludf.DUMMYFUNCTION("""COMPUTED_VALUE"""),"GAZIPUR")</f>
        <v>GAZIPUR</v>
      </c>
      <c r="C2969" s="4">
        <f>IFERROR(__xludf.DUMMYFUNCTION("""COMPUTED_VALUE"""),90.0)</f>
        <v>90</v>
      </c>
      <c r="D2969" s="2" t="str">
        <f>IFERROR(__xludf.DUMMYFUNCTION("""COMPUTED_VALUE"""),"DUTCH-BANGLA BANK LTD")</f>
        <v>DUTCH-BANGLA BANK LTD</v>
      </c>
      <c r="E2969" s="2" t="str">
        <f>IFERROR(__xludf.DUMMYFUNCTION("""COMPUTED_VALUE"""),"MAWNA")</f>
        <v>MAWNA</v>
      </c>
      <c r="F2969" s="4">
        <f>IFERROR(__xludf.DUMMYFUNCTION("""COMPUTED_VALUE"""),100.0)</f>
        <v>100</v>
      </c>
      <c r="G2969" s="5">
        <f>IFERROR(__xludf.DUMMYFUNCTION("""COMPUTED_VALUE"""),9.0331E7)</f>
        <v>90331000</v>
      </c>
    </row>
    <row r="2970">
      <c r="A2970" s="3">
        <f>IFERROR(__xludf.DUMMYFUNCTION("""COMPUTED_VALUE"""),133.0)</f>
        <v>133</v>
      </c>
      <c r="B2970" s="2" t="str">
        <f>IFERROR(__xludf.DUMMYFUNCTION("""COMPUTED_VALUE"""),"GAZIPUR")</f>
        <v>GAZIPUR</v>
      </c>
      <c r="C2970" s="4">
        <f>IFERROR(__xludf.DUMMYFUNCTION("""COMPUTED_VALUE"""),90.0)</f>
        <v>90</v>
      </c>
      <c r="D2970" s="2" t="str">
        <f>IFERROR(__xludf.DUMMYFUNCTION("""COMPUTED_VALUE"""),"DUTCH-BANGLA BANK LTD")</f>
        <v>DUTCH-BANGLA BANK LTD</v>
      </c>
      <c r="E2970" s="2" t="str">
        <f>IFERROR(__xludf.DUMMYFUNCTION("""COMPUTED_VALUE"""),"SHAFIPUR SME")</f>
        <v>SHAFIPUR SME</v>
      </c>
      <c r="F2970" s="4">
        <f>IFERROR(__xludf.DUMMYFUNCTION("""COMPUTED_VALUE"""),146.0)</f>
        <v>146</v>
      </c>
      <c r="G2970" s="5">
        <f>IFERROR(__xludf.DUMMYFUNCTION("""COMPUTED_VALUE"""),9.0331468E7)</f>
        <v>90331468</v>
      </c>
    </row>
    <row r="2971">
      <c r="A2971" s="3">
        <f>IFERROR(__xludf.DUMMYFUNCTION("""COMPUTED_VALUE"""),133.0)</f>
        <v>133</v>
      </c>
      <c r="B2971" s="2" t="str">
        <f>IFERROR(__xludf.DUMMYFUNCTION("""COMPUTED_VALUE"""),"GAZIPUR")</f>
        <v>GAZIPUR</v>
      </c>
      <c r="C2971" s="4">
        <f>IFERROR(__xludf.DUMMYFUNCTION("""COMPUTED_VALUE"""),90.0)</f>
        <v>90</v>
      </c>
      <c r="D2971" s="2" t="str">
        <f>IFERROR(__xludf.DUMMYFUNCTION("""COMPUTED_VALUE"""),"DUTCH-BANGLA BANK LTD")</f>
        <v>DUTCH-BANGLA BANK LTD</v>
      </c>
      <c r="E2971" s="2" t="str">
        <f>IFERROR(__xludf.DUMMYFUNCTION("""COMPUTED_VALUE"""),"TONGI")</f>
        <v>TONGI</v>
      </c>
      <c r="F2971" s="4">
        <f>IFERROR(__xludf.DUMMYFUNCTION("""COMPUTED_VALUE"""),163.0)</f>
        <v>163</v>
      </c>
      <c r="G2971" s="5">
        <f>IFERROR(__xludf.DUMMYFUNCTION("""COMPUTED_VALUE"""),9.0331639E7)</f>
        <v>90331639</v>
      </c>
    </row>
    <row r="2972">
      <c r="A2972" s="3">
        <f>IFERROR(__xludf.DUMMYFUNCTION("""COMPUTED_VALUE"""),435.0)</f>
        <v>435</v>
      </c>
      <c r="B2972" s="2" t="str">
        <f>IFERROR(__xludf.DUMMYFUNCTION("""COMPUTED_VALUE"""),"GOPALGANJ")</f>
        <v>GOPALGANJ</v>
      </c>
      <c r="C2972" s="4">
        <f>IFERROR(__xludf.DUMMYFUNCTION("""COMPUTED_VALUE"""),90.0)</f>
        <v>90</v>
      </c>
      <c r="D2972" s="2" t="str">
        <f>IFERROR(__xludf.DUMMYFUNCTION("""COMPUTED_VALUE"""),"DUTCH-BANGLA BANK LTD")</f>
        <v>DUTCH-BANGLA BANK LTD</v>
      </c>
      <c r="E2972" s="2" t="str">
        <f>IFERROR(__xludf.DUMMYFUNCTION("""COMPUTED_VALUE"""),"GOPALGANJ")</f>
        <v>GOPALGANJ</v>
      </c>
      <c r="F2972" s="4">
        <f>IFERROR(__xludf.DUMMYFUNCTION("""COMPUTED_VALUE"""),37.0)</f>
        <v>37</v>
      </c>
      <c r="G2972" s="5">
        <f>IFERROR(__xludf.DUMMYFUNCTION("""COMPUTED_VALUE"""),9.0350373E7)</f>
        <v>90350373</v>
      </c>
    </row>
    <row r="2973">
      <c r="A2973" s="3">
        <f>IFERROR(__xludf.DUMMYFUNCTION("""COMPUTED_VALUE"""),836.0)</f>
        <v>836</v>
      </c>
      <c r="B2973" s="2" t="str">
        <f>IFERROR(__xludf.DUMMYFUNCTION("""COMPUTED_VALUE"""),"HABIGANJ")</f>
        <v>HABIGANJ</v>
      </c>
      <c r="C2973" s="4">
        <f>IFERROR(__xludf.DUMMYFUNCTION("""COMPUTED_VALUE"""),90.0)</f>
        <v>90</v>
      </c>
      <c r="D2973" s="2" t="str">
        <f>IFERROR(__xludf.DUMMYFUNCTION("""COMPUTED_VALUE"""),"DUTCH-BANGLA BANK LTD")</f>
        <v>DUTCH-BANGLA BANK LTD</v>
      </c>
      <c r="E2973" s="2" t="str">
        <f>IFERROR(__xludf.DUMMYFUNCTION("""COMPUTED_VALUE"""),"HABIGANJ")</f>
        <v>HABIGANJ</v>
      </c>
      <c r="F2973" s="4">
        <f>IFERROR(__xludf.DUMMYFUNCTION("""COMPUTED_VALUE"""),61.0)</f>
        <v>61</v>
      </c>
      <c r="G2973" s="5">
        <f>IFERROR(__xludf.DUMMYFUNCTION("""COMPUTED_VALUE"""),9.0360613E7)</f>
        <v>90360613</v>
      </c>
    </row>
    <row r="2974">
      <c r="A2974" s="3">
        <f>IFERROR(__xludf.DUMMYFUNCTION("""COMPUTED_VALUE"""),638.0)</f>
        <v>638</v>
      </c>
      <c r="B2974" s="2" t="str">
        <f>IFERROR(__xludf.DUMMYFUNCTION("""COMPUTED_VALUE"""),"JOYPURHAT")</f>
        <v>JOYPURHAT</v>
      </c>
      <c r="C2974" s="4">
        <f>IFERROR(__xludf.DUMMYFUNCTION("""COMPUTED_VALUE"""),90.0)</f>
        <v>90</v>
      </c>
      <c r="D2974" s="2" t="str">
        <f>IFERROR(__xludf.DUMMYFUNCTION("""COMPUTED_VALUE"""),"DUTCH-BANGLA BANK LTD")</f>
        <v>DUTCH-BANGLA BANK LTD</v>
      </c>
      <c r="E2974" s="2" t="str">
        <f>IFERROR(__xludf.DUMMYFUNCTION("""COMPUTED_VALUE"""),"JOYPURHAT")</f>
        <v>JOYPURHAT</v>
      </c>
      <c r="F2974" s="4">
        <f>IFERROR(__xludf.DUMMYFUNCTION("""COMPUTED_VALUE"""),40.0)</f>
        <v>40</v>
      </c>
      <c r="G2974" s="5">
        <f>IFERROR(__xludf.DUMMYFUNCTION("""COMPUTED_VALUE"""),9.0380406E7)</f>
        <v>90380406</v>
      </c>
    </row>
    <row r="2975">
      <c r="A2975" s="3">
        <f>IFERROR(__xludf.DUMMYFUNCTION("""COMPUTED_VALUE"""),139.0)</f>
        <v>139</v>
      </c>
      <c r="B2975" s="2" t="str">
        <f>IFERROR(__xludf.DUMMYFUNCTION("""COMPUTED_VALUE"""),"JAMALPUR")</f>
        <v>JAMALPUR</v>
      </c>
      <c r="C2975" s="4">
        <f>IFERROR(__xludf.DUMMYFUNCTION("""COMPUTED_VALUE"""),90.0)</f>
        <v>90</v>
      </c>
      <c r="D2975" s="2" t="str">
        <f>IFERROR(__xludf.DUMMYFUNCTION("""COMPUTED_VALUE"""),"DUTCH-BANGLA BANK LTD")</f>
        <v>DUTCH-BANGLA BANK LTD</v>
      </c>
      <c r="E2975" s="2" t="str">
        <f>IFERROR(__xludf.DUMMYFUNCTION("""COMPUTED_VALUE"""),"DIGPITE")</f>
        <v>DIGPITE</v>
      </c>
      <c r="F2975" s="4">
        <f>IFERROR(__xludf.DUMMYFUNCTION("""COMPUTED_VALUE"""),62.0)</f>
        <v>62</v>
      </c>
      <c r="G2975" s="5">
        <f>IFERROR(__xludf.DUMMYFUNCTION("""COMPUTED_VALUE"""),9.0390625E7)</f>
        <v>90390625</v>
      </c>
    </row>
    <row r="2976">
      <c r="A2976" s="3">
        <f>IFERROR(__xludf.DUMMYFUNCTION("""COMPUTED_VALUE"""),139.0)</f>
        <v>139</v>
      </c>
      <c r="B2976" s="2" t="str">
        <f>IFERROR(__xludf.DUMMYFUNCTION("""COMPUTED_VALUE"""),"JAMALPUR")</f>
        <v>JAMALPUR</v>
      </c>
      <c r="C2976" s="4">
        <f>IFERROR(__xludf.DUMMYFUNCTION("""COMPUTED_VALUE"""),90.0)</f>
        <v>90</v>
      </c>
      <c r="D2976" s="2" t="str">
        <f>IFERROR(__xludf.DUMMYFUNCTION("""COMPUTED_VALUE"""),"DUTCH-BANGLA BANK LTD")</f>
        <v>DUTCH-BANGLA BANK LTD</v>
      </c>
      <c r="E2976" s="2" t="str">
        <f>IFERROR(__xludf.DUMMYFUNCTION("""COMPUTED_VALUE"""),"JAMALPUR")</f>
        <v>JAMALPUR</v>
      </c>
      <c r="F2976" s="4">
        <f>IFERROR(__xludf.DUMMYFUNCTION("""COMPUTED_VALUE"""),85.0)</f>
        <v>85</v>
      </c>
      <c r="G2976" s="5">
        <f>IFERROR(__xludf.DUMMYFUNCTION("""COMPUTED_VALUE"""),9.0390854E7)</f>
        <v>90390854</v>
      </c>
    </row>
    <row r="2977">
      <c r="A2977" s="3">
        <f>IFERROR(__xludf.DUMMYFUNCTION("""COMPUTED_VALUE"""),441.0)</f>
        <v>441</v>
      </c>
      <c r="B2977" s="2" t="str">
        <f>IFERROR(__xludf.DUMMYFUNCTION("""COMPUTED_VALUE"""),"JESSORE")</f>
        <v>JESSORE</v>
      </c>
      <c r="C2977" s="4">
        <f>IFERROR(__xludf.DUMMYFUNCTION("""COMPUTED_VALUE"""),90.0)</f>
        <v>90</v>
      </c>
      <c r="D2977" s="2" t="str">
        <f>IFERROR(__xludf.DUMMYFUNCTION("""COMPUTED_VALUE"""),"DUTCH-BANGLA BANK LTD")</f>
        <v>DUTCH-BANGLA BANK LTD</v>
      </c>
      <c r="E2977" s="2" t="str">
        <f>IFERROR(__xludf.DUMMYFUNCTION("""COMPUTED_VALUE"""),"JESSORE")</f>
        <v>JESSORE</v>
      </c>
      <c r="F2977" s="4">
        <f>IFERROR(__xludf.DUMMYFUNCTION("""COMPUTED_VALUE"""),94.0)</f>
        <v>94</v>
      </c>
      <c r="G2977" s="5">
        <f>IFERROR(__xludf.DUMMYFUNCTION("""COMPUTED_VALUE"""),9.0410947E7)</f>
        <v>90410947</v>
      </c>
    </row>
    <row r="2978">
      <c r="A2978" s="3">
        <f>IFERROR(__xludf.DUMMYFUNCTION("""COMPUTED_VALUE"""),444.0)</f>
        <v>444</v>
      </c>
      <c r="B2978" s="2" t="str">
        <f>IFERROR(__xludf.DUMMYFUNCTION("""COMPUTED_VALUE"""),"JHENAIDAH")</f>
        <v>JHENAIDAH</v>
      </c>
      <c r="C2978" s="4">
        <f>IFERROR(__xludf.DUMMYFUNCTION("""COMPUTED_VALUE"""),90.0)</f>
        <v>90</v>
      </c>
      <c r="D2978" s="2" t="str">
        <f>IFERROR(__xludf.DUMMYFUNCTION("""COMPUTED_VALUE"""),"DUTCH-BANGLA BANK LTD")</f>
        <v>DUTCH-BANGLA BANK LTD</v>
      </c>
      <c r="E2978" s="2" t="str">
        <f>IFERROR(__xludf.DUMMYFUNCTION("""COMPUTED_VALUE"""),"JHENAIDAH")</f>
        <v>JHENAIDAH</v>
      </c>
      <c r="F2978" s="4">
        <f>IFERROR(__xludf.DUMMYFUNCTION("""COMPUTED_VALUE"""),64.0)</f>
        <v>64</v>
      </c>
      <c r="G2978" s="5">
        <f>IFERROR(__xludf.DUMMYFUNCTION("""COMPUTED_VALUE"""),9.0440641E7)</f>
        <v>90440641</v>
      </c>
    </row>
    <row r="2979">
      <c r="A2979" s="3">
        <f>IFERROR(__xludf.DUMMYFUNCTION("""COMPUTED_VALUE"""),447.0)</f>
        <v>447</v>
      </c>
      <c r="B2979" s="2" t="str">
        <f>IFERROR(__xludf.DUMMYFUNCTION("""COMPUTED_VALUE"""),"KHULNA")</f>
        <v>KHULNA</v>
      </c>
      <c r="C2979" s="4">
        <f>IFERROR(__xludf.DUMMYFUNCTION("""COMPUTED_VALUE"""),90.0)</f>
        <v>90</v>
      </c>
      <c r="D2979" s="2" t="str">
        <f>IFERROR(__xludf.DUMMYFUNCTION("""COMPUTED_VALUE"""),"DUTCH-BANGLA BANK LTD")</f>
        <v>DUTCH-BANGLA BANK LTD</v>
      </c>
      <c r="E2979" s="2" t="str">
        <f>IFERROR(__xludf.DUMMYFUNCTION("""COMPUTED_VALUE"""),"KHULNA")</f>
        <v>KHULNA</v>
      </c>
      <c r="F2979" s="4">
        <f>IFERROR(__xludf.DUMMYFUNCTION("""COMPUTED_VALUE"""),154.0)</f>
        <v>154</v>
      </c>
      <c r="G2979" s="5">
        <f>IFERROR(__xludf.DUMMYFUNCTION("""COMPUTED_VALUE"""),9.0471544E7)</f>
        <v>90471544</v>
      </c>
    </row>
    <row r="2980">
      <c r="A2980" s="3">
        <f>IFERROR(__xludf.DUMMYFUNCTION("""COMPUTED_VALUE"""),148.0)</f>
        <v>148</v>
      </c>
      <c r="B2980" s="2" t="str">
        <f>IFERROR(__xludf.DUMMYFUNCTION("""COMPUTED_VALUE"""),"KISHOREGANJ")</f>
        <v>KISHOREGANJ</v>
      </c>
      <c r="C2980" s="4">
        <f>IFERROR(__xludf.DUMMYFUNCTION("""COMPUTED_VALUE"""),90.0)</f>
        <v>90</v>
      </c>
      <c r="D2980" s="2" t="str">
        <f>IFERROR(__xludf.DUMMYFUNCTION("""COMPUTED_VALUE"""),"DUTCH-BANGLA BANK LTD")</f>
        <v>DUTCH-BANGLA BANK LTD</v>
      </c>
      <c r="E2980" s="2" t="str">
        <f>IFERROR(__xludf.DUMMYFUNCTION("""COMPUTED_VALUE"""),"BHAIRAB")</f>
        <v>BHAIRAB</v>
      </c>
      <c r="F2980" s="4">
        <f>IFERROR(__xludf.DUMMYFUNCTION("""COMPUTED_VALUE"""),19.0)</f>
        <v>19</v>
      </c>
      <c r="G2980" s="5">
        <f>IFERROR(__xludf.DUMMYFUNCTION("""COMPUTED_VALUE"""),9.0480193E7)</f>
        <v>90480193</v>
      </c>
    </row>
    <row r="2981">
      <c r="A2981" s="3">
        <f>IFERROR(__xludf.DUMMYFUNCTION("""COMPUTED_VALUE"""),148.0)</f>
        <v>148</v>
      </c>
      <c r="B2981" s="2" t="str">
        <f>IFERROR(__xludf.DUMMYFUNCTION("""COMPUTED_VALUE"""),"KISHOREGANJ")</f>
        <v>KISHOREGANJ</v>
      </c>
      <c r="C2981" s="4">
        <f>IFERROR(__xludf.DUMMYFUNCTION("""COMPUTED_VALUE"""),90.0)</f>
        <v>90</v>
      </c>
      <c r="D2981" s="2" t="str">
        <f>IFERROR(__xludf.DUMMYFUNCTION("""COMPUTED_VALUE"""),"DUTCH-BANGLA BANK LTD")</f>
        <v>DUTCH-BANGLA BANK LTD</v>
      </c>
      <c r="E2981" s="2" t="str">
        <f>IFERROR(__xludf.DUMMYFUNCTION("""COMPUTED_VALUE"""),"KISHOREGANJ")</f>
        <v>KISHOREGANJ</v>
      </c>
      <c r="F2981" s="4">
        <f>IFERROR(__xludf.DUMMYFUNCTION("""COMPUTED_VALUE"""),67.0)</f>
        <v>67</v>
      </c>
      <c r="G2981" s="5">
        <f>IFERROR(__xludf.DUMMYFUNCTION("""COMPUTED_VALUE"""),9.0480672E7)</f>
        <v>90480672</v>
      </c>
    </row>
    <row r="2982">
      <c r="A2982" s="3">
        <f>IFERROR(__xludf.DUMMYFUNCTION("""COMPUTED_VALUE"""),749.0)</f>
        <v>749</v>
      </c>
      <c r="B2982" s="2" t="str">
        <f>IFERROR(__xludf.DUMMYFUNCTION("""COMPUTED_VALUE"""),"KURIGRAM")</f>
        <v>KURIGRAM</v>
      </c>
      <c r="C2982" s="4">
        <f>IFERROR(__xludf.DUMMYFUNCTION("""COMPUTED_VALUE"""),90.0)</f>
        <v>90</v>
      </c>
      <c r="D2982" s="2" t="str">
        <f>IFERROR(__xludf.DUMMYFUNCTION("""COMPUTED_VALUE"""),"DUTCH-BANGLA BANK LTD")</f>
        <v>DUTCH-BANGLA BANK LTD</v>
      </c>
      <c r="E2982" s="2" t="str">
        <f>IFERROR(__xludf.DUMMYFUNCTION("""COMPUTED_VALUE"""),"KURIGRAM")</f>
        <v>KURIGRAM</v>
      </c>
      <c r="F2982" s="4">
        <f>IFERROR(__xludf.DUMMYFUNCTION("""COMPUTED_VALUE"""),40.0)</f>
        <v>40</v>
      </c>
      <c r="G2982" s="5">
        <f>IFERROR(__xludf.DUMMYFUNCTION("""COMPUTED_VALUE"""),9.0490404E7)</f>
        <v>90490404</v>
      </c>
    </row>
    <row r="2983">
      <c r="A2983" s="3">
        <f>IFERROR(__xludf.DUMMYFUNCTION("""COMPUTED_VALUE"""),450.0)</f>
        <v>450</v>
      </c>
      <c r="B2983" s="2" t="str">
        <f>IFERROR(__xludf.DUMMYFUNCTION("""COMPUTED_VALUE"""),"KUSHTIA")</f>
        <v>KUSHTIA</v>
      </c>
      <c r="C2983" s="4">
        <f>IFERROR(__xludf.DUMMYFUNCTION("""COMPUTED_VALUE"""),90.0)</f>
        <v>90</v>
      </c>
      <c r="D2983" s="2" t="str">
        <f>IFERROR(__xludf.DUMMYFUNCTION("""COMPUTED_VALUE"""),"DUTCH-BANGLA BANK LTD")</f>
        <v>DUTCH-BANGLA BANK LTD</v>
      </c>
      <c r="E2983" s="2" t="str">
        <f>IFERROR(__xludf.DUMMYFUNCTION("""COMPUTED_VALUE"""),"KUSHTIA")</f>
        <v>KUSHTIA</v>
      </c>
      <c r="F2983" s="4">
        <f>IFERROR(__xludf.DUMMYFUNCTION("""COMPUTED_VALUE"""),94.0)</f>
        <v>94</v>
      </c>
      <c r="G2983" s="5">
        <f>IFERROR(__xludf.DUMMYFUNCTION("""COMPUTED_VALUE"""),9.0500949E7)</f>
        <v>90500949</v>
      </c>
    </row>
    <row r="2984">
      <c r="A2984" s="3">
        <f>IFERROR(__xludf.DUMMYFUNCTION("""COMPUTED_VALUE"""),251.0)</f>
        <v>251</v>
      </c>
      <c r="B2984" s="2" t="str">
        <f>IFERROR(__xludf.DUMMYFUNCTION("""COMPUTED_VALUE"""),"LAKSHMIPUR")</f>
        <v>LAKSHMIPUR</v>
      </c>
      <c r="C2984" s="4">
        <f>IFERROR(__xludf.DUMMYFUNCTION("""COMPUTED_VALUE"""),90.0)</f>
        <v>90</v>
      </c>
      <c r="D2984" s="2" t="str">
        <f>IFERROR(__xludf.DUMMYFUNCTION("""COMPUTED_VALUE"""),"DUTCH-BANGLA BANK LTD")</f>
        <v>DUTCH-BANGLA BANK LTD</v>
      </c>
      <c r="E2984" s="2" t="str">
        <f>IFERROR(__xludf.DUMMYFUNCTION("""COMPUTED_VALUE"""),"LAKSHMIPUR")</f>
        <v>LAKSHMIPUR</v>
      </c>
      <c r="F2984" s="4">
        <f>IFERROR(__xludf.DUMMYFUNCTION("""COMPUTED_VALUE"""),73.0)</f>
        <v>73</v>
      </c>
      <c r="G2984" s="5">
        <f>IFERROR(__xludf.DUMMYFUNCTION("""COMPUTED_VALUE"""),9.0510739E7)</f>
        <v>90510739</v>
      </c>
    </row>
    <row r="2985">
      <c r="A2985" s="3">
        <f>IFERROR(__xludf.DUMMYFUNCTION("""COMPUTED_VALUE"""),354.0)</f>
        <v>354</v>
      </c>
      <c r="B2985" s="2" t="str">
        <f>IFERROR(__xludf.DUMMYFUNCTION("""COMPUTED_VALUE"""),"MADARIPUR")</f>
        <v>MADARIPUR</v>
      </c>
      <c r="C2985" s="4">
        <f>IFERROR(__xludf.DUMMYFUNCTION("""COMPUTED_VALUE"""),90.0)</f>
        <v>90</v>
      </c>
      <c r="D2985" s="2" t="str">
        <f>IFERROR(__xludf.DUMMYFUNCTION("""COMPUTED_VALUE"""),"DUTCH-BANGLA BANK LTD")</f>
        <v>DUTCH-BANGLA BANK LTD</v>
      </c>
      <c r="E2985" s="2" t="str">
        <f>IFERROR(__xludf.DUMMYFUNCTION("""COMPUTED_VALUE"""),"MADARIPUR")</f>
        <v>MADARIPUR</v>
      </c>
      <c r="F2985" s="4">
        <f>IFERROR(__xludf.DUMMYFUNCTION("""COMPUTED_VALUE"""),40.0)</f>
        <v>40</v>
      </c>
      <c r="G2985" s="5">
        <f>IFERROR(__xludf.DUMMYFUNCTION("""COMPUTED_VALUE"""),9.0540404E7)</f>
        <v>90540404</v>
      </c>
    </row>
    <row r="2986">
      <c r="A2986" s="3">
        <f>IFERROR(__xludf.DUMMYFUNCTION("""COMPUTED_VALUE"""),455.0)</f>
        <v>455</v>
      </c>
      <c r="B2986" s="2" t="str">
        <f>IFERROR(__xludf.DUMMYFUNCTION("""COMPUTED_VALUE"""),"MAGURA")</f>
        <v>MAGURA</v>
      </c>
      <c r="C2986" s="4">
        <f>IFERROR(__xludf.DUMMYFUNCTION("""COMPUTED_VALUE"""),90.0)</f>
        <v>90</v>
      </c>
      <c r="D2986" s="2" t="str">
        <f>IFERROR(__xludf.DUMMYFUNCTION("""COMPUTED_VALUE"""),"DUTCH-BANGLA BANK LTD")</f>
        <v>DUTCH-BANGLA BANK LTD</v>
      </c>
      <c r="E2986" s="2" t="str">
        <f>IFERROR(__xludf.DUMMYFUNCTION("""COMPUTED_VALUE"""),"MAGURA")</f>
        <v>MAGURA</v>
      </c>
      <c r="F2986" s="4">
        <f>IFERROR(__xludf.DUMMYFUNCTION("""COMPUTED_VALUE"""),55.0)</f>
        <v>55</v>
      </c>
      <c r="G2986" s="5">
        <f>IFERROR(__xludf.DUMMYFUNCTION("""COMPUTED_VALUE"""),9.0550557E7)</f>
        <v>90550557</v>
      </c>
    </row>
    <row r="2987">
      <c r="A2987" s="3">
        <f>IFERROR(__xludf.DUMMYFUNCTION("""COMPUTED_VALUE"""),156.0)</f>
        <v>156</v>
      </c>
      <c r="B2987" s="2" t="str">
        <f>IFERROR(__xludf.DUMMYFUNCTION("""COMPUTED_VALUE"""),"MANIKGANJ")</f>
        <v>MANIKGANJ</v>
      </c>
      <c r="C2987" s="4">
        <f>IFERROR(__xludf.DUMMYFUNCTION("""COMPUTED_VALUE"""),90.0)</f>
        <v>90</v>
      </c>
      <c r="D2987" s="2" t="str">
        <f>IFERROR(__xludf.DUMMYFUNCTION("""COMPUTED_VALUE"""),"DUTCH-BANGLA BANK LTD")</f>
        <v>DUTCH-BANGLA BANK LTD</v>
      </c>
      <c r="E2987" s="2" t="str">
        <f>IFERROR(__xludf.DUMMYFUNCTION("""COMPUTED_VALUE"""),"MANIKGANJ")</f>
        <v>MANIKGANJ</v>
      </c>
      <c r="F2987" s="4">
        <f>IFERROR(__xludf.DUMMYFUNCTION("""COMPUTED_VALUE"""),61.0)</f>
        <v>61</v>
      </c>
      <c r="G2987" s="5">
        <f>IFERROR(__xludf.DUMMYFUNCTION("""COMPUTED_VALUE"""),9.0560613E7)</f>
        <v>90560613</v>
      </c>
    </row>
    <row r="2988">
      <c r="A2988" s="3">
        <f>IFERROR(__xludf.DUMMYFUNCTION("""COMPUTED_VALUE"""),156.0)</f>
        <v>156</v>
      </c>
      <c r="B2988" s="2" t="str">
        <f>IFERROR(__xludf.DUMMYFUNCTION("""COMPUTED_VALUE"""),"MANIKGANJ")</f>
        <v>MANIKGANJ</v>
      </c>
      <c r="C2988" s="4">
        <f>IFERROR(__xludf.DUMMYFUNCTION("""COMPUTED_VALUE"""),90.0)</f>
        <v>90</v>
      </c>
      <c r="D2988" s="2" t="str">
        <f>IFERROR(__xludf.DUMMYFUNCTION("""COMPUTED_VALUE"""),"DUTCH-BANGLA BANK LTD")</f>
        <v>DUTCH-BANGLA BANK LTD</v>
      </c>
      <c r="E2988" s="2" t="str">
        <f>IFERROR(__xludf.DUMMYFUNCTION("""COMPUTED_VALUE"""),"SINGAIR")</f>
        <v>SINGAIR</v>
      </c>
      <c r="F2988" s="4">
        <f>IFERROR(__xludf.DUMMYFUNCTION("""COMPUTED_VALUE"""),82.0)</f>
        <v>82</v>
      </c>
      <c r="G2988" s="5">
        <f>IFERROR(__xludf.DUMMYFUNCTION("""COMPUTED_VALUE"""),9.0560826E7)</f>
        <v>90560826</v>
      </c>
    </row>
    <row r="2989">
      <c r="A2989" s="3">
        <f>IFERROR(__xludf.DUMMYFUNCTION("""COMPUTED_VALUE"""),858.0)</f>
        <v>858</v>
      </c>
      <c r="B2989" s="2" t="str">
        <f>IFERROR(__xludf.DUMMYFUNCTION("""COMPUTED_VALUE"""),"MOULVI BAZAR")</f>
        <v>MOULVI BAZAR</v>
      </c>
      <c r="C2989" s="4">
        <f>IFERROR(__xludf.DUMMYFUNCTION("""COMPUTED_VALUE"""),90.0)</f>
        <v>90</v>
      </c>
      <c r="D2989" s="2" t="str">
        <f>IFERROR(__xludf.DUMMYFUNCTION("""COMPUTED_VALUE"""),"DUTCH-BANGLA BANK LTD")</f>
        <v>DUTCH-BANGLA BANK LTD</v>
      </c>
      <c r="E2989" s="2" t="str">
        <f>IFERROR(__xludf.DUMMYFUNCTION("""COMPUTED_VALUE"""),"BARALEKHA")</f>
        <v>BARALEKHA</v>
      </c>
      <c r="F2989" s="4">
        <f>IFERROR(__xludf.DUMMYFUNCTION("""COMPUTED_VALUE"""),10.0)</f>
        <v>10</v>
      </c>
      <c r="G2989" s="5">
        <f>IFERROR(__xludf.DUMMYFUNCTION("""COMPUTED_VALUE"""),9.0580101E7)</f>
        <v>90580101</v>
      </c>
    </row>
    <row r="2990">
      <c r="A2990" s="3">
        <f>IFERROR(__xludf.DUMMYFUNCTION("""COMPUTED_VALUE"""),858.0)</f>
        <v>858</v>
      </c>
      <c r="B2990" s="2" t="str">
        <f>IFERROR(__xludf.DUMMYFUNCTION("""COMPUTED_VALUE"""),"MOULVI BAZAR")</f>
        <v>MOULVI BAZAR</v>
      </c>
      <c r="C2990" s="4">
        <f>IFERROR(__xludf.DUMMYFUNCTION("""COMPUTED_VALUE"""),90.0)</f>
        <v>90</v>
      </c>
      <c r="D2990" s="2" t="str">
        <f>IFERROR(__xludf.DUMMYFUNCTION("""COMPUTED_VALUE"""),"DUTCH-BANGLA BANK LTD")</f>
        <v>DUTCH-BANGLA BANK LTD</v>
      </c>
      <c r="E2990" s="2" t="str">
        <f>IFERROR(__xludf.DUMMYFUNCTION("""COMPUTED_VALUE"""),"MOULAVI BAZAR")</f>
        <v>MOULAVI BAZAR</v>
      </c>
      <c r="F2990" s="4">
        <f>IFERROR(__xludf.DUMMYFUNCTION("""COMPUTED_VALUE"""),118.0)</f>
        <v>118</v>
      </c>
      <c r="G2990" s="5">
        <f>IFERROR(__xludf.DUMMYFUNCTION("""COMPUTED_VALUE"""),9.0581184E7)</f>
        <v>90581184</v>
      </c>
    </row>
    <row r="2991">
      <c r="A2991" s="3">
        <f>IFERROR(__xludf.DUMMYFUNCTION("""COMPUTED_VALUE"""),858.0)</f>
        <v>858</v>
      </c>
      <c r="B2991" s="2" t="str">
        <f>IFERROR(__xludf.DUMMYFUNCTION("""COMPUTED_VALUE"""),"MOULVI BAZAR")</f>
        <v>MOULVI BAZAR</v>
      </c>
      <c r="C2991" s="4">
        <f>IFERROR(__xludf.DUMMYFUNCTION("""COMPUTED_VALUE"""),90.0)</f>
        <v>90</v>
      </c>
      <c r="D2991" s="2" t="str">
        <f>IFERROR(__xludf.DUMMYFUNCTION("""COMPUTED_VALUE"""),"DUTCH-BANGLA BANK LTD")</f>
        <v>DUTCH-BANGLA BANK LTD</v>
      </c>
      <c r="E2991" s="2" t="str">
        <f>IFERROR(__xludf.DUMMYFUNCTION("""COMPUTED_VALUE"""),"SREE MANGAL")</f>
        <v>SREE MANGAL</v>
      </c>
      <c r="F2991" s="4">
        <f>IFERROR(__xludf.DUMMYFUNCTION("""COMPUTED_VALUE"""),172.0)</f>
        <v>172</v>
      </c>
      <c r="G2991" s="5">
        <f>IFERROR(__xludf.DUMMYFUNCTION("""COMPUTED_VALUE"""),9.0581726E7)</f>
        <v>90581726</v>
      </c>
    </row>
    <row r="2992">
      <c r="A2992" s="3">
        <f>IFERROR(__xludf.DUMMYFUNCTION("""COMPUTED_VALUE"""),159.0)</f>
        <v>159</v>
      </c>
      <c r="B2992" s="2" t="str">
        <f>IFERROR(__xludf.DUMMYFUNCTION("""COMPUTED_VALUE"""),"MUNSHIGANJ")</f>
        <v>MUNSHIGANJ</v>
      </c>
      <c r="C2992" s="4">
        <f>IFERROR(__xludf.DUMMYFUNCTION("""COMPUTED_VALUE"""),90.0)</f>
        <v>90</v>
      </c>
      <c r="D2992" s="2" t="str">
        <f>IFERROR(__xludf.DUMMYFUNCTION("""COMPUTED_VALUE"""),"DUTCH-BANGLA BANK LTD")</f>
        <v>DUTCH-BANGLA BANK LTD</v>
      </c>
      <c r="E2992" s="2" t="str">
        <f>IFERROR(__xludf.DUMMYFUNCTION("""COMPUTED_VALUE"""),"MUNSHIGANJ")</f>
        <v>MUNSHIGANJ</v>
      </c>
      <c r="F2992" s="4">
        <f>IFERROR(__xludf.DUMMYFUNCTION("""COMPUTED_VALUE"""),103.0)</f>
        <v>103</v>
      </c>
      <c r="G2992" s="5">
        <f>IFERROR(__xludf.DUMMYFUNCTION("""COMPUTED_VALUE"""),9.0591037E7)</f>
        <v>90591037</v>
      </c>
    </row>
    <row r="2993">
      <c r="A2993" s="3">
        <f>IFERROR(__xludf.DUMMYFUNCTION("""COMPUTED_VALUE"""),161.0)</f>
        <v>161</v>
      </c>
      <c r="B2993" s="2" t="str">
        <f>IFERROR(__xludf.DUMMYFUNCTION("""COMPUTED_VALUE"""),"MYMENSINGH")</f>
        <v>MYMENSINGH</v>
      </c>
      <c r="C2993" s="4">
        <f>IFERROR(__xludf.DUMMYFUNCTION("""COMPUTED_VALUE"""),90.0)</f>
        <v>90</v>
      </c>
      <c r="D2993" s="2" t="str">
        <f>IFERROR(__xludf.DUMMYFUNCTION("""COMPUTED_VALUE"""),"DUTCH-BANGLA BANK LTD")</f>
        <v>DUTCH-BANGLA BANK LTD</v>
      </c>
      <c r="E2993" s="2" t="str">
        <f>IFERROR(__xludf.DUMMYFUNCTION("""COMPUTED_VALUE"""),"MASTER BARI")</f>
        <v>MASTER BARI</v>
      </c>
      <c r="F2993" s="4">
        <f>IFERROR(__xludf.DUMMYFUNCTION("""COMPUTED_VALUE"""),15.0)</f>
        <v>15</v>
      </c>
      <c r="G2993" s="5">
        <f>IFERROR(__xludf.DUMMYFUNCTION("""COMPUTED_VALUE"""),9.061015E7)</f>
        <v>90610150</v>
      </c>
    </row>
    <row r="2994">
      <c r="A2994" s="3">
        <f>IFERROR(__xludf.DUMMYFUNCTION("""COMPUTED_VALUE"""),161.0)</f>
        <v>161</v>
      </c>
      <c r="B2994" s="2" t="str">
        <f>IFERROR(__xludf.DUMMYFUNCTION("""COMPUTED_VALUE"""),"MYMENSINGH")</f>
        <v>MYMENSINGH</v>
      </c>
      <c r="C2994" s="4">
        <f>IFERROR(__xludf.DUMMYFUNCTION("""COMPUTED_VALUE"""),90.0)</f>
        <v>90</v>
      </c>
      <c r="D2994" s="2" t="str">
        <f>IFERROR(__xludf.DUMMYFUNCTION("""COMPUTED_VALUE"""),"DUTCH-BANGLA BANK LTD")</f>
        <v>DUTCH-BANGLA BANK LTD</v>
      </c>
      <c r="E2994" s="2" t="str">
        <f>IFERROR(__xludf.DUMMYFUNCTION("""COMPUTED_VALUE"""),"MYMENSINGH")</f>
        <v>MYMENSINGH</v>
      </c>
      <c r="F2994" s="4">
        <f>IFERROR(__xludf.DUMMYFUNCTION("""COMPUTED_VALUE"""),175.0)</f>
        <v>175</v>
      </c>
      <c r="G2994" s="5">
        <f>IFERROR(__xludf.DUMMYFUNCTION("""COMPUTED_VALUE"""),9.0611759E7)</f>
        <v>90611759</v>
      </c>
    </row>
    <row r="2995">
      <c r="A2995" s="3">
        <f>IFERROR(__xludf.DUMMYFUNCTION("""COMPUTED_VALUE"""),564.0)</f>
        <v>564</v>
      </c>
      <c r="B2995" s="2" t="str">
        <f>IFERROR(__xludf.DUMMYFUNCTION("""COMPUTED_VALUE"""),"NAOGAON")</f>
        <v>NAOGAON</v>
      </c>
      <c r="C2995" s="4">
        <f>IFERROR(__xludf.DUMMYFUNCTION("""COMPUTED_VALUE"""),90.0)</f>
        <v>90</v>
      </c>
      <c r="D2995" s="2" t="str">
        <f>IFERROR(__xludf.DUMMYFUNCTION("""COMPUTED_VALUE"""),"DUTCH-BANGLA BANK LTD")</f>
        <v>DUTCH-BANGLA BANK LTD</v>
      </c>
      <c r="E2995" s="2" t="str">
        <f>IFERROR(__xludf.DUMMYFUNCTION("""COMPUTED_VALUE"""),"NAOGAON")</f>
        <v>NAOGAON</v>
      </c>
      <c r="F2995" s="4">
        <f>IFERROR(__xludf.DUMMYFUNCTION("""COMPUTED_VALUE"""),118.0)</f>
        <v>118</v>
      </c>
      <c r="G2995" s="5">
        <f>IFERROR(__xludf.DUMMYFUNCTION("""COMPUTED_VALUE"""),9.0641187E7)</f>
        <v>90641187</v>
      </c>
    </row>
    <row r="2996">
      <c r="A2996" s="3">
        <f>IFERROR(__xludf.DUMMYFUNCTION("""COMPUTED_VALUE"""),167.0)</f>
        <v>167</v>
      </c>
      <c r="B2996" s="2" t="str">
        <f>IFERROR(__xludf.DUMMYFUNCTION("""COMPUTED_VALUE"""),"NARAYANGANJ")</f>
        <v>NARAYANGANJ</v>
      </c>
      <c r="C2996" s="4">
        <f>IFERROR(__xludf.DUMMYFUNCTION("""COMPUTED_VALUE"""),90.0)</f>
        <v>90</v>
      </c>
      <c r="D2996" s="2" t="str">
        <f>IFERROR(__xludf.DUMMYFUNCTION("""COMPUTED_VALUE"""),"DUTCH-BANGLA BANK LTD")</f>
        <v>DUTCH-BANGLA BANK LTD</v>
      </c>
      <c r="E2996" s="2" t="str">
        <f>IFERROR(__xludf.DUMMYFUNCTION("""COMPUTED_VALUE"""),"B.B. ROAD")</f>
        <v>B.B. ROAD</v>
      </c>
      <c r="F2996" s="4">
        <f>IFERROR(__xludf.DUMMYFUNCTION("""COMPUTED_VALUE"""),7.0)</f>
        <v>7</v>
      </c>
      <c r="G2996" s="5">
        <f>IFERROR(__xludf.DUMMYFUNCTION("""COMPUTED_VALUE"""),9.0670079E7)</f>
        <v>90670079</v>
      </c>
    </row>
    <row r="2997">
      <c r="A2997" s="3">
        <f>IFERROR(__xludf.DUMMYFUNCTION("""COMPUTED_VALUE"""),167.0)</f>
        <v>167</v>
      </c>
      <c r="B2997" s="2" t="str">
        <f>IFERROR(__xludf.DUMMYFUNCTION("""COMPUTED_VALUE"""),"NARAYANGANJ")</f>
        <v>NARAYANGANJ</v>
      </c>
      <c r="C2997" s="4">
        <f>IFERROR(__xludf.DUMMYFUNCTION("""COMPUTED_VALUE"""),90.0)</f>
        <v>90</v>
      </c>
      <c r="D2997" s="2" t="str">
        <f>IFERROR(__xludf.DUMMYFUNCTION("""COMPUTED_VALUE"""),"DUTCH-BANGLA BANK LTD")</f>
        <v>DUTCH-BANGLA BANK LTD</v>
      </c>
      <c r="E2997" s="2" t="str">
        <f>IFERROR(__xludf.DUMMYFUNCTION("""COMPUTED_VALUE"""),"KANCHPUR")</f>
        <v>KANCHPUR</v>
      </c>
      <c r="F2997" s="4">
        <f>IFERROR(__xludf.DUMMYFUNCTION("""COMPUTED_VALUE"""),12.0)</f>
        <v>12</v>
      </c>
      <c r="G2997" s="5">
        <f>IFERROR(__xludf.DUMMYFUNCTION("""COMPUTED_VALUE"""),9.0670129E7)</f>
        <v>90670129</v>
      </c>
    </row>
    <row r="2998">
      <c r="A2998" s="3">
        <f>IFERROR(__xludf.DUMMYFUNCTION("""COMPUTED_VALUE"""),167.0)</f>
        <v>167</v>
      </c>
      <c r="B2998" s="2" t="str">
        <f>IFERROR(__xludf.DUMMYFUNCTION("""COMPUTED_VALUE"""),"NARAYANGANJ")</f>
        <v>NARAYANGANJ</v>
      </c>
      <c r="C2998" s="4">
        <f>IFERROR(__xludf.DUMMYFUNCTION("""COMPUTED_VALUE"""),90.0)</f>
        <v>90</v>
      </c>
      <c r="D2998" s="2" t="str">
        <f>IFERROR(__xludf.DUMMYFUNCTION("""COMPUTED_VALUE"""),"DUTCH-BANGLA BANK LTD")</f>
        <v>DUTCH-BANGLA BANK LTD</v>
      </c>
      <c r="E2998" s="2" t="str">
        <f>IFERROR(__xludf.DUMMYFUNCTION("""COMPUTED_VALUE"""),"BHUIGHAR")</f>
        <v>BHUIGHAR</v>
      </c>
      <c r="F2998" s="4">
        <f>IFERROR(__xludf.DUMMYFUNCTION("""COMPUTED_VALUE"""),20.0)</f>
        <v>20</v>
      </c>
      <c r="G2998" s="5">
        <f>IFERROR(__xludf.DUMMYFUNCTION("""COMPUTED_VALUE"""),9.0670208E7)</f>
        <v>90670208</v>
      </c>
    </row>
    <row r="2999">
      <c r="A2999" s="3">
        <f>IFERROR(__xludf.DUMMYFUNCTION("""COMPUTED_VALUE"""),167.0)</f>
        <v>167</v>
      </c>
      <c r="B2999" s="2" t="str">
        <f>IFERROR(__xludf.DUMMYFUNCTION("""COMPUTED_VALUE"""),"NARAYANGANJ")</f>
        <v>NARAYANGANJ</v>
      </c>
      <c r="C2999" s="4">
        <f>IFERROR(__xludf.DUMMYFUNCTION("""COMPUTED_VALUE"""),90.0)</f>
        <v>90</v>
      </c>
      <c r="D2999" s="2" t="str">
        <f>IFERROR(__xludf.DUMMYFUNCTION("""COMPUTED_VALUE"""),"DUTCH-BANGLA BANK LTD")</f>
        <v>DUTCH-BANGLA BANK LTD</v>
      </c>
      <c r="E2999" s="2" t="str">
        <f>IFERROR(__xludf.DUMMYFUNCTION("""COMPUTED_VALUE"""),"BHULTA")</f>
        <v>BHULTA</v>
      </c>
      <c r="F2999" s="4">
        <f>IFERROR(__xludf.DUMMYFUNCTION("""COMPUTED_VALUE"""),22.0)</f>
        <v>22</v>
      </c>
      <c r="G2999" s="5">
        <f>IFERROR(__xludf.DUMMYFUNCTION("""COMPUTED_VALUE"""),9.0670224E7)</f>
        <v>90670224</v>
      </c>
    </row>
    <row r="3000">
      <c r="A3000" s="3">
        <f>IFERROR(__xludf.DUMMYFUNCTION("""COMPUTED_VALUE"""),167.0)</f>
        <v>167</v>
      </c>
      <c r="B3000" s="2" t="str">
        <f>IFERROR(__xludf.DUMMYFUNCTION("""COMPUTED_VALUE"""),"NARAYANGANJ")</f>
        <v>NARAYANGANJ</v>
      </c>
      <c r="C3000" s="4">
        <f>IFERROR(__xludf.DUMMYFUNCTION("""COMPUTED_VALUE"""),90.0)</f>
        <v>90</v>
      </c>
      <c r="D3000" s="2" t="str">
        <f>IFERROR(__xludf.DUMMYFUNCTION("""COMPUTED_VALUE"""),"DUTCH-BANGLA BANK LTD")</f>
        <v>DUTCH-BANGLA BANK LTD</v>
      </c>
      <c r="E3000" s="2" t="str">
        <f>IFERROR(__xludf.DUMMYFUNCTION("""COMPUTED_VALUE"""),"NARAYANGANJ BSCIC")</f>
        <v>NARAYANGANJ BSCIC</v>
      </c>
      <c r="F3000" s="4">
        <f>IFERROR(__xludf.DUMMYFUNCTION("""COMPUTED_VALUE"""),23.0)</f>
        <v>23</v>
      </c>
      <c r="G3000" s="5">
        <f>IFERROR(__xludf.DUMMYFUNCTION("""COMPUTED_VALUE"""),9.0670237E7)</f>
        <v>90670237</v>
      </c>
    </row>
    <row r="3001">
      <c r="A3001" s="3">
        <f>IFERROR(__xludf.DUMMYFUNCTION("""COMPUTED_VALUE"""),167.0)</f>
        <v>167</v>
      </c>
      <c r="B3001" s="2" t="str">
        <f>IFERROR(__xludf.DUMMYFUNCTION("""COMPUTED_VALUE"""),"NARAYANGANJ")</f>
        <v>NARAYANGANJ</v>
      </c>
      <c r="C3001" s="4">
        <f>IFERROR(__xludf.DUMMYFUNCTION("""COMPUTED_VALUE"""),90.0)</f>
        <v>90</v>
      </c>
      <c r="D3001" s="2" t="str">
        <f>IFERROR(__xludf.DUMMYFUNCTION("""COMPUTED_VALUE"""),"DUTCH-BANGLA BANK LTD")</f>
        <v>DUTCH-BANGLA BANK LTD</v>
      </c>
      <c r="E3001" s="2" t="str">
        <f>IFERROR(__xludf.DUMMYFUNCTION("""COMPUTED_VALUE"""),"GOPALDI")</f>
        <v>GOPALDI</v>
      </c>
      <c r="F3001" s="4">
        <f>IFERROR(__xludf.DUMMYFUNCTION("""COMPUTED_VALUE"""),60.0)</f>
        <v>60</v>
      </c>
      <c r="G3001" s="5">
        <f>IFERROR(__xludf.DUMMYFUNCTION("""COMPUTED_VALUE"""),9.0670608E7)</f>
        <v>90670608</v>
      </c>
    </row>
    <row r="3002">
      <c r="A3002" s="3">
        <f>IFERROR(__xludf.DUMMYFUNCTION("""COMPUTED_VALUE"""),167.0)</f>
        <v>167</v>
      </c>
      <c r="B3002" s="2" t="str">
        <f>IFERROR(__xludf.DUMMYFUNCTION("""COMPUTED_VALUE"""),"NARAYANGANJ")</f>
        <v>NARAYANGANJ</v>
      </c>
      <c r="C3002" s="4">
        <f>IFERROR(__xludf.DUMMYFUNCTION("""COMPUTED_VALUE"""),90.0)</f>
        <v>90</v>
      </c>
      <c r="D3002" s="2" t="str">
        <f>IFERROR(__xludf.DUMMYFUNCTION("""COMPUTED_VALUE"""),"DUTCH-BANGLA BANK LTD")</f>
        <v>DUTCH-BANGLA BANK LTD</v>
      </c>
      <c r="E3002" s="2" t="str">
        <f>IFERROR(__xludf.DUMMYFUNCTION("""COMPUTED_VALUE"""),"MADANPUR")</f>
        <v>MADANPUR</v>
      </c>
      <c r="F3002" s="4">
        <f>IFERROR(__xludf.DUMMYFUNCTION("""COMPUTED_VALUE"""),97.0)</f>
        <v>97</v>
      </c>
      <c r="G3002" s="5">
        <f>IFERROR(__xludf.DUMMYFUNCTION("""COMPUTED_VALUE"""),9.0670974E7)</f>
        <v>90670974</v>
      </c>
    </row>
    <row r="3003">
      <c r="A3003" s="3">
        <f>IFERROR(__xludf.DUMMYFUNCTION("""COMPUTED_VALUE"""),167.0)</f>
        <v>167</v>
      </c>
      <c r="B3003" s="2" t="str">
        <f>IFERROR(__xludf.DUMMYFUNCTION("""COMPUTED_VALUE"""),"NARAYANGANJ")</f>
        <v>NARAYANGANJ</v>
      </c>
      <c r="C3003" s="4">
        <f>IFERROR(__xludf.DUMMYFUNCTION("""COMPUTED_VALUE"""),90.0)</f>
        <v>90</v>
      </c>
      <c r="D3003" s="2" t="str">
        <f>IFERROR(__xludf.DUMMYFUNCTION("""COMPUTED_VALUE"""),"DUTCH-BANGLA BANK LTD")</f>
        <v>DUTCH-BANGLA BANK LTD</v>
      </c>
      <c r="E3003" s="2" t="str">
        <f>IFERROR(__xludf.DUMMYFUNCTION("""COMPUTED_VALUE"""),"NARAYANGANJ")</f>
        <v>NARAYANGANJ</v>
      </c>
      <c r="F3003" s="4">
        <f>IFERROR(__xludf.DUMMYFUNCTION("""COMPUTED_VALUE"""),118.0)</f>
        <v>118</v>
      </c>
      <c r="G3003" s="5">
        <f>IFERROR(__xludf.DUMMYFUNCTION("""COMPUTED_VALUE"""),9.0671186E7)</f>
        <v>90671186</v>
      </c>
    </row>
    <row r="3004">
      <c r="A3004" s="3">
        <f>IFERROR(__xludf.DUMMYFUNCTION("""COMPUTED_VALUE"""),167.0)</f>
        <v>167</v>
      </c>
      <c r="B3004" s="2" t="str">
        <f>IFERROR(__xludf.DUMMYFUNCTION("""COMPUTED_VALUE"""),"NARAYANGANJ")</f>
        <v>NARAYANGANJ</v>
      </c>
      <c r="C3004" s="4">
        <f>IFERROR(__xludf.DUMMYFUNCTION("""COMPUTED_VALUE"""),90.0)</f>
        <v>90</v>
      </c>
      <c r="D3004" s="2" t="str">
        <f>IFERROR(__xludf.DUMMYFUNCTION("""COMPUTED_VALUE"""),"DUTCH-BANGLA BANK LTD")</f>
        <v>DUTCH-BANGLA BANK LTD</v>
      </c>
      <c r="E3004" s="2" t="str">
        <f>IFERROR(__xludf.DUMMYFUNCTION("""COMPUTED_VALUE"""),"PAGLA")</f>
        <v>PAGLA</v>
      </c>
      <c r="F3004" s="4">
        <f>IFERROR(__xludf.DUMMYFUNCTION("""COMPUTED_VALUE"""),130.0)</f>
        <v>130</v>
      </c>
      <c r="G3004" s="5">
        <f>IFERROR(__xludf.DUMMYFUNCTION("""COMPUTED_VALUE"""),9.0671302E7)</f>
        <v>90671302</v>
      </c>
    </row>
    <row r="3005">
      <c r="A3005" s="3">
        <f>IFERROR(__xludf.DUMMYFUNCTION("""COMPUTED_VALUE"""),167.0)</f>
        <v>167</v>
      </c>
      <c r="B3005" s="2" t="str">
        <f>IFERROR(__xludf.DUMMYFUNCTION("""COMPUTED_VALUE"""),"NARAYANGANJ")</f>
        <v>NARAYANGANJ</v>
      </c>
      <c r="C3005" s="4">
        <f>IFERROR(__xludf.DUMMYFUNCTION("""COMPUTED_VALUE"""),90.0)</f>
        <v>90</v>
      </c>
      <c r="D3005" s="2" t="str">
        <f>IFERROR(__xludf.DUMMYFUNCTION("""COMPUTED_VALUE"""),"DUTCH-BANGLA BANK LTD")</f>
        <v>DUTCH-BANGLA BANK LTD</v>
      </c>
      <c r="E3005" s="2" t="str">
        <f>IFERROR(__xludf.DUMMYFUNCTION("""COMPUTED_VALUE"""),"SHIMRAIL")</f>
        <v>SHIMRAIL</v>
      </c>
      <c r="F3005" s="4">
        <f>IFERROR(__xludf.DUMMYFUNCTION("""COMPUTED_VALUE"""),157.0)</f>
        <v>157</v>
      </c>
      <c r="G3005" s="5">
        <f>IFERROR(__xludf.DUMMYFUNCTION("""COMPUTED_VALUE"""),9.0671573E7)</f>
        <v>90671573</v>
      </c>
    </row>
    <row r="3006">
      <c r="A3006" s="3">
        <f>IFERROR(__xludf.DUMMYFUNCTION("""COMPUTED_VALUE"""),167.0)</f>
        <v>167</v>
      </c>
      <c r="B3006" s="2" t="str">
        <f>IFERROR(__xludf.DUMMYFUNCTION("""COMPUTED_VALUE"""),"NARAYANGANJ")</f>
        <v>NARAYANGANJ</v>
      </c>
      <c r="C3006" s="4">
        <f>IFERROR(__xludf.DUMMYFUNCTION("""COMPUTED_VALUE"""),90.0)</f>
        <v>90</v>
      </c>
      <c r="D3006" s="2" t="str">
        <f>IFERROR(__xludf.DUMMYFUNCTION("""COMPUTED_VALUE"""),"DUTCH-BANGLA BANK LTD")</f>
        <v>DUTCH-BANGLA BANK LTD</v>
      </c>
      <c r="E3006" s="2" t="str">
        <f>IFERROR(__xludf.DUMMYFUNCTION("""COMPUTED_VALUE"""),"SONARGAON")</f>
        <v>SONARGAON</v>
      </c>
      <c r="F3006" s="4">
        <f>IFERROR(__xludf.DUMMYFUNCTION("""COMPUTED_VALUE"""),169.0)</f>
        <v>169</v>
      </c>
      <c r="G3006" s="5">
        <f>IFERROR(__xludf.DUMMYFUNCTION("""COMPUTED_VALUE"""),9.0671694E7)</f>
        <v>90671694</v>
      </c>
    </row>
    <row r="3007">
      <c r="A3007" s="3">
        <f>IFERROR(__xludf.DUMMYFUNCTION("""COMPUTED_VALUE"""),168.0)</f>
        <v>168</v>
      </c>
      <c r="B3007" s="2" t="str">
        <f>IFERROR(__xludf.DUMMYFUNCTION("""COMPUTED_VALUE"""),"NARSHINGDI")</f>
        <v>NARSHINGDI</v>
      </c>
      <c r="C3007" s="4">
        <f>IFERROR(__xludf.DUMMYFUNCTION("""COMPUTED_VALUE"""),90.0)</f>
        <v>90</v>
      </c>
      <c r="D3007" s="2" t="str">
        <f>IFERROR(__xludf.DUMMYFUNCTION("""COMPUTED_VALUE"""),"DUTCH-BANGLA BANK LTD")</f>
        <v>DUTCH-BANGLA BANK LTD</v>
      </c>
      <c r="E3007" s="2" t="str">
        <f>IFERROR(__xludf.DUMMYFUNCTION("""COMPUTED_VALUE"""),"BABURHAT")</f>
        <v>BABURHAT</v>
      </c>
      <c r="F3007" s="4">
        <f>IFERROR(__xludf.DUMMYFUNCTION("""COMPUTED_VALUE"""),10.0)</f>
        <v>10</v>
      </c>
      <c r="G3007" s="5">
        <f>IFERROR(__xludf.DUMMYFUNCTION("""COMPUTED_VALUE"""),9.0680106E7)</f>
        <v>90680106</v>
      </c>
    </row>
    <row r="3008">
      <c r="A3008" s="3">
        <f>IFERROR(__xludf.DUMMYFUNCTION("""COMPUTED_VALUE"""),168.0)</f>
        <v>168</v>
      </c>
      <c r="B3008" s="2" t="str">
        <f>IFERROR(__xludf.DUMMYFUNCTION("""COMPUTED_VALUE"""),"NARSHINGDI")</f>
        <v>NARSHINGDI</v>
      </c>
      <c r="C3008" s="4">
        <f>IFERROR(__xludf.DUMMYFUNCTION("""COMPUTED_VALUE"""),90.0)</f>
        <v>90</v>
      </c>
      <c r="D3008" s="2" t="str">
        <f>IFERROR(__xludf.DUMMYFUNCTION("""COMPUTED_VALUE"""),"DUTCH-BANGLA BANK LTD")</f>
        <v>DUTCH-BANGLA BANK LTD</v>
      </c>
      <c r="E3008" s="2" t="str">
        <f>IFERROR(__xludf.DUMMYFUNCTION("""COMPUTED_VALUE"""),"MONOHARDI")</f>
        <v>MONOHARDI</v>
      </c>
      <c r="F3008" s="4">
        <f>IFERROR(__xludf.DUMMYFUNCTION("""COMPUTED_VALUE"""),73.0)</f>
        <v>73</v>
      </c>
      <c r="G3008" s="5">
        <f>IFERROR(__xludf.DUMMYFUNCTION("""COMPUTED_VALUE"""),9.0680735E7)</f>
        <v>90680735</v>
      </c>
    </row>
    <row r="3009">
      <c r="A3009" s="3">
        <f>IFERROR(__xludf.DUMMYFUNCTION("""COMPUTED_VALUE"""),168.0)</f>
        <v>168</v>
      </c>
      <c r="B3009" s="2" t="str">
        <f>IFERROR(__xludf.DUMMYFUNCTION("""COMPUTED_VALUE"""),"NARSHINGDI")</f>
        <v>NARSHINGDI</v>
      </c>
      <c r="C3009" s="4">
        <f>IFERROR(__xludf.DUMMYFUNCTION("""COMPUTED_VALUE"""),90.0)</f>
        <v>90</v>
      </c>
      <c r="D3009" s="2" t="str">
        <f>IFERROR(__xludf.DUMMYFUNCTION("""COMPUTED_VALUE"""),"DUTCH-BANGLA BANK LTD")</f>
        <v>DUTCH-BANGLA BANK LTD</v>
      </c>
      <c r="E3009" s="2" t="str">
        <f>IFERROR(__xludf.DUMMYFUNCTION("""COMPUTED_VALUE"""),"NARSHINGDI")</f>
        <v>NARSHINGDI</v>
      </c>
      <c r="F3009" s="4">
        <f>IFERROR(__xludf.DUMMYFUNCTION("""COMPUTED_VALUE"""),88.0)</f>
        <v>88</v>
      </c>
      <c r="G3009" s="5">
        <f>IFERROR(__xludf.DUMMYFUNCTION("""COMPUTED_VALUE"""),9.0680885E7)</f>
        <v>90680885</v>
      </c>
    </row>
    <row r="3010">
      <c r="A3010" s="3">
        <f>IFERROR(__xludf.DUMMYFUNCTION("""COMPUTED_VALUE"""),168.0)</f>
        <v>168</v>
      </c>
      <c r="B3010" s="2" t="str">
        <f>IFERROR(__xludf.DUMMYFUNCTION("""COMPUTED_VALUE"""),"NARSHINGDI")</f>
        <v>NARSHINGDI</v>
      </c>
      <c r="C3010" s="4">
        <f>IFERROR(__xludf.DUMMYFUNCTION("""COMPUTED_VALUE"""),90.0)</f>
        <v>90</v>
      </c>
      <c r="D3010" s="2" t="str">
        <f>IFERROR(__xludf.DUMMYFUNCTION("""COMPUTED_VALUE"""),"DUTCH-BANGLA BANK LTD")</f>
        <v>DUTCH-BANGLA BANK LTD</v>
      </c>
      <c r="E3010" s="2" t="str">
        <f>IFERROR(__xludf.DUMMYFUNCTION("""COMPUTED_VALUE"""),"VELA NAGAR")</f>
        <v>VELA NAGAR</v>
      </c>
      <c r="F3010" s="4">
        <f>IFERROR(__xludf.DUMMYFUNCTION("""COMPUTED_VALUE"""),139.0)</f>
        <v>139</v>
      </c>
      <c r="G3010" s="5">
        <f>IFERROR(__xludf.DUMMYFUNCTION("""COMPUTED_VALUE"""),9.0681392E7)</f>
        <v>90681392</v>
      </c>
    </row>
    <row r="3011">
      <c r="A3011" s="3">
        <f>IFERROR(__xludf.DUMMYFUNCTION("""COMPUTED_VALUE"""),569.0)</f>
        <v>569</v>
      </c>
      <c r="B3011" s="2" t="str">
        <f>IFERROR(__xludf.DUMMYFUNCTION("""COMPUTED_VALUE"""),"NATORE")</f>
        <v>NATORE</v>
      </c>
      <c r="C3011" s="4">
        <f>IFERROR(__xludf.DUMMYFUNCTION("""COMPUTED_VALUE"""),90.0)</f>
        <v>90</v>
      </c>
      <c r="D3011" s="2" t="str">
        <f>IFERROR(__xludf.DUMMYFUNCTION("""COMPUTED_VALUE"""),"DUTCH-BANGLA BANK LTD")</f>
        <v>DUTCH-BANGLA BANK LTD</v>
      </c>
      <c r="E3011" s="2" t="str">
        <f>IFERROR(__xludf.DUMMYFUNCTION("""COMPUTED_VALUE"""),"NATORE")</f>
        <v>NATORE</v>
      </c>
      <c r="F3011" s="4">
        <f>IFERROR(__xludf.DUMMYFUNCTION("""COMPUTED_VALUE"""),109.0)</f>
        <v>109</v>
      </c>
      <c r="G3011" s="5">
        <f>IFERROR(__xludf.DUMMYFUNCTION("""COMPUTED_VALUE"""),9.069109E7)</f>
        <v>90691090</v>
      </c>
    </row>
    <row r="3012">
      <c r="A3012" s="3">
        <f>IFERROR(__xludf.DUMMYFUNCTION("""COMPUTED_VALUE"""),570.0)</f>
        <v>570</v>
      </c>
      <c r="B3012" s="2" t="str">
        <f>IFERROR(__xludf.DUMMYFUNCTION("""COMPUTED_VALUE"""),"NAWABGANJ")</f>
        <v>NAWABGANJ</v>
      </c>
      <c r="C3012" s="4">
        <f>IFERROR(__xludf.DUMMYFUNCTION("""COMPUTED_VALUE"""),90.0)</f>
        <v>90</v>
      </c>
      <c r="D3012" s="2" t="str">
        <f>IFERROR(__xludf.DUMMYFUNCTION("""COMPUTED_VALUE"""),"DUTCH-BANGLA BANK LTD")</f>
        <v>DUTCH-BANGLA BANK LTD</v>
      </c>
      <c r="E3012" s="2" t="str">
        <f>IFERROR(__xludf.DUMMYFUNCTION("""COMPUTED_VALUE"""),"CHAPAI NAWABGANJ")</f>
        <v>CHAPAI NAWABGANJ</v>
      </c>
      <c r="F3012" s="4">
        <f>IFERROR(__xludf.DUMMYFUNCTION("""COMPUTED_VALUE"""),25.0)</f>
        <v>25</v>
      </c>
      <c r="G3012" s="5">
        <f>IFERROR(__xludf.DUMMYFUNCTION("""COMPUTED_VALUE"""),9.0700257E7)</f>
        <v>90700257</v>
      </c>
    </row>
    <row r="3013">
      <c r="A3013" s="3">
        <f>IFERROR(__xludf.DUMMYFUNCTION("""COMPUTED_VALUE"""),172.0)</f>
        <v>172</v>
      </c>
      <c r="B3013" s="2" t="str">
        <f>IFERROR(__xludf.DUMMYFUNCTION("""COMPUTED_VALUE"""),"NETROKONA")</f>
        <v>NETROKONA</v>
      </c>
      <c r="C3013" s="4">
        <f>IFERROR(__xludf.DUMMYFUNCTION("""COMPUTED_VALUE"""),90.0)</f>
        <v>90</v>
      </c>
      <c r="D3013" s="2" t="str">
        <f>IFERROR(__xludf.DUMMYFUNCTION("""COMPUTED_VALUE"""),"DUTCH-BANGLA BANK LTD")</f>
        <v>DUTCH-BANGLA BANK LTD</v>
      </c>
      <c r="E3013" s="2" t="str">
        <f>IFERROR(__xludf.DUMMYFUNCTION("""COMPUTED_VALUE"""),"NETROKONA")</f>
        <v>NETROKONA</v>
      </c>
      <c r="F3013" s="4">
        <f>IFERROR(__xludf.DUMMYFUNCTION("""COMPUTED_VALUE"""),73.0)</f>
        <v>73</v>
      </c>
      <c r="G3013" s="5">
        <f>IFERROR(__xludf.DUMMYFUNCTION("""COMPUTED_VALUE"""),9.0720732E7)</f>
        <v>90720732</v>
      </c>
    </row>
    <row r="3014">
      <c r="A3014" s="3">
        <f>IFERROR(__xludf.DUMMYFUNCTION("""COMPUTED_VALUE"""),773.0)</f>
        <v>773</v>
      </c>
      <c r="B3014" s="2" t="str">
        <f>IFERROR(__xludf.DUMMYFUNCTION("""COMPUTED_VALUE"""),"NILPHAMARI")</f>
        <v>NILPHAMARI</v>
      </c>
      <c r="C3014" s="4">
        <f>IFERROR(__xludf.DUMMYFUNCTION("""COMPUTED_VALUE"""),90.0)</f>
        <v>90</v>
      </c>
      <c r="D3014" s="2" t="str">
        <f>IFERROR(__xludf.DUMMYFUNCTION("""COMPUTED_VALUE"""),"DUTCH-BANGLA BANK LTD")</f>
        <v>DUTCH-BANGLA BANK LTD</v>
      </c>
      <c r="E3014" s="2" t="str">
        <f>IFERROR(__xludf.DUMMYFUNCTION("""COMPUTED_VALUE"""),"SAYEDPUR")</f>
        <v>SAYEDPUR</v>
      </c>
      <c r="F3014" s="4">
        <f>IFERROR(__xludf.DUMMYFUNCTION("""COMPUTED_VALUE"""),79.0)</f>
        <v>79</v>
      </c>
      <c r="G3014" s="5">
        <f>IFERROR(__xludf.DUMMYFUNCTION("""COMPUTED_VALUE"""),9.0730793E7)</f>
        <v>90730793</v>
      </c>
    </row>
    <row r="3015">
      <c r="A3015" s="3">
        <f>IFERROR(__xludf.DUMMYFUNCTION("""COMPUTED_VALUE"""),275.0)</f>
        <v>275</v>
      </c>
      <c r="B3015" s="2" t="str">
        <f>IFERROR(__xludf.DUMMYFUNCTION("""COMPUTED_VALUE"""),"NOAKHALI")</f>
        <v>NOAKHALI</v>
      </c>
      <c r="C3015" s="4">
        <f>IFERROR(__xludf.DUMMYFUNCTION("""COMPUTED_VALUE"""),90.0)</f>
        <v>90</v>
      </c>
      <c r="D3015" s="2" t="str">
        <f>IFERROR(__xludf.DUMMYFUNCTION("""COMPUTED_VALUE"""),"DUTCH-BANGLA BANK LTD")</f>
        <v>DUTCH-BANGLA BANK LTD</v>
      </c>
      <c r="E3015" s="2" t="str">
        <f>IFERROR(__xludf.DUMMYFUNCTION("""COMPUTED_VALUE"""),"BASHURHAT")</f>
        <v>BASHURHAT</v>
      </c>
      <c r="F3015" s="4">
        <f>IFERROR(__xludf.DUMMYFUNCTION("""COMPUTED_VALUE"""),25.0)</f>
        <v>25</v>
      </c>
      <c r="G3015" s="5">
        <f>IFERROR(__xludf.DUMMYFUNCTION("""COMPUTED_VALUE"""),9.0750252E7)</f>
        <v>90750252</v>
      </c>
    </row>
    <row r="3016">
      <c r="A3016" s="3">
        <f>IFERROR(__xludf.DUMMYFUNCTION("""COMPUTED_VALUE"""),275.0)</f>
        <v>275</v>
      </c>
      <c r="B3016" s="2" t="str">
        <f>IFERROR(__xludf.DUMMYFUNCTION("""COMPUTED_VALUE"""),"NOAKHALI")</f>
        <v>NOAKHALI</v>
      </c>
      <c r="C3016" s="4">
        <f>IFERROR(__xludf.DUMMYFUNCTION("""COMPUTED_VALUE"""),90.0)</f>
        <v>90</v>
      </c>
      <c r="D3016" s="2" t="str">
        <f>IFERROR(__xludf.DUMMYFUNCTION("""COMPUTED_VALUE"""),"DUTCH-BANGLA BANK LTD")</f>
        <v>DUTCH-BANGLA BANK LTD</v>
      </c>
      <c r="E3016" s="2" t="str">
        <f>IFERROR(__xludf.DUMMYFUNCTION("""COMPUTED_VALUE"""),"CHOUMOHANI")</f>
        <v>CHOUMOHANI</v>
      </c>
      <c r="F3016" s="4">
        <f>IFERROR(__xludf.DUMMYFUNCTION("""COMPUTED_VALUE"""),67.0)</f>
        <v>67</v>
      </c>
      <c r="G3016" s="5">
        <f>IFERROR(__xludf.DUMMYFUNCTION("""COMPUTED_VALUE"""),9.0750678E7)</f>
        <v>90750678</v>
      </c>
    </row>
    <row r="3017">
      <c r="A3017" s="3">
        <f>IFERROR(__xludf.DUMMYFUNCTION("""COMPUTED_VALUE"""),275.0)</f>
        <v>275</v>
      </c>
      <c r="B3017" s="2" t="str">
        <f>IFERROR(__xludf.DUMMYFUNCTION("""COMPUTED_VALUE"""),"NOAKHALI")</f>
        <v>NOAKHALI</v>
      </c>
      <c r="C3017" s="4">
        <f>IFERROR(__xludf.DUMMYFUNCTION("""COMPUTED_VALUE"""),90.0)</f>
        <v>90</v>
      </c>
      <c r="D3017" s="2" t="str">
        <f>IFERROR(__xludf.DUMMYFUNCTION("""COMPUTED_VALUE"""),"DUTCH-BANGLA BANK LTD")</f>
        <v>DUTCH-BANGLA BANK LTD</v>
      </c>
      <c r="E3017" s="2" t="str">
        <f>IFERROR(__xludf.DUMMYFUNCTION("""COMPUTED_VALUE"""),"NOAKHALI")</f>
        <v>NOAKHALI</v>
      </c>
      <c r="F3017" s="3">
        <f>IFERROR(__xludf.DUMMYFUNCTION("""COMPUTED_VALUE"""),157.0)</f>
        <v>157</v>
      </c>
      <c r="G3017" s="5">
        <f>IFERROR(__xludf.DUMMYFUNCTION("""COMPUTED_VALUE"""),9.0751572E7)</f>
        <v>90751572</v>
      </c>
    </row>
    <row r="3018">
      <c r="A3018" s="3">
        <f>IFERROR(__xludf.DUMMYFUNCTION("""COMPUTED_VALUE"""),576.0)</f>
        <v>576</v>
      </c>
      <c r="B3018" s="2" t="str">
        <f>IFERROR(__xludf.DUMMYFUNCTION("""COMPUTED_VALUE"""),"PABNA")</f>
        <v>PABNA</v>
      </c>
      <c r="C3018" s="4">
        <f>IFERROR(__xludf.DUMMYFUNCTION("""COMPUTED_VALUE"""),90.0)</f>
        <v>90</v>
      </c>
      <c r="D3018" s="2" t="str">
        <f>IFERROR(__xludf.DUMMYFUNCTION("""COMPUTED_VALUE"""),"DUTCH-BANGLA BANK LTD")</f>
        <v>DUTCH-BANGLA BANK LTD</v>
      </c>
      <c r="E3018" s="2" t="str">
        <f>IFERROR(__xludf.DUMMYFUNCTION("""COMPUTED_VALUE"""),"KASHINATHPUR")</f>
        <v>KASHINATHPUR</v>
      </c>
      <c r="F3018" s="3">
        <f>IFERROR(__xludf.DUMMYFUNCTION("""COMPUTED_VALUE"""),133.0)</f>
        <v>133</v>
      </c>
      <c r="G3018" s="5">
        <f>IFERROR(__xludf.DUMMYFUNCTION("""COMPUTED_VALUE"""),9.0761333E7)</f>
        <v>90761333</v>
      </c>
    </row>
    <row r="3019">
      <c r="A3019" s="3">
        <f>IFERROR(__xludf.DUMMYFUNCTION("""COMPUTED_VALUE"""),576.0)</f>
        <v>576</v>
      </c>
      <c r="B3019" s="2" t="str">
        <f>IFERROR(__xludf.DUMMYFUNCTION("""COMPUTED_VALUE"""),"PABNA")</f>
        <v>PABNA</v>
      </c>
      <c r="C3019" s="4">
        <f>IFERROR(__xludf.DUMMYFUNCTION("""COMPUTED_VALUE"""),90.0)</f>
        <v>90</v>
      </c>
      <c r="D3019" s="2" t="str">
        <f>IFERROR(__xludf.DUMMYFUNCTION("""COMPUTED_VALUE"""),"DUTCH-BANGLA BANK LTD")</f>
        <v>DUTCH-BANGLA BANK LTD</v>
      </c>
      <c r="E3019" s="2" t="str">
        <f>IFERROR(__xludf.DUMMYFUNCTION("""COMPUTED_VALUE"""),"PABNA")</f>
        <v>PABNA</v>
      </c>
      <c r="F3019" s="3">
        <f>IFERROR(__xludf.DUMMYFUNCTION("""COMPUTED_VALUE"""),178.0)</f>
        <v>178</v>
      </c>
      <c r="G3019" s="5">
        <f>IFERROR(__xludf.DUMMYFUNCTION("""COMPUTED_VALUE"""),9.0761788E7)</f>
        <v>90761788</v>
      </c>
    </row>
    <row r="3020">
      <c r="A3020" s="3">
        <f>IFERROR(__xludf.DUMMYFUNCTION("""COMPUTED_VALUE"""),777.0)</f>
        <v>777</v>
      </c>
      <c r="B3020" s="2" t="str">
        <f>IFERROR(__xludf.DUMMYFUNCTION("""COMPUTED_VALUE"""),"PANCHAGARH")</f>
        <v>PANCHAGARH</v>
      </c>
      <c r="C3020" s="4">
        <f>IFERROR(__xludf.DUMMYFUNCTION("""COMPUTED_VALUE"""),90.0)</f>
        <v>90</v>
      </c>
      <c r="D3020" s="2" t="str">
        <f>IFERROR(__xludf.DUMMYFUNCTION("""COMPUTED_VALUE"""),"DUTCH-BANGLA BANK LTD")</f>
        <v>DUTCH-BANGLA BANK LTD</v>
      </c>
      <c r="E3020" s="2" t="str">
        <f>IFERROR(__xludf.DUMMYFUNCTION("""COMPUTED_VALUE"""),"PANCHAGARH")</f>
        <v>PANCHAGARH</v>
      </c>
      <c r="F3020" s="3">
        <f>IFERROR(__xludf.DUMMYFUNCTION("""COMPUTED_VALUE"""),55.0)</f>
        <v>55</v>
      </c>
      <c r="G3020" s="5">
        <f>IFERROR(__xludf.DUMMYFUNCTION("""COMPUTED_VALUE"""),9.0770553E7)</f>
        <v>90770553</v>
      </c>
    </row>
    <row r="3021">
      <c r="A3021" s="3">
        <f>IFERROR(__xludf.DUMMYFUNCTION("""COMPUTED_VALUE"""),378.0)</f>
        <v>378</v>
      </c>
      <c r="B3021" s="2" t="str">
        <f>IFERROR(__xludf.DUMMYFUNCTION("""COMPUTED_VALUE"""),"PATUAKHALI")</f>
        <v>PATUAKHALI</v>
      </c>
      <c r="C3021" s="4">
        <f>IFERROR(__xludf.DUMMYFUNCTION("""COMPUTED_VALUE"""),90.0)</f>
        <v>90</v>
      </c>
      <c r="D3021" s="2" t="str">
        <f>IFERROR(__xludf.DUMMYFUNCTION("""COMPUTED_VALUE"""),"DUTCH-BANGLA BANK LTD")</f>
        <v>DUTCH-BANGLA BANK LTD</v>
      </c>
      <c r="E3021" s="2" t="str">
        <f>IFERROR(__xludf.DUMMYFUNCTION("""COMPUTED_VALUE"""),"PATUAKHALI")</f>
        <v>PATUAKHALI</v>
      </c>
      <c r="F3021" s="3">
        <f>IFERROR(__xludf.DUMMYFUNCTION("""COMPUTED_VALUE"""),109.0)</f>
        <v>109</v>
      </c>
      <c r="G3021" s="5">
        <f>IFERROR(__xludf.DUMMYFUNCTION("""COMPUTED_VALUE"""),9.0781092E7)</f>
        <v>90781092</v>
      </c>
    </row>
    <row r="3022">
      <c r="A3022" s="3">
        <f>IFERROR(__xludf.DUMMYFUNCTION("""COMPUTED_VALUE"""),379.0)</f>
        <v>379</v>
      </c>
      <c r="B3022" s="2" t="str">
        <f>IFERROR(__xludf.DUMMYFUNCTION("""COMPUTED_VALUE"""),"PIROJPUR")</f>
        <v>PIROJPUR</v>
      </c>
      <c r="C3022" s="4">
        <f>IFERROR(__xludf.DUMMYFUNCTION("""COMPUTED_VALUE"""),90.0)</f>
        <v>90</v>
      </c>
      <c r="D3022" s="2" t="str">
        <f>IFERROR(__xludf.DUMMYFUNCTION("""COMPUTED_VALUE"""),"DUTCH-BANGLA BANK LTD")</f>
        <v>DUTCH-BANGLA BANK LTD</v>
      </c>
      <c r="E3022" s="2" t="str">
        <f>IFERROR(__xludf.DUMMYFUNCTION("""COMPUTED_VALUE"""),"PIROJPUR")</f>
        <v>PIROJPUR</v>
      </c>
      <c r="F3022" s="3">
        <f>IFERROR(__xludf.DUMMYFUNCTION("""COMPUTED_VALUE"""),76.0)</f>
        <v>76</v>
      </c>
      <c r="G3022" s="5">
        <f>IFERROR(__xludf.DUMMYFUNCTION("""COMPUTED_VALUE"""),9.0790762E7)</f>
        <v>90790762</v>
      </c>
    </row>
    <row r="3023">
      <c r="A3023" s="3">
        <f>IFERROR(__xludf.DUMMYFUNCTION("""COMPUTED_VALUE"""),581.0)</f>
        <v>581</v>
      </c>
      <c r="B3023" s="2" t="str">
        <f>IFERROR(__xludf.DUMMYFUNCTION("""COMPUTED_VALUE"""),"RAJSHAHI")</f>
        <v>RAJSHAHI</v>
      </c>
      <c r="C3023" s="4">
        <f>IFERROR(__xludf.DUMMYFUNCTION("""COMPUTED_VALUE"""),90.0)</f>
        <v>90</v>
      </c>
      <c r="D3023" s="2" t="str">
        <f>IFERROR(__xludf.DUMMYFUNCTION("""COMPUTED_VALUE"""),"DUTCH-BANGLA BANK LTD")</f>
        <v>DUTCH-BANGLA BANK LTD</v>
      </c>
      <c r="E3023" s="2" t="str">
        <f>IFERROR(__xludf.DUMMYFUNCTION("""COMPUTED_VALUE"""),"RAJSHAHI")</f>
        <v>RAJSHAHI</v>
      </c>
      <c r="F3023" s="3">
        <f>IFERROR(__xludf.DUMMYFUNCTION("""COMPUTED_VALUE"""),193.0)</f>
        <v>193</v>
      </c>
      <c r="G3023" s="5">
        <f>IFERROR(__xludf.DUMMYFUNCTION("""COMPUTED_VALUE"""),9.0811933E7)</f>
        <v>90811933</v>
      </c>
    </row>
    <row r="3024">
      <c r="A3024" s="3">
        <f>IFERROR(__xludf.DUMMYFUNCTION("""COMPUTED_VALUE"""),382.0)</f>
        <v>382</v>
      </c>
      <c r="B3024" s="2" t="str">
        <f>IFERROR(__xludf.DUMMYFUNCTION("""COMPUTED_VALUE"""),"RAJBARI")</f>
        <v>RAJBARI</v>
      </c>
      <c r="C3024" s="4">
        <f>IFERROR(__xludf.DUMMYFUNCTION("""COMPUTED_VALUE"""),90.0)</f>
        <v>90</v>
      </c>
      <c r="D3024" s="2" t="str">
        <f>IFERROR(__xludf.DUMMYFUNCTION("""COMPUTED_VALUE"""),"DUTCH-BANGLA BANK LTD")</f>
        <v>DUTCH-BANGLA BANK LTD</v>
      </c>
      <c r="E3024" s="2" t="str">
        <f>IFERROR(__xludf.DUMMYFUNCTION("""COMPUTED_VALUE"""),"RAJBARI")</f>
        <v>RAJBARI</v>
      </c>
      <c r="F3024" s="3">
        <f>IFERROR(__xludf.DUMMYFUNCTION("""COMPUTED_VALUE"""),73.0)</f>
        <v>73</v>
      </c>
      <c r="G3024" s="5">
        <f>IFERROR(__xludf.DUMMYFUNCTION("""COMPUTED_VALUE"""),9.0820737E7)</f>
        <v>90820737</v>
      </c>
    </row>
    <row r="3025">
      <c r="A3025" s="3">
        <f>IFERROR(__xludf.DUMMYFUNCTION("""COMPUTED_VALUE"""),785.0)</f>
        <v>785</v>
      </c>
      <c r="B3025" s="2" t="str">
        <f>IFERROR(__xludf.DUMMYFUNCTION("""COMPUTED_VALUE"""),"RANGPUR")</f>
        <v>RANGPUR</v>
      </c>
      <c r="C3025" s="4">
        <f>IFERROR(__xludf.DUMMYFUNCTION("""COMPUTED_VALUE"""),90.0)</f>
        <v>90</v>
      </c>
      <c r="D3025" s="2" t="str">
        <f>IFERROR(__xludf.DUMMYFUNCTION("""COMPUTED_VALUE"""),"DUTCH-BANGLA BANK LTD")</f>
        <v>DUTCH-BANGLA BANK LTD</v>
      </c>
      <c r="E3025" s="2" t="str">
        <f>IFERROR(__xludf.DUMMYFUNCTION("""COMPUTED_VALUE"""),"RANGPUR")</f>
        <v>RANGPUR</v>
      </c>
      <c r="F3025" s="3">
        <f>IFERROR(__xludf.DUMMYFUNCTION("""COMPUTED_VALUE"""),145.0)</f>
        <v>145</v>
      </c>
      <c r="G3025" s="5">
        <f>IFERROR(__xludf.DUMMYFUNCTION("""COMPUTED_VALUE"""),9.0851456E7)</f>
        <v>90851456</v>
      </c>
    </row>
    <row r="3026">
      <c r="A3026" s="3">
        <f>IFERROR(__xludf.DUMMYFUNCTION("""COMPUTED_VALUE"""),487.0)</f>
        <v>487</v>
      </c>
      <c r="B3026" s="2" t="str">
        <f>IFERROR(__xludf.DUMMYFUNCTION("""COMPUTED_VALUE"""),"SATKHIRA")</f>
        <v>SATKHIRA</v>
      </c>
      <c r="C3026" s="4">
        <f>IFERROR(__xludf.DUMMYFUNCTION("""COMPUTED_VALUE"""),90.0)</f>
        <v>90</v>
      </c>
      <c r="D3026" s="2" t="str">
        <f>IFERROR(__xludf.DUMMYFUNCTION("""COMPUTED_VALUE"""),"DUTCH-BANGLA BANK LTD")</f>
        <v>DUTCH-BANGLA BANK LTD</v>
      </c>
      <c r="E3026" s="2" t="str">
        <f>IFERROR(__xludf.DUMMYFUNCTION("""COMPUTED_VALUE"""),"SATKHIRA")</f>
        <v>SATKHIRA</v>
      </c>
      <c r="F3026" s="3">
        <f>IFERROR(__xludf.DUMMYFUNCTION("""COMPUTED_VALUE"""),109.0)</f>
        <v>109</v>
      </c>
      <c r="G3026" s="5">
        <f>IFERROR(__xludf.DUMMYFUNCTION("""COMPUTED_VALUE"""),9.0871094E7)</f>
        <v>90871094</v>
      </c>
    </row>
    <row r="3027">
      <c r="A3027" s="3">
        <f>IFERROR(__xludf.DUMMYFUNCTION("""COMPUTED_VALUE"""),688.0)</f>
        <v>688</v>
      </c>
      <c r="B3027" s="2" t="str">
        <f>IFERROR(__xludf.DUMMYFUNCTION("""COMPUTED_VALUE"""),"SIRAJGANJ")</f>
        <v>SIRAJGANJ</v>
      </c>
      <c r="C3027" s="4">
        <f>IFERROR(__xludf.DUMMYFUNCTION("""COMPUTED_VALUE"""),90.0)</f>
        <v>90</v>
      </c>
      <c r="D3027" s="2" t="str">
        <f>IFERROR(__xludf.DUMMYFUNCTION("""COMPUTED_VALUE"""),"DUTCH-BANGLA BANK LTD")</f>
        <v>DUTCH-BANGLA BANK LTD</v>
      </c>
      <c r="E3027" s="2" t="str">
        <f>IFERROR(__xludf.DUMMYFUNCTION("""COMPUTED_VALUE"""),"SERAJGANJ")</f>
        <v>SERAJGANJ</v>
      </c>
      <c r="F3027" s="3">
        <f>IFERROR(__xludf.DUMMYFUNCTION("""COMPUTED_VALUE"""),187.0)</f>
        <v>187</v>
      </c>
      <c r="G3027" s="5">
        <f>IFERROR(__xludf.DUMMYFUNCTION("""COMPUTED_VALUE"""),9.0881871E7)</f>
        <v>90881871</v>
      </c>
    </row>
    <row r="3028">
      <c r="A3028" s="3">
        <f>IFERROR(__xludf.DUMMYFUNCTION("""COMPUTED_VALUE"""),688.0)</f>
        <v>688</v>
      </c>
      <c r="B3028" s="2" t="str">
        <f>IFERROR(__xludf.DUMMYFUNCTION("""COMPUTED_VALUE"""),"SIRAJGANJ")</f>
        <v>SIRAJGANJ</v>
      </c>
      <c r="C3028" s="4">
        <f>IFERROR(__xludf.DUMMYFUNCTION("""COMPUTED_VALUE"""),90.0)</f>
        <v>90</v>
      </c>
      <c r="D3028" s="2" t="str">
        <f>IFERROR(__xludf.DUMMYFUNCTION("""COMPUTED_VALUE"""),"DUTCH-BANGLA BANK LTD")</f>
        <v>DUTCH-BANGLA BANK LTD</v>
      </c>
      <c r="E3028" s="2" t="str">
        <f>IFERROR(__xludf.DUMMYFUNCTION("""COMPUTED_VALUE"""),"SHAHJADPUR")</f>
        <v>SHAHJADPUR</v>
      </c>
      <c r="F3028" s="3">
        <f>IFERROR(__xludf.DUMMYFUNCTION("""COMPUTED_VALUE"""),190.0)</f>
        <v>190</v>
      </c>
      <c r="G3028" s="5">
        <f>IFERROR(__xludf.DUMMYFUNCTION("""COMPUTED_VALUE"""),9.0881905E7)</f>
        <v>90881905</v>
      </c>
    </row>
    <row r="3029">
      <c r="A3029" s="3">
        <f>IFERROR(__xludf.DUMMYFUNCTION("""COMPUTED_VALUE"""),890.0)</f>
        <v>890</v>
      </c>
      <c r="B3029" s="2" t="str">
        <f>IFERROR(__xludf.DUMMYFUNCTION("""COMPUTED_VALUE"""),"SUNAMGANJ")</f>
        <v>SUNAMGANJ</v>
      </c>
      <c r="C3029" s="4">
        <f>IFERROR(__xludf.DUMMYFUNCTION("""COMPUTED_VALUE"""),90.0)</f>
        <v>90</v>
      </c>
      <c r="D3029" s="2" t="str">
        <f>IFERROR(__xludf.DUMMYFUNCTION("""COMPUTED_VALUE"""),"DUTCH-BANGLA BANK LTD")</f>
        <v>DUTCH-BANGLA BANK LTD</v>
      </c>
      <c r="E3029" s="2" t="str">
        <f>IFERROR(__xludf.DUMMYFUNCTION("""COMPUTED_VALUE"""),"CHHATAK")</f>
        <v>CHHATAK</v>
      </c>
      <c r="F3029" s="3">
        <f>IFERROR(__xludf.DUMMYFUNCTION("""COMPUTED_VALUE"""),22.0)</f>
        <v>22</v>
      </c>
      <c r="G3029" s="5">
        <f>IFERROR(__xludf.DUMMYFUNCTION("""COMPUTED_VALUE"""),9.0900228E7)</f>
        <v>90900228</v>
      </c>
    </row>
    <row r="3030">
      <c r="A3030" s="3">
        <f>IFERROR(__xludf.DUMMYFUNCTION("""COMPUTED_VALUE"""),890.0)</f>
        <v>890</v>
      </c>
      <c r="B3030" s="2" t="str">
        <f>IFERROR(__xludf.DUMMYFUNCTION("""COMPUTED_VALUE"""),"SUNAMGANJ")</f>
        <v>SUNAMGANJ</v>
      </c>
      <c r="C3030" s="4">
        <f>IFERROR(__xludf.DUMMYFUNCTION("""COMPUTED_VALUE"""),90.0)</f>
        <v>90</v>
      </c>
      <c r="D3030" s="2" t="str">
        <f>IFERROR(__xludf.DUMMYFUNCTION("""COMPUTED_VALUE"""),"DUTCH-BANGLA BANK LTD")</f>
        <v>DUTCH-BANGLA BANK LTD</v>
      </c>
      <c r="E3030" s="2" t="str">
        <f>IFERROR(__xludf.DUMMYFUNCTION("""COMPUTED_VALUE"""),"GOBINDAGANJ SME")</f>
        <v>GOBINDAGANJ SME</v>
      </c>
      <c r="F3030" s="3">
        <f>IFERROR(__xludf.DUMMYFUNCTION("""COMPUTED_VALUE"""),44.0)</f>
        <v>44</v>
      </c>
      <c r="G3030" s="5">
        <f>IFERROR(__xludf.DUMMYFUNCTION("""COMPUTED_VALUE"""),9.0900444E7)</f>
        <v>90900444</v>
      </c>
    </row>
    <row r="3031">
      <c r="A3031" s="3">
        <f>IFERROR(__xludf.DUMMYFUNCTION("""COMPUTED_VALUE"""),890.0)</f>
        <v>890</v>
      </c>
      <c r="B3031" s="2" t="str">
        <f>IFERROR(__xludf.DUMMYFUNCTION("""COMPUTED_VALUE"""),"SUNAMGANJ")</f>
        <v>SUNAMGANJ</v>
      </c>
      <c r="C3031" s="4">
        <f>IFERROR(__xludf.DUMMYFUNCTION("""COMPUTED_VALUE"""),90.0)</f>
        <v>90</v>
      </c>
      <c r="D3031" s="2" t="str">
        <f>IFERROR(__xludf.DUMMYFUNCTION("""COMPUTED_VALUE"""),"DUTCH-BANGLA BANK LTD")</f>
        <v>DUTCH-BANGLA BANK LTD</v>
      </c>
      <c r="E3031" s="2" t="str">
        <f>IFERROR(__xludf.DUMMYFUNCTION("""COMPUTED_VALUE"""),"SUNAMGANJ")</f>
        <v>SUNAMGANJ</v>
      </c>
      <c r="F3031" s="3">
        <f>IFERROR(__xludf.DUMMYFUNCTION("""COMPUTED_VALUE"""),112.0)</f>
        <v>112</v>
      </c>
      <c r="G3031" s="5">
        <f>IFERROR(__xludf.DUMMYFUNCTION("""COMPUTED_VALUE"""),9.0901122E7)</f>
        <v>90901122</v>
      </c>
    </row>
    <row r="3032">
      <c r="A3032" s="3">
        <f>IFERROR(__xludf.DUMMYFUNCTION("""COMPUTED_VALUE"""),891.0)</f>
        <v>891</v>
      </c>
      <c r="B3032" s="2" t="str">
        <f>IFERROR(__xludf.DUMMYFUNCTION("""COMPUTED_VALUE"""),"SYLHET")</f>
        <v>SYLHET</v>
      </c>
      <c r="C3032" s="4">
        <f>IFERROR(__xludf.DUMMYFUNCTION("""COMPUTED_VALUE"""),90.0)</f>
        <v>90</v>
      </c>
      <c r="D3032" s="2" t="str">
        <f>IFERROR(__xludf.DUMMYFUNCTION("""COMPUTED_VALUE"""),"DUTCH-BANGLA BANK LTD")</f>
        <v>DUTCH-BANGLA BANK LTD</v>
      </c>
      <c r="E3032" s="2" t="str">
        <f>IFERROR(__xludf.DUMMYFUNCTION("""COMPUTED_VALUE"""),"AMBARKHANA")</f>
        <v>AMBARKHANA</v>
      </c>
      <c r="F3032" s="3">
        <f>IFERROR(__xludf.DUMMYFUNCTION("""COMPUTED_VALUE"""),4.0)</f>
        <v>4</v>
      </c>
      <c r="G3032" s="5">
        <f>IFERROR(__xludf.DUMMYFUNCTION("""COMPUTED_VALUE"""),9.0910047E7)</f>
        <v>90910047</v>
      </c>
    </row>
    <row r="3033">
      <c r="A3033" s="3">
        <f>IFERROR(__xludf.DUMMYFUNCTION("""COMPUTED_VALUE"""),891.0)</f>
        <v>891</v>
      </c>
      <c r="B3033" s="2" t="str">
        <f>IFERROR(__xludf.DUMMYFUNCTION("""COMPUTED_VALUE"""),"SYLHET")</f>
        <v>SYLHET</v>
      </c>
      <c r="C3033" s="4">
        <f>IFERROR(__xludf.DUMMYFUNCTION("""COMPUTED_VALUE"""),90.0)</f>
        <v>90</v>
      </c>
      <c r="D3033" s="2" t="str">
        <f>IFERROR(__xludf.DUMMYFUNCTION("""COMPUTED_VALUE"""),"DUTCH-BANGLA BANK LTD")</f>
        <v>DUTCH-BANGLA BANK LTD</v>
      </c>
      <c r="E3033" s="2" t="str">
        <f>IFERROR(__xludf.DUMMYFUNCTION("""COMPUTED_VALUE"""),"BEANI BAZAR")</f>
        <v>BEANI BAZAR</v>
      </c>
      <c r="F3033" s="3">
        <f>IFERROR(__xludf.DUMMYFUNCTION("""COMPUTED_VALUE"""),31.0)</f>
        <v>31</v>
      </c>
      <c r="G3033" s="5">
        <f>IFERROR(__xludf.DUMMYFUNCTION("""COMPUTED_VALUE"""),9.0910313E7)</f>
        <v>90910313</v>
      </c>
    </row>
    <row r="3034">
      <c r="A3034" s="3">
        <f>IFERROR(__xludf.DUMMYFUNCTION("""COMPUTED_VALUE"""),891.0)</f>
        <v>891</v>
      </c>
      <c r="B3034" s="2" t="str">
        <f>IFERROR(__xludf.DUMMYFUNCTION("""COMPUTED_VALUE"""),"SYLHET")</f>
        <v>SYLHET</v>
      </c>
      <c r="C3034" s="4">
        <f>IFERROR(__xludf.DUMMYFUNCTION("""COMPUTED_VALUE"""),90.0)</f>
        <v>90</v>
      </c>
      <c r="D3034" s="2" t="str">
        <f>IFERROR(__xludf.DUMMYFUNCTION("""COMPUTED_VALUE"""),"DUTCH-BANGLA BANK LTD")</f>
        <v>DUTCH-BANGLA BANK LTD</v>
      </c>
      <c r="E3034" s="2" t="str">
        <f>IFERROR(__xludf.DUMMYFUNCTION("""COMPUTED_VALUE"""),"BISHWANATH")</f>
        <v>BISHWANATH</v>
      </c>
      <c r="F3034" s="3">
        <f>IFERROR(__xludf.DUMMYFUNCTION("""COMPUTED_VALUE"""),43.0)</f>
        <v>43</v>
      </c>
      <c r="G3034" s="5">
        <f>IFERROR(__xludf.DUMMYFUNCTION("""COMPUTED_VALUE"""),9.0910434E7)</f>
        <v>90910434</v>
      </c>
    </row>
    <row r="3035">
      <c r="A3035" s="3">
        <f>IFERROR(__xludf.DUMMYFUNCTION("""COMPUTED_VALUE"""),891.0)</f>
        <v>891</v>
      </c>
      <c r="B3035" s="2" t="str">
        <f>IFERROR(__xludf.DUMMYFUNCTION("""COMPUTED_VALUE"""),"SYLHET")</f>
        <v>SYLHET</v>
      </c>
      <c r="C3035" s="4">
        <f>IFERROR(__xludf.DUMMYFUNCTION("""COMPUTED_VALUE"""),90.0)</f>
        <v>90</v>
      </c>
      <c r="D3035" s="2" t="str">
        <f>IFERROR(__xludf.DUMMYFUNCTION("""COMPUTED_VALUE"""),"DUTCH-BANGLA BANK LTD")</f>
        <v>DUTCH-BANGLA BANK LTD</v>
      </c>
      <c r="E3035" s="2" t="str">
        <f>IFERROR(__xludf.DUMMYFUNCTION("""COMPUTED_VALUE"""),"DHAKA DAKHIN SME")</f>
        <v>DHAKA DAKHIN SME</v>
      </c>
      <c r="F3035" s="3">
        <f>IFERROR(__xludf.DUMMYFUNCTION("""COMPUTED_VALUE"""),130.0)</f>
        <v>130</v>
      </c>
      <c r="G3035" s="5">
        <f>IFERROR(__xludf.DUMMYFUNCTION("""COMPUTED_VALUE"""),9.0911309E7)</f>
        <v>90911309</v>
      </c>
    </row>
    <row r="3036">
      <c r="A3036" s="3">
        <f>IFERROR(__xludf.DUMMYFUNCTION("""COMPUTED_VALUE"""),891.0)</f>
        <v>891</v>
      </c>
      <c r="B3036" s="2" t="str">
        <f>IFERROR(__xludf.DUMMYFUNCTION("""COMPUTED_VALUE"""),"SYLHET")</f>
        <v>SYLHET</v>
      </c>
      <c r="C3036" s="4">
        <f>IFERROR(__xludf.DUMMYFUNCTION("""COMPUTED_VALUE"""),90.0)</f>
        <v>90</v>
      </c>
      <c r="D3036" s="2" t="str">
        <f>IFERROR(__xludf.DUMMYFUNCTION("""COMPUTED_VALUE"""),"DUTCH-BANGLA BANK LTD")</f>
        <v>DUTCH-BANGLA BANK LTD</v>
      </c>
      <c r="E3036" s="2" t="str">
        <f>IFERROR(__xludf.DUMMYFUNCTION("""COMPUTED_VALUE"""),"GOALA BAZAR")</f>
        <v>GOALA BAZAR</v>
      </c>
      <c r="F3036" s="3">
        <f>IFERROR(__xludf.DUMMYFUNCTION("""COMPUTED_VALUE"""),154.0)</f>
        <v>154</v>
      </c>
      <c r="G3036" s="5">
        <f>IFERROR(__xludf.DUMMYFUNCTION("""COMPUTED_VALUE"""),9.0911541E7)</f>
        <v>90911541</v>
      </c>
    </row>
    <row r="3037">
      <c r="A3037" s="3">
        <f>IFERROR(__xludf.DUMMYFUNCTION("""COMPUTED_VALUE"""),891.0)</f>
        <v>891</v>
      </c>
      <c r="B3037" s="2" t="str">
        <f>IFERROR(__xludf.DUMMYFUNCTION("""COMPUTED_VALUE"""),"SYLHET")</f>
        <v>SYLHET</v>
      </c>
      <c r="C3037" s="4">
        <f>IFERROR(__xludf.DUMMYFUNCTION("""COMPUTED_VALUE"""),90.0)</f>
        <v>90</v>
      </c>
      <c r="D3037" s="2" t="str">
        <f>IFERROR(__xludf.DUMMYFUNCTION("""COMPUTED_VALUE"""),"DUTCH-BANGLA BANK LTD")</f>
        <v>DUTCH-BANGLA BANK LTD</v>
      </c>
      <c r="E3037" s="2" t="str">
        <f>IFERROR(__xludf.DUMMYFUNCTION("""COMPUTED_VALUE"""),"GOLAPGANJ")</f>
        <v>GOLAPGANJ</v>
      </c>
      <c r="F3037" s="3">
        <f>IFERROR(__xludf.DUMMYFUNCTION("""COMPUTED_VALUE"""),160.0)</f>
        <v>160</v>
      </c>
      <c r="G3037" s="5">
        <f>IFERROR(__xludf.DUMMYFUNCTION("""COMPUTED_VALUE"""),9.0911604E7)</f>
        <v>90911604</v>
      </c>
    </row>
    <row r="3038">
      <c r="A3038" s="3">
        <f>IFERROR(__xludf.DUMMYFUNCTION("""COMPUTED_VALUE"""),891.0)</f>
        <v>891</v>
      </c>
      <c r="B3038" s="2" t="str">
        <f>IFERROR(__xludf.DUMMYFUNCTION("""COMPUTED_VALUE"""),"SYLHET")</f>
        <v>SYLHET</v>
      </c>
      <c r="C3038" s="4">
        <f>IFERROR(__xludf.DUMMYFUNCTION("""COMPUTED_VALUE"""),90.0)</f>
        <v>90</v>
      </c>
      <c r="D3038" s="2" t="str">
        <f>IFERROR(__xludf.DUMMYFUNCTION("""COMPUTED_VALUE"""),"DUTCH-BANGLA BANK LTD")</f>
        <v>DUTCH-BANGLA BANK LTD</v>
      </c>
      <c r="E3038" s="2" t="str">
        <f>IFERROR(__xludf.DUMMYFUNCTION("""COMPUTED_VALUE"""),"SHAHJALAL UPASHSHAR")</f>
        <v>SHAHJALAL UPASHSHAR</v>
      </c>
      <c r="F3038" s="3">
        <f>IFERROR(__xludf.DUMMYFUNCTION("""COMPUTED_VALUE"""),325.0)</f>
        <v>325</v>
      </c>
      <c r="G3038" s="5">
        <f>IFERROR(__xludf.DUMMYFUNCTION("""COMPUTED_VALUE"""),9.0913257E7)</f>
        <v>90913257</v>
      </c>
    </row>
    <row r="3039">
      <c r="A3039" s="3">
        <f>IFERROR(__xludf.DUMMYFUNCTION("""COMPUTED_VALUE"""),891.0)</f>
        <v>891</v>
      </c>
      <c r="B3039" s="2" t="str">
        <f>IFERROR(__xludf.DUMMYFUNCTION("""COMPUTED_VALUE"""),"SYLHET")</f>
        <v>SYLHET</v>
      </c>
      <c r="C3039" s="4">
        <f>IFERROR(__xludf.DUMMYFUNCTION("""COMPUTED_VALUE"""),90.0)</f>
        <v>90</v>
      </c>
      <c r="D3039" s="2" t="str">
        <f>IFERROR(__xludf.DUMMYFUNCTION("""COMPUTED_VALUE"""),"DUTCH-BANGLA BANK LTD")</f>
        <v>DUTCH-BANGLA BANK LTD</v>
      </c>
      <c r="E3039" s="2" t="str">
        <f>IFERROR(__xludf.DUMMYFUNCTION("""COMPUTED_VALUE"""),"SYLHET")</f>
        <v>SYLHET</v>
      </c>
      <c r="F3039" s="3">
        <f>IFERROR(__xludf.DUMMYFUNCTION("""COMPUTED_VALUE"""),355.0)</f>
        <v>355</v>
      </c>
      <c r="G3039" s="5">
        <f>IFERROR(__xludf.DUMMYFUNCTION("""COMPUTED_VALUE"""),9.0913552E7)</f>
        <v>90913552</v>
      </c>
    </row>
    <row r="3040">
      <c r="A3040" s="3">
        <f>IFERROR(__xludf.DUMMYFUNCTION("""COMPUTED_VALUE"""),193.0)</f>
        <v>193</v>
      </c>
      <c r="B3040" s="2" t="str">
        <f>IFERROR(__xludf.DUMMYFUNCTION("""COMPUTED_VALUE"""),"TANGAIL")</f>
        <v>TANGAIL</v>
      </c>
      <c r="C3040" s="4">
        <f>IFERROR(__xludf.DUMMYFUNCTION("""COMPUTED_VALUE"""),90.0)</f>
        <v>90</v>
      </c>
      <c r="D3040" s="2" t="str">
        <f>IFERROR(__xludf.DUMMYFUNCTION("""COMPUTED_VALUE"""),"DUTCH-BANGLA BANK LTD")</f>
        <v>DUTCH-BANGLA BANK LTD</v>
      </c>
      <c r="E3040" s="2" t="str">
        <f>IFERROR(__xludf.DUMMYFUNCTION("""COMPUTED_VALUE"""),"ELENGA")</f>
        <v>ELENGA</v>
      </c>
      <c r="F3040" s="3">
        <f>IFERROR(__xludf.DUMMYFUNCTION("""COMPUTED_VALUE"""),82.0)</f>
        <v>82</v>
      </c>
      <c r="G3040" s="5">
        <f>IFERROR(__xludf.DUMMYFUNCTION("""COMPUTED_VALUE"""),9.0930827E7)</f>
        <v>90930827</v>
      </c>
    </row>
    <row r="3041">
      <c r="A3041" s="3">
        <f>IFERROR(__xludf.DUMMYFUNCTION("""COMPUTED_VALUE"""),193.0)</f>
        <v>193</v>
      </c>
      <c r="B3041" s="2" t="str">
        <f>IFERROR(__xludf.DUMMYFUNCTION("""COMPUTED_VALUE"""),"TANGAIL")</f>
        <v>TANGAIL</v>
      </c>
      <c r="C3041" s="4">
        <f>IFERROR(__xludf.DUMMYFUNCTION("""COMPUTED_VALUE"""),90.0)</f>
        <v>90</v>
      </c>
      <c r="D3041" s="2" t="str">
        <f>IFERROR(__xludf.DUMMYFUNCTION("""COMPUTED_VALUE"""),"DUTCH-BANGLA BANK LTD")</f>
        <v>DUTCH-BANGLA BANK LTD</v>
      </c>
      <c r="E3041" s="2" t="str">
        <f>IFERROR(__xludf.DUMMYFUNCTION("""COMPUTED_VALUE"""),"MIRZAPUR")</f>
        <v>MIRZAPUR</v>
      </c>
      <c r="F3041" s="3">
        <f>IFERROR(__xludf.DUMMYFUNCTION("""COMPUTED_VALUE"""),151.0)</f>
        <v>151</v>
      </c>
      <c r="G3041" s="5">
        <f>IFERROR(__xludf.DUMMYFUNCTION("""COMPUTED_VALUE"""),9.0931518E7)</f>
        <v>90931518</v>
      </c>
    </row>
    <row r="3042">
      <c r="A3042" s="3">
        <f>IFERROR(__xludf.DUMMYFUNCTION("""COMPUTED_VALUE"""),193.0)</f>
        <v>193</v>
      </c>
      <c r="B3042" s="2" t="str">
        <f>IFERROR(__xludf.DUMMYFUNCTION("""COMPUTED_VALUE"""),"TANGAIL")</f>
        <v>TANGAIL</v>
      </c>
      <c r="C3042" s="4">
        <f>IFERROR(__xludf.DUMMYFUNCTION("""COMPUTED_VALUE"""),90.0)</f>
        <v>90</v>
      </c>
      <c r="D3042" s="2" t="str">
        <f>IFERROR(__xludf.DUMMYFUNCTION("""COMPUTED_VALUE"""),"DUTCH-BANGLA BANK LTD")</f>
        <v>DUTCH-BANGLA BANK LTD</v>
      </c>
      <c r="E3042" s="2" t="str">
        <f>IFERROR(__xludf.DUMMYFUNCTION("""COMPUTED_VALUE"""),"TANGAIL")</f>
        <v>TANGAIL</v>
      </c>
      <c r="F3042" s="3">
        <f>IFERROR(__xludf.DUMMYFUNCTION("""COMPUTED_VALUE"""),229.0)</f>
        <v>229</v>
      </c>
      <c r="G3042" s="5">
        <f>IFERROR(__xludf.DUMMYFUNCTION("""COMPUTED_VALUE"""),9.0932296E7)</f>
        <v>90932296</v>
      </c>
    </row>
    <row r="3043">
      <c r="A3043" s="3">
        <f>IFERROR(__xludf.DUMMYFUNCTION("""COMPUTED_VALUE"""),794.0)</f>
        <v>794</v>
      </c>
      <c r="B3043" s="2" t="str">
        <f>IFERROR(__xludf.DUMMYFUNCTION("""COMPUTED_VALUE"""),"THAKURGAON")</f>
        <v>THAKURGAON</v>
      </c>
      <c r="C3043" s="4">
        <f>IFERROR(__xludf.DUMMYFUNCTION("""COMPUTED_VALUE"""),90.0)</f>
        <v>90</v>
      </c>
      <c r="D3043" s="2" t="str">
        <f>IFERROR(__xludf.DUMMYFUNCTION("""COMPUTED_VALUE"""),"DUTCH-BANGLA BANK LTD")</f>
        <v>DUTCH-BANGLA BANK LTD</v>
      </c>
      <c r="E3043" s="2" t="str">
        <f>IFERROR(__xludf.DUMMYFUNCTION("""COMPUTED_VALUE"""),"THAKURGAON")</f>
        <v>THAKURGAON</v>
      </c>
      <c r="F3043" s="3">
        <f>IFERROR(__xludf.DUMMYFUNCTION("""COMPUTED_VALUE"""),97.0)</f>
        <v>97</v>
      </c>
      <c r="G3043" s="5">
        <f>IFERROR(__xludf.DUMMYFUNCTION("""COMPUTED_VALUE"""),9.094097E7)</f>
        <v>90940970</v>
      </c>
    </row>
    <row r="3044">
      <c r="A3044" s="3">
        <f>IFERROR(__xludf.DUMMYFUNCTION("""COMPUTED_VALUE"""),306.0)</f>
        <v>306</v>
      </c>
      <c r="B3044" s="2" t="str">
        <f>IFERROR(__xludf.DUMMYFUNCTION("""COMPUTED_VALUE"""),"BARISHAL")</f>
        <v>BARISHAL</v>
      </c>
      <c r="C3044" s="4">
        <f>IFERROR(__xludf.DUMMYFUNCTION("""COMPUTED_VALUE"""),95.0)</f>
        <v>95</v>
      </c>
      <c r="D3044" s="2" t="str">
        <f>IFERROR(__xludf.DUMMYFUNCTION("""COMPUTED_VALUE"""),"EASTERN BANK LTD.")</f>
        <v>EASTERN BANK LTD.</v>
      </c>
      <c r="E3044" s="2" t="str">
        <f>IFERROR(__xludf.DUMMYFUNCTION("""COMPUTED_VALUE"""),"BARISAL")</f>
        <v>BARISAL</v>
      </c>
      <c r="F3044" s="3">
        <f>IFERROR(__xludf.DUMMYFUNCTION("""COMPUTED_VALUE"""),28.0)</f>
        <v>28</v>
      </c>
      <c r="G3044" s="5">
        <f>IFERROR(__xludf.DUMMYFUNCTION("""COMPUTED_VALUE"""),9.5060284E7)</f>
        <v>95060284</v>
      </c>
    </row>
    <row r="3045">
      <c r="A3045" s="3">
        <f>IFERROR(__xludf.DUMMYFUNCTION("""COMPUTED_VALUE"""),610.0)</f>
        <v>610</v>
      </c>
      <c r="B3045" s="2" t="str">
        <f>IFERROR(__xludf.DUMMYFUNCTION("""COMPUTED_VALUE"""),"BOGRA")</f>
        <v>BOGRA</v>
      </c>
      <c r="C3045" s="4">
        <f>IFERROR(__xludf.DUMMYFUNCTION("""COMPUTED_VALUE"""),95.0)</f>
        <v>95</v>
      </c>
      <c r="D3045" s="2" t="str">
        <f>IFERROR(__xludf.DUMMYFUNCTION("""COMPUTED_VALUE"""),"EASTERN BANK LTD.")</f>
        <v>EASTERN BANK LTD.</v>
      </c>
      <c r="E3045" s="2" t="str">
        <f>IFERROR(__xludf.DUMMYFUNCTION("""COMPUTED_VALUE"""),"BOGRA")</f>
        <v>BOGRA</v>
      </c>
      <c r="F3045" s="3">
        <f>IFERROR(__xludf.DUMMYFUNCTION("""COMPUTED_VALUE"""),37.0)</f>
        <v>37</v>
      </c>
      <c r="G3045" s="5">
        <f>IFERROR(__xludf.DUMMYFUNCTION("""COMPUTED_VALUE"""),9.5100373E7)</f>
        <v>95100373</v>
      </c>
    </row>
    <row r="3046">
      <c r="A3046" s="3">
        <f>IFERROR(__xludf.DUMMYFUNCTION("""COMPUTED_VALUE"""),112.0)</f>
        <v>112</v>
      </c>
      <c r="B3046" s="2" t="str">
        <f>IFERROR(__xludf.DUMMYFUNCTION("""COMPUTED_VALUE"""),"BRAHMANBARIA")</f>
        <v>BRAHMANBARIA</v>
      </c>
      <c r="C3046" s="4">
        <f>IFERROR(__xludf.DUMMYFUNCTION("""COMPUTED_VALUE"""),95.0)</f>
        <v>95</v>
      </c>
      <c r="D3046" s="2" t="str">
        <f>IFERROR(__xludf.DUMMYFUNCTION("""COMPUTED_VALUE"""),"EASTERN BANK LTD.")</f>
        <v>EASTERN BANK LTD.</v>
      </c>
      <c r="E3046" s="2" t="str">
        <f>IFERROR(__xludf.DUMMYFUNCTION("""COMPUTED_VALUE"""),"BRAHMANBARIA")</f>
        <v>BRAHMANBARIA</v>
      </c>
      <c r="F3046" s="3">
        <f>IFERROR(__xludf.DUMMYFUNCTION("""COMPUTED_VALUE"""),43.0)</f>
        <v>43</v>
      </c>
      <c r="G3046" s="5">
        <f>IFERROR(__xludf.DUMMYFUNCTION("""COMPUTED_VALUE"""),9.5120432E7)</f>
        <v>95120432</v>
      </c>
    </row>
    <row r="3047">
      <c r="A3047" s="3">
        <f>IFERROR(__xludf.DUMMYFUNCTION("""COMPUTED_VALUE"""),215.0)</f>
        <v>215</v>
      </c>
      <c r="B3047" s="2" t="str">
        <f>IFERROR(__xludf.DUMMYFUNCTION("""COMPUTED_VALUE"""),"CHITTAGONG")</f>
        <v>CHITTAGONG</v>
      </c>
      <c r="C3047" s="4">
        <f>IFERROR(__xludf.DUMMYFUNCTION("""COMPUTED_VALUE"""),95.0)</f>
        <v>95</v>
      </c>
      <c r="D3047" s="2" t="str">
        <f>IFERROR(__xludf.DUMMYFUNCTION("""COMPUTED_VALUE"""),"EASTERN BANK LTD.")</f>
        <v>EASTERN BANK LTD.</v>
      </c>
      <c r="E3047" s="2" t="str">
        <f>IFERROR(__xludf.DUMMYFUNCTION("""COMPUTED_VALUE"""),"AGRABAD")</f>
        <v>AGRABAD</v>
      </c>
      <c r="F3047" s="3">
        <f>IFERROR(__xludf.DUMMYFUNCTION("""COMPUTED_VALUE"""),13.0)</f>
        <v>13</v>
      </c>
      <c r="G3047" s="5">
        <f>IFERROR(__xludf.DUMMYFUNCTION("""COMPUTED_VALUE"""),9.5150136E7)</f>
        <v>95150136</v>
      </c>
    </row>
    <row r="3048">
      <c r="A3048" s="3">
        <f>IFERROR(__xludf.DUMMYFUNCTION("""COMPUTED_VALUE"""),215.0)</f>
        <v>215</v>
      </c>
      <c r="B3048" s="2" t="str">
        <f>IFERROR(__xludf.DUMMYFUNCTION("""COMPUTED_VALUE"""),"CHITTAGONG")</f>
        <v>CHITTAGONG</v>
      </c>
      <c r="C3048" s="4">
        <f>IFERROR(__xludf.DUMMYFUNCTION("""COMPUTED_VALUE"""),95.0)</f>
        <v>95</v>
      </c>
      <c r="D3048" s="2" t="str">
        <f>IFERROR(__xludf.DUMMYFUNCTION("""COMPUTED_VALUE"""),"EASTERN BANK LTD.")</f>
        <v>EASTERN BANK LTD.</v>
      </c>
      <c r="E3048" s="2" t="str">
        <f>IFERROR(__xludf.DUMMYFUNCTION("""COMPUTED_VALUE"""),"JAMAL KHAN")</f>
        <v>JAMAL KHAN</v>
      </c>
      <c r="F3048" s="3">
        <f>IFERROR(__xludf.DUMMYFUNCTION("""COMPUTED_VALUE"""),17.0)</f>
        <v>17</v>
      </c>
      <c r="G3048" s="5">
        <f>IFERROR(__xludf.DUMMYFUNCTION("""COMPUTED_VALUE"""),9.5150178E7)</f>
        <v>95150178</v>
      </c>
    </row>
    <row r="3049">
      <c r="A3049" s="3">
        <f>IFERROR(__xludf.DUMMYFUNCTION("""COMPUTED_VALUE"""),215.0)</f>
        <v>215</v>
      </c>
      <c r="B3049" s="2" t="str">
        <f>IFERROR(__xludf.DUMMYFUNCTION("""COMPUTED_VALUE"""),"CHITTAGONG")</f>
        <v>CHITTAGONG</v>
      </c>
      <c r="C3049" s="4">
        <f>IFERROR(__xludf.DUMMYFUNCTION("""COMPUTED_VALUE"""),95.0)</f>
        <v>95</v>
      </c>
      <c r="D3049" s="2" t="str">
        <f>IFERROR(__xludf.DUMMYFUNCTION("""COMPUTED_VALUE"""),"EASTERN BANK LTD.")</f>
        <v>EASTERN BANK LTD.</v>
      </c>
      <c r="E3049" s="2" t="str">
        <f>IFERROR(__xludf.DUMMYFUNCTION("""COMPUTED_VALUE"""),"BHATIARY")</f>
        <v>BHATIARY</v>
      </c>
      <c r="F3049" s="3">
        <f>IFERROR(__xludf.DUMMYFUNCTION("""COMPUTED_VALUE"""),121.0)</f>
        <v>121</v>
      </c>
      <c r="G3049" s="5">
        <f>IFERROR(__xludf.DUMMYFUNCTION("""COMPUTED_VALUE"""),9.5151214E7)</f>
        <v>95151214</v>
      </c>
    </row>
    <row r="3050">
      <c r="A3050" s="3">
        <f>IFERROR(__xludf.DUMMYFUNCTION("""COMPUTED_VALUE"""),215.0)</f>
        <v>215</v>
      </c>
      <c r="B3050" s="2" t="str">
        <f>IFERROR(__xludf.DUMMYFUNCTION("""COMPUTED_VALUE"""),"CHITTAGONG")</f>
        <v>CHITTAGONG</v>
      </c>
      <c r="C3050" s="4">
        <f>IFERROR(__xludf.DUMMYFUNCTION("""COMPUTED_VALUE"""),95.0)</f>
        <v>95</v>
      </c>
      <c r="D3050" s="2" t="str">
        <f>IFERROR(__xludf.DUMMYFUNCTION("""COMPUTED_VALUE"""),"EASTERN BANK LTD.")</f>
        <v>EASTERN BANK LTD.</v>
      </c>
      <c r="E3050" s="2" t="str">
        <f>IFERROR(__xludf.DUMMYFUNCTION("""COMPUTED_VALUE"""),"CHANDGAON")</f>
        <v>CHANDGAON</v>
      </c>
      <c r="F3050" s="3">
        <f>IFERROR(__xludf.DUMMYFUNCTION("""COMPUTED_VALUE"""),148.0)</f>
        <v>148</v>
      </c>
      <c r="G3050" s="5">
        <f>IFERROR(__xludf.DUMMYFUNCTION("""COMPUTED_VALUE"""),9.5151485E7)</f>
        <v>95151485</v>
      </c>
    </row>
    <row r="3051">
      <c r="A3051" s="3">
        <f>IFERROR(__xludf.DUMMYFUNCTION("""COMPUTED_VALUE"""),215.0)</f>
        <v>215</v>
      </c>
      <c r="B3051" s="2" t="str">
        <f>IFERROR(__xludf.DUMMYFUNCTION("""COMPUTED_VALUE"""),"CHITTAGONG")</f>
        <v>CHITTAGONG</v>
      </c>
      <c r="C3051" s="4">
        <f>IFERROR(__xludf.DUMMYFUNCTION("""COMPUTED_VALUE"""),95.0)</f>
        <v>95</v>
      </c>
      <c r="D3051" s="2" t="str">
        <f>IFERROR(__xludf.DUMMYFUNCTION("""COMPUTED_VALUE"""),"EASTERN BANK LTD.")</f>
        <v>EASTERN BANK LTD.</v>
      </c>
      <c r="E3051" s="2" t="str">
        <f>IFERROR(__xludf.DUMMYFUNCTION("""COMPUTED_VALUE"""),"C.E.P.Z.")</f>
        <v>C.E.P.Z.</v>
      </c>
      <c r="F3051" s="3">
        <f>IFERROR(__xludf.DUMMYFUNCTION("""COMPUTED_VALUE"""),157.0)</f>
        <v>157</v>
      </c>
      <c r="G3051" s="5">
        <f>IFERROR(__xludf.DUMMYFUNCTION("""COMPUTED_VALUE"""),9.5151577E7)</f>
        <v>95151577</v>
      </c>
    </row>
    <row r="3052">
      <c r="A3052" s="3">
        <f>IFERROR(__xludf.DUMMYFUNCTION("""COMPUTED_VALUE"""),215.0)</f>
        <v>215</v>
      </c>
      <c r="B3052" s="2" t="str">
        <f>IFERROR(__xludf.DUMMYFUNCTION("""COMPUTED_VALUE"""),"CHITTAGONG")</f>
        <v>CHITTAGONG</v>
      </c>
      <c r="C3052" s="4">
        <f>IFERROR(__xludf.DUMMYFUNCTION("""COMPUTED_VALUE"""),95.0)</f>
        <v>95</v>
      </c>
      <c r="D3052" s="2" t="str">
        <f>IFERROR(__xludf.DUMMYFUNCTION("""COMPUTED_VALUE"""),"EASTERN BANK LTD.")</f>
        <v>EASTERN BANK LTD.</v>
      </c>
      <c r="E3052" s="2" t="str">
        <f>IFERROR(__xludf.DUMMYFUNCTION("""COMPUTED_VALUE"""),"DOHAZARI")</f>
        <v>DOHAZARI</v>
      </c>
      <c r="F3052" s="3">
        <f>IFERROR(__xludf.DUMMYFUNCTION("""COMPUTED_VALUE"""),256.0)</f>
        <v>256</v>
      </c>
      <c r="G3052" s="5">
        <f>IFERROR(__xludf.DUMMYFUNCTION("""COMPUTED_VALUE"""),9.5152563E7)</f>
        <v>95152563</v>
      </c>
    </row>
    <row r="3053">
      <c r="A3053" s="3">
        <f>IFERROR(__xludf.DUMMYFUNCTION("""COMPUTED_VALUE"""),215.0)</f>
        <v>215</v>
      </c>
      <c r="B3053" s="2" t="str">
        <f>IFERROR(__xludf.DUMMYFUNCTION("""COMPUTED_VALUE"""),"CHITTAGONG")</f>
        <v>CHITTAGONG</v>
      </c>
      <c r="C3053" s="4">
        <f>IFERROR(__xludf.DUMMYFUNCTION("""COMPUTED_VALUE"""),95.0)</f>
        <v>95</v>
      </c>
      <c r="D3053" s="2" t="str">
        <f>IFERROR(__xludf.DUMMYFUNCTION("""COMPUTED_VALUE"""),"EASTERN BANK LTD.")</f>
        <v>EASTERN BANK LTD.</v>
      </c>
      <c r="E3053" s="2" t="str">
        <f>IFERROR(__xludf.DUMMYFUNCTION("""COMPUTED_VALUE"""),"HALISHAHAR")</f>
        <v>HALISHAHAR</v>
      </c>
      <c r="F3053" s="3">
        <f>IFERROR(__xludf.DUMMYFUNCTION("""COMPUTED_VALUE"""),316.0)</f>
        <v>316</v>
      </c>
      <c r="G3053" s="5">
        <f>IFERROR(__xludf.DUMMYFUNCTION("""COMPUTED_VALUE"""),9.5153162E7)</f>
        <v>95153162</v>
      </c>
    </row>
    <row r="3054">
      <c r="A3054" s="3">
        <f>IFERROR(__xludf.DUMMYFUNCTION("""COMPUTED_VALUE"""),215.0)</f>
        <v>215</v>
      </c>
      <c r="B3054" s="2" t="str">
        <f>IFERROR(__xludf.DUMMYFUNCTION("""COMPUTED_VALUE"""),"CHITTAGONG")</f>
        <v>CHITTAGONG</v>
      </c>
      <c r="C3054" s="4">
        <f>IFERROR(__xludf.DUMMYFUNCTION("""COMPUTED_VALUE"""),95.0)</f>
        <v>95</v>
      </c>
      <c r="D3054" s="2" t="str">
        <f>IFERROR(__xludf.DUMMYFUNCTION("""COMPUTED_VALUE"""),"EASTERN BANK LTD.")</f>
        <v>EASTERN BANK LTD.</v>
      </c>
      <c r="E3054" s="2" t="str">
        <f>IFERROR(__xludf.DUMMYFUNCTION("""COMPUTED_VALUE"""),"HATHAZARI")</f>
        <v>HATHAZARI</v>
      </c>
      <c r="F3054" s="3">
        <f>IFERROR(__xludf.DUMMYFUNCTION("""COMPUTED_VALUE"""),322.0)</f>
        <v>322</v>
      </c>
      <c r="G3054" s="5">
        <f>IFERROR(__xludf.DUMMYFUNCTION("""COMPUTED_VALUE"""),9.5153225E7)</f>
        <v>95153225</v>
      </c>
    </row>
    <row r="3055">
      <c r="A3055" s="3">
        <f>IFERROR(__xludf.DUMMYFUNCTION("""COMPUTED_VALUE"""),215.0)</f>
        <v>215</v>
      </c>
      <c r="B3055" s="2" t="str">
        <f>IFERROR(__xludf.DUMMYFUNCTION("""COMPUTED_VALUE"""),"CHITTAGONG")</f>
        <v>CHITTAGONG</v>
      </c>
      <c r="C3055" s="4">
        <f>IFERROR(__xludf.DUMMYFUNCTION("""COMPUTED_VALUE"""),95.0)</f>
        <v>95</v>
      </c>
      <c r="D3055" s="2" t="str">
        <f>IFERROR(__xludf.DUMMYFUNCTION("""COMPUTED_VALUE"""),"EASTERN BANK LTD.")</f>
        <v>EASTERN BANK LTD.</v>
      </c>
      <c r="E3055" s="2" t="str">
        <f>IFERROR(__xludf.DUMMYFUNCTION("""COMPUTED_VALUE"""),"JUBILEE ROAD")</f>
        <v>JUBILEE ROAD</v>
      </c>
      <c r="F3055" s="3">
        <f>IFERROR(__xludf.DUMMYFUNCTION("""COMPUTED_VALUE"""),364.0)</f>
        <v>364</v>
      </c>
      <c r="G3055" s="5">
        <f>IFERROR(__xludf.DUMMYFUNCTION("""COMPUTED_VALUE"""),9.5153641E7)</f>
        <v>95153641</v>
      </c>
    </row>
    <row r="3056">
      <c r="A3056" s="3">
        <f>IFERROR(__xludf.DUMMYFUNCTION("""COMPUTED_VALUE"""),215.0)</f>
        <v>215</v>
      </c>
      <c r="B3056" s="2" t="str">
        <f>IFERROR(__xludf.DUMMYFUNCTION("""COMPUTED_VALUE"""),"CHITTAGONG")</f>
        <v>CHITTAGONG</v>
      </c>
      <c r="C3056" s="4">
        <f>IFERROR(__xludf.DUMMYFUNCTION("""COMPUTED_VALUE"""),95.0)</f>
        <v>95</v>
      </c>
      <c r="D3056" s="2" t="str">
        <f>IFERROR(__xludf.DUMMYFUNCTION("""COMPUTED_VALUE"""),"EASTERN BANK LTD.")</f>
        <v>EASTERN BANK LTD.</v>
      </c>
      <c r="E3056" s="2" t="str">
        <f>IFERROR(__xludf.DUMMYFUNCTION("""COMPUTED_VALUE"""),"KHATUNGANJ")</f>
        <v>KHATUNGANJ</v>
      </c>
      <c r="F3056" s="3">
        <f>IFERROR(__xludf.DUMMYFUNCTION("""COMPUTED_VALUE"""),427.0)</f>
        <v>427</v>
      </c>
      <c r="G3056" s="5">
        <f>IFERROR(__xludf.DUMMYFUNCTION("""COMPUTED_VALUE"""),9.5154279E7)</f>
        <v>95154279</v>
      </c>
    </row>
    <row r="3057">
      <c r="A3057" s="3">
        <f>IFERROR(__xludf.DUMMYFUNCTION("""COMPUTED_VALUE"""),215.0)</f>
        <v>215</v>
      </c>
      <c r="B3057" s="2" t="str">
        <f>IFERROR(__xludf.DUMMYFUNCTION("""COMPUTED_VALUE"""),"CHITTAGONG")</f>
        <v>CHITTAGONG</v>
      </c>
      <c r="C3057" s="4">
        <f>IFERROR(__xludf.DUMMYFUNCTION("""COMPUTED_VALUE"""),95.0)</f>
        <v>95</v>
      </c>
      <c r="D3057" s="2" t="str">
        <f>IFERROR(__xludf.DUMMYFUNCTION("""COMPUTED_VALUE"""),"EASTERN BANK LTD.")</f>
        <v>EASTERN BANK LTD.</v>
      </c>
      <c r="E3057" s="2" t="str">
        <f>IFERROR(__xludf.DUMMYFUNCTION("""COMPUTED_VALUE"""),"KHULSHI")</f>
        <v>KHULSHI</v>
      </c>
      <c r="F3057" s="3">
        <f>IFERROR(__xludf.DUMMYFUNCTION("""COMPUTED_VALUE"""),436.0)</f>
        <v>436</v>
      </c>
      <c r="G3057" s="5">
        <f>IFERROR(__xludf.DUMMYFUNCTION("""COMPUTED_VALUE"""),9.5154361E7)</f>
        <v>95154361</v>
      </c>
    </row>
    <row r="3058">
      <c r="A3058" s="3">
        <f>IFERROR(__xludf.DUMMYFUNCTION("""COMPUTED_VALUE"""),215.0)</f>
        <v>215</v>
      </c>
      <c r="B3058" s="2" t="str">
        <f>IFERROR(__xludf.DUMMYFUNCTION("""COMPUTED_VALUE"""),"CHITTAGONG")</f>
        <v>CHITTAGONG</v>
      </c>
      <c r="C3058" s="4">
        <f>IFERROR(__xludf.DUMMYFUNCTION("""COMPUTED_VALUE"""),95.0)</f>
        <v>95</v>
      </c>
      <c r="D3058" s="2" t="str">
        <f>IFERROR(__xludf.DUMMYFUNCTION("""COMPUTED_VALUE"""),"EASTERN BANK LTD.")</f>
        <v>EASTERN BANK LTD.</v>
      </c>
      <c r="E3058" s="2" t="str">
        <f>IFERROR(__xludf.DUMMYFUNCTION("""COMPUTED_VALUE"""),"LOHA GARA")</f>
        <v>LOHA GARA</v>
      </c>
      <c r="F3058" s="3">
        <f>IFERROR(__xludf.DUMMYFUNCTION("""COMPUTED_VALUE"""),466.0)</f>
        <v>466</v>
      </c>
      <c r="G3058" s="5">
        <f>IFERROR(__xludf.DUMMYFUNCTION("""COMPUTED_VALUE"""),9.5154666E7)</f>
        <v>95154666</v>
      </c>
    </row>
    <row r="3059">
      <c r="A3059" s="3">
        <f>IFERROR(__xludf.DUMMYFUNCTION("""COMPUTED_VALUE"""),215.0)</f>
        <v>215</v>
      </c>
      <c r="B3059" s="2" t="str">
        <f>IFERROR(__xludf.DUMMYFUNCTION("""COMPUTED_VALUE"""),"CHITTAGONG")</f>
        <v>CHITTAGONG</v>
      </c>
      <c r="C3059" s="4">
        <f>IFERROR(__xludf.DUMMYFUNCTION("""COMPUTED_VALUE"""),95.0)</f>
        <v>95</v>
      </c>
      <c r="D3059" s="2" t="str">
        <f>IFERROR(__xludf.DUMMYFUNCTION("""COMPUTED_VALUE"""),"EASTERN BANK LTD.")</f>
        <v>EASTERN BANK LTD.</v>
      </c>
      <c r="E3059" s="2" t="str">
        <f>IFERROR(__xludf.DUMMYFUNCTION("""COMPUTED_VALUE"""),"MEHADI BAGH")</f>
        <v>MEHADI BAGH</v>
      </c>
      <c r="F3059" s="3">
        <f>IFERROR(__xludf.DUMMYFUNCTION("""COMPUTED_VALUE"""),496.0)</f>
        <v>496</v>
      </c>
      <c r="G3059" s="5">
        <f>IFERROR(__xludf.DUMMYFUNCTION("""COMPUTED_VALUE"""),9.5154961E7)</f>
        <v>95154961</v>
      </c>
    </row>
    <row r="3060">
      <c r="A3060" s="3">
        <f>IFERROR(__xludf.DUMMYFUNCTION("""COMPUTED_VALUE"""),215.0)</f>
        <v>215</v>
      </c>
      <c r="B3060" s="2" t="str">
        <f>IFERROR(__xludf.DUMMYFUNCTION("""COMPUTED_VALUE"""),"CHITTAGONG")</f>
        <v>CHITTAGONG</v>
      </c>
      <c r="C3060" s="4">
        <f>IFERROR(__xludf.DUMMYFUNCTION("""COMPUTED_VALUE"""),95.0)</f>
        <v>95</v>
      </c>
      <c r="D3060" s="2" t="str">
        <f>IFERROR(__xludf.DUMMYFUNCTION("""COMPUTED_VALUE"""),"EASTERN BANK LTD.")</f>
        <v>EASTERN BANK LTD.</v>
      </c>
      <c r="E3060" s="2" t="str">
        <f>IFERROR(__xludf.DUMMYFUNCTION("""COMPUTED_VALUE"""),"MURADPUR")</f>
        <v>MURADPUR</v>
      </c>
      <c r="F3060" s="3">
        <f>IFERROR(__xludf.DUMMYFUNCTION("""COMPUTED_VALUE"""),532.0)</f>
        <v>532</v>
      </c>
      <c r="G3060" s="5">
        <f>IFERROR(__xludf.DUMMYFUNCTION("""COMPUTED_VALUE"""),9.5155328E7)</f>
        <v>95155328</v>
      </c>
    </row>
    <row r="3061">
      <c r="A3061" s="3">
        <f>IFERROR(__xludf.DUMMYFUNCTION("""COMPUTED_VALUE"""),215.0)</f>
        <v>215</v>
      </c>
      <c r="B3061" s="2" t="str">
        <f>IFERROR(__xludf.DUMMYFUNCTION("""COMPUTED_VALUE"""),"CHITTAGONG")</f>
        <v>CHITTAGONG</v>
      </c>
      <c r="C3061" s="4">
        <f>IFERROR(__xludf.DUMMYFUNCTION("""COMPUTED_VALUE"""),95.0)</f>
        <v>95</v>
      </c>
      <c r="D3061" s="2" t="str">
        <f>IFERROR(__xludf.DUMMYFUNCTION("""COMPUTED_VALUE"""),"EASTERN BANK LTD.")</f>
        <v>EASTERN BANK LTD.</v>
      </c>
      <c r="E3061" s="2" t="str">
        <f>IFERROR(__xludf.DUMMYFUNCTION("""COMPUTED_VALUE"""),"NAZIR HAT")</f>
        <v>NAZIR HAT</v>
      </c>
      <c r="F3061" s="3">
        <f>IFERROR(__xludf.DUMMYFUNCTION("""COMPUTED_VALUE"""),559.0)</f>
        <v>559</v>
      </c>
      <c r="G3061" s="5">
        <f>IFERROR(__xludf.DUMMYFUNCTION("""COMPUTED_VALUE"""),9.5155599E7)</f>
        <v>95155599</v>
      </c>
    </row>
    <row r="3062">
      <c r="A3062" s="3">
        <f>IFERROR(__xludf.DUMMYFUNCTION("""COMPUTED_VALUE"""),215.0)</f>
        <v>215</v>
      </c>
      <c r="B3062" s="2" t="str">
        <f>IFERROR(__xludf.DUMMYFUNCTION("""COMPUTED_VALUE"""),"CHITTAGONG")</f>
        <v>CHITTAGONG</v>
      </c>
      <c r="C3062" s="4">
        <f>IFERROR(__xludf.DUMMYFUNCTION("""COMPUTED_VALUE"""),95.0)</f>
        <v>95</v>
      </c>
      <c r="D3062" s="2" t="str">
        <f>IFERROR(__xludf.DUMMYFUNCTION("""COMPUTED_VALUE"""),"EASTERN BANK LTD.")</f>
        <v>EASTERN BANK LTD.</v>
      </c>
      <c r="E3062" s="2" t="str">
        <f>IFERROR(__xludf.DUMMYFUNCTION("""COMPUTED_VALUE"""),"O.R. NIZAM ROAD")</f>
        <v>O.R. NIZAM ROAD</v>
      </c>
      <c r="F3062" s="3">
        <f>IFERROR(__xludf.DUMMYFUNCTION("""COMPUTED_VALUE"""),580.0)</f>
        <v>580</v>
      </c>
      <c r="G3062" s="5">
        <f>IFERROR(__xludf.DUMMYFUNCTION("""COMPUTED_VALUE"""),9.5155807E7)</f>
        <v>95155807</v>
      </c>
    </row>
    <row r="3063">
      <c r="A3063" s="3">
        <f>IFERROR(__xludf.DUMMYFUNCTION("""COMPUTED_VALUE"""),215.0)</f>
        <v>215</v>
      </c>
      <c r="B3063" s="2" t="str">
        <f>IFERROR(__xludf.DUMMYFUNCTION("""COMPUTED_VALUE"""),"CHITTAGONG")</f>
        <v>CHITTAGONG</v>
      </c>
      <c r="C3063" s="4">
        <f>IFERROR(__xludf.DUMMYFUNCTION("""COMPUTED_VALUE"""),95.0)</f>
        <v>95</v>
      </c>
      <c r="D3063" s="2" t="str">
        <f>IFERROR(__xludf.DUMMYFUNCTION("""COMPUTED_VALUE"""),"EASTERN BANK LTD.")</f>
        <v>EASTERN BANK LTD.</v>
      </c>
      <c r="E3063" s="2" t="str">
        <f>IFERROR(__xludf.DUMMYFUNCTION("""COMPUTED_VALUE"""),"PANCHLAISH")</f>
        <v>PANCHLAISH</v>
      </c>
      <c r="F3063" s="3">
        <f>IFERROR(__xludf.DUMMYFUNCTION("""COMPUTED_VALUE"""),604.0)</f>
        <v>604</v>
      </c>
      <c r="G3063" s="5">
        <f>IFERROR(__xludf.DUMMYFUNCTION("""COMPUTED_VALUE"""),9.5156048E7)</f>
        <v>95156048</v>
      </c>
    </row>
    <row r="3064">
      <c r="A3064" s="3">
        <f>IFERROR(__xludf.DUMMYFUNCTION("""COMPUTED_VALUE"""),215.0)</f>
        <v>215</v>
      </c>
      <c r="B3064" s="2" t="str">
        <f>IFERROR(__xludf.DUMMYFUNCTION("""COMPUTED_VALUE"""),"CHITTAGONG")</f>
        <v>CHITTAGONG</v>
      </c>
      <c r="C3064" s="4">
        <f>IFERROR(__xludf.DUMMYFUNCTION("""COMPUTED_VALUE"""),95.0)</f>
        <v>95</v>
      </c>
      <c r="D3064" s="2" t="str">
        <f>IFERROR(__xludf.DUMMYFUNCTION("""COMPUTED_VALUE"""),"EASTERN BANK LTD.")</f>
        <v>EASTERN BANK LTD.</v>
      </c>
      <c r="E3064" s="2" t="str">
        <f>IFERROR(__xludf.DUMMYFUNCTION("""COMPUTED_VALUE"""),"RAOZAN")</f>
        <v>RAOZAN</v>
      </c>
      <c r="F3064" s="3">
        <f>IFERROR(__xludf.DUMMYFUNCTION("""COMPUTED_VALUE"""),649.0)</f>
        <v>649</v>
      </c>
      <c r="G3064" s="5">
        <f>IFERROR(__xludf.DUMMYFUNCTION("""COMPUTED_VALUE"""),9.5156493E7)</f>
        <v>95156493</v>
      </c>
    </row>
    <row r="3065">
      <c r="A3065" s="3">
        <f>IFERROR(__xludf.DUMMYFUNCTION("""COMPUTED_VALUE"""),215.0)</f>
        <v>215</v>
      </c>
      <c r="B3065" s="2" t="str">
        <f>IFERROR(__xludf.DUMMYFUNCTION("""COMPUTED_VALUE"""),"CHITTAGONG")</f>
        <v>CHITTAGONG</v>
      </c>
      <c r="C3065" s="4">
        <f>IFERROR(__xludf.DUMMYFUNCTION("""COMPUTED_VALUE"""),95.0)</f>
        <v>95</v>
      </c>
      <c r="D3065" s="2" t="str">
        <f>IFERROR(__xludf.DUMMYFUNCTION("""COMPUTED_VALUE"""),"EASTERN BANK LTD.")</f>
        <v>EASTERN BANK LTD.</v>
      </c>
      <c r="E3065" s="2" t="str">
        <f>IFERROR(__xludf.DUMMYFUNCTION("""COMPUTED_VALUE"""),"SIRAJUDDOWLA ROAD")</f>
        <v>SIRAJUDDOWLA ROAD</v>
      </c>
      <c r="F3065" s="3">
        <f>IFERROR(__xludf.DUMMYFUNCTION("""COMPUTED_VALUE"""),736.0)</f>
        <v>736</v>
      </c>
      <c r="G3065" s="5">
        <f>IFERROR(__xludf.DUMMYFUNCTION("""COMPUTED_VALUE"""),9.5157368E7)</f>
        <v>95157368</v>
      </c>
    </row>
    <row r="3066">
      <c r="A3066" s="3">
        <f>IFERROR(__xludf.DUMMYFUNCTION("""COMPUTED_VALUE"""),215.0)</f>
        <v>215</v>
      </c>
      <c r="B3066" s="2" t="str">
        <f>IFERROR(__xludf.DUMMYFUNCTION("""COMPUTED_VALUE"""),"CHITTAGONG")</f>
        <v>CHITTAGONG</v>
      </c>
      <c r="C3066" s="4">
        <f>IFERROR(__xludf.DUMMYFUNCTION("""COMPUTED_VALUE"""),95.0)</f>
        <v>95</v>
      </c>
      <c r="D3066" s="2" t="str">
        <f>IFERROR(__xludf.DUMMYFUNCTION("""COMPUTED_VALUE"""),"EASTERN BANK LTD.")</f>
        <v>EASTERN BANK LTD.</v>
      </c>
      <c r="E3066" s="2" t="str">
        <f>IFERROR(__xludf.DUMMYFUNCTION("""COMPUTED_VALUE"""),"STATION ROAD")</f>
        <v>STATION ROAD</v>
      </c>
      <c r="F3066" s="3">
        <f>IFERROR(__xludf.DUMMYFUNCTION("""COMPUTED_VALUE"""),751.0)</f>
        <v>751</v>
      </c>
      <c r="G3066" s="5">
        <f>IFERROR(__xludf.DUMMYFUNCTION("""COMPUTED_VALUE"""),9.5157513E7)</f>
        <v>95157513</v>
      </c>
    </row>
    <row r="3067">
      <c r="A3067" s="3">
        <f>IFERROR(__xludf.DUMMYFUNCTION("""COMPUTED_VALUE"""),119.0)</f>
        <v>119</v>
      </c>
      <c r="B3067" s="2" t="str">
        <f>IFERROR(__xludf.DUMMYFUNCTION("""COMPUTED_VALUE"""),"COMILLA")</f>
        <v>COMILLA</v>
      </c>
      <c r="C3067" s="4">
        <f>IFERROR(__xludf.DUMMYFUNCTION("""COMPUTED_VALUE"""),95.0)</f>
        <v>95</v>
      </c>
      <c r="D3067" s="2" t="str">
        <f>IFERROR(__xludf.DUMMYFUNCTION("""COMPUTED_VALUE"""),"EASTERN BANK LTD.")</f>
        <v>EASTERN BANK LTD.</v>
      </c>
      <c r="E3067" s="2" t="str">
        <f>IFERROR(__xludf.DUMMYFUNCTION("""COMPUTED_VALUE"""),"COMILLA SME")</f>
        <v>COMILLA SME</v>
      </c>
      <c r="F3067" s="3">
        <f>IFERROR(__xludf.DUMMYFUNCTION("""COMPUTED_VALUE"""),116.0)</f>
        <v>116</v>
      </c>
      <c r="G3067" s="5">
        <f>IFERROR(__xludf.DUMMYFUNCTION("""COMPUTED_VALUE"""),9.5191166E7)</f>
        <v>95191166</v>
      </c>
    </row>
    <row r="3068">
      <c r="A3068" s="3">
        <f>IFERROR(__xludf.DUMMYFUNCTION("""COMPUTED_VALUE"""),222.0)</f>
        <v>222</v>
      </c>
      <c r="B3068" s="2" t="str">
        <f>IFERROR(__xludf.DUMMYFUNCTION("""COMPUTED_VALUE"""),"COXS BAZAR")</f>
        <v>COXS BAZAR</v>
      </c>
      <c r="C3068" s="4">
        <f>IFERROR(__xludf.DUMMYFUNCTION("""COMPUTED_VALUE"""),95.0)</f>
        <v>95</v>
      </c>
      <c r="D3068" s="2" t="str">
        <f>IFERROR(__xludf.DUMMYFUNCTION("""COMPUTED_VALUE"""),"EASTERN BANK LTD.")</f>
        <v>EASTERN BANK LTD.</v>
      </c>
      <c r="E3068" s="2" t="str">
        <f>IFERROR(__xludf.DUMMYFUNCTION("""COMPUTED_VALUE"""),"COXS BAZAR")</f>
        <v>COXS BAZAR</v>
      </c>
      <c r="F3068" s="3">
        <f>IFERROR(__xludf.DUMMYFUNCTION("""COMPUTED_VALUE"""),25.0)</f>
        <v>25</v>
      </c>
      <c r="G3068" s="5">
        <f>IFERROR(__xludf.DUMMYFUNCTION("""COMPUTED_VALUE"""),9.5220253E7)</f>
        <v>95220253</v>
      </c>
    </row>
    <row r="3069">
      <c r="A3069" s="3">
        <f>IFERROR(__xludf.DUMMYFUNCTION("""COMPUTED_VALUE"""),126.0)</f>
        <v>126</v>
      </c>
      <c r="B3069" s="2" t="str">
        <f>IFERROR(__xludf.DUMMYFUNCTION("""COMPUTED_VALUE"""),"DHAKA-NORTH")</f>
        <v>DHAKA-NORTH</v>
      </c>
      <c r="C3069" s="4">
        <f>IFERROR(__xludf.DUMMYFUNCTION("""COMPUTED_VALUE"""),95.0)</f>
        <v>95</v>
      </c>
      <c r="D3069" s="2" t="str">
        <f>IFERROR(__xludf.DUMMYFUNCTION("""COMPUTED_VALUE"""),"EASTERN BANK LTD.")</f>
        <v>EASTERN BANK LTD.</v>
      </c>
      <c r="E3069" s="2" t="str">
        <f>IFERROR(__xludf.DUMMYFUNCTION("""COMPUTED_VALUE"""),"ASHULIA")</f>
        <v>ASHULIA</v>
      </c>
      <c r="F3069" s="3">
        <f>IFERROR(__xludf.DUMMYFUNCTION("""COMPUTED_VALUE"""),22.0)</f>
        <v>22</v>
      </c>
      <c r="G3069" s="5">
        <f>IFERROR(__xludf.DUMMYFUNCTION("""COMPUTED_VALUE"""),9.5260226E7)</f>
        <v>95260226</v>
      </c>
    </row>
    <row r="3070">
      <c r="A3070" s="3">
        <f>IFERROR(__xludf.DUMMYFUNCTION("""COMPUTED_VALUE"""),126.0)</f>
        <v>126</v>
      </c>
      <c r="B3070" s="2" t="str">
        <f>IFERROR(__xludf.DUMMYFUNCTION("""COMPUTED_VALUE"""),"DHAKA-NORTH")</f>
        <v>DHAKA-NORTH</v>
      </c>
      <c r="C3070" s="4">
        <f>IFERROR(__xludf.DUMMYFUNCTION("""COMPUTED_VALUE"""),95.0)</f>
        <v>95</v>
      </c>
      <c r="D3070" s="2" t="str">
        <f>IFERROR(__xludf.DUMMYFUNCTION("""COMPUTED_VALUE"""),"EASTERN BANK LTD.")</f>
        <v>EASTERN BANK LTD.</v>
      </c>
      <c r="E3070" s="2" t="str">
        <f>IFERROR(__xludf.DUMMYFUNCTION("""COMPUTED_VALUE"""),"JASHIM UDDIN ROAD")</f>
        <v>JASHIM UDDIN ROAD</v>
      </c>
      <c r="F3070" s="3">
        <f>IFERROR(__xludf.DUMMYFUNCTION("""COMPUTED_VALUE"""),27.0)</f>
        <v>27</v>
      </c>
      <c r="G3070" s="5">
        <f>IFERROR(__xludf.DUMMYFUNCTION("""COMPUTED_VALUE"""),9.5260271E7)</f>
        <v>95260271</v>
      </c>
    </row>
    <row r="3071">
      <c r="A3071" s="3">
        <f>IFERROR(__xludf.DUMMYFUNCTION("""COMPUTED_VALUE"""),126.0)</f>
        <v>126</v>
      </c>
      <c r="B3071" s="2" t="str">
        <f>IFERROR(__xludf.DUMMYFUNCTION("""COMPUTED_VALUE"""),"DHAKA-NORTH")</f>
        <v>DHAKA-NORTH</v>
      </c>
      <c r="C3071" s="4">
        <f>IFERROR(__xludf.DUMMYFUNCTION("""COMPUTED_VALUE"""),95.0)</f>
        <v>95</v>
      </c>
      <c r="D3071" s="2" t="str">
        <f>IFERROR(__xludf.DUMMYFUNCTION("""COMPUTED_VALUE"""),"EASTERN BANK LTD.")</f>
        <v>EASTERN BANK LTD.</v>
      </c>
      <c r="E3071" s="2" t="str">
        <f>IFERROR(__xludf.DUMMYFUNCTION("""COMPUTED_VALUE"""),"BANANI")</f>
        <v>BANANI</v>
      </c>
      <c r="F3071" s="3">
        <f>IFERROR(__xludf.DUMMYFUNCTION("""COMPUTED_VALUE"""),43.0)</f>
        <v>43</v>
      </c>
      <c r="G3071" s="5">
        <f>IFERROR(__xludf.DUMMYFUNCTION("""COMPUTED_VALUE"""),9.5260439E7)</f>
        <v>95260439</v>
      </c>
    </row>
    <row r="3072">
      <c r="A3072" s="3">
        <f>IFERROR(__xludf.DUMMYFUNCTION("""COMPUTED_VALUE"""),126.0)</f>
        <v>126</v>
      </c>
      <c r="B3072" s="2" t="str">
        <f>IFERROR(__xludf.DUMMYFUNCTION("""COMPUTED_VALUE"""),"DHAKA-NORTH")</f>
        <v>DHAKA-NORTH</v>
      </c>
      <c r="C3072" s="4">
        <f>IFERROR(__xludf.DUMMYFUNCTION("""COMPUTED_VALUE"""),95.0)</f>
        <v>95</v>
      </c>
      <c r="D3072" s="2" t="str">
        <f>IFERROR(__xludf.DUMMYFUNCTION("""COMPUTED_VALUE"""),"EASTERN BANK LTD.")</f>
        <v>EASTERN BANK LTD.</v>
      </c>
      <c r="E3072" s="2" t="str">
        <f>IFERROR(__xludf.DUMMYFUNCTION("""COMPUTED_VALUE"""),"BASHUNDHARA")</f>
        <v>BASHUNDHARA</v>
      </c>
      <c r="F3072" s="3">
        <f>IFERROR(__xludf.DUMMYFUNCTION("""COMPUTED_VALUE"""),55.0)</f>
        <v>55</v>
      </c>
      <c r="G3072" s="5">
        <f>IFERROR(__xludf.DUMMYFUNCTION("""COMPUTED_VALUE"""),9.526055E7)</f>
        <v>95260550</v>
      </c>
    </row>
    <row r="3073">
      <c r="A3073" s="3">
        <f>IFERROR(__xludf.DUMMYFUNCTION("""COMPUTED_VALUE"""),126.0)</f>
        <v>126</v>
      </c>
      <c r="B3073" s="2" t="str">
        <f>IFERROR(__xludf.DUMMYFUNCTION("""COMPUTED_VALUE"""),"DHAKA-NORTH")</f>
        <v>DHAKA-NORTH</v>
      </c>
      <c r="C3073" s="4">
        <f>IFERROR(__xludf.DUMMYFUNCTION("""COMPUTED_VALUE"""),95.0)</f>
        <v>95</v>
      </c>
      <c r="D3073" s="2" t="str">
        <f>IFERROR(__xludf.DUMMYFUNCTION("""COMPUTED_VALUE"""),"EASTERN BANK LTD.")</f>
        <v>EASTERN BANK LTD.</v>
      </c>
      <c r="E3073" s="2" t="str">
        <f>IFERROR(__xludf.DUMMYFUNCTION("""COMPUTED_VALUE"""),"BONOSREE")</f>
        <v>BONOSREE</v>
      </c>
      <c r="F3073" s="4">
        <f>IFERROR(__xludf.DUMMYFUNCTION("""COMPUTED_VALUE"""),72.0)</f>
        <v>72</v>
      </c>
      <c r="G3073" s="5">
        <f>IFERROR(__xludf.DUMMYFUNCTION("""COMPUTED_VALUE"""),9.5260721E7)</f>
        <v>95260721</v>
      </c>
    </row>
    <row r="3074">
      <c r="A3074" s="3">
        <f>IFERROR(__xludf.DUMMYFUNCTION("""COMPUTED_VALUE"""),126.0)</f>
        <v>126</v>
      </c>
      <c r="B3074" s="2" t="str">
        <f>IFERROR(__xludf.DUMMYFUNCTION("""COMPUTED_VALUE"""),"DHAKA-NORTH")</f>
        <v>DHAKA-NORTH</v>
      </c>
      <c r="C3074" s="4">
        <f>IFERROR(__xludf.DUMMYFUNCTION("""COMPUTED_VALUE"""),95.0)</f>
        <v>95</v>
      </c>
      <c r="D3074" s="2" t="str">
        <f>IFERROR(__xludf.DUMMYFUNCTION("""COMPUTED_VALUE"""),"EASTERN BANK LTD.")</f>
        <v>EASTERN BANK LTD.</v>
      </c>
      <c r="E3074" s="2" t="str">
        <f>IFERROR(__xludf.DUMMYFUNCTION("""COMPUTED_VALUE"""),"DAKSHIN KHAN")</f>
        <v>DAKSHIN KHAN</v>
      </c>
      <c r="F3074" s="4">
        <f>IFERROR(__xludf.DUMMYFUNCTION("""COMPUTED_VALUE"""),91.0)</f>
        <v>91</v>
      </c>
      <c r="G3074" s="5">
        <f>IFERROR(__xludf.DUMMYFUNCTION("""COMPUTED_VALUE"""),9.5260918E7)</f>
        <v>95260918</v>
      </c>
    </row>
    <row r="3075">
      <c r="A3075" s="3">
        <f>IFERROR(__xludf.DUMMYFUNCTION("""COMPUTED_VALUE"""),126.0)</f>
        <v>126</v>
      </c>
      <c r="B3075" s="2" t="str">
        <f>IFERROR(__xludf.DUMMYFUNCTION("""COMPUTED_VALUE"""),"DHAKA-NORTH")</f>
        <v>DHAKA-NORTH</v>
      </c>
      <c r="C3075" s="4">
        <f>IFERROR(__xludf.DUMMYFUNCTION("""COMPUTED_VALUE"""),95.0)</f>
        <v>95</v>
      </c>
      <c r="D3075" s="2" t="str">
        <f>IFERROR(__xludf.DUMMYFUNCTION("""COMPUTED_VALUE"""),"EASTERN BANK LTD.")</f>
        <v>EASTERN BANK LTD.</v>
      </c>
      <c r="E3075" s="2" t="str">
        <f>IFERROR(__xludf.DUMMYFUNCTION("""COMPUTED_VALUE"""),"DEPZ")</f>
        <v>DEPZ</v>
      </c>
      <c r="F3075" s="4">
        <f>IFERROR(__xludf.DUMMYFUNCTION("""COMPUTED_VALUE"""),109.0)</f>
        <v>109</v>
      </c>
      <c r="G3075" s="5">
        <f>IFERROR(__xludf.DUMMYFUNCTION("""COMPUTED_VALUE"""),9.5261096E7)</f>
        <v>95261096</v>
      </c>
    </row>
    <row r="3076">
      <c r="A3076" s="3">
        <f>IFERROR(__xludf.DUMMYFUNCTION("""COMPUTED_VALUE"""),126.0)</f>
        <v>126</v>
      </c>
      <c r="B3076" s="2" t="str">
        <f>IFERROR(__xludf.DUMMYFUNCTION("""COMPUTED_VALUE"""),"DHAKA-NORTH")</f>
        <v>DHAKA-NORTH</v>
      </c>
      <c r="C3076" s="4">
        <f>IFERROR(__xludf.DUMMYFUNCTION("""COMPUTED_VALUE"""),95.0)</f>
        <v>95</v>
      </c>
      <c r="D3076" s="2" t="str">
        <f>IFERROR(__xludf.DUMMYFUNCTION("""COMPUTED_VALUE"""),"EASTERN BANK LTD.")</f>
        <v>EASTERN BANK LTD.</v>
      </c>
      <c r="E3076" s="2" t="str">
        <f>IFERROR(__xludf.DUMMYFUNCTION("""COMPUTED_VALUE"""),"DHANMONDI")</f>
        <v>DHANMONDI</v>
      </c>
      <c r="F3076" s="4">
        <f>IFERROR(__xludf.DUMMYFUNCTION("""COMPUTED_VALUE"""),118.0)</f>
        <v>118</v>
      </c>
      <c r="G3076" s="5">
        <f>IFERROR(__xludf.DUMMYFUNCTION("""COMPUTED_VALUE"""),9.5261188E7)</f>
        <v>95261188</v>
      </c>
    </row>
    <row r="3077">
      <c r="A3077" s="3">
        <f>IFERROR(__xludf.DUMMYFUNCTION("""COMPUTED_VALUE"""),126.0)</f>
        <v>126</v>
      </c>
      <c r="B3077" s="2" t="str">
        <f>IFERROR(__xludf.DUMMYFUNCTION("""COMPUTED_VALUE"""),"DHAKA-NORTH")</f>
        <v>DHAKA-NORTH</v>
      </c>
      <c r="C3077" s="4">
        <f>IFERROR(__xludf.DUMMYFUNCTION("""COMPUTED_VALUE"""),95.0)</f>
        <v>95</v>
      </c>
      <c r="D3077" s="2" t="str">
        <f>IFERROR(__xludf.DUMMYFUNCTION("""COMPUTED_VALUE"""),"EASTERN BANK LTD.")</f>
        <v>EASTERN BANK LTD.</v>
      </c>
      <c r="E3077" s="2" t="str">
        <f>IFERROR(__xludf.DUMMYFUNCTION("""COMPUTED_VALUE"""),"GULSHAN")</f>
        <v>GULSHAN</v>
      </c>
      <c r="F3077" s="4">
        <f>IFERROR(__xludf.DUMMYFUNCTION("""COMPUTED_VALUE"""),172.0)</f>
        <v>172</v>
      </c>
      <c r="G3077" s="5">
        <f>IFERROR(__xludf.DUMMYFUNCTION("""COMPUTED_VALUE"""),9.526172E7)</f>
        <v>95261720</v>
      </c>
    </row>
    <row r="3078">
      <c r="A3078" s="3">
        <f>IFERROR(__xludf.DUMMYFUNCTION("""COMPUTED_VALUE"""),126.0)</f>
        <v>126</v>
      </c>
      <c r="B3078" s="2" t="str">
        <f>IFERROR(__xludf.DUMMYFUNCTION("""COMPUTED_VALUE"""),"DHAKA-NORTH")</f>
        <v>DHAKA-NORTH</v>
      </c>
      <c r="C3078" s="4">
        <f>IFERROR(__xludf.DUMMYFUNCTION("""COMPUTED_VALUE"""),95.0)</f>
        <v>95</v>
      </c>
      <c r="D3078" s="2" t="str">
        <f>IFERROR(__xludf.DUMMYFUNCTION("""COMPUTED_VALUE"""),"EASTERN BANK LTD.")</f>
        <v>EASTERN BANK LTD.</v>
      </c>
      <c r="E3078" s="2" t="str">
        <f>IFERROR(__xludf.DUMMYFUNCTION("""COMPUTED_VALUE"""),"GULSHAN AVENUE")</f>
        <v>GULSHAN AVENUE</v>
      </c>
      <c r="F3078" s="4">
        <f>IFERROR(__xludf.DUMMYFUNCTION("""COMPUTED_VALUE"""),173.0)</f>
        <v>173</v>
      </c>
      <c r="G3078" s="5">
        <f>IFERROR(__xludf.DUMMYFUNCTION("""COMPUTED_VALUE"""),9.5261733E7)</f>
        <v>95261733</v>
      </c>
    </row>
    <row r="3079">
      <c r="A3079" s="3">
        <f>IFERROR(__xludf.DUMMYFUNCTION("""COMPUTED_VALUE"""),126.0)</f>
        <v>126</v>
      </c>
      <c r="B3079" s="2" t="str">
        <f>IFERROR(__xludf.DUMMYFUNCTION("""COMPUTED_VALUE"""),"DHAKA-NORTH")</f>
        <v>DHAKA-NORTH</v>
      </c>
      <c r="C3079" s="4">
        <f>IFERROR(__xludf.DUMMYFUNCTION("""COMPUTED_VALUE"""),95.0)</f>
        <v>95</v>
      </c>
      <c r="D3079" s="2" t="str">
        <f>IFERROR(__xludf.DUMMYFUNCTION("""COMPUTED_VALUE"""),"EASTERN BANK LTD.")</f>
        <v>EASTERN BANK LTD.</v>
      </c>
      <c r="E3079" s="2" t="str">
        <f>IFERROR(__xludf.DUMMYFUNCTION("""COMPUTED_VALUE"""),"GULSHAN NORTH")</f>
        <v>GULSHAN NORTH</v>
      </c>
      <c r="F3079" s="4">
        <f>IFERROR(__xludf.DUMMYFUNCTION("""COMPUTED_VALUE"""),190.0)</f>
        <v>190</v>
      </c>
      <c r="G3079" s="5">
        <f>IFERROR(__xludf.DUMMYFUNCTION("""COMPUTED_VALUE"""),9.5261904E7)</f>
        <v>95261904</v>
      </c>
    </row>
    <row r="3080">
      <c r="A3080" s="3">
        <f>IFERROR(__xludf.DUMMYFUNCTION("""COMPUTED_VALUE"""),126.0)</f>
        <v>126</v>
      </c>
      <c r="B3080" s="2" t="str">
        <f>IFERROR(__xludf.DUMMYFUNCTION("""COMPUTED_VALUE"""),"DHAKA-NORTH")</f>
        <v>DHAKA-NORTH</v>
      </c>
      <c r="C3080" s="4">
        <f>IFERROR(__xludf.DUMMYFUNCTION("""COMPUTED_VALUE"""),95.0)</f>
        <v>95</v>
      </c>
      <c r="D3080" s="2" t="str">
        <f>IFERROR(__xludf.DUMMYFUNCTION("""COMPUTED_VALUE"""),"EASTERN BANK LTD.")</f>
        <v>EASTERN BANK LTD.</v>
      </c>
      <c r="E3080" s="2" t="str">
        <f>IFERROR(__xludf.DUMMYFUNCTION("""COMPUTED_VALUE"""),"MIRPUR")</f>
        <v>MIRPUR</v>
      </c>
      <c r="F3080" s="4">
        <f>IFERROR(__xludf.DUMMYFUNCTION("""COMPUTED_VALUE"""),298.0)</f>
        <v>298</v>
      </c>
      <c r="G3080" s="5">
        <f>IFERROR(__xludf.DUMMYFUNCTION("""COMPUTED_VALUE"""),9.5262987E7)</f>
        <v>95262987</v>
      </c>
    </row>
    <row r="3081">
      <c r="A3081" s="3">
        <f>IFERROR(__xludf.DUMMYFUNCTION("""COMPUTED_VALUE"""),126.0)</f>
        <v>126</v>
      </c>
      <c r="B3081" s="2" t="str">
        <f>IFERROR(__xludf.DUMMYFUNCTION("""COMPUTED_VALUE"""),"DHAKA-NORTH")</f>
        <v>DHAKA-NORTH</v>
      </c>
      <c r="C3081" s="4">
        <f>IFERROR(__xludf.DUMMYFUNCTION("""COMPUTED_VALUE"""),95.0)</f>
        <v>95</v>
      </c>
      <c r="D3081" s="2" t="str">
        <f>IFERROR(__xludf.DUMMYFUNCTION("""COMPUTED_VALUE"""),"EASTERN BANK LTD.")</f>
        <v>EASTERN BANK LTD.</v>
      </c>
      <c r="E3081" s="2" t="str">
        <f>IFERROR(__xludf.DUMMYFUNCTION("""COMPUTED_VALUE"""),"MIRPUR DAR-US-SALM ROAD")</f>
        <v>MIRPUR DAR-US-SALM ROAD</v>
      </c>
      <c r="F3081" s="4">
        <f>IFERROR(__xludf.DUMMYFUNCTION("""COMPUTED_VALUE"""),300.0)</f>
        <v>300</v>
      </c>
      <c r="G3081" s="5">
        <f>IFERROR(__xludf.DUMMYFUNCTION("""COMPUTED_VALUE"""),9.5263007E7)</f>
        <v>95263007</v>
      </c>
    </row>
    <row r="3082">
      <c r="A3082" s="3">
        <f>IFERROR(__xludf.DUMMYFUNCTION("""COMPUTED_VALUE"""),126.0)</f>
        <v>126</v>
      </c>
      <c r="B3082" s="2" t="str">
        <f>IFERROR(__xludf.DUMMYFUNCTION("""COMPUTED_VALUE"""),"DHAKA-NORTH")</f>
        <v>DHAKA-NORTH</v>
      </c>
      <c r="C3082" s="4">
        <f>IFERROR(__xludf.DUMMYFUNCTION("""COMPUTED_VALUE"""),95.0)</f>
        <v>95</v>
      </c>
      <c r="D3082" s="2" t="str">
        <f>IFERROR(__xludf.DUMMYFUNCTION("""COMPUTED_VALUE"""),"EASTERN BANK LTD.")</f>
        <v>EASTERN BANK LTD.</v>
      </c>
      <c r="E3082" s="2" t="str">
        <f>IFERROR(__xludf.DUMMYFUNCTION("""COMPUTED_VALUE"""),"PRAGATI SARANI")</f>
        <v>PRAGATI SARANI</v>
      </c>
      <c r="F3082" s="4">
        <f>IFERROR(__xludf.DUMMYFUNCTION("""COMPUTED_VALUE"""),370.0)</f>
        <v>370</v>
      </c>
      <c r="G3082" s="5">
        <f>IFERROR(__xludf.DUMMYFUNCTION("""COMPUTED_VALUE"""),9.5263702E7)</f>
        <v>95263702</v>
      </c>
    </row>
    <row r="3083">
      <c r="A3083" s="3">
        <f>IFERROR(__xludf.DUMMYFUNCTION("""COMPUTED_VALUE"""),126.0)</f>
        <v>126</v>
      </c>
      <c r="B3083" s="2" t="str">
        <f>IFERROR(__xludf.DUMMYFUNCTION("""COMPUTED_VALUE"""),"DHAKA-NORTH")</f>
        <v>DHAKA-NORTH</v>
      </c>
      <c r="C3083" s="4">
        <f>IFERROR(__xludf.DUMMYFUNCTION("""COMPUTED_VALUE"""),95.0)</f>
        <v>95</v>
      </c>
      <c r="D3083" s="2" t="str">
        <f>IFERROR(__xludf.DUMMYFUNCTION("""COMPUTED_VALUE"""),"EASTERN BANK LTD.")</f>
        <v>EASTERN BANK LTD.</v>
      </c>
      <c r="E3083" s="2" t="str">
        <f>IFERROR(__xludf.DUMMYFUNCTION("""COMPUTED_VALUE"""),"SATMASJID ROAD")</f>
        <v>SATMASJID ROAD</v>
      </c>
      <c r="F3083" s="4">
        <f>IFERROR(__xludf.DUMMYFUNCTION("""COMPUTED_VALUE"""),403.0)</f>
        <v>403</v>
      </c>
      <c r="G3083" s="5">
        <f>IFERROR(__xludf.DUMMYFUNCTION("""COMPUTED_VALUE"""),9.5264035E7)</f>
        <v>95264035</v>
      </c>
    </row>
    <row r="3084">
      <c r="A3084" s="3">
        <f>IFERROR(__xludf.DUMMYFUNCTION("""COMPUTED_VALUE"""),126.0)</f>
        <v>126</v>
      </c>
      <c r="B3084" s="2" t="str">
        <f>IFERROR(__xludf.DUMMYFUNCTION("""COMPUTED_VALUE"""),"DHAKA-NORTH")</f>
        <v>DHAKA-NORTH</v>
      </c>
      <c r="C3084" s="4">
        <f>IFERROR(__xludf.DUMMYFUNCTION("""COMPUTED_VALUE"""),95.0)</f>
        <v>95</v>
      </c>
      <c r="D3084" s="2" t="str">
        <f>IFERROR(__xludf.DUMMYFUNCTION("""COMPUTED_VALUE"""),"EASTERN BANK LTD.")</f>
        <v>EASTERN BANK LTD.</v>
      </c>
      <c r="E3084" s="2" t="str">
        <f>IFERROR(__xludf.DUMMYFUNCTION("""COMPUTED_VALUE"""),"SAVAR")</f>
        <v>SAVAR</v>
      </c>
      <c r="F3084" s="4">
        <f>IFERROR(__xludf.DUMMYFUNCTION("""COMPUTED_VALUE"""),409.0)</f>
        <v>409</v>
      </c>
      <c r="G3084" s="5">
        <f>IFERROR(__xludf.DUMMYFUNCTION("""COMPUTED_VALUE"""),9.5264093E7)</f>
        <v>95264093</v>
      </c>
    </row>
    <row r="3085">
      <c r="A3085" s="3">
        <f>IFERROR(__xludf.DUMMYFUNCTION("""COMPUTED_VALUE"""),126.0)</f>
        <v>126</v>
      </c>
      <c r="B3085" s="2" t="str">
        <f>IFERROR(__xludf.DUMMYFUNCTION("""COMPUTED_VALUE"""),"DHAKA-NORTH")</f>
        <v>DHAKA-NORTH</v>
      </c>
      <c r="C3085" s="4">
        <f>IFERROR(__xludf.DUMMYFUNCTION("""COMPUTED_VALUE"""),95.0)</f>
        <v>95</v>
      </c>
      <c r="D3085" s="2" t="str">
        <f>IFERROR(__xludf.DUMMYFUNCTION("""COMPUTED_VALUE"""),"EASTERN BANK LTD.")</f>
        <v>EASTERN BANK LTD.</v>
      </c>
      <c r="E3085" s="2" t="str">
        <f>IFERROR(__xludf.DUMMYFUNCTION("""COMPUTED_VALUE"""),"SHYAMALI")</f>
        <v>SHYAMALI</v>
      </c>
      <c r="F3085" s="4">
        <f>IFERROR(__xludf.DUMMYFUNCTION("""COMPUTED_VALUE"""),430.0)</f>
        <v>430</v>
      </c>
      <c r="G3085" s="5">
        <f>IFERROR(__xludf.DUMMYFUNCTION("""COMPUTED_VALUE"""),9.5264301E7)</f>
        <v>95264301</v>
      </c>
    </row>
    <row r="3086">
      <c r="A3086" s="3">
        <f>IFERROR(__xludf.DUMMYFUNCTION("""COMPUTED_VALUE"""),126.0)</f>
        <v>126</v>
      </c>
      <c r="B3086" s="2" t="str">
        <f>IFERROR(__xludf.DUMMYFUNCTION("""COMPUTED_VALUE"""),"DHAKA-NORTH")</f>
        <v>DHAKA-NORTH</v>
      </c>
      <c r="C3086" s="4">
        <f>IFERROR(__xludf.DUMMYFUNCTION("""COMPUTED_VALUE"""),95.0)</f>
        <v>95</v>
      </c>
      <c r="D3086" s="2" t="str">
        <f>IFERROR(__xludf.DUMMYFUNCTION("""COMPUTED_VALUE"""),"EASTERN BANK LTD.")</f>
        <v>EASTERN BANK LTD.</v>
      </c>
      <c r="E3086" s="2" t="str">
        <f>IFERROR(__xludf.DUMMYFUNCTION("""COMPUTED_VALUE"""),"UTTARA")</f>
        <v>UTTARA</v>
      </c>
      <c r="F3086" s="4">
        <f>IFERROR(__xludf.DUMMYFUNCTION("""COMPUTED_VALUE"""),463.0)</f>
        <v>463</v>
      </c>
      <c r="G3086" s="5">
        <f>IFERROR(__xludf.DUMMYFUNCTION("""COMPUTED_VALUE"""),9.5264635E7)</f>
        <v>95264635</v>
      </c>
    </row>
    <row r="3087">
      <c r="A3087" s="3">
        <f>IFERROR(__xludf.DUMMYFUNCTION("""COMPUTED_VALUE"""),126.0)</f>
        <v>126</v>
      </c>
      <c r="B3087" s="2" t="str">
        <f>IFERROR(__xludf.DUMMYFUNCTION("""COMPUTED_VALUE"""),"DHAKA-NORTH")</f>
        <v>DHAKA-NORTH</v>
      </c>
      <c r="C3087" s="4">
        <f>IFERROR(__xludf.DUMMYFUNCTION("""COMPUTED_VALUE"""),95.0)</f>
        <v>95</v>
      </c>
      <c r="D3087" s="2" t="str">
        <f>IFERROR(__xludf.DUMMYFUNCTION("""COMPUTED_VALUE"""),"EASTERN BANK LTD.")</f>
        <v>EASTERN BANK LTD.</v>
      </c>
      <c r="E3087" s="2" t="str">
        <f>IFERROR(__xludf.DUMMYFUNCTION("""COMPUTED_VALUE"""),"UTTARA MODEL TOWN")</f>
        <v>UTTARA MODEL TOWN</v>
      </c>
      <c r="F3087" s="4">
        <f>IFERROR(__xludf.DUMMYFUNCTION("""COMPUTED_VALUE"""),469.0)</f>
        <v>469</v>
      </c>
      <c r="G3087" s="5">
        <f>IFERROR(__xludf.DUMMYFUNCTION("""COMPUTED_VALUE"""),9.5264693E7)</f>
        <v>95264693</v>
      </c>
    </row>
    <row r="3088">
      <c r="A3088" s="3">
        <f>IFERROR(__xludf.DUMMYFUNCTION("""COMPUTED_VALUE"""),127.0)</f>
        <v>127</v>
      </c>
      <c r="B3088" s="2" t="str">
        <f>IFERROR(__xludf.DUMMYFUNCTION("""COMPUTED_VALUE"""),"DHAKA-SOUTH")</f>
        <v>DHAKA-SOUTH</v>
      </c>
      <c r="C3088" s="4">
        <f>IFERROR(__xludf.DUMMYFUNCTION("""COMPUTED_VALUE"""),95.0)</f>
        <v>95</v>
      </c>
      <c r="D3088" s="2" t="str">
        <f>IFERROR(__xludf.DUMMYFUNCTION("""COMPUTED_VALUE"""),"EASTERN BANK LTD.")</f>
        <v>EASTERN BANK LTD.</v>
      </c>
      <c r="E3088" s="2" t="str">
        <f>IFERROR(__xludf.DUMMYFUNCTION("""COMPUTED_VALUE"""),"TRUNCATION POINT")</f>
        <v>TRUNCATION POINT</v>
      </c>
      <c r="F3088" s="4">
        <f>IFERROR(__xludf.DUMMYFUNCTION("""COMPUTED_VALUE"""),0.0)</f>
        <v>0</v>
      </c>
      <c r="G3088" s="5">
        <f>IFERROR(__xludf.DUMMYFUNCTION("""COMPUTED_VALUE"""),9.5270003E7)</f>
        <v>95270003</v>
      </c>
    </row>
    <row r="3089">
      <c r="A3089" s="3">
        <f>IFERROR(__xludf.DUMMYFUNCTION("""COMPUTED_VALUE"""),127.0)</f>
        <v>127</v>
      </c>
      <c r="B3089" s="2" t="str">
        <f>IFERROR(__xludf.DUMMYFUNCTION("""COMPUTED_VALUE"""),"DHAKA-SOUTH")</f>
        <v>DHAKA-SOUTH</v>
      </c>
      <c r="C3089" s="4">
        <f>IFERROR(__xludf.DUMMYFUNCTION("""COMPUTED_VALUE"""),95.0)</f>
        <v>95</v>
      </c>
      <c r="D3089" s="2" t="str">
        <f>IFERROR(__xludf.DUMMYFUNCTION("""COMPUTED_VALUE"""),"EASTERN BANK LTD.")</f>
        <v>EASTERN BANK LTD.</v>
      </c>
      <c r="E3089" s="2" t="str">
        <f>IFERROR(__xludf.DUMMYFUNCTION("""COMPUTED_VALUE"""),"AZIMPUR")</f>
        <v>AZIMPUR</v>
      </c>
      <c r="F3089" s="4">
        <f>IFERROR(__xludf.DUMMYFUNCTION("""COMPUTED_VALUE"""),37.0)</f>
        <v>37</v>
      </c>
      <c r="G3089" s="5">
        <f>IFERROR(__xludf.DUMMYFUNCTION("""COMPUTED_VALUE"""),9.5270379E7)</f>
        <v>95270379</v>
      </c>
    </row>
    <row r="3090">
      <c r="A3090" s="3">
        <f>IFERROR(__xludf.DUMMYFUNCTION("""COMPUTED_VALUE"""),127.0)</f>
        <v>127</v>
      </c>
      <c r="B3090" s="2" t="str">
        <f>IFERROR(__xludf.DUMMYFUNCTION("""COMPUTED_VALUE"""),"DHAKA-SOUTH")</f>
        <v>DHAKA-SOUTH</v>
      </c>
      <c r="C3090" s="4">
        <f>IFERROR(__xludf.DUMMYFUNCTION("""COMPUTED_VALUE"""),95.0)</f>
        <v>95</v>
      </c>
      <c r="D3090" s="2" t="str">
        <f>IFERROR(__xludf.DUMMYFUNCTION("""COMPUTED_VALUE"""),"EASTERN BANK LTD.")</f>
        <v>EASTERN BANK LTD.</v>
      </c>
      <c r="E3090" s="2" t="str">
        <f>IFERROR(__xludf.DUMMYFUNCTION("""COMPUTED_VALUE"""),"CHAWK MOGULTULY")</f>
        <v>CHAWK MOGULTULY</v>
      </c>
      <c r="F3090" s="4">
        <f>IFERROR(__xludf.DUMMYFUNCTION("""COMPUTED_VALUE"""),130.0)</f>
        <v>130</v>
      </c>
      <c r="G3090" s="5">
        <f>IFERROR(__xludf.DUMMYFUNCTION("""COMPUTED_VALUE"""),9.5271307E7)</f>
        <v>95271307</v>
      </c>
    </row>
    <row r="3091">
      <c r="A3091" s="3">
        <f>IFERROR(__xludf.DUMMYFUNCTION("""COMPUTED_VALUE"""),127.0)</f>
        <v>127</v>
      </c>
      <c r="B3091" s="2" t="str">
        <f>IFERROR(__xludf.DUMMYFUNCTION("""COMPUTED_VALUE"""),"DHAKA-SOUTH")</f>
        <v>DHAKA-SOUTH</v>
      </c>
      <c r="C3091" s="4">
        <f>IFERROR(__xludf.DUMMYFUNCTION("""COMPUTED_VALUE"""),95.0)</f>
        <v>95</v>
      </c>
      <c r="D3091" s="2" t="str">
        <f>IFERROR(__xludf.DUMMYFUNCTION("""COMPUTED_VALUE"""),"EASTERN BANK LTD.")</f>
        <v>EASTERN BANK LTD.</v>
      </c>
      <c r="E3091" s="2" t="str">
        <f>IFERROR(__xludf.DUMMYFUNCTION("""COMPUTED_VALUE"""),"DOHAR")</f>
        <v>DOHAR</v>
      </c>
      <c r="F3091" s="4">
        <f>IFERROR(__xludf.DUMMYFUNCTION("""COMPUTED_VALUE"""),205.0)</f>
        <v>205</v>
      </c>
      <c r="G3091" s="5">
        <f>IFERROR(__xludf.DUMMYFUNCTION("""COMPUTED_VALUE"""),9.5272056E7)</f>
        <v>95272056</v>
      </c>
    </row>
    <row r="3092">
      <c r="A3092" s="3">
        <f>IFERROR(__xludf.DUMMYFUNCTION("""COMPUTED_VALUE"""),127.0)</f>
        <v>127</v>
      </c>
      <c r="B3092" s="2" t="str">
        <f>IFERROR(__xludf.DUMMYFUNCTION("""COMPUTED_VALUE"""),"DHAKA-SOUTH")</f>
        <v>DHAKA-SOUTH</v>
      </c>
      <c r="C3092" s="4">
        <f>IFERROR(__xludf.DUMMYFUNCTION("""COMPUTED_VALUE"""),95.0)</f>
        <v>95</v>
      </c>
      <c r="D3092" s="2" t="str">
        <f>IFERROR(__xludf.DUMMYFUNCTION("""COMPUTED_VALUE"""),"EASTERN BANK LTD.")</f>
        <v>EASTERN BANK LTD.</v>
      </c>
      <c r="E3092" s="2" t="str">
        <f>IFERROR(__xludf.DUMMYFUNCTION("""COMPUTED_VALUE"""),"ENGLISH ROAD")</f>
        <v>ENGLISH ROAD</v>
      </c>
      <c r="F3092" s="4">
        <f>IFERROR(__xludf.DUMMYFUNCTION("""COMPUTED_VALUE"""),214.0)</f>
        <v>214</v>
      </c>
      <c r="G3092" s="5">
        <f>IFERROR(__xludf.DUMMYFUNCTION("""COMPUTED_VALUE"""),9.5272148E7)</f>
        <v>95272148</v>
      </c>
    </row>
    <row r="3093">
      <c r="A3093" s="3">
        <f>IFERROR(__xludf.DUMMYFUNCTION("""COMPUTED_VALUE"""),127.0)</f>
        <v>127</v>
      </c>
      <c r="B3093" s="2" t="str">
        <f>IFERROR(__xludf.DUMMYFUNCTION("""COMPUTED_VALUE"""),"DHAKA-SOUTH")</f>
        <v>DHAKA-SOUTH</v>
      </c>
      <c r="C3093" s="4">
        <f>IFERROR(__xludf.DUMMYFUNCTION("""COMPUTED_VALUE"""),95.0)</f>
        <v>95</v>
      </c>
      <c r="D3093" s="2" t="str">
        <f>IFERROR(__xludf.DUMMYFUNCTION("""COMPUTED_VALUE"""),"EASTERN BANK LTD.")</f>
        <v>EASTERN BANK LTD.</v>
      </c>
      <c r="E3093" s="2" t="str">
        <f>IFERROR(__xludf.DUMMYFUNCTION("""COMPUTED_VALUE"""),"KERANIGANJ")</f>
        <v>KERANIGANJ</v>
      </c>
      <c r="F3093" s="4">
        <f>IFERROR(__xludf.DUMMYFUNCTION("""COMPUTED_VALUE"""),364.0)</f>
        <v>364</v>
      </c>
      <c r="G3093" s="5">
        <f>IFERROR(__xludf.DUMMYFUNCTION("""COMPUTED_VALUE"""),9.5273642E7)</f>
        <v>95273642</v>
      </c>
    </row>
    <row r="3094">
      <c r="A3094" s="3">
        <f>IFERROR(__xludf.DUMMYFUNCTION("""COMPUTED_VALUE"""),127.0)</f>
        <v>127</v>
      </c>
      <c r="B3094" s="2" t="str">
        <f>IFERROR(__xludf.DUMMYFUNCTION("""COMPUTED_VALUE"""),"DHAKA-SOUTH")</f>
        <v>DHAKA-SOUTH</v>
      </c>
      <c r="C3094" s="4">
        <f>IFERROR(__xludf.DUMMYFUNCTION("""COMPUTED_VALUE"""),95.0)</f>
        <v>95</v>
      </c>
      <c r="D3094" s="2" t="str">
        <f>IFERROR(__xludf.DUMMYFUNCTION("""COMPUTED_VALUE"""),"EASTERN BANK LTD.")</f>
        <v>EASTERN BANK LTD.</v>
      </c>
      <c r="E3094" s="2" t="str">
        <f>IFERROR(__xludf.DUMMYFUNCTION("""COMPUTED_VALUE"""),"KERANIGANJ SME")</f>
        <v>KERANIGANJ SME</v>
      </c>
      <c r="F3094" s="4">
        <f>IFERROR(__xludf.DUMMYFUNCTION("""COMPUTED_VALUE"""),365.0)</f>
        <v>365</v>
      </c>
      <c r="G3094" s="5">
        <f>IFERROR(__xludf.DUMMYFUNCTION("""COMPUTED_VALUE"""),9.5273655E7)</f>
        <v>95273655</v>
      </c>
    </row>
    <row r="3095">
      <c r="A3095" s="3">
        <f>IFERROR(__xludf.DUMMYFUNCTION("""COMPUTED_VALUE"""),127.0)</f>
        <v>127</v>
      </c>
      <c r="B3095" s="2" t="str">
        <f>IFERROR(__xludf.DUMMYFUNCTION("""COMPUTED_VALUE"""),"DHAKA-SOUTH")</f>
        <v>DHAKA-SOUTH</v>
      </c>
      <c r="C3095" s="4">
        <f>IFERROR(__xludf.DUMMYFUNCTION("""COMPUTED_VALUE"""),95.0)</f>
        <v>95</v>
      </c>
      <c r="D3095" s="2" t="str">
        <f>IFERROR(__xludf.DUMMYFUNCTION("""COMPUTED_VALUE"""),"EASTERN BANK LTD.")</f>
        <v>EASTERN BANK LTD.</v>
      </c>
      <c r="E3095" s="2" t="str">
        <f>IFERROR(__xludf.DUMMYFUNCTION("""COMPUTED_VALUE"""),"KHILGAON")</f>
        <v>KHILGAON</v>
      </c>
      <c r="F3095" s="4">
        <f>IFERROR(__xludf.DUMMYFUNCTION("""COMPUTED_VALUE"""),367.0)</f>
        <v>367</v>
      </c>
      <c r="G3095" s="5">
        <f>IFERROR(__xludf.DUMMYFUNCTION("""COMPUTED_VALUE"""),9.5273671E7)</f>
        <v>95273671</v>
      </c>
    </row>
    <row r="3096">
      <c r="A3096" s="3">
        <f>IFERROR(__xludf.DUMMYFUNCTION("""COMPUTED_VALUE"""),127.0)</f>
        <v>127</v>
      </c>
      <c r="B3096" s="2" t="str">
        <f>IFERROR(__xludf.DUMMYFUNCTION("""COMPUTED_VALUE"""),"DHAKA-SOUTH")</f>
        <v>DHAKA-SOUTH</v>
      </c>
      <c r="C3096" s="4">
        <f>IFERROR(__xludf.DUMMYFUNCTION("""COMPUTED_VALUE"""),95.0)</f>
        <v>95</v>
      </c>
      <c r="D3096" s="2" t="str">
        <f>IFERROR(__xludf.DUMMYFUNCTION("""COMPUTED_VALUE"""),"EASTERN BANK LTD.")</f>
        <v>EASTERN BANK LTD.</v>
      </c>
      <c r="E3096" s="2" t="str">
        <f>IFERROR(__xludf.DUMMYFUNCTION("""COMPUTED_VALUE"""),"MOGHBAZAR")</f>
        <v>MOGHBAZAR</v>
      </c>
      <c r="F3096" s="4">
        <f>IFERROR(__xludf.DUMMYFUNCTION("""COMPUTED_VALUE"""),418.0)</f>
        <v>418</v>
      </c>
      <c r="G3096" s="5">
        <f>IFERROR(__xludf.DUMMYFUNCTION("""COMPUTED_VALUE"""),9.5274188E7)</f>
        <v>95274188</v>
      </c>
    </row>
    <row r="3097">
      <c r="A3097" s="3">
        <f>IFERROR(__xludf.DUMMYFUNCTION("""COMPUTED_VALUE"""),127.0)</f>
        <v>127</v>
      </c>
      <c r="B3097" s="2" t="str">
        <f>IFERROR(__xludf.DUMMYFUNCTION("""COMPUTED_VALUE"""),"DHAKA-SOUTH")</f>
        <v>DHAKA-SOUTH</v>
      </c>
      <c r="C3097" s="4">
        <f>IFERROR(__xludf.DUMMYFUNCTION("""COMPUTED_VALUE"""),95.0)</f>
        <v>95</v>
      </c>
      <c r="D3097" s="2" t="str">
        <f>IFERROR(__xludf.DUMMYFUNCTION("""COMPUTED_VALUE"""),"EASTERN BANK LTD.")</f>
        <v>EASTERN BANK LTD.</v>
      </c>
      <c r="E3097" s="2" t="str">
        <f>IFERROR(__xludf.DUMMYFUNCTION("""COMPUTED_VALUE"""),"MOTIJHEEL")</f>
        <v>MOTIJHEEL</v>
      </c>
      <c r="F3097" s="4">
        <f>IFERROR(__xludf.DUMMYFUNCTION("""COMPUTED_VALUE"""),424.0)</f>
        <v>424</v>
      </c>
      <c r="G3097" s="5">
        <f>IFERROR(__xludf.DUMMYFUNCTION("""COMPUTED_VALUE"""),9.5274241E7)</f>
        <v>95274241</v>
      </c>
    </row>
    <row r="3098">
      <c r="A3098" s="3">
        <f>IFERROR(__xludf.DUMMYFUNCTION("""COMPUTED_VALUE"""),127.0)</f>
        <v>127</v>
      </c>
      <c r="B3098" s="2" t="str">
        <f>IFERROR(__xludf.DUMMYFUNCTION("""COMPUTED_VALUE"""),"DHAKA-SOUTH")</f>
        <v>DHAKA-SOUTH</v>
      </c>
      <c r="C3098" s="4">
        <f>IFERROR(__xludf.DUMMYFUNCTION("""COMPUTED_VALUE"""),95.0)</f>
        <v>95</v>
      </c>
      <c r="D3098" s="2" t="str">
        <f>IFERROR(__xludf.DUMMYFUNCTION("""COMPUTED_VALUE"""),"EASTERN BANK LTD.")</f>
        <v>EASTERN BANK LTD.</v>
      </c>
      <c r="E3098" s="2" t="str">
        <f>IFERROR(__xludf.DUMMYFUNCTION("""COMPUTED_VALUE"""),"NAWABGANJ")</f>
        <v>NAWABGANJ</v>
      </c>
      <c r="F3098" s="4">
        <f>IFERROR(__xludf.DUMMYFUNCTION("""COMPUTED_VALUE"""),469.0)</f>
        <v>469</v>
      </c>
      <c r="G3098" s="5">
        <f>IFERROR(__xludf.DUMMYFUNCTION("""COMPUTED_VALUE"""),9.5274696E7)</f>
        <v>95274696</v>
      </c>
    </row>
    <row r="3099">
      <c r="A3099" s="3">
        <f>IFERROR(__xludf.DUMMYFUNCTION("""COMPUTED_VALUE"""),127.0)</f>
        <v>127</v>
      </c>
      <c r="B3099" s="2" t="str">
        <f>IFERROR(__xludf.DUMMYFUNCTION("""COMPUTED_VALUE"""),"DHAKA-SOUTH")</f>
        <v>DHAKA-SOUTH</v>
      </c>
      <c r="C3099" s="4">
        <f>IFERROR(__xludf.DUMMYFUNCTION("""COMPUTED_VALUE"""),95.0)</f>
        <v>95</v>
      </c>
      <c r="D3099" s="2" t="str">
        <f>IFERROR(__xludf.DUMMYFUNCTION("""COMPUTED_VALUE"""),"EASTERN BANK LTD.")</f>
        <v>EASTERN BANK LTD.</v>
      </c>
      <c r="E3099" s="2" t="str">
        <f>IFERROR(__xludf.DUMMYFUNCTION("""COMPUTED_VALUE"""),"PRINCIPAL")</f>
        <v>PRINCIPAL</v>
      </c>
      <c r="F3099" s="4">
        <f>IFERROR(__xludf.DUMMYFUNCTION("""COMPUTED_VALUE"""),535.0)</f>
        <v>535</v>
      </c>
      <c r="G3099" s="5">
        <f>IFERROR(__xludf.DUMMYFUNCTION("""COMPUTED_VALUE"""),9.5275358E7)</f>
        <v>95275358</v>
      </c>
    </row>
    <row r="3100">
      <c r="A3100" s="3">
        <f>IFERROR(__xludf.DUMMYFUNCTION("""COMPUTED_VALUE"""),127.0)</f>
        <v>127</v>
      </c>
      <c r="B3100" s="2" t="str">
        <f>IFERROR(__xludf.DUMMYFUNCTION("""COMPUTED_VALUE"""),"DHAKA-SOUTH")</f>
        <v>DHAKA-SOUTH</v>
      </c>
      <c r="C3100" s="4">
        <f>IFERROR(__xludf.DUMMYFUNCTION("""COMPUTED_VALUE"""),95.0)</f>
        <v>95</v>
      </c>
      <c r="D3100" s="2" t="str">
        <f>IFERROR(__xludf.DUMMYFUNCTION("""COMPUTED_VALUE"""),"EASTERN BANK LTD.")</f>
        <v>EASTERN BANK LTD.</v>
      </c>
      <c r="E3100" s="2" t="str">
        <f>IFERROR(__xludf.DUMMYFUNCTION("""COMPUTED_VALUE"""),"SHANTINAGAR")</f>
        <v>SHANTINAGAR</v>
      </c>
      <c r="F3100" s="4">
        <f>IFERROR(__xludf.DUMMYFUNCTION("""COMPUTED_VALUE"""),634.0)</f>
        <v>634</v>
      </c>
      <c r="G3100" s="5">
        <f>IFERROR(__xludf.DUMMYFUNCTION("""COMPUTED_VALUE"""),9.5276344E7)</f>
        <v>95276344</v>
      </c>
    </row>
    <row r="3101">
      <c r="A3101" s="3">
        <f>IFERROR(__xludf.DUMMYFUNCTION("""COMPUTED_VALUE"""),127.0)</f>
        <v>127</v>
      </c>
      <c r="B3101" s="2" t="str">
        <f>IFERROR(__xludf.DUMMYFUNCTION("""COMPUTED_VALUE"""),"DHAKA-SOUTH")</f>
        <v>DHAKA-SOUTH</v>
      </c>
      <c r="C3101" s="4">
        <f>IFERROR(__xludf.DUMMYFUNCTION("""COMPUTED_VALUE"""),95.0)</f>
        <v>95</v>
      </c>
      <c r="D3101" s="2" t="str">
        <f>IFERROR(__xludf.DUMMYFUNCTION("""COMPUTED_VALUE"""),"EASTERN BANK LTD.")</f>
        <v>EASTERN BANK LTD.</v>
      </c>
      <c r="E3101" s="2" t="str">
        <f>IFERROR(__xludf.DUMMYFUNCTION("""COMPUTED_VALUE"""),"SONARGAON ROAD")</f>
        <v>SONARGAON ROAD</v>
      </c>
      <c r="F3101" s="4">
        <f>IFERROR(__xludf.DUMMYFUNCTION("""COMPUTED_VALUE"""),658.0)</f>
        <v>658</v>
      </c>
      <c r="G3101" s="5">
        <f>IFERROR(__xludf.DUMMYFUNCTION("""COMPUTED_VALUE"""),9.5276586E7)</f>
        <v>95276586</v>
      </c>
    </row>
    <row r="3102">
      <c r="A3102" s="3">
        <f>IFERROR(__xludf.DUMMYFUNCTION("""COMPUTED_VALUE"""),127.0)</f>
        <v>127</v>
      </c>
      <c r="B3102" s="2" t="str">
        <f>IFERROR(__xludf.DUMMYFUNCTION("""COMPUTED_VALUE"""),"DHAKA-SOUTH")</f>
        <v>DHAKA-SOUTH</v>
      </c>
      <c r="C3102" s="4">
        <f>IFERROR(__xludf.DUMMYFUNCTION("""COMPUTED_VALUE"""),95.0)</f>
        <v>95</v>
      </c>
      <c r="D3102" s="2" t="str">
        <f>IFERROR(__xludf.DUMMYFUNCTION("""COMPUTED_VALUE"""),"EASTERN BANK LTD.")</f>
        <v>EASTERN BANK LTD.</v>
      </c>
      <c r="E3102" s="2" t="str">
        <f>IFERROR(__xludf.DUMMYFUNCTION("""COMPUTED_VALUE"""),"WARI")</f>
        <v>WARI</v>
      </c>
      <c r="F3102" s="4">
        <f>IFERROR(__xludf.DUMMYFUNCTION("""COMPUTED_VALUE"""),700.0)</f>
        <v>700</v>
      </c>
      <c r="G3102" s="5">
        <f>IFERROR(__xludf.DUMMYFUNCTION("""COMPUTED_VALUE"""),9.5277006E7)</f>
        <v>95277006</v>
      </c>
    </row>
    <row r="3103">
      <c r="A3103" s="3">
        <f>IFERROR(__xludf.DUMMYFUNCTION("""COMPUTED_VALUE"""),329.0)</f>
        <v>329</v>
      </c>
      <c r="B3103" s="2" t="str">
        <f>IFERROR(__xludf.DUMMYFUNCTION("""COMPUTED_VALUE"""),"FARIDPUR")</f>
        <v>FARIDPUR</v>
      </c>
      <c r="C3103" s="4">
        <f>IFERROR(__xludf.DUMMYFUNCTION("""COMPUTED_VALUE"""),95.0)</f>
        <v>95</v>
      </c>
      <c r="D3103" s="2" t="str">
        <f>IFERROR(__xludf.DUMMYFUNCTION("""COMPUTED_VALUE"""),"EASTERN BANK LTD.")</f>
        <v>EASTERN BANK LTD.</v>
      </c>
      <c r="E3103" s="2" t="str">
        <f>IFERROR(__xludf.DUMMYFUNCTION("""COMPUTED_VALUE"""),"FARIDPUR")</f>
        <v>FARIDPUR</v>
      </c>
      <c r="F3103" s="4">
        <f>IFERROR(__xludf.DUMMYFUNCTION("""COMPUTED_VALUE"""),52.0)</f>
        <v>52</v>
      </c>
      <c r="G3103" s="5">
        <f>IFERROR(__xludf.DUMMYFUNCTION("""COMPUTED_VALUE"""),9.529052E7)</f>
        <v>95290520</v>
      </c>
    </row>
    <row r="3104">
      <c r="A3104" s="3">
        <f>IFERROR(__xludf.DUMMYFUNCTION("""COMPUTED_VALUE"""),230.0)</f>
        <v>230</v>
      </c>
      <c r="B3104" s="2" t="str">
        <f>IFERROR(__xludf.DUMMYFUNCTION("""COMPUTED_VALUE"""),"FENI")</f>
        <v>FENI</v>
      </c>
      <c r="C3104" s="4">
        <f>IFERROR(__xludf.DUMMYFUNCTION("""COMPUTED_VALUE"""),95.0)</f>
        <v>95</v>
      </c>
      <c r="D3104" s="2" t="str">
        <f>IFERROR(__xludf.DUMMYFUNCTION("""COMPUTED_VALUE"""),"EASTERN BANK LTD.")</f>
        <v>EASTERN BANK LTD.</v>
      </c>
      <c r="E3104" s="2" t="str">
        <f>IFERROR(__xludf.DUMMYFUNCTION("""COMPUTED_VALUE"""),"FENI SME")</f>
        <v>FENI SME</v>
      </c>
      <c r="F3104" s="4">
        <f>IFERROR(__xludf.DUMMYFUNCTION("""COMPUTED_VALUE"""),53.0)</f>
        <v>53</v>
      </c>
      <c r="G3104" s="5">
        <f>IFERROR(__xludf.DUMMYFUNCTION("""COMPUTED_VALUE"""),9.5300531E7)</f>
        <v>95300531</v>
      </c>
    </row>
    <row r="3105">
      <c r="A3105" s="3">
        <f>IFERROR(__xludf.DUMMYFUNCTION("""COMPUTED_VALUE"""),133.0)</f>
        <v>133</v>
      </c>
      <c r="B3105" s="2" t="str">
        <f>IFERROR(__xludf.DUMMYFUNCTION("""COMPUTED_VALUE"""),"GAZIPUR")</f>
        <v>GAZIPUR</v>
      </c>
      <c r="C3105" s="4">
        <f>IFERROR(__xludf.DUMMYFUNCTION("""COMPUTED_VALUE"""),95.0)</f>
        <v>95</v>
      </c>
      <c r="D3105" s="2" t="str">
        <f>IFERROR(__xludf.DUMMYFUNCTION("""COMPUTED_VALUE"""),"EASTERN BANK LTD.")</f>
        <v>EASTERN BANK LTD.</v>
      </c>
      <c r="E3105" s="2" t="str">
        <f>IFERROR(__xludf.DUMMYFUNCTION("""COMPUTED_VALUE"""),"BOARD BAZAR")</f>
        <v>BOARD BAZAR</v>
      </c>
      <c r="F3105" s="4">
        <f>IFERROR(__xludf.DUMMYFUNCTION("""COMPUTED_VALUE"""),22.0)</f>
        <v>22</v>
      </c>
      <c r="G3105" s="5">
        <f>IFERROR(__xludf.DUMMYFUNCTION("""COMPUTED_VALUE"""),9.5330222E7)</f>
        <v>95330222</v>
      </c>
    </row>
    <row r="3106">
      <c r="A3106" s="3">
        <f>IFERROR(__xludf.DUMMYFUNCTION("""COMPUTED_VALUE"""),133.0)</f>
        <v>133</v>
      </c>
      <c r="B3106" s="2" t="str">
        <f>IFERROR(__xludf.DUMMYFUNCTION("""COMPUTED_VALUE"""),"GAZIPUR")</f>
        <v>GAZIPUR</v>
      </c>
      <c r="C3106" s="4">
        <f>IFERROR(__xludf.DUMMYFUNCTION("""COMPUTED_VALUE"""),95.0)</f>
        <v>95</v>
      </c>
      <c r="D3106" s="2" t="str">
        <f>IFERROR(__xludf.DUMMYFUNCTION("""COMPUTED_VALUE"""),"EASTERN BANK LTD.")</f>
        <v>EASTERN BANK LTD.</v>
      </c>
      <c r="E3106" s="2" t="str">
        <f>IFERROR(__xludf.DUMMYFUNCTION("""COMPUTED_VALUE"""),"MAWNA")</f>
        <v>MAWNA</v>
      </c>
      <c r="F3106" s="4">
        <f>IFERROR(__xludf.DUMMYFUNCTION("""COMPUTED_VALUE"""),100.0)</f>
        <v>100</v>
      </c>
      <c r="G3106" s="5">
        <f>IFERROR(__xludf.DUMMYFUNCTION("""COMPUTED_VALUE"""),9.5331005E7)</f>
        <v>95331005</v>
      </c>
    </row>
    <row r="3107">
      <c r="A3107" s="3">
        <f>IFERROR(__xludf.DUMMYFUNCTION("""COMPUTED_VALUE"""),441.0)</f>
        <v>441</v>
      </c>
      <c r="B3107" s="2" t="str">
        <f>IFERROR(__xludf.DUMMYFUNCTION("""COMPUTED_VALUE"""),"JESSORE")</f>
        <v>JESSORE</v>
      </c>
      <c r="C3107" s="4">
        <f>IFERROR(__xludf.DUMMYFUNCTION("""COMPUTED_VALUE"""),95.0)</f>
        <v>95</v>
      </c>
      <c r="D3107" s="2" t="str">
        <f>IFERROR(__xludf.DUMMYFUNCTION("""COMPUTED_VALUE"""),"EASTERN BANK LTD.")</f>
        <v>EASTERN BANK LTD.</v>
      </c>
      <c r="E3107" s="2" t="str">
        <f>IFERROR(__xludf.DUMMYFUNCTION("""COMPUTED_VALUE"""),"JESSORE")</f>
        <v>JESSORE</v>
      </c>
      <c r="F3107" s="4">
        <f>IFERROR(__xludf.DUMMYFUNCTION("""COMPUTED_VALUE"""),94.0)</f>
        <v>94</v>
      </c>
      <c r="G3107" s="5">
        <f>IFERROR(__xludf.DUMMYFUNCTION("""COMPUTED_VALUE"""),9.5410942E7)</f>
        <v>95410942</v>
      </c>
    </row>
    <row r="3108">
      <c r="A3108" s="3">
        <f>IFERROR(__xludf.DUMMYFUNCTION("""COMPUTED_VALUE"""),447.0)</f>
        <v>447</v>
      </c>
      <c r="B3108" s="2" t="str">
        <f>IFERROR(__xludf.DUMMYFUNCTION("""COMPUTED_VALUE"""),"KHULNA")</f>
        <v>KHULNA</v>
      </c>
      <c r="C3108" s="4">
        <f>IFERROR(__xludf.DUMMYFUNCTION("""COMPUTED_VALUE"""),95.0)</f>
        <v>95</v>
      </c>
      <c r="D3108" s="2" t="str">
        <f>IFERROR(__xludf.DUMMYFUNCTION("""COMPUTED_VALUE"""),"EASTERN BANK LTD.")</f>
        <v>EASTERN BANK LTD.</v>
      </c>
      <c r="E3108" s="2" t="str">
        <f>IFERROR(__xludf.DUMMYFUNCTION("""COMPUTED_VALUE"""),"FULBARI GATE")</f>
        <v>FULBARI GATE</v>
      </c>
      <c r="F3108" s="4">
        <f>IFERROR(__xludf.DUMMYFUNCTION("""COMPUTED_VALUE"""),85.0)</f>
        <v>85</v>
      </c>
      <c r="G3108" s="5">
        <f>IFERROR(__xludf.DUMMYFUNCTION("""COMPUTED_VALUE"""),9.5470858E7)</f>
        <v>95470858</v>
      </c>
    </row>
    <row r="3109">
      <c r="A3109" s="3">
        <f>IFERROR(__xludf.DUMMYFUNCTION("""COMPUTED_VALUE"""),447.0)</f>
        <v>447</v>
      </c>
      <c r="B3109" s="2" t="str">
        <f>IFERROR(__xludf.DUMMYFUNCTION("""COMPUTED_VALUE"""),"KHULNA")</f>
        <v>KHULNA</v>
      </c>
      <c r="C3109" s="4">
        <f>IFERROR(__xludf.DUMMYFUNCTION("""COMPUTED_VALUE"""),95.0)</f>
        <v>95</v>
      </c>
      <c r="D3109" s="2" t="str">
        <f>IFERROR(__xludf.DUMMYFUNCTION("""COMPUTED_VALUE"""),"EASTERN BANK LTD.")</f>
        <v>EASTERN BANK LTD.</v>
      </c>
      <c r="E3109" s="2" t="str">
        <f>IFERROR(__xludf.DUMMYFUNCTION("""COMPUTED_VALUE"""),"KHULNA")</f>
        <v>KHULNA</v>
      </c>
      <c r="F3109" s="4">
        <f>IFERROR(__xludf.DUMMYFUNCTION("""COMPUTED_VALUE"""),154.0)</f>
        <v>154</v>
      </c>
      <c r="G3109" s="5">
        <f>IFERROR(__xludf.DUMMYFUNCTION("""COMPUTED_VALUE"""),9.5471549E7)</f>
        <v>95471549</v>
      </c>
    </row>
    <row r="3110">
      <c r="A3110" s="3">
        <f>IFERROR(__xludf.DUMMYFUNCTION("""COMPUTED_VALUE"""),148.0)</f>
        <v>148</v>
      </c>
      <c r="B3110" s="2" t="str">
        <f>IFERROR(__xludf.DUMMYFUNCTION("""COMPUTED_VALUE"""),"KISHOREGANJ")</f>
        <v>KISHOREGANJ</v>
      </c>
      <c r="C3110" s="4">
        <f>IFERROR(__xludf.DUMMYFUNCTION("""COMPUTED_VALUE"""),95.0)</f>
        <v>95</v>
      </c>
      <c r="D3110" s="2" t="str">
        <f>IFERROR(__xludf.DUMMYFUNCTION("""COMPUTED_VALUE"""),"EASTERN BANK LTD.")</f>
        <v>EASTERN BANK LTD.</v>
      </c>
      <c r="E3110" s="2" t="str">
        <f>IFERROR(__xludf.DUMMYFUNCTION("""COMPUTED_VALUE"""),"BHAIRAB SME")</f>
        <v>BHAIRAB SME</v>
      </c>
      <c r="F3110" s="4">
        <f>IFERROR(__xludf.DUMMYFUNCTION("""COMPUTED_VALUE"""),20.0)</f>
        <v>20</v>
      </c>
      <c r="G3110" s="5">
        <f>IFERROR(__xludf.DUMMYFUNCTION("""COMPUTED_VALUE"""),9.5480206E7)</f>
        <v>95480206</v>
      </c>
    </row>
    <row r="3111">
      <c r="A3111" s="3">
        <f>IFERROR(__xludf.DUMMYFUNCTION("""COMPUTED_VALUE"""),858.0)</f>
        <v>858</v>
      </c>
      <c r="B3111" s="2" t="str">
        <f>IFERROR(__xludf.DUMMYFUNCTION("""COMPUTED_VALUE"""),"MOULVI BAZAR")</f>
        <v>MOULVI BAZAR</v>
      </c>
      <c r="C3111" s="4">
        <f>IFERROR(__xludf.DUMMYFUNCTION("""COMPUTED_VALUE"""),95.0)</f>
        <v>95</v>
      </c>
      <c r="D3111" s="2" t="str">
        <f>IFERROR(__xludf.DUMMYFUNCTION("""COMPUTED_VALUE"""),"EASTERN BANK LTD.")</f>
        <v>EASTERN BANK LTD.</v>
      </c>
      <c r="E3111" s="2" t="str">
        <f>IFERROR(__xludf.DUMMYFUNCTION("""COMPUTED_VALUE"""),"MOULAVI BAZAR")</f>
        <v>MOULAVI BAZAR</v>
      </c>
      <c r="F3111" s="4">
        <f>IFERROR(__xludf.DUMMYFUNCTION("""COMPUTED_VALUE"""),118.0)</f>
        <v>118</v>
      </c>
      <c r="G3111" s="5">
        <f>IFERROR(__xludf.DUMMYFUNCTION("""COMPUTED_VALUE"""),9.5581189E7)</f>
        <v>95581189</v>
      </c>
    </row>
    <row r="3112">
      <c r="A3112" s="3">
        <f>IFERROR(__xludf.DUMMYFUNCTION("""COMPUTED_VALUE"""),161.0)</f>
        <v>161</v>
      </c>
      <c r="B3112" s="2" t="str">
        <f>IFERROR(__xludf.DUMMYFUNCTION("""COMPUTED_VALUE"""),"MYMENSINGH")</f>
        <v>MYMENSINGH</v>
      </c>
      <c r="C3112" s="4">
        <f>IFERROR(__xludf.DUMMYFUNCTION("""COMPUTED_VALUE"""),95.0)</f>
        <v>95</v>
      </c>
      <c r="D3112" s="2" t="str">
        <f>IFERROR(__xludf.DUMMYFUNCTION("""COMPUTED_VALUE"""),"EASTERN BANK LTD.")</f>
        <v>EASTERN BANK LTD.</v>
      </c>
      <c r="E3112" s="2" t="str">
        <f>IFERROR(__xludf.DUMMYFUNCTION("""COMPUTED_VALUE"""),"MYMENSINGH SME")</f>
        <v>MYMENSINGH SME</v>
      </c>
      <c r="F3112" s="4">
        <f>IFERROR(__xludf.DUMMYFUNCTION("""COMPUTED_VALUE"""),177.0)</f>
        <v>177</v>
      </c>
      <c r="G3112" s="5">
        <f>IFERROR(__xludf.DUMMYFUNCTION("""COMPUTED_VALUE"""),9.561177E7)</f>
        <v>95611770</v>
      </c>
    </row>
    <row r="3113">
      <c r="A3113" s="3">
        <f>IFERROR(__xludf.DUMMYFUNCTION("""COMPUTED_VALUE"""),167.0)</f>
        <v>167</v>
      </c>
      <c r="B3113" s="2" t="str">
        <f>IFERROR(__xludf.DUMMYFUNCTION("""COMPUTED_VALUE"""),"NARAYANGANJ")</f>
        <v>NARAYANGANJ</v>
      </c>
      <c r="C3113" s="4">
        <f>IFERROR(__xludf.DUMMYFUNCTION("""COMPUTED_VALUE"""),95.0)</f>
        <v>95</v>
      </c>
      <c r="D3113" s="2" t="str">
        <f>IFERROR(__xludf.DUMMYFUNCTION("""COMPUTED_VALUE"""),"EASTERN BANK LTD.")</f>
        <v>EASTERN BANK LTD.</v>
      </c>
      <c r="E3113" s="2" t="str">
        <f>IFERROR(__xludf.DUMMYFUNCTION("""COMPUTED_VALUE"""),"BHULTA")</f>
        <v>BHULTA</v>
      </c>
      <c r="F3113" s="4">
        <f>IFERROR(__xludf.DUMMYFUNCTION("""COMPUTED_VALUE"""),22.0)</f>
        <v>22</v>
      </c>
      <c r="G3113" s="5">
        <f>IFERROR(__xludf.DUMMYFUNCTION("""COMPUTED_VALUE"""),9.5670229E7)</f>
        <v>95670229</v>
      </c>
    </row>
    <row r="3114">
      <c r="A3114" s="3">
        <f>IFERROR(__xludf.DUMMYFUNCTION("""COMPUTED_VALUE"""),167.0)</f>
        <v>167</v>
      </c>
      <c r="B3114" s="2" t="str">
        <f>IFERROR(__xludf.DUMMYFUNCTION("""COMPUTED_VALUE"""),"NARAYANGANJ")</f>
        <v>NARAYANGANJ</v>
      </c>
      <c r="C3114" s="4">
        <f>IFERROR(__xludf.DUMMYFUNCTION("""COMPUTED_VALUE"""),95.0)</f>
        <v>95</v>
      </c>
      <c r="D3114" s="2" t="str">
        <f>IFERROR(__xludf.DUMMYFUNCTION("""COMPUTED_VALUE"""),"EASTERN BANK LTD.")</f>
        <v>EASTERN BANK LTD.</v>
      </c>
      <c r="E3114" s="2" t="str">
        <f>IFERROR(__xludf.DUMMYFUNCTION("""COMPUTED_VALUE"""),"NARAYANGANJ")</f>
        <v>NARAYANGANJ</v>
      </c>
      <c r="F3114" s="4">
        <f>IFERROR(__xludf.DUMMYFUNCTION("""COMPUTED_VALUE"""),118.0)</f>
        <v>118</v>
      </c>
      <c r="G3114" s="5">
        <f>IFERROR(__xludf.DUMMYFUNCTION("""COMPUTED_VALUE"""),9.5671181E7)</f>
        <v>95671181</v>
      </c>
    </row>
    <row r="3115">
      <c r="A3115" s="3">
        <f>IFERROR(__xludf.DUMMYFUNCTION("""COMPUTED_VALUE"""),167.0)</f>
        <v>167</v>
      </c>
      <c r="B3115" s="2" t="str">
        <f>IFERROR(__xludf.DUMMYFUNCTION("""COMPUTED_VALUE"""),"NARAYANGANJ")</f>
        <v>NARAYANGANJ</v>
      </c>
      <c r="C3115" s="4">
        <f>IFERROR(__xludf.DUMMYFUNCTION("""COMPUTED_VALUE"""),95.0)</f>
        <v>95</v>
      </c>
      <c r="D3115" s="2" t="str">
        <f>IFERROR(__xludf.DUMMYFUNCTION("""COMPUTED_VALUE"""),"EASTERN BANK LTD.")</f>
        <v>EASTERN BANK LTD.</v>
      </c>
      <c r="E3115" s="2" t="str">
        <f>IFERROR(__xludf.DUMMYFUNCTION("""COMPUTED_VALUE"""),"NARAYANGONJ SME")</f>
        <v>NARAYANGONJ SME</v>
      </c>
      <c r="F3115" s="4">
        <f>IFERROR(__xludf.DUMMYFUNCTION("""COMPUTED_VALUE"""),120.0)</f>
        <v>120</v>
      </c>
      <c r="G3115" s="5">
        <f>IFERROR(__xludf.DUMMYFUNCTION("""COMPUTED_VALUE"""),9.5671202E7)</f>
        <v>95671202</v>
      </c>
    </row>
    <row r="3116">
      <c r="A3116" s="3">
        <f>IFERROR(__xludf.DUMMYFUNCTION("""COMPUTED_VALUE"""),167.0)</f>
        <v>167</v>
      </c>
      <c r="B3116" s="2" t="str">
        <f>IFERROR(__xludf.DUMMYFUNCTION("""COMPUTED_VALUE"""),"NARAYANGANJ")</f>
        <v>NARAYANGANJ</v>
      </c>
      <c r="C3116" s="4">
        <f>IFERROR(__xludf.DUMMYFUNCTION("""COMPUTED_VALUE"""),95.0)</f>
        <v>95</v>
      </c>
      <c r="D3116" s="2" t="str">
        <f>IFERROR(__xludf.DUMMYFUNCTION("""COMPUTED_VALUE"""),"EASTERN BANK LTD.")</f>
        <v>EASTERN BANK LTD.</v>
      </c>
      <c r="E3116" s="2" t="str">
        <f>IFERROR(__xludf.DUMMYFUNCTION("""COMPUTED_VALUE"""),"PANCHABATI")</f>
        <v>PANCHABATI</v>
      </c>
      <c r="F3116" s="4">
        <f>IFERROR(__xludf.DUMMYFUNCTION("""COMPUTED_VALUE"""),138.0)</f>
        <v>138</v>
      </c>
      <c r="G3116" s="5">
        <f>IFERROR(__xludf.DUMMYFUNCTION("""COMPUTED_VALUE"""),9.5671381E7)</f>
        <v>95671381</v>
      </c>
    </row>
    <row r="3117">
      <c r="A3117" s="3">
        <f>IFERROR(__xludf.DUMMYFUNCTION("""COMPUTED_VALUE"""),167.0)</f>
        <v>167</v>
      </c>
      <c r="B3117" s="2" t="str">
        <f>IFERROR(__xludf.DUMMYFUNCTION("""COMPUTED_VALUE"""),"NARAYANGANJ")</f>
        <v>NARAYANGANJ</v>
      </c>
      <c r="C3117" s="4">
        <f>IFERROR(__xludf.DUMMYFUNCTION("""COMPUTED_VALUE"""),95.0)</f>
        <v>95</v>
      </c>
      <c r="D3117" s="2" t="str">
        <f>IFERROR(__xludf.DUMMYFUNCTION("""COMPUTED_VALUE"""),"EASTERN BANK LTD.")</f>
        <v>EASTERN BANK LTD.</v>
      </c>
      <c r="E3117" s="2" t="str">
        <f>IFERROR(__xludf.DUMMYFUNCTION("""COMPUTED_VALUE"""),"SONARGAON")</f>
        <v>SONARGAON</v>
      </c>
      <c r="F3117" s="4">
        <f>IFERROR(__xludf.DUMMYFUNCTION("""COMPUTED_VALUE"""),169.0)</f>
        <v>169</v>
      </c>
      <c r="G3117" s="5">
        <f>IFERROR(__xludf.DUMMYFUNCTION("""COMPUTED_VALUE"""),9.5671699E7)</f>
        <v>95671699</v>
      </c>
    </row>
    <row r="3118">
      <c r="A3118" s="3">
        <f>IFERROR(__xludf.DUMMYFUNCTION("""COMPUTED_VALUE"""),168.0)</f>
        <v>168</v>
      </c>
      <c r="B3118" s="2" t="str">
        <f>IFERROR(__xludf.DUMMYFUNCTION("""COMPUTED_VALUE"""),"NARSHINGDI")</f>
        <v>NARSHINGDI</v>
      </c>
      <c r="C3118" s="4">
        <f>IFERROR(__xludf.DUMMYFUNCTION("""COMPUTED_VALUE"""),95.0)</f>
        <v>95</v>
      </c>
      <c r="D3118" s="2" t="str">
        <f>IFERROR(__xludf.DUMMYFUNCTION("""COMPUTED_VALUE"""),"EASTERN BANK LTD.")</f>
        <v>EASTERN BANK LTD.</v>
      </c>
      <c r="E3118" s="2" t="str">
        <f>IFERROR(__xludf.DUMMYFUNCTION("""COMPUTED_VALUE"""),"MADHABDI SME")</f>
        <v>MADHABDI SME</v>
      </c>
      <c r="F3118" s="4">
        <f>IFERROR(__xludf.DUMMYFUNCTION("""COMPUTED_VALUE"""),68.0)</f>
        <v>68</v>
      </c>
      <c r="G3118" s="5">
        <f>IFERROR(__xludf.DUMMYFUNCTION("""COMPUTED_VALUE"""),9.568068E7)</f>
        <v>95680680</v>
      </c>
    </row>
    <row r="3119">
      <c r="A3119" s="3">
        <f>IFERROR(__xludf.DUMMYFUNCTION("""COMPUTED_VALUE"""),275.0)</f>
        <v>275</v>
      </c>
      <c r="B3119" s="2" t="str">
        <f>IFERROR(__xludf.DUMMYFUNCTION("""COMPUTED_VALUE"""),"NOAKHALI")</f>
        <v>NOAKHALI</v>
      </c>
      <c r="C3119" s="4">
        <f>IFERROR(__xludf.DUMMYFUNCTION("""COMPUTED_VALUE"""),95.0)</f>
        <v>95</v>
      </c>
      <c r="D3119" s="2" t="str">
        <f>IFERROR(__xludf.DUMMYFUNCTION("""COMPUTED_VALUE"""),"EASTERN BANK LTD.")</f>
        <v>EASTERN BANK LTD.</v>
      </c>
      <c r="E3119" s="2" t="str">
        <f>IFERROR(__xludf.DUMMYFUNCTION("""COMPUTED_VALUE"""),"MAIJDEE")</f>
        <v>MAIJDEE</v>
      </c>
      <c r="F3119" s="4">
        <f>IFERROR(__xludf.DUMMYFUNCTION("""COMPUTED_VALUE"""),6.0)</f>
        <v>6</v>
      </c>
      <c r="G3119" s="5">
        <f>IFERROR(__xludf.DUMMYFUNCTION("""COMPUTED_VALUE"""),9.575006E7)</f>
        <v>95750060</v>
      </c>
    </row>
    <row r="3120">
      <c r="A3120" s="3">
        <f>IFERROR(__xludf.DUMMYFUNCTION("""COMPUTED_VALUE"""),275.0)</f>
        <v>275</v>
      </c>
      <c r="B3120" s="2" t="str">
        <f>IFERROR(__xludf.DUMMYFUNCTION("""COMPUTED_VALUE"""),"NOAKHALI")</f>
        <v>NOAKHALI</v>
      </c>
      <c r="C3120" s="4">
        <f>IFERROR(__xludf.DUMMYFUNCTION("""COMPUTED_VALUE"""),95.0)</f>
        <v>95</v>
      </c>
      <c r="D3120" s="2" t="str">
        <f>IFERROR(__xludf.DUMMYFUNCTION("""COMPUTED_VALUE"""),"EASTERN BANK LTD.")</f>
        <v>EASTERN BANK LTD.</v>
      </c>
      <c r="E3120" s="2" t="str">
        <f>IFERROR(__xludf.DUMMYFUNCTION("""COMPUTED_VALUE"""),"CHOUMOHANI")</f>
        <v>CHOUMOHANI</v>
      </c>
      <c r="F3120" s="4">
        <f>IFERROR(__xludf.DUMMYFUNCTION("""COMPUTED_VALUE"""),67.0)</f>
        <v>67</v>
      </c>
      <c r="G3120" s="5">
        <f>IFERROR(__xludf.DUMMYFUNCTION("""COMPUTED_VALUE"""),9.5750673E7)</f>
        <v>95750673</v>
      </c>
    </row>
    <row r="3121">
      <c r="A3121" s="3">
        <f>IFERROR(__xludf.DUMMYFUNCTION("""COMPUTED_VALUE"""),581.0)</f>
        <v>581</v>
      </c>
      <c r="B3121" s="2" t="str">
        <f>IFERROR(__xludf.DUMMYFUNCTION("""COMPUTED_VALUE"""),"RAJSHAHI")</f>
        <v>RAJSHAHI</v>
      </c>
      <c r="C3121" s="4">
        <f>IFERROR(__xludf.DUMMYFUNCTION("""COMPUTED_VALUE"""),95.0)</f>
        <v>95</v>
      </c>
      <c r="D3121" s="2" t="str">
        <f>IFERROR(__xludf.DUMMYFUNCTION("""COMPUTED_VALUE"""),"EASTERN BANK LTD.")</f>
        <v>EASTERN BANK LTD.</v>
      </c>
      <c r="E3121" s="2" t="str">
        <f>IFERROR(__xludf.DUMMYFUNCTION("""COMPUTED_VALUE"""),"RAJSHAHI")</f>
        <v>RAJSHAHI</v>
      </c>
      <c r="F3121" s="4">
        <f>IFERROR(__xludf.DUMMYFUNCTION("""COMPUTED_VALUE"""),193.0)</f>
        <v>193</v>
      </c>
      <c r="G3121" s="5">
        <f>IFERROR(__xludf.DUMMYFUNCTION("""COMPUTED_VALUE"""),9.5811938E7)</f>
        <v>95811938</v>
      </c>
    </row>
    <row r="3122">
      <c r="A3122" s="3">
        <f>IFERROR(__xludf.DUMMYFUNCTION("""COMPUTED_VALUE"""),785.0)</f>
        <v>785</v>
      </c>
      <c r="B3122" s="2" t="str">
        <f>IFERROR(__xludf.DUMMYFUNCTION("""COMPUTED_VALUE"""),"RANGPUR")</f>
        <v>RANGPUR</v>
      </c>
      <c r="C3122" s="4">
        <f>IFERROR(__xludf.DUMMYFUNCTION("""COMPUTED_VALUE"""),95.0)</f>
        <v>95</v>
      </c>
      <c r="D3122" s="2" t="str">
        <f>IFERROR(__xludf.DUMMYFUNCTION("""COMPUTED_VALUE"""),"EASTERN BANK LTD.")</f>
        <v>EASTERN BANK LTD.</v>
      </c>
      <c r="E3122" s="2" t="str">
        <f>IFERROR(__xludf.DUMMYFUNCTION("""COMPUTED_VALUE"""),"RANGPUR")</f>
        <v>RANGPUR</v>
      </c>
      <c r="F3122" s="4">
        <f>IFERROR(__xludf.DUMMYFUNCTION("""COMPUTED_VALUE"""),145.0)</f>
        <v>145</v>
      </c>
      <c r="G3122" s="5">
        <f>IFERROR(__xludf.DUMMYFUNCTION("""COMPUTED_VALUE"""),9.5851451E7)</f>
        <v>95851451</v>
      </c>
    </row>
    <row r="3123">
      <c r="A3123" s="3">
        <f>IFERROR(__xludf.DUMMYFUNCTION("""COMPUTED_VALUE"""),891.0)</f>
        <v>891</v>
      </c>
      <c r="B3123" s="2" t="str">
        <f>IFERROR(__xludf.DUMMYFUNCTION("""COMPUTED_VALUE"""),"SYLHET")</f>
        <v>SYLHET</v>
      </c>
      <c r="C3123" s="4">
        <f>IFERROR(__xludf.DUMMYFUNCTION("""COMPUTED_VALUE"""),95.0)</f>
        <v>95</v>
      </c>
      <c r="D3123" s="2" t="str">
        <f>IFERROR(__xludf.DUMMYFUNCTION("""COMPUTED_VALUE"""),"EASTERN BANK LTD.")</f>
        <v>EASTERN BANK LTD.</v>
      </c>
      <c r="E3123" s="2" t="str">
        <f>IFERROR(__xludf.DUMMYFUNCTION("""COMPUTED_VALUE"""),"BISHWANATH")</f>
        <v>BISHWANATH</v>
      </c>
      <c r="F3123" s="4">
        <f>IFERROR(__xludf.DUMMYFUNCTION("""COMPUTED_VALUE"""),43.0)</f>
        <v>43</v>
      </c>
      <c r="G3123" s="5">
        <f>IFERROR(__xludf.DUMMYFUNCTION("""COMPUTED_VALUE"""),9.5910439E7)</f>
        <v>95910439</v>
      </c>
    </row>
    <row r="3124">
      <c r="A3124" s="3">
        <f>IFERROR(__xludf.DUMMYFUNCTION("""COMPUTED_VALUE"""),891.0)</f>
        <v>891</v>
      </c>
      <c r="B3124" s="2" t="str">
        <f>IFERROR(__xludf.DUMMYFUNCTION("""COMPUTED_VALUE"""),"SYLHET")</f>
        <v>SYLHET</v>
      </c>
      <c r="C3124" s="4">
        <f>IFERROR(__xludf.DUMMYFUNCTION("""COMPUTED_VALUE"""),95.0)</f>
        <v>95</v>
      </c>
      <c r="D3124" s="2" t="str">
        <f>IFERROR(__xludf.DUMMYFUNCTION("""COMPUTED_VALUE"""),"EASTERN BANK LTD.")</f>
        <v>EASTERN BANK LTD.</v>
      </c>
      <c r="E3124" s="2" t="str">
        <f>IFERROR(__xludf.DUMMYFUNCTION("""COMPUTED_VALUE"""),"CHOWHATTA")</f>
        <v>CHOWHATTA</v>
      </c>
      <c r="F3124" s="4">
        <f>IFERROR(__xludf.DUMMYFUNCTION("""COMPUTED_VALUE"""),85.0)</f>
        <v>85</v>
      </c>
      <c r="G3124" s="5">
        <f>IFERROR(__xludf.DUMMYFUNCTION("""COMPUTED_VALUE"""),9.5910855E7)</f>
        <v>95910855</v>
      </c>
    </row>
    <row r="3125">
      <c r="A3125" s="3">
        <f>IFERROR(__xludf.DUMMYFUNCTION("""COMPUTED_VALUE"""),891.0)</f>
        <v>891</v>
      </c>
      <c r="B3125" s="2" t="str">
        <f>IFERROR(__xludf.DUMMYFUNCTION("""COMPUTED_VALUE"""),"SYLHET")</f>
        <v>SYLHET</v>
      </c>
      <c r="C3125" s="4">
        <f>IFERROR(__xludf.DUMMYFUNCTION("""COMPUTED_VALUE"""),95.0)</f>
        <v>95</v>
      </c>
      <c r="D3125" s="2" t="str">
        <f>IFERROR(__xludf.DUMMYFUNCTION("""COMPUTED_VALUE"""),"EASTERN BANK LTD.")</f>
        <v>EASTERN BANK LTD.</v>
      </c>
      <c r="E3125" s="2" t="str">
        <f>IFERROR(__xludf.DUMMYFUNCTION("""COMPUTED_VALUE"""),"FENCHUGANJ")</f>
        <v>FENCHUGANJ</v>
      </c>
      <c r="F3125" s="4">
        <f>IFERROR(__xludf.DUMMYFUNCTION("""COMPUTED_VALUE"""),136.0)</f>
        <v>136</v>
      </c>
      <c r="G3125" s="5">
        <f>IFERROR(__xludf.DUMMYFUNCTION("""COMPUTED_VALUE"""),9.5911362E7)</f>
        <v>95911362</v>
      </c>
    </row>
    <row r="3126">
      <c r="A3126" s="3">
        <f>IFERROR(__xludf.DUMMYFUNCTION("""COMPUTED_VALUE"""),891.0)</f>
        <v>891</v>
      </c>
      <c r="B3126" s="2" t="str">
        <f>IFERROR(__xludf.DUMMYFUNCTION("""COMPUTED_VALUE"""),"SYLHET")</f>
        <v>SYLHET</v>
      </c>
      <c r="C3126" s="4">
        <f>IFERROR(__xludf.DUMMYFUNCTION("""COMPUTED_VALUE"""),95.0)</f>
        <v>95</v>
      </c>
      <c r="D3126" s="2" t="str">
        <f>IFERROR(__xludf.DUMMYFUNCTION("""COMPUTED_VALUE"""),"EASTERN BANK LTD.")</f>
        <v>EASTERN BANK LTD.</v>
      </c>
      <c r="E3126" s="2" t="str">
        <f>IFERROR(__xludf.DUMMYFUNCTION("""COMPUTED_VALUE"""),"SYLHET UPASHAHAR")</f>
        <v>SYLHET UPASHAHAR</v>
      </c>
      <c r="F3126" s="4">
        <f>IFERROR(__xludf.DUMMYFUNCTION("""COMPUTED_VALUE"""),373.0)</f>
        <v>373</v>
      </c>
      <c r="G3126" s="5">
        <f>IFERROR(__xludf.DUMMYFUNCTION("""COMPUTED_VALUE"""),9.5913731E7)</f>
        <v>95913731</v>
      </c>
    </row>
    <row r="3127">
      <c r="A3127" s="3">
        <f>IFERROR(__xludf.DUMMYFUNCTION("""COMPUTED_VALUE"""),193.0)</f>
        <v>193</v>
      </c>
      <c r="B3127" s="2" t="str">
        <f>IFERROR(__xludf.DUMMYFUNCTION("""COMPUTED_VALUE"""),"TANGAIL")</f>
        <v>TANGAIL</v>
      </c>
      <c r="C3127" s="4">
        <f>IFERROR(__xludf.DUMMYFUNCTION("""COMPUTED_VALUE"""),95.0)</f>
        <v>95</v>
      </c>
      <c r="D3127" s="2" t="str">
        <f>IFERROR(__xludf.DUMMYFUNCTION("""COMPUTED_VALUE"""),"EASTERN BANK LTD.")</f>
        <v>EASTERN BANK LTD.</v>
      </c>
      <c r="E3127" s="2" t="str">
        <f>IFERROR(__xludf.DUMMYFUNCTION("""COMPUTED_VALUE"""),"TANGAIL")</f>
        <v>TANGAIL</v>
      </c>
      <c r="F3127" s="4">
        <f>IFERROR(__xludf.DUMMYFUNCTION("""COMPUTED_VALUE"""),229.0)</f>
        <v>229</v>
      </c>
      <c r="G3127" s="5">
        <f>IFERROR(__xludf.DUMMYFUNCTION("""COMPUTED_VALUE"""),9.5932291E7)</f>
        <v>95932291</v>
      </c>
    </row>
    <row r="3128">
      <c r="A3128" s="3">
        <f>IFERROR(__xludf.DUMMYFUNCTION("""COMPUTED_VALUE"""),306.0)</f>
        <v>306</v>
      </c>
      <c r="B3128" s="2" t="str">
        <f>IFERROR(__xludf.DUMMYFUNCTION("""COMPUTED_VALUE"""),"BARISHAL")</f>
        <v>BARISHAL</v>
      </c>
      <c r="C3128" s="4">
        <f>IFERROR(__xludf.DUMMYFUNCTION("""COMPUTED_VALUE"""),100.0)</f>
        <v>100</v>
      </c>
      <c r="D3128" s="2" t="str">
        <f>IFERROR(__xludf.DUMMYFUNCTION("""COMPUTED_VALUE"""),"EXIM BANK LTD.")</f>
        <v>EXIM BANK LTD.</v>
      </c>
      <c r="E3128" s="2" t="str">
        <f>IFERROR(__xludf.DUMMYFUNCTION("""COMPUTED_VALUE"""),"BARISAL")</f>
        <v>BARISAL</v>
      </c>
      <c r="F3128" s="4">
        <f>IFERROR(__xludf.DUMMYFUNCTION("""COMPUTED_VALUE"""),28.0)</f>
        <v>28</v>
      </c>
      <c r="G3128" s="5">
        <f>IFERROR(__xludf.DUMMYFUNCTION("""COMPUTED_VALUE"""),1.00060287E8)</f>
        <v>100060287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5.43"/>
    <col customWidth="1" min="10" max="26" width="8.71"/>
  </cols>
  <sheetData>
    <row r="1">
      <c r="A1" s="6" t="s">
        <v>40534</v>
      </c>
      <c r="B1" s="6" t="s">
        <v>40535</v>
      </c>
      <c r="C1" s="6" t="s">
        <v>40536</v>
      </c>
      <c r="D1" s="6" t="s">
        <v>40537</v>
      </c>
      <c r="E1" s="6" t="s">
        <v>40538</v>
      </c>
      <c r="F1" s="6" t="s">
        <v>40539</v>
      </c>
      <c r="G1" s="6" t="s">
        <v>40540</v>
      </c>
      <c r="H1" s="7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9">
        <v>401.0</v>
      </c>
      <c r="B2" s="10" t="s">
        <v>40541</v>
      </c>
      <c r="C2" s="11">
        <v>10.0</v>
      </c>
      <c r="D2" s="10" t="s">
        <v>40542</v>
      </c>
      <c r="E2" s="10" t="s">
        <v>40543</v>
      </c>
      <c r="F2" s="11">
        <v>4.0</v>
      </c>
      <c r="G2" s="12">
        <v>1.0010048E7</v>
      </c>
      <c r="H2" s="13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4">
        <v>401.0</v>
      </c>
      <c r="B3" s="15" t="s">
        <v>40544</v>
      </c>
      <c r="C3" s="16">
        <v>10.0</v>
      </c>
      <c r="D3" s="15" t="s">
        <v>40545</v>
      </c>
      <c r="E3" s="15" t="s">
        <v>40546</v>
      </c>
      <c r="F3" s="16">
        <v>6.0</v>
      </c>
      <c r="G3" s="17">
        <v>1.0010064E7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9">
        <v>401.0</v>
      </c>
      <c r="B4" s="10" t="s">
        <v>40547</v>
      </c>
      <c r="C4" s="11">
        <v>10.0</v>
      </c>
      <c r="D4" s="10" t="s">
        <v>40548</v>
      </c>
      <c r="E4" s="10" t="s">
        <v>40549</v>
      </c>
      <c r="F4" s="11">
        <v>7.0</v>
      </c>
      <c r="G4" s="12">
        <v>1.0010077E7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4">
        <v>401.0</v>
      </c>
      <c r="B5" s="15" t="s">
        <v>40550</v>
      </c>
      <c r="C5" s="16">
        <v>10.0</v>
      </c>
      <c r="D5" s="15" t="s">
        <v>40551</v>
      </c>
      <c r="E5" s="15" t="s">
        <v>40552</v>
      </c>
      <c r="F5" s="16">
        <v>28.0</v>
      </c>
      <c r="G5" s="17">
        <v>1.001028E7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9">
        <v>401.0</v>
      </c>
      <c r="B6" s="10" t="s">
        <v>40553</v>
      </c>
      <c r="C6" s="11">
        <v>10.0</v>
      </c>
      <c r="D6" s="10" t="s">
        <v>40554</v>
      </c>
      <c r="E6" s="10" t="s">
        <v>40555</v>
      </c>
      <c r="F6" s="11">
        <v>37.0</v>
      </c>
      <c r="G6" s="12">
        <v>1.0010372E7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4">
        <v>401.0</v>
      </c>
      <c r="B7" s="15" t="s">
        <v>40556</v>
      </c>
      <c r="C7" s="16">
        <v>10.0</v>
      </c>
      <c r="D7" s="15" t="s">
        <v>40557</v>
      </c>
      <c r="E7" s="15" t="s">
        <v>40558</v>
      </c>
      <c r="F7" s="16">
        <v>61.0</v>
      </c>
      <c r="G7" s="17">
        <v>1.0010619E7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9">
        <v>401.0</v>
      </c>
      <c r="B8" s="10" t="s">
        <v>40559</v>
      </c>
      <c r="C8" s="11">
        <v>10.0</v>
      </c>
      <c r="D8" s="10" t="s">
        <v>40560</v>
      </c>
      <c r="E8" s="10" t="s">
        <v>40561</v>
      </c>
      <c r="F8" s="11">
        <v>67.0</v>
      </c>
      <c r="G8" s="12">
        <v>1.0010677E7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14">
        <v>401.0</v>
      </c>
      <c r="B9" s="15" t="s">
        <v>40562</v>
      </c>
      <c r="C9" s="16">
        <v>10.0</v>
      </c>
      <c r="D9" s="15" t="s">
        <v>40563</v>
      </c>
      <c r="E9" s="15" t="s">
        <v>40564</v>
      </c>
      <c r="F9" s="16">
        <v>70.0</v>
      </c>
      <c r="G9" s="17">
        <v>1.0010701E7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9">
        <v>401.0</v>
      </c>
      <c r="B10" s="10" t="s">
        <v>40565</v>
      </c>
      <c r="C10" s="11">
        <v>10.0</v>
      </c>
      <c r="D10" s="10" t="s">
        <v>40566</v>
      </c>
      <c r="E10" s="10" t="s">
        <v>40567</v>
      </c>
      <c r="F10" s="11">
        <v>85.0</v>
      </c>
      <c r="G10" s="12">
        <v>1.0010851E7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14">
        <v>401.0</v>
      </c>
      <c r="B11" s="15" t="s">
        <v>40568</v>
      </c>
      <c r="C11" s="16">
        <v>10.0</v>
      </c>
      <c r="D11" s="15" t="s">
        <v>40569</v>
      </c>
      <c r="E11" s="15" t="s">
        <v>40570</v>
      </c>
      <c r="F11" s="16">
        <v>97.0</v>
      </c>
      <c r="G11" s="17">
        <v>1.0010972E7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9">
        <v>401.0</v>
      </c>
      <c r="B12" s="10" t="s">
        <v>40571</v>
      </c>
      <c r="C12" s="11">
        <v>10.0</v>
      </c>
      <c r="D12" s="10" t="s">
        <v>40572</v>
      </c>
      <c r="E12" s="10" t="s">
        <v>40573</v>
      </c>
      <c r="F12" s="9">
        <v>103.0</v>
      </c>
      <c r="G12" s="12">
        <v>1.0011034E7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4">
        <v>401.0</v>
      </c>
      <c r="B13" s="15" t="s">
        <v>40574</v>
      </c>
      <c r="C13" s="16">
        <v>10.0</v>
      </c>
      <c r="D13" s="15" t="s">
        <v>40575</v>
      </c>
      <c r="E13" s="15" t="s">
        <v>40576</v>
      </c>
      <c r="F13" s="14">
        <v>106.0</v>
      </c>
      <c r="G13" s="17">
        <v>1.0011063E7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9">
        <v>401.0</v>
      </c>
      <c r="B14" s="10" t="s">
        <v>40577</v>
      </c>
      <c r="C14" s="11">
        <v>10.0</v>
      </c>
      <c r="D14" s="10" t="s">
        <v>40578</v>
      </c>
      <c r="E14" s="10" t="s">
        <v>40579</v>
      </c>
      <c r="F14" s="9">
        <v>112.0</v>
      </c>
      <c r="G14" s="12">
        <v>1.0011126E7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14">
        <v>401.0</v>
      </c>
      <c r="B15" s="15" t="s">
        <v>40580</v>
      </c>
      <c r="C15" s="16">
        <v>10.0</v>
      </c>
      <c r="D15" s="15" t="s">
        <v>40581</v>
      </c>
      <c r="E15" s="15" t="s">
        <v>40582</v>
      </c>
      <c r="F15" s="14">
        <v>127.0</v>
      </c>
      <c r="G15" s="17">
        <v>1.0011276E7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9">
        <v>203.0</v>
      </c>
      <c r="B16" s="10" t="s">
        <v>40583</v>
      </c>
      <c r="C16" s="11">
        <v>10.0</v>
      </c>
      <c r="D16" s="10" t="s">
        <v>40584</v>
      </c>
      <c r="E16" s="10" t="s">
        <v>40585</v>
      </c>
      <c r="F16" s="11">
        <v>7.0</v>
      </c>
      <c r="G16" s="12">
        <v>1.0030073E7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14">
        <v>203.0</v>
      </c>
      <c r="B17" s="15" t="s">
        <v>40586</v>
      </c>
      <c r="C17" s="16">
        <v>10.0</v>
      </c>
      <c r="D17" s="15" t="s">
        <v>40587</v>
      </c>
      <c r="E17" s="15" t="s">
        <v>40588</v>
      </c>
      <c r="F17" s="16">
        <v>16.0</v>
      </c>
      <c r="G17" s="17">
        <v>1.0030165E7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9">
        <v>304.0</v>
      </c>
      <c r="B18" s="10" t="s">
        <v>40589</v>
      </c>
      <c r="C18" s="11">
        <v>10.0</v>
      </c>
      <c r="D18" s="10" t="s">
        <v>40590</v>
      </c>
      <c r="E18" s="10" t="s">
        <v>40591</v>
      </c>
      <c r="F18" s="11">
        <v>4.0</v>
      </c>
      <c r="G18" s="12">
        <v>1.0040047E7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14">
        <v>304.0</v>
      </c>
      <c r="B19" s="15" t="s">
        <v>40592</v>
      </c>
      <c r="C19" s="16">
        <v>10.0</v>
      </c>
      <c r="D19" s="15" t="s">
        <v>40593</v>
      </c>
      <c r="E19" s="15" t="s">
        <v>40594</v>
      </c>
      <c r="F19" s="16">
        <v>13.0</v>
      </c>
      <c r="G19" s="17">
        <v>1.0040139E7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9">
        <v>304.0</v>
      </c>
      <c r="B20" s="10" t="s">
        <v>40595</v>
      </c>
      <c r="C20" s="11">
        <v>10.0</v>
      </c>
      <c r="D20" s="10" t="s">
        <v>40596</v>
      </c>
      <c r="E20" s="10" t="s">
        <v>40597</v>
      </c>
      <c r="F20" s="11">
        <v>37.0</v>
      </c>
      <c r="G20" s="12">
        <v>1.0040371E7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14">
        <v>304.0</v>
      </c>
      <c r="B21" s="15" t="s">
        <v>40598</v>
      </c>
      <c r="C21" s="16">
        <v>10.0</v>
      </c>
      <c r="D21" s="15" t="s">
        <v>40599</v>
      </c>
      <c r="E21" s="15" t="s">
        <v>40600</v>
      </c>
      <c r="F21" s="16">
        <v>49.0</v>
      </c>
      <c r="G21" s="17">
        <v>1.0040492E7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9">
        <v>304.0</v>
      </c>
      <c r="B22" s="10" t="s">
        <v>40601</v>
      </c>
      <c r="C22" s="11">
        <v>10.0</v>
      </c>
      <c r="D22" s="10" t="s">
        <v>40602</v>
      </c>
      <c r="E22" s="10" t="s">
        <v>40603</v>
      </c>
      <c r="F22" s="11">
        <v>52.0</v>
      </c>
      <c r="G22" s="12">
        <v>1.0040526E7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14">
        <v>304.0</v>
      </c>
      <c r="B23" s="15" t="s">
        <v>40604</v>
      </c>
      <c r="C23" s="16">
        <v>10.0</v>
      </c>
      <c r="D23" s="15" t="s">
        <v>40605</v>
      </c>
      <c r="E23" s="15" t="s">
        <v>40606</v>
      </c>
      <c r="F23" s="16">
        <v>64.0</v>
      </c>
      <c r="G23" s="17">
        <v>1.0040647E7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9">
        <v>304.0</v>
      </c>
      <c r="B24" s="10" t="s">
        <v>40607</v>
      </c>
      <c r="C24" s="11">
        <v>10.0</v>
      </c>
      <c r="D24" s="10" t="s">
        <v>40608</v>
      </c>
      <c r="E24" s="10" t="s">
        <v>40609</v>
      </c>
      <c r="F24" s="11">
        <v>73.0</v>
      </c>
      <c r="G24" s="12">
        <v>1.0040739E7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14">
        <v>306.0</v>
      </c>
      <c r="B25" s="15" t="s">
        <v>40610</v>
      </c>
      <c r="C25" s="16">
        <v>10.0</v>
      </c>
      <c r="D25" s="15" t="s">
        <v>40611</v>
      </c>
      <c r="E25" s="15" t="s">
        <v>40612</v>
      </c>
      <c r="F25" s="16">
        <v>5.0</v>
      </c>
      <c r="G25" s="17">
        <v>1.0060056E7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9">
        <v>306.0</v>
      </c>
      <c r="B26" s="10" t="s">
        <v>40613</v>
      </c>
      <c r="C26" s="11">
        <v>10.0</v>
      </c>
      <c r="D26" s="10" t="s">
        <v>40614</v>
      </c>
      <c r="E26" s="10" t="s">
        <v>40615</v>
      </c>
      <c r="F26" s="11">
        <v>8.0</v>
      </c>
      <c r="G26" s="12">
        <v>1.0060085E7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14">
        <v>306.0</v>
      </c>
      <c r="B27" s="15" t="s">
        <v>40616</v>
      </c>
      <c r="C27" s="16">
        <v>10.0</v>
      </c>
      <c r="D27" s="15" t="s">
        <v>40617</v>
      </c>
      <c r="E27" s="15" t="s">
        <v>40618</v>
      </c>
      <c r="F27" s="16">
        <v>14.0</v>
      </c>
      <c r="G27" s="17">
        <v>1.0060148E7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9">
        <v>306.0</v>
      </c>
      <c r="B28" s="10" t="s">
        <v>40619</v>
      </c>
      <c r="C28" s="11">
        <v>10.0</v>
      </c>
      <c r="D28" s="10" t="s">
        <v>40620</v>
      </c>
      <c r="E28" s="10" t="s">
        <v>40621</v>
      </c>
      <c r="F28" s="11">
        <v>17.0</v>
      </c>
      <c r="G28" s="12">
        <v>1.0060177E7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14">
        <v>306.0</v>
      </c>
      <c r="B29" s="15" t="s">
        <v>40622</v>
      </c>
      <c r="C29" s="16">
        <v>10.0</v>
      </c>
      <c r="D29" s="15" t="s">
        <v>40623</v>
      </c>
      <c r="E29" s="15" t="s">
        <v>40624</v>
      </c>
      <c r="F29" s="16">
        <v>25.0</v>
      </c>
      <c r="G29" s="17">
        <v>1.0060256E7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9">
        <v>306.0</v>
      </c>
      <c r="B30" s="10" t="s">
        <v>40625</v>
      </c>
      <c r="C30" s="11">
        <v>10.0</v>
      </c>
      <c r="D30" s="10" t="s">
        <v>40626</v>
      </c>
      <c r="E30" s="10" t="s">
        <v>40627</v>
      </c>
      <c r="F30" s="11">
        <v>37.0</v>
      </c>
      <c r="G30" s="12">
        <v>1.0060377E7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14">
        <v>306.0</v>
      </c>
      <c r="B31" s="15" t="s">
        <v>40628</v>
      </c>
      <c r="C31" s="16">
        <v>10.0</v>
      </c>
      <c r="D31" s="15" t="s">
        <v>40629</v>
      </c>
      <c r="E31" s="15" t="s">
        <v>40630</v>
      </c>
      <c r="F31" s="16">
        <v>52.0</v>
      </c>
      <c r="G31" s="17">
        <v>1.0060522E7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9">
        <v>306.0</v>
      </c>
      <c r="B32" s="10" t="s">
        <v>40631</v>
      </c>
      <c r="C32" s="11">
        <v>10.0</v>
      </c>
      <c r="D32" s="10" t="s">
        <v>40632</v>
      </c>
      <c r="E32" s="10" t="s">
        <v>40633</v>
      </c>
      <c r="F32" s="11">
        <v>55.0</v>
      </c>
      <c r="G32" s="12">
        <v>1.0060551E7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14">
        <v>306.0</v>
      </c>
      <c r="B33" s="15" t="s">
        <v>40634</v>
      </c>
      <c r="C33" s="16">
        <v>10.0</v>
      </c>
      <c r="D33" s="15" t="s">
        <v>40635</v>
      </c>
      <c r="E33" s="15" t="s">
        <v>40636</v>
      </c>
      <c r="F33" s="16">
        <v>70.0</v>
      </c>
      <c r="G33" s="17">
        <v>1.0060706E7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9">
        <v>306.0</v>
      </c>
      <c r="B34" s="10" t="s">
        <v>40637</v>
      </c>
      <c r="C34" s="11">
        <v>10.0</v>
      </c>
      <c r="D34" s="10" t="s">
        <v>40638</v>
      </c>
      <c r="E34" s="10" t="s">
        <v>40639</v>
      </c>
      <c r="F34" s="11">
        <v>82.0</v>
      </c>
      <c r="G34" s="12">
        <v>1.0060827E7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14">
        <v>306.0</v>
      </c>
      <c r="B35" s="15" t="s">
        <v>40640</v>
      </c>
      <c r="C35" s="16">
        <v>10.0</v>
      </c>
      <c r="D35" s="15" t="s">
        <v>40641</v>
      </c>
      <c r="E35" s="15" t="s">
        <v>40642</v>
      </c>
      <c r="F35" s="14">
        <v>140.0</v>
      </c>
      <c r="G35" s="17">
        <v>1.00614E7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9">
        <v>306.0</v>
      </c>
      <c r="B36" s="10" t="s">
        <v>40643</v>
      </c>
      <c r="C36" s="11">
        <v>10.0</v>
      </c>
      <c r="D36" s="10" t="s">
        <v>40644</v>
      </c>
      <c r="E36" s="10" t="s">
        <v>40645</v>
      </c>
      <c r="F36" s="9">
        <v>145.0</v>
      </c>
      <c r="G36" s="12">
        <v>1.0061455E7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14">
        <v>306.0</v>
      </c>
      <c r="B37" s="15" t="s">
        <v>40646</v>
      </c>
      <c r="C37" s="16">
        <v>10.0</v>
      </c>
      <c r="D37" s="15" t="s">
        <v>40647</v>
      </c>
      <c r="E37" s="15" t="s">
        <v>40648</v>
      </c>
      <c r="F37" s="14">
        <v>160.0</v>
      </c>
      <c r="G37" s="17">
        <v>1.00616E7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9">
        <v>306.0</v>
      </c>
      <c r="B38" s="10" t="s">
        <v>40649</v>
      </c>
      <c r="C38" s="11">
        <v>10.0</v>
      </c>
      <c r="D38" s="10" t="s">
        <v>40650</v>
      </c>
      <c r="E38" s="10" t="s">
        <v>40651</v>
      </c>
      <c r="F38" s="9">
        <v>169.0</v>
      </c>
      <c r="G38" s="12">
        <v>1.0061697E7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14">
        <v>306.0</v>
      </c>
      <c r="B39" s="15" t="s">
        <v>40652</v>
      </c>
      <c r="C39" s="16">
        <v>10.0</v>
      </c>
      <c r="D39" s="15" t="s">
        <v>40653</v>
      </c>
      <c r="E39" s="15" t="s">
        <v>40654</v>
      </c>
      <c r="F39" s="14">
        <v>181.0</v>
      </c>
      <c r="G39" s="17">
        <v>1.0061813E7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9">
        <v>306.0</v>
      </c>
      <c r="B40" s="10" t="s">
        <v>40655</v>
      </c>
      <c r="C40" s="11">
        <v>10.0</v>
      </c>
      <c r="D40" s="10" t="s">
        <v>40656</v>
      </c>
      <c r="E40" s="10" t="s">
        <v>40657</v>
      </c>
      <c r="F40" s="9">
        <v>221.0</v>
      </c>
      <c r="G40" s="12">
        <v>1.0062212E7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14">
        <v>306.0</v>
      </c>
      <c r="B41" s="15" t="s">
        <v>40658</v>
      </c>
      <c r="C41" s="16">
        <v>10.0</v>
      </c>
      <c r="D41" s="15" t="s">
        <v>40659</v>
      </c>
      <c r="E41" s="15" t="s">
        <v>40660</v>
      </c>
      <c r="F41" s="14">
        <v>223.0</v>
      </c>
      <c r="G41" s="17">
        <v>1.0062238E7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9">
        <v>309.0</v>
      </c>
      <c r="B42" s="10" t="s">
        <v>40661</v>
      </c>
      <c r="C42" s="11">
        <v>10.0</v>
      </c>
      <c r="D42" s="10" t="s">
        <v>40662</v>
      </c>
      <c r="E42" s="10" t="s">
        <v>40663</v>
      </c>
      <c r="F42" s="11">
        <v>7.0</v>
      </c>
      <c r="G42" s="12">
        <v>1.0090071E7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14">
        <v>309.0</v>
      </c>
      <c r="B43" s="15" t="s">
        <v>40664</v>
      </c>
      <c r="C43" s="16">
        <v>10.0</v>
      </c>
      <c r="D43" s="15" t="s">
        <v>40665</v>
      </c>
      <c r="E43" s="15" t="s">
        <v>40666</v>
      </c>
      <c r="F43" s="16">
        <v>10.0</v>
      </c>
      <c r="G43" s="17">
        <v>1.0090105E7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9">
        <v>309.0</v>
      </c>
      <c r="B44" s="10" t="s">
        <v>40667</v>
      </c>
      <c r="C44" s="11">
        <v>10.0</v>
      </c>
      <c r="D44" s="10" t="s">
        <v>40668</v>
      </c>
      <c r="E44" s="10" t="s">
        <v>40669</v>
      </c>
      <c r="F44" s="11">
        <v>19.0</v>
      </c>
      <c r="G44" s="12">
        <v>1.0090192E7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14">
        <v>309.0</v>
      </c>
      <c r="B45" s="15" t="s">
        <v>40670</v>
      </c>
      <c r="C45" s="16">
        <v>10.0</v>
      </c>
      <c r="D45" s="15" t="s">
        <v>40671</v>
      </c>
      <c r="E45" s="15" t="s">
        <v>40672</v>
      </c>
      <c r="F45" s="16">
        <v>25.0</v>
      </c>
      <c r="G45" s="17">
        <v>1.0090255E7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9">
        <v>309.0</v>
      </c>
      <c r="B46" s="10" t="s">
        <v>40673</v>
      </c>
      <c r="C46" s="11">
        <v>10.0</v>
      </c>
      <c r="D46" s="10" t="s">
        <v>40674</v>
      </c>
      <c r="E46" s="10" t="s">
        <v>40675</v>
      </c>
      <c r="F46" s="11">
        <v>28.0</v>
      </c>
      <c r="G46" s="12">
        <v>1.0090284E7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14">
        <v>309.0</v>
      </c>
      <c r="B47" s="15" t="s">
        <v>40676</v>
      </c>
      <c r="C47" s="16">
        <v>10.0</v>
      </c>
      <c r="D47" s="15" t="s">
        <v>40677</v>
      </c>
      <c r="E47" s="15" t="s">
        <v>40678</v>
      </c>
      <c r="F47" s="16">
        <v>37.0</v>
      </c>
      <c r="G47" s="17">
        <v>1.0090376E7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9">
        <v>309.0</v>
      </c>
      <c r="B48" s="10" t="s">
        <v>40679</v>
      </c>
      <c r="C48" s="11">
        <v>10.0</v>
      </c>
      <c r="D48" s="10" t="s">
        <v>40680</v>
      </c>
      <c r="E48" s="10" t="s">
        <v>40681</v>
      </c>
      <c r="F48" s="11">
        <v>55.0</v>
      </c>
      <c r="G48" s="12">
        <v>1.009055E7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>
      <c r="A1" s="18">
        <v>309.0</v>
      </c>
      <c r="B1" s="19" t="s">
        <v>40682</v>
      </c>
      <c r="C1" s="20">
        <v>10.0</v>
      </c>
      <c r="D1" s="19" t="s">
        <v>40683</v>
      </c>
      <c r="E1" s="19" t="s">
        <v>40684</v>
      </c>
      <c r="F1" s="20">
        <v>61.0</v>
      </c>
      <c r="G1" s="21">
        <v>1.0090613E7</v>
      </c>
      <c r="H1" s="22"/>
    </row>
    <row r="2">
      <c r="A2" s="23">
        <v>309.0</v>
      </c>
      <c r="B2" s="24" t="s">
        <v>40685</v>
      </c>
      <c r="C2" s="25">
        <v>10.0</v>
      </c>
      <c r="D2" s="24" t="s">
        <v>40686</v>
      </c>
      <c r="E2" s="24" t="s">
        <v>40687</v>
      </c>
      <c r="F2" s="25">
        <v>70.0</v>
      </c>
      <c r="G2" s="26">
        <v>1.0090705E7</v>
      </c>
      <c r="H2" s="22"/>
    </row>
    <row r="3">
      <c r="A3" s="18">
        <v>309.0</v>
      </c>
      <c r="B3" s="19" t="s">
        <v>40688</v>
      </c>
      <c r="C3" s="20">
        <v>10.0</v>
      </c>
      <c r="D3" s="19" t="s">
        <v>40689</v>
      </c>
      <c r="E3" s="19" t="s">
        <v>40690</v>
      </c>
      <c r="F3" s="18">
        <v>103.0</v>
      </c>
      <c r="G3" s="21">
        <v>1.0091038E7</v>
      </c>
      <c r="H3" s="22"/>
    </row>
    <row r="4">
      <c r="A4" s="23">
        <v>610.0</v>
      </c>
      <c r="B4" s="24" t="s">
        <v>40691</v>
      </c>
      <c r="C4" s="25">
        <v>10.0</v>
      </c>
      <c r="D4" s="24" t="s">
        <v>40692</v>
      </c>
      <c r="E4" s="24" t="s">
        <v>40693</v>
      </c>
      <c r="F4" s="25">
        <v>16.0</v>
      </c>
      <c r="G4" s="26">
        <v>1.0100161E7</v>
      </c>
      <c r="H4" s="22"/>
    </row>
    <row r="5">
      <c r="A5" s="18">
        <v>610.0</v>
      </c>
      <c r="B5" s="19" t="s">
        <v>40694</v>
      </c>
      <c r="C5" s="20">
        <v>10.0</v>
      </c>
      <c r="D5" s="19" t="s">
        <v>40695</v>
      </c>
      <c r="E5" s="19" t="s">
        <v>40696</v>
      </c>
      <c r="F5" s="20">
        <v>19.0</v>
      </c>
      <c r="G5" s="21">
        <v>1.010019E7</v>
      </c>
      <c r="H5" s="22"/>
    </row>
    <row r="6">
      <c r="A6" s="23">
        <v>610.0</v>
      </c>
      <c r="B6" s="24" t="s">
        <v>40697</v>
      </c>
      <c r="C6" s="25">
        <v>10.0</v>
      </c>
      <c r="D6" s="24" t="s">
        <v>40698</v>
      </c>
      <c r="E6" s="24" t="s">
        <v>40699</v>
      </c>
      <c r="F6" s="25">
        <v>28.0</v>
      </c>
      <c r="G6" s="26">
        <v>1.0100282E7</v>
      </c>
      <c r="H6" s="22"/>
    </row>
    <row r="7">
      <c r="A7" s="18">
        <v>610.0</v>
      </c>
      <c r="B7" s="19" t="s">
        <v>40700</v>
      </c>
      <c r="C7" s="20">
        <v>10.0</v>
      </c>
      <c r="D7" s="19" t="s">
        <v>40701</v>
      </c>
      <c r="E7" s="19" t="s">
        <v>40702</v>
      </c>
      <c r="F7" s="20">
        <v>43.0</v>
      </c>
      <c r="G7" s="21">
        <v>1.0100437E7</v>
      </c>
      <c r="H7" s="22"/>
    </row>
    <row r="8">
      <c r="A8" s="23">
        <v>610.0</v>
      </c>
      <c r="B8" s="24" t="s">
        <v>40703</v>
      </c>
      <c r="C8" s="25">
        <v>10.0</v>
      </c>
      <c r="D8" s="24" t="s">
        <v>40704</v>
      </c>
      <c r="E8" s="24" t="s">
        <v>40705</v>
      </c>
      <c r="F8" s="25">
        <v>64.0</v>
      </c>
      <c r="G8" s="26">
        <v>1.010064E7</v>
      </c>
      <c r="H8" s="22"/>
    </row>
    <row r="9">
      <c r="A9" s="18">
        <v>610.0</v>
      </c>
      <c r="B9" s="19" t="s">
        <v>40706</v>
      </c>
      <c r="C9" s="20">
        <v>10.0</v>
      </c>
      <c r="D9" s="19" t="s">
        <v>40707</v>
      </c>
      <c r="E9" s="19" t="s">
        <v>40708</v>
      </c>
      <c r="F9" s="20">
        <v>76.0</v>
      </c>
      <c r="G9" s="21">
        <v>1.0100761E7</v>
      </c>
      <c r="H9" s="22"/>
    </row>
    <row r="10">
      <c r="A10" s="23">
        <v>610.0</v>
      </c>
      <c r="B10" s="24" t="s">
        <v>40709</v>
      </c>
      <c r="C10" s="25">
        <v>10.0</v>
      </c>
      <c r="D10" s="24" t="s">
        <v>40710</v>
      </c>
      <c r="E10" s="24" t="s">
        <v>40711</v>
      </c>
      <c r="F10" s="25">
        <v>82.0</v>
      </c>
      <c r="G10" s="26">
        <v>1.0100824E7</v>
      </c>
      <c r="H10" s="22"/>
    </row>
    <row r="11">
      <c r="A11" s="18">
        <v>610.0</v>
      </c>
      <c r="B11" s="19" t="s">
        <v>40712</v>
      </c>
      <c r="C11" s="20">
        <v>10.0</v>
      </c>
      <c r="D11" s="19" t="s">
        <v>40713</v>
      </c>
      <c r="E11" s="19" t="s">
        <v>40714</v>
      </c>
      <c r="F11" s="20">
        <v>88.0</v>
      </c>
      <c r="G11" s="21">
        <v>1.0100882E7</v>
      </c>
      <c r="H11" s="22"/>
    </row>
    <row r="12">
      <c r="A12" s="23">
        <v>610.0</v>
      </c>
      <c r="B12" s="24" t="s">
        <v>40715</v>
      </c>
      <c r="C12" s="25">
        <v>10.0</v>
      </c>
      <c r="D12" s="24" t="s">
        <v>40716</v>
      </c>
      <c r="E12" s="24" t="s">
        <v>40717</v>
      </c>
      <c r="F12" s="23">
        <v>109.0</v>
      </c>
      <c r="G12" s="26">
        <v>1.0101094E7</v>
      </c>
      <c r="H12" s="22"/>
    </row>
    <row r="13">
      <c r="A13" s="18">
        <v>610.0</v>
      </c>
      <c r="B13" s="19" t="s">
        <v>40718</v>
      </c>
      <c r="C13" s="20">
        <v>10.0</v>
      </c>
      <c r="D13" s="19" t="s">
        <v>40719</v>
      </c>
      <c r="E13" s="19" t="s">
        <v>40720</v>
      </c>
      <c r="F13" s="18">
        <v>121.0</v>
      </c>
      <c r="G13" s="21">
        <v>1.010121E7</v>
      </c>
      <c r="H13" s="22"/>
    </row>
    <row r="14">
      <c r="A14" s="23">
        <v>610.0</v>
      </c>
      <c r="B14" s="24" t="s">
        <v>40721</v>
      </c>
      <c r="C14" s="25">
        <v>10.0</v>
      </c>
      <c r="D14" s="24" t="s">
        <v>40722</v>
      </c>
      <c r="E14" s="24" t="s">
        <v>40723</v>
      </c>
      <c r="F14" s="23">
        <v>160.0</v>
      </c>
      <c r="G14" s="26">
        <v>1.0101607E7</v>
      </c>
      <c r="H14" s="22"/>
    </row>
    <row r="15">
      <c r="A15" s="18">
        <v>610.0</v>
      </c>
      <c r="B15" s="19" t="s">
        <v>40724</v>
      </c>
      <c r="C15" s="20">
        <v>10.0</v>
      </c>
      <c r="D15" s="19" t="s">
        <v>40725</v>
      </c>
      <c r="E15" s="19" t="s">
        <v>40726</v>
      </c>
      <c r="F15" s="18">
        <v>175.0</v>
      </c>
      <c r="G15" s="21">
        <v>1.0101757E7</v>
      </c>
      <c r="H15" s="22"/>
    </row>
    <row r="16">
      <c r="A16" s="23">
        <v>610.0</v>
      </c>
      <c r="B16" s="24" t="s">
        <v>40727</v>
      </c>
      <c r="C16" s="25">
        <v>10.0</v>
      </c>
      <c r="D16" s="24" t="s">
        <v>40728</v>
      </c>
      <c r="E16" s="24" t="s">
        <v>40729</v>
      </c>
      <c r="F16" s="23">
        <v>184.0</v>
      </c>
      <c r="G16" s="26">
        <v>1.0101849E7</v>
      </c>
      <c r="H16" s="22"/>
    </row>
    <row r="17">
      <c r="A17" s="18">
        <v>610.0</v>
      </c>
      <c r="B17" s="19" t="s">
        <v>40730</v>
      </c>
      <c r="C17" s="20">
        <v>10.0</v>
      </c>
      <c r="D17" s="19" t="s">
        <v>40731</v>
      </c>
      <c r="E17" s="19" t="s">
        <v>40732</v>
      </c>
      <c r="F17" s="18">
        <v>190.0</v>
      </c>
      <c r="G17" s="21">
        <v>1.0101902E7</v>
      </c>
      <c r="H17" s="22"/>
    </row>
    <row r="18">
      <c r="A18" s="23">
        <v>610.0</v>
      </c>
      <c r="B18" s="24" t="s">
        <v>40733</v>
      </c>
      <c r="C18" s="25">
        <v>10.0</v>
      </c>
      <c r="D18" s="24" t="s">
        <v>40734</v>
      </c>
      <c r="E18" s="24" t="s">
        <v>40735</v>
      </c>
      <c r="F18" s="23">
        <v>196.0</v>
      </c>
      <c r="G18" s="26">
        <v>1.010196E7</v>
      </c>
      <c r="H18" s="22"/>
    </row>
    <row r="19">
      <c r="A19" s="18">
        <v>610.0</v>
      </c>
      <c r="B19" s="19" t="s">
        <v>40736</v>
      </c>
      <c r="C19" s="20">
        <v>10.0</v>
      </c>
      <c r="D19" s="19" t="s">
        <v>40737</v>
      </c>
      <c r="E19" s="19" t="s">
        <v>40738</v>
      </c>
      <c r="F19" s="18">
        <v>202.0</v>
      </c>
      <c r="G19" s="21">
        <v>1.0102022E7</v>
      </c>
      <c r="H19" s="22"/>
    </row>
    <row r="20">
      <c r="A20" s="23">
        <v>610.0</v>
      </c>
      <c r="B20" s="24" t="s">
        <v>40739</v>
      </c>
      <c r="C20" s="25">
        <v>10.0</v>
      </c>
      <c r="D20" s="24" t="s">
        <v>40740</v>
      </c>
      <c r="E20" s="24" t="s">
        <v>40741</v>
      </c>
      <c r="F20" s="23">
        <v>211.0</v>
      </c>
      <c r="G20" s="26">
        <v>1.0102114E7</v>
      </c>
      <c r="H20" s="22"/>
    </row>
    <row r="21">
      <c r="A21" s="18">
        <v>610.0</v>
      </c>
      <c r="B21" s="19" t="s">
        <v>40742</v>
      </c>
      <c r="C21" s="20">
        <v>10.0</v>
      </c>
      <c r="D21" s="19" t="s">
        <v>40743</v>
      </c>
      <c r="E21" s="19" t="s">
        <v>40744</v>
      </c>
      <c r="F21" s="18">
        <v>220.0</v>
      </c>
      <c r="G21" s="21">
        <v>1.0102206E7</v>
      </c>
      <c r="H21" s="22"/>
    </row>
    <row r="22">
      <c r="A22" s="23">
        <v>610.0</v>
      </c>
      <c r="B22" s="24" t="s">
        <v>40745</v>
      </c>
      <c r="C22" s="25">
        <v>10.0</v>
      </c>
      <c r="D22" s="24" t="s">
        <v>40746</v>
      </c>
      <c r="E22" s="24" t="s">
        <v>40747</v>
      </c>
      <c r="F22" s="23">
        <v>226.0</v>
      </c>
      <c r="G22" s="26">
        <v>1.0102264E7</v>
      </c>
      <c r="H22" s="22"/>
    </row>
    <row r="23">
      <c r="A23" s="18">
        <v>610.0</v>
      </c>
      <c r="B23" s="19" t="s">
        <v>40748</v>
      </c>
      <c r="C23" s="20">
        <v>10.0</v>
      </c>
      <c r="D23" s="19" t="s">
        <v>40749</v>
      </c>
      <c r="E23" s="19" t="s">
        <v>40750</v>
      </c>
      <c r="F23" s="18">
        <v>244.0</v>
      </c>
      <c r="G23" s="21">
        <v>1.0102448E7</v>
      </c>
      <c r="H23" s="22"/>
    </row>
    <row r="24">
      <c r="A24" s="23">
        <v>610.0</v>
      </c>
      <c r="B24" s="24" t="s">
        <v>40751</v>
      </c>
      <c r="C24" s="25">
        <v>10.0</v>
      </c>
      <c r="D24" s="24" t="s">
        <v>40752</v>
      </c>
      <c r="E24" s="24" t="s">
        <v>40753</v>
      </c>
      <c r="F24" s="23">
        <v>274.0</v>
      </c>
      <c r="G24" s="26">
        <v>1.0102743E7</v>
      </c>
      <c r="H24" s="22"/>
    </row>
    <row r="25">
      <c r="A25" s="18">
        <v>610.0</v>
      </c>
      <c r="B25" s="19" t="s">
        <v>40754</v>
      </c>
      <c r="C25" s="20">
        <v>10.0</v>
      </c>
      <c r="D25" s="19" t="s">
        <v>40755</v>
      </c>
      <c r="E25" s="19" t="s">
        <v>40756</v>
      </c>
      <c r="F25" s="18">
        <v>283.0</v>
      </c>
      <c r="G25" s="21">
        <v>1.0102835E7</v>
      </c>
      <c r="H25" s="22"/>
    </row>
    <row r="26">
      <c r="A26" s="23">
        <v>610.0</v>
      </c>
      <c r="B26" s="24" t="s">
        <v>40757</v>
      </c>
      <c r="C26" s="25">
        <v>10.0</v>
      </c>
      <c r="D26" s="24" t="s">
        <v>40758</v>
      </c>
      <c r="E26" s="24" t="s">
        <v>40759</v>
      </c>
      <c r="F26" s="23">
        <v>286.0</v>
      </c>
      <c r="G26" s="26">
        <v>1.0102864E7</v>
      </c>
      <c r="H26" s="22"/>
    </row>
    <row r="27">
      <c r="A27" s="18">
        <v>610.0</v>
      </c>
      <c r="B27" s="19" t="s">
        <v>40760</v>
      </c>
      <c r="C27" s="20">
        <v>10.0</v>
      </c>
      <c r="D27" s="19" t="s">
        <v>40761</v>
      </c>
      <c r="E27" s="19" t="s">
        <v>40762</v>
      </c>
      <c r="F27" s="18">
        <v>295.0</v>
      </c>
      <c r="G27" s="21">
        <v>1.0102956E7</v>
      </c>
      <c r="H27" s="22"/>
    </row>
    <row r="28">
      <c r="A28" s="23">
        <v>610.0</v>
      </c>
      <c r="B28" s="24" t="s">
        <v>40763</v>
      </c>
      <c r="C28" s="25">
        <v>10.0</v>
      </c>
      <c r="D28" s="24" t="s">
        <v>40764</v>
      </c>
      <c r="E28" s="24" t="s">
        <v>40765</v>
      </c>
      <c r="F28" s="23">
        <v>304.0</v>
      </c>
      <c r="G28" s="26">
        <v>1.0103047E7</v>
      </c>
      <c r="H28" s="22"/>
    </row>
    <row r="29">
      <c r="A29" s="18">
        <v>610.0</v>
      </c>
      <c r="B29" s="19" t="s">
        <v>40766</v>
      </c>
      <c r="C29" s="20">
        <v>10.0</v>
      </c>
      <c r="D29" s="19" t="s">
        <v>40767</v>
      </c>
      <c r="E29" s="19" t="s">
        <v>40768</v>
      </c>
      <c r="F29" s="18">
        <v>307.0</v>
      </c>
      <c r="G29" s="21">
        <v>1.0103076E7</v>
      </c>
      <c r="H29" s="22"/>
    </row>
    <row r="30">
      <c r="A30" s="23">
        <v>610.0</v>
      </c>
      <c r="B30" s="24" t="s">
        <v>40769</v>
      </c>
      <c r="C30" s="25">
        <v>10.0</v>
      </c>
      <c r="D30" s="24" t="s">
        <v>40770</v>
      </c>
      <c r="E30" s="24" t="s">
        <v>40771</v>
      </c>
      <c r="F30" s="23">
        <v>310.0</v>
      </c>
      <c r="G30" s="26">
        <v>1.01031E7</v>
      </c>
      <c r="H30" s="22"/>
    </row>
    <row r="31">
      <c r="A31" s="18">
        <v>610.0</v>
      </c>
      <c r="B31" s="19" t="s">
        <v>40772</v>
      </c>
      <c r="C31" s="20">
        <v>10.0</v>
      </c>
      <c r="D31" s="19" t="s">
        <v>40773</v>
      </c>
      <c r="E31" s="19" t="s">
        <v>40774</v>
      </c>
      <c r="F31" s="18">
        <v>313.0</v>
      </c>
      <c r="G31" s="21">
        <v>1.0103139E7</v>
      </c>
      <c r="H31" s="22"/>
    </row>
    <row r="32">
      <c r="A32" s="23">
        <v>610.0</v>
      </c>
      <c r="B32" s="24" t="s">
        <v>40775</v>
      </c>
      <c r="C32" s="25">
        <v>10.0</v>
      </c>
      <c r="D32" s="24" t="s">
        <v>40776</v>
      </c>
      <c r="E32" s="24" t="s">
        <v>40777</v>
      </c>
      <c r="F32" s="23">
        <v>316.0</v>
      </c>
      <c r="G32" s="26">
        <v>1.0103168E7</v>
      </c>
      <c r="H32" s="22"/>
    </row>
    <row r="33">
      <c r="A33" s="18">
        <v>610.0</v>
      </c>
      <c r="B33" s="19" t="s">
        <v>40778</v>
      </c>
      <c r="C33" s="20">
        <v>10.0</v>
      </c>
      <c r="D33" s="19" t="s">
        <v>40779</v>
      </c>
      <c r="E33" s="19" t="s">
        <v>40780</v>
      </c>
      <c r="F33" s="18">
        <v>322.0</v>
      </c>
      <c r="G33" s="21">
        <v>1.0103221E7</v>
      </c>
      <c r="H33" s="22"/>
    </row>
    <row r="34">
      <c r="A34" s="23">
        <v>112.0</v>
      </c>
      <c r="B34" s="24" t="s">
        <v>40781</v>
      </c>
      <c r="C34" s="25">
        <v>10.0</v>
      </c>
      <c r="D34" s="24" t="s">
        <v>40782</v>
      </c>
      <c r="E34" s="24" t="s">
        <v>40783</v>
      </c>
      <c r="F34" s="25">
        <v>4.0</v>
      </c>
      <c r="G34" s="26">
        <v>1.0120046E7</v>
      </c>
      <c r="H34" s="22"/>
    </row>
    <row r="35">
      <c r="A35" s="18">
        <v>112.0</v>
      </c>
      <c r="B35" s="19" t="s">
        <v>40784</v>
      </c>
      <c r="C35" s="20">
        <v>10.0</v>
      </c>
      <c r="D35" s="19" t="s">
        <v>40785</v>
      </c>
      <c r="E35" s="19" t="s">
        <v>40786</v>
      </c>
      <c r="F35" s="20">
        <v>10.0</v>
      </c>
      <c r="G35" s="21">
        <v>1.0120109E7</v>
      </c>
      <c r="H35" s="22"/>
    </row>
    <row r="36">
      <c r="A36" s="23">
        <v>112.0</v>
      </c>
      <c r="B36" s="24" t="s">
        <v>40787</v>
      </c>
      <c r="C36" s="25">
        <v>10.0</v>
      </c>
      <c r="D36" s="24" t="s">
        <v>40788</v>
      </c>
      <c r="E36" s="24" t="s">
        <v>40789</v>
      </c>
      <c r="F36" s="25">
        <v>25.0</v>
      </c>
      <c r="G36" s="26">
        <v>1.0120259E7</v>
      </c>
      <c r="H36" s="22"/>
    </row>
    <row r="37">
      <c r="A37" s="18">
        <v>112.0</v>
      </c>
      <c r="B37" s="19" t="s">
        <v>40790</v>
      </c>
      <c r="C37" s="20">
        <v>10.0</v>
      </c>
      <c r="D37" s="19" t="s">
        <v>40791</v>
      </c>
      <c r="E37" s="19" t="s">
        <v>40792</v>
      </c>
      <c r="F37" s="20">
        <v>28.0</v>
      </c>
      <c r="G37" s="21">
        <v>1.0120288E7</v>
      </c>
      <c r="H37" s="22"/>
    </row>
    <row r="38">
      <c r="A38" s="23">
        <v>112.0</v>
      </c>
      <c r="B38" s="24" t="s">
        <v>40793</v>
      </c>
      <c r="C38" s="25">
        <v>10.0</v>
      </c>
      <c r="D38" s="24" t="s">
        <v>40794</v>
      </c>
      <c r="E38" s="24" t="s">
        <v>40795</v>
      </c>
      <c r="F38" s="25">
        <v>40.0</v>
      </c>
      <c r="G38" s="26">
        <v>1.0120404E7</v>
      </c>
      <c r="H38" s="22"/>
    </row>
    <row r="39">
      <c r="A39" s="18">
        <v>112.0</v>
      </c>
      <c r="B39" s="19" t="s">
        <v>40796</v>
      </c>
      <c r="C39" s="20">
        <v>10.0</v>
      </c>
      <c r="D39" s="19" t="s">
        <v>40797</v>
      </c>
      <c r="E39" s="19" t="s">
        <v>40798</v>
      </c>
      <c r="F39" s="20">
        <v>43.0</v>
      </c>
      <c r="G39" s="21">
        <v>1.0120433E7</v>
      </c>
      <c r="H39" s="22"/>
    </row>
    <row r="40">
      <c r="A40" s="23">
        <v>112.0</v>
      </c>
      <c r="B40" s="24" t="s">
        <v>40799</v>
      </c>
      <c r="C40" s="25">
        <v>10.0</v>
      </c>
      <c r="D40" s="24" t="s">
        <v>40800</v>
      </c>
      <c r="E40" s="24" t="s">
        <v>40801</v>
      </c>
      <c r="F40" s="25">
        <v>58.0</v>
      </c>
      <c r="G40" s="26">
        <v>1.0120583E7</v>
      </c>
      <c r="H40" s="22"/>
    </row>
    <row r="41">
      <c r="A41" s="18">
        <v>112.0</v>
      </c>
      <c r="B41" s="19" t="s">
        <v>40802</v>
      </c>
      <c r="C41" s="20">
        <v>10.0</v>
      </c>
      <c r="D41" s="19" t="s">
        <v>40803</v>
      </c>
      <c r="E41" s="19" t="s">
        <v>40804</v>
      </c>
      <c r="F41" s="20">
        <v>91.0</v>
      </c>
      <c r="G41" s="21">
        <v>1.0120912E7</v>
      </c>
      <c r="H41" s="22"/>
    </row>
    <row r="42">
      <c r="A42" s="23">
        <v>112.0</v>
      </c>
      <c r="B42" s="24" t="s">
        <v>40805</v>
      </c>
      <c r="C42" s="25">
        <v>10.0</v>
      </c>
      <c r="D42" s="24" t="s">
        <v>40806</v>
      </c>
      <c r="E42" s="24" t="s">
        <v>40807</v>
      </c>
      <c r="F42" s="23">
        <v>103.0</v>
      </c>
      <c r="G42" s="26">
        <v>1.0121032E7</v>
      </c>
      <c r="H42" s="22"/>
    </row>
    <row r="43">
      <c r="A43" s="18">
        <v>112.0</v>
      </c>
      <c r="B43" s="19" t="s">
        <v>40808</v>
      </c>
      <c r="C43" s="20">
        <v>10.0</v>
      </c>
      <c r="D43" s="19" t="s">
        <v>40809</v>
      </c>
      <c r="E43" s="19" t="s">
        <v>40810</v>
      </c>
      <c r="F43" s="18">
        <v>115.0</v>
      </c>
      <c r="G43" s="21">
        <v>1.0121153E7</v>
      </c>
      <c r="H43" s="22"/>
    </row>
    <row r="44">
      <c r="A44" s="23">
        <v>112.0</v>
      </c>
      <c r="B44" s="24" t="s">
        <v>40811</v>
      </c>
      <c r="C44" s="25">
        <v>10.0</v>
      </c>
      <c r="D44" s="24" t="s">
        <v>40812</v>
      </c>
      <c r="E44" s="24" t="s">
        <v>40813</v>
      </c>
      <c r="F44" s="23">
        <v>136.0</v>
      </c>
      <c r="G44" s="26">
        <v>1.0121366E7</v>
      </c>
      <c r="H44" s="22"/>
    </row>
    <row r="45">
      <c r="A45" s="18">
        <v>112.0</v>
      </c>
      <c r="B45" s="19" t="s">
        <v>40814</v>
      </c>
      <c r="C45" s="20">
        <v>10.0</v>
      </c>
      <c r="D45" s="19" t="s">
        <v>40815</v>
      </c>
      <c r="E45" s="19" t="s">
        <v>40816</v>
      </c>
      <c r="F45" s="18">
        <v>157.0</v>
      </c>
      <c r="G45" s="21">
        <v>1.0121579E7</v>
      </c>
      <c r="H45" s="22"/>
    </row>
    <row r="46">
      <c r="A46" s="23">
        <v>112.0</v>
      </c>
      <c r="B46" s="24" t="s">
        <v>40817</v>
      </c>
      <c r="C46" s="25">
        <v>10.0</v>
      </c>
      <c r="D46" s="24" t="s">
        <v>40818</v>
      </c>
      <c r="E46" s="24" t="s">
        <v>40819</v>
      </c>
      <c r="F46" s="23">
        <v>172.0</v>
      </c>
      <c r="G46" s="26">
        <v>1.0121724E7</v>
      </c>
      <c r="H46" s="22"/>
    </row>
    <row r="47">
      <c r="A47" s="18">
        <v>112.0</v>
      </c>
      <c r="B47" s="19" t="s">
        <v>40820</v>
      </c>
      <c r="C47" s="20">
        <v>10.0</v>
      </c>
      <c r="D47" s="19" t="s">
        <v>40821</v>
      </c>
      <c r="E47" s="19" t="s">
        <v>40822</v>
      </c>
      <c r="F47" s="18">
        <v>173.0</v>
      </c>
      <c r="G47" s="21">
        <v>1.0121737E7</v>
      </c>
      <c r="H47" s="22"/>
    </row>
    <row r="48">
      <c r="A48" s="23">
        <v>112.0</v>
      </c>
      <c r="B48" s="24" t="s">
        <v>40823</v>
      </c>
      <c r="C48" s="25">
        <v>10.0</v>
      </c>
      <c r="D48" s="24" t="s">
        <v>40824</v>
      </c>
      <c r="E48" s="24" t="s">
        <v>40825</v>
      </c>
      <c r="F48" s="23">
        <v>184.0</v>
      </c>
      <c r="G48" s="26">
        <v>1.0121845E7</v>
      </c>
      <c r="H48" s="22"/>
    </row>
    <row r="49">
      <c r="A49" s="18">
        <v>113.0</v>
      </c>
      <c r="B49" s="19" t="s">
        <v>40826</v>
      </c>
      <c r="C49" s="20">
        <v>10.0</v>
      </c>
      <c r="D49" s="19" t="s">
        <v>40827</v>
      </c>
      <c r="E49" s="19" t="s">
        <v>40828</v>
      </c>
      <c r="F49" s="20">
        <v>5.0</v>
      </c>
      <c r="G49" s="21">
        <v>1.0130052E7</v>
      </c>
      <c r="H49" s="22"/>
    </row>
    <row r="50">
      <c r="A50" s="23">
        <v>113.0</v>
      </c>
      <c r="B50" s="24" t="s">
        <v>40829</v>
      </c>
      <c r="C50" s="25">
        <v>10.0</v>
      </c>
      <c r="D50" s="24" t="s">
        <v>40830</v>
      </c>
      <c r="E50" s="24" t="s">
        <v>40831</v>
      </c>
      <c r="F50" s="25">
        <v>6.0</v>
      </c>
      <c r="G50" s="26">
        <v>1.0130065E7</v>
      </c>
      <c r="H50" s="22"/>
    </row>
    <row r="51">
      <c r="A51" s="18">
        <v>113.0</v>
      </c>
      <c r="B51" s="19" t="s">
        <v>40832</v>
      </c>
      <c r="C51" s="20">
        <v>10.0</v>
      </c>
      <c r="D51" s="19" t="s">
        <v>40833</v>
      </c>
      <c r="E51" s="19" t="s">
        <v>40834</v>
      </c>
      <c r="F51" s="20">
        <v>13.0</v>
      </c>
      <c r="G51" s="21">
        <v>1.0130131E7</v>
      </c>
      <c r="H51" s="22"/>
    </row>
    <row r="52">
      <c r="A52" s="23">
        <v>113.0</v>
      </c>
      <c r="B52" s="24" t="s">
        <v>40835</v>
      </c>
      <c r="C52" s="25">
        <v>10.0</v>
      </c>
      <c r="D52" s="24" t="s">
        <v>40836</v>
      </c>
      <c r="E52" s="24" t="s">
        <v>40837</v>
      </c>
      <c r="F52" s="25">
        <v>20.0</v>
      </c>
      <c r="G52" s="26">
        <v>1.0130207E7</v>
      </c>
      <c r="H52" s="22"/>
    </row>
    <row r="53">
      <c r="A53" s="18">
        <v>113.0</v>
      </c>
      <c r="B53" s="19" t="s">
        <v>40838</v>
      </c>
      <c r="C53" s="20">
        <v>10.0</v>
      </c>
      <c r="D53" s="19" t="s">
        <v>40839</v>
      </c>
      <c r="E53" s="19" t="s">
        <v>40840</v>
      </c>
      <c r="F53" s="20">
        <v>22.0</v>
      </c>
      <c r="G53" s="21">
        <v>1.0130223E7</v>
      </c>
      <c r="H53" s="22"/>
    </row>
    <row r="54">
      <c r="A54" s="23">
        <v>113.0</v>
      </c>
      <c r="B54" s="24" t="s">
        <v>40841</v>
      </c>
      <c r="C54" s="25">
        <v>10.0</v>
      </c>
      <c r="D54" s="24" t="s">
        <v>40842</v>
      </c>
      <c r="E54" s="24" t="s">
        <v>40843</v>
      </c>
      <c r="F54" s="25">
        <v>46.0</v>
      </c>
      <c r="G54" s="26">
        <v>1.0130465E7</v>
      </c>
      <c r="H54" s="22"/>
    </row>
    <row r="55">
      <c r="A55" s="18">
        <v>113.0</v>
      </c>
      <c r="B55" s="19" t="s">
        <v>40844</v>
      </c>
      <c r="C55" s="20">
        <v>10.0</v>
      </c>
      <c r="D55" s="19" t="s">
        <v>40845</v>
      </c>
      <c r="E55" s="19" t="s">
        <v>40846</v>
      </c>
      <c r="F55" s="20">
        <v>55.0</v>
      </c>
      <c r="G55" s="21">
        <v>1.0130557E7</v>
      </c>
      <c r="H55" s="22"/>
    </row>
    <row r="56">
      <c r="A56" s="23">
        <v>113.0</v>
      </c>
      <c r="B56" s="24" t="s">
        <v>40847</v>
      </c>
      <c r="C56" s="25">
        <v>10.0</v>
      </c>
      <c r="D56" s="24" t="s">
        <v>40848</v>
      </c>
      <c r="E56" s="24" t="s">
        <v>40849</v>
      </c>
      <c r="F56" s="25">
        <v>79.0</v>
      </c>
      <c r="G56" s="26">
        <v>1.0130799E7</v>
      </c>
      <c r="H56" s="2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113.0</v>
      </c>
      <c r="B1" s="28" t="s">
        <v>40850</v>
      </c>
      <c r="C1" s="29">
        <v>10.0</v>
      </c>
      <c r="D1" s="28" t="s">
        <v>40851</v>
      </c>
      <c r="E1" s="28" t="s">
        <v>40852</v>
      </c>
      <c r="F1" s="29">
        <v>88.0</v>
      </c>
      <c r="G1" s="30">
        <v>1.0130881E7</v>
      </c>
    </row>
    <row r="2" ht="12.75" customHeight="1">
      <c r="A2" s="31">
        <v>113.0</v>
      </c>
      <c r="B2" s="32" t="s">
        <v>40853</v>
      </c>
      <c r="C2" s="33">
        <v>10.0</v>
      </c>
      <c r="D2" s="32" t="s">
        <v>40854</v>
      </c>
      <c r="E2" s="32" t="s">
        <v>40855</v>
      </c>
      <c r="F2" s="31">
        <v>103.0</v>
      </c>
      <c r="G2" s="34">
        <v>1.0131035E7</v>
      </c>
    </row>
    <row r="3" ht="12.75" customHeight="1">
      <c r="A3" s="27">
        <v>113.0</v>
      </c>
      <c r="B3" s="28" t="s">
        <v>40856</v>
      </c>
      <c r="C3" s="29">
        <v>10.0</v>
      </c>
      <c r="D3" s="28" t="s">
        <v>40857</v>
      </c>
      <c r="E3" s="28" t="s">
        <v>40858</v>
      </c>
      <c r="F3" s="27">
        <v>121.0</v>
      </c>
      <c r="G3" s="30">
        <v>1.0131219E7</v>
      </c>
    </row>
    <row r="4" ht="12.75" customHeight="1">
      <c r="A4" s="31">
        <v>113.0</v>
      </c>
      <c r="B4" s="32" t="s">
        <v>40859</v>
      </c>
      <c r="C4" s="33">
        <v>10.0</v>
      </c>
      <c r="D4" s="32" t="s">
        <v>40860</v>
      </c>
      <c r="E4" s="32" t="s">
        <v>40861</v>
      </c>
      <c r="F4" s="31">
        <v>127.0</v>
      </c>
      <c r="G4" s="34">
        <v>1.0131277E7</v>
      </c>
    </row>
    <row r="5" ht="12.75" customHeight="1">
      <c r="A5" s="27">
        <v>113.0</v>
      </c>
      <c r="B5" s="28" t="s">
        <v>40862</v>
      </c>
      <c r="C5" s="29">
        <v>10.0</v>
      </c>
      <c r="D5" s="28" t="s">
        <v>40863</v>
      </c>
      <c r="E5" s="28" t="s">
        <v>40864</v>
      </c>
      <c r="F5" s="27">
        <v>133.0</v>
      </c>
      <c r="G5" s="30">
        <v>1.013133E7</v>
      </c>
    </row>
    <row r="6" ht="12.75" customHeight="1">
      <c r="A6" s="31">
        <v>113.0</v>
      </c>
      <c r="B6" s="32" t="s">
        <v>40865</v>
      </c>
      <c r="C6" s="33">
        <v>10.0</v>
      </c>
      <c r="D6" s="32" t="s">
        <v>40866</v>
      </c>
      <c r="E6" s="32" t="s">
        <v>40867</v>
      </c>
      <c r="F6" s="31">
        <v>139.0</v>
      </c>
      <c r="G6" s="34">
        <v>1.0131398E7</v>
      </c>
    </row>
    <row r="7" ht="12.75" customHeight="1">
      <c r="A7" s="27">
        <v>113.0</v>
      </c>
      <c r="B7" s="28" t="s">
        <v>40868</v>
      </c>
      <c r="C7" s="29">
        <v>10.0</v>
      </c>
      <c r="D7" s="28" t="s">
        <v>40869</v>
      </c>
      <c r="E7" s="28" t="s">
        <v>40870</v>
      </c>
      <c r="F7" s="27">
        <v>145.0</v>
      </c>
      <c r="G7" s="30">
        <v>1.0131451E7</v>
      </c>
    </row>
    <row r="8" ht="12.75" customHeight="1">
      <c r="A8" s="31">
        <v>113.0</v>
      </c>
      <c r="B8" s="32" t="s">
        <v>40871</v>
      </c>
      <c r="C8" s="33">
        <v>10.0</v>
      </c>
      <c r="D8" s="32" t="s">
        <v>40872</v>
      </c>
      <c r="E8" s="32" t="s">
        <v>40873</v>
      </c>
      <c r="F8" s="31">
        <v>148.0</v>
      </c>
      <c r="G8" s="34">
        <v>1.013148E7</v>
      </c>
    </row>
    <row r="9" ht="12.75" customHeight="1">
      <c r="A9" s="27">
        <v>113.0</v>
      </c>
      <c r="B9" s="28" t="s">
        <v>40874</v>
      </c>
      <c r="C9" s="29">
        <v>10.0</v>
      </c>
      <c r="D9" s="28" t="s">
        <v>40875</v>
      </c>
      <c r="E9" s="28" t="s">
        <v>40876</v>
      </c>
      <c r="F9" s="27">
        <v>172.0</v>
      </c>
      <c r="G9" s="30">
        <v>1.0131727E7</v>
      </c>
    </row>
    <row r="10" ht="12.75" customHeight="1">
      <c r="A10" s="31">
        <v>113.0</v>
      </c>
      <c r="B10" s="32" t="s">
        <v>40877</v>
      </c>
      <c r="C10" s="33">
        <v>10.0</v>
      </c>
      <c r="D10" s="32" t="s">
        <v>40878</v>
      </c>
      <c r="E10" s="32" t="s">
        <v>40879</v>
      </c>
      <c r="F10" s="31">
        <v>178.0</v>
      </c>
      <c r="G10" s="34">
        <v>1.0131785E7</v>
      </c>
    </row>
    <row r="11" ht="12.75" customHeight="1">
      <c r="A11" s="27">
        <v>113.0</v>
      </c>
      <c r="B11" s="28" t="s">
        <v>40880</v>
      </c>
      <c r="C11" s="29">
        <v>10.0</v>
      </c>
      <c r="D11" s="28" t="s">
        <v>40881</v>
      </c>
      <c r="E11" s="28" t="s">
        <v>40882</v>
      </c>
      <c r="F11" s="27">
        <v>205.0</v>
      </c>
      <c r="G11" s="30">
        <v>1.013205E7</v>
      </c>
    </row>
    <row r="12" ht="12.75" customHeight="1">
      <c r="A12" s="31">
        <v>113.0</v>
      </c>
      <c r="B12" s="32" t="s">
        <v>40883</v>
      </c>
      <c r="C12" s="33">
        <v>10.0</v>
      </c>
      <c r="D12" s="32" t="s">
        <v>40884</v>
      </c>
      <c r="E12" s="32" t="s">
        <v>40885</v>
      </c>
      <c r="F12" s="31">
        <v>208.0</v>
      </c>
      <c r="G12" s="34">
        <v>1.0132089E7</v>
      </c>
    </row>
    <row r="13" ht="12.75" customHeight="1">
      <c r="A13" s="27">
        <v>215.0</v>
      </c>
      <c r="B13" s="28" t="s">
        <v>40886</v>
      </c>
      <c r="C13" s="29">
        <v>10.0</v>
      </c>
      <c r="D13" s="28" t="s">
        <v>40887</v>
      </c>
      <c r="E13" s="28" t="s">
        <v>40888</v>
      </c>
      <c r="F13" s="29">
        <v>16.0</v>
      </c>
      <c r="G13" s="30">
        <v>1.0150166E7</v>
      </c>
    </row>
    <row r="14" ht="12.75" customHeight="1">
      <c r="A14" s="31">
        <v>215.0</v>
      </c>
      <c r="B14" s="32" t="s">
        <v>40889</v>
      </c>
      <c r="C14" s="33">
        <v>10.0</v>
      </c>
      <c r="D14" s="32" t="s">
        <v>40890</v>
      </c>
      <c r="E14" s="32" t="s">
        <v>40891</v>
      </c>
      <c r="F14" s="33">
        <v>19.0</v>
      </c>
      <c r="G14" s="34">
        <v>1.0150195E7</v>
      </c>
    </row>
    <row r="15" ht="12.75" customHeight="1">
      <c r="A15" s="27">
        <v>215.0</v>
      </c>
      <c r="B15" s="28" t="s">
        <v>40892</v>
      </c>
      <c r="C15" s="29">
        <v>10.0</v>
      </c>
      <c r="D15" s="28" t="s">
        <v>40893</v>
      </c>
      <c r="E15" s="28" t="s">
        <v>40894</v>
      </c>
      <c r="F15" s="29">
        <v>28.0</v>
      </c>
      <c r="G15" s="30">
        <v>1.0150287E7</v>
      </c>
    </row>
    <row r="16" ht="12.75" customHeight="1">
      <c r="A16" s="31">
        <v>215.0</v>
      </c>
      <c r="B16" s="32" t="s">
        <v>40895</v>
      </c>
      <c r="C16" s="33">
        <v>10.0</v>
      </c>
      <c r="D16" s="32" t="s">
        <v>40896</v>
      </c>
      <c r="E16" s="32" t="s">
        <v>40897</v>
      </c>
      <c r="F16" s="33">
        <v>40.0</v>
      </c>
      <c r="G16" s="34">
        <v>1.0150403E7</v>
      </c>
    </row>
    <row r="17" ht="12.75" customHeight="1">
      <c r="A17" s="27">
        <v>215.0</v>
      </c>
      <c r="B17" s="28" t="s">
        <v>40898</v>
      </c>
      <c r="C17" s="29">
        <v>10.0</v>
      </c>
      <c r="D17" s="28" t="s">
        <v>40899</v>
      </c>
      <c r="E17" s="28" t="s">
        <v>40900</v>
      </c>
      <c r="F17" s="29">
        <v>43.0</v>
      </c>
      <c r="G17" s="30">
        <v>1.0150432E7</v>
      </c>
    </row>
    <row r="18" ht="12.75" customHeight="1">
      <c r="A18" s="31">
        <v>215.0</v>
      </c>
      <c r="B18" s="32" t="s">
        <v>40901</v>
      </c>
      <c r="C18" s="33">
        <v>10.0</v>
      </c>
      <c r="D18" s="32" t="s">
        <v>40902</v>
      </c>
      <c r="E18" s="32" t="s">
        <v>40903</v>
      </c>
      <c r="F18" s="33">
        <v>55.0</v>
      </c>
      <c r="G18" s="34">
        <v>1.0150553E7</v>
      </c>
    </row>
    <row r="19" ht="12.75" customHeight="1">
      <c r="A19" s="27">
        <v>215.0</v>
      </c>
      <c r="B19" s="28" t="s">
        <v>40904</v>
      </c>
      <c r="C19" s="29">
        <v>10.0</v>
      </c>
      <c r="D19" s="28" t="s">
        <v>40905</v>
      </c>
      <c r="E19" s="28" t="s">
        <v>40906</v>
      </c>
      <c r="F19" s="29">
        <v>58.0</v>
      </c>
      <c r="G19" s="30">
        <v>1.0150582E7</v>
      </c>
    </row>
    <row r="20" ht="12.75" customHeight="1">
      <c r="A20" s="31">
        <v>215.0</v>
      </c>
      <c r="B20" s="32" t="s">
        <v>40907</v>
      </c>
      <c r="C20" s="33">
        <v>10.0</v>
      </c>
      <c r="D20" s="32" t="s">
        <v>40908</v>
      </c>
      <c r="E20" s="32" t="s">
        <v>40909</v>
      </c>
      <c r="F20" s="33">
        <v>67.0</v>
      </c>
      <c r="G20" s="34">
        <v>1.0150674E7</v>
      </c>
    </row>
    <row r="21" ht="12.75" customHeight="1">
      <c r="A21" s="27">
        <v>215.0</v>
      </c>
      <c r="B21" s="28" t="s">
        <v>40910</v>
      </c>
      <c r="C21" s="29">
        <v>10.0</v>
      </c>
      <c r="D21" s="28" t="s">
        <v>40911</v>
      </c>
      <c r="E21" s="28" t="s">
        <v>40912</v>
      </c>
      <c r="F21" s="29">
        <v>73.0</v>
      </c>
      <c r="G21" s="30">
        <v>1.0150737E7</v>
      </c>
    </row>
    <row r="22" ht="12.75" customHeight="1">
      <c r="A22" s="31">
        <v>215.0</v>
      </c>
      <c r="B22" s="32" t="s">
        <v>40913</v>
      </c>
      <c r="C22" s="33">
        <v>10.0</v>
      </c>
      <c r="D22" s="32" t="s">
        <v>40914</v>
      </c>
      <c r="E22" s="32" t="s">
        <v>40915</v>
      </c>
      <c r="F22" s="33">
        <v>79.0</v>
      </c>
      <c r="G22" s="34">
        <v>1.0150795E7</v>
      </c>
    </row>
    <row r="23" ht="12.75" customHeight="1">
      <c r="A23" s="27">
        <v>215.0</v>
      </c>
      <c r="B23" s="28" t="s">
        <v>40916</v>
      </c>
      <c r="C23" s="29">
        <v>10.0</v>
      </c>
      <c r="D23" s="28" t="s">
        <v>40917</v>
      </c>
      <c r="E23" s="28" t="s">
        <v>40918</v>
      </c>
      <c r="F23" s="29">
        <v>91.0</v>
      </c>
      <c r="G23" s="30">
        <v>1.0150911E7</v>
      </c>
    </row>
    <row r="24" ht="12.75" customHeight="1">
      <c r="A24" s="31">
        <v>215.0</v>
      </c>
      <c r="B24" s="32" t="s">
        <v>40919</v>
      </c>
      <c r="C24" s="33">
        <v>10.0</v>
      </c>
      <c r="D24" s="32" t="s">
        <v>40920</v>
      </c>
      <c r="E24" s="32" t="s">
        <v>40921</v>
      </c>
      <c r="F24" s="31">
        <v>109.0</v>
      </c>
      <c r="G24" s="34">
        <v>1.0151099E7</v>
      </c>
    </row>
    <row r="25" ht="12.75" customHeight="1">
      <c r="A25" s="27">
        <v>215.0</v>
      </c>
      <c r="B25" s="28" t="s">
        <v>40922</v>
      </c>
      <c r="C25" s="29">
        <v>10.0</v>
      </c>
      <c r="D25" s="28" t="s">
        <v>40923</v>
      </c>
      <c r="E25" s="28" t="s">
        <v>40924</v>
      </c>
      <c r="F25" s="27">
        <v>112.0</v>
      </c>
      <c r="G25" s="30">
        <v>1.0151123E7</v>
      </c>
    </row>
    <row r="26" ht="12.75" customHeight="1">
      <c r="A26" s="31">
        <v>215.0</v>
      </c>
      <c r="B26" s="32" t="s">
        <v>40925</v>
      </c>
      <c r="C26" s="33">
        <v>10.0</v>
      </c>
      <c r="D26" s="32" t="s">
        <v>40926</v>
      </c>
      <c r="E26" s="32" t="s">
        <v>40927</v>
      </c>
      <c r="F26" s="31">
        <v>118.0</v>
      </c>
      <c r="G26" s="34">
        <v>1.0151181E7</v>
      </c>
    </row>
    <row r="27" ht="12.75" customHeight="1">
      <c r="A27" s="27">
        <v>215.0</v>
      </c>
      <c r="B27" s="28" t="s">
        <v>40928</v>
      </c>
      <c r="C27" s="29">
        <v>10.0</v>
      </c>
      <c r="D27" s="28" t="s">
        <v>40929</v>
      </c>
      <c r="E27" s="28" t="s">
        <v>40930</v>
      </c>
      <c r="F27" s="27">
        <v>130.0</v>
      </c>
      <c r="G27" s="30">
        <v>1.0151307E7</v>
      </c>
    </row>
    <row r="28" ht="12.75" customHeight="1">
      <c r="A28" s="31">
        <v>215.0</v>
      </c>
      <c r="B28" s="32" t="s">
        <v>40931</v>
      </c>
      <c r="C28" s="33">
        <v>10.0</v>
      </c>
      <c r="D28" s="32" t="s">
        <v>40932</v>
      </c>
      <c r="E28" s="32" t="s">
        <v>40933</v>
      </c>
      <c r="F28" s="31">
        <v>166.0</v>
      </c>
      <c r="G28" s="34">
        <v>1.015166E7</v>
      </c>
    </row>
    <row r="29" ht="12.75" customHeight="1">
      <c r="A29" s="27">
        <v>215.0</v>
      </c>
      <c r="B29" s="28" t="s">
        <v>40934</v>
      </c>
      <c r="C29" s="29">
        <v>10.0</v>
      </c>
      <c r="D29" s="28" t="s">
        <v>40935</v>
      </c>
      <c r="E29" s="28" t="s">
        <v>40936</v>
      </c>
      <c r="F29" s="27">
        <v>175.0</v>
      </c>
      <c r="G29" s="30">
        <v>1.0151752E7</v>
      </c>
    </row>
    <row r="30" ht="12.75" customHeight="1">
      <c r="A30" s="31">
        <v>215.0</v>
      </c>
      <c r="B30" s="32" t="s">
        <v>40937</v>
      </c>
      <c r="C30" s="33">
        <v>10.0</v>
      </c>
      <c r="D30" s="32" t="s">
        <v>40938</v>
      </c>
      <c r="E30" s="32" t="s">
        <v>40939</v>
      </c>
      <c r="F30" s="31">
        <v>190.0</v>
      </c>
      <c r="G30" s="34">
        <v>1.0151907E7</v>
      </c>
    </row>
    <row r="31" ht="12.75" customHeight="1">
      <c r="A31" s="27">
        <v>215.0</v>
      </c>
      <c r="B31" s="28" t="s">
        <v>40940</v>
      </c>
      <c r="C31" s="29">
        <v>10.0</v>
      </c>
      <c r="D31" s="28" t="s">
        <v>40941</v>
      </c>
      <c r="E31" s="28" t="s">
        <v>40942</v>
      </c>
      <c r="F31" s="27">
        <v>191.0</v>
      </c>
      <c r="G31" s="30">
        <v>1.015191E7</v>
      </c>
    </row>
    <row r="32" ht="12.75" customHeight="1">
      <c r="A32" s="31">
        <v>215.0</v>
      </c>
      <c r="B32" s="32" t="s">
        <v>40943</v>
      </c>
      <c r="C32" s="33">
        <v>10.0</v>
      </c>
      <c r="D32" s="32" t="s">
        <v>40944</v>
      </c>
      <c r="E32" s="32" t="s">
        <v>40945</v>
      </c>
      <c r="F32" s="31">
        <v>205.0</v>
      </c>
      <c r="G32" s="34">
        <v>1.0152056E7</v>
      </c>
    </row>
    <row r="33" ht="12.75" customHeight="1">
      <c r="A33" s="27">
        <v>215.0</v>
      </c>
      <c r="B33" s="28" t="s">
        <v>40946</v>
      </c>
      <c r="C33" s="29">
        <v>10.0</v>
      </c>
      <c r="D33" s="28" t="s">
        <v>40947</v>
      </c>
      <c r="E33" s="28" t="s">
        <v>40948</v>
      </c>
      <c r="F33" s="27">
        <v>208.0</v>
      </c>
      <c r="G33" s="30">
        <v>1.0152085E7</v>
      </c>
    </row>
    <row r="34" ht="12.75" customHeight="1">
      <c r="A34" s="31">
        <v>215.0</v>
      </c>
      <c r="B34" s="32" t="s">
        <v>40949</v>
      </c>
      <c r="C34" s="33">
        <v>10.0</v>
      </c>
      <c r="D34" s="32" t="s">
        <v>40950</v>
      </c>
      <c r="E34" s="32" t="s">
        <v>40951</v>
      </c>
      <c r="F34" s="31">
        <v>229.0</v>
      </c>
      <c r="G34" s="34">
        <v>1.0152298E7</v>
      </c>
    </row>
    <row r="35" ht="12.75" customHeight="1">
      <c r="A35" s="27">
        <v>215.0</v>
      </c>
      <c r="B35" s="28" t="s">
        <v>40952</v>
      </c>
      <c r="C35" s="29">
        <v>10.0</v>
      </c>
      <c r="D35" s="28" t="s">
        <v>40953</v>
      </c>
      <c r="E35" s="28" t="s">
        <v>40954</v>
      </c>
      <c r="F35" s="27">
        <v>232.0</v>
      </c>
      <c r="G35" s="30">
        <v>1.0152322E7</v>
      </c>
    </row>
    <row r="36" ht="12.75" customHeight="1">
      <c r="A36" s="31">
        <v>215.0</v>
      </c>
      <c r="B36" s="32" t="s">
        <v>40955</v>
      </c>
      <c r="C36" s="33">
        <v>10.0</v>
      </c>
      <c r="D36" s="32" t="s">
        <v>40956</v>
      </c>
      <c r="E36" s="32" t="s">
        <v>40957</v>
      </c>
      <c r="F36" s="31">
        <v>244.0</v>
      </c>
      <c r="G36" s="34">
        <v>1.0152443E7</v>
      </c>
    </row>
    <row r="37" ht="12.75" customHeight="1">
      <c r="A37" s="27">
        <v>215.0</v>
      </c>
      <c r="B37" s="28" t="s">
        <v>40958</v>
      </c>
      <c r="C37" s="29">
        <v>10.0</v>
      </c>
      <c r="D37" s="28" t="s">
        <v>40959</v>
      </c>
      <c r="E37" s="28" t="s">
        <v>40960</v>
      </c>
      <c r="F37" s="27">
        <v>262.0</v>
      </c>
      <c r="G37" s="30">
        <v>1.0152627E7</v>
      </c>
    </row>
    <row r="38" ht="12.75" customHeight="1">
      <c r="A38" s="31">
        <v>215.0</v>
      </c>
      <c r="B38" s="32" t="s">
        <v>40961</v>
      </c>
      <c r="C38" s="33">
        <v>10.0</v>
      </c>
      <c r="D38" s="32" t="s">
        <v>40962</v>
      </c>
      <c r="E38" s="32" t="s">
        <v>40963</v>
      </c>
      <c r="F38" s="31">
        <v>280.0</v>
      </c>
      <c r="G38" s="34">
        <v>1.0152801E7</v>
      </c>
    </row>
    <row r="39" ht="12.75" customHeight="1">
      <c r="A39" s="27">
        <v>215.0</v>
      </c>
      <c r="B39" s="28" t="s">
        <v>40964</v>
      </c>
      <c r="C39" s="29">
        <v>10.0</v>
      </c>
      <c r="D39" s="28" t="s">
        <v>40965</v>
      </c>
      <c r="E39" s="28" t="s">
        <v>40966</v>
      </c>
      <c r="F39" s="27">
        <v>286.0</v>
      </c>
      <c r="G39" s="30">
        <v>1.0152869E7</v>
      </c>
    </row>
    <row r="40" ht="12.75" customHeight="1">
      <c r="A40" s="31">
        <v>215.0</v>
      </c>
      <c r="B40" s="32" t="s">
        <v>40967</v>
      </c>
      <c r="C40" s="33">
        <v>10.0</v>
      </c>
      <c r="D40" s="32" t="s">
        <v>40968</v>
      </c>
      <c r="E40" s="32" t="s">
        <v>40969</v>
      </c>
      <c r="F40" s="31">
        <v>289.0</v>
      </c>
      <c r="G40" s="34">
        <v>1.0152898E7</v>
      </c>
    </row>
    <row r="41" ht="12.75" customHeight="1">
      <c r="A41" s="27">
        <v>215.0</v>
      </c>
      <c r="B41" s="28" t="s">
        <v>40970</v>
      </c>
      <c r="C41" s="29">
        <v>10.0</v>
      </c>
      <c r="D41" s="28" t="s">
        <v>40971</v>
      </c>
      <c r="E41" s="28" t="s">
        <v>40972</v>
      </c>
      <c r="F41" s="27">
        <v>301.0</v>
      </c>
      <c r="G41" s="30">
        <v>1.0153013E7</v>
      </c>
    </row>
    <row r="42" ht="12.75" customHeight="1">
      <c r="A42" s="31">
        <v>215.0</v>
      </c>
      <c r="B42" s="32" t="s">
        <v>40973</v>
      </c>
      <c r="C42" s="33">
        <v>10.0</v>
      </c>
      <c r="D42" s="32" t="s">
        <v>40974</v>
      </c>
      <c r="E42" s="32" t="s">
        <v>40975</v>
      </c>
      <c r="F42" s="31">
        <v>307.0</v>
      </c>
      <c r="G42" s="34">
        <v>1.0153071E7</v>
      </c>
    </row>
    <row r="43" ht="12.75" customHeight="1">
      <c r="A43" s="27">
        <v>215.0</v>
      </c>
      <c r="B43" s="28" t="s">
        <v>40976</v>
      </c>
      <c r="C43" s="29">
        <v>10.0</v>
      </c>
      <c r="D43" s="28" t="s">
        <v>40977</v>
      </c>
      <c r="E43" s="28" t="s">
        <v>40978</v>
      </c>
      <c r="F43" s="27">
        <v>316.0</v>
      </c>
      <c r="G43" s="30">
        <v>1.0153163E7</v>
      </c>
    </row>
    <row r="44" ht="12.75" customHeight="1">
      <c r="A44" s="31">
        <v>215.0</v>
      </c>
      <c r="B44" s="32" t="s">
        <v>40979</v>
      </c>
      <c r="C44" s="33">
        <v>10.0</v>
      </c>
      <c r="D44" s="32" t="s">
        <v>40980</v>
      </c>
      <c r="E44" s="32" t="s">
        <v>40981</v>
      </c>
      <c r="F44" s="31">
        <v>322.0</v>
      </c>
      <c r="G44" s="34">
        <v>1.0153226E7</v>
      </c>
    </row>
    <row r="45" ht="12.75" customHeight="1">
      <c r="A45" s="27">
        <v>215.0</v>
      </c>
      <c r="B45" s="28" t="s">
        <v>40982</v>
      </c>
      <c r="C45" s="29">
        <v>10.0</v>
      </c>
      <c r="D45" s="28" t="s">
        <v>40983</v>
      </c>
      <c r="E45" s="28" t="s">
        <v>40984</v>
      </c>
      <c r="F45" s="27">
        <v>325.0</v>
      </c>
      <c r="G45" s="30">
        <v>1.0153255E7</v>
      </c>
    </row>
    <row r="46" ht="12.75" customHeight="1">
      <c r="A46" s="31">
        <v>215.0</v>
      </c>
      <c r="B46" s="32" t="s">
        <v>40985</v>
      </c>
      <c r="C46" s="33">
        <v>10.0</v>
      </c>
      <c r="D46" s="32" t="s">
        <v>40986</v>
      </c>
      <c r="E46" s="32" t="s">
        <v>40987</v>
      </c>
      <c r="F46" s="31">
        <v>331.0</v>
      </c>
      <c r="G46" s="34">
        <v>1.0153318E7</v>
      </c>
    </row>
    <row r="47" ht="12.75" customHeight="1">
      <c r="A47" s="27">
        <v>215.0</v>
      </c>
      <c r="B47" s="28" t="s">
        <v>40988</v>
      </c>
      <c r="C47" s="29">
        <v>10.0</v>
      </c>
      <c r="D47" s="28" t="s">
        <v>40989</v>
      </c>
      <c r="E47" s="28" t="s">
        <v>40990</v>
      </c>
      <c r="F47" s="27">
        <v>337.0</v>
      </c>
      <c r="G47" s="30">
        <v>1.0153376E7</v>
      </c>
    </row>
    <row r="48" ht="12.75" customHeight="1">
      <c r="A48" s="31">
        <v>215.0</v>
      </c>
      <c r="B48" s="32" t="s">
        <v>40991</v>
      </c>
      <c r="C48" s="33">
        <v>10.0</v>
      </c>
      <c r="D48" s="32" t="s">
        <v>40992</v>
      </c>
      <c r="E48" s="32" t="s">
        <v>40993</v>
      </c>
      <c r="F48" s="31">
        <v>343.0</v>
      </c>
      <c r="G48" s="34">
        <v>1.0153439E7</v>
      </c>
    </row>
    <row r="49" ht="12.75" customHeight="1">
      <c r="A49" s="27">
        <v>215.0</v>
      </c>
      <c r="B49" s="28" t="s">
        <v>40994</v>
      </c>
      <c r="C49" s="29">
        <v>10.0</v>
      </c>
      <c r="D49" s="28" t="s">
        <v>40995</v>
      </c>
      <c r="E49" s="28" t="s">
        <v>40996</v>
      </c>
      <c r="F49" s="27">
        <v>352.0</v>
      </c>
      <c r="G49" s="30">
        <v>1.0153521E7</v>
      </c>
    </row>
    <row r="50" ht="12.75" customHeight="1">
      <c r="A50" s="31">
        <v>215.0</v>
      </c>
      <c r="B50" s="32" t="s">
        <v>40997</v>
      </c>
      <c r="C50" s="33">
        <v>10.0</v>
      </c>
      <c r="D50" s="32" t="s">
        <v>40998</v>
      </c>
      <c r="E50" s="32" t="s">
        <v>40999</v>
      </c>
      <c r="F50" s="31">
        <v>364.0</v>
      </c>
      <c r="G50" s="34">
        <v>1.0153642E7</v>
      </c>
    </row>
    <row r="51" ht="12.75" customHeight="1">
      <c r="A51" s="27">
        <v>215.0</v>
      </c>
      <c r="B51" s="28" t="s">
        <v>41000</v>
      </c>
      <c r="C51" s="29">
        <v>10.0</v>
      </c>
      <c r="D51" s="28" t="s">
        <v>41001</v>
      </c>
      <c r="E51" s="28" t="s">
        <v>41002</v>
      </c>
      <c r="F51" s="27">
        <v>403.0</v>
      </c>
      <c r="G51" s="30">
        <v>1.0154038E7</v>
      </c>
    </row>
    <row r="52" ht="12.75" customHeight="1">
      <c r="A52" s="31">
        <v>215.0</v>
      </c>
      <c r="B52" s="32" t="s">
        <v>41003</v>
      </c>
      <c r="C52" s="33">
        <v>10.0</v>
      </c>
      <c r="D52" s="32" t="s">
        <v>41004</v>
      </c>
      <c r="E52" s="32" t="s">
        <v>41005</v>
      </c>
      <c r="F52" s="31">
        <v>418.0</v>
      </c>
      <c r="G52" s="34">
        <v>1.0154188E7</v>
      </c>
    </row>
    <row r="53" ht="12.75" customHeight="1">
      <c r="A53" s="27">
        <v>215.0</v>
      </c>
      <c r="B53" s="28" t="s">
        <v>41006</v>
      </c>
      <c r="C53" s="29">
        <v>10.0</v>
      </c>
      <c r="D53" s="28" t="s">
        <v>41007</v>
      </c>
      <c r="E53" s="28" t="s">
        <v>41008</v>
      </c>
      <c r="F53" s="27">
        <v>427.0</v>
      </c>
      <c r="G53" s="30">
        <v>1.015427E7</v>
      </c>
    </row>
    <row r="54" ht="12.75" customHeight="1">
      <c r="A54" s="31">
        <v>215.0</v>
      </c>
      <c r="B54" s="32" t="s">
        <v>41009</v>
      </c>
      <c r="C54" s="33">
        <v>10.0</v>
      </c>
      <c r="D54" s="32" t="s">
        <v>41010</v>
      </c>
      <c r="E54" s="32" t="s">
        <v>41011</v>
      </c>
      <c r="F54" s="31">
        <v>436.0</v>
      </c>
      <c r="G54" s="34">
        <v>1.0154362E7</v>
      </c>
    </row>
    <row r="55" ht="12.75" customHeight="1">
      <c r="A55" s="27">
        <v>215.0</v>
      </c>
      <c r="B55" s="28" t="s">
        <v>41012</v>
      </c>
      <c r="C55" s="29">
        <v>10.0</v>
      </c>
      <c r="D55" s="28" t="s">
        <v>41013</v>
      </c>
      <c r="E55" s="28" t="s">
        <v>41014</v>
      </c>
      <c r="F55" s="27">
        <v>454.0</v>
      </c>
      <c r="G55" s="30">
        <v>1.0154546E7</v>
      </c>
    </row>
    <row r="56" ht="12.75" customHeight="1">
      <c r="A56" s="31">
        <v>215.0</v>
      </c>
      <c r="B56" s="32" t="s">
        <v>41015</v>
      </c>
      <c r="C56" s="33">
        <v>10.0</v>
      </c>
      <c r="D56" s="32" t="s">
        <v>41016</v>
      </c>
      <c r="E56" s="32" t="s">
        <v>41017</v>
      </c>
      <c r="F56" s="31">
        <v>457.0</v>
      </c>
      <c r="G56" s="34">
        <v>1.0154575E7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41018</v>
      </c>
      <c r="C1" s="29">
        <v>10.0</v>
      </c>
      <c r="D1" s="28" t="s">
        <v>41019</v>
      </c>
      <c r="E1" s="28" t="s">
        <v>41020</v>
      </c>
      <c r="F1" s="27">
        <v>469.0</v>
      </c>
      <c r="G1" s="30">
        <v>1.0154696E7</v>
      </c>
    </row>
    <row r="2" ht="12.75" customHeight="1">
      <c r="A2" s="31">
        <v>215.0</v>
      </c>
      <c r="B2" s="32" t="s">
        <v>41021</v>
      </c>
      <c r="C2" s="33">
        <v>10.0</v>
      </c>
      <c r="D2" s="32" t="s">
        <v>41022</v>
      </c>
      <c r="E2" s="32" t="s">
        <v>41023</v>
      </c>
      <c r="F2" s="31">
        <v>493.0</v>
      </c>
      <c r="G2" s="34">
        <v>1.0154933E7</v>
      </c>
    </row>
    <row r="3" ht="12.75" customHeight="1">
      <c r="A3" s="27">
        <v>215.0</v>
      </c>
      <c r="B3" s="28" t="s">
        <v>41024</v>
      </c>
      <c r="C3" s="29">
        <v>10.0</v>
      </c>
      <c r="D3" s="28" t="s">
        <v>41025</v>
      </c>
      <c r="E3" s="28" t="s">
        <v>41026</v>
      </c>
      <c r="F3" s="27">
        <v>502.0</v>
      </c>
      <c r="G3" s="30">
        <v>1.0155024E7</v>
      </c>
    </row>
    <row r="4" ht="12.75" customHeight="1">
      <c r="A4" s="31">
        <v>215.0</v>
      </c>
      <c r="B4" s="32" t="s">
        <v>41027</v>
      </c>
      <c r="C4" s="33">
        <v>10.0</v>
      </c>
      <c r="D4" s="32" t="s">
        <v>41028</v>
      </c>
      <c r="E4" s="32" t="s">
        <v>41029</v>
      </c>
      <c r="F4" s="31">
        <v>505.0</v>
      </c>
      <c r="G4" s="34">
        <v>1.0155053E7</v>
      </c>
    </row>
    <row r="5" ht="12.75" customHeight="1">
      <c r="A5" s="27">
        <v>215.0</v>
      </c>
      <c r="B5" s="28" t="s">
        <v>41030</v>
      </c>
      <c r="C5" s="29">
        <v>10.0</v>
      </c>
      <c r="D5" s="28" t="s">
        <v>41031</v>
      </c>
      <c r="E5" s="28" t="s">
        <v>41032</v>
      </c>
      <c r="F5" s="27">
        <v>508.0</v>
      </c>
      <c r="G5" s="30">
        <v>1.0155082E7</v>
      </c>
    </row>
    <row r="6" ht="12.75" customHeight="1">
      <c r="A6" s="31">
        <v>215.0</v>
      </c>
      <c r="B6" s="32" t="s">
        <v>41033</v>
      </c>
      <c r="C6" s="33">
        <v>10.0</v>
      </c>
      <c r="D6" s="32" t="s">
        <v>41034</v>
      </c>
      <c r="E6" s="32" t="s">
        <v>41035</v>
      </c>
      <c r="F6" s="31">
        <v>517.0</v>
      </c>
      <c r="G6" s="34">
        <v>1.0155174E7</v>
      </c>
    </row>
    <row r="7" ht="12.75" customHeight="1">
      <c r="A7" s="27">
        <v>215.0</v>
      </c>
      <c r="B7" s="28" t="s">
        <v>41036</v>
      </c>
      <c r="C7" s="29">
        <v>10.0</v>
      </c>
      <c r="D7" s="28" t="s">
        <v>41037</v>
      </c>
      <c r="E7" s="28" t="s">
        <v>41038</v>
      </c>
      <c r="F7" s="27">
        <v>559.0</v>
      </c>
      <c r="G7" s="30">
        <v>1.015559E7</v>
      </c>
    </row>
    <row r="8" ht="12.75" customHeight="1">
      <c r="A8" s="31">
        <v>215.0</v>
      </c>
      <c r="B8" s="32" t="s">
        <v>41039</v>
      </c>
      <c r="C8" s="33">
        <v>10.0</v>
      </c>
      <c r="D8" s="32" t="s">
        <v>41040</v>
      </c>
      <c r="E8" s="32" t="s">
        <v>41041</v>
      </c>
      <c r="F8" s="31">
        <v>565.0</v>
      </c>
      <c r="G8" s="34">
        <v>1.0155653E7</v>
      </c>
    </row>
    <row r="9" ht="12.75" customHeight="1">
      <c r="A9" s="27">
        <v>215.0</v>
      </c>
      <c r="B9" s="28" t="s">
        <v>41042</v>
      </c>
      <c r="C9" s="29">
        <v>10.0</v>
      </c>
      <c r="D9" s="28" t="s">
        <v>41043</v>
      </c>
      <c r="E9" s="28" t="s">
        <v>41044</v>
      </c>
      <c r="F9" s="27">
        <v>592.0</v>
      </c>
      <c r="G9" s="30">
        <v>1.0155929E7</v>
      </c>
    </row>
    <row r="10" ht="12.75" customHeight="1">
      <c r="A10" s="31">
        <v>215.0</v>
      </c>
      <c r="B10" s="32" t="s">
        <v>41045</v>
      </c>
      <c r="C10" s="33">
        <v>10.0</v>
      </c>
      <c r="D10" s="32" t="s">
        <v>41046</v>
      </c>
      <c r="E10" s="32" t="s">
        <v>41047</v>
      </c>
      <c r="F10" s="31">
        <v>616.0</v>
      </c>
      <c r="G10" s="34">
        <v>1.015616E7</v>
      </c>
    </row>
    <row r="11" ht="12.75" customHeight="1">
      <c r="A11" s="27">
        <v>215.0</v>
      </c>
      <c r="B11" s="28" t="s">
        <v>41048</v>
      </c>
      <c r="C11" s="29">
        <v>10.0</v>
      </c>
      <c r="D11" s="28" t="s">
        <v>41049</v>
      </c>
      <c r="E11" s="28" t="s">
        <v>41050</v>
      </c>
      <c r="F11" s="27">
        <v>634.0</v>
      </c>
      <c r="G11" s="30">
        <v>1.0156344E7</v>
      </c>
    </row>
    <row r="12" ht="12.75" customHeight="1">
      <c r="A12" s="31">
        <v>215.0</v>
      </c>
      <c r="B12" s="32" t="s">
        <v>41051</v>
      </c>
      <c r="C12" s="33">
        <v>10.0</v>
      </c>
      <c r="D12" s="32" t="s">
        <v>41052</v>
      </c>
      <c r="E12" s="32" t="s">
        <v>41053</v>
      </c>
      <c r="F12" s="31">
        <v>649.0</v>
      </c>
      <c r="G12" s="34">
        <v>1.0156494E7</v>
      </c>
    </row>
    <row r="13" ht="12.75" customHeight="1">
      <c r="A13" s="27">
        <v>215.0</v>
      </c>
      <c r="B13" s="28" t="s">
        <v>41054</v>
      </c>
      <c r="C13" s="29">
        <v>10.0</v>
      </c>
      <c r="D13" s="28" t="s">
        <v>41055</v>
      </c>
      <c r="E13" s="28" t="s">
        <v>41056</v>
      </c>
      <c r="F13" s="27">
        <v>652.0</v>
      </c>
      <c r="G13" s="30">
        <v>1.0156528E7</v>
      </c>
    </row>
    <row r="14" ht="12.75" customHeight="1">
      <c r="A14" s="31">
        <v>215.0</v>
      </c>
      <c r="B14" s="32" t="s">
        <v>41057</v>
      </c>
      <c r="C14" s="33">
        <v>10.0</v>
      </c>
      <c r="D14" s="32" t="s">
        <v>41058</v>
      </c>
      <c r="E14" s="32" t="s">
        <v>41059</v>
      </c>
      <c r="F14" s="31">
        <v>673.0</v>
      </c>
      <c r="G14" s="34">
        <v>1.0156731E7</v>
      </c>
    </row>
    <row r="15" ht="12.75" customHeight="1">
      <c r="A15" s="27">
        <v>215.0</v>
      </c>
      <c r="B15" s="28" t="s">
        <v>41060</v>
      </c>
      <c r="C15" s="29">
        <v>10.0</v>
      </c>
      <c r="D15" s="28" t="s">
        <v>41061</v>
      </c>
      <c r="E15" s="28" t="s">
        <v>41062</v>
      </c>
      <c r="F15" s="27">
        <v>688.0</v>
      </c>
      <c r="G15" s="30">
        <v>1.0156881E7</v>
      </c>
    </row>
    <row r="16" ht="12.75" customHeight="1">
      <c r="A16" s="31">
        <v>215.0</v>
      </c>
      <c r="B16" s="32" t="s">
        <v>41063</v>
      </c>
      <c r="C16" s="33">
        <v>10.0</v>
      </c>
      <c r="D16" s="32" t="s">
        <v>41064</v>
      </c>
      <c r="E16" s="32" t="s">
        <v>41065</v>
      </c>
      <c r="F16" s="31">
        <v>691.0</v>
      </c>
      <c r="G16" s="34">
        <v>1.0156915E7</v>
      </c>
    </row>
    <row r="17" ht="12.75" customHeight="1">
      <c r="A17" s="27">
        <v>215.0</v>
      </c>
      <c r="B17" s="28" t="s">
        <v>41066</v>
      </c>
      <c r="C17" s="29">
        <v>10.0</v>
      </c>
      <c r="D17" s="28" t="s">
        <v>41067</v>
      </c>
      <c r="E17" s="28" t="s">
        <v>41068</v>
      </c>
      <c r="F17" s="27">
        <v>694.0</v>
      </c>
      <c r="G17" s="30">
        <v>1.0156944E7</v>
      </c>
    </row>
    <row r="18" ht="12.75" customHeight="1">
      <c r="A18" s="31">
        <v>215.0</v>
      </c>
      <c r="B18" s="32" t="s">
        <v>41069</v>
      </c>
      <c r="C18" s="33">
        <v>10.0</v>
      </c>
      <c r="D18" s="32" t="s">
        <v>41070</v>
      </c>
      <c r="E18" s="32" t="s">
        <v>41071</v>
      </c>
      <c r="F18" s="31">
        <v>703.0</v>
      </c>
      <c r="G18" s="34">
        <v>1.0157035E7</v>
      </c>
    </row>
    <row r="19" ht="12.75" customHeight="1">
      <c r="A19" s="27">
        <v>215.0</v>
      </c>
      <c r="B19" s="28" t="s">
        <v>41072</v>
      </c>
      <c r="C19" s="29">
        <v>10.0</v>
      </c>
      <c r="D19" s="28" t="s">
        <v>41073</v>
      </c>
      <c r="E19" s="28" t="s">
        <v>41074</v>
      </c>
      <c r="F19" s="27">
        <v>709.0</v>
      </c>
      <c r="G19" s="30">
        <v>1.0157093E7</v>
      </c>
    </row>
    <row r="20" ht="12.75" customHeight="1">
      <c r="A20" s="31">
        <v>215.0</v>
      </c>
      <c r="B20" s="32" t="s">
        <v>41075</v>
      </c>
      <c r="C20" s="33">
        <v>10.0</v>
      </c>
      <c r="D20" s="32" t="s">
        <v>41076</v>
      </c>
      <c r="E20" s="32" t="s">
        <v>41077</v>
      </c>
      <c r="F20" s="31">
        <v>739.0</v>
      </c>
      <c r="G20" s="34">
        <v>1.0157398E7</v>
      </c>
    </row>
    <row r="21" ht="12.75" customHeight="1">
      <c r="A21" s="27">
        <v>215.0</v>
      </c>
      <c r="B21" s="28" t="s">
        <v>41078</v>
      </c>
      <c r="C21" s="29">
        <v>10.0</v>
      </c>
      <c r="D21" s="28" t="s">
        <v>41079</v>
      </c>
      <c r="E21" s="28" t="s">
        <v>41080</v>
      </c>
      <c r="F21" s="27">
        <v>742.0</v>
      </c>
      <c r="G21" s="30">
        <v>1.0157422E7</v>
      </c>
    </row>
    <row r="22" ht="12.75" customHeight="1">
      <c r="A22" s="31">
        <v>215.0</v>
      </c>
      <c r="B22" s="32" t="s">
        <v>41081</v>
      </c>
      <c r="C22" s="33">
        <v>10.0</v>
      </c>
      <c r="D22" s="32" t="s">
        <v>41082</v>
      </c>
      <c r="E22" s="32" t="s">
        <v>41083</v>
      </c>
      <c r="F22" s="31">
        <v>754.0</v>
      </c>
      <c r="G22" s="34">
        <v>1.0157543E7</v>
      </c>
    </row>
    <row r="23" ht="12.75" customHeight="1">
      <c r="A23" s="27">
        <v>215.0</v>
      </c>
      <c r="B23" s="28" t="s">
        <v>41084</v>
      </c>
      <c r="C23" s="29">
        <v>10.0</v>
      </c>
      <c r="D23" s="28" t="s">
        <v>41085</v>
      </c>
      <c r="E23" s="28" t="s">
        <v>41086</v>
      </c>
      <c r="F23" s="27">
        <v>757.0</v>
      </c>
      <c r="G23" s="30">
        <v>1.0157572E7</v>
      </c>
    </row>
    <row r="24" ht="12.75" customHeight="1">
      <c r="A24" s="31">
        <v>418.0</v>
      </c>
      <c r="B24" s="32" t="s">
        <v>41087</v>
      </c>
      <c r="C24" s="33">
        <v>10.0</v>
      </c>
      <c r="D24" s="32" t="s">
        <v>41088</v>
      </c>
      <c r="E24" s="32" t="s">
        <v>41089</v>
      </c>
      <c r="F24" s="33">
        <v>4.0</v>
      </c>
      <c r="G24" s="34">
        <v>1.0180044E7</v>
      </c>
    </row>
    <row r="25" ht="12.75" customHeight="1">
      <c r="A25" s="27">
        <v>418.0</v>
      </c>
      <c r="B25" s="28" t="s">
        <v>41090</v>
      </c>
      <c r="C25" s="29">
        <v>10.0</v>
      </c>
      <c r="D25" s="28" t="s">
        <v>41091</v>
      </c>
      <c r="E25" s="28" t="s">
        <v>41092</v>
      </c>
      <c r="F25" s="29">
        <v>10.0</v>
      </c>
      <c r="G25" s="30">
        <v>1.0180107E7</v>
      </c>
    </row>
    <row r="26" ht="12.75" customHeight="1">
      <c r="A26" s="31">
        <v>418.0</v>
      </c>
      <c r="B26" s="32" t="s">
        <v>41093</v>
      </c>
      <c r="C26" s="33">
        <v>10.0</v>
      </c>
      <c r="D26" s="32" t="s">
        <v>41094</v>
      </c>
      <c r="E26" s="32" t="s">
        <v>41095</v>
      </c>
      <c r="F26" s="33">
        <v>13.0</v>
      </c>
      <c r="G26" s="34">
        <v>1.0180136E7</v>
      </c>
    </row>
    <row r="27" ht="12.75" customHeight="1">
      <c r="A27" s="27">
        <v>418.0</v>
      </c>
      <c r="B27" s="28" t="s">
        <v>41096</v>
      </c>
      <c r="C27" s="29">
        <v>10.0</v>
      </c>
      <c r="D27" s="28" t="s">
        <v>41097</v>
      </c>
      <c r="E27" s="28" t="s">
        <v>41098</v>
      </c>
      <c r="F27" s="29">
        <v>19.0</v>
      </c>
      <c r="G27" s="30">
        <v>1.0180194E7</v>
      </c>
    </row>
    <row r="28" ht="12.75" customHeight="1">
      <c r="A28" s="31">
        <v>418.0</v>
      </c>
      <c r="B28" s="32" t="s">
        <v>41099</v>
      </c>
      <c r="C28" s="33">
        <v>10.0</v>
      </c>
      <c r="D28" s="32" t="s">
        <v>41100</v>
      </c>
      <c r="E28" s="32" t="s">
        <v>41101</v>
      </c>
      <c r="F28" s="33">
        <v>31.0</v>
      </c>
      <c r="G28" s="34">
        <v>1.018031E7</v>
      </c>
    </row>
    <row r="29" ht="12.75" customHeight="1">
      <c r="A29" s="27">
        <v>418.0</v>
      </c>
      <c r="B29" s="28" t="s">
        <v>41102</v>
      </c>
      <c r="C29" s="29">
        <v>10.0</v>
      </c>
      <c r="D29" s="28" t="s">
        <v>41103</v>
      </c>
      <c r="E29" s="28" t="s">
        <v>41104</v>
      </c>
      <c r="F29" s="29">
        <v>43.0</v>
      </c>
      <c r="G29" s="30">
        <v>1.0180431E7</v>
      </c>
    </row>
    <row r="30" ht="12.75" customHeight="1">
      <c r="A30" s="31">
        <v>418.0</v>
      </c>
      <c r="B30" s="32" t="s">
        <v>41105</v>
      </c>
      <c r="C30" s="33">
        <v>10.0</v>
      </c>
      <c r="D30" s="32" t="s">
        <v>41106</v>
      </c>
      <c r="E30" s="32" t="s">
        <v>41107</v>
      </c>
      <c r="F30" s="33">
        <v>58.0</v>
      </c>
      <c r="G30" s="34">
        <v>1.0180581E7</v>
      </c>
    </row>
    <row r="31" ht="12.75" customHeight="1">
      <c r="A31" s="27">
        <v>418.0</v>
      </c>
      <c r="B31" s="28" t="s">
        <v>41108</v>
      </c>
      <c r="C31" s="29">
        <v>10.0</v>
      </c>
      <c r="D31" s="28" t="s">
        <v>41109</v>
      </c>
      <c r="E31" s="28" t="s">
        <v>41110</v>
      </c>
      <c r="F31" s="29">
        <v>70.0</v>
      </c>
      <c r="G31" s="30">
        <v>1.0180707E7</v>
      </c>
    </row>
    <row r="32" ht="12.75" customHeight="1">
      <c r="A32" s="31">
        <v>418.0</v>
      </c>
      <c r="B32" s="32" t="s">
        <v>41111</v>
      </c>
      <c r="C32" s="33">
        <v>10.0</v>
      </c>
      <c r="D32" s="32" t="s">
        <v>41112</v>
      </c>
      <c r="E32" s="32" t="s">
        <v>41113</v>
      </c>
      <c r="F32" s="33">
        <v>79.0</v>
      </c>
      <c r="G32" s="34">
        <v>1.0180794E7</v>
      </c>
    </row>
    <row r="33" ht="12.75" customHeight="1">
      <c r="A33" s="27">
        <v>418.0</v>
      </c>
      <c r="B33" s="28" t="s">
        <v>41114</v>
      </c>
      <c r="C33" s="29">
        <v>10.0</v>
      </c>
      <c r="D33" s="28" t="s">
        <v>41115</v>
      </c>
      <c r="E33" s="28" t="s">
        <v>41116</v>
      </c>
      <c r="F33" s="29">
        <v>82.0</v>
      </c>
      <c r="G33" s="30">
        <v>1.0180828E7</v>
      </c>
    </row>
    <row r="34" ht="12.75" customHeight="1">
      <c r="A34" s="31">
        <v>119.0</v>
      </c>
      <c r="B34" s="32" t="s">
        <v>41117</v>
      </c>
      <c r="C34" s="33">
        <v>10.0</v>
      </c>
      <c r="D34" s="32" t="s">
        <v>41118</v>
      </c>
      <c r="E34" s="32" t="s">
        <v>41119</v>
      </c>
      <c r="F34" s="33">
        <v>6.0</v>
      </c>
      <c r="G34" s="34">
        <v>1.0190063E7</v>
      </c>
    </row>
    <row r="35" ht="12.75" customHeight="1">
      <c r="A35" s="27">
        <v>119.0</v>
      </c>
      <c r="B35" s="28" t="s">
        <v>41120</v>
      </c>
      <c r="C35" s="29">
        <v>10.0</v>
      </c>
      <c r="D35" s="28" t="s">
        <v>41121</v>
      </c>
      <c r="E35" s="28" t="s">
        <v>41122</v>
      </c>
      <c r="F35" s="29">
        <v>12.0</v>
      </c>
      <c r="G35" s="30">
        <v>1.0190126E7</v>
      </c>
    </row>
    <row r="36" ht="12.75" customHeight="1">
      <c r="A36" s="31">
        <v>119.0</v>
      </c>
      <c r="B36" s="32" t="s">
        <v>41123</v>
      </c>
      <c r="C36" s="33">
        <v>10.0</v>
      </c>
      <c r="D36" s="32" t="s">
        <v>41124</v>
      </c>
      <c r="E36" s="32" t="s">
        <v>41125</v>
      </c>
      <c r="F36" s="33">
        <v>16.0</v>
      </c>
      <c r="G36" s="34">
        <v>1.0190168E7</v>
      </c>
    </row>
    <row r="37" ht="12.75" customHeight="1">
      <c r="A37" s="27">
        <v>119.0</v>
      </c>
      <c r="B37" s="28" t="s">
        <v>41126</v>
      </c>
      <c r="C37" s="29">
        <v>10.0</v>
      </c>
      <c r="D37" s="28" t="s">
        <v>41127</v>
      </c>
      <c r="E37" s="28" t="s">
        <v>41128</v>
      </c>
      <c r="F37" s="29">
        <v>25.0</v>
      </c>
      <c r="G37" s="30">
        <v>1.019025E7</v>
      </c>
    </row>
    <row r="38" ht="12.75" customHeight="1">
      <c r="A38" s="31">
        <v>119.0</v>
      </c>
      <c r="B38" s="32" t="s">
        <v>41129</v>
      </c>
      <c r="C38" s="33">
        <v>10.0</v>
      </c>
      <c r="D38" s="32" t="s">
        <v>41130</v>
      </c>
      <c r="E38" s="32" t="s">
        <v>41131</v>
      </c>
      <c r="F38" s="33">
        <v>37.0</v>
      </c>
      <c r="G38" s="34">
        <v>1.0190371E7</v>
      </c>
    </row>
    <row r="39" ht="12.75" customHeight="1">
      <c r="A39" s="27">
        <v>119.0</v>
      </c>
      <c r="B39" s="28" t="s">
        <v>41132</v>
      </c>
      <c r="C39" s="29">
        <v>10.0</v>
      </c>
      <c r="D39" s="28" t="s">
        <v>41133</v>
      </c>
      <c r="E39" s="28" t="s">
        <v>41134</v>
      </c>
      <c r="F39" s="29">
        <v>52.0</v>
      </c>
      <c r="G39" s="30">
        <v>1.0190526E7</v>
      </c>
    </row>
    <row r="40" ht="12.75" customHeight="1">
      <c r="A40" s="31">
        <v>119.0</v>
      </c>
      <c r="B40" s="32" t="s">
        <v>41135</v>
      </c>
      <c r="C40" s="33">
        <v>10.0</v>
      </c>
      <c r="D40" s="32" t="s">
        <v>41136</v>
      </c>
      <c r="E40" s="32" t="s">
        <v>41137</v>
      </c>
      <c r="F40" s="33">
        <v>55.0</v>
      </c>
      <c r="G40" s="34">
        <v>1.0190555E7</v>
      </c>
    </row>
    <row r="41" ht="12.75" customHeight="1">
      <c r="A41" s="27">
        <v>119.0</v>
      </c>
      <c r="B41" s="28" t="s">
        <v>41138</v>
      </c>
      <c r="C41" s="29">
        <v>10.0</v>
      </c>
      <c r="D41" s="28" t="s">
        <v>41139</v>
      </c>
      <c r="E41" s="28" t="s">
        <v>41140</v>
      </c>
      <c r="F41" s="29">
        <v>73.0</v>
      </c>
      <c r="G41" s="30">
        <v>1.0190739E7</v>
      </c>
    </row>
    <row r="42" ht="12.75" customHeight="1">
      <c r="A42" s="31">
        <v>119.0</v>
      </c>
      <c r="B42" s="32" t="s">
        <v>41141</v>
      </c>
      <c r="C42" s="33">
        <v>10.0</v>
      </c>
      <c r="D42" s="32" t="s">
        <v>41142</v>
      </c>
      <c r="E42" s="32" t="s">
        <v>41143</v>
      </c>
      <c r="F42" s="33">
        <v>83.0</v>
      </c>
      <c r="G42" s="34">
        <v>1.0190834E7</v>
      </c>
    </row>
    <row r="43" ht="12.75" customHeight="1">
      <c r="A43" s="27">
        <v>119.0</v>
      </c>
      <c r="B43" s="28" t="s">
        <v>41144</v>
      </c>
      <c r="C43" s="29">
        <v>10.0</v>
      </c>
      <c r="D43" s="28" t="s">
        <v>41145</v>
      </c>
      <c r="E43" s="28" t="s">
        <v>41146</v>
      </c>
      <c r="F43" s="29">
        <v>88.0</v>
      </c>
      <c r="G43" s="30">
        <v>1.0190889E7</v>
      </c>
    </row>
    <row r="44" ht="12.75" customHeight="1">
      <c r="A44" s="31">
        <v>119.0</v>
      </c>
      <c r="B44" s="32" t="s">
        <v>41147</v>
      </c>
      <c r="C44" s="33">
        <v>10.0</v>
      </c>
      <c r="D44" s="32" t="s">
        <v>41148</v>
      </c>
      <c r="E44" s="32" t="s">
        <v>41149</v>
      </c>
      <c r="F44" s="31">
        <v>151.0</v>
      </c>
      <c r="G44" s="34">
        <v>1.0191512E7</v>
      </c>
    </row>
    <row r="45" ht="12.75" customHeight="1">
      <c r="A45" s="27">
        <v>119.0</v>
      </c>
      <c r="B45" s="28" t="s">
        <v>41150</v>
      </c>
      <c r="C45" s="29">
        <v>10.0</v>
      </c>
      <c r="D45" s="28" t="s">
        <v>41151</v>
      </c>
      <c r="E45" s="28" t="s">
        <v>41152</v>
      </c>
      <c r="F45" s="27">
        <v>160.0</v>
      </c>
      <c r="G45" s="30">
        <v>1.0191604E7</v>
      </c>
    </row>
    <row r="46" ht="12.75" customHeight="1">
      <c r="A46" s="31">
        <v>119.0</v>
      </c>
      <c r="B46" s="32" t="s">
        <v>41153</v>
      </c>
      <c r="C46" s="33">
        <v>10.0</v>
      </c>
      <c r="D46" s="32" t="s">
        <v>41154</v>
      </c>
      <c r="E46" s="32" t="s">
        <v>41155</v>
      </c>
      <c r="F46" s="31">
        <v>220.0</v>
      </c>
      <c r="G46" s="34">
        <v>1.0192203E7</v>
      </c>
    </row>
    <row r="47" ht="12.75" customHeight="1">
      <c r="A47" s="27">
        <v>119.0</v>
      </c>
      <c r="B47" s="28" t="s">
        <v>41156</v>
      </c>
      <c r="C47" s="29">
        <v>10.0</v>
      </c>
      <c r="D47" s="28" t="s">
        <v>41157</v>
      </c>
      <c r="E47" s="28" t="s">
        <v>41158</v>
      </c>
      <c r="F47" s="27">
        <v>223.0</v>
      </c>
      <c r="G47" s="30">
        <v>1.0192232E7</v>
      </c>
    </row>
    <row r="48" ht="12.75" customHeight="1">
      <c r="A48" s="31">
        <v>119.0</v>
      </c>
      <c r="B48" s="32" t="s">
        <v>41159</v>
      </c>
      <c r="C48" s="33">
        <v>10.0</v>
      </c>
      <c r="D48" s="32" t="s">
        <v>41160</v>
      </c>
      <c r="E48" s="32" t="s">
        <v>41161</v>
      </c>
      <c r="F48" s="31">
        <v>226.0</v>
      </c>
      <c r="G48" s="34">
        <v>1.0192261E7</v>
      </c>
    </row>
    <row r="49" ht="12.75" customHeight="1">
      <c r="A49" s="27">
        <v>119.0</v>
      </c>
      <c r="B49" s="28" t="s">
        <v>41162</v>
      </c>
      <c r="C49" s="29">
        <v>10.0</v>
      </c>
      <c r="D49" s="28" t="s">
        <v>41163</v>
      </c>
      <c r="E49" s="28" t="s">
        <v>41164</v>
      </c>
      <c r="F49" s="27">
        <v>235.0</v>
      </c>
      <c r="G49" s="30">
        <v>1.0192353E7</v>
      </c>
    </row>
    <row r="50" ht="12.75" customHeight="1">
      <c r="A50" s="31">
        <v>119.0</v>
      </c>
      <c r="B50" s="32" t="s">
        <v>41165</v>
      </c>
      <c r="C50" s="33">
        <v>10.0</v>
      </c>
      <c r="D50" s="32" t="s">
        <v>41166</v>
      </c>
      <c r="E50" s="32" t="s">
        <v>41167</v>
      </c>
      <c r="F50" s="31">
        <v>238.0</v>
      </c>
      <c r="G50" s="34">
        <v>1.0192382E7</v>
      </c>
    </row>
    <row r="51" ht="12.75" customHeight="1">
      <c r="A51" s="27">
        <v>119.0</v>
      </c>
      <c r="B51" s="28" t="s">
        <v>41168</v>
      </c>
      <c r="C51" s="29">
        <v>10.0</v>
      </c>
      <c r="D51" s="28" t="s">
        <v>41169</v>
      </c>
      <c r="E51" s="28" t="s">
        <v>41170</v>
      </c>
      <c r="F51" s="27">
        <v>259.0</v>
      </c>
      <c r="G51" s="30">
        <v>1.0192595E7</v>
      </c>
    </row>
    <row r="52" ht="12.75" customHeight="1">
      <c r="A52" s="31">
        <v>119.0</v>
      </c>
      <c r="B52" s="32" t="s">
        <v>41171</v>
      </c>
      <c r="C52" s="33">
        <v>10.0</v>
      </c>
      <c r="D52" s="32" t="s">
        <v>41172</v>
      </c>
      <c r="E52" s="32" t="s">
        <v>41173</v>
      </c>
      <c r="F52" s="31">
        <v>262.0</v>
      </c>
      <c r="G52" s="34">
        <v>1.0192629E7</v>
      </c>
    </row>
    <row r="53" ht="12.75" customHeight="1">
      <c r="A53" s="27">
        <v>119.0</v>
      </c>
      <c r="B53" s="28" t="s">
        <v>41174</v>
      </c>
      <c r="C53" s="29">
        <v>10.0</v>
      </c>
      <c r="D53" s="28" t="s">
        <v>41175</v>
      </c>
      <c r="E53" s="28" t="s">
        <v>41176</v>
      </c>
      <c r="F53" s="27">
        <v>271.0</v>
      </c>
      <c r="G53" s="30">
        <v>1.0192711E7</v>
      </c>
    </row>
    <row r="54" ht="12.75" customHeight="1">
      <c r="A54" s="31">
        <v>119.0</v>
      </c>
      <c r="B54" s="32" t="s">
        <v>41177</v>
      </c>
      <c r="C54" s="33">
        <v>10.0</v>
      </c>
      <c r="D54" s="32" t="s">
        <v>41178</v>
      </c>
      <c r="E54" s="32" t="s">
        <v>41179</v>
      </c>
      <c r="F54" s="31">
        <v>277.0</v>
      </c>
      <c r="G54" s="34">
        <v>1.0192779E7</v>
      </c>
    </row>
    <row r="55" ht="12.75" customHeight="1">
      <c r="A55" s="27">
        <v>119.0</v>
      </c>
      <c r="B55" s="28" t="s">
        <v>41180</v>
      </c>
      <c r="C55" s="29">
        <v>10.0</v>
      </c>
      <c r="D55" s="28" t="s">
        <v>41181</v>
      </c>
      <c r="E55" s="28" t="s">
        <v>41182</v>
      </c>
      <c r="F55" s="27">
        <v>307.0</v>
      </c>
      <c r="G55" s="30">
        <v>1.0193073E7</v>
      </c>
    </row>
    <row r="56" ht="12.75" customHeight="1">
      <c r="A56" s="31">
        <v>119.0</v>
      </c>
      <c r="B56" s="32" t="s">
        <v>41183</v>
      </c>
      <c r="C56" s="33">
        <v>10.0</v>
      </c>
      <c r="D56" s="32" t="s">
        <v>41184</v>
      </c>
      <c r="E56" s="32" t="s">
        <v>41185</v>
      </c>
      <c r="F56" s="31">
        <v>310.0</v>
      </c>
      <c r="G56" s="34">
        <v>1.0193107E7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119.0</v>
      </c>
      <c r="B1" s="28" t="s">
        <v>41186</v>
      </c>
      <c r="C1" s="29">
        <v>10.0</v>
      </c>
      <c r="D1" s="28" t="s">
        <v>41187</v>
      </c>
      <c r="E1" s="28" t="s">
        <v>41188</v>
      </c>
      <c r="F1" s="27">
        <v>325.0</v>
      </c>
      <c r="G1" s="30">
        <v>1.0193257E7</v>
      </c>
    </row>
    <row r="2" ht="12.75" customHeight="1">
      <c r="A2" s="31">
        <v>119.0</v>
      </c>
      <c r="B2" s="32" t="s">
        <v>41189</v>
      </c>
      <c r="C2" s="33">
        <v>10.0</v>
      </c>
      <c r="D2" s="32" t="s">
        <v>41190</v>
      </c>
      <c r="E2" s="32" t="s">
        <v>41191</v>
      </c>
      <c r="F2" s="31">
        <v>328.0</v>
      </c>
      <c r="G2" s="34">
        <v>1.0193286E7</v>
      </c>
    </row>
    <row r="3" ht="12.75" customHeight="1">
      <c r="A3" s="27">
        <v>119.0</v>
      </c>
      <c r="B3" s="28" t="s">
        <v>41192</v>
      </c>
      <c r="C3" s="29">
        <v>10.0</v>
      </c>
      <c r="D3" s="28" t="s">
        <v>41193</v>
      </c>
      <c r="E3" s="28" t="s">
        <v>41194</v>
      </c>
      <c r="F3" s="27">
        <v>331.0</v>
      </c>
      <c r="G3" s="30">
        <v>1.019331E7</v>
      </c>
    </row>
    <row r="4" ht="12.75" customHeight="1">
      <c r="A4" s="31">
        <v>119.0</v>
      </c>
      <c r="B4" s="32" t="s">
        <v>41195</v>
      </c>
      <c r="C4" s="33">
        <v>10.0</v>
      </c>
      <c r="D4" s="32" t="s">
        <v>41196</v>
      </c>
      <c r="E4" s="32" t="s">
        <v>41197</v>
      </c>
      <c r="F4" s="31">
        <v>334.0</v>
      </c>
      <c r="G4" s="34">
        <v>1.0193349E7</v>
      </c>
    </row>
    <row r="5" ht="12.75" customHeight="1">
      <c r="A5" s="27">
        <v>119.0</v>
      </c>
      <c r="B5" s="28" t="s">
        <v>41198</v>
      </c>
      <c r="C5" s="29">
        <v>10.0</v>
      </c>
      <c r="D5" s="28" t="s">
        <v>41199</v>
      </c>
      <c r="E5" s="28" t="s">
        <v>41200</v>
      </c>
      <c r="F5" s="27">
        <v>340.0</v>
      </c>
      <c r="G5" s="30">
        <v>1.0193402E7</v>
      </c>
    </row>
    <row r="6" ht="12.75" customHeight="1">
      <c r="A6" s="31">
        <v>119.0</v>
      </c>
      <c r="B6" s="32" t="s">
        <v>41201</v>
      </c>
      <c r="C6" s="33">
        <v>10.0</v>
      </c>
      <c r="D6" s="32" t="s">
        <v>41202</v>
      </c>
      <c r="E6" s="32" t="s">
        <v>41203</v>
      </c>
      <c r="F6" s="31">
        <v>358.0</v>
      </c>
      <c r="G6" s="34">
        <v>1.0193581E7</v>
      </c>
    </row>
    <row r="7" ht="12.75" customHeight="1">
      <c r="A7" s="27">
        <v>119.0</v>
      </c>
      <c r="B7" s="28" t="s">
        <v>41204</v>
      </c>
      <c r="C7" s="29">
        <v>10.0</v>
      </c>
      <c r="D7" s="28" t="s">
        <v>41205</v>
      </c>
      <c r="E7" s="28" t="s">
        <v>41206</v>
      </c>
      <c r="F7" s="27">
        <v>376.0</v>
      </c>
      <c r="G7" s="30">
        <v>1.0193765E7</v>
      </c>
    </row>
    <row r="8" ht="12.75" customHeight="1">
      <c r="A8" s="31">
        <v>119.0</v>
      </c>
      <c r="B8" s="32" t="s">
        <v>41207</v>
      </c>
      <c r="C8" s="33">
        <v>10.0</v>
      </c>
      <c r="D8" s="32" t="s">
        <v>41208</v>
      </c>
      <c r="E8" s="32" t="s">
        <v>41209</v>
      </c>
      <c r="F8" s="31">
        <v>382.0</v>
      </c>
      <c r="G8" s="34">
        <v>1.0193828E7</v>
      </c>
    </row>
    <row r="9" ht="12.75" customHeight="1">
      <c r="A9" s="27">
        <v>119.0</v>
      </c>
      <c r="B9" s="28" t="s">
        <v>41210</v>
      </c>
      <c r="C9" s="29">
        <v>10.0</v>
      </c>
      <c r="D9" s="28" t="s">
        <v>41211</v>
      </c>
      <c r="E9" s="28" t="s">
        <v>41212</v>
      </c>
      <c r="F9" s="27">
        <v>409.0</v>
      </c>
      <c r="G9" s="30">
        <v>1.0194098E7</v>
      </c>
    </row>
    <row r="10" ht="12.75" customHeight="1">
      <c r="A10" s="31">
        <v>222.0</v>
      </c>
      <c r="B10" s="32" t="s">
        <v>41213</v>
      </c>
      <c r="C10" s="33">
        <v>10.0</v>
      </c>
      <c r="D10" s="32" t="s">
        <v>41214</v>
      </c>
      <c r="E10" s="32" t="s">
        <v>41215</v>
      </c>
      <c r="F10" s="33">
        <v>25.0</v>
      </c>
      <c r="G10" s="34">
        <v>1.0220254E7</v>
      </c>
    </row>
    <row r="11" ht="12.75" customHeight="1">
      <c r="A11" s="27">
        <v>222.0</v>
      </c>
      <c r="B11" s="28" t="s">
        <v>41216</v>
      </c>
      <c r="C11" s="29">
        <v>10.0</v>
      </c>
      <c r="D11" s="28" t="s">
        <v>41217</v>
      </c>
      <c r="E11" s="28" t="s">
        <v>41218</v>
      </c>
      <c r="F11" s="29">
        <v>64.0</v>
      </c>
      <c r="G11" s="30">
        <v>1.0220641E7</v>
      </c>
    </row>
    <row r="12" ht="12.75" customHeight="1">
      <c r="A12" s="31">
        <v>222.0</v>
      </c>
      <c r="B12" s="32" t="s">
        <v>41219</v>
      </c>
      <c r="C12" s="33">
        <v>10.0</v>
      </c>
      <c r="D12" s="32" t="s">
        <v>41220</v>
      </c>
      <c r="E12" s="32" t="s">
        <v>41221</v>
      </c>
      <c r="F12" s="33">
        <v>70.0</v>
      </c>
      <c r="G12" s="34">
        <v>1.0220704E7</v>
      </c>
    </row>
    <row r="13" ht="12.75" customHeight="1">
      <c r="A13" s="27">
        <v>222.0</v>
      </c>
      <c r="B13" s="28" t="s">
        <v>41222</v>
      </c>
      <c r="C13" s="29">
        <v>10.0</v>
      </c>
      <c r="D13" s="28" t="s">
        <v>41223</v>
      </c>
      <c r="E13" s="28" t="s">
        <v>41224</v>
      </c>
      <c r="F13" s="29">
        <v>91.0</v>
      </c>
      <c r="G13" s="30">
        <v>1.0220917E7</v>
      </c>
    </row>
    <row r="14" ht="12.75" customHeight="1">
      <c r="A14" s="31">
        <v>126.0</v>
      </c>
      <c r="B14" s="32" t="s">
        <v>41225</v>
      </c>
      <c r="C14" s="33">
        <v>10.0</v>
      </c>
      <c r="D14" s="32" t="s">
        <v>41226</v>
      </c>
      <c r="E14" s="32" t="s">
        <v>41227</v>
      </c>
      <c r="F14" s="33">
        <v>31.0</v>
      </c>
      <c r="G14" s="34">
        <v>1.0260319E7</v>
      </c>
    </row>
    <row r="15" ht="12.75" customHeight="1">
      <c r="A15" s="27">
        <v>126.0</v>
      </c>
      <c r="B15" s="28" t="s">
        <v>41228</v>
      </c>
      <c r="C15" s="29">
        <v>10.0</v>
      </c>
      <c r="D15" s="28" t="s">
        <v>41229</v>
      </c>
      <c r="E15" s="28" t="s">
        <v>41230</v>
      </c>
      <c r="F15" s="29">
        <v>34.0</v>
      </c>
      <c r="G15" s="30">
        <v>1.0260348E7</v>
      </c>
    </row>
    <row r="16" ht="12.75" customHeight="1">
      <c r="A16" s="31">
        <v>126.0</v>
      </c>
      <c r="B16" s="32" t="s">
        <v>41231</v>
      </c>
      <c r="C16" s="33">
        <v>10.0</v>
      </c>
      <c r="D16" s="32" t="s">
        <v>41232</v>
      </c>
      <c r="E16" s="32" t="s">
        <v>41233</v>
      </c>
      <c r="F16" s="33">
        <v>43.0</v>
      </c>
      <c r="G16" s="34">
        <v>1.026043E7</v>
      </c>
    </row>
    <row r="17" ht="12.75" customHeight="1">
      <c r="A17" s="27">
        <v>126.0</v>
      </c>
      <c r="B17" s="28" t="s">
        <v>41234</v>
      </c>
      <c r="C17" s="29">
        <v>10.0</v>
      </c>
      <c r="D17" s="28" t="s">
        <v>41235</v>
      </c>
      <c r="E17" s="28" t="s">
        <v>41236</v>
      </c>
      <c r="F17" s="29">
        <v>49.0</v>
      </c>
      <c r="G17" s="30">
        <v>1.0260498E7</v>
      </c>
    </row>
    <row r="18" ht="12.75" customHeight="1">
      <c r="A18" s="31">
        <v>126.0</v>
      </c>
      <c r="B18" s="32" t="s">
        <v>41237</v>
      </c>
      <c r="C18" s="33">
        <v>10.0</v>
      </c>
      <c r="D18" s="32" t="s">
        <v>41238</v>
      </c>
      <c r="E18" s="32" t="s">
        <v>41239</v>
      </c>
      <c r="F18" s="31">
        <v>115.0</v>
      </c>
      <c r="G18" s="34">
        <v>1.026115E7</v>
      </c>
    </row>
    <row r="19" ht="12.75" customHeight="1">
      <c r="A19" s="27">
        <v>126.0</v>
      </c>
      <c r="B19" s="28" t="s">
        <v>41240</v>
      </c>
      <c r="C19" s="29">
        <v>10.0</v>
      </c>
      <c r="D19" s="28" t="s">
        <v>41241</v>
      </c>
      <c r="E19" s="28" t="s">
        <v>41242</v>
      </c>
      <c r="F19" s="27">
        <v>118.0</v>
      </c>
      <c r="G19" s="30">
        <v>1.0261189E7</v>
      </c>
    </row>
    <row r="20" ht="12.75" customHeight="1">
      <c r="A20" s="31">
        <v>126.0</v>
      </c>
      <c r="B20" s="32" t="s">
        <v>41243</v>
      </c>
      <c r="C20" s="33">
        <v>10.0</v>
      </c>
      <c r="D20" s="32" t="s">
        <v>41244</v>
      </c>
      <c r="E20" s="32" t="s">
        <v>41245</v>
      </c>
      <c r="F20" s="31">
        <v>133.0</v>
      </c>
      <c r="G20" s="34">
        <v>1.0261334E7</v>
      </c>
    </row>
    <row r="21" ht="12.75" customHeight="1">
      <c r="A21" s="27">
        <v>126.0</v>
      </c>
      <c r="B21" s="28" t="s">
        <v>41246</v>
      </c>
      <c r="C21" s="29">
        <v>10.0</v>
      </c>
      <c r="D21" s="28" t="s">
        <v>41247</v>
      </c>
      <c r="E21" s="28" t="s">
        <v>41248</v>
      </c>
      <c r="F21" s="27">
        <v>145.0</v>
      </c>
      <c r="G21" s="30">
        <v>1.0261455E7</v>
      </c>
    </row>
    <row r="22" ht="12.75" customHeight="1">
      <c r="A22" s="31">
        <v>126.0</v>
      </c>
      <c r="B22" s="32" t="s">
        <v>41249</v>
      </c>
      <c r="C22" s="33">
        <v>10.0</v>
      </c>
      <c r="D22" s="32" t="s">
        <v>41250</v>
      </c>
      <c r="E22" s="32" t="s">
        <v>41251</v>
      </c>
      <c r="F22" s="31">
        <v>154.0</v>
      </c>
      <c r="G22" s="34">
        <v>1.0261547E7</v>
      </c>
    </row>
    <row r="23" ht="12.75" customHeight="1">
      <c r="A23" s="27">
        <v>126.0</v>
      </c>
      <c r="B23" s="28" t="s">
        <v>41252</v>
      </c>
      <c r="C23" s="29">
        <v>10.0</v>
      </c>
      <c r="D23" s="28" t="s">
        <v>41253</v>
      </c>
      <c r="E23" s="28" t="s">
        <v>41254</v>
      </c>
      <c r="F23" s="27">
        <v>169.0</v>
      </c>
      <c r="G23" s="30">
        <v>1.0261697E7</v>
      </c>
    </row>
    <row r="24" ht="12.75" customHeight="1">
      <c r="A24" s="31">
        <v>126.0</v>
      </c>
      <c r="B24" s="32" t="s">
        <v>41255</v>
      </c>
      <c r="C24" s="33">
        <v>10.0</v>
      </c>
      <c r="D24" s="32" t="s">
        <v>41256</v>
      </c>
      <c r="E24" s="32" t="s">
        <v>41257</v>
      </c>
      <c r="F24" s="31">
        <v>172.0</v>
      </c>
      <c r="G24" s="34">
        <v>1.0261721E7</v>
      </c>
    </row>
    <row r="25" ht="12.75" customHeight="1">
      <c r="A25" s="27">
        <v>126.0</v>
      </c>
      <c r="B25" s="28" t="s">
        <v>41258</v>
      </c>
      <c r="C25" s="29">
        <v>10.0</v>
      </c>
      <c r="D25" s="28" t="s">
        <v>41259</v>
      </c>
      <c r="E25" s="28" t="s">
        <v>41260</v>
      </c>
      <c r="F25" s="27">
        <v>211.0</v>
      </c>
      <c r="G25" s="30">
        <v>1.0262117E7</v>
      </c>
    </row>
    <row r="26" ht="12.75" customHeight="1">
      <c r="A26" s="31">
        <v>126.0</v>
      </c>
      <c r="B26" s="32" t="s">
        <v>41261</v>
      </c>
      <c r="C26" s="33">
        <v>10.0</v>
      </c>
      <c r="D26" s="32" t="s">
        <v>41262</v>
      </c>
      <c r="E26" s="32" t="s">
        <v>41263</v>
      </c>
      <c r="F26" s="31">
        <v>226.0</v>
      </c>
      <c r="G26" s="34">
        <v>1.0262267E7</v>
      </c>
    </row>
    <row r="27" ht="12.75" customHeight="1">
      <c r="A27" s="27">
        <v>126.0</v>
      </c>
      <c r="B27" s="28" t="s">
        <v>41264</v>
      </c>
      <c r="C27" s="29">
        <v>10.0</v>
      </c>
      <c r="D27" s="28" t="s">
        <v>41265</v>
      </c>
      <c r="E27" s="28" t="s">
        <v>41266</v>
      </c>
      <c r="F27" s="27">
        <v>265.0</v>
      </c>
      <c r="G27" s="30">
        <v>1.0262654E7</v>
      </c>
    </row>
    <row r="28" ht="12.75" customHeight="1">
      <c r="A28" s="31">
        <v>126.0</v>
      </c>
      <c r="B28" s="32" t="s">
        <v>41267</v>
      </c>
      <c r="C28" s="33">
        <v>10.0</v>
      </c>
      <c r="D28" s="32" t="s">
        <v>41268</v>
      </c>
      <c r="E28" s="32" t="s">
        <v>41269</v>
      </c>
      <c r="F28" s="31">
        <v>298.0</v>
      </c>
      <c r="G28" s="34">
        <v>1.0262988E7</v>
      </c>
    </row>
    <row r="29" ht="12.75" customHeight="1">
      <c r="A29" s="27">
        <v>126.0</v>
      </c>
      <c r="B29" s="28" t="s">
        <v>41270</v>
      </c>
      <c r="C29" s="29">
        <v>10.0</v>
      </c>
      <c r="D29" s="28" t="s">
        <v>41271</v>
      </c>
      <c r="E29" s="28" t="s">
        <v>41272</v>
      </c>
      <c r="F29" s="27">
        <v>319.0</v>
      </c>
      <c r="G29" s="30">
        <v>1.026319E7</v>
      </c>
    </row>
    <row r="30" ht="12.75" customHeight="1">
      <c r="A30" s="31">
        <v>126.0</v>
      </c>
      <c r="B30" s="32" t="s">
        <v>41273</v>
      </c>
      <c r="C30" s="33">
        <v>10.0</v>
      </c>
      <c r="D30" s="32" t="s">
        <v>41274</v>
      </c>
      <c r="E30" s="32" t="s">
        <v>41275</v>
      </c>
      <c r="F30" s="31">
        <v>328.0</v>
      </c>
      <c r="G30" s="34">
        <v>1.0263282E7</v>
      </c>
    </row>
    <row r="31" ht="12.75" customHeight="1">
      <c r="A31" s="27">
        <v>126.0</v>
      </c>
      <c r="B31" s="28" t="s">
        <v>41276</v>
      </c>
      <c r="C31" s="29">
        <v>10.0</v>
      </c>
      <c r="D31" s="28" t="s">
        <v>41277</v>
      </c>
      <c r="E31" s="28" t="s">
        <v>41278</v>
      </c>
      <c r="F31" s="27">
        <v>352.0</v>
      </c>
      <c r="G31" s="30">
        <v>1.0263529E7</v>
      </c>
    </row>
    <row r="32" ht="12.75" customHeight="1">
      <c r="A32" s="31">
        <v>126.0</v>
      </c>
      <c r="B32" s="32" t="s">
        <v>41279</v>
      </c>
      <c r="C32" s="33">
        <v>10.0</v>
      </c>
      <c r="D32" s="32" t="s">
        <v>41280</v>
      </c>
      <c r="E32" s="32" t="s">
        <v>41281</v>
      </c>
      <c r="F32" s="31">
        <v>358.0</v>
      </c>
      <c r="G32" s="34">
        <v>1.0263587E7</v>
      </c>
    </row>
    <row r="33" ht="12.75" customHeight="1">
      <c r="A33" s="27">
        <v>126.0</v>
      </c>
      <c r="B33" s="28" t="s">
        <v>41282</v>
      </c>
      <c r="C33" s="29">
        <v>10.0</v>
      </c>
      <c r="D33" s="28" t="s">
        <v>41283</v>
      </c>
      <c r="E33" s="28" t="s">
        <v>41284</v>
      </c>
      <c r="F33" s="27">
        <v>361.0</v>
      </c>
      <c r="G33" s="30">
        <v>1.0263611E7</v>
      </c>
    </row>
    <row r="34" ht="12.75" customHeight="1">
      <c r="A34" s="31">
        <v>126.0</v>
      </c>
      <c r="B34" s="32" t="s">
        <v>41285</v>
      </c>
      <c r="C34" s="33">
        <v>10.0</v>
      </c>
      <c r="D34" s="32" t="s">
        <v>41286</v>
      </c>
      <c r="E34" s="32" t="s">
        <v>41287</v>
      </c>
      <c r="F34" s="31">
        <v>364.0</v>
      </c>
      <c r="G34" s="34">
        <v>1.026364E7</v>
      </c>
    </row>
    <row r="35" ht="12.75" customHeight="1">
      <c r="A35" s="27">
        <v>126.0</v>
      </c>
      <c r="B35" s="28" t="s">
        <v>41288</v>
      </c>
      <c r="C35" s="29">
        <v>10.0</v>
      </c>
      <c r="D35" s="28" t="s">
        <v>41289</v>
      </c>
      <c r="E35" s="28" t="s">
        <v>41290</v>
      </c>
      <c r="F35" s="27">
        <v>394.0</v>
      </c>
      <c r="G35" s="30">
        <v>1.0263945E7</v>
      </c>
    </row>
    <row r="36" ht="12.75" customHeight="1">
      <c r="A36" s="31">
        <v>126.0</v>
      </c>
      <c r="B36" s="32" t="s">
        <v>41291</v>
      </c>
      <c r="C36" s="33">
        <v>10.0</v>
      </c>
      <c r="D36" s="32" t="s">
        <v>41292</v>
      </c>
      <c r="E36" s="32" t="s">
        <v>41293</v>
      </c>
      <c r="F36" s="31">
        <v>403.0</v>
      </c>
      <c r="G36" s="34">
        <v>1.0264036E7</v>
      </c>
    </row>
    <row r="37" ht="12.75" customHeight="1">
      <c r="A37" s="27">
        <v>126.0</v>
      </c>
      <c r="B37" s="28" t="s">
        <v>41294</v>
      </c>
      <c r="C37" s="29">
        <v>10.0</v>
      </c>
      <c r="D37" s="28" t="s">
        <v>41295</v>
      </c>
      <c r="E37" s="28" t="s">
        <v>41296</v>
      </c>
      <c r="F37" s="27">
        <v>409.0</v>
      </c>
      <c r="G37" s="30">
        <v>1.0264094E7</v>
      </c>
    </row>
    <row r="38" ht="12.75" customHeight="1">
      <c r="A38" s="31">
        <v>126.0</v>
      </c>
      <c r="B38" s="32" t="s">
        <v>41297</v>
      </c>
      <c r="C38" s="33">
        <v>10.0</v>
      </c>
      <c r="D38" s="32" t="s">
        <v>41298</v>
      </c>
      <c r="E38" s="32" t="s">
        <v>41299</v>
      </c>
      <c r="F38" s="31">
        <v>421.0</v>
      </c>
      <c r="G38" s="34">
        <v>1.026421E7</v>
      </c>
    </row>
    <row r="39" ht="12.75" customHeight="1">
      <c r="A39" s="27">
        <v>126.0</v>
      </c>
      <c r="B39" s="28" t="s">
        <v>41300</v>
      </c>
      <c r="C39" s="29">
        <v>10.0</v>
      </c>
      <c r="D39" s="28" t="s">
        <v>41301</v>
      </c>
      <c r="E39" s="28" t="s">
        <v>41302</v>
      </c>
      <c r="F39" s="27">
        <v>427.0</v>
      </c>
      <c r="G39" s="30">
        <v>1.0264278E7</v>
      </c>
    </row>
    <row r="40" ht="12.75" customHeight="1">
      <c r="A40" s="31">
        <v>126.0</v>
      </c>
      <c r="B40" s="32" t="s">
        <v>41303</v>
      </c>
      <c r="C40" s="33">
        <v>10.0</v>
      </c>
      <c r="D40" s="32" t="s">
        <v>41304</v>
      </c>
      <c r="E40" s="32" t="s">
        <v>41305</v>
      </c>
      <c r="F40" s="31">
        <v>430.0</v>
      </c>
      <c r="G40" s="34">
        <v>1.0264302E7</v>
      </c>
    </row>
    <row r="41" ht="12.75" customHeight="1">
      <c r="A41" s="27">
        <v>126.0</v>
      </c>
      <c r="B41" s="28" t="s">
        <v>41306</v>
      </c>
      <c r="C41" s="29">
        <v>10.0</v>
      </c>
      <c r="D41" s="28" t="s">
        <v>41307</v>
      </c>
      <c r="E41" s="28" t="s">
        <v>41308</v>
      </c>
      <c r="F41" s="27">
        <v>433.0</v>
      </c>
      <c r="G41" s="30">
        <v>1.0264331E7</v>
      </c>
    </row>
    <row r="42" ht="12.75" customHeight="1">
      <c r="A42" s="31">
        <v>126.0</v>
      </c>
      <c r="B42" s="32" t="s">
        <v>41309</v>
      </c>
      <c r="C42" s="33">
        <v>10.0</v>
      </c>
      <c r="D42" s="32" t="s">
        <v>41310</v>
      </c>
      <c r="E42" s="32" t="s">
        <v>41311</v>
      </c>
      <c r="F42" s="31">
        <v>436.0</v>
      </c>
      <c r="G42" s="34">
        <v>1.026436E7</v>
      </c>
    </row>
    <row r="43" ht="12.75" customHeight="1">
      <c r="A43" s="27">
        <v>126.0</v>
      </c>
      <c r="B43" s="28" t="s">
        <v>41312</v>
      </c>
      <c r="C43" s="29">
        <v>10.0</v>
      </c>
      <c r="D43" s="28" t="s">
        <v>41313</v>
      </c>
      <c r="E43" s="28" t="s">
        <v>41314</v>
      </c>
      <c r="F43" s="27">
        <v>451.0</v>
      </c>
      <c r="G43" s="30">
        <v>1.0264515E7</v>
      </c>
    </row>
    <row r="44" ht="12.75" customHeight="1">
      <c r="A44" s="31">
        <v>126.0</v>
      </c>
      <c r="B44" s="32" t="s">
        <v>41315</v>
      </c>
      <c r="C44" s="33">
        <v>10.0</v>
      </c>
      <c r="D44" s="32" t="s">
        <v>41316</v>
      </c>
      <c r="E44" s="32" t="s">
        <v>41317</v>
      </c>
      <c r="F44" s="31">
        <v>469.0</v>
      </c>
      <c r="G44" s="34">
        <v>1.0264694E7</v>
      </c>
    </row>
    <row r="45" ht="12.75" customHeight="1">
      <c r="A45" s="27">
        <v>126.0</v>
      </c>
      <c r="B45" s="28" t="s">
        <v>41318</v>
      </c>
      <c r="C45" s="29">
        <v>10.0</v>
      </c>
      <c r="D45" s="28" t="s">
        <v>41319</v>
      </c>
      <c r="E45" s="28" t="s">
        <v>41320</v>
      </c>
      <c r="F45" s="27">
        <v>472.0</v>
      </c>
      <c r="G45" s="30">
        <v>1.0264728E7</v>
      </c>
    </row>
    <row r="46" ht="12.75" customHeight="1">
      <c r="A46" s="31">
        <v>127.0</v>
      </c>
      <c r="B46" s="32" t="s">
        <v>41321</v>
      </c>
      <c r="C46" s="33">
        <v>10.0</v>
      </c>
      <c r="D46" s="32" t="s">
        <v>41322</v>
      </c>
      <c r="E46" s="32" t="s">
        <v>41323</v>
      </c>
      <c r="F46" s="33">
        <v>0.0</v>
      </c>
      <c r="G46" s="34">
        <v>1.0270004E7</v>
      </c>
    </row>
    <row r="47" ht="12.75" customHeight="1">
      <c r="A47" s="27">
        <v>127.0</v>
      </c>
      <c r="B47" s="28" t="s">
        <v>41324</v>
      </c>
      <c r="C47" s="29">
        <v>10.0</v>
      </c>
      <c r="D47" s="28" t="s">
        <v>41325</v>
      </c>
      <c r="E47" s="28" t="s">
        <v>41326</v>
      </c>
      <c r="F47" s="29">
        <v>10.0</v>
      </c>
      <c r="G47" s="30">
        <v>1.0270109E7</v>
      </c>
    </row>
    <row r="48" ht="12.75" customHeight="1">
      <c r="A48" s="31">
        <v>127.0</v>
      </c>
      <c r="B48" s="32" t="s">
        <v>41327</v>
      </c>
      <c r="C48" s="33">
        <v>10.0</v>
      </c>
      <c r="D48" s="32" t="s">
        <v>41328</v>
      </c>
      <c r="E48" s="32" t="s">
        <v>41329</v>
      </c>
      <c r="F48" s="33">
        <v>25.0</v>
      </c>
      <c r="G48" s="34">
        <v>1.0270259E7</v>
      </c>
    </row>
    <row r="49" ht="12.75" customHeight="1">
      <c r="A49" s="27">
        <v>127.0</v>
      </c>
      <c r="B49" s="28" t="s">
        <v>41330</v>
      </c>
      <c r="C49" s="29">
        <v>10.0</v>
      </c>
      <c r="D49" s="28" t="s">
        <v>41331</v>
      </c>
      <c r="E49" s="28" t="s">
        <v>41332</v>
      </c>
      <c r="F49" s="29">
        <v>26.0</v>
      </c>
      <c r="G49" s="30">
        <v>1.0270262E7</v>
      </c>
    </row>
    <row r="50" ht="12.75" customHeight="1">
      <c r="A50" s="31">
        <v>127.0</v>
      </c>
      <c r="B50" s="32" t="s">
        <v>41333</v>
      </c>
      <c r="C50" s="33">
        <v>10.0</v>
      </c>
      <c r="D50" s="32" t="s">
        <v>41334</v>
      </c>
      <c r="E50" s="32" t="s">
        <v>41335</v>
      </c>
      <c r="F50" s="33">
        <v>28.0</v>
      </c>
      <c r="G50" s="34">
        <v>1.0270288E7</v>
      </c>
    </row>
    <row r="51" ht="12.75" customHeight="1">
      <c r="A51" s="27">
        <v>127.0</v>
      </c>
      <c r="B51" s="28" t="s">
        <v>41336</v>
      </c>
      <c r="C51" s="29">
        <v>10.0</v>
      </c>
      <c r="D51" s="28" t="s">
        <v>41337</v>
      </c>
      <c r="E51" s="28" t="s">
        <v>41338</v>
      </c>
      <c r="F51" s="29">
        <v>32.0</v>
      </c>
      <c r="G51" s="30">
        <v>1.0270325E7</v>
      </c>
    </row>
    <row r="52" ht="12.75" customHeight="1">
      <c r="A52" s="31">
        <v>127.0</v>
      </c>
      <c r="B52" s="32" t="s">
        <v>41339</v>
      </c>
      <c r="C52" s="33">
        <v>10.0</v>
      </c>
      <c r="D52" s="32" t="s">
        <v>41340</v>
      </c>
      <c r="E52" s="32" t="s">
        <v>41341</v>
      </c>
      <c r="F52" s="33">
        <v>43.0</v>
      </c>
      <c r="G52" s="34">
        <v>1.0270433E7</v>
      </c>
    </row>
    <row r="53" ht="12.75" customHeight="1">
      <c r="A53" s="27">
        <v>127.0</v>
      </c>
      <c r="B53" s="28" t="s">
        <v>41342</v>
      </c>
      <c r="C53" s="29">
        <v>10.0</v>
      </c>
      <c r="D53" s="28" t="s">
        <v>41343</v>
      </c>
      <c r="E53" s="28" t="s">
        <v>41344</v>
      </c>
      <c r="F53" s="29">
        <v>55.0</v>
      </c>
      <c r="G53" s="30">
        <v>1.0270554E7</v>
      </c>
    </row>
    <row r="54" ht="12.75" customHeight="1">
      <c r="A54" s="31">
        <v>127.0</v>
      </c>
      <c r="B54" s="32" t="s">
        <v>41345</v>
      </c>
      <c r="C54" s="33">
        <v>10.0</v>
      </c>
      <c r="D54" s="32" t="s">
        <v>41346</v>
      </c>
      <c r="E54" s="32" t="s">
        <v>41347</v>
      </c>
      <c r="F54" s="33">
        <v>79.0</v>
      </c>
      <c r="G54" s="34">
        <v>1.0270796E7</v>
      </c>
    </row>
    <row r="55" ht="12.75" customHeight="1">
      <c r="A55" s="27">
        <v>127.0</v>
      </c>
      <c r="B55" s="28" t="s">
        <v>41348</v>
      </c>
      <c r="C55" s="29">
        <v>10.0</v>
      </c>
      <c r="D55" s="28" t="s">
        <v>41349</v>
      </c>
      <c r="E55" s="28" t="s">
        <v>41350</v>
      </c>
      <c r="F55" s="29">
        <v>97.0</v>
      </c>
      <c r="G55" s="30">
        <v>1.027097E7</v>
      </c>
    </row>
    <row r="56" ht="12.75" customHeight="1">
      <c r="A56" s="31">
        <v>127.0</v>
      </c>
      <c r="B56" s="32" t="s">
        <v>41351</v>
      </c>
      <c r="C56" s="33">
        <v>10.0</v>
      </c>
      <c r="D56" s="32" t="s">
        <v>41352</v>
      </c>
      <c r="E56" s="32" t="s">
        <v>41353</v>
      </c>
      <c r="F56" s="31">
        <v>103.0</v>
      </c>
      <c r="G56" s="34">
        <v>1.0271032E7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41354</v>
      </c>
      <c r="C1" s="29">
        <v>10.0</v>
      </c>
      <c r="D1" s="28" t="s">
        <v>41355</v>
      </c>
      <c r="E1" s="28" t="s">
        <v>41356</v>
      </c>
      <c r="F1" s="27">
        <v>106.0</v>
      </c>
      <c r="G1" s="30">
        <v>1.0271061E7</v>
      </c>
    </row>
    <row r="2" ht="12.75" customHeight="1">
      <c r="A2" s="31">
        <v>127.0</v>
      </c>
      <c r="B2" s="32" t="s">
        <v>41357</v>
      </c>
      <c r="C2" s="33">
        <v>10.0</v>
      </c>
      <c r="D2" s="32" t="s">
        <v>41358</v>
      </c>
      <c r="E2" s="32" t="s">
        <v>41359</v>
      </c>
      <c r="F2" s="31">
        <v>121.0</v>
      </c>
      <c r="G2" s="34">
        <v>1.0271216E7</v>
      </c>
    </row>
    <row r="3" ht="12.75" customHeight="1">
      <c r="A3" s="27">
        <v>127.0</v>
      </c>
      <c r="B3" s="28" t="s">
        <v>41360</v>
      </c>
      <c r="C3" s="29">
        <v>10.0</v>
      </c>
      <c r="D3" s="28" t="s">
        <v>41361</v>
      </c>
      <c r="E3" s="28" t="s">
        <v>41362</v>
      </c>
      <c r="F3" s="27">
        <v>127.0</v>
      </c>
      <c r="G3" s="30">
        <v>1.0271274E7</v>
      </c>
    </row>
    <row r="4" ht="12.75" customHeight="1">
      <c r="A4" s="31">
        <v>127.0</v>
      </c>
      <c r="B4" s="32" t="s">
        <v>41363</v>
      </c>
      <c r="C4" s="33">
        <v>10.0</v>
      </c>
      <c r="D4" s="32" t="s">
        <v>41364</v>
      </c>
      <c r="E4" s="32" t="s">
        <v>41365</v>
      </c>
      <c r="F4" s="31">
        <v>133.0</v>
      </c>
      <c r="G4" s="34">
        <v>1.0271337E7</v>
      </c>
    </row>
    <row r="5" ht="12.75" customHeight="1">
      <c r="A5" s="27">
        <v>127.0</v>
      </c>
      <c r="B5" s="28" t="s">
        <v>41366</v>
      </c>
      <c r="C5" s="29">
        <v>10.0</v>
      </c>
      <c r="D5" s="28" t="s">
        <v>41367</v>
      </c>
      <c r="E5" s="28" t="s">
        <v>41368</v>
      </c>
      <c r="F5" s="27">
        <v>163.0</v>
      </c>
      <c r="G5" s="30">
        <v>1.0271632E7</v>
      </c>
    </row>
    <row r="6" ht="12.75" customHeight="1">
      <c r="A6" s="31">
        <v>127.0</v>
      </c>
      <c r="B6" s="32" t="s">
        <v>41369</v>
      </c>
      <c r="C6" s="33">
        <v>10.0</v>
      </c>
      <c r="D6" s="32" t="s">
        <v>41370</v>
      </c>
      <c r="E6" s="32" t="s">
        <v>41371</v>
      </c>
      <c r="F6" s="31">
        <v>172.0</v>
      </c>
      <c r="G6" s="34">
        <v>1.0271724E7</v>
      </c>
    </row>
    <row r="7" ht="12.75" customHeight="1">
      <c r="A7" s="27">
        <v>127.0</v>
      </c>
      <c r="B7" s="28" t="s">
        <v>41372</v>
      </c>
      <c r="C7" s="29">
        <v>10.0</v>
      </c>
      <c r="D7" s="28" t="s">
        <v>41373</v>
      </c>
      <c r="E7" s="28" t="s">
        <v>41374</v>
      </c>
      <c r="F7" s="27">
        <v>187.0</v>
      </c>
      <c r="G7" s="30">
        <v>1.0271874E7</v>
      </c>
    </row>
    <row r="8" ht="12.75" customHeight="1">
      <c r="A8" s="31">
        <v>127.0</v>
      </c>
      <c r="B8" s="32" t="s">
        <v>41375</v>
      </c>
      <c r="C8" s="33">
        <v>10.0</v>
      </c>
      <c r="D8" s="32" t="s">
        <v>41376</v>
      </c>
      <c r="E8" s="32" t="s">
        <v>41377</v>
      </c>
      <c r="F8" s="31">
        <v>223.0</v>
      </c>
      <c r="G8" s="34">
        <v>1.0272231E7</v>
      </c>
    </row>
    <row r="9" ht="12.75" customHeight="1">
      <c r="A9" s="27">
        <v>127.0</v>
      </c>
      <c r="B9" s="28" t="s">
        <v>41378</v>
      </c>
      <c r="C9" s="29">
        <v>10.0</v>
      </c>
      <c r="D9" s="28" t="s">
        <v>41379</v>
      </c>
      <c r="E9" s="28" t="s">
        <v>41380</v>
      </c>
      <c r="F9" s="27">
        <v>226.0</v>
      </c>
      <c r="G9" s="30">
        <v>1.027226E7</v>
      </c>
    </row>
    <row r="10" ht="12.75" customHeight="1">
      <c r="A10" s="31">
        <v>127.0</v>
      </c>
      <c r="B10" s="32" t="s">
        <v>41381</v>
      </c>
      <c r="C10" s="33">
        <v>10.0</v>
      </c>
      <c r="D10" s="32" t="s">
        <v>41382</v>
      </c>
      <c r="E10" s="32" t="s">
        <v>41383</v>
      </c>
      <c r="F10" s="31">
        <v>232.0</v>
      </c>
      <c r="G10" s="34">
        <v>1.0272323E7</v>
      </c>
    </row>
    <row r="11" ht="12.75" customHeight="1">
      <c r="A11" s="27">
        <v>127.0</v>
      </c>
      <c r="B11" s="28" t="s">
        <v>41384</v>
      </c>
      <c r="C11" s="29">
        <v>10.0</v>
      </c>
      <c r="D11" s="28" t="s">
        <v>41385</v>
      </c>
      <c r="E11" s="28" t="s">
        <v>41386</v>
      </c>
      <c r="F11" s="27">
        <v>259.0</v>
      </c>
      <c r="G11" s="30">
        <v>1.0272594E7</v>
      </c>
    </row>
    <row r="12" ht="12.75" customHeight="1">
      <c r="A12" s="31">
        <v>127.0</v>
      </c>
      <c r="B12" s="32" t="s">
        <v>41387</v>
      </c>
      <c r="C12" s="33">
        <v>10.0</v>
      </c>
      <c r="D12" s="32" t="s">
        <v>41388</v>
      </c>
      <c r="E12" s="32" t="s">
        <v>41389</v>
      </c>
      <c r="F12" s="31">
        <v>268.0</v>
      </c>
      <c r="G12" s="34">
        <v>1.0272686E7</v>
      </c>
    </row>
    <row r="13" ht="12.75" customHeight="1">
      <c r="A13" s="27">
        <v>127.0</v>
      </c>
      <c r="B13" s="28" t="s">
        <v>41390</v>
      </c>
      <c r="C13" s="29">
        <v>10.0</v>
      </c>
      <c r="D13" s="28" t="s">
        <v>41391</v>
      </c>
      <c r="E13" s="28" t="s">
        <v>41392</v>
      </c>
      <c r="F13" s="27">
        <v>280.0</v>
      </c>
      <c r="G13" s="30">
        <v>1.0272802E7</v>
      </c>
    </row>
    <row r="14" ht="12.75" customHeight="1">
      <c r="A14" s="31">
        <v>127.0</v>
      </c>
      <c r="B14" s="32" t="s">
        <v>41393</v>
      </c>
      <c r="C14" s="33">
        <v>10.0</v>
      </c>
      <c r="D14" s="32" t="s">
        <v>41394</v>
      </c>
      <c r="E14" s="32" t="s">
        <v>41395</v>
      </c>
      <c r="F14" s="31">
        <v>298.0</v>
      </c>
      <c r="G14" s="34">
        <v>1.0272981E7</v>
      </c>
    </row>
    <row r="15" ht="12.75" customHeight="1">
      <c r="A15" s="27">
        <v>127.0</v>
      </c>
      <c r="B15" s="28" t="s">
        <v>41396</v>
      </c>
      <c r="C15" s="29">
        <v>10.0</v>
      </c>
      <c r="D15" s="28" t="s">
        <v>41397</v>
      </c>
      <c r="E15" s="28" t="s">
        <v>41398</v>
      </c>
      <c r="F15" s="27">
        <v>310.0</v>
      </c>
      <c r="G15" s="30">
        <v>1.0273106E7</v>
      </c>
    </row>
    <row r="16" ht="12.75" customHeight="1">
      <c r="A16" s="31">
        <v>127.0</v>
      </c>
      <c r="B16" s="32" t="s">
        <v>41399</v>
      </c>
      <c r="C16" s="33">
        <v>10.0</v>
      </c>
      <c r="D16" s="32" t="s">
        <v>41400</v>
      </c>
      <c r="E16" s="32" t="s">
        <v>41401</v>
      </c>
      <c r="F16" s="31">
        <v>316.0</v>
      </c>
      <c r="G16" s="34">
        <v>1.0273164E7</v>
      </c>
    </row>
    <row r="17" ht="12.75" customHeight="1">
      <c r="A17" s="27">
        <v>127.0</v>
      </c>
      <c r="B17" s="28" t="s">
        <v>41402</v>
      </c>
      <c r="C17" s="29">
        <v>10.0</v>
      </c>
      <c r="D17" s="28" t="s">
        <v>41403</v>
      </c>
      <c r="E17" s="28" t="s">
        <v>41404</v>
      </c>
      <c r="F17" s="27">
        <v>319.0</v>
      </c>
      <c r="G17" s="30">
        <v>1.0273193E7</v>
      </c>
    </row>
    <row r="18" ht="12.75" customHeight="1">
      <c r="A18" s="31">
        <v>127.0</v>
      </c>
      <c r="B18" s="32" t="s">
        <v>41405</v>
      </c>
      <c r="C18" s="33">
        <v>10.0</v>
      </c>
      <c r="D18" s="32" t="s">
        <v>41406</v>
      </c>
      <c r="E18" s="32" t="s">
        <v>41407</v>
      </c>
      <c r="F18" s="31">
        <v>322.0</v>
      </c>
      <c r="G18" s="34">
        <v>1.0273227E7</v>
      </c>
    </row>
    <row r="19" ht="12.75" customHeight="1">
      <c r="A19" s="27">
        <v>127.0</v>
      </c>
      <c r="B19" s="28" t="s">
        <v>41408</v>
      </c>
      <c r="C19" s="29">
        <v>10.0</v>
      </c>
      <c r="D19" s="28" t="s">
        <v>41409</v>
      </c>
      <c r="E19" s="28" t="s">
        <v>41410</v>
      </c>
      <c r="F19" s="27">
        <v>328.0</v>
      </c>
      <c r="G19" s="30">
        <v>1.0273285E7</v>
      </c>
    </row>
    <row r="20" ht="12.75" customHeight="1">
      <c r="A20" s="31">
        <v>127.0</v>
      </c>
      <c r="B20" s="32" t="s">
        <v>41411</v>
      </c>
      <c r="C20" s="33">
        <v>10.0</v>
      </c>
      <c r="D20" s="32" t="s">
        <v>41412</v>
      </c>
      <c r="E20" s="32" t="s">
        <v>41413</v>
      </c>
      <c r="F20" s="31">
        <v>334.0</v>
      </c>
      <c r="G20" s="34">
        <v>1.0273348E7</v>
      </c>
    </row>
    <row r="21" ht="12.75" customHeight="1">
      <c r="A21" s="27">
        <v>127.0</v>
      </c>
      <c r="B21" s="28" t="s">
        <v>41414</v>
      </c>
      <c r="C21" s="29">
        <v>10.0</v>
      </c>
      <c r="D21" s="28" t="s">
        <v>41415</v>
      </c>
      <c r="E21" s="28" t="s">
        <v>41416</v>
      </c>
      <c r="F21" s="27">
        <v>349.0</v>
      </c>
      <c r="G21" s="30">
        <v>1.0273498E7</v>
      </c>
    </row>
    <row r="22" ht="12.75" customHeight="1">
      <c r="A22" s="31">
        <v>127.0</v>
      </c>
      <c r="B22" s="32" t="s">
        <v>41417</v>
      </c>
      <c r="C22" s="33">
        <v>10.0</v>
      </c>
      <c r="D22" s="32" t="s">
        <v>41418</v>
      </c>
      <c r="E22" s="32" t="s">
        <v>41419</v>
      </c>
      <c r="F22" s="31">
        <v>358.0</v>
      </c>
      <c r="G22" s="34">
        <v>1.027358E7</v>
      </c>
    </row>
    <row r="23" ht="12.75" customHeight="1">
      <c r="A23" s="27">
        <v>127.0</v>
      </c>
      <c r="B23" s="28" t="s">
        <v>41420</v>
      </c>
      <c r="C23" s="29">
        <v>10.0</v>
      </c>
      <c r="D23" s="28" t="s">
        <v>41421</v>
      </c>
      <c r="E23" s="28" t="s">
        <v>41422</v>
      </c>
      <c r="F23" s="27">
        <v>373.0</v>
      </c>
      <c r="G23" s="30">
        <v>1.0273735E7</v>
      </c>
    </row>
    <row r="24" ht="12.75" customHeight="1">
      <c r="A24" s="31">
        <v>127.0</v>
      </c>
      <c r="B24" s="32" t="s">
        <v>41423</v>
      </c>
      <c r="C24" s="33">
        <v>10.0</v>
      </c>
      <c r="D24" s="32" t="s">
        <v>41424</v>
      </c>
      <c r="E24" s="32" t="s">
        <v>41425</v>
      </c>
      <c r="F24" s="31">
        <v>394.0</v>
      </c>
      <c r="G24" s="34">
        <v>1.0273948E7</v>
      </c>
    </row>
    <row r="25" ht="12.75" customHeight="1">
      <c r="A25" s="27">
        <v>127.0</v>
      </c>
      <c r="B25" s="28" t="s">
        <v>41426</v>
      </c>
      <c r="C25" s="29">
        <v>10.0</v>
      </c>
      <c r="D25" s="28" t="s">
        <v>41427</v>
      </c>
      <c r="E25" s="28" t="s">
        <v>41428</v>
      </c>
      <c r="F25" s="27">
        <v>400.0</v>
      </c>
      <c r="G25" s="30">
        <v>1.0274E7</v>
      </c>
    </row>
    <row r="26" ht="12.75" customHeight="1">
      <c r="A26" s="31">
        <v>127.0</v>
      </c>
      <c r="B26" s="32" t="s">
        <v>41429</v>
      </c>
      <c r="C26" s="33">
        <v>10.0</v>
      </c>
      <c r="D26" s="32" t="s">
        <v>41430</v>
      </c>
      <c r="E26" s="32" t="s">
        <v>41431</v>
      </c>
      <c r="F26" s="31">
        <v>409.0</v>
      </c>
      <c r="G26" s="34">
        <v>1.0274097E7</v>
      </c>
    </row>
    <row r="27" ht="12.75" customHeight="1">
      <c r="A27" s="27">
        <v>127.0</v>
      </c>
      <c r="B27" s="28" t="s">
        <v>41432</v>
      </c>
      <c r="C27" s="29">
        <v>10.0</v>
      </c>
      <c r="D27" s="28" t="s">
        <v>41433</v>
      </c>
      <c r="E27" s="28" t="s">
        <v>41434</v>
      </c>
      <c r="F27" s="27">
        <v>439.0</v>
      </c>
      <c r="G27" s="30">
        <v>1.0274392E7</v>
      </c>
    </row>
    <row r="28" ht="12.75" customHeight="1">
      <c r="A28" s="31">
        <v>127.0</v>
      </c>
      <c r="B28" s="32" t="s">
        <v>41435</v>
      </c>
      <c r="C28" s="33">
        <v>10.0</v>
      </c>
      <c r="D28" s="32" t="s">
        <v>41436</v>
      </c>
      <c r="E28" s="32" t="s">
        <v>41437</v>
      </c>
      <c r="F28" s="31">
        <v>442.0</v>
      </c>
      <c r="G28" s="34">
        <v>1.0274426E7</v>
      </c>
    </row>
    <row r="29" ht="12.75" customHeight="1">
      <c r="A29" s="27">
        <v>127.0</v>
      </c>
      <c r="B29" s="28" t="s">
        <v>41438</v>
      </c>
      <c r="C29" s="29">
        <v>10.0</v>
      </c>
      <c r="D29" s="28" t="s">
        <v>41439</v>
      </c>
      <c r="E29" s="28" t="s">
        <v>41440</v>
      </c>
      <c r="F29" s="27">
        <v>463.0</v>
      </c>
      <c r="G29" s="30">
        <v>1.0274639E7</v>
      </c>
    </row>
    <row r="30" ht="12.75" customHeight="1">
      <c r="A30" s="31">
        <v>127.0</v>
      </c>
      <c r="B30" s="32" t="s">
        <v>41441</v>
      </c>
      <c r="C30" s="33">
        <v>10.0</v>
      </c>
      <c r="D30" s="32" t="s">
        <v>41442</v>
      </c>
      <c r="E30" s="32" t="s">
        <v>41443</v>
      </c>
      <c r="F30" s="31">
        <v>466.0</v>
      </c>
      <c r="G30" s="34">
        <v>1.0274668E7</v>
      </c>
    </row>
    <row r="31" ht="12.75" customHeight="1">
      <c r="A31" s="27">
        <v>127.0</v>
      </c>
      <c r="B31" s="28" t="s">
        <v>41444</v>
      </c>
      <c r="C31" s="29">
        <v>10.0</v>
      </c>
      <c r="D31" s="28" t="s">
        <v>41445</v>
      </c>
      <c r="E31" s="28" t="s">
        <v>41446</v>
      </c>
      <c r="F31" s="27">
        <v>469.0</v>
      </c>
      <c r="G31" s="30">
        <v>1.0274697E7</v>
      </c>
    </row>
    <row r="32" ht="12.75" customHeight="1">
      <c r="A32" s="31">
        <v>127.0</v>
      </c>
      <c r="B32" s="32" t="s">
        <v>41447</v>
      </c>
      <c r="C32" s="33">
        <v>10.0</v>
      </c>
      <c r="D32" s="32" t="s">
        <v>41448</v>
      </c>
      <c r="E32" s="32" t="s">
        <v>41449</v>
      </c>
      <c r="F32" s="31">
        <v>471.0</v>
      </c>
      <c r="G32" s="34">
        <v>1.0274718E7</v>
      </c>
    </row>
    <row r="33" ht="12.75" customHeight="1">
      <c r="A33" s="27">
        <v>127.0</v>
      </c>
      <c r="B33" s="28" t="s">
        <v>41450</v>
      </c>
      <c r="C33" s="29">
        <v>10.0</v>
      </c>
      <c r="D33" s="28" t="s">
        <v>41451</v>
      </c>
      <c r="E33" s="28" t="s">
        <v>41452</v>
      </c>
      <c r="F33" s="27">
        <v>472.0</v>
      </c>
      <c r="G33" s="30">
        <v>1.0274721E7</v>
      </c>
    </row>
    <row r="34" ht="12.75" customHeight="1">
      <c r="A34" s="31">
        <v>127.0</v>
      </c>
      <c r="B34" s="32" t="s">
        <v>41453</v>
      </c>
      <c r="C34" s="33">
        <v>10.0</v>
      </c>
      <c r="D34" s="32" t="s">
        <v>41454</v>
      </c>
      <c r="E34" s="32" t="s">
        <v>41455</v>
      </c>
      <c r="F34" s="31">
        <v>502.0</v>
      </c>
      <c r="G34" s="34">
        <v>1.0275025E7</v>
      </c>
    </row>
    <row r="35" ht="12.75" customHeight="1">
      <c r="A35" s="27">
        <v>127.0</v>
      </c>
      <c r="B35" s="28" t="s">
        <v>41456</v>
      </c>
      <c r="C35" s="29">
        <v>10.0</v>
      </c>
      <c r="D35" s="28" t="s">
        <v>41457</v>
      </c>
      <c r="E35" s="28" t="s">
        <v>41458</v>
      </c>
      <c r="F35" s="27">
        <v>511.0</v>
      </c>
      <c r="G35" s="30">
        <v>1.0275117E7</v>
      </c>
    </row>
    <row r="36" ht="12.75" customHeight="1">
      <c r="A36" s="31">
        <v>127.0</v>
      </c>
      <c r="B36" s="32" t="s">
        <v>41459</v>
      </c>
      <c r="C36" s="33">
        <v>10.0</v>
      </c>
      <c r="D36" s="32" t="s">
        <v>41460</v>
      </c>
      <c r="E36" s="32" t="s">
        <v>41461</v>
      </c>
      <c r="F36" s="31">
        <v>517.0</v>
      </c>
      <c r="G36" s="34">
        <v>1.0275175E7</v>
      </c>
    </row>
    <row r="37" ht="12.75" customHeight="1">
      <c r="A37" s="27">
        <v>127.0</v>
      </c>
      <c r="B37" s="28" t="s">
        <v>41462</v>
      </c>
      <c r="C37" s="29">
        <v>10.0</v>
      </c>
      <c r="D37" s="28" t="s">
        <v>41463</v>
      </c>
      <c r="E37" s="28" t="s">
        <v>41464</v>
      </c>
      <c r="F37" s="27">
        <v>529.0</v>
      </c>
      <c r="G37" s="30">
        <v>1.0275296E7</v>
      </c>
    </row>
    <row r="38" ht="12.75" customHeight="1">
      <c r="A38" s="31">
        <v>127.0</v>
      </c>
      <c r="B38" s="32" t="s">
        <v>41465</v>
      </c>
      <c r="C38" s="33">
        <v>10.0</v>
      </c>
      <c r="D38" s="32" t="s">
        <v>41466</v>
      </c>
      <c r="E38" s="32" t="s">
        <v>41467</v>
      </c>
      <c r="F38" s="31">
        <v>535.0</v>
      </c>
      <c r="G38" s="34">
        <v>1.0275359E7</v>
      </c>
    </row>
    <row r="39" ht="12.75" customHeight="1">
      <c r="A39" s="27">
        <v>127.0</v>
      </c>
      <c r="B39" s="28" t="s">
        <v>41468</v>
      </c>
      <c r="C39" s="29">
        <v>10.0</v>
      </c>
      <c r="D39" s="28" t="s">
        <v>41469</v>
      </c>
      <c r="E39" s="28" t="s">
        <v>41470</v>
      </c>
      <c r="F39" s="27">
        <v>538.0</v>
      </c>
      <c r="G39" s="30">
        <v>1.0275388E7</v>
      </c>
    </row>
    <row r="40" ht="12.75" customHeight="1">
      <c r="A40" s="31">
        <v>127.0</v>
      </c>
      <c r="B40" s="32" t="s">
        <v>41471</v>
      </c>
      <c r="C40" s="33">
        <v>10.0</v>
      </c>
      <c r="D40" s="32" t="s">
        <v>41472</v>
      </c>
      <c r="E40" s="32" t="s">
        <v>41473</v>
      </c>
      <c r="F40" s="31">
        <v>544.0</v>
      </c>
      <c r="G40" s="34">
        <v>1.0275441E7</v>
      </c>
    </row>
    <row r="41" ht="12.75" customHeight="1">
      <c r="A41" s="27">
        <v>127.0</v>
      </c>
      <c r="B41" s="28" t="s">
        <v>41474</v>
      </c>
      <c r="C41" s="29">
        <v>10.0</v>
      </c>
      <c r="D41" s="28" t="s">
        <v>41475</v>
      </c>
      <c r="E41" s="28" t="s">
        <v>41476</v>
      </c>
      <c r="F41" s="27">
        <v>550.0</v>
      </c>
      <c r="G41" s="30">
        <v>1.0275504E7</v>
      </c>
    </row>
    <row r="42" ht="12.75" customHeight="1">
      <c r="A42" s="31">
        <v>127.0</v>
      </c>
      <c r="B42" s="32" t="s">
        <v>41477</v>
      </c>
      <c r="C42" s="33">
        <v>10.0</v>
      </c>
      <c r="D42" s="32" t="s">
        <v>41478</v>
      </c>
      <c r="E42" s="32" t="s">
        <v>41479</v>
      </c>
      <c r="F42" s="31">
        <v>562.0</v>
      </c>
      <c r="G42" s="34">
        <v>1.0275625E7</v>
      </c>
    </row>
    <row r="43" ht="12.75" customHeight="1">
      <c r="A43" s="27">
        <v>127.0</v>
      </c>
      <c r="B43" s="28" t="s">
        <v>41480</v>
      </c>
      <c r="C43" s="29">
        <v>10.0</v>
      </c>
      <c r="D43" s="28" t="s">
        <v>41481</v>
      </c>
      <c r="E43" s="28" t="s">
        <v>41482</v>
      </c>
      <c r="F43" s="27">
        <v>568.0</v>
      </c>
      <c r="G43" s="30">
        <v>1.0275683E7</v>
      </c>
    </row>
    <row r="44" ht="12.75" customHeight="1">
      <c r="A44" s="31">
        <v>127.0</v>
      </c>
      <c r="B44" s="32" t="s">
        <v>41483</v>
      </c>
      <c r="C44" s="33">
        <v>10.0</v>
      </c>
      <c r="D44" s="32" t="s">
        <v>41484</v>
      </c>
      <c r="E44" s="32" t="s">
        <v>41485</v>
      </c>
      <c r="F44" s="31">
        <v>574.0</v>
      </c>
      <c r="G44" s="34">
        <v>1.0275746E7</v>
      </c>
    </row>
    <row r="45" ht="12.75" customHeight="1">
      <c r="A45" s="27">
        <v>127.0</v>
      </c>
      <c r="B45" s="28" t="s">
        <v>41486</v>
      </c>
      <c r="C45" s="29">
        <v>10.0</v>
      </c>
      <c r="D45" s="28" t="s">
        <v>41487</v>
      </c>
      <c r="E45" s="28" t="s">
        <v>41488</v>
      </c>
      <c r="F45" s="27">
        <v>589.0</v>
      </c>
      <c r="G45" s="30">
        <v>1.0275896E7</v>
      </c>
    </row>
    <row r="46" ht="12.75" customHeight="1">
      <c r="A46" s="31">
        <v>127.0</v>
      </c>
      <c r="B46" s="32" t="s">
        <v>41489</v>
      </c>
      <c r="C46" s="33">
        <v>10.0</v>
      </c>
      <c r="D46" s="32" t="s">
        <v>41490</v>
      </c>
      <c r="E46" s="32" t="s">
        <v>41491</v>
      </c>
      <c r="F46" s="31">
        <v>592.0</v>
      </c>
      <c r="G46" s="34">
        <v>1.027592E7</v>
      </c>
    </row>
    <row r="47" ht="12.75" customHeight="1">
      <c r="A47" s="27">
        <v>127.0</v>
      </c>
      <c r="B47" s="28" t="s">
        <v>41492</v>
      </c>
      <c r="C47" s="29">
        <v>10.0</v>
      </c>
      <c r="D47" s="28" t="s">
        <v>41493</v>
      </c>
      <c r="E47" s="28" t="s">
        <v>41494</v>
      </c>
      <c r="F47" s="27">
        <v>601.0</v>
      </c>
      <c r="G47" s="30">
        <v>1.0276011E7</v>
      </c>
    </row>
    <row r="48" ht="12.75" customHeight="1">
      <c r="A48" s="31">
        <v>127.0</v>
      </c>
      <c r="B48" s="32" t="s">
        <v>41495</v>
      </c>
      <c r="C48" s="33">
        <v>10.0</v>
      </c>
      <c r="D48" s="32" t="s">
        <v>41496</v>
      </c>
      <c r="E48" s="32" t="s">
        <v>41497</v>
      </c>
      <c r="F48" s="31">
        <v>667.0</v>
      </c>
      <c r="G48" s="34">
        <v>1.0276679E7</v>
      </c>
    </row>
    <row r="49" ht="12.75" customHeight="1">
      <c r="A49" s="27">
        <v>127.0</v>
      </c>
      <c r="B49" s="28" t="s">
        <v>41498</v>
      </c>
      <c r="C49" s="29">
        <v>10.0</v>
      </c>
      <c r="D49" s="28" t="s">
        <v>41499</v>
      </c>
      <c r="E49" s="28" t="s">
        <v>41500</v>
      </c>
      <c r="F49" s="27">
        <v>694.0</v>
      </c>
      <c r="G49" s="30">
        <v>1.0276945E7</v>
      </c>
    </row>
    <row r="50" ht="12.75" customHeight="1">
      <c r="A50" s="31">
        <v>127.0</v>
      </c>
      <c r="B50" s="32" t="s">
        <v>41501</v>
      </c>
      <c r="C50" s="33">
        <v>10.0</v>
      </c>
      <c r="D50" s="32" t="s">
        <v>41502</v>
      </c>
      <c r="E50" s="32" t="s">
        <v>41503</v>
      </c>
      <c r="F50" s="31">
        <v>709.0</v>
      </c>
      <c r="G50" s="34">
        <v>1.0277094E7</v>
      </c>
    </row>
    <row r="51" ht="12.75" customHeight="1">
      <c r="A51" s="27">
        <v>728.0</v>
      </c>
      <c r="B51" s="28" t="s">
        <v>41504</v>
      </c>
      <c r="C51" s="29">
        <v>10.0</v>
      </c>
      <c r="D51" s="28" t="s">
        <v>41505</v>
      </c>
      <c r="E51" s="28" t="s">
        <v>41506</v>
      </c>
      <c r="F51" s="29">
        <v>7.0</v>
      </c>
      <c r="G51" s="30">
        <v>1.0280078E7</v>
      </c>
    </row>
    <row r="52" ht="12.75" customHeight="1">
      <c r="A52" s="31">
        <v>728.0</v>
      </c>
      <c r="B52" s="32" t="s">
        <v>41507</v>
      </c>
      <c r="C52" s="33">
        <v>10.0</v>
      </c>
      <c r="D52" s="32" t="s">
        <v>41508</v>
      </c>
      <c r="E52" s="32" t="s">
        <v>41509</v>
      </c>
      <c r="F52" s="33">
        <v>28.0</v>
      </c>
      <c r="G52" s="34">
        <v>1.0280281E7</v>
      </c>
    </row>
    <row r="53" ht="12.75" customHeight="1">
      <c r="A53" s="27">
        <v>728.0</v>
      </c>
      <c r="B53" s="28" t="s">
        <v>41510</v>
      </c>
      <c r="C53" s="29">
        <v>10.0</v>
      </c>
      <c r="D53" s="28" t="s">
        <v>41511</v>
      </c>
      <c r="E53" s="28" t="s">
        <v>41512</v>
      </c>
      <c r="F53" s="29">
        <v>34.0</v>
      </c>
      <c r="G53" s="30">
        <v>1.0280344E7</v>
      </c>
    </row>
    <row r="54" ht="12.75" customHeight="1">
      <c r="A54" s="31">
        <v>728.0</v>
      </c>
      <c r="B54" s="32" t="s">
        <v>41513</v>
      </c>
      <c r="C54" s="33">
        <v>10.0</v>
      </c>
      <c r="D54" s="32" t="s">
        <v>41514</v>
      </c>
      <c r="E54" s="32" t="s">
        <v>41515</v>
      </c>
      <c r="F54" s="33">
        <v>37.0</v>
      </c>
      <c r="G54" s="34">
        <v>1.0280373E7</v>
      </c>
    </row>
    <row r="55" ht="12.75" customHeight="1">
      <c r="A55" s="27">
        <v>728.0</v>
      </c>
      <c r="B55" s="28" t="s">
        <v>41516</v>
      </c>
      <c r="C55" s="29">
        <v>10.0</v>
      </c>
      <c r="D55" s="28" t="s">
        <v>41517</v>
      </c>
      <c r="E55" s="28" t="s">
        <v>41518</v>
      </c>
      <c r="F55" s="29">
        <v>91.0</v>
      </c>
      <c r="G55" s="30">
        <v>1.0280915E7</v>
      </c>
    </row>
    <row r="56" ht="12.75" customHeight="1">
      <c r="A56" s="31">
        <v>728.0</v>
      </c>
      <c r="B56" s="32" t="s">
        <v>41519</v>
      </c>
      <c r="C56" s="33">
        <v>10.0</v>
      </c>
      <c r="D56" s="32" t="s">
        <v>41520</v>
      </c>
      <c r="E56" s="32" t="s">
        <v>41521</v>
      </c>
      <c r="F56" s="31">
        <v>115.0</v>
      </c>
      <c r="G56" s="34">
        <v>1.0281156E7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728.0</v>
      </c>
      <c r="B1" s="28" t="s">
        <v>41522</v>
      </c>
      <c r="C1" s="29">
        <v>10.0</v>
      </c>
      <c r="D1" s="28" t="s">
        <v>41523</v>
      </c>
      <c r="E1" s="28" t="s">
        <v>41524</v>
      </c>
      <c r="F1" s="27">
        <v>136.0</v>
      </c>
      <c r="G1" s="30">
        <v>1.0281369E7</v>
      </c>
    </row>
    <row r="2" ht="12.75" customHeight="1">
      <c r="A2" s="31">
        <v>728.0</v>
      </c>
      <c r="B2" s="32" t="s">
        <v>41525</v>
      </c>
      <c r="C2" s="33">
        <v>10.0</v>
      </c>
      <c r="D2" s="32" t="s">
        <v>41526</v>
      </c>
      <c r="E2" s="32" t="s">
        <v>41527</v>
      </c>
      <c r="F2" s="31">
        <v>142.0</v>
      </c>
      <c r="G2" s="34">
        <v>1.0281422E7</v>
      </c>
    </row>
    <row r="3" ht="12.75" customHeight="1">
      <c r="A3" s="27">
        <v>728.0</v>
      </c>
      <c r="B3" s="28" t="s">
        <v>41528</v>
      </c>
      <c r="C3" s="29">
        <v>10.0</v>
      </c>
      <c r="D3" s="28" t="s">
        <v>41529</v>
      </c>
      <c r="E3" s="28" t="s">
        <v>41530</v>
      </c>
      <c r="F3" s="27">
        <v>157.0</v>
      </c>
      <c r="G3" s="30">
        <v>1.0281572E7</v>
      </c>
    </row>
    <row r="4" ht="12.75" customHeight="1">
      <c r="A4" s="31">
        <v>728.0</v>
      </c>
      <c r="B4" s="32" t="s">
        <v>41531</v>
      </c>
      <c r="C4" s="33">
        <v>10.0</v>
      </c>
      <c r="D4" s="32" t="s">
        <v>41532</v>
      </c>
      <c r="E4" s="32" t="s">
        <v>41533</v>
      </c>
      <c r="F4" s="31">
        <v>163.0</v>
      </c>
      <c r="G4" s="34">
        <v>1.0281635E7</v>
      </c>
    </row>
    <row r="5" ht="12.75" customHeight="1">
      <c r="A5" s="27">
        <v>728.0</v>
      </c>
      <c r="B5" s="28" t="s">
        <v>41534</v>
      </c>
      <c r="C5" s="29">
        <v>10.0</v>
      </c>
      <c r="D5" s="28" t="s">
        <v>41535</v>
      </c>
      <c r="E5" s="28" t="s">
        <v>41536</v>
      </c>
      <c r="F5" s="27">
        <v>181.0</v>
      </c>
      <c r="G5" s="30">
        <v>1.0281819E7</v>
      </c>
    </row>
    <row r="6" ht="12.75" customHeight="1">
      <c r="A6" s="31">
        <v>728.0</v>
      </c>
      <c r="B6" s="32" t="s">
        <v>41537</v>
      </c>
      <c r="C6" s="33">
        <v>10.0</v>
      </c>
      <c r="D6" s="32" t="s">
        <v>41538</v>
      </c>
      <c r="E6" s="32" t="s">
        <v>41539</v>
      </c>
      <c r="F6" s="31">
        <v>184.0</v>
      </c>
      <c r="G6" s="34">
        <v>1.0281848E7</v>
      </c>
    </row>
    <row r="7" ht="12.75" customHeight="1">
      <c r="A7" s="27">
        <v>728.0</v>
      </c>
      <c r="B7" s="28" t="s">
        <v>41540</v>
      </c>
      <c r="C7" s="29">
        <v>10.0</v>
      </c>
      <c r="D7" s="28" t="s">
        <v>41541</v>
      </c>
      <c r="E7" s="28" t="s">
        <v>41542</v>
      </c>
      <c r="F7" s="27">
        <v>187.0</v>
      </c>
      <c r="G7" s="30">
        <v>1.0281877E7</v>
      </c>
    </row>
    <row r="8" ht="12.75" customHeight="1">
      <c r="A8" s="31">
        <v>728.0</v>
      </c>
      <c r="B8" s="32" t="s">
        <v>41543</v>
      </c>
      <c r="C8" s="33">
        <v>10.0</v>
      </c>
      <c r="D8" s="32" t="s">
        <v>41544</v>
      </c>
      <c r="E8" s="32" t="s">
        <v>41545</v>
      </c>
      <c r="F8" s="31">
        <v>196.0</v>
      </c>
      <c r="G8" s="34">
        <v>1.0281969E7</v>
      </c>
    </row>
    <row r="9" ht="12.75" customHeight="1">
      <c r="A9" s="27">
        <v>728.0</v>
      </c>
      <c r="B9" s="28" t="s">
        <v>41546</v>
      </c>
      <c r="C9" s="29">
        <v>10.0</v>
      </c>
      <c r="D9" s="28" t="s">
        <v>41547</v>
      </c>
      <c r="E9" s="28" t="s">
        <v>41548</v>
      </c>
      <c r="F9" s="27">
        <v>217.0</v>
      </c>
      <c r="G9" s="30">
        <v>1.0282171E7</v>
      </c>
    </row>
    <row r="10" ht="12.75" customHeight="1">
      <c r="A10" s="31">
        <v>728.0</v>
      </c>
      <c r="B10" s="32" t="s">
        <v>41549</v>
      </c>
      <c r="C10" s="33">
        <v>10.0</v>
      </c>
      <c r="D10" s="32" t="s">
        <v>41550</v>
      </c>
      <c r="E10" s="32" t="s">
        <v>41551</v>
      </c>
      <c r="F10" s="31">
        <v>232.0</v>
      </c>
      <c r="G10" s="34">
        <v>1.0282326E7</v>
      </c>
    </row>
    <row r="11" ht="12.75" customHeight="1">
      <c r="A11" s="27">
        <v>728.0</v>
      </c>
      <c r="B11" s="28" t="s">
        <v>41552</v>
      </c>
      <c r="C11" s="29">
        <v>10.0</v>
      </c>
      <c r="D11" s="28" t="s">
        <v>41553</v>
      </c>
      <c r="E11" s="28" t="s">
        <v>41554</v>
      </c>
      <c r="F11" s="27">
        <v>241.0</v>
      </c>
      <c r="G11" s="30">
        <v>1.0282418E7</v>
      </c>
    </row>
    <row r="12" ht="12.75" customHeight="1">
      <c r="A12" s="31">
        <v>329.0</v>
      </c>
      <c r="B12" s="32" t="s">
        <v>41555</v>
      </c>
      <c r="C12" s="33">
        <v>10.0</v>
      </c>
      <c r="D12" s="32" t="s">
        <v>41556</v>
      </c>
      <c r="E12" s="32" t="s">
        <v>41557</v>
      </c>
      <c r="F12" s="33">
        <v>16.0</v>
      </c>
      <c r="G12" s="34">
        <v>1.0290163E7</v>
      </c>
    </row>
    <row r="13" ht="12.75" customHeight="1">
      <c r="A13" s="27">
        <v>329.0</v>
      </c>
      <c r="B13" s="28" t="s">
        <v>41558</v>
      </c>
      <c r="C13" s="29">
        <v>10.0</v>
      </c>
      <c r="D13" s="28" t="s">
        <v>41559</v>
      </c>
      <c r="E13" s="28" t="s">
        <v>41560</v>
      </c>
      <c r="F13" s="29">
        <v>28.0</v>
      </c>
      <c r="G13" s="30">
        <v>1.0290284E7</v>
      </c>
    </row>
    <row r="14" ht="12.75" customHeight="1">
      <c r="A14" s="31">
        <v>329.0</v>
      </c>
      <c r="B14" s="32" t="s">
        <v>41561</v>
      </c>
      <c r="C14" s="33">
        <v>10.0</v>
      </c>
      <c r="D14" s="32" t="s">
        <v>41562</v>
      </c>
      <c r="E14" s="32" t="s">
        <v>41563</v>
      </c>
      <c r="F14" s="33">
        <v>34.0</v>
      </c>
      <c r="G14" s="34">
        <v>1.0290347E7</v>
      </c>
    </row>
    <row r="15" ht="12.75" customHeight="1">
      <c r="A15" s="27">
        <v>329.0</v>
      </c>
      <c r="B15" s="28" t="s">
        <v>41564</v>
      </c>
      <c r="C15" s="29">
        <v>10.0</v>
      </c>
      <c r="D15" s="28" t="s">
        <v>41565</v>
      </c>
      <c r="E15" s="28" t="s">
        <v>41566</v>
      </c>
      <c r="F15" s="29">
        <v>37.0</v>
      </c>
      <c r="G15" s="30">
        <v>1.0290376E7</v>
      </c>
    </row>
    <row r="16" ht="12.75" customHeight="1">
      <c r="A16" s="31">
        <v>329.0</v>
      </c>
      <c r="B16" s="32" t="s">
        <v>41567</v>
      </c>
      <c r="C16" s="33">
        <v>10.0</v>
      </c>
      <c r="D16" s="32" t="s">
        <v>41568</v>
      </c>
      <c r="E16" s="32" t="s">
        <v>41569</v>
      </c>
      <c r="F16" s="33">
        <v>43.0</v>
      </c>
      <c r="G16" s="34">
        <v>1.0290439E7</v>
      </c>
    </row>
    <row r="17" ht="12.75" customHeight="1">
      <c r="A17" s="27">
        <v>329.0</v>
      </c>
      <c r="B17" s="28" t="s">
        <v>41570</v>
      </c>
      <c r="C17" s="29">
        <v>10.0</v>
      </c>
      <c r="D17" s="28" t="s">
        <v>41571</v>
      </c>
      <c r="E17" s="28" t="s">
        <v>41572</v>
      </c>
      <c r="F17" s="29">
        <v>52.0</v>
      </c>
      <c r="G17" s="30">
        <v>1.0290521E7</v>
      </c>
    </row>
    <row r="18" ht="12.75" customHeight="1">
      <c r="A18" s="31">
        <v>329.0</v>
      </c>
      <c r="B18" s="32" t="s">
        <v>41573</v>
      </c>
      <c r="C18" s="33">
        <v>10.0</v>
      </c>
      <c r="D18" s="32" t="s">
        <v>41574</v>
      </c>
      <c r="E18" s="32" t="s">
        <v>41575</v>
      </c>
      <c r="F18" s="33">
        <v>58.0</v>
      </c>
      <c r="G18" s="34">
        <v>1.0290589E7</v>
      </c>
    </row>
    <row r="19" ht="12.75" customHeight="1">
      <c r="A19" s="27">
        <v>329.0</v>
      </c>
      <c r="B19" s="28" t="s">
        <v>41576</v>
      </c>
      <c r="C19" s="29">
        <v>10.0</v>
      </c>
      <c r="D19" s="28" t="s">
        <v>41577</v>
      </c>
      <c r="E19" s="28" t="s">
        <v>41578</v>
      </c>
      <c r="F19" s="27">
        <v>112.0</v>
      </c>
      <c r="G19" s="30">
        <v>1.029112E7</v>
      </c>
    </row>
    <row r="20" ht="12.75" customHeight="1">
      <c r="A20" s="31">
        <v>329.0</v>
      </c>
      <c r="B20" s="32" t="s">
        <v>41579</v>
      </c>
      <c r="C20" s="33">
        <v>10.0</v>
      </c>
      <c r="D20" s="32" t="s">
        <v>41580</v>
      </c>
      <c r="E20" s="32" t="s">
        <v>41581</v>
      </c>
      <c r="F20" s="31">
        <v>118.0</v>
      </c>
      <c r="G20" s="34">
        <v>1.0291188E7</v>
      </c>
    </row>
    <row r="21" ht="12.75" customHeight="1">
      <c r="A21" s="27">
        <v>329.0</v>
      </c>
      <c r="B21" s="28" t="s">
        <v>41582</v>
      </c>
      <c r="C21" s="29">
        <v>10.0</v>
      </c>
      <c r="D21" s="28" t="s">
        <v>41583</v>
      </c>
      <c r="E21" s="28" t="s">
        <v>41584</v>
      </c>
      <c r="F21" s="27">
        <v>127.0</v>
      </c>
      <c r="G21" s="30">
        <v>1.029127E7</v>
      </c>
    </row>
    <row r="22" ht="12.75" customHeight="1">
      <c r="A22" s="31">
        <v>329.0</v>
      </c>
      <c r="B22" s="32" t="s">
        <v>41585</v>
      </c>
      <c r="C22" s="33">
        <v>10.0</v>
      </c>
      <c r="D22" s="32" t="s">
        <v>41586</v>
      </c>
      <c r="E22" s="32" t="s">
        <v>41587</v>
      </c>
      <c r="F22" s="31">
        <v>133.0</v>
      </c>
      <c r="G22" s="34">
        <v>1.0291333E7</v>
      </c>
    </row>
    <row r="23" ht="12.75" customHeight="1">
      <c r="A23" s="27">
        <v>329.0</v>
      </c>
      <c r="B23" s="28" t="s">
        <v>41588</v>
      </c>
      <c r="C23" s="29">
        <v>10.0</v>
      </c>
      <c r="D23" s="28" t="s">
        <v>41589</v>
      </c>
      <c r="E23" s="28" t="s">
        <v>41590</v>
      </c>
      <c r="F23" s="27">
        <v>151.0</v>
      </c>
      <c r="G23" s="30">
        <v>1.0291517E7</v>
      </c>
    </row>
    <row r="24" ht="12.75" customHeight="1">
      <c r="A24" s="31">
        <v>230.0</v>
      </c>
      <c r="B24" s="32" t="s">
        <v>41591</v>
      </c>
      <c r="C24" s="33">
        <v>10.0</v>
      </c>
      <c r="D24" s="32" t="s">
        <v>41592</v>
      </c>
      <c r="E24" s="32" t="s">
        <v>41593</v>
      </c>
      <c r="F24" s="33">
        <v>6.0</v>
      </c>
      <c r="G24" s="34">
        <v>1.0300066E7</v>
      </c>
    </row>
    <row r="25" ht="12.75" customHeight="1">
      <c r="A25" s="27">
        <v>230.0</v>
      </c>
      <c r="B25" s="28" t="s">
        <v>41594</v>
      </c>
      <c r="C25" s="29">
        <v>10.0</v>
      </c>
      <c r="D25" s="28" t="s">
        <v>41595</v>
      </c>
      <c r="E25" s="28" t="s">
        <v>41596</v>
      </c>
      <c r="F25" s="29">
        <v>13.0</v>
      </c>
      <c r="G25" s="30">
        <v>1.0300132E7</v>
      </c>
    </row>
    <row r="26" ht="12.75" customHeight="1">
      <c r="A26" s="31">
        <v>230.0</v>
      </c>
      <c r="B26" s="32" t="s">
        <v>41597</v>
      </c>
      <c r="C26" s="33">
        <v>10.0</v>
      </c>
      <c r="D26" s="32" t="s">
        <v>41598</v>
      </c>
      <c r="E26" s="32" t="s">
        <v>41599</v>
      </c>
      <c r="F26" s="33">
        <v>31.0</v>
      </c>
      <c r="G26" s="34">
        <v>1.0300316E7</v>
      </c>
    </row>
    <row r="27" ht="12.75" customHeight="1">
      <c r="A27" s="27">
        <v>230.0</v>
      </c>
      <c r="B27" s="28" t="s">
        <v>41600</v>
      </c>
      <c r="C27" s="29">
        <v>10.0</v>
      </c>
      <c r="D27" s="28" t="s">
        <v>41601</v>
      </c>
      <c r="E27" s="28" t="s">
        <v>41602</v>
      </c>
      <c r="F27" s="29">
        <v>52.0</v>
      </c>
      <c r="G27" s="30">
        <v>1.0300529E7</v>
      </c>
    </row>
    <row r="28" ht="12.75" customHeight="1">
      <c r="A28" s="31">
        <v>230.0</v>
      </c>
      <c r="B28" s="32" t="s">
        <v>41603</v>
      </c>
      <c r="C28" s="33">
        <v>10.0</v>
      </c>
      <c r="D28" s="32" t="s">
        <v>41604</v>
      </c>
      <c r="E28" s="32" t="s">
        <v>41605</v>
      </c>
      <c r="F28" s="33">
        <v>79.0</v>
      </c>
      <c r="G28" s="34">
        <v>1.030079E7</v>
      </c>
    </row>
    <row r="29" ht="12.75" customHeight="1">
      <c r="A29" s="27">
        <v>230.0</v>
      </c>
      <c r="B29" s="28" t="s">
        <v>41606</v>
      </c>
      <c r="C29" s="29">
        <v>10.0</v>
      </c>
      <c r="D29" s="28" t="s">
        <v>41607</v>
      </c>
      <c r="E29" s="28" t="s">
        <v>41608</v>
      </c>
      <c r="F29" s="27">
        <v>127.0</v>
      </c>
      <c r="G29" s="30">
        <v>1.0301278E7</v>
      </c>
    </row>
    <row r="30" ht="12.75" customHeight="1">
      <c r="A30" s="31">
        <v>230.0</v>
      </c>
      <c r="B30" s="32" t="s">
        <v>41609</v>
      </c>
      <c r="C30" s="33">
        <v>10.0</v>
      </c>
      <c r="D30" s="32" t="s">
        <v>41610</v>
      </c>
      <c r="E30" s="32" t="s">
        <v>41611</v>
      </c>
      <c r="F30" s="31">
        <v>148.0</v>
      </c>
      <c r="G30" s="34">
        <v>1.0301481E7</v>
      </c>
    </row>
    <row r="31" ht="12.75" customHeight="1">
      <c r="A31" s="27">
        <v>230.0</v>
      </c>
      <c r="B31" s="28" t="s">
        <v>41612</v>
      </c>
      <c r="C31" s="29">
        <v>10.0</v>
      </c>
      <c r="D31" s="28" t="s">
        <v>41613</v>
      </c>
      <c r="E31" s="28" t="s">
        <v>41614</v>
      </c>
      <c r="F31" s="27">
        <v>151.0</v>
      </c>
      <c r="G31" s="30">
        <v>1.0301515E7</v>
      </c>
    </row>
    <row r="32" ht="12.75" customHeight="1">
      <c r="A32" s="31">
        <v>632.0</v>
      </c>
      <c r="B32" s="32" t="s">
        <v>41615</v>
      </c>
      <c r="C32" s="33">
        <v>10.0</v>
      </c>
      <c r="D32" s="32" t="s">
        <v>41616</v>
      </c>
      <c r="E32" s="32" t="s">
        <v>41617</v>
      </c>
      <c r="F32" s="33">
        <v>22.0</v>
      </c>
      <c r="G32" s="34">
        <v>1.032022E7</v>
      </c>
    </row>
    <row r="33" ht="12.75" customHeight="1">
      <c r="A33" s="27">
        <v>632.0</v>
      </c>
      <c r="B33" s="28" t="s">
        <v>41618</v>
      </c>
      <c r="C33" s="29">
        <v>10.0</v>
      </c>
      <c r="D33" s="28" t="s">
        <v>41619</v>
      </c>
      <c r="E33" s="28" t="s">
        <v>41620</v>
      </c>
      <c r="F33" s="29">
        <v>37.0</v>
      </c>
      <c r="G33" s="30">
        <v>1.032037E7</v>
      </c>
    </row>
    <row r="34" ht="12.75" customHeight="1">
      <c r="A34" s="31">
        <v>632.0</v>
      </c>
      <c r="B34" s="32" t="s">
        <v>41621</v>
      </c>
      <c r="C34" s="33">
        <v>10.0</v>
      </c>
      <c r="D34" s="32" t="s">
        <v>41622</v>
      </c>
      <c r="E34" s="32" t="s">
        <v>41623</v>
      </c>
      <c r="F34" s="33">
        <v>49.0</v>
      </c>
      <c r="G34" s="34">
        <v>1.0320491E7</v>
      </c>
    </row>
    <row r="35" ht="12.75" customHeight="1">
      <c r="A35" s="27">
        <v>632.0</v>
      </c>
      <c r="B35" s="28" t="s">
        <v>41624</v>
      </c>
      <c r="C35" s="29">
        <v>10.0</v>
      </c>
      <c r="D35" s="28" t="s">
        <v>41625</v>
      </c>
      <c r="E35" s="28" t="s">
        <v>41626</v>
      </c>
      <c r="F35" s="29">
        <v>52.0</v>
      </c>
      <c r="G35" s="30">
        <v>1.0320525E7</v>
      </c>
    </row>
    <row r="36" ht="12.75" customHeight="1">
      <c r="A36" s="31">
        <v>632.0</v>
      </c>
      <c r="B36" s="32" t="s">
        <v>41627</v>
      </c>
      <c r="C36" s="33">
        <v>10.0</v>
      </c>
      <c r="D36" s="32" t="s">
        <v>41628</v>
      </c>
      <c r="E36" s="32" t="s">
        <v>41629</v>
      </c>
      <c r="F36" s="33">
        <v>70.0</v>
      </c>
      <c r="G36" s="34">
        <v>1.0320709E7</v>
      </c>
    </row>
    <row r="37" ht="12.75" customHeight="1">
      <c r="A37" s="27">
        <v>632.0</v>
      </c>
      <c r="B37" s="28" t="s">
        <v>41630</v>
      </c>
      <c r="C37" s="29">
        <v>10.0</v>
      </c>
      <c r="D37" s="28" t="s">
        <v>41631</v>
      </c>
      <c r="E37" s="28" t="s">
        <v>41632</v>
      </c>
      <c r="F37" s="27">
        <v>103.0</v>
      </c>
      <c r="G37" s="30">
        <v>1.0321032E7</v>
      </c>
    </row>
    <row r="38" ht="12.75" customHeight="1">
      <c r="A38" s="31">
        <v>632.0</v>
      </c>
      <c r="B38" s="32" t="s">
        <v>41633</v>
      </c>
      <c r="C38" s="33">
        <v>10.0</v>
      </c>
      <c r="D38" s="32" t="s">
        <v>41634</v>
      </c>
      <c r="E38" s="32" t="s">
        <v>41635</v>
      </c>
      <c r="F38" s="31">
        <v>112.0</v>
      </c>
      <c r="G38" s="34">
        <v>1.0321124E7</v>
      </c>
    </row>
    <row r="39" ht="12.75" customHeight="1">
      <c r="A39" s="27">
        <v>632.0</v>
      </c>
      <c r="B39" s="28" t="s">
        <v>41636</v>
      </c>
      <c r="C39" s="29">
        <v>10.0</v>
      </c>
      <c r="D39" s="28" t="s">
        <v>41637</v>
      </c>
      <c r="E39" s="28" t="s">
        <v>41638</v>
      </c>
      <c r="F39" s="27">
        <v>121.0</v>
      </c>
      <c r="G39" s="30">
        <v>1.0321216E7</v>
      </c>
    </row>
    <row r="40" ht="12.75" customHeight="1">
      <c r="A40" s="31">
        <v>632.0</v>
      </c>
      <c r="B40" s="32" t="s">
        <v>41639</v>
      </c>
      <c r="C40" s="33">
        <v>10.0</v>
      </c>
      <c r="D40" s="32" t="s">
        <v>41640</v>
      </c>
      <c r="E40" s="32" t="s">
        <v>41641</v>
      </c>
      <c r="F40" s="31">
        <v>124.0</v>
      </c>
      <c r="G40" s="34">
        <v>1.0321245E7</v>
      </c>
    </row>
    <row r="41" ht="12.75" customHeight="1">
      <c r="A41" s="27">
        <v>632.0</v>
      </c>
      <c r="B41" s="28" t="s">
        <v>41642</v>
      </c>
      <c r="C41" s="29">
        <v>10.0</v>
      </c>
      <c r="D41" s="28" t="s">
        <v>41643</v>
      </c>
      <c r="E41" s="28" t="s">
        <v>41644</v>
      </c>
      <c r="F41" s="27">
        <v>127.0</v>
      </c>
      <c r="G41" s="30">
        <v>1.0321274E7</v>
      </c>
    </row>
    <row r="42" ht="12.75" customHeight="1">
      <c r="A42" s="31">
        <v>632.0</v>
      </c>
      <c r="B42" s="32" t="s">
        <v>41645</v>
      </c>
      <c r="C42" s="33">
        <v>10.0</v>
      </c>
      <c r="D42" s="32" t="s">
        <v>41646</v>
      </c>
      <c r="E42" s="32" t="s">
        <v>41647</v>
      </c>
      <c r="F42" s="31">
        <v>130.0</v>
      </c>
      <c r="G42" s="34">
        <v>1.0321308E7</v>
      </c>
    </row>
    <row r="43" ht="12.75" customHeight="1">
      <c r="A43" s="27">
        <v>133.0</v>
      </c>
      <c r="B43" s="28" t="s">
        <v>41648</v>
      </c>
      <c r="C43" s="29">
        <v>10.0</v>
      </c>
      <c r="D43" s="28" t="s">
        <v>41649</v>
      </c>
      <c r="E43" s="28" t="s">
        <v>41650</v>
      </c>
      <c r="F43" s="29">
        <v>20.0</v>
      </c>
      <c r="G43" s="30">
        <v>1.0330207E7</v>
      </c>
    </row>
    <row r="44" ht="12.75" customHeight="1">
      <c r="A44" s="31">
        <v>133.0</v>
      </c>
      <c r="B44" s="32" t="s">
        <v>41651</v>
      </c>
      <c r="C44" s="33">
        <v>10.0</v>
      </c>
      <c r="D44" s="32" t="s">
        <v>41652</v>
      </c>
      <c r="E44" s="32" t="s">
        <v>41653</v>
      </c>
      <c r="F44" s="33">
        <v>22.0</v>
      </c>
      <c r="G44" s="34">
        <v>1.0330223E7</v>
      </c>
    </row>
    <row r="45" ht="12.75" customHeight="1">
      <c r="A45" s="27">
        <v>133.0</v>
      </c>
      <c r="B45" s="28" t="s">
        <v>41654</v>
      </c>
      <c r="C45" s="29">
        <v>10.0</v>
      </c>
      <c r="D45" s="28" t="s">
        <v>41655</v>
      </c>
      <c r="E45" s="28" t="s">
        <v>41656</v>
      </c>
      <c r="F45" s="29">
        <v>28.0</v>
      </c>
      <c r="G45" s="30">
        <v>1.0330281E7</v>
      </c>
    </row>
    <row r="46" ht="12.75" customHeight="1">
      <c r="A46" s="31">
        <v>133.0</v>
      </c>
      <c r="B46" s="32" t="s">
        <v>41657</v>
      </c>
      <c r="C46" s="33">
        <v>10.0</v>
      </c>
      <c r="D46" s="32" t="s">
        <v>41658</v>
      </c>
      <c r="E46" s="32" t="s">
        <v>41659</v>
      </c>
      <c r="F46" s="33">
        <v>43.0</v>
      </c>
      <c r="G46" s="34">
        <v>1.0330436E7</v>
      </c>
    </row>
    <row r="47" ht="12.75" customHeight="1">
      <c r="A47" s="27">
        <v>133.0</v>
      </c>
      <c r="B47" s="28" t="s">
        <v>41660</v>
      </c>
      <c r="C47" s="29">
        <v>10.0</v>
      </c>
      <c r="D47" s="28" t="s">
        <v>41661</v>
      </c>
      <c r="E47" s="28" t="s">
        <v>41662</v>
      </c>
      <c r="F47" s="29">
        <v>44.0</v>
      </c>
      <c r="G47" s="30">
        <v>1.0330449E7</v>
      </c>
    </row>
    <row r="48" ht="12.75" customHeight="1">
      <c r="A48" s="31">
        <v>133.0</v>
      </c>
      <c r="B48" s="32" t="s">
        <v>41663</v>
      </c>
      <c r="C48" s="33">
        <v>10.0</v>
      </c>
      <c r="D48" s="32" t="s">
        <v>41664</v>
      </c>
      <c r="E48" s="32" t="s">
        <v>41665</v>
      </c>
      <c r="F48" s="33">
        <v>49.0</v>
      </c>
      <c r="G48" s="34">
        <v>1.0330494E7</v>
      </c>
    </row>
    <row r="49" ht="12.75" customHeight="1">
      <c r="A49" s="27">
        <v>133.0</v>
      </c>
      <c r="B49" s="28" t="s">
        <v>41666</v>
      </c>
      <c r="C49" s="29">
        <v>10.0</v>
      </c>
      <c r="D49" s="28" t="s">
        <v>41667</v>
      </c>
      <c r="E49" s="28" t="s">
        <v>41668</v>
      </c>
      <c r="F49" s="29">
        <v>52.0</v>
      </c>
      <c r="G49" s="30">
        <v>1.0330528E7</v>
      </c>
    </row>
    <row r="50" ht="12.75" customHeight="1">
      <c r="A50" s="31">
        <v>133.0</v>
      </c>
      <c r="B50" s="32" t="s">
        <v>41669</v>
      </c>
      <c r="C50" s="33">
        <v>10.0</v>
      </c>
      <c r="D50" s="32" t="s">
        <v>41670</v>
      </c>
      <c r="E50" s="32" t="s">
        <v>41671</v>
      </c>
      <c r="F50" s="33">
        <v>64.0</v>
      </c>
      <c r="G50" s="34">
        <v>1.0330649E7</v>
      </c>
    </row>
    <row r="51" ht="12.75" customHeight="1">
      <c r="A51" s="27">
        <v>133.0</v>
      </c>
      <c r="B51" s="28" t="s">
        <v>41672</v>
      </c>
      <c r="C51" s="29">
        <v>10.0</v>
      </c>
      <c r="D51" s="28" t="s">
        <v>41673</v>
      </c>
      <c r="E51" s="28" t="s">
        <v>41674</v>
      </c>
      <c r="F51" s="29">
        <v>79.0</v>
      </c>
      <c r="G51" s="30">
        <v>1.0330799E7</v>
      </c>
    </row>
    <row r="52" ht="12.75" customHeight="1">
      <c r="A52" s="31">
        <v>133.0</v>
      </c>
      <c r="B52" s="32" t="s">
        <v>41675</v>
      </c>
      <c r="C52" s="33">
        <v>10.0</v>
      </c>
      <c r="D52" s="32" t="s">
        <v>41676</v>
      </c>
      <c r="E52" s="32" t="s">
        <v>41677</v>
      </c>
      <c r="F52" s="33">
        <v>85.0</v>
      </c>
      <c r="G52" s="34">
        <v>1.0330852E7</v>
      </c>
    </row>
    <row r="53" ht="12.75" customHeight="1">
      <c r="A53" s="27">
        <v>133.0</v>
      </c>
      <c r="B53" s="28" t="s">
        <v>41678</v>
      </c>
      <c r="C53" s="29">
        <v>10.0</v>
      </c>
      <c r="D53" s="28" t="s">
        <v>41679</v>
      </c>
      <c r="E53" s="28" t="s">
        <v>41680</v>
      </c>
      <c r="F53" s="29">
        <v>88.0</v>
      </c>
      <c r="G53" s="30">
        <v>1.0330881E7</v>
      </c>
    </row>
    <row r="54" ht="12.75" customHeight="1">
      <c r="A54" s="31">
        <v>133.0</v>
      </c>
      <c r="B54" s="32" t="s">
        <v>41681</v>
      </c>
      <c r="C54" s="33">
        <v>10.0</v>
      </c>
      <c r="D54" s="32" t="s">
        <v>41682</v>
      </c>
      <c r="E54" s="32" t="s">
        <v>41683</v>
      </c>
      <c r="F54" s="33">
        <v>91.0</v>
      </c>
      <c r="G54" s="34">
        <v>1.0330915E7</v>
      </c>
    </row>
    <row r="55" ht="12.75" customHeight="1">
      <c r="A55" s="27">
        <v>133.0</v>
      </c>
      <c r="B55" s="28" t="s">
        <v>41684</v>
      </c>
      <c r="C55" s="29">
        <v>10.0</v>
      </c>
      <c r="D55" s="28" t="s">
        <v>41685</v>
      </c>
      <c r="E55" s="28" t="s">
        <v>41686</v>
      </c>
      <c r="F55" s="27">
        <v>112.0</v>
      </c>
      <c r="G55" s="30">
        <v>1.0331127E7</v>
      </c>
    </row>
    <row r="56" ht="12.75" customHeight="1">
      <c r="A56" s="31">
        <v>133.0</v>
      </c>
      <c r="B56" s="32" t="s">
        <v>41687</v>
      </c>
      <c r="C56" s="33">
        <v>10.0</v>
      </c>
      <c r="D56" s="32" t="s">
        <v>41688</v>
      </c>
      <c r="E56" s="32" t="s">
        <v>41689</v>
      </c>
      <c r="F56" s="31">
        <v>115.0</v>
      </c>
      <c r="G56" s="34">
        <v>1.0331156E7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133.0</v>
      </c>
      <c r="B1" s="28" t="s">
        <v>41690</v>
      </c>
      <c r="C1" s="29">
        <v>10.0</v>
      </c>
      <c r="D1" s="28" t="s">
        <v>41691</v>
      </c>
      <c r="E1" s="28" t="s">
        <v>41692</v>
      </c>
      <c r="F1" s="27">
        <v>130.0</v>
      </c>
      <c r="G1" s="30">
        <v>1.0331301E7</v>
      </c>
    </row>
    <row r="2" ht="12.75" customHeight="1">
      <c r="A2" s="31">
        <v>133.0</v>
      </c>
      <c r="B2" s="32" t="s">
        <v>41693</v>
      </c>
      <c r="C2" s="33">
        <v>10.0</v>
      </c>
      <c r="D2" s="32" t="s">
        <v>41694</v>
      </c>
      <c r="E2" s="32" t="s">
        <v>41695</v>
      </c>
      <c r="F2" s="31">
        <v>148.0</v>
      </c>
      <c r="G2" s="34">
        <v>1.033148E7</v>
      </c>
    </row>
    <row r="3" ht="12.75" customHeight="1">
      <c r="A3" s="27">
        <v>133.0</v>
      </c>
      <c r="B3" s="28" t="s">
        <v>41696</v>
      </c>
      <c r="C3" s="29">
        <v>10.0</v>
      </c>
      <c r="D3" s="28" t="s">
        <v>41697</v>
      </c>
      <c r="E3" s="28" t="s">
        <v>41698</v>
      </c>
      <c r="F3" s="27">
        <v>157.0</v>
      </c>
      <c r="G3" s="30">
        <v>1.0331572E7</v>
      </c>
    </row>
    <row r="4" ht="12.75" customHeight="1">
      <c r="A4" s="31">
        <v>133.0</v>
      </c>
      <c r="B4" s="32" t="s">
        <v>41699</v>
      </c>
      <c r="C4" s="33">
        <v>10.0</v>
      </c>
      <c r="D4" s="32" t="s">
        <v>41700</v>
      </c>
      <c r="E4" s="32" t="s">
        <v>41701</v>
      </c>
      <c r="F4" s="31">
        <v>163.0</v>
      </c>
      <c r="G4" s="34">
        <v>1.0331635E7</v>
      </c>
    </row>
    <row r="5" ht="12.75" customHeight="1">
      <c r="A5" s="27">
        <v>435.0</v>
      </c>
      <c r="B5" s="28" t="s">
        <v>41702</v>
      </c>
      <c r="C5" s="29">
        <v>10.0</v>
      </c>
      <c r="D5" s="28" t="s">
        <v>41703</v>
      </c>
      <c r="E5" s="28" t="s">
        <v>41704</v>
      </c>
      <c r="F5" s="29">
        <v>5.0</v>
      </c>
      <c r="G5" s="30">
        <v>1.0350058E7</v>
      </c>
    </row>
    <row r="6" ht="12.75" customHeight="1">
      <c r="A6" s="31">
        <v>435.0</v>
      </c>
      <c r="B6" s="32" t="s">
        <v>41705</v>
      </c>
      <c r="C6" s="33">
        <v>10.0</v>
      </c>
      <c r="D6" s="32" t="s">
        <v>41706</v>
      </c>
      <c r="E6" s="32" t="s">
        <v>41707</v>
      </c>
      <c r="F6" s="33">
        <v>6.0</v>
      </c>
      <c r="G6" s="34">
        <v>1.0350061E7</v>
      </c>
    </row>
    <row r="7" ht="12.75" customHeight="1">
      <c r="A7" s="27">
        <v>435.0</v>
      </c>
      <c r="B7" s="28" t="s">
        <v>41708</v>
      </c>
      <c r="C7" s="29">
        <v>10.0</v>
      </c>
      <c r="D7" s="28" t="s">
        <v>41709</v>
      </c>
      <c r="E7" s="28" t="s">
        <v>41710</v>
      </c>
      <c r="F7" s="29">
        <v>7.0</v>
      </c>
      <c r="G7" s="30">
        <v>1.0350074E7</v>
      </c>
    </row>
    <row r="8" ht="12.75" customHeight="1">
      <c r="A8" s="31">
        <v>435.0</v>
      </c>
      <c r="B8" s="32" t="s">
        <v>41711</v>
      </c>
      <c r="C8" s="33">
        <v>10.0</v>
      </c>
      <c r="D8" s="32" t="s">
        <v>41712</v>
      </c>
      <c r="E8" s="32" t="s">
        <v>41713</v>
      </c>
      <c r="F8" s="33">
        <v>8.0</v>
      </c>
      <c r="G8" s="34">
        <v>1.0350087E7</v>
      </c>
    </row>
    <row r="9" ht="12.75" customHeight="1">
      <c r="A9" s="27">
        <v>435.0</v>
      </c>
      <c r="B9" s="28" t="s">
        <v>41714</v>
      </c>
      <c r="C9" s="29">
        <v>10.0</v>
      </c>
      <c r="D9" s="28" t="s">
        <v>41715</v>
      </c>
      <c r="E9" s="28" t="s">
        <v>41716</v>
      </c>
      <c r="F9" s="29">
        <v>37.0</v>
      </c>
      <c r="G9" s="30">
        <v>1.0350379E7</v>
      </c>
    </row>
    <row r="10" ht="12.75" customHeight="1">
      <c r="A10" s="31">
        <v>435.0</v>
      </c>
      <c r="B10" s="32" t="s">
        <v>41717</v>
      </c>
      <c r="C10" s="33">
        <v>10.0</v>
      </c>
      <c r="D10" s="32" t="s">
        <v>41718</v>
      </c>
      <c r="E10" s="32" t="s">
        <v>41719</v>
      </c>
      <c r="F10" s="33">
        <v>46.0</v>
      </c>
      <c r="G10" s="34">
        <v>1.0350461E7</v>
      </c>
    </row>
    <row r="11" ht="12.75" customHeight="1">
      <c r="A11" s="27">
        <v>435.0</v>
      </c>
      <c r="B11" s="28" t="s">
        <v>41720</v>
      </c>
      <c r="C11" s="29">
        <v>10.0</v>
      </c>
      <c r="D11" s="28" t="s">
        <v>41721</v>
      </c>
      <c r="E11" s="28" t="s">
        <v>41722</v>
      </c>
      <c r="F11" s="29">
        <v>49.0</v>
      </c>
      <c r="G11" s="30">
        <v>1.035049E7</v>
      </c>
    </row>
    <row r="12" ht="12.75" customHeight="1">
      <c r="A12" s="31">
        <v>435.0</v>
      </c>
      <c r="B12" s="32" t="s">
        <v>41723</v>
      </c>
      <c r="C12" s="33">
        <v>10.0</v>
      </c>
      <c r="D12" s="32" t="s">
        <v>41724</v>
      </c>
      <c r="E12" s="32" t="s">
        <v>41725</v>
      </c>
      <c r="F12" s="33">
        <v>58.0</v>
      </c>
      <c r="G12" s="34">
        <v>1.0350582E7</v>
      </c>
    </row>
    <row r="13" ht="12.75" customHeight="1">
      <c r="A13" s="27">
        <v>435.0</v>
      </c>
      <c r="B13" s="28" t="s">
        <v>41726</v>
      </c>
      <c r="C13" s="29">
        <v>10.0</v>
      </c>
      <c r="D13" s="28" t="s">
        <v>41727</v>
      </c>
      <c r="E13" s="28" t="s">
        <v>41728</v>
      </c>
      <c r="F13" s="29">
        <v>67.0</v>
      </c>
      <c r="G13" s="30">
        <v>1.0350674E7</v>
      </c>
    </row>
    <row r="14" ht="12.75" customHeight="1">
      <c r="A14" s="31">
        <v>435.0</v>
      </c>
      <c r="B14" s="32" t="s">
        <v>41729</v>
      </c>
      <c r="C14" s="33">
        <v>10.0</v>
      </c>
      <c r="D14" s="32" t="s">
        <v>41730</v>
      </c>
      <c r="E14" s="32" t="s">
        <v>41731</v>
      </c>
      <c r="F14" s="33">
        <v>73.0</v>
      </c>
      <c r="G14" s="34">
        <v>1.0350737E7</v>
      </c>
    </row>
    <row r="15" ht="12.75" customHeight="1">
      <c r="A15" s="27">
        <v>435.0</v>
      </c>
      <c r="B15" s="28" t="s">
        <v>41732</v>
      </c>
      <c r="C15" s="29">
        <v>10.0</v>
      </c>
      <c r="D15" s="28" t="s">
        <v>41733</v>
      </c>
      <c r="E15" s="28" t="s">
        <v>41734</v>
      </c>
      <c r="F15" s="29">
        <v>85.0</v>
      </c>
      <c r="G15" s="30">
        <v>1.0350858E7</v>
      </c>
    </row>
    <row r="16" ht="12.75" customHeight="1">
      <c r="A16" s="31">
        <v>435.0</v>
      </c>
      <c r="B16" s="32" t="s">
        <v>41735</v>
      </c>
      <c r="C16" s="33">
        <v>10.0</v>
      </c>
      <c r="D16" s="32" t="s">
        <v>41736</v>
      </c>
      <c r="E16" s="32" t="s">
        <v>41737</v>
      </c>
      <c r="F16" s="33">
        <v>97.0</v>
      </c>
      <c r="G16" s="34">
        <v>1.0350979E7</v>
      </c>
    </row>
    <row r="17" ht="12.75" customHeight="1">
      <c r="A17" s="27">
        <v>435.0</v>
      </c>
      <c r="B17" s="28" t="s">
        <v>41738</v>
      </c>
      <c r="C17" s="29">
        <v>10.0</v>
      </c>
      <c r="D17" s="28" t="s">
        <v>41739</v>
      </c>
      <c r="E17" s="28" t="s">
        <v>41740</v>
      </c>
      <c r="F17" s="27">
        <v>109.0</v>
      </c>
      <c r="G17" s="30">
        <v>1.0351099E7</v>
      </c>
    </row>
    <row r="18" ht="12.75" customHeight="1">
      <c r="A18" s="31">
        <v>836.0</v>
      </c>
      <c r="B18" s="32" t="s">
        <v>41741</v>
      </c>
      <c r="C18" s="33">
        <v>10.0</v>
      </c>
      <c r="D18" s="32" t="s">
        <v>41742</v>
      </c>
      <c r="E18" s="32" t="s">
        <v>41743</v>
      </c>
      <c r="F18" s="33">
        <v>52.0</v>
      </c>
      <c r="G18" s="34">
        <v>1.0360527E7</v>
      </c>
    </row>
    <row r="19" ht="12.75" customHeight="1">
      <c r="A19" s="27">
        <v>836.0</v>
      </c>
      <c r="B19" s="28" t="s">
        <v>41744</v>
      </c>
      <c r="C19" s="29">
        <v>10.0</v>
      </c>
      <c r="D19" s="28" t="s">
        <v>41745</v>
      </c>
      <c r="E19" s="28" t="s">
        <v>41746</v>
      </c>
      <c r="F19" s="29">
        <v>61.0</v>
      </c>
      <c r="G19" s="30">
        <v>1.0360619E7</v>
      </c>
    </row>
    <row r="20" ht="12.75" customHeight="1">
      <c r="A20" s="31">
        <v>836.0</v>
      </c>
      <c r="B20" s="32" t="s">
        <v>41747</v>
      </c>
      <c r="C20" s="33">
        <v>10.0</v>
      </c>
      <c r="D20" s="32" t="s">
        <v>41748</v>
      </c>
      <c r="E20" s="32" t="s">
        <v>41749</v>
      </c>
      <c r="F20" s="33">
        <v>70.0</v>
      </c>
      <c r="G20" s="34">
        <v>1.0360701E7</v>
      </c>
    </row>
    <row r="21" ht="12.75" customHeight="1">
      <c r="A21" s="27">
        <v>836.0</v>
      </c>
      <c r="B21" s="28" t="s">
        <v>41750</v>
      </c>
      <c r="C21" s="29">
        <v>10.0</v>
      </c>
      <c r="D21" s="28" t="s">
        <v>41751</v>
      </c>
      <c r="E21" s="28" t="s">
        <v>41752</v>
      </c>
      <c r="F21" s="27">
        <v>109.0</v>
      </c>
      <c r="G21" s="30">
        <v>1.0361092E7</v>
      </c>
    </row>
    <row r="22" ht="12.75" customHeight="1">
      <c r="A22" s="31">
        <v>836.0</v>
      </c>
      <c r="B22" s="32" t="s">
        <v>41753</v>
      </c>
      <c r="C22" s="33">
        <v>10.0</v>
      </c>
      <c r="D22" s="32" t="s">
        <v>41754</v>
      </c>
      <c r="E22" s="32" t="s">
        <v>41755</v>
      </c>
      <c r="F22" s="31">
        <v>133.0</v>
      </c>
      <c r="G22" s="34">
        <v>1.0361339E7</v>
      </c>
    </row>
    <row r="23" ht="12.75" customHeight="1">
      <c r="A23" s="27">
        <v>638.0</v>
      </c>
      <c r="B23" s="28" t="s">
        <v>41756</v>
      </c>
      <c r="C23" s="29">
        <v>10.0</v>
      </c>
      <c r="D23" s="28" t="s">
        <v>41757</v>
      </c>
      <c r="E23" s="28" t="s">
        <v>41758</v>
      </c>
      <c r="F23" s="29">
        <v>4.0</v>
      </c>
      <c r="G23" s="30">
        <v>1.0380044E7</v>
      </c>
    </row>
    <row r="24" ht="12.75" customHeight="1">
      <c r="A24" s="31">
        <v>638.0</v>
      </c>
      <c r="B24" s="32" t="s">
        <v>41759</v>
      </c>
      <c r="C24" s="33">
        <v>10.0</v>
      </c>
      <c r="D24" s="32" t="s">
        <v>41760</v>
      </c>
      <c r="E24" s="32" t="s">
        <v>41761</v>
      </c>
      <c r="F24" s="33">
        <v>5.0</v>
      </c>
      <c r="G24" s="34">
        <v>1.0380057E7</v>
      </c>
    </row>
    <row r="25" ht="12.75" customHeight="1">
      <c r="A25" s="27">
        <v>638.0</v>
      </c>
      <c r="B25" s="28" t="s">
        <v>41762</v>
      </c>
      <c r="C25" s="29">
        <v>10.0</v>
      </c>
      <c r="D25" s="28" t="s">
        <v>41763</v>
      </c>
      <c r="E25" s="28" t="s">
        <v>41764</v>
      </c>
      <c r="F25" s="29">
        <v>10.0</v>
      </c>
      <c r="G25" s="30">
        <v>1.0380107E7</v>
      </c>
    </row>
    <row r="26" ht="12.75" customHeight="1">
      <c r="A26" s="31">
        <v>638.0</v>
      </c>
      <c r="B26" s="32" t="s">
        <v>41765</v>
      </c>
      <c r="C26" s="33">
        <v>10.0</v>
      </c>
      <c r="D26" s="32" t="s">
        <v>41766</v>
      </c>
      <c r="E26" s="32" t="s">
        <v>41767</v>
      </c>
      <c r="F26" s="33">
        <v>22.0</v>
      </c>
      <c r="G26" s="34">
        <v>1.0380228E7</v>
      </c>
    </row>
    <row r="27" ht="12.75" customHeight="1">
      <c r="A27" s="27">
        <v>638.0</v>
      </c>
      <c r="B27" s="28" t="s">
        <v>41768</v>
      </c>
      <c r="C27" s="29">
        <v>10.0</v>
      </c>
      <c r="D27" s="28" t="s">
        <v>41769</v>
      </c>
      <c r="E27" s="28" t="s">
        <v>41770</v>
      </c>
      <c r="F27" s="29">
        <v>40.0</v>
      </c>
      <c r="G27" s="30">
        <v>1.0380402E7</v>
      </c>
    </row>
    <row r="28" ht="12.75" customHeight="1">
      <c r="A28" s="31">
        <v>638.0</v>
      </c>
      <c r="B28" s="32" t="s">
        <v>41771</v>
      </c>
      <c r="C28" s="33">
        <v>10.0</v>
      </c>
      <c r="D28" s="32" t="s">
        <v>41772</v>
      </c>
      <c r="E28" s="32" t="s">
        <v>41773</v>
      </c>
      <c r="F28" s="33">
        <v>46.0</v>
      </c>
      <c r="G28" s="34">
        <v>1.038046E7</v>
      </c>
    </row>
    <row r="29" ht="12.75" customHeight="1">
      <c r="A29" s="27">
        <v>638.0</v>
      </c>
      <c r="B29" s="28" t="s">
        <v>41774</v>
      </c>
      <c r="C29" s="29">
        <v>10.0</v>
      </c>
      <c r="D29" s="28" t="s">
        <v>41775</v>
      </c>
      <c r="E29" s="28" t="s">
        <v>41776</v>
      </c>
      <c r="F29" s="29">
        <v>52.0</v>
      </c>
      <c r="G29" s="30">
        <v>1.0380523E7</v>
      </c>
    </row>
    <row r="30" ht="12.75" customHeight="1">
      <c r="A30" s="31">
        <v>638.0</v>
      </c>
      <c r="B30" s="32" t="s">
        <v>41777</v>
      </c>
      <c r="C30" s="33">
        <v>10.0</v>
      </c>
      <c r="D30" s="32" t="s">
        <v>41778</v>
      </c>
      <c r="E30" s="32" t="s">
        <v>41779</v>
      </c>
      <c r="F30" s="33">
        <v>58.0</v>
      </c>
      <c r="G30" s="34">
        <v>1.0380581E7</v>
      </c>
    </row>
    <row r="31" ht="12.75" customHeight="1">
      <c r="A31" s="27">
        <v>638.0</v>
      </c>
      <c r="B31" s="28" t="s">
        <v>41780</v>
      </c>
      <c r="C31" s="29">
        <v>10.0</v>
      </c>
      <c r="D31" s="28" t="s">
        <v>41781</v>
      </c>
      <c r="E31" s="28" t="s">
        <v>41782</v>
      </c>
      <c r="F31" s="29">
        <v>67.0</v>
      </c>
      <c r="G31" s="30">
        <v>1.0380673E7</v>
      </c>
    </row>
    <row r="32" ht="12.75" customHeight="1">
      <c r="A32" s="31">
        <v>139.0</v>
      </c>
      <c r="B32" s="32" t="s">
        <v>41783</v>
      </c>
      <c r="C32" s="33">
        <v>10.0</v>
      </c>
      <c r="D32" s="32" t="s">
        <v>41784</v>
      </c>
      <c r="E32" s="32" t="s">
        <v>41785</v>
      </c>
      <c r="F32" s="33">
        <v>19.0</v>
      </c>
      <c r="G32" s="34">
        <v>1.0390197E7</v>
      </c>
    </row>
    <row r="33" ht="12.75" customHeight="1">
      <c r="A33" s="27">
        <v>139.0</v>
      </c>
      <c r="B33" s="28" t="s">
        <v>41786</v>
      </c>
      <c r="C33" s="29">
        <v>10.0</v>
      </c>
      <c r="D33" s="28" t="s">
        <v>41787</v>
      </c>
      <c r="E33" s="28" t="s">
        <v>41788</v>
      </c>
      <c r="F33" s="29">
        <v>40.0</v>
      </c>
      <c r="G33" s="30">
        <v>1.0390405E7</v>
      </c>
    </row>
    <row r="34" ht="12.75" customHeight="1">
      <c r="A34" s="31">
        <v>139.0</v>
      </c>
      <c r="B34" s="32" t="s">
        <v>41789</v>
      </c>
      <c r="C34" s="33">
        <v>10.0</v>
      </c>
      <c r="D34" s="32" t="s">
        <v>41790</v>
      </c>
      <c r="E34" s="32" t="s">
        <v>41791</v>
      </c>
      <c r="F34" s="33">
        <v>70.0</v>
      </c>
      <c r="G34" s="34">
        <v>1.03907E7</v>
      </c>
    </row>
    <row r="35" ht="12.75" customHeight="1">
      <c r="A35" s="27">
        <v>139.0</v>
      </c>
      <c r="B35" s="28" t="s">
        <v>41792</v>
      </c>
      <c r="C35" s="29">
        <v>10.0</v>
      </c>
      <c r="D35" s="28" t="s">
        <v>41793</v>
      </c>
      <c r="E35" s="28" t="s">
        <v>41794</v>
      </c>
      <c r="F35" s="29">
        <v>79.0</v>
      </c>
      <c r="G35" s="30">
        <v>1.0390797E7</v>
      </c>
    </row>
    <row r="36" ht="12.75" customHeight="1">
      <c r="A36" s="31">
        <v>139.0</v>
      </c>
      <c r="B36" s="32" t="s">
        <v>41795</v>
      </c>
      <c r="C36" s="33">
        <v>10.0</v>
      </c>
      <c r="D36" s="32" t="s">
        <v>41796</v>
      </c>
      <c r="E36" s="32" t="s">
        <v>41797</v>
      </c>
      <c r="F36" s="33">
        <v>82.0</v>
      </c>
      <c r="G36" s="34">
        <v>1.0390821E7</v>
      </c>
    </row>
    <row r="37" ht="12.75" customHeight="1">
      <c r="A37" s="27">
        <v>139.0</v>
      </c>
      <c r="B37" s="28" t="s">
        <v>41798</v>
      </c>
      <c r="C37" s="29">
        <v>10.0</v>
      </c>
      <c r="D37" s="28" t="s">
        <v>41799</v>
      </c>
      <c r="E37" s="28" t="s">
        <v>41800</v>
      </c>
      <c r="F37" s="29">
        <v>85.0</v>
      </c>
      <c r="G37" s="30">
        <v>1.039085E7</v>
      </c>
    </row>
    <row r="38" ht="12.75" customHeight="1">
      <c r="A38" s="31">
        <v>139.0</v>
      </c>
      <c r="B38" s="32" t="s">
        <v>41801</v>
      </c>
      <c r="C38" s="33">
        <v>10.0</v>
      </c>
      <c r="D38" s="32" t="s">
        <v>41802</v>
      </c>
      <c r="E38" s="32" t="s">
        <v>41803</v>
      </c>
      <c r="F38" s="33">
        <v>94.0</v>
      </c>
      <c r="G38" s="34">
        <v>1.0390942E7</v>
      </c>
    </row>
    <row r="39" ht="12.75" customHeight="1">
      <c r="A39" s="27">
        <v>139.0</v>
      </c>
      <c r="B39" s="28" t="s">
        <v>41804</v>
      </c>
      <c r="C39" s="29">
        <v>10.0</v>
      </c>
      <c r="D39" s="28" t="s">
        <v>41805</v>
      </c>
      <c r="E39" s="28" t="s">
        <v>41806</v>
      </c>
      <c r="F39" s="27">
        <v>100.0</v>
      </c>
      <c r="G39" s="30">
        <v>1.0391004E7</v>
      </c>
    </row>
    <row r="40" ht="12.75" customHeight="1">
      <c r="A40" s="31">
        <v>139.0</v>
      </c>
      <c r="B40" s="32" t="s">
        <v>41807</v>
      </c>
      <c r="C40" s="33">
        <v>10.0</v>
      </c>
      <c r="D40" s="32" t="s">
        <v>41808</v>
      </c>
      <c r="E40" s="32" t="s">
        <v>41809</v>
      </c>
      <c r="F40" s="31">
        <v>112.0</v>
      </c>
      <c r="G40" s="34">
        <v>1.0391125E7</v>
      </c>
    </row>
    <row r="41" ht="12.75" customHeight="1">
      <c r="A41" s="27">
        <v>139.0</v>
      </c>
      <c r="B41" s="28" t="s">
        <v>41810</v>
      </c>
      <c r="C41" s="29">
        <v>10.0</v>
      </c>
      <c r="D41" s="28" t="s">
        <v>41811</v>
      </c>
      <c r="E41" s="28" t="s">
        <v>41812</v>
      </c>
      <c r="F41" s="27">
        <v>139.0</v>
      </c>
      <c r="G41" s="30">
        <v>1.0391396E7</v>
      </c>
    </row>
    <row r="42" ht="12.75" customHeight="1">
      <c r="A42" s="31">
        <v>139.0</v>
      </c>
      <c r="B42" s="32" t="s">
        <v>41813</v>
      </c>
      <c r="C42" s="33">
        <v>10.0</v>
      </c>
      <c r="D42" s="32" t="s">
        <v>41814</v>
      </c>
      <c r="E42" s="32" t="s">
        <v>41815</v>
      </c>
      <c r="F42" s="31">
        <v>142.0</v>
      </c>
      <c r="G42" s="34">
        <v>1.039142E7</v>
      </c>
    </row>
    <row r="43" ht="12.75" customHeight="1">
      <c r="A43" s="27">
        <v>139.0</v>
      </c>
      <c r="B43" s="28" t="s">
        <v>41816</v>
      </c>
      <c r="C43" s="29">
        <v>10.0</v>
      </c>
      <c r="D43" s="28" t="s">
        <v>41817</v>
      </c>
      <c r="E43" s="28" t="s">
        <v>41818</v>
      </c>
      <c r="F43" s="27">
        <v>148.0</v>
      </c>
      <c r="G43" s="30">
        <v>1.0391488E7</v>
      </c>
    </row>
    <row r="44" ht="12.75" customHeight="1">
      <c r="A44" s="31">
        <v>139.0</v>
      </c>
      <c r="B44" s="32" t="s">
        <v>41819</v>
      </c>
      <c r="C44" s="33">
        <v>10.0</v>
      </c>
      <c r="D44" s="32" t="s">
        <v>41820</v>
      </c>
      <c r="E44" s="32" t="s">
        <v>41821</v>
      </c>
      <c r="F44" s="31">
        <v>154.0</v>
      </c>
      <c r="G44" s="34">
        <v>1.0391541E7</v>
      </c>
    </row>
    <row r="45" ht="12.75" customHeight="1">
      <c r="A45" s="27">
        <v>139.0</v>
      </c>
      <c r="B45" s="28" t="s">
        <v>41822</v>
      </c>
      <c r="C45" s="29">
        <v>10.0</v>
      </c>
      <c r="D45" s="28" t="s">
        <v>41823</v>
      </c>
      <c r="E45" s="28" t="s">
        <v>41824</v>
      </c>
      <c r="F45" s="27">
        <v>166.0</v>
      </c>
      <c r="G45" s="30">
        <v>1.0391662E7</v>
      </c>
    </row>
    <row r="46" ht="12.75" customHeight="1">
      <c r="A46" s="31">
        <v>441.0</v>
      </c>
      <c r="B46" s="32" t="s">
        <v>41825</v>
      </c>
      <c r="C46" s="33">
        <v>10.0</v>
      </c>
      <c r="D46" s="32" t="s">
        <v>41826</v>
      </c>
      <c r="E46" s="32" t="s">
        <v>41827</v>
      </c>
      <c r="F46" s="33">
        <v>13.0</v>
      </c>
      <c r="G46" s="34">
        <v>1.041013E7</v>
      </c>
    </row>
    <row r="47" ht="12.75" customHeight="1">
      <c r="A47" s="27">
        <v>441.0</v>
      </c>
      <c r="B47" s="28" t="s">
        <v>41828</v>
      </c>
      <c r="C47" s="29">
        <v>10.0</v>
      </c>
      <c r="D47" s="28" t="s">
        <v>41829</v>
      </c>
      <c r="E47" s="28" t="s">
        <v>41830</v>
      </c>
      <c r="F47" s="29">
        <v>25.0</v>
      </c>
      <c r="G47" s="30">
        <v>1.0410251E7</v>
      </c>
    </row>
    <row r="48" ht="12.75" customHeight="1">
      <c r="A48" s="31">
        <v>441.0</v>
      </c>
      <c r="B48" s="32" t="s">
        <v>41831</v>
      </c>
      <c r="C48" s="33">
        <v>10.0</v>
      </c>
      <c r="D48" s="32" t="s">
        <v>41832</v>
      </c>
      <c r="E48" s="32" t="s">
        <v>41833</v>
      </c>
      <c r="F48" s="33">
        <v>31.0</v>
      </c>
      <c r="G48" s="34">
        <v>1.0410314E7</v>
      </c>
    </row>
    <row r="49" ht="12.75" customHeight="1">
      <c r="A49" s="27">
        <v>441.0</v>
      </c>
      <c r="B49" s="28" t="s">
        <v>41834</v>
      </c>
      <c r="C49" s="29">
        <v>10.0</v>
      </c>
      <c r="D49" s="28" t="s">
        <v>41835</v>
      </c>
      <c r="E49" s="28" t="s">
        <v>41836</v>
      </c>
      <c r="F49" s="29">
        <v>34.0</v>
      </c>
      <c r="G49" s="30">
        <v>1.0410343E7</v>
      </c>
    </row>
    <row r="50" ht="12.75" customHeight="1">
      <c r="A50" s="31">
        <v>441.0</v>
      </c>
      <c r="B50" s="32" t="s">
        <v>41837</v>
      </c>
      <c r="C50" s="33">
        <v>10.0</v>
      </c>
      <c r="D50" s="32" t="s">
        <v>41838</v>
      </c>
      <c r="E50" s="32" t="s">
        <v>41839</v>
      </c>
      <c r="F50" s="33">
        <v>40.0</v>
      </c>
      <c r="G50" s="34">
        <v>1.0410406E7</v>
      </c>
    </row>
    <row r="51" ht="12.75" customHeight="1">
      <c r="A51" s="27">
        <v>441.0</v>
      </c>
      <c r="B51" s="28" t="s">
        <v>41840</v>
      </c>
      <c r="C51" s="29">
        <v>10.0</v>
      </c>
      <c r="D51" s="28" t="s">
        <v>41841</v>
      </c>
      <c r="E51" s="28" t="s">
        <v>41842</v>
      </c>
      <c r="F51" s="29">
        <v>61.0</v>
      </c>
      <c r="G51" s="30">
        <v>1.0410619E7</v>
      </c>
    </row>
    <row r="52" ht="12.75" customHeight="1">
      <c r="A52" s="31">
        <v>441.0</v>
      </c>
      <c r="B52" s="32" t="s">
        <v>41843</v>
      </c>
      <c r="C52" s="33">
        <v>10.0</v>
      </c>
      <c r="D52" s="32" t="s">
        <v>41844</v>
      </c>
      <c r="E52" s="32" t="s">
        <v>41845</v>
      </c>
      <c r="F52" s="33">
        <v>67.0</v>
      </c>
      <c r="G52" s="34">
        <v>1.0410677E7</v>
      </c>
    </row>
    <row r="53" ht="12.75" customHeight="1">
      <c r="A53" s="27">
        <v>441.0</v>
      </c>
      <c r="B53" s="28" t="s">
        <v>41846</v>
      </c>
      <c r="C53" s="29">
        <v>10.0</v>
      </c>
      <c r="D53" s="28" t="s">
        <v>41847</v>
      </c>
      <c r="E53" s="28" t="s">
        <v>41848</v>
      </c>
      <c r="F53" s="29">
        <v>73.0</v>
      </c>
      <c r="G53" s="30">
        <v>1.041073E7</v>
      </c>
    </row>
    <row r="54" ht="12.75" customHeight="1">
      <c r="A54" s="31">
        <v>441.0</v>
      </c>
      <c r="B54" s="32" t="s">
        <v>41849</v>
      </c>
      <c r="C54" s="33">
        <v>10.0</v>
      </c>
      <c r="D54" s="32" t="s">
        <v>41850</v>
      </c>
      <c r="E54" s="32" t="s">
        <v>41851</v>
      </c>
      <c r="F54" s="33">
        <v>85.0</v>
      </c>
      <c r="G54" s="34">
        <v>1.0410851E7</v>
      </c>
    </row>
    <row r="55" ht="12.75" customHeight="1">
      <c r="A55" s="27">
        <v>441.0</v>
      </c>
      <c r="B55" s="28" t="s">
        <v>41852</v>
      </c>
      <c r="C55" s="29">
        <v>10.0</v>
      </c>
      <c r="D55" s="28" t="s">
        <v>41853</v>
      </c>
      <c r="E55" s="28" t="s">
        <v>41854</v>
      </c>
      <c r="F55" s="29">
        <v>94.0</v>
      </c>
      <c r="G55" s="30">
        <v>1.0410943E7</v>
      </c>
    </row>
    <row r="56" ht="12.75" customHeight="1">
      <c r="A56" s="31">
        <v>441.0</v>
      </c>
      <c r="B56" s="32" t="s">
        <v>41855</v>
      </c>
      <c r="C56" s="33">
        <v>10.0</v>
      </c>
      <c r="D56" s="32" t="s">
        <v>41856</v>
      </c>
      <c r="E56" s="32" t="s">
        <v>41857</v>
      </c>
      <c r="F56" s="33">
        <v>97.0</v>
      </c>
      <c r="G56" s="34">
        <v>1.0410972E7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441.0</v>
      </c>
      <c r="B1" s="28" t="s">
        <v>41858</v>
      </c>
      <c r="C1" s="29">
        <v>10.0</v>
      </c>
      <c r="D1" s="28" t="s">
        <v>41859</v>
      </c>
      <c r="E1" s="28" t="s">
        <v>41860</v>
      </c>
      <c r="F1" s="29">
        <v>98.0</v>
      </c>
      <c r="G1" s="30">
        <v>1.0410985E7</v>
      </c>
    </row>
    <row r="2" ht="12.75" customHeight="1">
      <c r="A2" s="31">
        <v>441.0</v>
      </c>
      <c r="B2" s="32" t="s">
        <v>41861</v>
      </c>
      <c r="C2" s="33">
        <v>10.0</v>
      </c>
      <c r="D2" s="32" t="s">
        <v>41862</v>
      </c>
      <c r="E2" s="32" t="s">
        <v>41863</v>
      </c>
      <c r="F2" s="31">
        <v>109.0</v>
      </c>
      <c r="G2" s="34">
        <v>1.0411092E7</v>
      </c>
    </row>
    <row r="3" ht="12.75" customHeight="1">
      <c r="A3" s="27">
        <v>441.0</v>
      </c>
      <c r="B3" s="28" t="s">
        <v>41864</v>
      </c>
      <c r="C3" s="29">
        <v>10.0</v>
      </c>
      <c r="D3" s="28" t="s">
        <v>41865</v>
      </c>
      <c r="E3" s="28" t="s">
        <v>41866</v>
      </c>
      <c r="F3" s="27">
        <v>112.0</v>
      </c>
      <c r="G3" s="30">
        <v>1.0411126E7</v>
      </c>
    </row>
    <row r="4" ht="12.75" customHeight="1">
      <c r="A4" s="31">
        <v>441.0</v>
      </c>
      <c r="B4" s="32" t="s">
        <v>41867</v>
      </c>
      <c r="C4" s="33">
        <v>10.0</v>
      </c>
      <c r="D4" s="32" t="s">
        <v>41868</v>
      </c>
      <c r="E4" s="32" t="s">
        <v>41869</v>
      </c>
      <c r="F4" s="31">
        <v>121.0</v>
      </c>
      <c r="G4" s="34">
        <v>1.0411218E7</v>
      </c>
    </row>
    <row r="5" ht="12.75" customHeight="1">
      <c r="A5" s="27">
        <v>441.0</v>
      </c>
      <c r="B5" s="28" t="s">
        <v>41870</v>
      </c>
      <c r="C5" s="29">
        <v>10.0</v>
      </c>
      <c r="D5" s="28" t="s">
        <v>41871</v>
      </c>
      <c r="E5" s="28" t="s">
        <v>41872</v>
      </c>
      <c r="F5" s="27">
        <v>175.0</v>
      </c>
      <c r="G5" s="30">
        <v>1.0411755E7</v>
      </c>
    </row>
    <row r="6" ht="12.75" customHeight="1">
      <c r="A6" s="31">
        <v>441.0</v>
      </c>
      <c r="B6" s="32" t="s">
        <v>41873</v>
      </c>
      <c r="C6" s="33">
        <v>10.0</v>
      </c>
      <c r="D6" s="32" t="s">
        <v>41874</v>
      </c>
      <c r="E6" s="32" t="s">
        <v>41875</v>
      </c>
      <c r="F6" s="31">
        <v>178.0</v>
      </c>
      <c r="G6" s="34">
        <v>1.0411784E7</v>
      </c>
    </row>
    <row r="7" ht="12.75" customHeight="1">
      <c r="A7" s="27">
        <v>441.0</v>
      </c>
      <c r="B7" s="28" t="s">
        <v>41876</v>
      </c>
      <c r="C7" s="29">
        <v>10.0</v>
      </c>
      <c r="D7" s="28" t="s">
        <v>41877</v>
      </c>
      <c r="E7" s="28" t="s">
        <v>41878</v>
      </c>
      <c r="F7" s="27">
        <v>187.0</v>
      </c>
      <c r="G7" s="30">
        <v>1.0411876E7</v>
      </c>
    </row>
    <row r="8" ht="12.75" customHeight="1">
      <c r="A8" s="31">
        <v>441.0</v>
      </c>
      <c r="B8" s="32" t="s">
        <v>41879</v>
      </c>
      <c r="C8" s="33">
        <v>10.0</v>
      </c>
      <c r="D8" s="32" t="s">
        <v>41880</v>
      </c>
      <c r="E8" s="32" t="s">
        <v>41881</v>
      </c>
      <c r="F8" s="31">
        <v>196.0</v>
      </c>
      <c r="G8" s="34">
        <v>1.0411968E7</v>
      </c>
    </row>
    <row r="9" ht="12.75" customHeight="1">
      <c r="A9" s="27">
        <v>441.0</v>
      </c>
      <c r="B9" s="28" t="s">
        <v>41882</v>
      </c>
      <c r="C9" s="29">
        <v>10.0</v>
      </c>
      <c r="D9" s="28" t="s">
        <v>41883</v>
      </c>
      <c r="E9" s="28" t="s">
        <v>41884</v>
      </c>
      <c r="F9" s="27">
        <v>217.0</v>
      </c>
      <c r="G9" s="30">
        <v>1.041217E7</v>
      </c>
    </row>
    <row r="10" ht="12.75" customHeight="1">
      <c r="A10" s="31">
        <v>342.0</v>
      </c>
      <c r="B10" s="32" t="s">
        <v>41885</v>
      </c>
      <c r="C10" s="33">
        <v>10.0</v>
      </c>
      <c r="D10" s="32" t="s">
        <v>41886</v>
      </c>
      <c r="E10" s="32" t="s">
        <v>41887</v>
      </c>
      <c r="F10" s="33">
        <v>5.0</v>
      </c>
      <c r="G10" s="34">
        <v>1.0420054E7</v>
      </c>
    </row>
    <row r="11" ht="12.75" customHeight="1">
      <c r="A11" s="27">
        <v>342.0</v>
      </c>
      <c r="B11" s="28" t="s">
        <v>41888</v>
      </c>
      <c r="C11" s="29">
        <v>10.0</v>
      </c>
      <c r="D11" s="28" t="s">
        <v>41889</v>
      </c>
      <c r="E11" s="28" t="s">
        <v>41890</v>
      </c>
      <c r="F11" s="29">
        <v>7.0</v>
      </c>
      <c r="G11" s="30">
        <v>1.042007E7</v>
      </c>
    </row>
    <row r="12" ht="12.75" customHeight="1">
      <c r="A12" s="31">
        <v>342.0</v>
      </c>
      <c r="B12" s="32" t="s">
        <v>41891</v>
      </c>
      <c r="C12" s="33">
        <v>10.0</v>
      </c>
      <c r="D12" s="32" t="s">
        <v>41892</v>
      </c>
      <c r="E12" s="32" t="s">
        <v>41893</v>
      </c>
      <c r="F12" s="33">
        <v>22.0</v>
      </c>
      <c r="G12" s="34">
        <v>1.0420225E7</v>
      </c>
    </row>
    <row r="13" ht="12.75" customHeight="1">
      <c r="A13" s="27">
        <v>342.0</v>
      </c>
      <c r="B13" s="28" t="s">
        <v>41894</v>
      </c>
      <c r="C13" s="29">
        <v>10.0</v>
      </c>
      <c r="D13" s="28" t="s">
        <v>41895</v>
      </c>
      <c r="E13" s="28" t="s">
        <v>41896</v>
      </c>
      <c r="F13" s="29">
        <v>31.0</v>
      </c>
      <c r="G13" s="30">
        <v>1.0420317E7</v>
      </c>
    </row>
    <row r="14" ht="12.75" customHeight="1">
      <c r="A14" s="31">
        <v>342.0</v>
      </c>
      <c r="B14" s="32" t="s">
        <v>41897</v>
      </c>
      <c r="C14" s="33">
        <v>10.0</v>
      </c>
      <c r="D14" s="32" t="s">
        <v>41898</v>
      </c>
      <c r="E14" s="32" t="s">
        <v>41899</v>
      </c>
      <c r="F14" s="33">
        <v>49.0</v>
      </c>
      <c r="G14" s="34">
        <v>1.0420496E7</v>
      </c>
    </row>
    <row r="15" ht="12.75" customHeight="1">
      <c r="A15" s="27">
        <v>342.0</v>
      </c>
      <c r="B15" s="28" t="s">
        <v>41900</v>
      </c>
      <c r="C15" s="29">
        <v>10.0</v>
      </c>
      <c r="D15" s="28" t="s">
        <v>41901</v>
      </c>
      <c r="E15" s="28" t="s">
        <v>41902</v>
      </c>
      <c r="F15" s="29">
        <v>61.0</v>
      </c>
      <c r="G15" s="30">
        <v>1.0420612E7</v>
      </c>
    </row>
    <row r="16" ht="12.75" customHeight="1">
      <c r="A16" s="31">
        <v>444.0</v>
      </c>
      <c r="B16" s="32" t="s">
        <v>41903</v>
      </c>
      <c r="C16" s="33">
        <v>10.0</v>
      </c>
      <c r="D16" s="32" t="s">
        <v>41904</v>
      </c>
      <c r="E16" s="32" t="s">
        <v>41905</v>
      </c>
      <c r="F16" s="33">
        <v>10.0</v>
      </c>
      <c r="G16" s="34">
        <v>1.04401E7</v>
      </c>
    </row>
    <row r="17" ht="12.75" customHeight="1">
      <c r="A17" s="27">
        <v>444.0</v>
      </c>
      <c r="B17" s="28" t="s">
        <v>41906</v>
      </c>
      <c r="C17" s="29">
        <v>10.0</v>
      </c>
      <c r="D17" s="28" t="s">
        <v>41907</v>
      </c>
      <c r="E17" s="28" t="s">
        <v>41908</v>
      </c>
      <c r="F17" s="29">
        <v>31.0</v>
      </c>
      <c r="G17" s="30">
        <v>1.0440313E7</v>
      </c>
    </row>
    <row r="18" ht="12.75" customHeight="1">
      <c r="A18" s="31">
        <v>444.0</v>
      </c>
      <c r="B18" s="32" t="s">
        <v>41909</v>
      </c>
      <c r="C18" s="33">
        <v>10.0</v>
      </c>
      <c r="D18" s="32" t="s">
        <v>41910</v>
      </c>
      <c r="E18" s="32" t="s">
        <v>41911</v>
      </c>
      <c r="F18" s="33">
        <v>46.0</v>
      </c>
      <c r="G18" s="34">
        <v>1.0440463E7</v>
      </c>
    </row>
    <row r="19" ht="12.75" customHeight="1">
      <c r="A19" s="27">
        <v>444.0</v>
      </c>
      <c r="B19" s="28" t="s">
        <v>41912</v>
      </c>
      <c r="C19" s="29">
        <v>10.0</v>
      </c>
      <c r="D19" s="28" t="s">
        <v>41913</v>
      </c>
      <c r="E19" s="28" t="s">
        <v>41914</v>
      </c>
      <c r="F19" s="29">
        <v>61.0</v>
      </c>
      <c r="G19" s="30">
        <v>1.0440618E7</v>
      </c>
    </row>
    <row r="20" ht="12.75" customHeight="1">
      <c r="A20" s="31">
        <v>444.0</v>
      </c>
      <c r="B20" s="32" t="s">
        <v>41915</v>
      </c>
      <c r="C20" s="33">
        <v>10.0</v>
      </c>
      <c r="D20" s="32" t="s">
        <v>41916</v>
      </c>
      <c r="E20" s="32" t="s">
        <v>41917</v>
      </c>
      <c r="F20" s="33">
        <v>64.0</v>
      </c>
      <c r="G20" s="34">
        <v>1.0440647E7</v>
      </c>
    </row>
    <row r="21" ht="12.75" customHeight="1">
      <c r="A21" s="27">
        <v>444.0</v>
      </c>
      <c r="B21" s="28" t="s">
        <v>41918</v>
      </c>
      <c r="C21" s="29">
        <v>10.0</v>
      </c>
      <c r="D21" s="28" t="s">
        <v>41919</v>
      </c>
      <c r="E21" s="28" t="s">
        <v>41920</v>
      </c>
      <c r="F21" s="29">
        <v>73.0</v>
      </c>
      <c r="G21" s="30">
        <v>1.0440739E7</v>
      </c>
    </row>
    <row r="22" ht="12.75" customHeight="1">
      <c r="A22" s="31">
        <v>444.0</v>
      </c>
      <c r="B22" s="32" t="s">
        <v>41921</v>
      </c>
      <c r="C22" s="33">
        <v>10.0</v>
      </c>
      <c r="D22" s="32" t="s">
        <v>41922</v>
      </c>
      <c r="E22" s="32" t="s">
        <v>41923</v>
      </c>
      <c r="F22" s="33">
        <v>79.0</v>
      </c>
      <c r="G22" s="34">
        <v>1.0440797E7</v>
      </c>
    </row>
    <row r="23" ht="12.75" customHeight="1">
      <c r="A23" s="27">
        <v>444.0</v>
      </c>
      <c r="B23" s="28" t="s">
        <v>41924</v>
      </c>
      <c r="C23" s="29">
        <v>10.0</v>
      </c>
      <c r="D23" s="28" t="s">
        <v>41925</v>
      </c>
      <c r="E23" s="28" t="s">
        <v>41926</v>
      </c>
      <c r="F23" s="29">
        <v>85.0</v>
      </c>
      <c r="G23" s="30">
        <v>1.044085E7</v>
      </c>
    </row>
    <row r="24" ht="12.75" customHeight="1">
      <c r="A24" s="31">
        <v>444.0</v>
      </c>
      <c r="B24" s="32" t="s">
        <v>41927</v>
      </c>
      <c r="C24" s="33">
        <v>10.0</v>
      </c>
      <c r="D24" s="32" t="s">
        <v>41928</v>
      </c>
      <c r="E24" s="32" t="s">
        <v>41929</v>
      </c>
      <c r="F24" s="31">
        <v>100.0</v>
      </c>
      <c r="G24" s="34">
        <v>1.0441004E7</v>
      </c>
    </row>
    <row r="25" ht="12.75" customHeight="1">
      <c r="A25" s="27">
        <v>444.0</v>
      </c>
      <c r="B25" s="28" t="s">
        <v>41930</v>
      </c>
      <c r="C25" s="29">
        <v>10.0</v>
      </c>
      <c r="D25" s="28" t="s">
        <v>41931</v>
      </c>
      <c r="E25" s="28" t="s">
        <v>41932</v>
      </c>
      <c r="F25" s="27">
        <v>121.0</v>
      </c>
      <c r="G25" s="30">
        <v>1.0441217E7</v>
      </c>
    </row>
    <row r="26" ht="12.75" customHeight="1">
      <c r="A26" s="31">
        <v>246.0</v>
      </c>
      <c r="B26" s="32" t="s">
        <v>41933</v>
      </c>
      <c r="C26" s="33">
        <v>10.0</v>
      </c>
      <c r="D26" s="32" t="s">
        <v>41934</v>
      </c>
      <c r="E26" s="32" t="s">
        <v>41935</v>
      </c>
      <c r="F26" s="33">
        <v>7.0</v>
      </c>
      <c r="G26" s="34">
        <v>1.0460072E7</v>
      </c>
    </row>
    <row r="27" ht="12.75" customHeight="1">
      <c r="A27" s="27">
        <v>246.0</v>
      </c>
      <c r="B27" s="28" t="s">
        <v>41936</v>
      </c>
      <c r="C27" s="29">
        <v>10.0</v>
      </c>
      <c r="D27" s="28" t="s">
        <v>41937</v>
      </c>
      <c r="E27" s="28" t="s">
        <v>41938</v>
      </c>
      <c r="F27" s="29">
        <v>31.0</v>
      </c>
      <c r="G27" s="30">
        <v>1.0460319E7</v>
      </c>
    </row>
    <row r="28" ht="12.75" customHeight="1">
      <c r="A28" s="31">
        <v>447.0</v>
      </c>
      <c r="B28" s="32" t="s">
        <v>41939</v>
      </c>
      <c r="C28" s="33">
        <v>10.0</v>
      </c>
      <c r="D28" s="32" t="s">
        <v>41940</v>
      </c>
      <c r="E28" s="32" t="s">
        <v>41941</v>
      </c>
      <c r="F28" s="33">
        <v>7.0</v>
      </c>
      <c r="G28" s="34">
        <v>1.0470075E7</v>
      </c>
    </row>
    <row r="29" ht="12.75" customHeight="1">
      <c r="A29" s="27">
        <v>447.0</v>
      </c>
      <c r="B29" s="28" t="s">
        <v>41942</v>
      </c>
      <c r="C29" s="29">
        <v>10.0</v>
      </c>
      <c r="D29" s="28" t="s">
        <v>41943</v>
      </c>
      <c r="E29" s="28" t="s">
        <v>41944</v>
      </c>
      <c r="F29" s="29">
        <v>10.0</v>
      </c>
      <c r="G29" s="30">
        <v>1.0470109E7</v>
      </c>
    </row>
    <row r="30" ht="12.75" customHeight="1">
      <c r="A30" s="31">
        <v>447.0</v>
      </c>
      <c r="B30" s="32" t="s">
        <v>41945</v>
      </c>
      <c r="C30" s="33">
        <v>10.0</v>
      </c>
      <c r="D30" s="32" t="s">
        <v>41946</v>
      </c>
      <c r="E30" s="32" t="s">
        <v>41947</v>
      </c>
      <c r="F30" s="33">
        <v>13.0</v>
      </c>
      <c r="G30" s="34">
        <v>1.0470138E7</v>
      </c>
    </row>
    <row r="31" ht="12.75" customHeight="1">
      <c r="A31" s="27">
        <v>447.0</v>
      </c>
      <c r="B31" s="28" t="s">
        <v>41948</v>
      </c>
      <c r="C31" s="29">
        <v>10.0</v>
      </c>
      <c r="D31" s="28" t="s">
        <v>41949</v>
      </c>
      <c r="E31" s="28" t="s">
        <v>41950</v>
      </c>
      <c r="F31" s="29">
        <v>19.0</v>
      </c>
      <c r="G31" s="30">
        <v>1.0470196E7</v>
      </c>
    </row>
    <row r="32" ht="12.75" customHeight="1">
      <c r="A32" s="31">
        <v>447.0</v>
      </c>
      <c r="B32" s="32" t="s">
        <v>41951</v>
      </c>
      <c r="C32" s="33">
        <v>10.0</v>
      </c>
      <c r="D32" s="32" t="s">
        <v>41952</v>
      </c>
      <c r="E32" s="32" t="s">
        <v>41953</v>
      </c>
      <c r="F32" s="33">
        <v>28.0</v>
      </c>
      <c r="G32" s="34">
        <v>1.0470288E7</v>
      </c>
    </row>
    <row r="33" ht="12.75" customHeight="1">
      <c r="A33" s="27">
        <v>447.0</v>
      </c>
      <c r="B33" s="28" t="s">
        <v>41954</v>
      </c>
      <c r="C33" s="29">
        <v>10.0</v>
      </c>
      <c r="D33" s="28" t="s">
        <v>41955</v>
      </c>
      <c r="E33" s="28" t="s">
        <v>41956</v>
      </c>
      <c r="F33" s="29">
        <v>55.0</v>
      </c>
      <c r="G33" s="30">
        <v>1.0470554E7</v>
      </c>
    </row>
    <row r="34" ht="12.75" customHeight="1">
      <c r="A34" s="31">
        <v>447.0</v>
      </c>
      <c r="B34" s="32" t="s">
        <v>41957</v>
      </c>
      <c r="C34" s="33">
        <v>10.0</v>
      </c>
      <c r="D34" s="32" t="s">
        <v>41958</v>
      </c>
      <c r="E34" s="32" t="s">
        <v>41959</v>
      </c>
      <c r="F34" s="33">
        <v>58.0</v>
      </c>
      <c r="G34" s="34">
        <v>1.0470583E7</v>
      </c>
    </row>
    <row r="35" ht="12.75" customHeight="1">
      <c r="A35" s="27">
        <v>447.0</v>
      </c>
      <c r="B35" s="28" t="s">
        <v>41960</v>
      </c>
      <c r="C35" s="29">
        <v>10.0</v>
      </c>
      <c r="D35" s="28" t="s">
        <v>41961</v>
      </c>
      <c r="E35" s="28" t="s">
        <v>41962</v>
      </c>
      <c r="F35" s="29">
        <v>67.0</v>
      </c>
      <c r="G35" s="30">
        <v>1.0470675E7</v>
      </c>
    </row>
    <row r="36" ht="12.75" customHeight="1">
      <c r="A36" s="31">
        <v>447.0</v>
      </c>
      <c r="B36" s="32" t="s">
        <v>41963</v>
      </c>
      <c r="C36" s="33">
        <v>10.0</v>
      </c>
      <c r="D36" s="32" t="s">
        <v>41964</v>
      </c>
      <c r="E36" s="32" t="s">
        <v>41965</v>
      </c>
      <c r="F36" s="33">
        <v>70.0</v>
      </c>
      <c r="G36" s="34">
        <v>1.0470709E7</v>
      </c>
    </row>
    <row r="37" ht="12.75" customHeight="1">
      <c r="A37" s="27">
        <v>447.0</v>
      </c>
      <c r="B37" s="28" t="s">
        <v>41966</v>
      </c>
      <c r="C37" s="29">
        <v>10.0</v>
      </c>
      <c r="D37" s="28" t="s">
        <v>41967</v>
      </c>
      <c r="E37" s="28" t="s">
        <v>41968</v>
      </c>
      <c r="F37" s="29">
        <v>82.0</v>
      </c>
      <c r="G37" s="30">
        <v>1.047082E7</v>
      </c>
    </row>
    <row r="38" ht="12.75" customHeight="1">
      <c r="A38" s="31">
        <v>447.0</v>
      </c>
      <c r="B38" s="32" t="s">
        <v>41969</v>
      </c>
      <c r="C38" s="33">
        <v>10.0</v>
      </c>
      <c r="D38" s="32" t="s">
        <v>41970</v>
      </c>
      <c r="E38" s="32" t="s">
        <v>41971</v>
      </c>
      <c r="F38" s="33">
        <v>91.0</v>
      </c>
      <c r="G38" s="34">
        <v>1.0470912E7</v>
      </c>
    </row>
    <row r="39" ht="12.75" customHeight="1">
      <c r="A39" s="27">
        <v>447.0</v>
      </c>
      <c r="B39" s="28" t="s">
        <v>41972</v>
      </c>
      <c r="C39" s="29">
        <v>10.0</v>
      </c>
      <c r="D39" s="28" t="s">
        <v>41973</v>
      </c>
      <c r="E39" s="28" t="s">
        <v>41974</v>
      </c>
      <c r="F39" s="27">
        <v>106.0</v>
      </c>
      <c r="G39" s="30">
        <v>1.0471061E7</v>
      </c>
    </row>
    <row r="40" ht="12.75" customHeight="1">
      <c r="A40" s="31">
        <v>447.0</v>
      </c>
      <c r="B40" s="32" t="s">
        <v>41975</v>
      </c>
      <c r="C40" s="33">
        <v>10.0</v>
      </c>
      <c r="D40" s="32" t="s">
        <v>41976</v>
      </c>
      <c r="E40" s="32" t="s">
        <v>41977</v>
      </c>
      <c r="F40" s="31">
        <v>112.0</v>
      </c>
      <c r="G40" s="34">
        <v>1.0471124E7</v>
      </c>
    </row>
    <row r="41" ht="12.75" customHeight="1">
      <c r="A41" s="27">
        <v>447.0</v>
      </c>
      <c r="B41" s="28" t="s">
        <v>41978</v>
      </c>
      <c r="C41" s="29">
        <v>10.0</v>
      </c>
      <c r="D41" s="28" t="s">
        <v>41979</v>
      </c>
      <c r="E41" s="28" t="s">
        <v>41980</v>
      </c>
      <c r="F41" s="27">
        <v>121.0</v>
      </c>
      <c r="G41" s="30">
        <v>1.0471216E7</v>
      </c>
    </row>
    <row r="42" ht="12.75" customHeight="1">
      <c r="A42" s="31">
        <v>447.0</v>
      </c>
      <c r="B42" s="32" t="s">
        <v>41981</v>
      </c>
      <c r="C42" s="33">
        <v>10.0</v>
      </c>
      <c r="D42" s="32" t="s">
        <v>41982</v>
      </c>
      <c r="E42" s="32" t="s">
        <v>41983</v>
      </c>
      <c r="F42" s="31">
        <v>127.0</v>
      </c>
      <c r="G42" s="34">
        <v>1.0471274E7</v>
      </c>
    </row>
    <row r="43" ht="12.75" customHeight="1">
      <c r="A43" s="27">
        <v>447.0</v>
      </c>
      <c r="B43" s="28" t="s">
        <v>41984</v>
      </c>
      <c r="C43" s="29">
        <v>10.0</v>
      </c>
      <c r="D43" s="28" t="s">
        <v>41985</v>
      </c>
      <c r="E43" s="28" t="s">
        <v>41986</v>
      </c>
      <c r="F43" s="27">
        <v>136.0</v>
      </c>
      <c r="G43" s="30">
        <v>1.0471366E7</v>
      </c>
    </row>
    <row r="44" ht="12.75" customHeight="1">
      <c r="A44" s="31">
        <v>447.0</v>
      </c>
      <c r="B44" s="32" t="s">
        <v>41987</v>
      </c>
      <c r="C44" s="33">
        <v>10.0</v>
      </c>
      <c r="D44" s="32" t="s">
        <v>41988</v>
      </c>
      <c r="E44" s="32" t="s">
        <v>41989</v>
      </c>
      <c r="F44" s="31">
        <v>145.0</v>
      </c>
      <c r="G44" s="34">
        <v>1.0471458E7</v>
      </c>
    </row>
    <row r="45" ht="12.75" customHeight="1">
      <c r="A45" s="27">
        <v>447.0</v>
      </c>
      <c r="B45" s="28" t="s">
        <v>41990</v>
      </c>
      <c r="C45" s="29">
        <v>10.0</v>
      </c>
      <c r="D45" s="28" t="s">
        <v>41991</v>
      </c>
      <c r="E45" s="28" t="s">
        <v>41992</v>
      </c>
      <c r="F45" s="27">
        <v>148.0</v>
      </c>
      <c r="G45" s="30">
        <v>1.0471487E7</v>
      </c>
    </row>
    <row r="46" ht="12.75" customHeight="1">
      <c r="A46" s="31">
        <v>447.0</v>
      </c>
      <c r="B46" s="32" t="s">
        <v>41993</v>
      </c>
      <c r="C46" s="33">
        <v>10.0</v>
      </c>
      <c r="D46" s="32" t="s">
        <v>41994</v>
      </c>
      <c r="E46" s="32" t="s">
        <v>41995</v>
      </c>
      <c r="F46" s="31">
        <v>163.0</v>
      </c>
      <c r="G46" s="34">
        <v>1.0471632E7</v>
      </c>
    </row>
    <row r="47" ht="12.75" customHeight="1">
      <c r="A47" s="27">
        <v>447.0</v>
      </c>
      <c r="B47" s="28" t="s">
        <v>41996</v>
      </c>
      <c r="C47" s="29">
        <v>10.0</v>
      </c>
      <c r="D47" s="28" t="s">
        <v>41997</v>
      </c>
      <c r="E47" s="28" t="s">
        <v>41998</v>
      </c>
      <c r="F47" s="27">
        <v>169.0</v>
      </c>
      <c r="G47" s="30">
        <v>1.047169E7</v>
      </c>
    </row>
    <row r="48" ht="12.75" customHeight="1">
      <c r="A48" s="31">
        <v>447.0</v>
      </c>
      <c r="B48" s="32" t="s">
        <v>41999</v>
      </c>
      <c r="C48" s="33">
        <v>10.0</v>
      </c>
      <c r="D48" s="32" t="s">
        <v>42000</v>
      </c>
      <c r="E48" s="32" t="s">
        <v>42001</v>
      </c>
      <c r="F48" s="31">
        <v>190.0</v>
      </c>
      <c r="G48" s="34">
        <v>1.0471908E7</v>
      </c>
    </row>
    <row r="49" ht="12.75" customHeight="1">
      <c r="A49" s="27">
        <v>447.0</v>
      </c>
      <c r="B49" s="28" t="s">
        <v>42002</v>
      </c>
      <c r="C49" s="29">
        <v>10.0</v>
      </c>
      <c r="D49" s="28" t="s">
        <v>42003</v>
      </c>
      <c r="E49" s="28" t="s">
        <v>42004</v>
      </c>
      <c r="F49" s="27">
        <v>196.0</v>
      </c>
      <c r="G49" s="30">
        <v>1.0471966E7</v>
      </c>
    </row>
    <row r="50" ht="12.75" customHeight="1">
      <c r="A50" s="31">
        <v>447.0</v>
      </c>
      <c r="B50" s="32" t="s">
        <v>42005</v>
      </c>
      <c r="C50" s="33">
        <v>10.0</v>
      </c>
      <c r="D50" s="32" t="s">
        <v>42006</v>
      </c>
      <c r="E50" s="32" t="s">
        <v>42007</v>
      </c>
      <c r="F50" s="31">
        <v>211.0</v>
      </c>
      <c r="G50" s="34">
        <v>1.047211E7</v>
      </c>
    </row>
    <row r="51" ht="12.75" customHeight="1">
      <c r="A51" s="27">
        <v>447.0</v>
      </c>
      <c r="B51" s="28" t="s">
        <v>42008</v>
      </c>
      <c r="C51" s="29">
        <v>10.0</v>
      </c>
      <c r="D51" s="28" t="s">
        <v>42009</v>
      </c>
      <c r="E51" s="28" t="s">
        <v>42010</v>
      </c>
      <c r="F51" s="27">
        <v>214.0</v>
      </c>
      <c r="G51" s="30">
        <v>1.0472149E7</v>
      </c>
    </row>
    <row r="52" ht="12.75" customHeight="1">
      <c r="A52" s="31">
        <v>447.0</v>
      </c>
      <c r="B52" s="32" t="s">
        <v>42011</v>
      </c>
      <c r="C52" s="33">
        <v>10.0</v>
      </c>
      <c r="D52" s="32" t="s">
        <v>42012</v>
      </c>
      <c r="E52" s="32" t="s">
        <v>42013</v>
      </c>
      <c r="F52" s="31">
        <v>235.0</v>
      </c>
      <c r="G52" s="34">
        <v>1.0472352E7</v>
      </c>
    </row>
    <row r="53" ht="12.75" customHeight="1">
      <c r="A53" s="27">
        <v>447.0</v>
      </c>
      <c r="B53" s="28" t="s">
        <v>42014</v>
      </c>
      <c r="C53" s="29">
        <v>10.0</v>
      </c>
      <c r="D53" s="28" t="s">
        <v>42015</v>
      </c>
      <c r="E53" s="28" t="s">
        <v>42016</v>
      </c>
      <c r="F53" s="27">
        <v>238.0</v>
      </c>
      <c r="G53" s="30">
        <v>1.0472381E7</v>
      </c>
    </row>
    <row r="54" ht="12.75" customHeight="1">
      <c r="A54" s="31">
        <v>447.0</v>
      </c>
      <c r="B54" s="32" t="s">
        <v>42017</v>
      </c>
      <c r="C54" s="33">
        <v>10.0</v>
      </c>
      <c r="D54" s="32" t="s">
        <v>42018</v>
      </c>
      <c r="E54" s="32" t="s">
        <v>42019</v>
      </c>
      <c r="F54" s="31">
        <v>241.0</v>
      </c>
      <c r="G54" s="34">
        <v>1.0472415E7</v>
      </c>
    </row>
    <row r="55" ht="12.75" customHeight="1">
      <c r="A55" s="27">
        <v>447.0</v>
      </c>
      <c r="B55" s="28" t="s">
        <v>42020</v>
      </c>
      <c r="C55" s="29">
        <v>10.0</v>
      </c>
      <c r="D55" s="28" t="s">
        <v>42021</v>
      </c>
      <c r="E55" s="28" t="s">
        <v>42022</v>
      </c>
      <c r="F55" s="27">
        <v>250.0</v>
      </c>
      <c r="G55" s="30">
        <v>1.0472507E7</v>
      </c>
    </row>
    <row r="56" ht="12.75" customHeight="1">
      <c r="A56" s="31">
        <v>447.0</v>
      </c>
      <c r="B56" s="32" t="s">
        <v>42023</v>
      </c>
      <c r="C56" s="33">
        <v>10.0</v>
      </c>
      <c r="D56" s="32" t="s">
        <v>42024</v>
      </c>
      <c r="E56" s="32" t="s">
        <v>42025</v>
      </c>
      <c r="F56" s="31">
        <v>265.0</v>
      </c>
      <c r="G56" s="34">
        <v>1.0472657E7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148.0</v>
      </c>
      <c r="B1" s="28" t="s">
        <v>42026</v>
      </c>
      <c r="C1" s="29">
        <v>10.0</v>
      </c>
      <c r="D1" s="28" t="s">
        <v>42027</v>
      </c>
      <c r="E1" s="28" t="s">
        <v>42028</v>
      </c>
      <c r="F1" s="29">
        <v>10.0</v>
      </c>
      <c r="G1" s="30">
        <v>1.0480102E7</v>
      </c>
    </row>
    <row r="2" ht="12.75" customHeight="1">
      <c r="A2" s="31">
        <v>148.0</v>
      </c>
      <c r="B2" s="32" t="s">
        <v>42029</v>
      </c>
      <c r="C2" s="33">
        <v>10.0</v>
      </c>
      <c r="D2" s="32" t="s">
        <v>42030</v>
      </c>
      <c r="E2" s="32" t="s">
        <v>42031</v>
      </c>
      <c r="F2" s="33">
        <v>22.0</v>
      </c>
      <c r="G2" s="34">
        <v>1.0480223E7</v>
      </c>
    </row>
    <row r="3" ht="12.75" customHeight="1">
      <c r="A3" s="27">
        <v>148.0</v>
      </c>
      <c r="B3" s="28" t="s">
        <v>42032</v>
      </c>
      <c r="C3" s="29">
        <v>10.0</v>
      </c>
      <c r="D3" s="28" t="s">
        <v>42033</v>
      </c>
      <c r="E3" s="28" t="s">
        <v>42034</v>
      </c>
      <c r="F3" s="29">
        <v>25.0</v>
      </c>
      <c r="G3" s="30">
        <v>1.0480252E7</v>
      </c>
    </row>
    <row r="4" ht="12.75" customHeight="1">
      <c r="A4" s="31">
        <v>148.0</v>
      </c>
      <c r="B4" s="32" t="s">
        <v>42035</v>
      </c>
      <c r="C4" s="33">
        <v>10.0</v>
      </c>
      <c r="D4" s="32" t="s">
        <v>42036</v>
      </c>
      <c r="E4" s="32" t="s">
        <v>42037</v>
      </c>
      <c r="F4" s="33">
        <v>40.0</v>
      </c>
      <c r="G4" s="34">
        <v>1.0480407E7</v>
      </c>
    </row>
    <row r="5" ht="12.75" customHeight="1">
      <c r="A5" s="27">
        <v>148.0</v>
      </c>
      <c r="B5" s="28" t="s">
        <v>42038</v>
      </c>
      <c r="C5" s="29">
        <v>10.0</v>
      </c>
      <c r="D5" s="28" t="s">
        <v>42039</v>
      </c>
      <c r="E5" s="28" t="s">
        <v>42040</v>
      </c>
      <c r="F5" s="29">
        <v>55.0</v>
      </c>
      <c r="G5" s="30">
        <v>1.0480557E7</v>
      </c>
    </row>
    <row r="6" ht="12.75" customHeight="1">
      <c r="A6" s="31">
        <v>148.0</v>
      </c>
      <c r="B6" s="32" t="s">
        <v>42041</v>
      </c>
      <c r="C6" s="33">
        <v>10.0</v>
      </c>
      <c r="D6" s="32" t="s">
        <v>42042</v>
      </c>
      <c r="E6" s="32" t="s">
        <v>42043</v>
      </c>
      <c r="F6" s="33">
        <v>61.0</v>
      </c>
      <c r="G6" s="34">
        <v>1.048061E7</v>
      </c>
    </row>
    <row r="7" ht="12.75" customHeight="1">
      <c r="A7" s="27">
        <v>148.0</v>
      </c>
      <c r="B7" s="28" t="s">
        <v>42044</v>
      </c>
      <c r="C7" s="29">
        <v>10.0</v>
      </c>
      <c r="D7" s="28" t="s">
        <v>42045</v>
      </c>
      <c r="E7" s="28" t="s">
        <v>42046</v>
      </c>
      <c r="F7" s="29">
        <v>67.0</v>
      </c>
      <c r="G7" s="30">
        <v>1.0480678E7</v>
      </c>
    </row>
    <row r="8" ht="12.75" customHeight="1">
      <c r="A8" s="31">
        <v>148.0</v>
      </c>
      <c r="B8" s="32" t="s">
        <v>42047</v>
      </c>
      <c r="C8" s="33">
        <v>10.0</v>
      </c>
      <c r="D8" s="32" t="s">
        <v>42048</v>
      </c>
      <c r="E8" s="32" t="s">
        <v>42049</v>
      </c>
      <c r="F8" s="33">
        <v>73.0</v>
      </c>
      <c r="G8" s="34">
        <v>1.0480731E7</v>
      </c>
    </row>
    <row r="9" ht="12.75" customHeight="1">
      <c r="A9" s="27">
        <v>148.0</v>
      </c>
      <c r="B9" s="28" t="s">
        <v>42050</v>
      </c>
      <c r="C9" s="29">
        <v>10.0</v>
      </c>
      <c r="D9" s="28" t="s">
        <v>42051</v>
      </c>
      <c r="E9" s="28" t="s">
        <v>42052</v>
      </c>
      <c r="F9" s="29">
        <v>88.0</v>
      </c>
      <c r="G9" s="30">
        <v>1.0480881E7</v>
      </c>
    </row>
    <row r="10" ht="12.75" customHeight="1">
      <c r="A10" s="31">
        <v>148.0</v>
      </c>
      <c r="B10" s="32" t="s">
        <v>42053</v>
      </c>
      <c r="C10" s="33">
        <v>10.0</v>
      </c>
      <c r="D10" s="32" t="s">
        <v>42054</v>
      </c>
      <c r="E10" s="32" t="s">
        <v>42055</v>
      </c>
      <c r="F10" s="33">
        <v>91.0</v>
      </c>
      <c r="G10" s="34">
        <v>1.0480915E7</v>
      </c>
    </row>
    <row r="11" ht="12.75" customHeight="1">
      <c r="A11" s="27">
        <v>148.0</v>
      </c>
      <c r="B11" s="28" t="s">
        <v>42056</v>
      </c>
      <c r="C11" s="29">
        <v>10.0</v>
      </c>
      <c r="D11" s="28" t="s">
        <v>42057</v>
      </c>
      <c r="E11" s="28" t="s">
        <v>42058</v>
      </c>
      <c r="F11" s="27">
        <v>100.0</v>
      </c>
      <c r="G11" s="30">
        <v>1.0481006E7</v>
      </c>
    </row>
    <row r="12" ht="12.75" customHeight="1">
      <c r="A12" s="31">
        <v>148.0</v>
      </c>
      <c r="B12" s="32" t="s">
        <v>42059</v>
      </c>
      <c r="C12" s="33">
        <v>10.0</v>
      </c>
      <c r="D12" s="32" t="s">
        <v>42060</v>
      </c>
      <c r="E12" s="32" t="s">
        <v>42061</v>
      </c>
      <c r="F12" s="31">
        <v>106.0</v>
      </c>
      <c r="G12" s="34">
        <v>1.0481064E7</v>
      </c>
    </row>
    <row r="13" ht="12.75" customHeight="1">
      <c r="A13" s="27">
        <v>749.0</v>
      </c>
      <c r="B13" s="28" t="s">
        <v>42062</v>
      </c>
      <c r="C13" s="29">
        <v>10.0</v>
      </c>
      <c r="D13" s="28" t="s">
        <v>42063</v>
      </c>
      <c r="E13" s="28" t="s">
        <v>42064</v>
      </c>
      <c r="F13" s="29">
        <v>7.0</v>
      </c>
      <c r="G13" s="30">
        <v>1.0490071E7</v>
      </c>
    </row>
    <row r="14" ht="12.75" customHeight="1">
      <c r="A14" s="31">
        <v>749.0</v>
      </c>
      <c r="B14" s="32" t="s">
        <v>42065</v>
      </c>
      <c r="C14" s="33">
        <v>10.0</v>
      </c>
      <c r="D14" s="32" t="s">
        <v>42066</v>
      </c>
      <c r="E14" s="32" t="s">
        <v>42067</v>
      </c>
      <c r="F14" s="33">
        <v>10.0</v>
      </c>
      <c r="G14" s="34">
        <v>1.0490105E7</v>
      </c>
    </row>
    <row r="15" ht="12.75" customHeight="1">
      <c r="A15" s="27">
        <v>749.0</v>
      </c>
      <c r="B15" s="28" t="s">
        <v>42068</v>
      </c>
      <c r="C15" s="29">
        <v>10.0</v>
      </c>
      <c r="D15" s="28" t="s">
        <v>42069</v>
      </c>
      <c r="E15" s="28" t="s">
        <v>42070</v>
      </c>
      <c r="F15" s="29">
        <v>13.0</v>
      </c>
      <c r="G15" s="30">
        <v>1.0490134E7</v>
      </c>
    </row>
    <row r="16" ht="12.75" customHeight="1">
      <c r="A16" s="31">
        <v>749.0</v>
      </c>
      <c r="B16" s="32" t="s">
        <v>42071</v>
      </c>
      <c r="C16" s="33">
        <v>10.0</v>
      </c>
      <c r="D16" s="32" t="s">
        <v>42072</v>
      </c>
      <c r="E16" s="32" t="s">
        <v>42073</v>
      </c>
      <c r="F16" s="33">
        <v>19.0</v>
      </c>
      <c r="G16" s="34">
        <v>1.0490192E7</v>
      </c>
    </row>
    <row r="17" ht="12.75" customHeight="1">
      <c r="A17" s="27">
        <v>749.0</v>
      </c>
      <c r="B17" s="28" t="s">
        <v>42074</v>
      </c>
      <c r="C17" s="29">
        <v>10.0</v>
      </c>
      <c r="D17" s="28" t="s">
        <v>42075</v>
      </c>
      <c r="E17" s="28" t="s">
        <v>42076</v>
      </c>
      <c r="F17" s="29">
        <v>40.0</v>
      </c>
      <c r="G17" s="30">
        <v>1.04904E7</v>
      </c>
    </row>
    <row r="18" ht="12.75" customHeight="1">
      <c r="A18" s="31">
        <v>749.0</v>
      </c>
      <c r="B18" s="32" t="s">
        <v>42077</v>
      </c>
      <c r="C18" s="33">
        <v>10.0</v>
      </c>
      <c r="D18" s="32" t="s">
        <v>42078</v>
      </c>
      <c r="E18" s="32" t="s">
        <v>42079</v>
      </c>
      <c r="F18" s="33">
        <v>46.0</v>
      </c>
      <c r="G18" s="34">
        <v>1.0490468E7</v>
      </c>
    </row>
    <row r="19" ht="12.75" customHeight="1">
      <c r="A19" s="27">
        <v>749.0</v>
      </c>
      <c r="B19" s="28" t="s">
        <v>42080</v>
      </c>
      <c r="C19" s="29">
        <v>10.0</v>
      </c>
      <c r="D19" s="28" t="s">
        <v>42081</v>
      </c>
      <c r="E19" s="28" t="s">
        <v>42082</v>
      </c>
      <c r="F19" s="29">
        <v>49.0</v>
      </c>
      <c r="G19" s="30">
        <v>1.0490497E7</v>
      </c>
    </row>
    <row r="20" ht="12.75" customHeight="1">
      <c r="A20" s="31">
        <v>749.0</v>
      </c>
      <c r="B20" s="32" t="s">
        <v>42083</v>
      </c>
      <c r="C20" s="33">
        <v>10.0</v>
      </c>
      <c r="D20" s="32" t="s">
        <v>42084</v>
      </c>
      <c r="E20" s="32" t="s">
        <v>42085</v>
      </c>
      <c r="F20" s="33">
        <v>58.0</v>
      </c>
      <c r="G20" s="34">
        <v>1.0490589E7</v>
      </c>
    </row>
    <row r="21" ht="12.75" customHeight="1">
      <c r="A21" s="27">
        <v>749.0</v>
      </c>
      <c r="B21" s="28" t="s">
        <v>42086</v>
      </c>
      <c r="C21" s="29">
        <v>10.0</v>
      </c>
      <c r="D21" s="28" t="s">
        <v>42087</v>
      </c>
      <c r="E21" s="28" t="s">
        <v>42088</v>
      </c>
      <c r="F21" s="29">
        <v>70.0</v>
      </c>
      <c r="G21" s="30">
        <v>1.0490705E7</v>
      </c>
    </row>
    <row r="22" ht="12.75" customHeight="1">
      <c r="A22" s="31">
        <v>450.0</v>
      </c>
      <c r="B22" s="32" t="s">
        <v>42089</v>
      </c>
      <c r="C22" s="33">
        <v>10.0</v>
      </c>
      <c r="D22" s="32" t="s">
        <v>42090</v>
      </c>
      <c r="E22" s="32" t="s">
        <v>42091</v>
      </c>
      <c r="F22" s="33">
        <v>7.0</v>
      </c>
      <c r="G22" s="34">
        <v>1.0500079E7</v>
      </c>
    </row>
    <row r="23" ht="12.75" customHeight="1">
      <c r="A23" s="27">
        <v>450.0</v>
      </c>
      <c r="B23" s="28" t="s">
        <v>42092</v>
      </c>
      <c r="C23" s="29">
        <v>10.0</v>
      </c>
      <c r="D23" s="28" t="s">
        <v>42093</v>
      </c>
      <c r="E23" s="28" t="s">
        <v>42094</v>
      </c>
      <c r="F23" s="29">
        <v>19.0</v>
      </c>
      <c r="G23" s="30">
        <v>1.050019E7</v>
      </c>
    </row>
    <row r="24" ht="12.75" customHeight="1">
      <c r="A24" s="31">
        <v>450.0</v>
      </c>
      <c r="B24" s="32" t="s">
        <v>42095</v>
      </c>
      <c r="C24" s="33">
        <v>10.0</v>
      </c>
      <c r="D24" s="32" t="s">
        <v>42096</v>
      </c>
      <c r="E24" s="32" t="s">
        <v>42097</v>
      </c>
      <c r="F24" s="33">
        <v>22.0</v>
      </c>
      <c r="G24" s="34">
        <v>1.0500224E7</v>
      </c>
    </row>
    <row r="25" ht="12.75" customHeight="1">
      <c r="A25" s="27">
        <v>450.0</v>
      </c>
      <c r="B25" s="28" t="s">
        <v>42098</v>
      </c>
      <c r="C25" s="29">
        <v>10.0</v>
      </c>
      <c r="D25" s="28" t="s">
        <v>42099</v>
      </c>
      <c r="E25" s="28" t="s">
        <v>42100</v>
      </c>
      <c r="F25" s="29">
        <v>28.0</v>
      </c>
      <c r="G25" s="30">
        <v>1.0500282E7</v>
      </c>
    </row>
    <row r="26" ht="12.75" customHeight="1">
      <c r="A26" s="31">
        <v>450.0</v>
      </c>
      <c r="B26" s="32" t="s">
        <v>42101</v>
      </c>
      <c r="C26" s="33">
        <v>10.0</v>
      </c>
      <c r="D26" s="32" t="s">
        <v>42102</v>
      </c>
      <c r="E26" s="32" t="s">
        <v>42103</v>
      </c>
      <c r="F26" s="33">
        <v>46.0</v>
      </c>
      <c r="G26" s="34">
        <v>1.0500466E7</v>
      </c>
    </row>
    <row r="27" ht="12.75" customHeight="1">
      <c r="A27" s="27">
        <v>450.0</v>
      </c>
      <c r="B27" s="28" t="s">
        <v>42104</v>
      </c>
      <c r="C27" s="29">
        <v>10.0</v>
      </c>
      <c r="D27" s="28" t="s">
        <v>42105</v>
      </c>
      <c r="E27" s="28" t="s">
        <v>42106</v>
      </c>
      <c r="F27" s="29">
        <v>55.0</v>
      </c>
      <c r="G27" s="30">
        <v>1.0500558E7</v>
      </c>
    </row>
    <row r="28" ht="12.75" customHeight="1">
      <c r="A28" s="31">
        <v>450.0</v>
      </c>
      <c r="B28" s="32" t="s">
        <v>42107</v>
      </c>
      <c r="C28" s="33">
        <v>10.0</v>
      </c>
      <c r="D28" s="32" t="s">
        <v>42108</v>
      </c>
      <c r="E28" s="32" t="s">
        <v>42109</v>
      </c>
      <c r="F28" s="33">
        <v>67.0</v>
      </c>
      <c r="G28" s="34">
        <v>1.0500679E7</v>
      </c>
    </row>
    <row r="29" ht="12.75" customHeight="1">
      <c r="A29" s="27">
        <v>450.0</v>
      </c>
      <c r="B29" s="28" t="s">
        <v>42110</v>
      </c>
      <c r="C29" s="29">
        <v>10.0</v>
      </c>
      <c r="D29" s="28" t="s">
        <v>42111</v>
      </c>
      <c r="E29" s="28" t="s">
        <v>42112</v>
      </c>
      <c r="F29" s="29">
        <v>79.0</v>
      </c>
      <c r="G29" s="30">
        <v>1.050079E7</v>
      </c>
    </row>
    <row r="30" ht="12.75" customHeight="1">
      <c r="A30" s="31">
        <v>450.0</v>
      </c>
      <c r="B30" s="32" t="s">
        <v>42113</v>
      </c>
      <c r="C30" s="33">
        <v>10.0</v>
      </c>
      <c r="D30" s="32" t="s">
        <v>42114</v>
      </c>
      <c r="E30" s="32" t="s">
        <v>42115</v>
      </c>
      <c r="F30" s="33">
        <v>88.0</v>
      </c>
      <c r="G30" s="34">
        <v>1.0500882E7</v>
      </c>
    </row>
    <row r="31" ht="12.75" customHeight="1">
      <c r="A31" s="27">
        <v>450.0</v>
      </c>
      <c r="B31" s="28" t="s">
        <v>42116</v>
      </c>
      <c r="C31" s="29">
        <v>10.0</v>
      </c>
      <c r="D31" s="28" t="s">
        <v>42117</v>
      </c>
      <c r="E31" s="28" t="s">
        <v>42118</v>
      </c>
      <c r="F31" s="27">
        <v>103.0</v>
      </c>
      <c r="G31" s="30">
        <v>1.0501036E7</v>
      </c>
    </row>
    <row r="32" ht="12.75" customHeight="1">
      <c r="A32" s="31">
        <v>450.0</v>
      </c>
      <c r="B32" s="32" t="s">
        <v>42119</v>
      </c>
      <c r="C32" s="33">
        <v>10.0</v>
      </c>
      <c r="D32" s="32" t="s">
        <v>42120</v>
      </c>
      <c r="E32" s="32" t="s">
        <v>42121</v>
      </c>
      <c r="F32" s="31">
        <v>106.0</v>
      </c>
      <c r="G32" s="34">
        <v>1.0501065E7</v>
      </c>
    </row>
    <row r="33" ht="12.75" customHeight="1">
      <c r="A33" s="27">
        <v>450.0</v>
      </c>
      <c r="B33" s="28" t="s">
        <v>42122</v>
      </c>
      <c r="C33" s="29">
        <v>10.0</v>
      </c>
      <c r="D33" s="28" t="s">
        <v>42123</v>
      </c>
      <c r="E33" s="28" t="s">
        <v>42124</v>
      </c>
      <c r="F33" s="27">
        <v>115.0</v>
      </c>
      <c r="G33" s="30">
        <v>1.0501157E7</v>
      </c>
    </row>
    <row r="34" ht="12.75" customHeight="1">
      <c r="A34" s="31">
        <v>450.0</v>
      </c>
      <c r="B34" s="32" t="s">
        <v>42125</v>
      </c>
      <c r="C34" s="33">
        <v>10.0</v>
      </c>
      <c r="D34" s="32" t="s">
        <v>42126</v>
      </c>
      <c r="E34" s="32" t="s">
        <v>42127</v>
      </c>
      <c r="F34" s="31">
        <v>124.0</v>
      </c>
      <c r="G34" s="34">
        <v>1.0501249E7</v>
      </c>
    </row>
    <row r="35" ht="12.75" customHeight="1">
      <c r="A35" s="27">
        <v>450.0</v>
      </c>
      <c r="B35" s="28" t="s">
        <v>42128</v>
      </c>
      <c r="C35" s="29">
        <v>10.0</v>
      </c>
      <c r="D35" s="28" t="s">
        <v>42129</v>
      </c>
      <c r="E35" s="28" t="s">
        <v>42130</v>
      </c>
      <c r="F35" s="27">
        <v>127.0</v>
      </c>
      <c r="G35" s="30">
        <v>1.0501278E7</v>
      </c>
    </row>
    <row r="36" ht="12.75" customHeight="1">
      <c r="A36" s="31">
        <v>450.0</v>
      </c>
      <c r="B36" s="32" t="s">
        <v>42131</v>
      </c>
      <c r="C36" s="33">
        <v>10.0</v>
      </c>
      <c r="D36" s="32" t="s">
        <v>42132</v>
      </c>
      <c r="E36" s="32" t="s">
        <v>42133</v>
      </c>
      <c r="F36" s="31">
        <v>133.0</v>
      </c>
      <c r="G36" s="34">
        <v>1.0501331E7</v>
      </c>
    </row>
    <row r="37" ht="12.75" customHeight="1">
      <c r="A37" s="27">
        <v>450.0</v>
      </c>
      <c r="B37" s="28" t="s">
        <v>42134</v>
      </c>
      <c r="C37" s="29">
        <v>10.0</v>
      </c>
      <c r="D37" s="28" t="s">
        <v>42135</v>
      </c>
      <c r="E37" s="28" t="s">
        <v>42136</v>
      </c>
      <c r="F37" s="27">
        <v>139.0</v>
      </c>
      <c r="G37" s="30">
        <v>1.0501399E7</v>
      </c>
    </row>
    <row r="38" ht="12.75" customHeight="1">
      <c r="A38" s="31">
        <v>450.0</v>
      </c>
      <c r="B38" s="32" t="s">
        <v>42137</v>
      </c>
      <c r="C38" s="33">
        <v>10.0</v>
      </c>
      <c r="D38" s="32" t="s">
        <v>42138</v>
      </c>
      <c r="E38" s="32" t="s">
        <v>42139</v>
      </c>
      <c r="F38" s="31">
        <v>148.0</v>
      </c>
      <c r="G38" s="34">
        <v>1.0501481E7</v>
      </c>
    </row>
    <row r="39" ht="12.75" customHeight="1">
      <c r="A39" s="27">
        <v>450.0</v>
      </c>
      <c r="B39" s="28" t="s">
        <v>42140</v>
      </c>
      <c r="C39" s="29">
        <v>10.0</v>
      </c>
      <c r="D39" s="28" t="s">
        <v>42141</v>
      </c>
      <c r="E39" s="28" t="s">
        <v>42142</v>
      </c>
      <c r="F39" s="27">
        <v>154.0</v>
      </c>
      <c r="G39" s="30">
        <v>1.0501544E7</v>
      </c>
    </row>
    <row r="40" ht="12.75" customHeight="1">
      <c r="A40" s="31">
        <v>450.0</v>
      </c>
      <c r="B40" s="32" t="s">
        <v>42143</v>
      </c>
      <c r="C40" s="33">
        <v>10.0</v>
      </c>
      <c r="D40" s="32" t="s">
        <v>42144</v>
      </c>
      <c r="E40" s="32" t="s">
        <v>42145</v>
      </c>
      <c r="F40" s="31">
        <v>157.0</v>
      </c>
      <c r="G40" s="34">
        <v>1.0501573E7</v>
      </c>
    </row>
    <row r="41" ht="12.75" customHeight="1">
      <c r="A41" s="27">
        <v>450.0</v>
      </c>
      <c r="B41" s="28" t="s">
        <v>42146</v>
      </c>
      <c r="C41" s="29">
        <v>10.0</v>
      </c>
      <c r="D41" s="28" t="s">
        <v>42147</v>
      </c>
      <c r="E41" s="28" t="s">
        <v>42148</v>
      </c>
      <c r="F41" s="27">
        <v>166.0</v>
      </c>
      <c r="G41" s="30">
        <v>1.0501665E7</v>
      </c>
    </row>
    <row r="42" ht="12.75" customHeight="1">
      <c r="A42" s="31">
        <v>450.0</v>
      </c>
      <c r="B42" s="32" t="s">
        <v>42149</v>
      </c>
      <c r="C42" s="33">
        <v>10.0</v>
      </c>
      <c r="D42" s="32" t="s">
        <v>42150</v>
      </c>
      <c r="E42" s="32" t="s">
        <v>42151</v>
      </c>
      <c r="F42" s="31">
        <v>169.0</v>
      </c>
      <c r="G42" s="34">
        <v>1.0501694E7</v>
      </c>
    </row>
    <row r="43" ht="12.75" customHeight="1">
      <c r="A43" s="27">
        <v>251.0</v>
      </c>
      <c r="B43" s="28" t="s">
        <v>42152</v>
      </c>
      <c r="C43" s="29">
        <v>10.0</v>
      </c>
      <c r="D43" s="28" t="s">
        <v>42153</v>
      </c>
      <c r="E43" s="28" t="s">
        <v>42154</v>
      </c>
      <c r="F43" s="29">
        <v>7.0</v>
      </c>
      <c r="G43" s="30">
        <v>1.0510072E7</v>
      </c>
    </row>
    <row r="44" ht="12.75" customHeight="1">
      <c r="A44" s="31">
        <v>251.0</v>
      </c>
      <c r="B44" s="32" t="s">
        <v>42155</v>
      </c>
      <c r="C44" s="33">
        <v>10.0</v>
      </c>
      <c r="D44" s="32" t="s">
        <v>42156</v>
      </c>
      <c r="E44" s="32" t="s">
        <v>42157</v>
      </c>
      <c r="F44" s="33">
        <v>11.0</v>
      </c>
      <c r="G44" s="34">
        <v>1.0510119E7</v>
      </c>
    </row>
    <row r="45" ht="12.75" customHeight="1">
      <c r="A45" s="27">
        <v>251.0</v>
      </c>
      <c r="B45" s="28" t="s">
        <v>42158</v>
      </c>
      <c r="C45" s="29">
        <v>10.0</v>
      </c>
      <c r="D45" s="28" t="s">
        <v>42159</v>
      </c>
      <c r="E45" s="28" t="s">
        <v>42160</v>
      </c>
      <c r="F45" s="29">
        <v>12.0</v>
      </c>
      <c r="G45" s="30">
        <v>1.0510122E7</v>
      </c>
    </row>
    <row r="46" ht="12.75" customHeight="1">
      <c r="A46" s="31">
        <v>251.0</v>
      </c>
      <c r="B46" s="32" t="s">
        <v>42161</v>
      </c>
      <c r="C46" s="33">
        <v>10.0</v>
      </c>
      <c r="D46" s="32" t="s">
        <v>42162</v>
      </c>
      <c r="E46" s="32" t="s">
        <v>42163</v>
      </c>
      <c r="F46" s="33">
        <v>40.0</v>
      </c>
      <c r="G46" s="34">
        <v>1.0510401E7</v>
      </c>
    </row>
    <row r="47" ht="12.75" customHeight="1">
      <c r="A47" s="27">
        <v>251.0</v>
      </c>
      <c r="B47" s="28" t="s">
        <v>42164</v>
      </c>
      <c r="C47" s="29">
        <v>10.0</v>
      </c>
      <c r="D47" s="28" t="s">
        <v>42165</v>
      </c>
      <c r="E47" s="28" t="s">
        <v>42166</v>
      </c>
      <c r="F47" s="29">
        <v>46.0</v>
      </c>
      <c r="G47" s="30">
        <v>1.0510469E7</v>
      </c>
    </row>
    <row r="48" ht="12.75" customHeight="1">
      <c r="A48" s="31">
        <v>251.0</v>
      </c>
      <c r="B48" s="32" t="s">
        <v>42167</v>
      </c>
      <c r="C48" s="33">
        <v>10.0</v>
      </c>
      <c r="D48" s="32" t="s">
        <v>42168</v>
      </c>
      <c r="E48" s="32" t="s">
        <v>42169</v>
      </c>
      <c r="F48" s="33">
        <v>73.0</v>
      </c>
      <c r="G48" s="34">
        <v>1.0510735E7</v>
      </c>
    </row>
    <row r="49" ht="12.75" customHeight="1">
      <c r="A49" s="27">
        <v>251.0</v>
      </c>
      <c r="B49" s="28" t="s">
        <v>42170</v>
      </c>
      <c r="C49" s="29">
        <v>10.0</v>
      </c>
      <c r="D49" s="28" t="s">
        <v>42171</v>
      </c>
      <c r="E49" s="28" t="s">
        <v>42172</v>
      </c>
      <c r="F49" s="29">
        <v>82.0</v>
      </c>
      <c r="G49" s="30">
        <v>1.0510827E7</v>
      </c>
    </row>
    <row r="50" ht="12.75" customHeight="1">
      <c r="A50" s="31">
        <v>251.0</v>
      </c>
      <c r="B50" s="32" t="s">
        <v>42173</v>
      </c>
      <c r="C50" s="33">
        <v>10.0</v>
      </c>
      <c r="D50" s="32" t="s">
        <v>42174</v>
      </c>
      <c r="E50" s="32" t="s">
        <v>42175</v>
      </c>
      <c r="F50" s="33">
        <v>91.0</v>
      </c>
      <c r="G50" s="34">
        <v>1.0510919E7</v>
      </c>
    </row>
    <row r="51" ht="12.75" customHeight="1">
      <c r="A51" s="27">
        <v>251.0</v>
      </c>
      <c r="B51" s="28" t="s">
        <v>42176</v>
      </c>
      <c r="C51" s="29">
        <v>10.0</v>
      </c>
      <c r="D51" s="28" t="s">
        <v>42177</v>
      </c>
      <c r="E51" s="28" t="s">
        <v>42178</v>
      </c>
      <c r="F51" s="29">
        <v>97.0</v>
      </c>
      <c r="G51" s="30">
        <v>1.0510977E7</v>
      </c>
    </row>
    <row r="52" ht="12.75" customHeight="1">
      <c r="A52" s="31">
        <v>251.0</v>
      </c>
      <c r="B52" s="32" t="s">
        <v>42179</v>
      </c>
      <c r="C52" s="33">
        <v>10.0</v>
      </c>
      <c r="D52" s="32" t="s">
        <v>42180</v>
      </c>
      <c r="E52" s="32" t="s">
        <v>42181</v>
      </c>
      <c r="F52" s="31">
        <v>103.0</v>
      </c>
      <c r="G52" s="34">
        <v>1.0511039E7</v>
      </c>
    </row>
    <row r="53" ht="12.75" customHeight="1">
      <c r="A53" s="27">
        <v>251.0</v>
      </c>
      <c r="B53" s="28" t="s">
        <v>42182</v>
      </c>
      <c r="C53" s="29">
        <v>10.0</v>
      </c>
      <c r="D53" s="28" t="s">
        <v>42183</v>
      </c>
      <c r="E53" s="28" t="s">
        <v>42184</v>
      </c>
      <c r="F53" s="27">
        <v>106.0</v>
      </c>
      <c r="G53" s="30">
        <v>1.0511068E7</v>
      </c>
    </row>
    <row r="54" ht="12.75" customHeight="1">
      <c r="A54" s="31">
        <v>752.0</v>
      </c>
      <c r="B54" s="32" t="s">
        <v>42185</v>
      </c>
      <c r="C54" s="33">
        <v>10.0</v>
      </c>
      <c r="D54" s="32" t="s">
        <v>42186</v>
      </c>
      <c r="E54" s="32" t="s">
        <v>42187</v>
      </c>
      <c r="F54" s="33">
        <v>5.0</v>
      </c>
      <c r="G54" s="34">
        <v>1.0520059E7</v>
      </c>
    </row>
    <row r="55" ht="12.75" customHeight="1">
      <c r="A55" s="27">
        <v>752.0</v>
      </c>
      <c r="B55" s="28" t="s">
        <v>42188</v>
      </c>
      <c r="C55" s="29">
        <v>10.0</v>
      </c>
      <c r="D55" s="28" t="s">
        <v>42189</v>
      </c>
      <c r="E55" s="28" t="s">
        <v>42190</v>
      </c>
      <c r="F55" s="29">
        <v>46.0</v>
      </c>
      <c r="G55" s="30">
        <v>1.0520462E7</v>
      </c>
    </row>
    <row r="56" ht="12.75" customHeight="1">
      <c r="A56" s="31">
        <v>354.0</v>
      </c>
      <c r="B56" s="32" t="s">
        <v>42191</v>
      </c>
      <c r="C56" s="33">
        <v>10.0</v>
      </c>
      <c r="D56" s="32" t="s">
        <v>42192</v>
      </c>
      <c r="E56" s="32" t="s">
        <v>42193</v>
      </c>
      <c r="F56" s="33">
        <v>7.0</v>
      </c>
      <c r="G56" s="34">
        <v>1.0540071E7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354.0</v>
      </c>
      <c r="B1" s="28" t="s">
        <v>42194</v>
      </c>
      <c r="C1" s="29">
        <v>10.0</v>
      </c>
      <c r="D1" s="28" t="s">
        <v>42195</v>
      </c>
      <c r="E1" s="28" t="s">
        <v>42196</v>
      </c>
      <c r="F1" s="29">
        <v>8.0</v>
      </c>
      <c r="G1" s="30">
        <v>1.0540084E7</v>
      </c>
    </row>
    <row r="2" ht="12.75" customHeight="1">
      <c r="A2" s="31">
        <v>354.0</v>
      </c>
      <c r="B2" s="32" t="s">
        <v>42197</v>
      </c>
      <c r="C2" s="33">
        <v>10.0</v>
      </c>
      <c r="D2" s="32" t="s">
        <v>42198</v>
      </c>
      <c r="E2" s="32" t="s">
        <v>42199</v>
      </c>
      <c r="F2" s="33">
        <v>28.0</v>
      </c>
      <c r="G2" s="34">
        <v>1.0540284E7</v>
      </c>
    </row>
    <row r="3" ht="12.75" customHeight="1">
      <c r="A3" s="27">
        <v>354.0</v>
      </c>
      <c r="B3" s="28" t="s">
        <v>42200</v>
      </c>
      <c r="C3" s="29">
        <v>10.0</v>
      </c>
      <c r="D3" s="28" t="s">
        <v>42201</v>
      </c>
      <c r="E3" s="28" t="s">
        <v>42202</v>
      </c>
      <c r="F3" s="29">
        <v>40.0</v>
      </c>
      <c r="G3" s="30">
        <v>1.05404E7</v>
      </c>
    </row>
    <row r="4" ht="12.75" customHeight="1">
      <c r="A4" s="31">
        <v>354.0</v>
      </c>
      <c r="B4" s="32" t="s">
        <v>42203</v>
      </c>
      <c r="C4" s="33">
        <v>10.0</v>
      </c>
      <c r="D4" s="32" t="s">
        <v>42204</v>
      </c>
      <c r="E4" s="32" t="s">
        <v>42205</v>
      </c>
      <c r="F4" s="33">
        <v>58.0</v>
      </c>
      <c r="G4" s="34">
        <v>1.0540589E7</v>
      </c>
    </row>
    <row r="5" ht="12.75" customHeight="1">
      <c r="A5" s="27">
        <v>354.0</v>
      </c>
      <c r="B5" s="28" t="s">
        <v>42206</v>
      </c>
      <c r="C5" s="29">
        <v>10.0</v>
      </c>
      <c r="D5" s="28" t="s">
        <v>42207</v>
      </c>
      <c r="E5" s="28" t="s">
        <v>42208</v>
      </c>
      <c r="F5" s="29">
        <v>76.0</v>
      </c>
      <c r="G5" s="30">
        <v>1.0540763E7</v>
      </c>
    </row>
    <row r="6" ht="12.75" customHeight="1">
      <c r="A6" s="31">
        <v>455.0</v>
      </c>
      <c r="B6" s="32" t="s">
        <v>42209</v>
      </c>
      <c r="C6" s="33">
        <v>10.0</v>
      </c>
      <c r="D6" s="32" t="s">
        <v>42210</v>
      </c>
      <c r="E6" s="32" t="s">
        <v>42211</v>
      </c>
      <c r="F6" s="33">
        <v>13.0</v>
      </c>
      <c r="G6" s="34">
        <v>1.0550137E7</v>
      </c>
    </row>
    <row r="7" ht="12.75" customHeight="1">
      <c r="A7" s="27">
        <v>455.0</v>
      </c>
      <c r="B7" s="28" t="s">
        <v>42212</v>
      </c>
      <c r="C7" s="29">
        <v>10.0</v>
      </c>
      <c r="D7" s="28" t="s">
        <v>42213</v>
      </c>
      <c r="E7" s="28" t="s">
        <v>42214</v>
      </c>
      <c r="F7" s="29">
        <v>16.0</v>
      </c>
      <c r="G7" s="30">
        <v>1.0550166E7</v>
      </c>
    </row>
    <row r="8" ht="12.75" customHeight="1">
      <c r="A8" s="31">
        <v>455.0</v>
      </c>
      <c r="B8" s="32" t="s">
        <v>42215</v>
      </c>
      <c r="C8" s="33">
        <v>10.0</v>
      </c>
      <c r="D8" s="32" t="s">
        <v>42216</v>
      </c>
      <c r="E8" s="32" t="s">
        <v>42217</v>
      </c>
      <c r="F8" s="33">
        <v>37.0</v>
      </c>
      <c r="G8" s="34">
        <v>1.0550379E7</v>
      </c>
    </row>
    <row r="9" ht="12.75" customHeight="1">
      <c r="A9" s="27">
        <v>455.0</v>
      </c>
      <c r="B9" s="28" t="s">
        <v>42218</v>
      </c>
      <c r="C9" s="29">
        <v>10.0</v>
      </c>
      <c r="D9" s="28" t="s">
        <v>42219</v>
      </c>
      <c r="E9" s="28" t="s">
        <v>42220</v>
      </c>
      <c r="F9" s="29">
        <v>40.0</v>
      </c>
      <c r="G9" s="30">
        <v>1.0550403E7</v>
      </c>
    </row>
    <row r="10" ht="12.75" customHeight="1">
      <c r="A10" s="31">
        <v>455.0</v>
      </c>
      <c r="B10" s="32" t="s">
        <v>42221</v>
      </c>
      <c r="C10" s="33">
        <v>10.0</v>
      </c>
      <c r="D10" s="32" t="s">
        <v>42222</v>
      </c>
      <c r="E10" s="32" t="s">
        <v>42223</v>
      </c>
      <c r="F10" s="33">
        <v>55.0</v>
      </c>
      <c r="G10" s="34">
        <v>1.0550553E7</v>
      </c>
    </row>
    <row r="11" ht="12.75" customHeight="1">
      <c r="A11" s="27">
        <v>455.0</v>
      </c>
      <c r="B11" s="28" t="s">
        <v>42224</v>
      </c>
      <c r="C11" s="29">
        <v>10.0</v>
      </c>
      <c r="D11" s="28" t="s">
        <v>42225</v>
      </c>
      <c r="E11" s="28" t="s">
        <v>42226</v>
      </c>
      <c r="F11" s="29">
        <v>61.0</v>
      </c>
      <c r="G11" s="30">
        <v>1.0550616E7</v>
      </c>
    </row>
    <row r="12" ht="12.75" customHeight="1">
      <c r="A12" s="31">
        <v>455.0</v>
      </c>
      <c r="B12" s="32" t="s">
        <v>42227</v>
      </c>
      <c r="C12" s="33">
        <v>10.0</v>
      </c>
      <c r="D12" s="32" t="s">
        <v>42228</v>
      </c>
      <c r="E12" s="32" t="s">
        <v>42229</v>
      </c>
      <c r="F12" s="33">
        <v>97.0</v>
      </c>
      <c r="G12" s="34">
        <v>1.0550979E7</v>
      </c>
    </row>
    <row r="13" ht="12.75" customHeight="1">
      <c r="A13" s="27">
        <v>455.0</v>
      </c>
      <c r="B13" s="28" t="s">
        <v>42230</v>
      </c>
      <c r="C13" s="29">
        <v>10.0</v>
      </c>
      <c r="D13" s="28" t="s">
        <v>42231</v>
      </c>
      <c r="E13" s="28" t="s">
        <v>42232</v>
      </c>
      <c r="F13" s="27">
        <v>100.0</v>
      </c>
      <c r="G13" s="30">
        <v>1.0551002E7</v>
      </c>
    </row>
    <row r="14" ht="12.75" customHeight="1">
      <c r="A14" s="31">
        <v>156.0</v>
      </c>
      <c r="B14" s="32" t="s">
        <v>42233</v>
      </c>
      <c r="C14" s="33">
        <v>10.0</v>
      </c>
      <c r="D14" s="32" t="s">
        <v>42234</v>
      </c>
      <c r="E14" s="32" t="s">
        <v>42235</v>
      </c>
      <c r="F14" s="33">
        <v>4.0</v>
      </c>
      <c r="G14" s="34">
        <v>1.0560048E7</v>
      </c>
    </row>
    <row r="15" ht="12.75" customHeight="1">
      <c r="A15" s="27">
        <v>156.0</v>
      </c>
      <c r="B15" s="28" t="s">
        <v>42236</v>
      </c>
      <c r="C15" s="29">
        <v>10.0</v>
      </c>
      <c r="D15" s="28" t="s">
        <v>42237</v>
      </c>
      <c r="E15" s="28" t="s">
        <v>42238</v>
      </c>
      <c r="F15" s="29">
        <v>6.0</v>
      </c>
      <c r="G15" s="30">
        <v>1.0560064E7</v>
      </c>
    </row>
    <row r="16" ht="12.75" customHeight="1">
      <c r="A16" s="31">
        <v>156.0</v>
      </c>
      <c r="B16" s="32" t="s">
        <v>42239</v>
      </c>
      <c r="C16" s="33">
        <v>10.0</v>
      </c>
      <c r="D16" s="32" t="s">
        <v>42240</v>
      </c>
      <c r="E16" s="32" t="s">
        <v>42241</v>
      </c>
      <c r="F16" s="33">
        <v>16.0</v>
      </c>
      <c r="G16" s="34">
        <v>1.0560169E7</v>
      </c>
    </row>
    <row r="17" ht="12.75" customHeight="1">
      <c r="A17" s="27">
        <v>156.0</v>
      </c>
      <c r="B17" s="28" t="s">
        <v>42242</v>
      </c>
      <c r="C17" s="29">
        <v>10.0</v>
      </c>
      <c r="D17" s="28" t="s">
        <v>42243</v>
      </c>
      <c r="E17" s="28" t="s">
        <v>42244</v>
      </c>
      <c r="F17" s="29">
        <v>22.0</v>
      </c>
      <c r="G17" s="30">
        <v>1.0560222E7</v>
      </c>
    </row>
    <row r="18" ht="12.75" customHeight="1">
      <c r="A18" s="31">
        <v>156.0</v>
      </c>
      <c r="B18" s="32" t="s">
        <v>42245</v>
      </c>
      <c r="C18" s="33">
        <v>10.0</v>
      </c>
      <c r="D18" s="32" t="s">
        <v>42246</v>
      </c>
      <c r="E18" s="32" t="s">
        <v>42247</v>
      </c>
      <c r="F18" s="33">
        <v>31.0</v>
      </c>
      <c r="G18" s="34">
        <v>1.0560314E7</v>
      </c>
    </row>
    <row r="19" ht="12.75" customHeight="1">
      <c r="A19" s="27">
        <v>156.0</v>
      </c>
      <c r="B19" s="28" t="s">
        <v>42248</v>
      </c>
      <c r="C19" s="29">
        <v>10.0</v>
      </c>
      <c r="D19" s="28" t="s">
        <v>42249</v>
      </c>
      <c r="E19" s="28" t="s">
        <v>42250</v>
      </c>
      <c r="F19" s="29">
        <v>49.0</v>
      </c>
      <c r="G19" s="30">
        <v>1.0560493E7</v>
      </c>
    </row>
    <row r="20" ht="12.75" customHeight="1">
      <c r="A20" s="31">
        <v>156.0</v>
      </c>
      <c r="B20" s="32" t="s">
        <v>42251</v>
      </c>
      <c r="C20" s="33">
        <v>10.0</v>
      </c>
      <c r="D20" s="32" t="s">
        <v>42252</v>
      </c>
      <c r="E20" s="32" t="s">
        <v>42253</v>
      </c>
      <c r="F20" s="33">
        <v>55.0</v>
      </c>
      <c r="G20" s="34">
        <v>1.0560556E7</v>
      </c>
    </row>
    <row r="21" ht="12.75" customHeight="1">
      <c r="A21" s="27">
        <v>156.0</v>
      </c>
      <c r="B21" s="28" t="s">
        <v>42254</v>
      </c>
      <c r="C21" s="29">
        <v>10.0</v>
      </c>
      <c r="D21" s="28" t="s">
        <v>42255</v>
      </c>
      <c r="E21" s="28" t="s">
        <v>42256</v>
      </c>
      <c r="F21" s="29">
        <v>58.0</v>
      </c>
      <c r="G21" s="30">
        <v>1.0560585E7</v>
      </c>
    </row>
    <row r="22" ht="12.75" customHeight="1">
      <c r="A22" s="31">
        <v>156.0</v>
      </c>
      <c r="B22" s="32" t="s">
        <v>42257</v>
      </c>
      <c r="C22" s="33">
        <v>10.0</v>
      </c>
      <c r="D22" s="32" t="s">
        <v>42258</v>
      </c>
      <c r="E22" s="32" t="s">
        <v>42259</v>
      </c>
      <c r="F22" s="33">
        <v>61.0</v>
      </c>
      <c r="G22" s="34">
        <v>1.0560619E7</v>
      </c>
    </row>
    <row r="23" ht="12.75" customHeight="1">
      <c r="A23" s="27">
        <v>156.0</v>
      </c>
      <c r="B23" s="28" t="s">
        <v>42260</v>
      </c>
      <c r="C23" s="29">
        <v>10.0</v>
      </c>
      <c r="D23" s="28" t="s">
        <v>42261</v>
      </c>
      <c r="E23" s="28" t="s">
        <v>42262</v>
      </c>
      <c r="F23" s="29">
        <v>67.0</v>
      </c>
      <c r="G23" s="30">
        <v>1.0560677E7</v>
      </c>
    </row>
    <row r="24" ht="12.75" customHeight="1">
      <c r="A24" s="31">
        <v>156.0</v>
      </c>
      <c r="B24" s="32" t="s">
        <v>42263</v>
      </c>
      <c r="C24" s="33">
        <v>10.0</v>
      </c>
      <c r="D24" s="32" t="s">
        <v>42264</v>
      </c>
      <c r="E24" s="32" t="s">
        <v>42265</v>
      </c>
      <c r="F24" s="33">
        <v>82.0</v>
      </c>
      <c r="G24" s="34">
        <v>1.0560822E7</v>
      </c>
    </row>
    <row r="25" ht="12.75" customHeight="1">
      <c r="A25" s="27">
        <v>156.0</v>
      </c>
      <c r="B25" s="28" t="s">
        <v>42266</v>
      </c>
      <c r="C25" s="29">
        <v>10.0</v>
      </c>
      <c r="D25" s="28" t="s">
        <v>42267</v>
      </c>
      <c r="E25" s="28" t="s">
        <v>42268</v>
      </c>
      <c r="F25" s="29">
        <v>88.0</v>
      </c>
      <c r="G25" s="30">
        <v>1.056088E7</v>
      </c>
    </row>
    <row r="26" ht="12.75" customHeight="1">
      <c r="A26" s="31">
        <v>457.0</v>
      </c>
      <c r="B26" s="32" t="s">
        <v>42269</v>
      </c>
      <c r="C26" s="33">
        <v>10.0</v>
      </c>
      <c r="D26" s="32" t="s">
        <v>42270</v>
      </c>
      <c r="E26" s="32" t="s">
        <v>42271</v>
      </c>
      <c r="F26" s="33">
        <v>7.0</v>
      </c>
      <c r="G26" s="34">
        <v>1.057007E7</v>
      </c>
    </row>
    <row r="27" ht="12.75" customHeight="1">
      <c r="A27" s="27">
        <v>457.0</v>
      </c>
      <c r="B27" s="28" t="s">
        <v>42272</v>
      </c>
      <c r="C27" s="29">
        <v>10.0</v>
      </c>
      <c r="D27" s="28" t="s">
        <v>42273</v>
      </c>
      <c r="E27" s="28" t="s">
        <v>42274</v>
      </c>
      <c r="F27" s="29">
        <v>13.0</v>
      </c>
      <c r="G27" s="30">
        <v>1.0570133E7</v>
      </c>
    </row>
    <row r="28" ht="12.75" customHeight="1">
      <c r="A28" s="31">
        <v>457.0</v>
      </c>
      <c r="B28" s="32" t="s">
        <v>42275</v>
      </c>
      <c r="C28" s="33">
        <v>10.0</v>
      </c>
      <c r="D28" s="32" t="s">
        <v>42276</v>
      </c>
      <c r="E28" s="32" t="s">
        <v>42277</v>
      </c>
      <c r="F28" s="33">
        <v>22.0</v>
      </c>
      <c r="G28" s="34">
        <v>1.0570225E7</v>
      </c>
    </row>
    <row r="29" ht="12.75" customHeight="1">
      <c r="A29" s="27">
        <v>457.0</v>
      </c>
      <c r="B29" s="28" t="s">
        <v>42278</v>
      </c>
      <c r="C29" s="29">
        <v>10.0</v>
      </c>
      <c r="D29" s="28" t="s">
        <v>42279</v>
      </c>
      <c r="E29" s="28" t="s">
        <v>42280</v>
      </c>
      <c r="F29" s="29">
        <v>37.0</v>
      </c>
      <c r="G29" s="30">
        <v>1.0570375E7</v>
      </c>
    </row>
    <row r="30" ht="12.75" customHeight="1">
      <c r="A30" s="31">
        <v>457.0</v>
      </c>
      <c r="B30" s="32" t="s">
        <v>42281</v>
      </c>
      <c r="C30" s="33">
        <v>10.0</v>
      </c>
      <c r="D30" s="32" t="s">
        <v>42282</v>
      </c>
      <c r="E30" s="32" t="s">
        <v>42283</v>
      </c>
      <c r="F30" s="33">
        <v>46.0</v>
      </c>
      <c r="G30" s="34">
        <v>1.0570467E7</v>
      </c>
    </row>
    <row r="31" ht="12.75" customHeight="1">
      <c r="A31" s="27">
        <v>858.0</v>
      </c>
      <c r="B31" s="28" t="s">
        <v>42284</v>
      </c>
      <c r="C31" s="29">
        <v>10.0</v>
      </c>
      <c r="D31" s="28" t="s">
        <v>42285</v>
      </c>
      <c r="E31" s="28" t="s">
        <v>42286</v>
      </c>
      <c r="F31" s="29">
        <v>22.0</v>
      </c>
      <c r="G31" s="30">
        <v>1.0580228E7</v>
      </c>
    </row>
    <row r="32" ht="12.75" customHeight="1">
      <c r="A32" s="31">
        <v>858.0</v>
      </c>
      <c r="B32" s="32" t="s">
        <v>42287</v>
      </c>
      <c r="C32" s="33">
        <v>10.0</v>
      </c>
      <c r="D32" s="32" t="s">
        <v>42288</v>
      </c>
      <c r="E32" s="32" t="s">
        <v>42289</v>
      </c>
      <c r="F32" s="33">
        <v>55.0</v>
      </c>
      <c r="G32" s="34">
        <v>1.0580552E7</v>
      </c>
    </row>
    <row r="33" ht="12.75" customHeight="1">
      <c r="A33" s="27">
        <v>858.0</v>
      </c>
      <c r="B33" s="28" t="s">
        <v>42290</v>
      </c>
      <c r="C33" s="29">
        <v>10.0</v>
      </c>
      <c r="D33" s="28" t="s">
        <v>42291</v>
      </c>
      <c r="E33" s="28" t="s">
        <v>42292</v>
      </c>
      <c r="F33" s="29">
        <v>58.0</v>
      </c>
      <c r="G33" s="30">
        <v>1.0580581E7</v>
      </c>
    </row>
    <row r="34" ht="12.75" customHeight="1">
      <c r="A34" s="31">
        <v>858.0</v>
      </c>
      <c r="B34" s="32" t="s">
        <v>42293</v>
      </c>
      <c r="C34" s="33">
        <v>10.0</v>
      </c>
      <c r="D34" s="32" t="s">
        <v>42294</v>
      </c>
      <c r="E34" s="32" t="s">
        <v>42295</v>
      </c>
      <c r="F34" s="33">
        <v>82.0</v>
      </c>
      <c r="G34" s="34">
        <v>1.0580828E7</v>
      </c>
    </row>
    <row r="35" ht="12.75" customHeight="1">
      <c r="A35" s="27">
        <v>858.0</v>
      </c>
      <c r="B35" s="28" t="s">
        <v>42296</v>
      </c>
      <c r="C35" s="29">
        <v>10.0</v>
      </c>
      <c r="D35" s="28" t="s">
        <v>42297</v>
      </c>
      <c r="E35" s="28" t="s">
        <v>42298</v>
      </c>
      <c r="F35" s="29">
        <v>85.0</v>
      </c>
      <c r="G35" s="30">
        <v>1.0580857E7</v>
      </c>
    </row>
    <row r="36" ht="12.75" customHeight="1">
      <c r="A36" s="31">
        <v>858.0</v>
      </c>
      <c r="B36" s="32" t="s">
        <v>42299</v>
      </c>
      <c r="C36" s="33">
        <v>10.0</v>
      </c>
      <c r="D36" s="32" t="s">
        <v>42300</v>
      </c>
      <c r="E36" s="32" t="s">
        <v>42301</v>
      </c>
      <c r="F36" s="33">
        <v>94.0</v>
      </c>
      <c r="G36" s="34">
        <v>1.0580949E7</v>
      </c>
    </row>
    <row r="37" ht="12.75" customHeight="1">
      <c r="A37" s="27">
        <v>858.0</v>
      </c>
      <c r="B37" s="28" t="s">
        <v>42302</v>
      </c>
      <c r="C37" s="29">
        <v>10.0</v>
      </c>
      <c r="D37" s="28" t="s">
        <v>42303</v>
      </c>
      <c r="E37" s="28" t="s">
        <v>42304</v>
      </c>
      <c r="F37" s="27">
        <v>100.0</v>
      </c>
      <c r="G37" s="30">
        <v>1.0581001E7</v>
      </c>
    </row>
    <row r="38" ht="12.75" customHeight="1">
      <c r="A38" s="31">
        <v>858.0</v>
      </c>
      <c r="B38" s="32" t="s">
        <v>42305</v>
      </c>
      <c r="C38" s="33">
        <v>10.0</v>
      </c>
      <c r="D38" s="32" t="s">
        <v>42306</v>
      </c>
      <c r="E38" s="32" t="s">
        <v>42307</v>
      </c>
      <c r="F38" s="31">
        <v>115.0</v>
      </c>
      <c r="G38" s="34">
        <v>1.0581151E7</v>
      </c>
    </row>
    <row r="39" ht="12.75" customHeight="1">
      <c r="A39" s="27">
        <v>858.0</v>
      </c>
      <c r="B39" s="28" t="s">
        <v>42308</v>
      </c>
      <c r="C39" s="29">
        <v>10.0</v>
      </c>
      <c r="D39" s="28" t="s">
        <v>42309</v>
      </c>
      <c r="E39" s="28" t="s">
        <v>42310</v>
      </c>
      <c r="F39" s="27">
        <v>118.0</v>
      </c>
      <c r="G39" s="30">
        <v>1.058118E7</v>
      </c>
    </row>
    <row r="40" ht="12.75" customHeight="1">
      <c r="A40" s="31">
        <v>858.0</v>
      </c>
      <c r="B40" s="32" t="s">
        <v>42311</v>
      </c>
      <c r="C40" s="33">
        <v>10.0</v>
      </c>
      <c r="D40" s="32" t="s">
        <v>42312</v>
      </c>
      <c r="E40" s="32" t="s">
        <v>42313</v>
      </c>
      <c r="F40" s="31">
        <v>124.0</v>
      </c>
      <c r="G40" s="34">
        <v>1.0581243E7</v>
      </c>
    </row>
    <row r="41" ht="12.75" customHeight="1">
      <c r="A41" s="27">
        <v>858.0</v>
      </c>
      <c r="B41" s="28" t="s">
        <v>42314</v>
      </c>
      <c r="C41" s="29">
        <v>10.0</v>
      </c>
      <c r="D41" s="28" t="s">
        <v>42315</v>
      </c>
      <c r="E41" s="28" t="s">
        <v>42316</v>
      </c>
      <c r="F41" s="27">
        <v>136.0</v>
      </c>
      <c r="G41" s="30">
        <v>1.0581364E7</v>
      </c>
    </row>
    <row r="42" ht="12.75" customHeight="1">
      <c r="A42" s="31">
        <v>858.0</v>
      </c>
      <c r="B42" s="32" t="s">
        <v>42317</v>
      </c>
      <c r="C42" s="33">
        <v>10.0</v>
      </c>
      <c r="D42" s="32" t="s">
        <v>42318</v>
      </c>
      <c r="E42" s="32" t="s">
        <v>42319</v>
      </c>
      <c r="F42" s="31">
        <v>169.0</v>
      </c>
      <c r="G42" s="34">
        <v>1.0581698E7</v>
      </c>
    </row>
    <row r="43" ht="12.75" customHeight="1">
      <c r="A43" s="27">
        <v>858.0</v>
      </c>
      <c r="B43" s="28" t="s">
        <v>42320</v>
      </c>
      <c r="C43" s="29">
        <v>10.0</v>
      </c>
      <c r="D43" s="28" t="s">
        <v>42321</v>
      </c>
      <c r="E43" s="28" t="s">
        <v>42322</v>
      </c>
      <c r="F43" s="27">
        <v>172.0</v>
      </c>
      <c r="G43" s="30">
        <v>1.0581722E7</v>
      </c>
    </row>
    <row r="44" ht="12.75" customHeight="1">
      <c r="A44" s="31">
        <v>159.0</v>
      </c>
      <c r="B44" s="32" t="s">
        <v>42323</v>
      </c>
      <c r="C44" s="33">
        <v>10.0</v>
      </c>
      <c r="D44" s="32" t="s">
        <v>42324</v>
      </c>
      <c r="E44" s="32" t="s">
        <v>42325</v>
      </c>
      <c r="F44" s="33">
        <v>13.0</v>
      </c>
      <c r="G44" s="34">
        <v>1.0590139E7</v>
      </c>
    </row>
    <row r="45" ht="12.75" customHeight="1">
      <c r="A45" s="27">
        <v>159.0</v>
      </c>
      <c r="B45" s="28" t="s">
        <v>42326</v>
      </c>
      <c r="C45" s="29">
        <v>10.0</v>
      </c>
      <c r="D45" s="28" t="s">
        <v>42327</v>
      </c>
      <c r="E45" s="28" t="s">
        <v>42328</v>
      </c>
      <c r="F45" s="29">
        <v>43.0</v>
      </c>
      <c r="G45" s="30">
        <v>1.0590434E7</v>
      </c>
    </row>
    <row r="46" ht="12.75" customHeight="1">
      <c r="A46" s="31">
        <v>159.0</v>
      </c>
      <c r="B46" s="32" t="s">
        <v>42329</v>
      </c>
      <c r="C46" s="33">
        <v>10.0</v>
      </c>
      <c r="D46" s="32" t="s">
        <v>42330</v>
      </c>
      <c r="E46" s="32" t="s">
        <v>42331</v>
      </c>
      <c r="F46" s="33">
        <v>55.0</v>
      </c>
      <c r="G46" s="34">
        <v>1.0590555E7</v>
      </c>
    </row>
    <row r="47" ht="12.75" customHeight="1">
      <c r="A47" s="27">
        <v>159.0</v>
      </c>
      <c r="B47" s="28" t="s">
        <v>42332</v>
      </c>
      <c r="C47" s="29">
        <v>10.0</v>
      </c>
      <c r="D47" s="28" t="s">
        <v>42333</v>
      </c>
      <c r="E47" s="28" t="s">
        <v>42334</v>
      </c>
      <c r="F47" s="29">
        <v>61.0</v>
      </c>
      <c r="G47" s="30">
        <v>1.0590618E7</v>
      </c>
    </row>
    <row r="48" ht="12.75" customHeight="1">
      <c r="A48" s="31">
        <v>159.0</v>
      </c>
      <c r="B48" s="32" t="s">
        <v>42335</v>
      </c>
      <c r="C48" s="33">
        <v>10.0</v>
      </c>
      <c r="D48" s="32" t="s">
        <v>42336</v>
      </c>
      <c r="E48" s="32" t="s">
        <v>42337</v>
      </c>
      <c r="F48" s="33">
        <v>64.0</v>
      </c>
      <c r="G48" s="34">
        <v>1.0590647E7</v>
      </c>
    </row>
    <row r="49" ht="12.75" customHeight="1">
      <c r="A49" s="27">
        <v>159.0</v>
      </c>
      <c r="B49" s="28" t="s">
        <v>42338</v>
      </c>
      <c r="C49" s="29">
        <v>10.0</v>
      </c>
      <c r="D49" s="28" t="s">
        <v>42339</v>
      </c>
      <c r="E49" s="28" t="s">
        <v>42340</v>
      </c>
      <c r="F49" s="29">
        <v>70.0</v>
      </c>
      <c r="G49" s="30">
        <v>1.05907E7</v>
      </c>
    </row>
    <row r="50" ht="12.75" customHeight="1">
      <c r="A50" s="31">
        <v>159.0</v>
      </c>
      <c r="B50" s="32" t="s">
        <v>42341</v>
      </c>
      <c r="C50" s="33">
        <v>10.0</v>
      </c>
      <c r="D50" s="32" t="s">
        <v>42342</v>
      </c>
      <c r="E50" s="32" t="s">
        <v>42343</v>
      </c>
      <c r="F50" s="33">
        <v>82.0</v>
      </c>
      <c r="G50" s="34">
        <v>1.0590821E7</v>
      </c>
    </row>
    <row r="51" ht="12.75" customHeight="1">
      <c r="A51" s="27">
        <v>159.0</v>
      </c>
      <c r="B51" s="28" t="s">
        <v>42344</v>
      </c>
      <c r="C51" s="29">
        <v>10.0</v>
      </c>
      <c r="D51" s="28" t="s">
        <v>42345</v>
      </c>
      <c r="E51" s="28" t="s">
        <v>42346</v>
      </c>
      <c r="F51" s="29">
        <v>97.0</v>
      </c>
      <c r="G51" s="30">
        <v>1.0590971E7</v>
      </c>
    </row>
    <row r="52" ht="12.75" customHeight="1">
      <c r="A52" s="31">
        <v>159.0</v>
      </c>
      <c r="B52" s="32" t="s">
        <v>42347</v>
      </c>
      <c r="C52" s="33">
        <v>10.0</v>
      </c>
      <c r="D52" s="32" t="s">
        <v>42348</v>
      </c>
      <c r="E52" s="32" t="s">
        <v>42349</v>
      </c>
      <c r="F52" s="31">
        <v>100.0</v>
      </c>
      <c r="G52" s="34">
        <v>1.0591004E7</v>
      </c>
    </row>
    <row r="53" ht="12.75" customHeight="1">
      <c r="A53" s="27">
        <v>159.0</v>
      </c>
      <c r="B53" s="28" t="s">
        <v>42350</v>
      </c>
      <c r="C53" s="29">
        <v>10.0</v>
      </c>
      <c r="D53" s="28" t="s">
        <v>42351</v>
      </c>
      <c r="E53" s="28" t="s">
        <v>42352</v>
      </c>
      <c r="F53" s="27">
        <v>103.0</v>
      </c>
      <c r="G53" s="30">
        <v>1.0591033E7</v>
      </c>
    </row>
    <row r="54" ht="12.75" customHeight="1">
      <c r="A54" s="31">
        <v>159.0</v>
      </c>
      <c r="B54" s="32" t="s">
        <v>42353</v>
      </c>
      <c r="C54" s="33">
        <v>10.0</v>
      </c>
      <c r="D54" s="32" t="s">
        <v>42354</v>
      </c>
      <c r="E54" s="32" t="s">
        <v>42355</v>
      </c>
      <c r="F54" s="31">
        <v>106.0</v>
      </c>
      <c r="G54" s="34">
        <v>1.0591062E7</v>
      </c>
    </row>
    <row r="55" ht="12.75" customHeight="1">
      <c r="A55" s="27">
        <v>159.0</v>
      </c>
      <c r="B55" s="28" t="s">
        <v>42356</v>
      </c>
      <c r="C55" s="29">
        <v>10.0</v>
      </c>
      <c r="D55" s="28" t="s">
        <v>42357</v>
      </c>
      <c r="E55" s="28" t="s">
        <v>42358</v>
      </c>
      <c r="F55" s="27">
        <v>115.0</v>
      </c>
      <c r="G55" s="30">
        <v>1.0591154E7</v>
      </c>
    </row>
    <row r="56" ht="12.75" customHeight="1">
      <c r="A56" s="31">
        <v>159.0</v>
      </c>
      <c r="B56" s="32" t="s">
        <v>42359</v>
      </c>
      <c r="C56" s="33">
        <v>10.0</v>
      </c>
      <c r="D56" s="32" t="s">
        <v>42360</v>
      </c>
      <c r="E56" s="32" t="s">
        <v>42361</v>
      </c>
      <c r="F56" s="31">
        <v>136.0</v>
      </c>
      <c r="G56" s="34">
        <v>1.0591367E7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159.0</v>
      </c>
      <c r="B1" s="28" t="s">
        <v>42362</v>
      </c>
      <c r="C1" s="29">
        <v>10.0</v>
      </c>
      <c r="D1" s="28" t="s">
        <v>42363</v>
      </c>
      <c r="E1" s="28" t="s">
        <v>42364</v>
      </c>
      <c r="F1" s="27">
        <v>142.0</v>
      </c>
      <c r="G1" s="30">
        <v>1.059142E7</v>
      </c>
    </row>
    <row r="2" ht="12.75" customHeight="1">
      <c r="A2" s="31">
        <v>161.0</v>
      </c>
      <c r="B2" s="32" t="s">
        <v>42365</v>
      </c>
      <c r="C2" s="33">
        <v>10.0</v>
      </c>
      <c r="D2" s="32" t="s">
        <v>42366</v>
      </c>
      <c r="E2" s="32" t="s">
        <v>42367</v>
      </c>
      <c r="F2" s="33">
        <v>6.0</v>
      </c>
      <c r="G2" s="34">
        <v>1.0610064E7</v>
      </c>
    </row>
    <row r="3" ht="12.75" customHeight="1">
      <c r="A3" s="27">
        <v>161.0</v>
      </c>
      <c r="B3" s="28" t="s">
        <v>42368</v>
      </c>
      <c r="C3" s="29">
        <v>10.0</v>
      </c>
      <c r="D3" s="28" t="s">
        <v>42369</v>
      </c>
      <c r="E3" s="28" t="s">
        <v>42370</v>
      </c>
      <c r="F3" s="29">
        <v>13.0</v>
      </c>
      <c r="G3" s="30">
        <v>1.061013E7</v>
      </c>
    </row>
    <row r="4" ht="12.75" customHeight="1">
      <c r="A4" s="31">
        <v>161.0</v>
      </c>
      <c r="B4" s="32" t="s">
        <v>42371</v>
      </c>
      <c r="C4" s="33">
        <v>10.0</v>
      </c>
      <c r="D4" s="32" t="s">
        <v>42372</v>
      </c>
      <c r="E4" s="32" t="s">
        <v>42373</v>
      </c>
      <c r="F4" s="33">
        <v>28.0</v>
      </c>
      <c r="G4" s="34">
        <v>1.061028E7</v>
      </c>
    </row>
    <row r="5" ht="12.75" customHeight="1">
      <c r="A5" s="27">
        <v>161.0</v>
      </c>
      <c r="B5" s="28" t="s">
        <v>42374</v>
      </c>
      <c r="C5" s="29">
        <v>10.0</v>
      </c>
      <c r="D5" s="28" t="s">
        <v>42375</v>
      </c>
      <c r="E5" s="28" t="s">
        <v>42376</v>
      </c>
      <c r="F5" s="29">
        <v>31.0</v>
      </c>
      <c r="G5" s="30">
        <v>1.0610314E7</v>
      </c>
    </row>
    <row r="6" ht="12.75" customHeight="1">
      <c r="A6" s="31">
        <v>161.0</v>
      </c>
      <c r="B6" s="32" t="s">
        <v>42377</v>
      </c>
      <c r="C6" s="33">
        <v>10.0</v>
      </c>
      <c r="D6" s="32" t="s">
        <v>42378</v>
      </c>
      <c r="E6" s="32" t="s">
        <v>42379</v>
      </c>
      <c r="F6" s="33">
        <v>33.0</v>
      </c>
      <c r="G6" s="34">
        <v>1.061033E7</v>
      </c>
    </row>
    <row r="7" ht="12.75" customHeight="1">
      <c r="A7" s="27">
        <v>161.0</v>
      </c>
      <c r="B7" s="28" t="s">
        <v>42380</v>
      </c>
      <c r="C7" s="29">
        <v>10.0</v>
      </c>
      <c r="D7" s="28" t="s">
        <v>42381</v>
      </c>
      <c r="E7" s="28" t="s">
        <v>42382</v>
      </c>
      <c r="F7" s="29">
        <v>40.0</v>
      </c>
      <c r="G7" s="30">
        <v>1.0610406E7</v>
      </c>
    </row>
    <row r="8" ht="12.75" customHeight="1">
      <c r="A8" s="31">
        <v>161.0</v>
      </c>
      <c r="B8" s="32" t="s">
        <v>42383</v>
      </c>
      <c r="C8" s="33">
        <v>10.0</v>
      </c>
      <c r="D8" s="32" t="s">
        <v>42384</v>
      </c>
      <c r="E8" s="32" t="s">
        <v>42385</v>
      </c>
      <c r="F8" s="33">
        <v>58.0</v>
      </c>
      <c r="G8" s="34">
        <v>1.0610585E7</v>
      </c>
    </row>
    <row r="9" ht="12.75" customHeight="1">
      <c r="A9" s="27">
        <v>161.0</v>
      </c>
      <c r="B9" s="28" t="s">
        <v>42386</v>
      </c>
      <c r="C9" s="29">
        <v>10.0</v>
      </c>
      <c r="D9" s="28" t="s">
        <v>42387</v>
      </c>
      <c r="E9" s="28" t="s">
        <v>42388</v>
      </c>
      <c r="F9" s="29">
        <v>82.0</v>
      </c>
      <c r="G9" s="30">
        <v>1.0610822E7</v>
      </c>
    </row>
    <row r="10" ht="12.75" customHeight="1">
      <c r="A10" s="31">
        <v>161.0</v>
      </c>
      <c r="B10" s="32" t="s">
        <v>42389</v>
      </c>
      <c r="C10" s="33">
        <v>10.0</v>
      </c>
      <c r="D10" s="32" t="s">
        <v>42390</v>
      </c>
      <c r="E10" s="32" t="s">
        <v>42391</v>
      </c>
      <c r="F10" s="33">
        <v>97.0</v>
      </c>
      <c r="G10" s="34">
        <v>1.0610972E7</v>
      </c>
    </row>
    <row r="11" ht="12.75" customHeight="1">
      <c r="A11" s="27">
        <v>161.0</v>
      </c>
      <c r="B11" s="28" t="s">
        <v>42392</v>
      </c>
      <c r="C11" s="29">
        <v>10.0</v>
      </c>
      <c r="D11" s="28" t="s">
        <v>42393</v>
      </c>
      <c r="E11" s="28" t="s">
        <v>42394</v>
      </c>
      <c r="F11" s="27">
        <v>100.0</v>
      </c>
      <c r="G11" s="30">
        <v>1.0611005E7</v>
      </c>
    </row>
    <row r="12" ht="12.75" customHeight="1">
      <c r="A12" s="31">
        <v>161.0</v>
      </c>
      <c r="B12" s="32" t="s">
        <v>42395</v>
      </c>
      <c r="C12" s="33">
        <v>10.0</v>
      </c>
      <c r="D12" s="32" t="s">
        <v>42396</v>
      </c>
      <c r="E12" s="32" t="s">
        <v>42397</v>
      </c>
      <c r="F12" s="31">
        <v>103.0</v>
      </c>
      <c r="G12" s="34">
        <v>1.0611034E7</v>
      </c>
    </row>
    <row r="13" ht="12.75" customHeight="1">
      <c r="A13" s="27">
        <v>161.0</v>
      </c>
      <c r="B13" s="28" t="s">
        <v>42398</v>
      </c>
      <c r="C13" s="29">
        <v>10.0</v>
      </c>
      <c r="D13" s="28" t="s">
        <v>42399</v>
      </c>
      <c r="E13" s="28" t="s">
        <v>42400</v>
      </c>
      <c r="F13" s="27">
        <v>118.0</v>
      </c>
      <c r="G13" s="30">
        <v>1.0611184E7</v>
      </c>
    </row>
    <row r="14" ht="12.75" customHeight="1">
      <c r="A14" s="31">
        <v>161.0</v>
      </c>
      <c r="B14" s="32" t="s">
        <v>42401</v>
      </c>
      <c r="C14" s="33">
        <v>10.0</v>
      </c>
      <c r="D14" s="32" t="s">
        <v>42402</v>
      </c>
      <c r="E14" s="32" t="s">
        <v>42403</v>
      </c>
      <c r="F14" s="31">
        <v>124.0</v>
      </c>
      <c r="G14" s="34">
        <v>1.0611247E7</v>
      </c>
    </row>
    <row r="15" ht="12.75" customHeight="1">
      <c r="A15" s="27">
        <v>161.0</v>
      </c>
      <c r="B15" s="28" t="s">
        <v>42404</v>
      </c>
      <c r="C15" s="29">
        <v>10.0</v>
      </c>
      <c r="D15" s="28" t="s">
        <v>42405</v>
      </c>
      <c r="E15" s="28" t="s">
        <v>42406</v>
      </c>
      <c r="F15" s="27">
        <v>130.0</v>
      </c>
      <c r="G15" s="30">
        <v>1.06113E7</v>
      </c>
    </row>
    <row r="16" ht="12.75" customHeight="1">
      <c r="A16" s="31">
        <v>161.0</v>
      </c>
      <c r="B16" s="32" t="s">
        <v>42407</v>
      </c>
      <c r="C16" s="33">
        <v>10.0</v>
      </c>
      <c r="D16" s="32" t="s">
        <v>42408</v>
      </c>
      <c r="E16" s="32" t="s">
        <v>42409</v>
      </c>
      <c r="F16" s="31">
        <v>160.0</v>
      </c>
      <c r="G16" s="34">
        <v>1.0611605E7</v>
      </c>
    </row>
    <row r="17" ht="12.75" customHeight="1">
      <c r="A17" s="27">
        <v>161.0</v>
      </c>
      <c r="B17" s="28" t="s">
        <v>42410</v>
      </c>
      <c r="C17" s="29">
        <v>10.0</v>
      </c>
      <c r="D17" s="28" t="s">
        <v>42411</v>
      </c>
      <c r="E17" s="28" t="s">
        <v>42412</v>
      </c>
      <c r="F17" s="27">
        <v>163.0</v>
      </c>
      <c r="G17" s="30">
        <v>1.0611634E7</v>
      </c>
    </row>
    <row r="18" ht="12.75" customHeight="1">
      <c r="A18" s="31">
        <v>161.0</v>
      </c>
      <c r="B18" s="32" t="s">
        <v>42413</v>
      </c>
      <c r="C18" s="33">
        <v>10.0</v>
      </c>
      <c r="D18" s="32" t="s">
        <v>42414</v>
      </c>
      <c r="E18" s="32" t="s">
        <v>42415</v>
      </c>
      <c r="F18" s="31">
        <v>169.0</v>
      </c>
      <c r="G18" s="34">
        <v>1.0611692E7</v>
      </c>
    </row>
    <row r="19" ht="12.75" customHeight="1">
      <c r="A19" s="27">
        <v>161.0</v>
      </c>
      <c r="B19" s="28" t="s">
        <v>42416</v>
      </c>
      <c r="C19" s="29">
        <v>10.0</v>
      </c>
      <c r="D19" s="28" t="s">
        <v>42417</v>
      </c>
      <c r="E19" s="28" t="s">
        <v>42418</v>
      </c>
      <c r="F19" s="27">
        <v>175.0</v>
      </c>
      <c r="G19" s="30">
        <v>1.0611755E7</v>
      </c>
    </row>
    <row r="20" ht="12.75" customHeight="1">
      <c r="A20" s="31">
        <v>161.0</v>
      </c>
      <c r="B20" s="32" t="s">
        <v>42419</v>
      </c>
      <c r="C20" s="33">
        <v>10.0</v>
      </c>
      <c r="D20" s="32" t="s">
        <v>42420</v>
      </c>
      <c r="E20" s="32" t="s">
        <v>42421</v>
      </c>
      <c r="F20" s="31">
        <v>235.0</v>
      </c>
      <c r="G20" s="34">
        <v>1.0612354E7</v>
      </c>
    </row>
    <row r="21" ht="12.75" customHeight="1">
      <c r="A21" s="27">
        <v>564.0</v>
      </c>
      <c r="B21" s="28" t="s">
        <v>42422</v>
      </c>
      <c r="C21" s="29">
        <v>10.0</v>
      </c>
      <c r="D21" s="28" t="s">
        <v>42423</v>
      </c>
      <c r="E21" s="28" t="s">
        <v>42424</v>
      </c>
      <c r="F21" s="29">
        <v>10.0</v>
      </c>
      <c r="G21" s="30">
        <v>1.06401E7</v>
      </c>
    </row>
    <row r="22" ht="12.75" customHeight="1">
      <c r="A22" s="31">
        <v>564.0</v>
      </c>
      <c r="B22" s="32" t="s">
        <v>42425</v>
      </c>
      <c r="C22" s="33">
        <v>10.0</v>
      </c>
      <c r="D22" s="32" t="s">
        <v>42426</v>
      </c>
      <c r="E22" s="32" t="s">
        <v>42427</v>
      </c>
      <c r="F22" s="33">
        <v>13.0</v>
      </c>
      <c r="G22" s="34">
        <v>1.0640139E7</v>
      </c>
    </row>
    <row r="23" ht="12.75" customHeight="1">
      <c r="A23" s="27">
        <v>564.0</v>
      </c>
      <c r="B23" s="28" t="s">
        <v>42428</v>
      </c>
      <c r="C23" s="29">
        <v>10.0</v>
      </c>
      <c r="D23" s="28" t="s">
        <v>42429</v>
      </c>
      <c r="E23" s="28" t="s">
        <v>42430</v>
      </c>
      <c r="F23" s="29">
        <v>40.0</v>
      </c>
      <c r="G23" s="30">
        <v>1.0640405E7</v>
      </c>
    </row>
    <row r="24" ht="12.75" customHeight="1">
      <c r="A24" s="31">
        <v>564.0</v>
      </c>
      <c r="B24" s="32" t="s">
        <v>42431</v>
      </c>
      <c r="C24" s="33">
        <v>10.0</v>
      </c>
      <c r="D24" s="32" t="s">
        <v>42432</v>
      </c>
      <c r="E24" s="32" t="s">
        <v>42433</v>
      </c>
      <c r="F24" s="33">
        <v>43.0</v>
      </c>
      <c r="G24" s="34">
        <v>1.0640434E7</v>
      </c>
    </row>
    <row r="25" ht="12.75" customHeight="1">
      <c r="A25" s="27">
        <v>564.0</v>
      </c>
      <c r="B25" s="28" t="s">
        <v>42434</v>
      </c>
      <c r="C25" s="29">
        <v>10.0</v>
      </c>
      <c r="D25" s="28" t="s">
        <v>42435</v>
      </c>
      <c r="E25" s="28" t="s">
        <v>42436</v>
      </c>
      <c r="F25" s="29">
        <v>79.0</v>
      </c>
      <c r="G25" s="30">
        <v>1.0640797E7</v>
      </c>
    </row>
    <row r="26" ht="12.75" customHeight="1">
      <c r="A26" s="31">
        <v>564.0</v>
      </c>
      <c r="B26" s="32" t="s">
        <v>42437</v>
      </c>
      <c r="C26" s="33">
        <v>10.0</v>
      </c>
      <c r="D26" s="32" t="s">
        <v>42438</v>
      </c>
      <c r="E26" s="32" t="s">
        <v>42439</v>
      </c>
      <c r="F26" s="33">
        <v>97.0</v>
      </c>
      <c r="G26" s="34">
        <v>1.0640971E7</v>
      </c>
    </row>
    <row r="27" ht="12.75" customHeight="1">
      <c r="A27" s="27">
        <v>564.0</v>
      </c>
      <c r="B27" s="28" t="s">
        <v>42440</v>
      </c>
      <c r="C27" s="29">
        <v>10.0</v>
      </c>
      <c r="D27" s="28" t="s">
        <v>42441</v>
      </c>
      <c r="E27" s="28" t="s">
        <v>42442</v>
      </c>
      <c r="F27" s="27">
        <v>106.0</v>
      </c>
      <c r="G27" s="30">
        <v>1.0641062E7</v>
      </c>
    </row>
    <row r="28" ht="12.75" customHeight="1">
      <c r="A28" s="31">
        <v>564.0</v>
      </c>
      <c r="B28" s="32" t="s">
        <v>42443</v>
      </c>
      <c r="C28" s="33">
        <v>10.0</v>
      </c>
      <c r="D28" s="32" t="s">
        <v>42444</v>
      </c>
      <c r="E28" s="32" t="s">
        <v>42445</v>
      </c>
      <c r="F28" s="31">
        <v>118.0</v>
      </c>
      <c r="G28" s="34">
        <v>1.0641183E7</v>
      </c>
    </row>
    <row r="29" ht="12.75" customHeight="1">
      <c r="A29" s="27">
        <v>564.0</v>
      </c>
      <c r="B29" s="28" t="s">
        <v>42446</v>
      </c>
      <c r="C29" s="29">
        <v>10.0</v>
      </c>
      <c r="D29" s="28" t="s">
        <v>42447</v>
      </c>
      <c r="E29" s="28" t="s">
        <v>42448</v>
      </c>
      <c r="F29" s="27">
        <v>133.0</v>
      </c>
      <c r="G29" s="30">
        <v>1.0641338E7</v>
      </c>
    </row>
    <row r="30" ht="12.75" customHeight="1">
      <c r="A30" s="31">
        <v>564.0</v>
      </c>
      <c r="B30" s="32" t="s">
        <v>42449</v>
      </c>
      <c r="C30" s="33">
        <v>10.0</v>
      </c>
      <c r="D30" s="32" t="s">
        <v>42450</v>
      </c>
      <c r="E30" s="32" t="s">
        <v>42451</v>
      </c>
      <c r="F30" s="31">
        <v>145.0</v>
      </c>
      <c r="G30" s="34">
        <v>1.0641459E7</v>
      </c>
    </row>
    <row r="31" ht="12.75" customHeight="1">
      <c r="A31" s="27">
        <v>564.0</v>
      </c>
      <c r="B31" s="28" t="s">
        <v>42452</v>
      </c>
      <c r="C31" s="29">
        <v>10.0</v>
      </c>
      <c r="D31" s="28" t="s">
        <v>42453</v>
      </c>
      <c r="E31" s="28" t="s">
        <v>42454</v>
      </c>
      <c r="F31" s="27">
        <v>151.0</v>
      </c>
      <c r="G31" s="30">
        <v>1.0641512E7</v>
      </c>
    </row>
    <row r="32" ht="12.75" customHeight="1">
      <c r="A32" s="31">
        <v>564.0</v>
      </c>
      <c r="B32" s="32" t="s">
        <v>42455</v>
      </c>
      <c r="C32" s="33">
        <v>10.0</v>
      </c>
      <c r="D32" s="32" t="s">
        <v>42456</v>
      </c>
      <c r="E32" s="32" t="s">
        <v>42457</v>
      </c>
      <c r="F32" s="31">
        <v>175.0</v>
      </c>
      <c r="G32" s="34">
        <v>1.0641754E7</v>
      </c>
    </row>
    <row r="33" ht="12.75" customHeight="1">
      <c r="A33" s="27">
        <v>465.0</v>
      </c>
      <c r="B33" s="28" t="s">
        <v>42458</v>
      </c>
      <c r="C33" s="29">
        <v>10.0</v>
      </c>
      <c r="D33" s="28" t="s">
        <v>42459</v>
      </c>
      <c r="E33" s="28" t="s">
        <v>42460</v>
      </c>
      <c r="F33" s="29">
        <v>4.0</v>
      </c>
      <c r="G33" s="30">
        <v>1.065004E7</v>
      </c>
    </row>
    <row r="34" ht="12.75" customHeight="1">
      <c r="A34" s="31">
        <v>465.0</v>
      </c>
      <c r="B34" s="32" t="s">
        <v>42461</v>
      </c>
      <c r="C34" s="33">
        <v>10.0</v>
      </c>
      <c r="D34" s="32" t="s">
        <v>42462</v>
      </c>
      <c r="E34" s="32" t="s">
        <v>42463</v>
      </c>
      <c r="F34" s="33">
        <v>7.0</v>
      </c>
      <c r="G34" s="34">
        <v>1.0650079E7</v>
      </c>
    </row>
    <row r="35" ht="12.75" customHeight="1">
      <c r="A35" s="27">
        <v>465.0</v>
      </c>
      <c r="B35" s="28" t="s">
        <v>42464</v>
      </c>
      <c r="C35" s="29">
        <v>10.0</v>
      </c>
      <c r="D35" s="28" t="s">
        <v>42465</v>
      </c>
      <c r="E35" s="28" t="s">
        <v>42466</v>
      </c>
      <c r="F35" s="29">
        <v>19.0</v>
      </c>
      <c r="G35" s="30">
        <v>1.065019E7</v>
      </c>
    </row>
    <row r="36" ht="12.75" customHeight="1">
      <c r="A36" s="31">
        <v>465.0</v>
      </c>
      <c r="B36" s="32" t="s">
        <v>42467</v>
      </c>
      <c r="C36" s="33">
        <v>10.0</v>
      </c>
      <c r="D36" s="32" t="s">
        <v>42468</v>
      </c>
      <c r="E36" s="32" t="s">
        <v>42469</v>
      </c>
      <c r="F36" s="33">
        <v>28.0</v>
      </c>
      <c r="G36" s="34">
        <v>1.0650282E7</v>
      </c>
    </row>
    <row r="37" ht="12.75" customHeight="1">
      <c r="A37" s="27">
        <v>465.0</v>
      </c>
      <c r="B37" s="28" t="s">
        <v>42470</v>
      </c>
      <c r="C37" s="29">
        <v>10.0</v>
      </c>
      <c r="D37" s="28" t="s">
        <v>42471</v>
      </c>
      <c r="E37" s="28" t="s">
        <v>42472</v>
      </c>
      <c r="F37" s="29">
        <v>31.0</v>
      </c>
      <c r="G37" s="30">
        <v>1.0650316E7</v>
      </c>
    </row>
    <row r="38" ht="12.75" customHeight="1">
      <c r="A38" s="31">
        <v>465.0</v>
      </c>
      <c r="B38" s="32" t="s">
        <v>42473</v>
      </c>
      <c r="C38" s="33">
        <v>10.0</v>
      </c>
      <c r="D38" s="32" t="s">
        <v>42474</v>
      </c>
      <c r="E38" s="32" t="s">
        <v>42475</v>
      </c>
      <c r="F38" s="33">
        <v>34.0</v>
      </c>
      <c r="G38" s="34">
        <v>1.0650345E7</v>
      </c>
    </row>
    <row r="39" ht="12.75" customHeight="1">
      <c r="A39" s="27">
        <v>465.0</v>
      </c>
      <c r="B39" s="28" t="s">
        <v>42476</v>
      </c>
      <c r="C39" s="29">
        <v>10.0</v>
      </c>
      <c r="D39" s="28" t="s">
        <v>42477</v>
      </c>
      <c r="E39" s="28" t="s">
        <v>42478</v>
      </c>
      <c r="F39" s="29">
        <v>46.0</v>
      </c>
      <c r="G39" s="30">
        <v>1.0650466E7</v>
      </c>
    </row>
    <row r="40" ht="12.75" customHeight="1">
      <c r="A40" s="31">
        <v>465.0</v>
      </c>
      <c r="B40" s="32" t="s">
        <v>42479</v>
      </c>
      <c r="C40" s="33">
        <v>10.0</v>
      </c>
      <c r="D40" s="32" t="s">
        <v>42480</v>
      </c>
      <c r="E40" s="32" t="s">
        <v>42481</v>
      </c>
      <c r="F40" s="33">
        <v>64.0</v>
      </c>
      <c r="G40" s="34">
        <v>1.065064E7</v>
      </c>
    </row>
    <row r="41" ht="12.75" customHeight="1">
      <c r="A41" s="27">
        <v>465.0</v>
      </c>
      <c r="B41" s="28" t="s">
        <v>42482</v>
      </c>
      <c r="C41" s="29">
        <v>10.0</v>
      </c>
      <c r="D41" s="28" t="s">
        <v>42483</v>
      </c>
      <c r="E41" s="28" t="s">
        <v>42484</v>
      </c>
      <c r="F41" s="29">
        <v>70.0</v>
      </c>
      <c r="G41" s="30">
        <v>1.0650703E7</v>
      </c>
    </row>
    <row r="42" ht="12.75" customHeight="1">
      <c r="A42" s="31">
        <v>167.0</v>
      </c>
      <c r="B42" s="32" t="s">
        <v>42485</v>
      </c>
      <c r="C42" s="33">
        <v>10.0</v>
      </c>
      <c r="D42" s="32" t="s">
        <v>42486</v>
      </c>
      <c r="E42" s="32" t="s">
        <v>42487</v>
      </c>
      <c r="F42" s="33">
        <v>4.0</v>
      </c>
      <c r="G42" s="34">
        <v>1.0670046E7</v>
      </c>
    </row>
    <row r="43" ht="12.75" customHeight="1">
      <c r="A43" s="27">
        <v>167.0</v>
      </c>
      <c r="B43" s="28" t="s">
        <v>42488</v>
      </c>
      <c r="C43" s="29">
        <v>10.0</v>
      </c>
      <c r="D43" s="28" t="s">
        <v>42489</v>
      </c>
      <c r="E43" s="28" t="s">
        <v>42490</v>
      </c>
      <c r="F43" s="29">
        <v>7.0</v>
      </c>
      <c r="G43" s="30">
        <v>1.0670075E7</v>
      </c>
    </row>
    <row r="44" ht="12.75" customHeight="1">
      <c r="A44" s="31">
        <v>167.0</v>
      </c>
      <c r="B44" s="32" t="s">
        <v>42491</v>
      </c>
      <c r="C44" s="33">
        <v>10.0</v>
      </c>
      <c r="D44" s="32" t="s">
        <v>42492</v>
      </c>
      <c r="E44" s="32" t="s">
        <v>42493</v>
      </c>
      <c r="F44" s="33">
        <v>13.0</v>
      </c>
      <c r="G44" s="34">
        <v>1.0670138E7</v>
      </c>
    </row>
    <row r="45" ht="12.75" customHeight="1">
      <c r="A45" s="27">
        <v>167.0</v>
      </c>
      <c r="B45" s="28" t="s">
        <v>42494</v>
      </c>
      <c r="C45" s="29">
        <v>10.0</v>
      </c>
      <c r="D45" s="28" t="s">
        <v>42495</v>
      </c>
      <c r="E45" s="28" t="s">
        <v>42496</v>
      </c>
      <c r="F45" s="29">
        <v>25.0</v>
      </c>
      <c r="G45" s="30">
        <v>1.0670259E7</v>
      </c>
    </row>
    <row r="46" ht="12.75" customHeight="1">
      <c r="A46" s="31">
        <v>167.0</v>
      </c>
      <c r="B46" s="32" t="s">
        <v>42497</v>
      </c>
      <c r="C46" s="33">
        <v>10.0</v>
      </c>
      <c r="D46" s="32" t="s">
        <v>42498</v>
      </c>
      <c r="E46" s="32" t="s">
        <v>42499</v>
      </c>
      <c r="F46" s="33">
        <v>31.0</v>
      </c>
      <c r="G46" s="34">
        <v>1.0670312E7</v>
      </c>
    </row>
    <row r="47" ht="12.75" customHeight="1">
      <c r="A47" s="27">
        <v>167.0</v>
      </c>
      <c r="B47" s="28" t="s">
        <v>42500</v>
      </c>
      <c r="C47" s="29">
        <v>10.0</v>
      </c>
      <c r="D47" s="28" t="s">
        <v>42501</v>
      </c>
      <c r="E47" s="28" t="s">
        <v>42502</v>
      </c>
      <c r="F47" s="29">
        <v>73.0</v>
      </c>
      <c r="G47" s="30">
        <v>1.0670738E7</v>
      </c>
    </row>
    <row r="48" ht="12.75" customHeight="1">
      <c r="A48" s="31">
        <v>167.0</v>
      </c>
      <c r="B48" s="32" t="s">
        <v>42503</v>
      </c>
      <c r="C48" s="33">
        <v>10.0</v>
      </c>
      <c r="D48" s="32" t="s">
        <v>42504</v>
      </c>
      <c r="E48" s="32" t="s">
        <v>42505</v>
      </c>
      <c r="F48" s="33">
        <v>79.0</v>
      </c>
      <c r="G48" s="34">
        <v>1.0670796E7</v>
      </c>
    </row>
    <row r="49" ht="12.75" customHeight="1">
      <c r="A49" s="27">
        <v>167.0</v>
      </c>
      <c r="B49" s="28" t="s">
        <v>42506</v>
      </c>
      <c r="C49" s="29">
        <v>10.0</v>
      </c>
      <c r="D49" s="28" t="s">
        <v>42507</v>
      </c>
      <c r="E49" s="28" t="s">
        <v>42508</v>
      </c>
      <c r="F49" s="27">
        <v>103.0</v>
      </c>
      <c r="G49" s="30">
        <v>1.0671032E7</v>
      </c>
    </row>
    <row r="50" ht="12.75" customHeight="1">
      <c r="A50" s="31">
        <v>167.0</v>
      </c>
      <c r="B50" s="32" t="s">
        <v>42509</v>
      </c>
      <c r="C50" s="33">
        <v>10.0</v>
      </c>
      <c r="D50" s="32" t="s">
        <v>42510</v>
      </c>
      <c r="E50" s="32" t="s">
        <v>42511</v>
      </c>
      <c r="F50" s="31">
        <v>154.0</v>
      </c>
      <c r="G50" s="34">
        <v>1.067154E7</v>
      </c>
    </row>
    <row r="51" ht="12.75" customHeight="1">
      <c r="A51" s="27">
        <v>167.0</v>
      </c>
      <c r="B51" s="28" t="s">
        <v>42512</v>
      </c>
      <c r="C51" s="29">
        <v>10.0</v>
      </c>
      <c r="D51" s="28" t="s">
        <v>42513</v>
      </c>
      <c r="E51" s="28" t="s">
        <v>42514</v>
      </c>
      <c r="F51" s="27">
        <v>163.0</v>
      </c>
      <c r="G51" s="30">
        <v>1.0671632E7</v>
      </c>
    </row>
    <row r="52" ht="12.75" customHeight="1">
      <c r="A52" s="31">
        <v>167.0</v>
      </c>
      <c r="B52" s="32" t="s">
        <v>42515</v>
      </c>
      <c r="C52" s="33">
        <v>10.0</v>
      </c>
      <c r="D52" s="32" t="s">
        <v>42516</v>
      </c>
      <c r="E52" s="32" t="s">
        <v>42517</v>
      </c>
      <c r="F52" s="31">
        <v>169.0</v>
      </c>
      <c r="G52" s="34">
        <v>1.067169E7</v>
      </c>
    </row>
    <row r="53" ht="12.75" customHeight="1">
      <c r="A53" s="27">
        <v>167.0</v>
      </c>
      <c r="B53" s="28" t="s">
        <v>42518</v>
      </c>
      <c r="C53" s="29">
        <v>10.0</v>
      </c>
      <c r="D53" s="28" t="s">
        <v>42519</v>
      </c>
      <c r="E53" s="28" t="s">
        <v>42520</v>
      </c>
      <c r="F53" s="27">
        <v>175.0</v>
      </c>
      <c r="G53" s="30">
        <v>1.0671753E7</v>
      </c>
    </row>
    <row r="54" ht="12.75" customHeight="1">
      <c r="A54" s="31">
        <v>168.0</v>
      </c>
      <c r="B54" s="32" t="s">
        <v>42521</v>
      </c>
      <c r="C54" s="33">
        <v>10.0</v>
      </c>
      <c r="D54" s="32" t="s">
        <v>42522</v>
      </c>
      <c r="E54" s="32" t="s">
        <v>42523</v>
      </c>
      <c r="F54" s="33">
        <v>4.0</v>
      </c>
      <c r="G54" s="34">
        <v>1.0680049E7</v>
      </c>
    </row>
    <row r="55" ht="12.75" customHeight="1">
      <c r="A55" s="27">
        <v>168.0</v>
      </c>
      <c r="B55" s="28" t="s">
        <v>42524</v>
      </c>
      <c r="C55" s="29">
        <v>10.0</v>
      </c>
      <c r="D55" s="28" t="s">
        <v>42525</v>
      </c>
      <c r="E55" s="28" t="s">
        <v>42526</v>
      </c>
      <c r="F55" s="29">
        <v>10.0</v>
      </c>
      <c r="G55" s="30">
        <v>1.0680102E7</v>
      </c>
    </row>
    <row r="56" ht="12.75" customHeight="1">
      <c r="A56" s="31">
        <v>168.0</v>
      </c>
      <c r="B56" s="32" t="s">
        <v>42527</v>
      </c>
      <c r="C56" s="33">
        <v>10.0</v>
      </c>
      <c r="D56" s="32" t="s">
        <v>42528</v>
      </c>
      <c r="E56" s="32" t="s">
        <v>42529</v>
      </c>
      <c r="F56" s="33">
        <v>12.0</v>
      </c>
      <c r="G56" s="34">
        <v>1.0680128E7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168.0</v>
      </c>
      <c r="B1" s="28" t="s">
        <v>42530</v>
      </c>
      <c r="C1" s="29">
        <v>10.0</v>
      </c>
      <c r="D1" s="28" t="s">
        <v>42531</v>
      </c>
      <c r="E1" s="28" t="s">
        <v>42532</v>
      </c>
      <c r="F1" s="29">
        <v>31.0</v>
      </c>
      <c r="G1" s="30">
        <v>1.0680315E7</v>
      </c>
    </row>
    <row r="2" ht="12.75" customHeight="1">
      <c r="A2" s="31">
        <v>168.0</v>
      </c>
      <c r="B2" s="32" t="s">
        <v>42533</v>
      </c>
      <c r="C2" s="33">
        <v>10.0</v>
      </c>
      <c r="D2" s="32" t="s">
        <v>42534</v>
      </c>
      <c r="E2" s="32" t="s">
        <v>42535</v>
      </c>
      <c r="F2" s="33">
        <v>73.0</v>
      </c>
      <c r="G2" s="34">
        <v>1.0680731E7</v>
      </c>
    </row>
    <row r="3" ht="12.75" customHeight="1">
      <c r="A3" s="27">
        <v>168.0</v>
      </c>
      <c r="B3" s="28" t="s">
        <v>42536</v>
      </c>
      <c r="C3" s="29">
        <v>10.0</v>
      </c>
      <c r="D3" s="28" t="s">
        <v>42537</v>
      </c>
      <c r="E3" s="28" t="s">
        <v>42538</v>
      </c>
      <c r="F3" s="29">
        <v>79.0</v>
      </c>
      <c r="G3" s="30">
        <v>1.0680799E7</v>
      </c>
    </row>
    <row r="4" ht="12.75" customHeight="1">
      <c r="A4" s="31">
        <v>168.0</v>
      </c>
      <c r="B4" s="32" t="s">
        <v>42539</v>
      </c>
      <c r="C4" s="33">
        <v>10.0</v>
      </c>
      <c r="D4" s="32" t="s">
        <v>42540</v>
      </c>
      <c r="E4" s="32" t="s">
        <v>42541</v>
      </c>
      <c r="F4" s="33">
        <v>85.0</v>
      </c>
      <c r="G4" s="34">
        <v>1.0680852E7</v>
      </c>
    </row>
    <row r="5" ht="12.75" customHeight="1">
      <c r="A5" s="27">
        <v>168.0</v>
      </c>
      <c r="B5" s="28" t="s">
        <v>42542</v>
      </c>
      <c r="C5" s="29">
        <v>10.0</v>
      </c>
      <c r="D5" s="28" t="s">
        <v>42543</v>
      </c>
      <c r="E5" s="28" t="s">
        <v>42544</v>
      </c>
      <c r="F5" s="29">
        <v>94.0</v>
      </c>
      <c r="G5" s="30">
        <v>1.0680944E7</v>
      </c>
    </row>
    <row r="6" ht="12.75" customHeight="1">
      <c r="A6" s="31">
        <v>168.0</v>
      </c>
      <c r="B6" s="32" t="s">
        <v>42545</v>
      </c>
      <c r="C6" s="33">
        <v>10.0</v>
      </c>
      <c r="D6" s="32" t="s">
        <v>42546</v>
      </c>
      <c r="E6" s="32" t="s">
        <v>42547</v>
      </c>
      <c r="F6" s="31">
        <v>106.0</v>
      </c>
      <c r="G6" s="34">
        <v>1.0681064E7</v>
      </c>
    </row>
    <row r="7" ht="12.75" customHeight="1">
      <c r="A7" s="27">
        <v>168.0</v>
      </c>
      <c r="B7" s="28" t="s">
        <v>42548</v>
      </c>
      <c r="C7" s="29">
        <v>10.0</v>
      </c>
      <c r="D7" s="28" t="s">
        <v>42549</v>
      </c>
      <c r="E7" s="28" t="s">
        <v>42550</v>
      </c>
      <c r="F7" s="27">
        <v>130.0</v>
      </c>
      <c r="G7" s="30">
        <v>1.0681301E7</v>
      </c>
    </row>
    <row r="8" ht="12.75" customHeight="1">
      <c r="A8" s="31">
        <v>168.0</v>
      </c>
      <c r="B8" s="32" t="s">
        <v>42551</v>
      </c>
      <c r="C8" s="33">
        <v>10.0</v>
      </c>
      <c r="D8" s="32" t="s">
        <v>42552</v>
      </c>
      <c r="E8" s="32" t="s">
        <v>42553</v>
      </c>
      <c r="F8" s="31">
        <v>136.0</v>
      </c>
      <c r="G8" s="34">
        <v>1.0681369E7</v>
      </c>
    </row>
    <row r="9" ht="12.75" customHeight="1">
      <c r="A9" s="27">
        <v>569.0</v>
      </c>
      <c r="B9" s="28" t="s">
        <v>42554</v>
      </c>
      <c r="C9" s="29">
        <v>10.0</v>
      </c>
      <c r="D9" s="28" t="s">
        <v>42555</v>
      </c>
      <c r="E9" s="28" t="s">
        <v>42556</v>
      </c>
      <c r="F9" s="29">
        <v>11.0</v>
      </c>
      <c r="G9" s="30">
        <v>1.0690118E7</v>
      </c>
    </row>
    <row r="10" ht="12.75" customHeight="1">
      <c r="A10" s="31">
        <v>569.0</v>
      </c>
      <c r="B10" s="32" t="s">
        <v>42557</v>
      </c>
      <c r="C10" s="33">
        <v>10.0</v>
      </c>
      <c r="D10" s="32" t="s">
        <v>42558</v>
      </c>
      <c r="E10" s="32" t="s">
        <v>42559</v>
      </c>
      <c r="F10" s="33">
        <v>13.0</v>
      </c>
      <c r="G10" s="34">
        <v>1.0690134E7</v>
      </c>
    </row>
    <row r="11" ht="12.75" customHeight="1">
      <c r="A11" s="27">
        <v>569.0</v>
      </c>
      <c r="B11" s="28" t="s">
        <v>42560</v>
      </c>
      <c r="C11" s="29">
        <v>10.0</v>
      </c>
      <c r="D11" s="28" t="s">
        <v>42561</v>
      </c>
      <c r="E11" s="28" t="s">
        <v>42562</v>
      </c>
      <c r="F11" s="29">
        <v>31.0</v>
      </c>
      <c r="G11" s="30">
        <v>1.0690318E7</v>
      </c>
    </row>
    <row r="12" ht="12.75" customHeight="1">
      <c r="A12" s="31">
        <v>569.0</v>
      </c>
      <c r="B12" s="32" t="s">
        <v>42563</v>
      </c>
      <c r="C12" s="33">
        <v>10.0</v>
      </c>
      <c r="D12" s="32" t="s">
        <v>42564</v>
      </c>
      <c r="E12" s="32" t="s">
        <v>42565</v>
      </c>
      <c r="F12" s="33">
        <v>49.0</v>
      </c>
      <c r="G12" s="34">
        <v>1.0690497E7</v>
      </c>
    </row>
    <row r="13" ht="12.75" customHeight="1">
      <c r="A13" s="27">
        <v>569.0</v>
      </c>
      <c r="B13" s="28" t="s">
        <v>42566</v>
      </c>
      <c r="C13" s="29">
        <v>10.0</v>
      </c>
      <c r="D13" s="28" t="s">
        <v>42567</v>
      </c>
      <c r="E13" s="28" t="s">
        <v>42568</v>
      </c>
      <c r="F13" s="29">
        <v>58.0</v>
      </c>
      <c r="G13" s="30">
        <v>1.0690589E7</v>
      </c>
    </row>
    <row r="14" ht="12.75" customHeight="1">
      <c r="A14" s="31">
        <v>569.0</v>
      </c>
      <c r="B14" s="32" t="s">
        <v>42569</v>
      </c>
      <c r="C14" s="33">
        <v>10.0</v>
      </c>
      <c r="D14" s="32" t="s">
        <v>42570</v>
      </c>
      <c r="E14" s="32" t="s">
        <v>42571</v>
      </c>
      <c r="F14" s="33">
        <v>94.0</v>
      </c>
      <c r="G14" s="34">
        <v>1.0690947E7</v>
      </c>
    </row>
    <row r="15" ht="12.75" customHeight="1">
      <c r="A15" s="27">
        <v>569.0</v>
      </c>
      <c r="B15" s="28" t="s">
        <v>42572</v>
      </c>
      <c r="C15" s="29">
        <v>10.0</v>
      </c>
      <c r="D15" s="28" t="s">
        <v>42573</v>
      </c>
      <c r="E15" s="28" t="s">
        <v>42574</v>
      </c>
      <c r="F15" s="29">
        <v>95.0</v>
      </c>
      <c r="G15" s="30">
        <v>1.069095E7</v>
      </c>
    </row>
    <row r="16" ht="12.75" customHeight="1">
      <c r="A16" s="31">
        <v>569.0</v>
      </c>
      <c r="B16" s="32" t="s">
        <v>42575</v>
      </c>
      <c r="C16" s="33">
        <v>10.0</v>
      </c>
      <c r="D16" s="32" t="s">
        <v>42576</v>
      </c>
      <c r="E16" s="32" t="s">
        <v>42577</v>
      </c>
      <c r="F16" s="31">
        <v>103.0</v>
      </c>
      <c r="G16" s="34">
        <v>1.0691038E7</v>
      </c>
    </row>
    <row r="17" ht="12.75" customHeight="1">
      <c r="A17" s="27">
        <v>569.0</v>
      </c>
      <c r="B17" s="28" t="s">
        <v>42578</v>
      </c>
      <c r="C17" s="29">
        <v>10.0</v>
      </c>
      <c r="D17" s="28" t="s">
        <v>42579</v>
      </c>
      <c r="E17" s="28" t="s">
        <v>42580</v>
      </c>
      <c r="F17" s="27">
        <v>109.0</v>
      </c>
      <c r="G17" s="30">
        <v>1.0691096E7</v>
      </c>
    </row>
    <row r="18" ht="12.75" customHeight="1">
      <c r="A18" s="31">
        <v>569.0</v>
      </c>
      <c r="B18" s="32" t="s">
        <v>42581</v>
      </c>
      <c r="C18" s="33">
        <v>10.0</v>
      </c>
      <c r="D18" s="32" t="s">
        <v>42582</v>
      </c>
      <c r="E18" s="32" t="s">
        <v>42583</v>
      </c>
      <c r="F18" s="31">
        <v>115.0</v>
      </c>
      <c r="G18" s="34">
        <v>1.0691159E7</v>
      </c>
    </row>
    <row r="19" ht="12.75" customHeight="1">
      <c r="A19" s="27">
        <v>569.0</v>
      </c>
      <c r="B19" s="28" t="s">
        <v>42584</v>
      </c>
      <c r="C19" s="29">
        <v>10.0</v>
      </c>
      <c r="D19" s="28" t="s">
        <v>42585</v>
      </c>
      <c r="E19" s="28" t="s">
        <v>42586</v>
      </c>
      <c r="F19" s="27">
        <v>121.0</v>
      </c>
      <c r="G19" s="30">
        <v>1.0691212E7</v>
      </c>
    </row>
    <row r="20" ht="12.75" customHeight="1">
      <c r="A20" s="31">
        <v>569.0</v>
      </c>
      <c r="B20" s="32" t="s">
        <v>42587</v>
      </c>
      <c r="C20" s="33">
        <v>10.0</v>
      </c>
      <c r="D20" s="32" t="s">
        <v>42588</v>
      </c>
      <c r="E20" s="32" t="s">
        <v>42589</v>
      </c>
      <c r="F20" s="31">
        <v>136.0</v>
      </c>
      <c r="G20" s="34">
        <v>1.0691362E7</v>
      </c>
    </row>
    <row r="21" ht="12.75" customHeight="1">
      <c r="A21" s="27">
        <v>569.0</v>
      </c>
      <c r="B21" s="28" t="s">
        <v>42590</v>
      </c>
      <c r="C21" s="29">
        <v>10.0</v>
      </c>
      <c r="D21" s="28" t="s">
        <v>42591</v>
      </c>
      <c r="E21" s="28" t="s">
        <v>42592</v>
      </c>
      <c r="F21" s="27">
        <v>142.0</v>
      </c>
      <c r="G21" s="30">
        <v>1.0691425E7</v>
      </c>
    </row>
    <row r="22" ht="12.75" customHeight="1">
      <c r="A22" s="31">
        <v>569.0</v>
      </c>
      <c r="B22" s="32" t="s">
        <v>42593</v>
      </c>
      <c r="C22" s="33">
        <v>10.0</v>
      </c>
      <c r="D22" s="32" t="s">
        <v>42594</v>
      </c>
      <c r="E22" s="32" t="s">
        <v>42595</v>
      </c>
      <c r="F22" s="31">
        <v>148.0</v>
      </c>
      <c r="G22" s="34">
        <v>1.0691483E7</v>
      </c>
    </row>
    <row r="23" ht="12.75" customHeight="1">
      <c r="A23" s="27">
        <v>570.0</v>
      </c>
      <c r="B23" s="28" t="s">
        <v>42596</v>
      </c>
      <c r="C23" s="29">
        <v>10.0</v>
      </c>
      <c r="D23" s="28" t="s">
        <v>42597</v>
      </c>
      <c r="E23" s="28" t="s">
        <v>42598</v>
      </c>
      <c r="F23" s="29">
        <v>4.0</v>
      </c>
      <c r="G23" s="30">
        <v>1.070004E7</v>
      </c>
    </row>
    <row r="24" ht="12.75" customHeight="1">
      <c r="A24" s="31">
        <v>570.0</v>
      </c>
      <c r="B24" s="32" t="s">
        <v>42599</v>
      </c>
      <c r="C24" s="33">
        <v>10.0</v>
      </c>
      <c r="D24" s="32" t="s">
        <v>42600</v>
      </c>
      <c r="E24" s="32" t="s">
        <v>42601</v>
      </c>
      <c r="F24" s="33">
        <v>13.0</v>
      </c>
      <c r="G24" s="34">
        <v>1.0700132E7</v>
      </c>
    </row>
    <row r="25" ht="12.75" customHeight="1">
      <c r="A25" s="27">
        <v>570.0</v>
      </c>
      <c r="B25" s="28" t="s">
        <v>42602</v>
      </c>
      <c r="C25" s="29">
        <v>10.0</v>
      </c>
      <c r="D25" s="28" t="s">
        <v>42603</v>
      </c>
      <c r="E25" s="28" t="s">
        <v>42604</v>
      </c>
      <c r="F25" s="29">
        <v>19.0</v>
      </c>
      <c r="G25" s="30">
        <v>1.070019E7</v>
      </c>
    </row>
    <row r="26" ht="12.75" customHeight="1">
      <c r="A26" s="31">
        <v>570.0</v>
      </c>
      <c r="B26" s="32" t="s">
        <v>42605</v>
      </c>
      <c r="C26" s="33">
        <v>10.0</v>
      </c>
      <c r="D26" s="32" t="s">
        <v>42606</v>
      </c>
      <c r="E26" s="32" t="s">
        <v>42607</v>
      </c>
      <c r="F26" s="33">
        <v>25.0</v>
      </c>
      <c r="G26" s="34">
        <v>1.0700253E7</v>
      </c>
    </row>
    <row r="27" ht="12.75" customHeight="1">
      <c r="A27" s="27">
        <v>570.0</v>
      </c>
      <c r="B27" s="28" t="s">
        <v>42608</v>
      </c>
      <c r="C27" s="29">
        <v>10.0</v>
      </c>
      <c r="D27" s="28" t="s">
        <v>42609</v>
      </c>
      <c r="E27" s="28" t="s">
        <v>42610</v>
      </c>
      <c r="F27" s="29">
        <v>34.0</v>
      </c>
      <c r="G27" s="30">
        <v>1.0700345E7</v>
      </c>
    </row>
    <row r="28" ht="12.75" customHeight="1">
      <c r="A28" s="31">
        <v>570.0</v>
      </c>
      <c r="B28" s="32" t="s">
        <v>42611</v>
      </c>
      <c r="C28" s="33">
        <v>10.0</v>
      </c>
      <c r="D28" s="32" t="s">
        <v>42612</v>
      </c>
      <c r="E28" s="32" t="s">
        <v>42613</v>
      </c>
      <c r="F28" s="33">
        <v>40.0</v>
      </c>
      <c r="G28" s="34">
        <v>1.0700408E7</v>
      </c>
    </row>
    <row r="29" ht="12.75" customHeight="1">
      <c r="A29" s="27">
        <v>570.0</v>
      </c>
      <c r="B29" s="28" t="s">
        <v>42614</v>
      </c>
      <c r="C29" s="29">
        <v>10.0</v>
      </c>
      <c r="D29" s="28" t="s">
        <v>42615</v>
      </c>
      <c r="E29" s="28" t="s">
        <v>42616</v>
      </c>
      <c r="F29" s="29">
        <v>55.0</v>
      </c>
      <c r="G29" s="30">
        <v>1.0700558E7</v>
      </c>
    </row>
    <row r="30" ht="12.75" customHeight="1">
      <c r="A30" s="31">
        <v>570.0</v>
      </c>
      <c r="B30" s="32" t="s">
        <v>42617</v>
      </c>
      <c r="C30" s="33">
        <v>10.0</v>
      </c>
      <c r="D30" s="32" t="s">
        <v>42618</v>
      </c>
      <c r="E30" s="32" t="s">
        <v>42619</v>
      </c>
      <c r="F30" s="33">
        <v>61.0</v>
      </c>
      <c r="G30" s="34">
        <v>1.0700611E7</v>
      </c>
    </row>
    <row r="31" ht="12.75" customHeight="1">
      <c r="A31" s="27">
        <v>570.0</v>
      </c>
      <c r="B31" s="28" t="s">
        <v>42620</v>
      </c>
      <c r="C31" s="29">
        <v>10.0</v>
      </c>
      <c r="D31" s="28" t="s">
        <v>42621</v>
      </c>
      <c r="E31" s="28" t="s">
        <v>42622</v>
      </c>
      <c r="F31" s="29">
        <v>70.0</v>
      </c>
      <c r="G31" s="30">
        <v>1.0700703E7</v>
      </c>
    </row>
    <row r="32" ht="12.75" customHeight="1">
      <c r="A32" s="31">
        <v>570.0</v>
      </c>
      <c r="B32" s="32" t="s">
        <v>42623</v>
      </c>
      <c r="C32" s="33">
        <v>10.0</v>
      </c>
      <c r="D32" s="32" t="s">
        <v>42624</v>
      </c>
      <c r="E32" s="32" t="s">
        <v>42625</v>
      </c>
      <c r="F32" s="33">
        <v>82.0</v>
      </c>
      <c r="G32" s="34">
        <v>1.0700824E7</v>
      </c>
    </row>
    <row r="33" ht="12.75" customHeight="1">
      <c r="A33" s="27">
        <v>570.0</v>
      </c>
      <c r="B33" s="28" t="s">
        <v>42626</v>
      </c>
      <c r="C33" s="29">
        <v>10.0</v>
      </c>
      <c r="D33" s="28" t="s">
        <v>42627</v>
      </c>
      <c r="E33" s="28" t="s">
        <v>42628</v>
      </c>
      <c r="F33" s="29">
        <v>88.0</v>
      </c>
      <c r="G33" s="30">
        <v>1.0700882E7</v>
      </c>
    </row>
    <row r="34" ht="12.75" customHeight="1">
      <c r="A34" s="31">
        <v>570.0</v>
      </c>
      <c r="B34" s="32" t="s">
        <v>42629</v>
      </c>
      <c r="C34" s="33">
        <v>10.0</v>
      </c>
      <c r="D34" s="32" t="s">
        <v>42630</v>
      </c>
      <c r="E34" s="32" t="s">
        <v>42631</v>
      </c>
      <c r="F34" s="33">
        <v>91.0</v>
      </c>
      <c r="G34" s="34">
        <v>1.0700916E7</v>
      </c>
    </row>
    <row r="35" ht="12.75" customHeight="1">
      <c r="A35" s="27">
        <v>570.0</v>
      </c>
      <c r="B35" s="28" t="s">
        <v>42632</v>
      </c>
      <c r="C35" s="29">
        <v>10.0</v>
      </c>
      <c r="D35" s="28" t="s">
        <v>42633</v>
      </c>
      <c r="E35" s="28" t="s">
        <v>42634</v>
      </c>
      <c r="F35" s="29">
        <v>94.0</v>
      </c>
      <c r="G35" s="30">
        <v>1.0700945E7</v>
      </c>
    </row>
    <row r="36" ht="12.75" customHeight="1">
      <c r="A36" s="31">
        <v>172.0</v>
      </c>
      <c r="B36" s="32" t="s">
        <v>42635</v>
      </c>
      <c r="C36" s="33">
        <v>10.0</v>
      </c>
      <c r="D36" s="32" t="s">
        <v>42636</v>
      </c>
      <c r="E36" s="32" t="s">
        <v>42637</v>
      </c>
      <c r="F36" s="33">
        <v>7.0</v>
      </c>
      <c r="G36" s="34">
        <v>1.0720075E7</v>
      </c>
    </row>
    <row r="37" ht="12.75" customHeight="1">
      <c r="A37" s="27">
        <v>172.0</v>
      </c>
      <c r="B37" s="28" t="s">
        <v>42638</v>
      </c>
      <c r="C37" s="29">
        <v>10.0</v>
      </c>
      <c r="D37" s="28" t="s">
        <v>42639</v>
      </c>
      <c r="E37" s="28" t="s">
        <v>42640</v>
      </c>
      <c r="F37" s="29">
        <v>10.0</v>
      </c>
      <c r="G37" s="30">
        <v>1.0720109E7</v>
      </c>
    </row>
    <row r="38" ht="12.75" customHeight="1">
      <c r="A38" s="31">
        <v>172.0</v>
      </c>
      <c r="B38" s="32" t="s">
        <v>42641</v>
      </c>
      <c r="C38" s="33">
        <v>10.0</v>
      </c>
      <c r="D38" s="32" t="s">
        <v>42642</v>
      </c>
      <c r="E38" s="32" t="s">
        <v>42643</v>
      </c>
      <c r="F38" s="33">
        <v>19.0</v>
      </c>
      <c r="G38" s="34">
        <v>1.0720196E7</v>
      </c>
    </row>
    <row r="39" ht="12.75" customHeight="1">
      <c r="A39" s="27">
        <v>172.0</v>
      </c>
      <c r="B39" s="28" t="s">
        <v>42644</v>
      </c>
      <c r="C39" s="29">
        <v>10.0</v>
      </c>
      <c r="D39" s="28" t="s">
        <v>42645</v>
      </c>
      <c r="E39" s="28" t="s">
        <v>42646</v>
      </c>
      <c r="F39" s="29">
        <v>22.0</v>
      </c>
      <c r="G39" s="30">
        <v>1.072022E7</v>
      </c>
    </row>
    <row r="40" ht="12.75" customHeight="1">
      <c r="A40" s="31">
        <v>172.0</v>
      </c>
      <c r="B40" s="32" t="s">
        <v>42647</v>
      </c>
      <c r="C40" s="33">
        <v>10.0</v>
      </c>
      <c r="D40" s="32" t="s">
        <v>42648</v>
      </c>
      <c r="E40" s="32" t="s">
        <v>42649</v>
      </c>
      <c r="F40" s="33">
        <v>34.0</v>
      </c>
      <c r="G40" s="34">
        <v>1.0720341E7</v>
      </c>
    </row>
    <row r="41" ht="12.75" customHeight="1">
      <c r="A41" s="27">
        <v>172.0</v>
      </c>
      <c r="B41" s="28" t="s">
        <v>42650</v>
      </c>
      <c r="C41" s="29">
        <v>10.0</v>
      </c>
      <c r="D41" s="28" t="s">
        <v>42651</v>
      </c>
      <c r="E41" s="28" t="s">
        <v>42652</v>
      </c>
      <c r="F41" s="29">
        <v>46.0</v>
      </c>
      <c r="G41" s="30">
        <v>1.0720462E7</v>
      </c>
    </row>
    <row r="42" ht="12.75" customHeight="1">
      <c r="A42" s="31">
        <v>172.0</v>
      </c>
      <c r="B42" s="32" t="s">
        <v>42653</v>
      </c>
      <c r="C42" s="33">
        <v>10.0</v>
      </c>
      <c r="D42" s="32" t="s">
        <v>42654</v>
      </c>
      <c r="E42" s="32" t="s">
        <v>42655</v>
      </c>
      <c r="F42" s="33">
        <v>67.0</v>
      </c>
      <c r="G42" s="34">
        <v>1.0720675E7</v>
      </c>
    </row>
    <row r="43" ht="12.75" customHeight="1">
      <c r="A43" s="27">
        <v>172.0</v>
      </c>
      <c r="B43" s="28" t="s">
        <v>42656</v>
      </c>
      <c r="C43" s="29">
        <v>10.0</v>
      </c>
      <c r="D43" s="28" t="s">
        <v>42657</v>
      </c>
      <c r="E43" s="28" t="s">
        <v>42658</v>
      </c>
      <c r="F43" s="29">
        <v>73.0</v>
      </c>
      <c r="G43" s="30">
        <v>1.0720738E7</v>
      </c>
    </row>
    <row r="44" ht="12.75" customHeight="1">
      <c r="A44" s="31">
        <v>172.0</v>
      </c>
      <c r="B44" s="32" t="s">
        <v>42659</v>
      </c>
      <c r="C44" s="33">
        <v>10.0</v>
      </c>
      <c r="D44" s="32" t="s">
        <v>42660</v>
      </c>
      <c r="E44" s="32" t="s">
        <v>42661</v>
      </c>
      <c r="F44" s="33">
        <v>79.0</v>
      </c>
      <c r="G44" s="34">
        <v>1.0720796E7</v>
      </c>
    </row>
    <row r="45" ht="12.75" customHeight="1">
      <c r="A45" s="27">
        <v>172.0</v>
      </c>
      <c r="B45" s="28" t="s">
        <v>42662</v>
      </c>
      <c r="C45" s="29">
        <v>10.0</v>
      </c>
      <c r="D45" s="28" t="s">
        <v>42663</v>
      </c>
      <c r="E45" s="28" t="s">
        <v>42664</v>
      </c>
      <c r="F45" s="29">
        <v>85.0</v>
      </c>
      <c r="G45" s="30">
        <v>1.0720859E7</v>
      </c>
    </row>
    <row r="46" ht="12.75" customHeight="1">
      <c r="A46" s="31">
        <v>172.0</v>
      </c>
      <c r="B46" s="32" t="s">
        <v>42665</v>
      </c>
      <c r="C46" s="33">
        <v>10.0</v>
      </c>
      <c r="D46" s="32" t="s">
        <v>42666</v>
      </c>
      <c r="E46" s="32" t="s">
        <v>42667</v>
      </c>
      <c r="F46" s="31">
        <v>106.0</v>
      </c>
      <c r="G46" s="34">
        <v>1.0721061E7</v>
      </c>
    </row>
    <row r="47" ht="12.75" customHeight="1">
      <c r="A47" s="27">
        <v>773.0</v>
      </c>
      <c r="B47" s="28" t="s">
        <v>42668</v>
      </c>
      <c r="C47" s="29">
        <v>10.0</v>
      </c>
      <c r="D47" s="28" t="s">
        <v>42669</v>
      </c>
      <c r="E47" s="28" t="s">
        <v>42670</v>
      </c>
      <c r="F47" s="29">
        <v>49.0</v>
      </c>
      <c r="G47" s="30">
        <v>1.0730494E7</v>
      </c>
    </row>
    <row r="48" ht="12.75" customHeight="1">
      <c r="A48" s="31">
        <v>773.0</v>
      </c>
      <c r="B48" s="32" t="s">
        <v>42671</v>
      </c>
      <c r="C48" s="33">
        <v>10.0</v>
      </c>
      <c r="D48" s="32" t="s">
        <v>42672</v>
      </c>
      <c r="E48" s="32" t="s">
        <v>42673</v>
      </c>
      <c r="F48" s="33">
        <v>73.0</v>
      </c>
      <c r="G48" s="34">
        <v>1.0730731E7</v>
      </c>
    </row>
    <row r="49" ht="12.75" customHeight="1">
      <c r="A49" s="27">
        <v>773.0</v>
      </c>
      <c r="B49" s="28" t="s">
        <v>42674</v>
      </c>
      <c r="C49" s="29">
        <v>10.0</v>
      </c>
      <c r="D49" s="28" t="s">
        <v>42675</v>
      </c>
      <c r="E49" s="28" t="s">
        <v>42676</v>
      </c>
      <c r="F49" s="29">
        <v>79.0</v>
      </c>
      <c r="G49" s="30">
        <v>1.0730799E7</v>
      </c>
    </row>
    <row r="50" ht="12.75" customHeight="1">
      <c r="A50" s="31">
        <v>773.0</v>
      </c>
      <c r="B50" s="32" t="s">
        <v>42677</v>
      </c>
      <c r="C50" s="33">
        <v>10.0</v>
      </c>
      <c r="D50" s="32" t="s">
        <v>42678</v>
      </c>
      <c r="E50" s="32" t="s">
        <v>42679</v>
      </c>
      <c r="F50" s="33">
        <v>82.0</v>
      </c>
      <c r="G50" s="34">
        <v>1.0730823E7</v>
      </c>
    </row>
    <row r="51" ht="12.75" customHeight="1">
      <c r="A51" s="27">
        <v>275.0</v>
      </c>
      <c r="B51" s="28" t="s">
        <v>42680</v>
      </c>
      <c r="C51" s="29">
        <v>10.0</v>
      </c>
      <c r="D51" s="28" t="s">
        <v>42681</v>
      </c>
      <c r="E51" s="28" t="s">
        <v>42682</v>
      </c>
      <c r="F51" s="29">
        <v>13.0</v>
      </c>
      <c r="G51" s="30">
        <v>1.0750137E7</v>
      </c>
    </row>
    <row r="52" ht="12.75" customHeight="1">
      <c r="A52" s="31">
        <v>275.0</v>
      </c>
      <c r="B52" s="32" t="s">
        <v>42683</v>
      </c>
      <c r="C52" s="33">
        <v>10.0</v>
      </c>
      <c r="D52" s="32" t="s">
        <v>42684</v>
      </c>
      <c r="E52" s="32" t="s">
        <v>42685</v>
      </c>
      <c r="F52" s="33">
        <v>16.0</v>
      </c>
      <c r="G52" s="34">
        <v>1.0750166E7</v>
      </c>
    </row>
    <row r="53" ht="12.75" customHeight="1">
      <c r="A53" s="27">
        <v>275.0</v>
      </c>
      <c r="B53" s="28" t="s">
        <v>42686</v>
      </c>
      <c r="C53" s="29">
        <v>10.0</v>
      </c>
      <c r="D53" s="28" t="s">
        <v>42687</v>
      </c>
      <c r="E53" s="28" t="s">
        <v>42688</v>
      </c>
      <c r="F53" s="29">
        <v>25.0</v>
      </c>
      <c r="G53" s="30">
        <v>1.0750258E7</v>
      </c>
    </row>
    <row r="54" ht="12.75" customHeight="1">
      <c r="A54" s="31">
        <v>275.0</v>
      </c>
      <c r="B54" s="32" t="s">
        <v>42689</v>
      </c>
      <c r="C54" s="33">
        <v>10.0</v>
      </c>
      <c r="D54" s="32" t="s">
        <v>42690</v>
      </c>
      <c r="E54" s="32" t="s">
        <v>42691</v>
      </c>
      <c r="F54" s="33">
        <v>31.0</v>
      </c>
      <c r="G54" s="34">
        <v>1.0750311E7</v>
      </c>
    </row>
    <row r="55" ht="12.75" customHeight="1">
      <c r="A55" s="27">
        <v>275.0</v>
      </c>
      <c r="B55" s="28" t="s">
        <v>42692</v>
      </c>
      <c r="C55" s="29">
        <v>10.0</v>
      </c>
      <c r="D55" s="28" t="s">
        <v>42693</v>
      </c>
      <c r="E55" s="28" t="s">
        <v>42694</v>
      </c>
      <c r="F55" s="29">
        <v>37.0</v>
      </c>
      <c r="G55" s="30">
        <v>1.0750379E7</v>
      </c>
    </row>
    <row r="56" ht="12.75" customHeight="1">
      <c r="A56" s="31">
        <v>275.0</v>
      </c>
      <c r="B56" s="32" t="s">
        <v>42695</v>
      </c>
      <c r="C56" s="33">
        <v>10.0</v>
      </c>
      <c r="D56" s="32" t="s">
        <v>42696</v>
      </c>
      <c r="E56" s="32" t="s">
        <v>42697</v>
      </c>
      <c r="F56" s="33">
        <v>40.0</v>
      </c>
      <c r="G56" s="34">
        <v>1.0750403E7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275.0</v>
      </c>
      <c r="B1" s="28" t="s">
        <v>42698</v>
      </c>
      <c r="C1" s="29">
        <v>10.0</v>
      </c>
      <c r="D1" s="28" t="s">
        <v>42699</v>
      </c>
      <c r="E1" s="28" t="s">
        <v>42700</v>
      </c>
      <c r="F1" s="29">
        <v>58.0</v>
      </c>
      <c r="G1" s="30">
        <v>1.0750582E7</v>
      </c>
    </row>
    <row r="2" ht="12.75" customHeight="1">
      <c r="A2" s="31">
        <v>275.0</v>
      </c>
      <c r="B2" s="32" t="s">
        <v>42701</v>
      </c>
      <c r="C2" s="33">
        <v>10.0</v>
      </c>
      <c r="D2" s="32" t="s">
        <v>42702</v>
      </c>
      <c r="E2" s="32" t="s">
        <v>42703</v>
      </c>
      <c r="F2" s="33">
        <v>67.0</v>
      </c>
      <c r="G2" s="34">
        <v>1.0750674E7</v>
      </c>
    </row>
    <row r="3" ht="12.75" customHeight="1">
      <c r="A3" s="27">
        <v>275.0</v>
      </c>
      <c r="B3" s="28" t="s">
        <v>42704</v>
      </c>
      <c r="C3" s="29">
        <v>10.0</v>
      </c>
      <c r="D3" s="28" t="s">
        <v>42705</v>
      </c>
      <c r="E3" s="28" t="s">
        <v>42706</v>
      </c>
      <c r="F3" s="29">
        <v>76.0</v>
      </c>
      <c r="G3" s="30">
        <v>1.0750766E7</v>
      </c>
    </row>
    <row r="4" ht="12.75" customHeight="1">
      <c r="A4" s="31">
        <v>275.0</v>
      </c>
      <c r="B4" s="32" t="s">
        <v>42707</v>
      </c>
      <c r="C4" s="33">
        <v>10.0</v>
      </c>
      <c r="D4" s="32" t="s">
        <v>42708</v>
      </c>
      <c r="E4" s="32" t="s">
        <v>42709</v>
      </c>
      <c r="F4" s="33">
        <v>79.0</v>
      </c>
      <c r="G4" s="34">
        <v>1.0750795E7</v>
      </c>
    </row>
    <row r="5" ht="12.75" customHeight="1">
      <c r="A5" s="27">
        <v>275.0</v>
      </c>
      <c r="B5" s="28" t="s">
        <v>42710</v>
      </c>
      <c r="C5" s="29">
        <v>10.0</v>
      </c>
      <c r="D5" s="28" t="s">
        <v>42711</v>
      </c>
      <c r="E5" s="28" t="s">
        <v>42712</v>
      </c>
      <c r="F5" s="29">
        <v>85.0</v>
      </c>
      <c r="G5" s="30">
        <v>1.0750858E7</v>
      </c>
    </row>
    <row r="6" ht="12.75" customHeight="1">
      <c r="A6" s="31">
        <v>275.0</v>
      </c>
      <c r="B6" s="32" t="s">
        <v>42713</v>
      </c>
      <c r="C6" s="33">
        <v>10.0</v>
      </c>
      <c r="D6" s="32" t="s">
        <v>42714</v>
      </c>
      <c r="E6" s="32" t="s">
        <v>42715</v>
      </c>
      <c r="F6" s="31">
        <v>100.0</v>
      </c>
      <c r="G6" s="34">
        <v>1.0751002E7</v>
      </c>
    </row>
    <row r="7" ht="12.75" customHeight="1">
      <c r="A7" s="27">
        <v>275.0</v>
      </c>
      <c r="B7" s="28" t="s">
        <v>42716</v>
      </c>
      <c r="C7" s="29">
        <v>10.0</v>
      </c>
      <c r="D7" s="28" t="s">
        <v>42717</v>
      </c>
      <c r="E7" s="28" t="s">
        <v>42718</v>
      </c>
      <c r="F7" s="27">
        <v>103.0</v>
      </c>
      <c r="G7" s="30">
        <v>1.0751031E7</v>
      </c>
    </row>
    <row r="8" ht="12.75" customHeight="1">
      <c r="A8" s="31">
        <v>275.0</v>
      </c>
      <c r="B8" s="32" t="s">
        <v>42719</v>
      </c>
      <c r="C8" s="33">
        <v>10.0</v>
      </c>
      <c r="D8" s="32" t="s">
        <v>42720</v>
      </c>
      <c r="E8" s="32" t="s">
        <v>42721</v>
      </c>
      <c r="F8" s="31">
        <v>118.0</v>
      </c>
      <c r="G8" s="34">
        <v>1.0751181E7</v>
      </c>
    </row>
    <row r="9" ht="12.75" customHeight="1">
      <c r="A9" s="27">
        <v>275.0</v>
      </c>
      <c r="B9" s="28" t="s">
        <v>42722</v>
      </c>
      <c r="C9" s="29">
        <v>10.0</v>
      </c>
      <c r="D9" s="28" t="s">
        <v>42723</v>
      </c>
      <c r="E9" s="28" t="s">
        <v>42724</v>
      </c>
      <c r="F9" s="27">
        <v>139.0</v>
      </c>
      <c r="G9" s="30">
        <v>1.0751394E7</v>
      </c>
    </row>
    <row r="10" ht="12.75" customHeight="1">
      <c r="A10" s="31">
        <v>275.0</v>
      </c>
      <c r="B10" s="32" t="s">
        <v>42725</v>
      </c>
      <c r="C10" s="33">
        <v>10.0</v>
      </c>
      <c r="D10" s="32" t="s">
        <v>42726</v>
      </c>
      <c r="E10" s="32" t="s">
        <v>42727</v>
      </c>
      <c r="F10" s="31">
        <v>148.0</v>
      </c>
      <c r="G10" s="34">
        <v>1.0751486E7</v>
      </c>
    </row>
    <row r="11" ht="12.75" customHeight="1">
      <c r="A11" s="27">
        <v>275.0</v>
      </c>
      <c r="B11" s="28" t="s">
        <v>42728</v>
      </c>
      <c r="C11" s="29">
        <v>10.0</v>
      </c>
      <c r="D11" s="28" t="s">
        <v>42729</v>
      </c>
      <c r="E11" s="28" t="s">
        <v>42730</v>
      </c>
      <c r="F11" s="27">
        <v>157.0</v>
      </c>
      <c r="G11" s="30">
        <v>1.0751578E7</v>
      </c>
    </row>
    <row r="12" ht="12.75" customHeight="1">
      <c r="A12" s="31">
        <v>275.0</v>
      </c>
      <c r="B12" s="32" t="s">
        <v>42731</v>
      </c>
      <c r="C12" s="33">
        <v>10.0</v>
      </c>
      <c r="D12" s="32" t="s">
        <v>42732</v>
      </c>
      <c r="E12" s="32" t="s">
        <v>42733</v>
      </c>
      <c r="F12" s="31">
        <v>163.0</v>
      </c>
      <c r="G12" s="34">
        <v>1.0751631E7</v>
      </c>
    </row>
    <row r="13" ht="12.75" customHeight="1">
      <c r="A13" s="27">
        <v>275.0</v>
      </c>
      <c r="B13" s="28" t="s">
        <v>42734</v>
      </c>
      <c r="C13" s="29">
        <v>10.0</v>
      </c>
      <c r="D13" s="28" t="s">
        <v>42735</v>
      </c>
      <c r="E13" s="28" t="s">
        <v>42736</v>
      </c>
      <c r="F13" s="27">
        <v>166.0</v>
      </c>
      <c r="G13" s="30">
        <v>1.075166E7</v>
      </c>
    </row>
    <row r="14" ht="12.75" customHeight="1">
      <c r="A14" s="31">
        <v>275.0</v>
      </c>
      <c r="B14" s="32" t="s">
        <v>42737</v>
      </c>
      <c r="C14" s="33">
        <v>10.0</v>
      </c>
      <c r="D14" s="32" t="s">
        <v>42738</v>
      </c>
      <c r="E14" s="32" t="s">
        <v>42739</v>
      </c>
      <c r="F14" s="31">
        <v>217.0</v>
      </c>
      <c r="G14" s="34">
        <v>1.0752177E7</v>
      </c>
    </row>
    <row r="15" ht="12.75" customHeight="1">
      <c r="A15" s="27">
        <v>275.0</v>
      </c>
      <c r="B15" s="28" t="s">
        <v>42740</v>
      </c>
      <c r="C15" s="29">
        <v>10.0</v>
      </c>
      <c r="D15" s="28" t="s">
        <v>42741</v>
      </c>
      <c r="E15" s="28" t="s">
        <v>42742</v>
      </c>
      <c r="F15" s="27">
        <v>220.0</v>
      </c>
      <c r="G15" s="30">
        <v>1.0752201E7</v>
      </c>
    </row>
    <row r="16" ht="12.75" customHeight="1">
      <c r="A16" s="31">
        <v>275.0</v>
      </c>
      <c r="B16" s="32" t="s">
        <v>42743</v>
      </c>
      <c r="C16" s="33">
        <v>10.0</v>
      </c>
      <c r="D16" s="32" t="s">
        <v>42744</v>
      </c>
      <c r="E16" s="32" t="s">
        <v>42745</v>
      </c>
      <c r="F16" s="31">
        <v>223.0</v>
      </c>
      <c r="G16" s="34">
        <v>1.075223E7</v>
      </c>
    </row>
    <row r="17" ht="12.75" customHeight="1">
      <c r="A17" s="27">
        <v>275.0</v>
      </c>
      <c r="B17" s="28" t="s">
        <v>42746</v>
      </c>
      <c r="C17" s="29">
        <v>10.0</v>
      </c>
      <c r="D17" s="28" t="s">
        <v>42747</v>
      </c>
      <c r="E17" s="28" t="s">
        <v>42748</v>
      </c>
      <c r="F17" s="27">
        <v>244.0</v>
      </c>
      <c r="G17" s="30">
        <v>1.0752443E7</v>
      </c>
    </row>
    <row r="18" ht="12.75" customHeight="1">
      <c r="A18" s="31">
        <v>576.0</v>
      </c>
      <c r="B18" s="32" t="s">
        <v>42749</v>
      </c>
      <c r="C18" s="33">
        <v>10.0</v>
      </c>
      <c r="D18" s="32" t="s">
        <v>42750</v>
      </c>
      <c r="E18" s="32" t="s">
        <v>42751</v>
      </c>
      <c r="F18" s="33">
        <v>4.0</v>
      </c>
      <c r="G18" s="34">
        <v>1.0760048E7</v>
      </c>
    </row>
    <row r="19" ht="12.75" customHeight="1">
      <c r="A19" s="27">
        <v>576.0</v>
      </c>
      <c r="B19" s="28" t="s">
        <v>42752</v>
      </c>
      <c r="C19" s="29">
        <v>10.0</v>
      </c>
      <c r="D19" s="28" t="s">
        <v>42753</v>
      </c>
      <c r="E19" s="28" t="s">
        <v>42754</v>
      </c>
      <c r="F19" s="29">
        <v>6.0</v>
      </c>
      <c r="G19" s="30">
        <v>1.0760064E7</v>
      </c>
    </row>
    <row r="20" ht="12.75" customHeight="1">
      <c r="A20" s="31">
        <v>576.0</v>
      </c>
      <c r="B20" s="32" t="s">
        <v>42755</v>
      </c>
      <c r="C20" s="33">
        <v>10.0</v>
      </c>
      <c r="D20" s="32" t="s">
        <v>42756</v>
      </c>
      <c r="E20" s="32" t="s">
        <v>42757</v>
      </c>
      <c r="F20" s="33">
        <v>8.0</v>
      </c>
      <c r="G20" s="34">
        <v>1.076008E7</v>
      </c>
    </row>
    <row r="21" ht="12.75" customHeight="1">
      <c r="A21" s="27">
        <v>576.0</v>
      </c>
      <c r="B21" s="28" t="s">
        <v>42758</v>
      </c>
      <c r="C21" s="29">
        <v>10.0</v>
      </c>
      <c r="D21" s="28" t="s">
        <v>42759</v>
      </c>
      <c r="E21" s="28" t="s">
        <v>42760</v>
      </c>
      <c r="F21" s="29">
        <v>11.0</v>
      </c>
      <c r="G21" s="30">
        <v>1.0760114E7</v>
      </c>
    </row>
    <row r="22" ht="12.75" customHeight="1">
      <c r="A22" s="31">
        <v>576.0</v>
      </c>
      <c r="B22" s="32" t="s">
        <v>42761</v>
      </c>
      <c r="C22" s="33">
        <v>10.0</v>
      </c>
      <c r="D22" s="32" t="s">
        <v>42762</v>
      </c>
      <c r="E22" s="32" t="s">
        <v>42763</v>
      </c>
      <c r="F22" s="33">
        <v>22.0</v>
      </c>
      <c r="G22" s="34">
        <v>1.0760222E7</v>
      </c>
    </row>
    <row r="23" ht="12.75" customHeight="1">
      <c r="A23" s="27">
        <v>576.0</v>
      </c>
      <c r="B23" s="28" t="s">
        <v>42764</v>
      </c>
      <c r="C23" s="29">
        <v>10.0</v>
      </c>
      <c r="D23" s="28" t="s">
        <v>42765</v>
      </c>
      <c r="E23" s="28" t="s">
        <v>42766</v>
      </c>
      <c r="F23" s="29">
        <v>25.0</v>
      </c>
      <c r="G23" s="30">
        <v>1.0760251E7</v>
      </c>
    </row>
    <row r="24" ht="12.75" customHeight="1">
      <c r="A24" s="31">
        <v>576.0</v>
      </c>
      <c r="B24" s="32" t="s">
        <v>42767</v>
      </c>
      <c r="C24" s="33">
        <v>10.0</v>
      </c>
      <c r="D24" s="32" t="s">
        <v>42768</v>
      </c>
      <c r="E24" s="32" t="s">
        <v>42769</v>
      </c>
      <c r="F24" s="33">
        <v>40.0</v>
      </c>
      <c r="G24" s="34">
        <v>1.0760406E7</v>
      </c>
    </row>
    <row r="25" ht="12.75" customHeight="1">
      <c r="A25" s="27">
        <v>576.0</v>
      </c>
      <c r="B25" s="28" t="s">
        <v>42770</v>
      </c>
      <c r="C25" s="29">
        <v>10.0</v>
      </c>
      <c r="D25" s="28" t="s">
        <v>42771</v>
      </c>
      <c r="E25" s="28" t="s">
        <v>42772</v>
      </c>
      <c r="F25" s="29">
        <v>61.0</v>
      </c>
      <c r="G25" s="30">
        <v>1.0760619E7</v>
      </c>
    </row>
    <row r="26" ht="12.75" customHeight="1">
      <c r="A26" s="31">
        <v>576.0</v>
      </c>
      <c r="B26" s="32" t="s">
        <v>42773</v>
      </c>
      <c r="C26" s="33">
        <v>10.0</v>
      </c>
      <c r="D26" s="32" t="s">
        <v>42774</v>
      </c>
      <c r="E26" s="32" t="s">
        <v>42775</v>
      </c>
      <c r="F26" s="33">
        <v>70.0</v>
      </c>
      <c r="G26" s="34">
        <v>1.0760701E7</v>
      </c>
    </row>
    <row r="27" ht="12.75" customHeight="1">
      <c r="A27" s="27">
        <v>576.0</v>
      </c>
      <c r="B27" s="28" t="s">
        <v>42776</v>
      </c>
      <c r="C27" s="29">
        <v>10.0</v>
      </c>
      <c r="D27" s="28" t="s">
        <v>42777</v>
      </c>
      <c r="E27" s="28" t="s">
        <v>42778</v>
      </c>
      <c r="F27" s="29">
        <v>73.0</v>
      </c>
      <c r="G27" s="30">
        <v>1.076073E7</v>
      </c>
    </row>
    <row r="28" ht="12.75" customHeight="1">
      <c r="A28" s="31">
        <v>576.0</v>
      </c>
      <c r="B28" s="32" t="s">
        <v>42779</v>
      </c>
      <c r="C28" s="33">
        <v>10.0</v>
      </c>
      <c r="D28" s="32" t="s">
        <v>42780</v>
      </c>
      <c r="E28" s="32" t="s">
        <v>42781</v>
      </c>
      <c r="F28" s="33">
        <v>94.0</v>
      </c>
      <c r="G28" s="34">
        <v>1.0760943E7</v>
      </c>
    </row>
    <row r="29" ht="12.75" customHeight="1">
      <c r="A29" s="27">
        <v>576.0</v>
      </c>
      <c r="B29" s="28" t="s">
        <v>42782</v>
      </c>
      <c r="C29" s="29">
        <v>10.0</v>
      </c>
      <c r="D29" s="28" t="s">
        <v>42783</v>
      </c>
      <c r="E29" s="28" t="s">
        <v>42784</v>
      </c>
      <c r="F29" s="27">
        <v>112.0</v>
      </c>
      <c r="G29" s="30">
        <v>1.0761126E7</v>
      </c>
    </row>
    <row r="30" ht="12.75" customHeight="1">
      <c r="A30" s="31">
        <v>576.0</v>
      </c>
      <c r="B30" s="32" t="s">
        <v>42785</v>
      </c>
      <c r="C30" s="33">
        <v>10.0</v>
      </c>
      <c r="D30" s="32" t="s">
        <v>42786</v>
      </c>
      <c r="E30" s="32" t="s">
        <v>42787</v>
      </c>
      <c r="F30" s="31">
        <v>121.0</v>
      </c>
      <c r="G30" s="34">
        <v>1.0761218E7</v>
      </c>
    </row>
    <row r="31" ht="12.75" customHeight="1">
      <c r="A31" s="27">
        <v>576.0</v>
      </c>
      <c r="B31" s="28" t="s">
        <v>42788</v>
      </c>
      <c r="C31" s="29">
        <v>10.0</v>
      </c>
      <c r="D31" s="28" t="s">
        <v>42789</v>
      </c>
      <c r="E31" s="28" t="s">
        <v>42790</v>
      </c>
      <c r="F31" s="27">
        <v>154.0</v>
      </c>
      <c r="G31" s="30">
        <v>1.0761542E7</v>
      </c>
    </row>
    <row r="32" ht="12.75" customHeight="1">
      <c r="A32" s="31">
        <v>576.0</v>
      </c>
      <c r="B32" s="32" t="s">
        <v>42791</v>
      </c>
      <c r="C32" s="33">
        <v>10.0</v>
      </c>
      <c r="D32" s="32" t="s">
        <v>42792</v>
      </c>
      <c r="E32" s="32" t="s">
        <v>42793</v>
      </c>
      <c r="F32" s="31">
        <v>157.0</v>
      </c>
      <c r="G32" s="34">
        <v>1.0761571E7</v>
      </c>
    </row>
    <row r="33" ht="12.75" customHeight="1">
      <c r="A33" s="27">
        <v>576.0</v>
      </c>
      <c r="B33" s="28" t="s">
        <v>42794</v>
      </c>
      <c r="C33" s="29">
        <v>10.0</v>
      </c>
      <c r="D33" s="28" t="s">
        <v>42795</v>
      </c>
      <c r="E33" s="28" t="s">
        <v>42796</v>
      </c>
      <c r="F33" s="27">
        <v>166.0</v>
      </c>
      <c r="G33" s="30">
        <v>1.0761663E7</v>
      </c>
    </row>
    <row r="34" ht="12.75" customHeight="1">
      <c r="A34" s="31">
        <v>576.0</v>
      </c>
      <c r="B34" s="32" t="s">
        <v>42797</v>
      </c>
      <c r="C34" s="33">
        <v>10.0</v>
      </c>
      <c r="D34" s="32" t="s">
        <v>42798</v>
      </c>
      <c r="E34" s="32" t="s">
        <v>42799</v>
      </c>
      <c r="F34" s="31">
        <v>169.0</v>
      </c>
      <c r="G34" s="34">
        <v>1.0761692E7</v>
      </c>
    </row>
    <row r="35" ht="12.75" customHeight="1">
      <c r="A35" s="27">
        <v>576.0</v>
      </c>
      <c r="B35" s="28" t="s">
        <v>42800</v>
      </c>
      <c r="C35" s="29">
        <v>10.0</v>
      </c>
      <c r="D35" s="28" t="s">
        <v>42801</v>
      </c>
      <c r="E35" s="28" t="s">
        <v>42802</v>
      </c>
      <c r="F35" s="27">
        <v>172.0</v>
      </c>
      <c r="G35" s="30">
        <v>1.0761726E7</v>
      </c>
    </row>
    <row r="36" ht="12.75" customHeight="1">
      <c r="A36" s="31">
        <v>576.0</v>
      </c>
      <c r="B36" s="32" t="s">
        <v>42803</v>
      </c>
      <c r="C36" s="33">
        <v>10.0</v>
      </c>
      <c r="D36" s="32" t="s">
        <v>42804</v>
      </c>
      <c r="E36" s="32" t="s">
        <v>42805</v>
      </c>
      <c r="F36" s="31">
        <v>190.0</v>
      </c>
      <c r="G36" s="34">
        <v>1.07619E7</v>
      </c>
    </row>
    <row r="37" ht="12.75" customHeight="1">
      <c r="A37" s="27">
        <v>576.0</v>
      </c>
      <c r="B37" s="28" t="s">
        <v>42806</v>
      </c>
      <c r="C37" s="29">
        <v>10.0</v>
      </c>
      <c r="D37" s="28" t="s">
        <v>42807</v>
      </c>
      <c r="E37" s="28" t="s">
        <v>42808</v>
      </c>
      <c r="F37" s="27">
        <v>193.0</v>
      </c>
      <c r="G37" s="30">
        <v>1.0761939E7</v>
      </c>
    </row>
    <row r="38" ht="12.75" customHeight="1">
      <c r="A38" s="31">
        <v>576.0</v>
      </c>
      <c r="B38" s="32" t="s">
        <v>42809</v>
      </c>
      <c r="C38" s="33">
        <v>10.0</v>
      </c>
      <c r="D38" s="32" t="s">
        <v>42810</v>
      </c>
      <c r="E38" s="32" t="s">
        <v>42811</v>
      </c>
      <c r="F38" s="31">
        <v>196.0</v>
      </c>
      <c r="G38" s="34">
        <v>1.0761968E7</v>
      </c>
    </row>
    <row r="39" ht="12.75" customHeight="1">
      <c r="A39" s="27">
        <v>576.0</v>
      </c>
      <c r="B39" s="28" t="s">
        <v>42812</v>
      </c>
      <c r="C39" s="29">
        <v>10.0</v>
      </c>
      <c r="D39" s="28" t="s">
        <v>42813</v>
      </c>
      <c r="E39" s="28" t="s">
        <v>42814</v>
      </c>
      <c r="F39" s="27">
        <v>199.0</v>
      </c>
      <c r="G39" s="30">
        <v>1.0761997E7</v>
      </c>
    </row>
    <row r="40" ht="12.75" customHeight="1">
      <c r="A40" s="31">
        <v>576.0</v>
      </c>
      <c r="B40" s="32" t="s">
        <v>42815</v>
      </c>
      <c r="C40" s="33">
        <v>10.0</v>
      </c>
      <c r="D40" s="32" t="s">
        <v>42816</v>
      </c>
      <c r="E40" s="32" t="s">
        <v>42817</v>
      </c>
      <c r="F40" s="31">
        <v>202.0</v>
      </c>
      <c r="G40" s="34">
        <v>1.076202E7</v>
      </c>
    </row>
    <row r="41" ht="12.75" customHeight="1">
      <c r="A41" s="27">
        <v>576.0</v>
      </c>
      <c r="B41" s="28" t="s">
        <v>42818</v>
      </c>
      <c r="C41" s="29">
        <v>10.0</v>
      </c>
      <c r="D41" s="28" t="s">
        <v>42819</v>
      </c>
      <c r="E41" s="28" t="s">
        <v>42820</v>
      </c>
      <c r="F41" s="27">
        <v>217.0</v>
      </c>
      <c r="G41" s="30">
        <v>1.076217E7</v>
      </c>
    </row>
    <row r="42" ht="12.75" customHeight="1">
      <c r="A42" s="31">
        <v>576.0</v>
      </c>
      <c r="B42" s="32" t="s">
        <v>42821</v>
      </c>
      <c r="C42" s="33">
        <v>10.0</v>
      </c>
      <c r="D42" s="32" t="s">
        <v>42822</v>
      </c>
      <c r="E42" s="32" t="s">
        <v>42823</v>
      </c>
      <c r="F42" s="31">
        <v>220.0</v>
      </c>
      <c r="G42" s="34">
        <v>1.0762204E7</v>
      </c>
    </row>
    <row r="43" ht="12.75" customHeight="1">
      <c r="A43" s="27">
        <v>576.0</v>
      </c>
      <c r="B43" s="28" t="s">
        <v>42824</v>
      </c>
      <c r="C43" s="29">
        <v>10.0</v>
      </c>
      <c r="D43" s="28" t="s">
        <v>42825</v>
      </c>
      <c r="E43" s="28" t="s">
        <v>42826</v>
      </c>
      <c r="F43" s="27">
        <v>226.0</v>
      </c>
      <c r="G43" s="30">
        <v>1.0762262E7</v>
      </c>
    </row>
    <row r="44" ht="12.75" customHeight="1">
      <c r="A44" s="31">
        <v>777.0</v>
      </c>
      <c r="B44" s="32" t="s">
        <v>42827</v>
      </c>
      <c r="C44" s="33">
        <v>10.0</v>
      </c>
      <c r="D44" s="32" t="s">
        <v>42828</v>
      </c>
      <c r="E44" s="32" t="s">
        <v>42829</v>
      </c>
      <c r="F44" s="33">
        <v>16.0</v>
      </c>
      <c r="G44" s="34">
        <v>1.0770162E7</v>
      </c>
    </row>
    <row r="45" ht="12.75" customHeight="1">
      <c r="A45" s="27">
        <v>777.0</v>
      </c>
      <c r="B45" s="28" t="s">
        <v>42830</v>
      </c>
      <c r="C45" s="29">
        <v>10.0</v>
      </c>
      <c r="D45" s="28" t="s">
        <v>42831</v>
      </c>
      <c r="E45" s="28" t="s">
        <v>42832</v>
      </c>
      <c r="F45" s="29">
        <v>34.0</v>
      </c>
      <c r="G45" s="30">
        <v>1.0770346E7</v>
      </c>
    </row>
    <row r="46" ht="12.75" customHeight="1">
      <c r="A46" s="31">
        <v>777.0</v>
      </c>
      <c r="B46" s="32" t="s">
        <v>42833</v>
      </c>
      <c r="C46" s="33">
        <v>10.0</v>
      </c>
      <c r="D46" s="32" t="s">
        <v>42834</v>
      </c>
      <c r="E46" s="32" t="s">
        <v>42835</v>
      </c>
      <c r="F46" s="33">
        <v>52.0</v>
      </c>
      <c r="G46" s="34">
        <v>1.077052E7</v>
      </c>
    </row>
    <row r="47" ht="12.75" customHeight="1">
      <c r="A47" s="27">
        <v>777.0</v>
      </c>
      <c r="B47" s="28" t="s">
        <v>42836</v>
      </c>
      <c r="C47" s="29">
        <v>10.0</v>
      </c>
      <c r="D47" s="28" t="s">
        <v>42837</v>
      </c>
      <c r="E47" s="28" t="s">
        <v>42838</v>
      </c>
      <c r="F47" s="29">
        <v>55.0</v>
      </c>
      <c r="G47" s="30">
        <v>1.0770559E7</v>
      </c>
    </row>
    <row r="48" ht="12.75" customHeight="1">
      <c r="A48" s="31">
        <v>777.0</v>
      </c>
      <c r="B48" s="32" t="s">
        <v>42839</v>
      </c>
      <c r="C48" s="33">
        <v>10.0</v>
      </c>
      <c r="D48" s="32" t="s">
        <v>42840</v>
      </c>
      <c r="E48" s="32" t="s">
        <v>42841</v>
      </c>
      <c r="F48" s="33">
        <v>61.0</v>
      </c>
      <c r="G48" s="34">
        <v>1.0770612E7</v>
      </c>
    </row>
    <row r="49" ht="12.75" customHeight="1">
      <c r="A49" s="27">
        <v>777.0</v>
      </c>
      <c r="B49" s="28" t="s">
        <v>42842</v>
      </c>
      <c r="C49" s="29">
        <v>10.0</v>
      </c>
      <c r="D49" s="28" t="s">
        <v>42843</v>
      </c>
      <c r="E49" s="28" t="s">
        <v>42844</v>
      </c>
      <c r="F49" s="29">
        <v>76.0</v>
      </c>
      <c r="G49" s="30">
        <v>1.0770762E7</v>
      </c>
    </row>
    <row r="50" ht="12.75" customHeight="1">
      <c r="A50" s="31">
        <v>378.0</v>
      </c>
      <c r="B50" s="32" t="s">
        <v>42845</v>
      </c>
      <c r="C50" s="33">
        <v>10.0</v>
      </c>
      <c r="D50" s="32" t="s">
        <v>42846</v>
      </c>
      <c r="E50" s="32" t="s">
        <v>42847</v>
      </c>
      <c r="F50" s="33">
        <v>19.0</v>
      </c>
      <c r="G50" s="34">
        <v>1.0780194E7</v>
      </c>
    </row>
    <row r="51" ht="12.75" customHeight="1">
      <c r="A51" s="27">
        <v>378.0</v>
      </c>
      <c r="B51" s="28" t="s">
        <v>42848</v>
      </c>
      <c r="C51" s="29">
        <v>10.0</v>
      </c>
      <c r="D51" s="28" t="s">
        <v>42849</v>
      </c>
      <c r="E51" s="28" t="s">
        <v>42850</v>
      </c>
      <c r="F51" s="29">
        <v>34.0</v>
      </c>
      <c r="G51" s="30">
        <v>1.0780349E7</v>
      </c>
    </row>
    <row r="52" ht="12.75" customHeight="1">
      <c r="A52" s="31">
        <v>378.0</v>
      </c>
      <c r="B52" s="32" t="s">
        <v>42851</v>
      </c>
      <c r="C52" s="33">
        <v>10.0</v>
      </c>
      <c r="D52" s="32" t="s">
        <v>42852</v>
      </c>
      <c r="E52" s="32" t="s">
        <v>42853</v>
      </c>
      <c r="F52" s="33">
        <v>49.0</v>
      </c>
      <c r="G52" s="34">
        <v>1.0780499E7</v>
      </c>
    </row>
    <row r="53" ht="12.75" customHeight="1">
      <c r="A53" s="27">
        <v>378.0</v>
      </c>
      <c r="B53" s="28" t="s">
        <v>42854</v>
      </c>
      <c r="C53" s="29">
        <v>10.0</v>
      </c>
      <c r="D53" s="28" t="s">
        <v>42855</v>
      </c>
      <c r="E53" s="28" t="s">
        <v>42856</v>
      </c>
      <c r="F53" s="29">
        <v>64.0</v>
      </c>
      <c r="G53" s="30">
        <v>1.0780644E7</v>
      </c>
    </row>
    <row r="54" ht="12.75" customHeight="1">
      <c r="A54" s="31">
        <v>378.0</v>
      </c>
      <c r="B54" s="32" t="s">
        <v>42857</v>
      </c>
      <c r="C54" s="33">
        <v>10.0</v>
      </c>
      <c r="D54" s="32" t="s">
        <v>42858</v>
      </c>
      <c r="E54" s="32" t="s">
        <v>42859</v>
      </c>
      <c r="F54" s="33">
        <v>76.0</v>
      </c>
      <c r="G54" s="34">
        <v>1.0780765E7</v>
      </c>
    </row>
    <row r="55" ht="12.75" customHeight="1">
      <c r="A55" s="27">
        <v>378.0</v>
      </c>
      <c r="B55" s="28" t="s">
        <v>42860</v>
      </c>
      <c r="C55" s="29">
        <v>10.0</v>
      </c>
      <c r="D55" s="28" t="s">
        <v>42861</v>
      </c>
      <c r="E55" s="28" t="s">
        <v>42862</v>
      </c>
      <c r="F55" s="29">
        <v>79.0</v>
      </c>
      <c r="G55" s="30">
        <v>1.0780794E7</v>
      </c>
    </row>
    <row r="56" ht="12.75" customHeight="1">
      <c r="A56" s="31">
        <v>378.0</v>
      </c>
      <c r="B56" s="32" t="s">
        <v>42863</v>
      </c>
      <c r="C56" s="33">
        <v>10.0</v>
      </c>
      <c r="D56" s="32" t="s">
        <v>42864</v>
      </c>
      <c r="E56" s="32" t="s">
        <v>42865</v>
      </c>
      <c r="F56" s="33">
        <v>82.0</v>
      </c>
      <c r="G56" s="34">
        <v>1.0780828E7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378.0</v>
      </c>
      <c r="B1" s="28" t="s">
        <v>42866</v>
      </c>
      <c r="C1" s="29">
        <v>10.0</v>
      </c>
      <c r="D1" s="28" t="s">
        <v>42867</v>
      </c>
      <c r="E1" s="28" t="s">
        <v>42868</v>
      </c>
      <c r="F1" s="27">
        <v>100.0</v>
      </c>
      <c r="G1" s="30">
        <v>1.0781001E7</v>
      </c>
    </row>
    <row r="2" ht="12.75" customHeight="1">
      <c r="A2" s="31">
        <v>378.0</v>
      </c>
      <c r="B2" s="32" t="s">
        <v>42869</v>
      </c>
      <c r="C2" s="33">
        <v>10.0</v>
      </c>
      <c r="D2" s="32" t="s">
        <v>42870</v>
      </c>
      <c r="E2" s="32" t="s">
        <v>42871</v>
      </c>
      <c r="F2" s="31">
        <v>103.0</v>
      </c>
      <c r="G2" s="34">
        <v>1.078103E7</v>
      </c>
    </row>
    <row r="3" ht="12.75" customHeight="1">
      <c r="A3" s="27">
        <v>378.0</v>
      </c>
      <c r="B3" s="28" t="s">
        <v>42872</v>
      </c>
      <c r="C3" s="29">
        <v>10.0</v>
      </c>
      <c r="D3" s="28" t="s">
        <v>42873</v>
      </c>
      <c r="E3" s="28" t="s">
        <v>42874</v>
      </c>
      <c r="F3" s="27">
        <v>118.0</v>
      </c>
      <c r="G3" s="30">
        <v>1.078118E7</v>
      </c>
    </row>
    <row r="4" ht="12.75" customHeight="1">
      <c r="A4" s="31">
        <v>378.0</v>
      </c>
      <c r="B4" s="32" t="s">
        <v>42875</v>
      </c>
      <c r="C4" s="33">
        <v>10.0</v>
      </c>
      <c r="D4" s="32" t="s">
        <v>42876</v>
      </c>
      <c r="E4" s="32" t="s">
        <v>42877</v>
      </c>
      <c r="F4" s="31">
        <v>124.0</v>
      </c>
      <c r="G4" s="34">
        <v>1.0781243E7</v>
      </c>
    </row>
    <row r="5" ht="12.75" customHeight="1">
      <c r="A5" s="27">
        <v>378.0</v>
      </c>
      <c r="B5" s="28" t="s">
        <v>42878</v>
      </c>
      <c r="C5" s="29">
        <v>10.0</v>
      </c>
      <c r="D5" s="28" t="s">
        <v>42879</v>
      </c>
      <c r="E5" s="28" t="s">
        <v>42880</v>
      </c>
      <c r="F5" s="27">
        <v>130.0</v>
      </c>
      <c r="G5" s="30">
        <v>1.0781306E7</v>
      </c>
    </row>
    <row r="6" ht="12.75" customHeight="1">
      <c r="A6" s="31">
        <v>379.0</v>
      </c>
      <c r="B6" s="32" t="s">
        <v>42881</v>
      </c>
      <c r="C6" s="33">
        <v>10.0</v>
      </c>
      <c r="D6" s="32" t="s">
        <v>42882</v>
      </c>
      <c r="E6" s="32" t="s">
        <v>42883</v>
      </c>
      <c r="F6" s="33">
        <v>13.0</v>
      </c>
      <c r="G6" s="34">
        <v>1.0790139E7</v>
      </c>
    </row>
    <row r="7" ht="12.75" customHeight="1">
      <c r="A7" s="27">
        <v>379.0</v>
      </c>
      <c r="B7" s="28" t="s">
        <v>42884</v>
      </c>
      <c r="C7" s="29">
        <v>10.0</v>
      </c>
      <c r="D7" s="28" t="s">
        <v>42885</v>
      </c>
      <c r="E7" s="28" t="s">
        <v>42886</v>
      </c>
      <c r="F7" s="29">
        <v>43.0</v>
      </c>
      <c r="G7" s="30">
        <v>1.0790434E7</v>
      </c>
    </row>
    <row r="8" ht="12.75" customHeight="1">
      <c r="A8" s="31">
        <v>379.0</v>
      </c>
      <c r="B8" s="32" t="s">
        <v>42887</v>
      </c>
      <c r="C8" s="33">
        <v>10.0</v>
      </c>
      <c r="D8" s="32" t="s">
        <v>42888</v>
      </c>
      <c r="E8" s="32" t="s">
        <v>42889</v>
      </c>
      <c r="F8" s="33">
        <v>52.0</v>
      </c>
      <c r="G8" s="34">
        <v>1.0790526E7</v>
      </c>
    </row>
    <row r="9" ht="12.75" customHeight="1">
      <c r="A9" s="27">
        <v>379.0</v>
      </c>
      <c r="B9" s="28" t="s">
        <v>42890</v>
      </c>
      <c r="C9" s="29">
        <v>10.0</v>
      </c>
      <c r="D9" s="28" t="s">
        <v>42891</v>
      </c>
      <c r="E9" s="28" t="s">
        <v>42892</v>
      </c>
      <c r="F9" s="29">
        <v>64.0</v>
      </c>
      <c r="G9" s="30">
        <v>1.0790647E7</v>
      </c>
    </row>
    <row r="10" ht="12.75" customHeight="1">
      <c r="A10" s="31">
        <v>379.0</v>
      </c>
      <c r="B10" s="32" t="s">
        <v>42893</v>
      </c>
      <c r="C10" s="33">
        <v>10.0</v>
      </c>
      <c r="D10" s="32" t="s">
        <v>42894</v>
      </c>
      <c r="E10" s="32" t="s">
        <v>42895</v>
      </c>
      <c r="F10" s="33">
        <v>73.0</v>
      </c>
      <c r="G10" s="34">
        <v>1.0790739E7</v>
      </c>
    </row>
    <row r="11" ht="12.75" customHeight="1">
      <c r="A11" s="27">
        <v>379.0</v>
      </c>
      <c r="B11" s="28" t="s">
        <v>42896</v>
      </c>
      <c r="C11" s="29">
        <v>10.0</v>
      </c>
      <c r="D11" s="28" t="s">
        <v>42897</v>
      </c>
      <c r="E11" s="28" t="s">
        <v>42898</v>
      </c>
      <c r="F11" s="29">
        <v>79.0</v>
      </c>
      <c r="G11" s="30">
        <v>1.0790797E7</v>
      </c>
    </row>
    <row r="12" ht="12.75" customHeight="1">
      <c r="A12" s="31">
        <v>379.0</v>
      </c>
      <c r="B12" s="32" t="s">
        <v>42899</v>
      </c>
      <c r="C12" s="33">
        <v>10.0</v>
      </c>
      <c r="D12" s="32" t="s">
        <v>42900</v>
      </c>
      <c r="E12" s="32" t="s">
        <v>42901</v>
      </c>
      <c r="F12" s="33">
        <v>82.0</v>
      </c>
      <c r="G12" s="34">
        <v>1.0790821E7</v>
      </c>
    </row>
    <row r="13" ht="12.75" customHeight="1">
      <c r="A13" s="27">
        <v>581.0</v>
      </c>
      <c r="B13" s="28" t="s">
        <v>42902</v>
      </c>
      <c r="C13" s="29">
        <v>10.0</v>
      </c>
      <c r="D13" s="28" t="s">
        <v>42903</v>
      </c>
      <c r="E13" s="28" t="s">
        <v>42904</v>
      </c>
      <c r="F13" s="29">
        <v>5.0</v>
      </c>
      <c r="G13" s="30">
        <v>1.0810051E7</v>
      </c>
    </row>
    <row r="14" ht="12.75" customHeight="1">
      <c r="A14" s="31">
        <v>581.0</v>
      </c>
      <c r="B14" s="32" t="s">
        <v>42905</v>
      </c>
      <c r="C14" s="33">
        <v>10.0</v>
      </c>
      <c r="D14" s="32" t="s">
        <v>42906</v>
      </c>
      <c r="E14" s="32" t="s">
        <v>42907</v>
      </c>
      <c r="F14" s="33">
        <v>8.0</v>
      </c>
      <c r="G14" s="34">
        <v>1.081008E7</v>
      </c>
    </row>
    <row r="15" ht="12.75" customHeight="1">
      <c r="A15" s="27">
        <v>581.0</v>
      </c>
      <c r="B15" s="28" t="s">
        <v>42908</v>
      </c>
      <c r="C15" s="29">
        <v>10.0</v>
      </c>
      <c r="D15" s="28" t="s">
        <v>42909</v>
      </c>
      <c r="E15" s="28" t="s">
        <v>42910</v>
      </c>
      <c r="F15" s="29">
        <v>13.0</v>
      </c>
      <c r="G15" s="30">
        <v>1.081013E7</v>
      </c>
    </row>
    <row r="16" ht="12.75" customHeight="1">
      <c r="A16" s="31">
        <v>581.0</v>
      </c>
      <c r="B16" s="32" t="s">
        <v>42911</v>
      </c>
      <c r="C16" s="33">
        <v>10.0</v>
      </c>
      <c r="D16" s="32" t="s">
        <v>42912</v>
      </c>
      <c r="E16" s="32" t="s">
        <v>42913</v>
      </c>
      <c r="F16" s="33">
        <v>16.0</v>
      </c>
      <c r="G16" s="34">
        <v>1.0810169E7</v>
      </c>
    </row>
    <row r="17" ht="12.75" customHeight="1">
      <c r="A17" s="27">
        <v>581.0</v>
      </c>
      <c r="B17" s="28" t="s">
        <v>42914</v>
      </c>
      <c r="C17" s="29">
        <v>10.0</v>
      </c>
      <c r="D17" s="28" t="s">
        <v>42915</v>
      </c>
      <c r="E17" s="28" t="s">
        <v>42916</v>
      </c>
      <c r="F17" s="29">
        <v>19.0</v>
      </c>
      <c r="G17" s="30">
        <v>1.0810198E7</v>
      </c>
    </row>
    <row r="18" ht="12.75" customHeight="1">
      <c r="A18" s="31">
        <v>581.0</v>
      </c>
      <c r="B18" s="32" t="s">
        <v>42917</v>
      </c>
      <c r="C18" s="33">
        <v>10.0</v>
      </c>
      <c r="D18" s="32" t="s">
        <v>42918</v>
      </c>
      <c r="E18" s="32" t="s">
        <v>42919</v>
      </c>
      <c r="F18" s="33">
        <v>40.0</v>
      </c>
      <c r="G18" s="34">
        <v>1.0810406E7</v>
      </c>
    </row>
    <row r="19" ht="12.75" customHeight="1">
      <c r="A19" s="27">
        <v>581.0</v>
      </c>
      <c r="B19" s="28" t="s">
        <v>42920</v>
      </c>
      <c r="C19" s="29">
        <v>10.0</v>
      </c>
      <c r="D19" s="28" t="s">
        <v>42921</v>
      </c>
      <c r="E19" s="28" t="s">
        <v>42922</v>
      </c>
      <c r="F19" s="29">
        <v>76.0</v>
      </c>
      <c r="G19" s="30">
        <v>1.0810769E7</v>
      </c>
    </row>
    <row r="20" ht="12.75" customHeight="1">
      <c r="A20" s="31">
        <v>581.0</v>
      </c>
      <c r="B20" s="32" t="s">
        <v>42923</v>
      </c>
      <c r="C20" s="33">
        <v>10.0</v>
      </c>
      <c r="D20" s="32" t="s">
        <v>42924</v>
      </c>
      <c r="E20" s="32" t="s">
        <v>42925</v>
      </c>
      <c r="F20" s="31">
        <v>118.0</v>
      </c>
      <c r="G20" s="34">
        <v>1.0811184E7</v>
      </c>
    </row>
    <row r="21" ht="12.75" customHeight="1">
      <c r="A21" s="27">
        <v>581.0</v>
      </c>
      <c r="B21" s="28" t="s">
        <v>42926</v>
      </c>
      <c r="C21" s="29">
        <v>10.0</v>
      </c>
      <c r="D21" s="28" t="s">
        <v>42927</v>
      </c>
      <c r="E21" s="28" t="s">
        <v>42928</v>
      </c>
      <c r="F21" s="27">
        <v>124.0</v>
      </c>
      <c r="G21" s="30">
        <v>1.0811247E7</v>
      </c>
    </row>
    <row r="22" ht="12.75" customHeight="1">
      <c r="A22" s="31">
        <v>581.0</v>
      </c>
      <c r="B22" s="32" t="s">
        <v>42929</v>
      </c>
      <c r="C22" s="33">
        <v>10.0</v>
      </c>
      <c r="D22" s="32" t="s">
        <v>42930</v>
      </c>
      <c r="E22" s="32" t="s">
        <v>42931</v>
      </c>
      <c r="F22" s="31">
        <v>127.0</v>
      </c>
      <c r="G22" s="34">
        <v>1.0811276E7</v>
      </c>
    </row>
    <row r="23" ht="12.75" customHeight="1">
      <c r="A23" s="27">
        <v>581.0</v>
      </c>
      <c r="B23" s="28" t="s">
        <v>42932</v>
      </c>
      <c r="C23" s="29">
        <v>10.0</v>
      </c>
      <c r="D23" s="28" t="s">
        <v>42933</v>
      </c>
      <c r="E23" s="28" t="s">
        <v>42934</v>
      </c>
      <c r="F23" s="27">
        <v>160.0</v>
      </c>
      <c r="G23" s="30">
        <v>1.0811605E7</v>
      </c>
    </row>
    <row r="24" ht="12.75" customHeight="1">
      <c r="A24" s="31">
        <v>581.0</v>
      </c>
      <c r="B24" s="32" t="s">
        <v>42935</v>
      </c>
      <c r="C24" s="33">
        <v>10.0</v>
      </c>
      <c r="D24" s="32" t="s">
        <v>42936</v>
      </c>
      <c r="E24" s="32" t="s">
        <v>42937</v>
      </c>
      <c r="F24" s="31">
        <v>163.0</v>
      </c>
      <c r="G24" s="34">
        <v>1.0811634E7</v>
      </c>
    </row>
    <row r="25" ht="12.75" customHeight="1">
      <c r="A25" s="27">
        <v>581.0</v>
      </c>
      <c r="B25" s="28" t="s">
        <v>42938</v>
      </c>
      <c r="C25" s="29">
        <v>10.0</v>
      </c>
      <c r="D25" s="28" t="s">
        <v>42939</v>
      </c>
      <c r="E25" s="28" t="s">
        <v>42940</v>
      </c>
      <c r="F25" s="27">
        <v>184.0</v>
      </c>
      <c r="G25" s="30">
        <v>1.0811847E7</v>
      </c>
    </row>
    <row r="26" ht="12.75" customHeight="1">
      <c r="A26" s="31">
        <v>581.0</v>
      </c>
      <c r="B26" s="32" t="s">
        <v>42941</v>
      </c>
      <c r="C26" s="33">
        <v>10.0</v>
      </c>
      <c r="D26" s="32" t="s">
        <v>42942</v>
      </c>
      <c r="E26" s="32" t="s">
        <v>42943</v>
      </c>
      <c r="F26" s="31">
        <v>187.0</v>
      </c>
      <c r="G26" s="34">
        <v>1.0811876E7</v>
      </c>
    </row>
    <row r="27" ht="12.75" customHeight="1">
      <c r="A27" s="27">
        <v>581.0</v>
      </c>
      <c r="B27" s="28" t="s">
        <v>42944</v>
      </c>
      <c r="C27" s="29">
        <v>10.0</v>
      </c>
      <c r="D27" s="28" t="s">
        <v>42945</v>
      </c>
      <c r="E27" s="28" t="s">
        <v>42946</v>
      </c>
      <c r="F27" s="27">
        <v>199.0</v>
      </c>
      <c r="G27" s="30">
        <v>1.0811997E7</v>
      </c>
    </row>
    <row r="28" ht="12.75" customHeight="1">
      <c r="A28" s="31">
        <v>581.0</v>
      </c>
      <c r="B28" s="32" t="s">
        <v>42947</v>
      </c>
      <c r="C28" s="33">
        <v>10.0</v>
      </c>
      <c r="D28" s="32" t="s">
        <v>42948</v>
      </c>
      <c r="E28" s="32" t="s">
        <v>42949</v>
      </c>
      <c r="F28" s="31">
        <v>211.0</v>
      </c>
      <c r="G28" s="34">
        <v>1.0812112E7</v>
      </c>
    </row>
    <row r="29" ht="12.75" customHeight="1">
      <c r="A29" s="27">
        <v>581.0</v>
      </c>
      <c r="B29" s="28" t="s">
        <v>42950</v>
      </c>
      <c r="C29" s="29">
        <v>10.0</v>
      </c>
      <c r="D29" s="28" t="s">
        <v>42951</v>
      </c>
      <c r="E29" s="28" t="s">
        <v>42952</v>
      </c>
      <c r="F29" s="27">
        <v>226.0</v>
      </c>
      <c r="G29" s="30">
        <v>1.0812262E7</v>
      </c>
    </row>
    <row r="30" ht="12.75" customHeight="1">
      <c r="A30" s="31">
        <v>581.0</v>
      </c>
      <c r="B30" s="32" t="s">
        <v>42953</v>
      </c>
      <c r="C30" s="33">
        <v>10.0</v>
      </c>
      <c r="D30" s="32" t="s">
        <v>42954</v>
      </c>
      <c r="E30" s="32" t="s">
        <v>42955</v>
      </c>
      <c r="F30" s="31">
        <v>235.0</v>
      </c>
      <c r="G30" s="34">
        <v>1.0812354E7</v>
      </c>
    </row>
    <row r="31" ht="12.75" customHeight="1">
      <c r="A31" s="27">
        <v>581.0</v>
      </c>
      <c r="B31" s="28" t="s">
        <v>42956</v>
      </c>
      <c r="C31" s="29">
        <v>10.0</v>
      </c>
      <c r="D31" s="28" t="s">
        <v>42957</v>
      </c>
      <c r="E31" s="28" t="s">
        <v>42958</v>
      </c>
      <c r="F31" s="27">
        <v>241.0</v>
      </c>
      <c r="G31" s="30">
        <v>1.0812417E7</v>
      </c>
    </row>
    <row r="32" ht="12.75" customHeight="1">
      <c r="A32" s="31">
        <v>382.0</v>
      </c>
      <c r="B32" s="32" t="s">
        <v>42959</v>
      </c>
      <c r="C32" s="33">
        <v>10.0</v>
      </c>
      <c r="D32" s="32" t="s">
        <v>42960</v>
      </c>
      <c r="E32" s="32" t="s">
        <v>42961</v>
      </c>
      <c r="F32" s="33">
        <v>4.0</v>
      </c>
      <c r="G32" s="34">
        <v>1.0820041E7</v>
      </c>
    </row>
    <row r="33" ht="12.75" customHeight="1">
      <c r="A33" s="27">
        <v>382.0</v>
      </c>
      <c r="B33" s="28" t="s">
        <v>42962</v>
      </c>
      <c r="C33" s="29">
        <v>10.0</v>
      </c>
      <c r="D33" s="28" t="s">
        <v>42963</v>
      </c>
      <c r="E33" s="28" t="s">
        <v>42964</v>
      </c>
      <c r="F33" s="29">
        <v>37.0</v>
      </c>
      <c r="G33" s="30">
        <v>1.0820375E7</v>
      </c>
    </row>
    <row r="34" ht="12.75" customHeight="1">
      <c r="A34" s="31">
        <v>382.0</v>
      </c>
      <c r="B34" s="32" t="s">
        <v>42965</v>
      </c>
      <c r="C34" s="33">
        <v>10.0</v>
      </c>
      <c r="D34" s="32" t="s">
        <v>42966</v>
      </c>
      <c r="E34" s="32" t="s">
        <v>42967</v>
      </c>
      <c r="F34" s="33">
        <v>55.0</v>
      </c>
      <c r="G34" s="34">
        <v>1.0820559E7</v>
      </c>
    </row>
    <row r="35" ht="12.75" customHeight="1">
      <c r="A35" s="27">
        <v>382.0</v>
      </c>
      <c r="B35" s="28" t="s">
        <v>42968</v>
      </c>
      <c r="C35" s="29">
        <v>10.0</v>
      </c>
      <c r="D35" s="28" t="s">
        <v>42969</v>
      </c>
      <c r="E35" s="28" t="s">
        <v>42970</v>
      </c>
      <c r="F35" s="29">
        <v>67.0</v>
      </c>
      <c r="G35" s="30">
        <v>1.082067E7</v>
      </c>
    </row>
    <row r="36" ht="12.75" customHeight="1">
      <c r="A36" s="31">
        <v>382.0</v>
      </c>
      <c r="B36" s="32" t="s">
        <v>42971</v>
      </c>
      <c r="C36" s="33">
        <v>10.0</v>
      </c>
      <c r="D36" s="32" t="s">
        <v>42972</v>
      </c>
      <c r="E36" s="32" t="s">
        <v>42973</v>
      </c>
      <c r="F36" s="33">
        <v>73.0</v>
      </c>
      <c r="G36" s="34">
        <v>1.0820733E7</v>
      </c>
    </row>
    <row r="37" ht="12.75" customHeight="1">
      <c r="A37" s="27">
        <v>284.0</v>
      </c>
      <c r="B37" s="28" t="s">
        <v>42974</v>
      </c>
      <c r="C37" s="29">
        <v>10.0</v>
      </c>
      <c r="D37" s="28" t="s">
        <v>42975</v>
      </c>
      <c r="E37" s="28" t="s">
        <v>42976</v>
      </c>
      <c r="F37" s="29">
        <v>7.0</v>
      </c>
      <c r="G37" s="30">
        <v>1.0840076E7</v>
      </c>
    </row>
    <row r="38" ht="12.75" customHeight="1">
      <c r="A38" s="31">
        <v>284.0</v>
      </c>
      <c r="B38" s="32" t="s">
        <v>42977</v>
      </c>
      <c r="C38" s="33">
        <v>10.0</v>
      </c>
      <c r="D38" s="32" t="s">
        <v>42978</v>
      </c>
      <c r="E38" s="32" t="s">
        <v>42979</v>
      </c>
      <c r="F38" s="33">
        <v>19.0</v>
      </c>
      <c r="G38" s="34">
        <v>1.0840197E7</v>
      </c>
    </row>
    <row r="39" ht="12.75" customHeight="1">
      <c r="A39" s="27">
        <v>284.0</v>
      </c>
      <c r="B39" s="28" t="s">
        <v>42980</v>
      </c>
      <c r="C39" s="29">
        <v>10.0</v>
      </c>
      <c r="D39" s="28" t="s">
        <v>42981</v>
      </c>
      <c r="E39" s="28" t="s">
        <v>42982</v>
      </c>
      <c r="F39" s="29">
        <v>28.0</v>
      </c>
      <c r="G39" s="30">
        <v>1.0840289E7</v>
      </c>
    </row>
    <row r="40" ht="12.75" customHeight="1">
      <c r="A40" s="31">
        <v>284.0</v>
      </c>
      <c r="B40" s="32" t="s">
        <v>42983</v>
      </c>
      <c r="C40" s="33">
        <v>10.0</v>
      </c>
      <c r="D40" s="32" t="s">
        <v>42984</v>
      </c>
      <c r="E40" s="32" t="s">
        <v>42985</v>
      </c>
      <c r="F40" s="33">
        <v>52.0</v>
      </c>
      <c r="G40" s="34">
        <v>1.0840526E7</v>
      </c>
    </row>
    <row r="41" ht="12.75" customHeight="1">
      <c r="A41" s="27">
        <v>785.0</v>
      </c>
      <c r="B41" s="28" t="s">
        <v>42986</v>
      </c>
      <c r="C41" s="29">
        <v>10.0</v>
      </c>
      <c r="D41" s="28" t="s">
        <v>42987</v>
      </c>
      <c r="E41" s="28" t="s">
        <v>42988</v>
      </c>
      <c r="F41" s="29">
        <v>4.0</v>
      </c>
      <c r="G41" s="30">
        <v>1.085004E7</v>
      </c>
    </row>
    <row r="42" ht="12.75" customHeight="1">
      <c r="A42" s="31">
        <v>785.0</v>
      </c>
      <c r="B42" s="32" t="s">
        <v>42989</v>
      </c>
      <c r="C42" s="33">
        <v>10.0</v>
      </c>
      <c r="D42" s="32" t="s">
        <v>42990</v>
      </c>
      <c r="E42" s="32" t="s">
        <v>42991</v>
      </c>
      <c r="F42" s="33">
        <v>10.0</v>
      </c>
      <c r="G42" s="34">
        <v>1.0850103E7</v>
      </c>
    </row>
    <row r="43" ht="12.75" customHeight="1">
      <c r="A43" s="27">
        <v>785.0</v>
      </c>
      <c r="B43" s="28" t="s">
        <v>42992</v>
      </c>
      <c r="C43" s="29">
        <v>10.0</v>
      </c>
      <c r="D43" s="28" t="s">
        <v>42993</v>
      </c>
      <c r="E43" s="28" t="s">
        <v>42994</v>
      </c>
      <c r="F43" s="29">
        <v>31.0</v>
      </c>
      <c r="G43" s="30">
        <v>1.0850316E7</v>
      </c>
    </row>
    <row r="44" ht="12.75" customHeight="1">
      <c r="A44" s="31">
        <v>785.0</v>
      </c>
      <c r="B44" s="32" t="s">
        <v>42995</v>
      </c>
      <c r="C44" s="33">
        <v>10.0</v>
      </c>
      <c r="D44" s="32" t="s">
        <v>42996</v>
      </c>
      <c r="E44" s="32" t="s">
        <v>42997</v>
      </c>
      <c r="F44" s="33">
        <v>34.0</v>
      </c>
      <c r="G44" s="34">
        <v>1.0850345E7</v>
      </c>
    </row>
    <row r="45" ht="12.75" customHeight="1">
      <c r="A45" s="27">
        <v>785.0</v>
      </c>
      <c r="B45" s="28" t="s">
        <v>42998</v>
      </c>
      <c r="C45" s="29">
        <v>10.0</v>
      </c>
      <c r="D45" s="28" t="s">
        <v>42999</v>
      </c>
      <c r="E45" s="28" t="s">
        <v>43000</v>
      </c>
      <c r="F45" s="27">
        <v>103.0</v>
      </c>
      <c r="G45" s="30">
        <v>1.0851036E7</v>
      </c>
    </row>
    <row r="46" ht="12.75" customHeight="1">
      <c r="A46" s="31">
        <v>785.0</v>
      </c>
      <c r="B46" s="32" t="s">
        <v>43001</v>
      </c>
      <c r="C46" s="33">
        <v>10.0</v>
      </c>
      <c r="D46" s="32" t="s">
        <v>43002</v>
      </c>
      <c r="E46" s="32" t="s">
        <v>43003</v>
      </c>
      <c r="F46" s="31">
        <v>118.0</v>
      </c>
      <c r="G46" s="34">
        <v>1.0851186E7</v>
      </c>
    </row>
    <row r="47" ht="12.75" customHeight="1">
      <c r="A47" s="27">
        <v>785.0</v>
      </c>
      <c r="B47" s="28" t="s">
        <v>43004</v>
      </c>
      <c r="C47" s="29">
        <v>10.0</v>
      </c>
      <c r="D47" s="28" t="s">
        <v>43005</v>
      </c>
      <c r="E47" s="28" t="s">
        <v>43006</v>
      </c>
      <c r="F47" s="27">
        <v>130.0</v>
      </c>
      <c r="G47" s="30">
        <v>1.0851302E7</v>
      </c>
    </row>
    <row r="48" ht="12.75" customHeight="1">
      <c r="A48" s="31">
        <v>785.0</v>
      </c>
      <c r="B48" s="32" t="s">
        <v>43007</v>
      </c>
      <c r="C48" s="33">
        <v>10.0</v>
      </c>
      <c r="D48" s="32" t="s">
        <v>43008</v>
      </c>
      <c r="E48" s="32" t="s">
        <v>43009</v>
      </c>
      <c r="F48" s="31">
        <v>133.0</v>
      </c>
      <c r="G48" s="34">
        <v>1.0851331E7</v>
      </c>
    </row>
    <row r="49" ht="12.75" customHeight="1">
      <c r="A49" s="27">
        <v>785.0</v>
      </c>
      <c r="B49" s="28" t="s">
        <v>43010</v>
      </c>
      <c r="C49" s="29">
        <v>10.0</v>
      </c>
      <c r="D49" s="28" t="s">
        <v>43011</v>
      </c>
      <c r="E49" s="28" t="s">
        <v>43012</v>
      </c>
      <c r="F49" s="27">
        <v>145.0</v>
      </c>
      <c r="G49" s="30">
        <v>1.0851452E7</v>
      </c>
    </row>
    <row r="50" ht="12.75" customHeight="1">
      <c r="A50" s="31">
        <v>785.0</v>
      </c>
      <c r="B50" s="32" t="s">
        <v>43013</v>
      </c>
      <c r="C50" s="33">
        <v>10.0</v>
      </c>
      <c r="D50" s="32" t="s">
        <v>43014</v>
      </c>
      <c r="E50" s="32" t="s">
        <v>43015</v>
      </c>
      <c r="F50" s="31">
        <v>166.0</v>
      </c>
      <c r="G50" s="34">
        <v>1.0851665E7</v>
      </c>
    </row>
    <row r="51" ht="12.75" customHeight="1">
      <c r="A51" s="27">
        <v>785.0</v>
      </c>
      <c r="B51" s="28" t="s">
        <v>43016</v>
      </c>
      <c r="C51" s="29">
        <v>10.0</v>
      </c>
      <c r="D51" s="28" t="s">
        <v>43017</v>
      </c>
      <c r="E51" s="28" t="s">
        <v>43018</v>
      </c>
      <c r="F51" s="27">
        <v>172.0</v>
      </c>
      <c r="G51" s="30">
        <v>1.0851728E7</v>
      </c>
    </row>
    <row r="52" ht="12.75" customHeight="1">
      <c r="A52" s="31">
        <v>785.0</v>
      </c>
      <c r="B52" s="32" t="s">
        <v>43019</v>
      </c>
      <c r="C52" s="33">
        <v>10.0</v>
      </c>
      <c r="D52" s="32" t="s">
        <v>43020</v>
      </c>
      <c r="E52" s="32" t="s">
        <v>43021</v>
      </c>
      <c r="F52" s="31">
        <v>193.0</v>
      </c>
      <c r="G52" s="34">
        <v>1.0851931E7</v>
      </c>
    </row>
    <row r="53" ht="12.75" customHeight="1">
      <c r="A53" s="27">
        <v>386.0</v>
      </c>
      <c r="B53" s="28" t="s">
        <v>43022</v>
      </c>
      <c r="C53" s="29">
        <v>10.0</v>
      </c>
      <c r="D53" s="28" t="s">
        <v>43023</v>
      </c>
      <c r="E53" s="28" t="s">
        <v>43024</v>
      </c>
      <c r="F53" s="29">
        <v>19.0</v>
      </c>
      <c r="G53" s="30">
        <v>1.0860193E7</v>
      </c>
    </row>
    <row r="54" ht="12.75" customHeight="1">
      <c r="A54" s="31">
        <v>386.0</v>
      </c>
      <c r="B54" s="32" t="s">
        <v>43025</v>
      </c>
      <c r="C54" s="33">
        <v>10.0</v>
      </c>
      <c r="D54" s="32" t="s">
        <v>43026</v>
      </c>
      <c r="E54" s="32" t="s">
        <v>43027</v>
      </c>
      <c r="F54" s="33">
        <v>52.0</v>
      </c>
      <c r="G54" s="34">
        <v>1.0860522E7</v>
      </c>
    </row>
    <row r="55" ht="12.75" customHeight="1">
      <c r="A55" s="27">
        <v>386.0</v>
      </c>
      <c r="B55" s="28" t="s">
        <v>43028</v>
      </c>
      <c r="C55" s="29">
        <v>10.0</v>
      </c>
      <c r="D55" s="28" t="s">
        <v>43029</v>
      </c>
      <c r="E55" s="28" t="s">
        <v>43030</v>
      </c>
      <c r="F55" s="29">
        <v>58.0</v>
      </c>
      <c r="G55" s="30">
        <v>1.086058E7</v>
      </c>
    </row>
    <row r="56" ht="12.75" customHeight="1">
      <c r="A56" s="31">
        <v>386.0</v>
      </c>
      <c r="B56" s="32" t="s">
        <v>43031</v>
      </c>
      <c r="C56" s="33">
        <v>10.0</v>
      </c>
      <c r="D56" s="32" t="s">
        <v>43032</v>
      </c>
      <c r="E56" s="32" t="s">
        <v>43033</v>
      </c>
      <c r="F56" s="33">
        <v>67.0</v>
      </c>
      <c r="G56" s="34">
        <v>1.0860672E7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386.0</v>
      </c>
      <c r="B1" s="28" t="s">
        <v>43034</v>
      </c>
      <c r="C1" s="29">
        <v>10.0</v>
      </c>
      <c r="D1" s="28" t="s">
        <v>43035</v>
      </c>
      <c r="E1" s="28" t="s">
        <v>43036</v>
      </c>
      <c r="F1" s="29">
        <v>70.0</v>
      </c>
      <c r="G1" s="30">
        <v>1.0860706E7</v>
      </c>
    </row>
    <row r="2" ht="12.75" customHeight="1">
      <c r="A2" s="31">
        <v>487.0</v>
      </c>
      <c r="B2" s="32" t="s">
        <v>43037</v>
      </c>
      <c r="C2" s="33">
        <v>10.0</v>
      </c>
      <c r="D2" s="32" t="s">
        <v>43038</v>
      </c>
      <c r="E2" s="32" t="s">
        <v>43039</v>
      </c>
      <c r="F2" s="33">
        <v>16.0</v>
      </c>
      <c r="G2" s="34">
        <v>1.0870167E7</v>
      </c>
    </row>
    <row r="3" ht="12.75" customHeight="1">
      <c r="A3" s="27">
        <v>487.0</v>
      </c>
      <c r="B3" s="28" t="s">
        <v>43040</v>
      </c>
      <c r="C3" s="29">
        <v>10.0</v>
      </c>
      <c r="D3" s="28" t="s">
        <v>43041</v>
      </c>
      <c r="E3" s="28" t="s">
        <v>43042</v>
      </c>
      <c r="F3" s="29">
        <v>25.0</v>
      </c>
      <c r="G3" s="30">
        <v>1.0870259E7</v>
      </c>
    </row>
    <row r="4" ht="12.75" customHeight="1">
      <c r="A4" s="31">
        <v>487.0</v>
      </c>
      <c r="B4" s="32" t="s">
        <v>43043</v>
      </c>
      <c r="C4" s="33">
        <v>10.0</v>
      </c>
      <c r="D4" s="32" t="s">
        <v>43044</v>
      </c>
      <c r="E4" s="32" t="s">
        <v>43045</v>
      </c>
      <c r="F4" s="33">
        <v>37.0</v>
      </c>
      <c r="G4" s="34">
        <v>1.087037E7</v>
      </c>
    </row>
    <row r="5" ht="12.75" customHeight="1">
      <c r="A5" s="27">
        <v>487.0</v>
      </c>
      <c r="B5" s="28" t="s">
        <v>43046</v>
      </c>
      <c r="C5" s="29">
        <v>10.0</v>
      </c>
      <c r="D5" s="28" t="s">
        <v>43047</v>
      </c>
      <c r="E5" s="28" t="s">
        <v>43048</v>
      </c>
      <c r="F5" s="29">
        <v>43.0</v>
      </c>
      <c r="G5" s="30">
        <v>1.0870433E7</v>
      </c>
    </row>
    <row r="6" ht="12.75" customHeight="1">
      <c r="A6" s="31">
        <v>487.0</v>
      </c>
      <c r="B6" s="32" t="s">
        <v>43049</v>
      </c>
      <c r="C6" s="33">
        <v>10.0</v>
      </c>
      <c r="D6" s="32" t="s">
        <v>43050</v>
      </c>
      <c r="E6" s="32" t="s">
        <v>43051</v>
      </c>
      <c r="F6" s="33">
        <v>85.0</v>
      </c>
      <c r="G6" s="34">
        <v>1.0870859E7</v>
      </c>
    </row>
    <row r="7" ht="12.75" customHeight="1">
      <c r="A7" s="27">
        <v>487.0</v>
      </c>
      <c r="B7" s="28" t="s">
        <v>43052</v>
      </c>
      <c r="C7" s="29">
        <v>10.0</v>
      </c>
      <c r="D7" s="28" t="s">
        <v>43053</v>
      </c>
      <c r="E7" s="28" t="s">
        <v>43054</v>
      </c>
      <c r="F7" s="29">
        <v>88.0</v>
      </c>
      <c r="G7" s="30">
        <v>1.0870888E7</v>
      </c>
    </row>
    <row r="8" ht="12.75" customHeight="1">
      <c r="A8" s="31">
        <v>487.0</v>
      </c>
      <c r="B8" s="32" t="s">
        <v>43055</v>
      </c>
      <c r="C8" s="33">
        <v>10.0</v>
      </c>
      <c r="D8" s="32" t="s">
        <v>43056</v>
      </c>
      <c r="E8" s="32" t="s">
        <v>43057</v>
      </c>
      <c r="F8" s="31">
        <v>103.0</v>
      </c>
      <c r="G8" s="34">
        <v>1.0871032E7</v>
      </c>
    </row>
    <row r="9" ht="12.75" customHeight="1">
      <c r="A9" s="27">
        <v>487.0</v>
      </c>
      <c r="B9" s="28" t="s">
        <v>43058</v>
      </c>
      <c r="C9" s="29">
        <v>10.0</v>
      </c>
      <c r="D9" s="28" t="s">
        <v>43059</v>
      </c>
      <c r="E9" s="28" t="s">
        <v>43060</v>
      </c>
      <c r="F9" s="27">
        <v>109.0</v>
      </c>
      <c r="G9" s="30">
        <v>1.087109E7</v>
      </c>
    </row>
    <row r="10" ht="12.75" customHeight="1">
      <c r="A10" s="31">
        <v>487.0</v>
      </c>
      <c r="B10" s="32" t="s">
        <v>43061</v>
      </c>
      <c r="C10" s="33">
        <v>10.0</v>
      </c>
      <c r="D10" s="32" t="s">
        <v>43062</v>
      </c>
      <c r="E10" s="32" t="s">
        <v>43063</v>
      </c>
      <c r="F10" s="31">
        <v>121.0</v>
      </c>
      <c r="G10" s="34">
        <v>1.0871216E7</v>
      </c>
    </row>
    <row r="11" ht="12.75" customHeight="1">
      <c r="A11" s="27">
        <v>487.0</v>
      </c>
      <c r="B11" s="28" t="s">
        <v>43064</v>
      </c>
      <c r="C11" s="29">
        <v>10.0</v>
      </c>
      <c r="D11" s="28" t="s">
        <v>43065</v>
      </c>
      <c r="E11" s="28" t="s">
        <v>43066</v>
      </c>
      <c r="F11" s="27">
        <v>203.0</v>
      </c>
      <c r="G11" s="30">
        <v>1.0872031E7</v>
      </c>
    </row>
    <row r="12" ht="12.75" customHeight="1">
      <c r="A12" s="31">
        <v>688.0</v>
      </c>
      <c r="B12" s="32" t="s">
        <v>43067</v>
      </c>
      <c r="C12" s="33">
        <v>10.0</v>
      </c>
      <c r="D12" s="32" t="s">
        <v>43068</v>
      </c>
      <c r="E12" s="32" t="s">
        <v>43069</v>
      </c>
      <c r="F12" s="33">
        <v>16.0</v>
      </c>
      <c r="G12" s="34">
        <v>1.088016E7</v>
      </c>
    </row>
    <row r="13" ht="12.75" customHeight="1">
      <c r="A13" s="27">
        <v>688.0</v>
      </c>
      <c r="B13" s="28" t="s">
        <v>43070</v>
      </c>
      <c r="C13" s="29">
        <v>10.0</v>
      </c>
      <c r="D13" s="28" t="s">
        <v>43071</v>
      </c>
      <c r="E13" s="28" t="s">
        <v>43072</v>
      </c>
      <c r="F13" s="29">
        <v>25.0</v>
      </c>
      <c r="G13" s="30">
        <v>1.0880252E7</v>
      </c>
    </row>
    <row r="14" ht="12.75" customHeight="1">
      <c r="A14" s="31">
        <v>688.0</v>
      </c>
      <c r="B14" s="32" t="s">
        <v>43073</v>
      </c>
      <c r="C14" s="33">
        <v>10.0</v>
      </c>
      <c r="D14" s="32" t="s">
        <v>43074</v>
      </c>
      <c r="E14" s="32" t="s">
        <v>43075</v>
      </c>
      <c r="F14" s="33">
        <v>37.0</v>
      </c>
      <c r="G14" s="34">
        <v>1.0880373E7</v>
      </c>
    </row>
    <row r="15" ht="12.75" customHeight="1">
      <c r="A15" s="27">
        <v>688.0</v>
      </c>
      <c r="B15" s="28" t="s">
        <v>43076</v>
      </c>
      <c r="C15" s="29">
        <v>10.0</v>
      </c>
      <c r="D15" s="28" t="s">
        <v>43077</v>
      </c>
      <c r="E15" s="28" t="s">
        <v>43078</v>
      </c>
      <c r="F15" s="29">
        <v>43.0</v>
      </c>
      <c r="G15" s="30">
        <v>1.0880436E7</v>
      </c>
    </row>
    <row r="16" ht="12.75" customHeight="1">
      <c r="A16" s="31">
        <v>688.0</v>
      </c>
      <c r="B16" s="32" t="s">
        <v>43079</v>
      </c>
      <c r="C16" s="33">
        <v>10.0</v>
      </c>
      <c r="D16" s="32" t="s">
        <v>43080</v>
      </c>
      <c r="E16" s="32" t="s">
        <v>43081</v>
      </c>
      <c r="F16" s="33">
        <v>73.0</v>
      </c>
      <c r="G16" s="34">
        <v>1.0880731E7</v>
      </c>
    </row>
    <row r="17" ht="12.75" customHeight="1">
      <c r="A17" s="27">
        <v>688.0</v>
      </c>
      <c r="B17" s="28" t="s">
        <v>43082</v>
      </c>
      <c r="C17" s="29">
        <v>10.0</v>
      </c>
      <c r="D17" s="28" t="s">
        <v>43083</v>
      </c>
      <c r="E17" s="28" t="s">
        <v>43084</v>
      </c>
      <c r="F17" s="29">
        <v>82.0</v>
      </c>
      <c r="G17" s="30">
        <v>1.0880823E7</v>
      </c>
    </row>
    <row r="18" ht="12.75" customHeight="1">
      <c r="A18" s="31">
        <v>688.0</v>
      </c>
      <c r="B18" s="32" t="s">
        <v>43085</v>
      </c>
      <c r="C18" s="33">
        <v>10.0</v>
      </c>
      <c r="D18" s="32" t="s">
        <v>43086</v>
      </c>
      <c r="E18" s="32" t="s">
        <v>43087</v>
      </c>
      <c r="F18" s="33">
        <v>88.0</v>
      </c>
      <c r="G18" s="34">
        <v>1.0880881E7</v>
      </c>
    </row>
    <row r="19" ht="12.75" customHeight="1">
      <c r="A19" s="27">
        <v>688.0</v>
      </c>
      <c r="B19" s="28" t="s">
        <v>43088</v>
      </c>
      <c r="C19" s="29">
        <v>10.0</v>
      </c>
      <c r="D19" s="28" t="s">
        <v>43089</v>
      </c>
      <c r="E19" s="28" t="s">
        <v>43090</v>
      </c>
      <c r="F19" s="27">
        <v>100.0</v>
      </c>
      <c r="G19" s="30">
        <v>1.0881006E7</v>
      </c>
    </row>
    <row r="20" ht="12.75" customHeight="1">
      <c r="A20" s="31">
        <v>688.0</v>
      </c>
      <c r="B20" s="32" t="s">
        <v>43091</v>
      </c>
      <c r="C20" s="33">
        <v>10.0</v>
      </c>
      <c r="D20" s="32" t="s">
        <v>43092</v>
      </c>
      <c r="E20" s="32" t="s">
        <v>43093</v>
      </c>
      <c r="F20" s="31">
        <v>121.0</v>
      </c>
      <c r="G20" s="34">
        <v>1.0881219E7</v>
      </c>
    </row>
    <row r="21" ht="12.75" customHeight="1">
      <c r="A21" s="27">
        <v>688.0</v>
      </c>
      <c r="B21" s="28" t="s">
        <v>43094</v>
      </c>
      <c r="C21" s="29">
        <v>10.0</v>
      </c>
      <c r="D21" s="28" t="s">
        <v>43095</v>
      </c>
      <c r="E21" s="28" t="s">
        <v>43096</v>
      </c>
      <c r="F21" s="27">
        <v>145.0</v>
      </c>
      <c r="G21" s="30">
        <v>1.0881451E7</v>
      </c>
    </row>
    <row r="22" ht="12.75" customHeight="1">
      <c r="A22" s="31">
        <v>688.0</v>
      </c>
      <c r="B22" s="32" t="s">
        <v>43097</v>
      </c>
      <c r="C22" s="33">
        <v>10.0</v>
      </c>
      <c r="D22" s="32" t="s">
        <v>43098</v>
      </c>
      <c r="E22" s="32" t="s">
        <v>43099</v>
      </c>
      <c r="F22" s="31">
        <v>151.0</v>
      </c>
      <c r="G22" s="34">
        <v>1.0881514E7</v>
      </c>
    </row>
    <row r="23" ht="12.75" customHeight="1">
      <c r="A23" s="27">
        <v>688.0</v>
      </c>
      <c r="B23" s="28" t="s">
        <v>43100</v>
      </c>
      <c r="C23" s="29">
        <v>10.0</v>
      </c>
      <c r="D23" s="28" t="s">
        <v>43101</v>
      </c>
      <c r="E23" s="28" t="s">
        <v>43102</v>
      </c>
      <c r="F23" s="27">
        <v>157.0</v>
      </c>
      <c r="G23" s="30">
        <v>1.0881572E7</v>
      </c>
    </row>
    <row r="24" ht="12.75" customHeight="1">
      <c r="A24" s="31">
        <v>688.0</v>
      </c>
      <c r="B24" s="32" t="s">
        <v>43103</v>
      </c>
      <c r="C24" s="33">
        <v>10.0</v>
      </c>
      <c r="D24" s="32" t="s">
        <v>43104</v>
      </c>
      <c r="E24" s="32" t="s">
        <v>43105</v>
      </c>
      <c r="F24" s="31">
        <v>160.0</v>
      </c>
      <c r="G24" s="34">
        <v>1.0881606E7</v>
      </c>
    </row>
    <row r="25" ht="12.75" customHeight="1">
      <c r="A25" s="27">
        <v>688.0</v>
      </c>
      <c r="B25" s="28" t="s">
        <v>43106</v>
      </c>
      <c r="C25" s="29">
        <v>10.0</v>
      </c>
      <c r="D25" s="28" t="s">
        <v>43107</v>
      </c>
      <c r="E25" s="28" t="s">
        <v>43108</v>
      </c>
      <c r="F25" s="27">
        <v>169.0</v>
      </c>
      <c r="G25" s="30">
        <v>1.0881693E7</v>
      </c>
    </row>
    <row r="26" ht="12.75" customHeight="1">
      <c r="A26" s="31">
        <v>688.0</v>
      </c>
      <c r="B26" s="32" t="s">
        <v>43109</v>
      </c>
      <c r="C26" s="33">
        <v>10.0</v>
      </c>
      <c r="D26" s="32" t="s">
        <v>43110</v>
      </c>
      <c r="E26" s="32" t="s">
        <v>43111</v>
      </c>
      <c r="F26" s="31">
        <v>178.0</v>
      </c>
      <c r="G26" s="34">
        <v>1.0881785E7</v>
      </c>
    </row>
    <row r="27" ht="12.75" customHeight="1">
      <c r="A27" s="27">
        <v>688.0</v>
      </c>
      <c r="B27" s="28" t="s">
        <v>43112</v>
      </c>
      <c r="C27" s="29">
        <v>10.0</v>
      </c>
      <c r="D27" s="28" t="s">
        <v>43113</v>
      </c>
      <c r="E27" s="28" t="s">
        <v>43114</v>
      </c>
      <c r="F27" s="27">
        <v>190.0</v>
      </c>
      <c r="G27" s="30">
        <v>1.0881901E7</v>
      </c>
    </row>
    <row r="28" ht="12.75" customHeight="1">
      <c r="A28" s="31">
        <v>688.0</v>
      </c>
      <c r="B28" s="32" t="s">
        <v>43115</v>
      </c>
      <c r="C28" s="33">
        <v>10.0</v>
      </c>
      <c r="D28" s="32" t="s">
        <v>43116</v>
      </c>
      <c r="E28" s="32" t="s">
        <v>43117</v>
      </c>
      <c r="F28" s="31">
        <v>199.0</v>
      </c>
      <c r="G28" s="34">
        <v>1.0881998E7</v>
      </c>
    </row>
    <row r="29" ht="12.75" customHeight="1">
      <c r="A29" s="27">
        <v>688.0</v>
      </c>
      <c r="B29" s="28" t="s">
        <v>43118</v>
      </c>
      <c r="C29" s="29">
        <v>10.0</v>
      </c>
      <c r="D29" s="28" t="s">
        <v>43119</v>
      </c>
      <c r="E29" s="28" t="s">
        <v>43120</v>
      </c>
      <c r="F29" s="27">
        <v>205.0</v>
      </c>
      <c r="G29" s="30">
        <v>1.088205E7</v>
      </c>
    </row>
    <row r="30" ht="12.75" customHeight="1">
      <c r="A30" s="31">
        <v>688.0</v>
      </c>
      <c r="B30" s="32" t="s">
        <v>43121</v>
      </c>
      <c r="C30" s="33">
        <v>10.0</v>
      </c>
      <c r="D30" s="32" t="s">
        <v>43122</v>
      </c>
      <c r="E30" s="32" t="s">
        <v>43123</v>
      </c>
      <c r="F30" s="31">
        <v>211.0</v>
      </c>
      <c r="G30" s="34">
        <v>1.0882113E7</v>
      </c>
    </row>
    <row r="31" ht="12.75" customHeight="1">
      <c r="A31" s="27">
        <v>688.0</v>
      </c>
      <c r="B31" s="28" t="s">
        <v>43124</v>
      </c>
      <c r="C31" s="29">
        <v>10.0</v>
      </c>
      <c r="D31" s="28" t="s">
        <v>43125</v>
      </c>
      <c r="E31" s="28" t="s">
        <v>43126</v>
      </c>
      <c r="F31" s="27">
        <v>223.0</v>
      </c>
      <c r="G31" s="30">
        <v>1.0882234E7</v>
      </c>
    </row>
    <row r="32" ht="12.75" customHeight="1">
      <c r="A32" s="31">
        <v>189.0</v>
      </c>
      <c r="B32" s="32" t="s">
        <v>43127</v>
      </c>
      <c r="C32" s="33">
        <v>10.0</v>
      </c>
      <c r="D32" s="32" t="s">
        <v>43128</v>
      </c>
      <c r="E32" s="32" t="s">
        <v>43129</v>
      </c>
      <c r="F32" s="33">
        <v>5.0</v>
      </c>
      <c r="G32" s="34">
        <v>1.0890055E7</v>
      </c>
    </row>
    <row r="33" ht="12.75" customHeight="1">
      <c r="A33" s="27">
        <v>189.0</v>
      </c>
      <c r="B33" s="28" t="s">
        <v>43130</v>
      </c>
      <c r="C33" s="29">
        <v>10.0</v>
      </c>
      <c r="D33" s="28" t="s">
        <v>43131</v>
      </c>
      <c r="E33" s="28" t="s">
        <v>43132</v>
      </c>
      <c r="F33" s="29">
        <v>19.0</v>
      </c>
      <c r="G33" s="30">
        <v>1.0890192E7</v>
      </c>
    </row>
    <row r="34" ht="12.75" customHeight="1">
      <c r="A34" s="31">
        <v>189.0</v>
      </c>
      <c r="B34" s="32" t="s">
        <v>43133</v>
      </c>
      <c r="C34" s="33">
        <v>10.0</v>
      </c>
      <c r="D34" s="32" t="s">
        <v>43134</v>
      </c>
      <c r="E34" s="32" t="s">
        <v>43135</v>
      </c>
      <c r="F34" s="33">
        <v>34.0</v>
      </c>
      <c r="G34" s="34">
        <v>1.0890347E7</v>
      </c>
    </row>
    <row r="35" ht="12.75" customHeight="1">
      <c r="A35" s="27">
        <v>189.0</v>
      </c>
      <c r="B35" s="28" t="s">
        <v>43136</v>
      </c>
      <c r="C35" s="29">
        <v>10.0</v>
      </c>
      <c r="D35" s="28" t="s">
        <v>43137</v>
      </c>
      <c r="E35" s="28" t="s">
        <v>43138</v>
      </c>
      <c r="F35" s="29">
        <v>40.0</v>
      </c>
      <c r="G35" s="30">
        <v>1.08904E7</v>
      </c>
    </row>
    <row r="36" ht="12.75" customHeight="1">
      <c r="A36" s="31">
        <v>189.0</v>
      </c>
      <c r="B36" s="32" t="s">
        <v>43139</v>
      </c>
      <c r="C36" s="33">
        <v>10.0</v>
      </c>
      <c r="D36" s="32" t="s">
        <v>43140</v>
      </c>
      <c r="E36" s="32" t="s">
        <v>43141</v>
      </c>
      <c r="F36" s="33">
        <v>43.0</v>
      </c>
      <c r="G36" s="34">
        <v>1.0890439E7</v>
      </c>
    </row>
    <row r="37" ht="12.75" customHeight="1">
      <c r="A37" s="27">
        <v>189.0</v>
      </c>
      <c r="B37" s="28" t="s">
        <v>43142</v>
      </c>
      <c r="C37" s="29">
        <v>10.0</v>
      </c>
      <c r="D37" s="28" t="s">
        <v>43143</v>
      </c>
      <c r="E37" s="28" t="s">
        <v>43144</v>
      </c>
      <c r="F37" s="29">
        <v>55.0</v>
      </c>
      <c r="G37" s="30">
        <v>1.089055E7</v>
      </c>
    </row>
    <row r="38" ht="12.75" customHeight="1">
      <c r="A38" s="31">
        <v>189.0</v>
      </c>
      <c r="B38" s="32" t="s">
        <v>43145</v>
      </c>
      <c r="C38" s="33">
        <v>10.0</v>
      </c>
      <c r="D38" s="32" t="s">
        <v>43146</v>
      </c>
      <c r="E38" s="32" t="s">
        <v>43147</v>
      </c>
      <c r="F38" s="33">
        <v>64.0</v>
      </c>
      <c r="G38" s="34">
        <v>1.0890642E7</v>
      </c>
    </row>
    <row r="39" ht="12.75" customHeight="1">
      <c r="A39" s="27">
        <v>189.0</v>
      </c>
      <c r="B39" s="28" t="s">
        <v>43148</v>
      </c>
      <c r="C39" s="29">
        <v>10.0</v>
      </c>
      <c r="D39" s="28" t="s">
        <v>43149</v>
      </c>
      <c r="E39" s="28" t="s">
        <v>43150</v>
      </c>
      <c r="F39" s="29">
        <v>70.0</v>
      </c>
      <c r="G39" s="30">
        <v>1.0890705E7</v>
      </c>
    </row>
    <row r="40" ht="12.75" customHeight="1">
      <c r="A40" s="31">
        <v>890.0</v>
      </c>
      <c r="B40" s="32" t="s">
        <v>43151</v>
      </c>
      <c r="C40" s="33">
        <v>10.0</v>
      </c>
      <c r="D40" s="32" t="s">
        <v>43152</v>
      </c>
      <c r="E40" s="32" t="s">
        <v>43153</v>
      </c>
      <c r="F40" s="33">
        <v>4.0</v>
      </c>
      <c r="G40" s="34">
        <v>1.090004E7</v>
      </c>
    </row>
    <row r="41" ht="12.75" customHeight="1">
      <c r="A41" s="27">
        <v>890.0</v>
      </c>
      <c r="B41" s="28" t="s">
        <v>43154</v>
      </c>
      <c r="C41" s="29">
        <v>10.0</v>
      </c>
      <c r="D41" s="28" t="s">
        <v>43155</v>
      </c>
      <c r="E41" s="28" t="s">
        <v>43156</v>
      </c>
      <c r="F41" s="29">
        <v>22.0</v>
      </c>
      <c r="G41" s="30">
        <v>1.0900224E7</v>
      </c>
    </row>
    <row r="42" ht="12.75" customHeight="1">
      <c r="A42" s="31">
        <v>890.0</v>
      </c>
      <c r="B42" s="32" t="s">
        <v>43157</v>
      </c>
      <c r="C42" s="33">
        <v>10.0</v>
      </c>
      <c r="D42" s="32" t="s">
        <v>43158</v>
      </c>
      <c r="E42" s="32" t="s">
        <v>43159</v>
      </c>
      <c r="F42" s="33">
        <v>25.0</v>
      </c>
      <c r="G42" s="34">
        <v>1.0900253E7</v>
      </c>
    </row>
    <row r="43" ht="12.75" customHeight="1">
      <c r="A43" s="27">
        <v>890.0</v>
      </c>
      <c r="B43" s="28" t="s">
        <v>43160</v>
      </c>
      <c r="C43" s="29">
        <v>10.0</v>
      </c>
      <c r="D43" s="28" t="s">
        <v>43161</v>
      </c>
      <c r="E43" s="28" t="s">
        <v>43162</v>
      </c>
      <c r="F43" s="29">
        <v>34.0</v>
      </c>
      <c r="G43" s="30">
        <v>1.0900345E7</v>
      </c>
    </row>
    <row r="44" ht="12.75" customHeight="1">
      <c r="A44" s="31">
        <v>890.0</v>
      </c>
      <c r="B44" s="32" t="s">
        <v>43163</v>
      </c>
      <c r="C44" s="33">
        <v>10.0</v>
      </c>
      <c r="D44" s="32" t="s">
        <v>43164</v>
      </c>
      <c r="E44" s="32" t="s">
        <v>43165</v>
      </c>
      <c r="F44" s="31">
        <v>112.0</v>
      </c>
      <c r="G44" s="34">
        <v>1.0901128E7</v>
      </c>
    </row>
    <row r="45" ht="12.75" customHeight="1">
      <c r="A45" s="27">
        <v>891.0</v>
      </c>
      <c r="B45" s="28" t="s">
        <v>43166</v>
      </c>
      <c r="C45" s="29">
        <v>10.0</v>
      </c>
      <c r="D45" s="28" t="s">
        <v>43167</v>
      </c>
      <c r="E45" s="28" t="s">
        <v>43168</v>
      </c>
      <c r="F45" s="29">
        <v>4.0</v>
      </c>
      <c r="G45" s="30">
        <v>1.0910043E7</v>
      </c>
    </row>
    <row r="46" ht="12.75" customHeight="1">
      <c r="A46" s="31">
        <v>891.0</v>
      </c>
      <c r="B46" s="32" t="s">
        <v>43169</v>
      </c>
      <c r="C46" s="33">
        <v>10.0</v>
      </c>
      <c r="D46" s="32" t="s">
        <v>43170</v>
      </c>
      <c r="E46" s="32" t="s">
        <v>43171</v>
      </c>
      <c r="F46" s="33">
        <v>13.0</v>
      </c>
      <c r="G46" s="34">
        <v>1.0910135E7</v>
      </c>
    </row>
    <row r="47" ht="12.75" customHeight="1">
      <c r="A47" s="27">
        <v>891.0</v>
      </c>
      <c r="B47" s="28" t="s">
        <v>43172</v>
      </c>
      <c r="C47" s="29">
        <v>10.0</v>
      </c>
      <c r="D47" s="28" t="s">
        <v>43173</v>
      </c>
      <c r="E47" s="28" t="s">
        <v>43174</v>
      </c>
      <c r="F47" s="29">
        <v>16.0</v>
      </c>
      <c r="G47" s="30">
        <v>1.0910164E7</v>
      </c>
    </row>
    <row r="48" ht="12.75" customHeight="1">
      <c r="A48" s="31">
        <v>891.0</v>
      </c>
      <c r="B48" s="32" t="s">
        <v>43175</v>
      </c>
      <c r="C48" s="33">
        <v>10.0</v>
      </c>
      <c r="D48" s="32" t="s">
        <v>43176</v>
      </c>
      <c r="E48" s="32" t="s">
        <v>43177</v>
      </c>
      <c r="F48" s="33">
        <v>17.0</v>
      </c>
      <c r="G48" s="34">
        <v>1.0910177E7</v>
      </c>
    </row>
    <row r="49" ht="12.75" customHeight="1">
      <c r="A49" s="27">
        <v>891.0</v>
      </c>
      <c r="B49" s="28" t="s">
        <v>43178</v>
      </c>
      <c r="C49" s="29">
        <v>10.0</v>
      </c>
      <c r="D49" s="28" t="s">
        <v>43179</v>
      </c>
      <c r="E49" s="28" t="s">
        <v>43180</v>
      </c>
      <c r="F49" s="29">
        <v>19.0</v>
      </c>
      <c r="G49" s="30">
        <v>1.0910193E7</v>
      </c>
    </row>
    <row r="50" ht="12.75" customHeight="1">
      <c r="A50" s="31">
        <v>891.0</v>
      </c>
      <c r="B50" s="32" t="s">
        <v>43181</v>
      </c>
      <c r="C50" s="33">
        <v>10.0</v>
      </c>
      <c r="D50" s="32" t="s">
        <v>43182</v>
      </c>
      <c r="E50" s="32" t="s">
        <v>43183</v>
      </c>
      <c r="F50" s="33">
        <v>31.0</v>
      </c>
      <c r="G50" s="34">
        <v>1.0910319E7</v>
      </c>
    </row>
    <row r="51" ht="12.75" customHeight="1">
      <c r="A51" s="27">
        <v>891.0</v>
      </c>
      <c r="B51" s="28" t="s">
        <v>43184</v>
      </c>
      <c r="C51" s="29">
        <v>10.0</v>
      </c>
      <c r="D51" s="28" t="s">
        <v>43185</v>
      </c>
      <c r="E51" s="28" t="s">
        <v>43186</v>
      </c>
      <c r="F51" s="29">
        <v>43.0</v>
      </c>
      <c r="G51" s="30">
        <v>1.091043E7</v>
      </c>
    </row>
    <row r="52" ht="12.75" customHeight="1">
      <c r="A52" s="31">
        <v>891.0</v>
      </c>
      <c r="B52" s="32" t="s">
        <v>43187</v>
      </c>
      <c r="C52" s="33">
        <v>10.0</v>
      </c>
      <c r="D52" s="32" t="s">
        <v>43188</v>
      </c>
      <c r="E52" s="32" t="s">
        <v>43189</v>
      </c>
      <c r="F52" s="33">
        <v>49.0</v>
      </c>
      <c r="G52" s="34">
        <v>1.0910498E7</v>
      </c>
    </row>
    <row r="53" ht="12.75" customHeight="1">
      <c r="A53" s="27">
        <v>891.0</v>
      </c>
      <c r="B53" s="28" t="s">
        <v>43190</v>
      </c>
      <c r="C53" s="29">
        <v>10.0</v>
      </c>
      <c r="D53" s="28" t="s">
        <v>43191</v>
      </c>
      <c r="E53" s="28" t="s">
        <v>43192</v>
      </c>
      <c r="F53" s="29">
        <v>61.0</v>
      </c>
      <c r="G53" s="30">
        <v>1.0910614E7</v>
      </c>
    </row>
    <row r="54" ht="12.75" customHeight="1">
      <c r="A54" s="31">
        <v>891.0</v>
      </c>
      <c r="B54" s="32" t="s">
        <v>43193</v>
      </c>
      <c r="C54" s="33">
        <v>10.0</v>
      </c>
      <c r="D54" s="32" t="s">
        <v>43194</v>
      </c>
      <c r="E54" s="32" t="s">
        <v>43195</v>
      </c>
      <c r="F54" s="33">
        <v>73.0</v>
      </c>
      <c r="G54" s="34">
        <v>1.0910735E7</v>
      </c>
    </row>
    <row r="55" ht="12.75" customHeight="1">
      <c r="A55" s="27">
        <v>891.0</v>
      </c>
      <c r="B55" s="28" t="s">
        <v>43196</v>
      </c>
      <c r="C55" s="29">
        <v>10.0</v>
      </c>
      <c r="D55" s="28" t="s">
        <v>43197</v>
      </c>
      <c r="E55" s="28" t="s">
        <v>43198</v>
      </c>
      <c r="F55" s="27">
        <v>124.0</v>
      </c>
      <c r="G55" s="30">
        <v>1.0911242E7</v>
      </c>
    </row>
    <row r="56" ht="12.75" customHeight="1">
      <c r="A56" s="31">
        <v>891.0</v>
      </c>
      <c r="B56" s="32" t="s">
        <v>43199</v>
      </c>
      <c r="C56" s="33">
        <v>10.0</v>
      </c>
      <c r="D56" s="32" t="s">
        <v>43200</v>
      </c>
      <c r="E56" s="32" t="s">
        <v>43201</v>
      </c>
      <c r="F56" s="31">
        <v>130.0</v>
      </c>
      <c r="G56" s="34">
        <v>1.0911305E7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891.0</v>
      </c>
      <c r="B1" s="28" t="s">
        <v>43202</v>
      </c>
      <c r="C1" s="29">
        <v>10.0</v>
      </c>
      <c r="D1" s="28" t="s">
        <v>43203</v>
      </c>
      <c r="E1" s="28" t="s">
        <v>43204</v>
      </c>
      <c r="F1" s="27">
        <v>136.0</v>
      </c>
      <c r="G1" s="30">
        <v>1.0911363E7</v>
      </c>
    </row>
    <row r="2" ht="12.75" customHeight="1">
      <c r="A2" s="31">
        <v>891.0</v>
      </c>
      <c r="B2" s="32" t="s">
        <v>43205</v>
      </c>
      <c r="C2" s="33">
        <v>10.0</v>
      </c>
      <c r="D2" s="32" t="s">
        <v>43206</v>
      </c>
      <c r="E2" s="32" t="s">
        <v>43207</v>
      </c>
      <c r="F2" s="31">
        <v>151.0</v>
      </c>
      <c r="G2" s="34">
        <v>1.0911518E7</v>
      </c>
    </row>
    <row r="3" ht="12.75" customHeight="1">
      <c r="A3" s="27">
        <v>891.0</v>
      </c>
      <c r="B3" s="28" t="s">
        <v>43208</v>
      </c>
      <c r="C3" s="29">
        <v>10.0</v>
      </c>
      <c r="D3" s="28" t="s">
        <v>43209</v>
      </c>
      <c r="E3" s="28" t="s">
        <v>43210</v>
      </c>
      <c r="F3" s="27">
        <v>154.0</v>
      </c>
      <c r="G3" s="30">
        <v>1.0911547E7</v>
      </c>
    </row>
    <row r="4" ht="12.75" customHeight="1">
      <c r="A4" s="31">
        <v>891.0</v>
      </c>
      <c r="B4" s="32" t="s">
        <v>43211</v>
      </c>
      <c r="C4" s="33">
        <v>10.0</v>
      </c>
      <c r="D4" s="32" t="s">
        <v>43212</v>
      </c>
      <c r="E4" s="32" t="s">
        <v>43213</v>
      </c>
      <c r="F4" s="31">
        <v>157.0</v>
      </c>
      <c r="G4" s="34">
        <v>1.0911576E7</v>
      </c>
    </row>
    <row r="5" ht="12.75" customHeight="1">
      <c r="A5" s="27">
        <v>891.0</v>
      </c>
      <c r="B5" s="28" t="s">
        <v>43214</v>
      </c>
      <c r="C5" s="29">
        <v>10.0</v>
      </c>
      <c r="D5" s="28" t="s">
        <v>43215</v>
      </c>
      <c r="E5" s="28" t="s">
        <v>43216</v>
      </c>
      <c r="F5" s="27">
        <v>160.0</v>
      </c>
      <c r="G5" s="30">
        <v>1.09116E7</v>
      </c>
    </row>
    <row r="6" ht="12.75" customHeight="1">
      <c r="A6" s="31">
        <v>891.0</v>
      </c>
      <c r="B6" s="32" t="s">
        <v>43217</v>
      </c>
      <c r="C6" s="33">
        <v>10.0</v>
      </c>
      <c r="D6" s="32" t="s">
        <v>43218</v>
      </c>
      <c r="E6" s="32" t="s">
        <v>43219</v>
      </c>
      <c r="F6" s="31">
        <v>172.0</v>
      </c>
      <c r="G6" s="34">
        <v>1.0911721E7</v>
      </c>
    </row>
    <row r="7" ht="12.75" customHeight="1">
      <c r="A7" s="27">
        <v>891.0</v>
      </c>
      <c r="B7" s="28" t="s">
        <v>43220</v>
      </c>
      <c r="C7" s="29">
        <v>10.0</v>
      </c>
      <c r="D7" s="28" t="s">
        <v>43221</v>
      </c>
      <c r="E7" s="28" t="s">
        <v>43222</v>
      </c>
      <c r="F7" s="27">
        <v>175.0</v>
      </c>
      <c r="G7" s="30">
        <v>1.091175E7</v>
      </c>
    </row>
    <row r="8" ht="12.75" customHeight="1">
      <c r="A8" s="31">
        <v>891.0</v>
      </c>
      <c r="B8" s="32" t="s">
        <v>43223</v>
      </c>
      <c r="C8" s="33">
        <v>10.0</v>
      </c>
      <c r="D8" s="32" t="s">
        <v>43224</v>
      </c>
      <c r="E8" s="32" t="s">
        <v>43225</v>
      </c>
      <c r="F8" s="31">
        <v>187.0</v>
      </c>
      <c r="G8" s="34">
        <v>1.0911871E7</v>
      </c>
    </row>
    <row r="9" ht="12.75" customHeight="1">
      <c r="A9" s="27">
        <v>891.0</v>
      </c>
      <c r="B9" s="28" t="s">
        <v>43226</v>
      </c>
      <c r="C9" s="29">
        <v>10.0</v>
      </c>
      <c r="D9" s="28" t="s">
        <v>43227</v>
      </c>
      <c r="E9" s="28" t="s">
        <v>43228</v>
      </c>
      <c r="F9" s="27">
        <v>193.0</v>
      </c>
      <c r="G9" s="30">
        <v>1.0911934E7</v>
      </c>
    </row>
    <row r="10" ht="12.75" customHeight="1">
      <c r="A10" s="31">
        <v>891.0</v>
      </c>
      <c r="B10" s="32" t="s">
        <v>43229</v>
      </c>
      <c r="C10" s="33">
        <v>10.0</v>
      </c>
      <c r="D10" s="32" t="s">
        <v>43230</v>
      </c>
      <c r="E10" s="32" t="s">
        <v>43231</v>
      </c>
      <c r="F10" s="31">
        <v>199.0</v>
      </c>
      <c r="G10" s="34">
        <v>1.0911992E7</v>
      </c>
    </row>
    <row r="11" ht="12.75" customHeight="1">
      <c r="A11" s="27">
        <v>891.0</v>
      </c>
      <c r="B11" s="28" t="s">
        <v>43232</v>
      </c>
      <c r="C11" s="29">
        <v>10.0</v>
      </c>
      <c r="D11" s="28" t="s">
        <v>43233</v>
      </c>
      <c r="E11" s="28" t="s">
        <v>43234</v>
      </c>
      <c r="F11" s="27">
        <v>214.0</v>
      </c>
      <c r="G11" s="30">
        <v>1.0912146E7</v>
      </c>
    </row>
    <row r="12" ht="12.75" customHeight="1">
      <c r="A12" s="31">
        <v>891.0</v>
      </c>
      <c r="B12" s="32" t="s">
        <v>43235</v>
      </c>
      <c r="C12" s="33">
        <v>10.0</v>
      </c>
      <c r="D12" s="32" t="s">
        <v>43236</v>
      </c>
      <c r="E12" s="32" t="s">
        <v>43237</v>
      </c>
      <c r="F12" s="31">
        <v>232.0</v>
      </c>
      <c r="G12" s="34">
        <v>1.091232E7</v>
      </c>
    </row>
    <row r="13" ht="12.75" customHeight="1">
      <c r="A13" s="27">
        <v>891.0</v>
      </c>
      <c r="B13" s="28" t="s">
        <v>43238</v>
      </c>
      <c r="C13" s="29">
        <v>10.0</v>
      </c>
      <c r="D13" s="28" t="s">
        <v>43239</v>
      </c>
      <c r="E13" s="28" t="s">
        <v>43240</v>
      </c>
      <c r="F13" s="27">
        <v>247.0</v>
      </c>
      <c r="G13" s="30">
        <v>1.091247E7</v>
      </c>
    </row>
    <row r="14" ht="12.75" customHeight="1">
      <c r="A14" s="31">
        <v>891.0</v>
      </c>
      <c r="B14" s="32" t="s">
        <v>43241</v>
      </c>
      <c r="C14" s="33">
        <v>10.0</v>
      </c>
      <c r="D14" s="32" t="s">
        <v>43242</v>
      </c>
      <c r="E14" s="32" t="s">
        <v>43243</v>
      </c>
      <c r="F14" s="31">
        <v>250.0</v>
      </c>
      <c r="G14" s="34">
        <v>1.0912504E7</v>
      </c>
    </row>
    <row r="15" ht="12.75" customHeight="1">
      <c r="A15" s="27">
        <v>891.0</v>
      </c>
      <c r="B15" s="28" t="s">
        <v>43244</v>
      </c>
      <c r="C15" s="29">
        <v>10.0</v>
      </c>
      <c r="D15" s="28" t="s">
        <v>43245</v>
      </c>
      <c r="E15" s="28" t="s">
        <v>43246</v>
      </c>
      <c r="F15" s="27">
        <v>256.0</v>
      </c>
      <c r="G15" s="30">
        <v>1.0912562E7</v>
      </c>
    </row>
    <row r="16" ht="12.75" customHeight="1">
      <c r="A16" s="31">
        <v>891.0</v>
      </c>
      <c r="B16" s="32" t="s">
        <v>43247</v>
      </c>
      <c r="C16" s="33">
        <v>10.0</v>
      </c>
      <c r="D16" s="32" t="s">
        <v>43248</v>
      </c>
      <c r="E16" s="32" t="s">
        <v>43249</v>
      </c>
      <c r="F16" s="31">
        <v>292.0</v>
      </c>
      <c r="G16" s="34">
        <v>1.091292E7</v>
      </c>
    </row>
    <row r="17" ht="12.75" customHeight="1">
      <c r="A17" s="27">
        <v>891.0</v>
      </c>
      <c r="B17" s="28" t="s">
        <v>43250</v>
      </c>
      <c r="C17" s="29">
        <v>10.0</v>
      </c>
      <c r="D17" s="28" t="s">
        <v>43251</v>
      </c>
      <c r="E17" s="28" t="s">
        <v>43252</v>
      </c>
      <c r="F17" s="27">
        <v>298.0</v>
      </c>
      <c r="G17" s="30">
        <v>1.0912988E7</v>
      </c>
    </row>
    <row r="18" ht="12.75" customHeight="1">
      <c r="A18" s="31">
        <v>891.0</v>
      </c>
      <c r="B18" s="32" t="s">
        <v>43253</v>
      </c>
      <c r="C18" s="33">
        <v>10.0</v>
      </c>
      <c r="D18" s="32" t="s">
        <v>43254</v>
      </c>
      <c r="E18" s="32" t="s">
        <v>43255</v>
      </c>
      <c r="F18" s="31">
        <v>313.0</v>
      </c>
      <c r="G18" s="34">
        <v>1.0913132E7</v>
      </c>
    </row>
    <row r="19" ht="12.75" customHeight="1">
      <c r="A19" s="27">
        <v>891.0</v>
      </c>
      <c r="B19" s="28" t="s">
        <v>43256</v>
      </c>
      <c r="C19" s="29">
        <v>10.0</v>
      </c>
      <c r="D19" s="28" t="s">
        <v>43257</v>
      </c>
      <c r="E19" s="28" t="s">
        <v>43258</v>
      </c>
      <c r="F19" s="27">
        <v>316.0</v>
      </c>
      <c r="G19" s="30">
        <v>1.0913161E7</v>
      </c>
    </row>
    <row r="20" ht="12.75" customHeight="1">
      <c r="A20" s="31">
        <v>891.0</v>
      </c>
      <c r="B20" s="32" t="s">
        <v>43259</v>
      </c>
      <c r="C20" s="33">
        <v>10.0</v>
      </c>
      <c r="D20" s="32" t="s">
        <v>43260</v>
      </c>
      <c r="E20" s="32" t="s">
        <v>43261</v>
      </c>
      <c r="F20" s="31">
        <v>340.0</v>
      </c>
      <c r="G20" s="34">
        <v>1.0913408E7</v>
      </c>
    </row>
    <row r="21" ht="12.75" customHeight="1">
      <c r="A21" s="27">
        <v>891.0</v>
      </c>
      <c r="B21" s="28" t="s">
        <v>43262</v>
      </c>
      <c r="C21" s="29">
        <v>10.0</v>
      </c>
      <c r="D21" s="28" t="s">
        <v>43263</v>
      </c>
      <c r="E21" s="28" t="s">
        <v>43264</v>
      </c>
      <c r="F21" s="27">
        <v>346.0</v>
      </c>
      <c r="G21" s="30">
        <v>1.0913466E7</v>
      </c>
    </row>
    <row r="22" ht="12.75" customHeight="1">
      <c r="A22" s="31">
        <v>891.0</v>
      </c>
      <c r="B22" s="32" t="s">
        <v>43265</v>
      </c>
      <c r="C22" s="33">
        <v>10.0</v>
      </c>
      <c r="D22" s="32" t="s">
        <v>43266</v>
      </c>
      <c r="E22" s="32" t="s">
        <v>43267</v>
      </c>
      <c r="F22" s="31">
        <v>349.0</v>
      </c>
      <c r="G22" s="34">
        <v>1.0913495E7</v>
      </c>
    </row>
    <row r="23" ht="12.75" customHeight="1">
      <c r="A23" s="27">
        <v>891.0</v>
      </c>
      <c r="B23" s="28" t="s">
        <v>43268</v>
      </c>
      <c r="C23" s="29">
        <v>10.0</v>
      </c>
      <c r="D23" s="28" t="s">
        <v>43269</v>
      </c>
      <c r="E23" s="28" t="s">
        <v>43270</v>
      </c>
      <c r="F23" s="27">
        <v>400.0</v>
      </c>
      <c r="G23" s="30">
        <v>1.0914007E7</v>
      </c>
    </row>
    <row r="24" ht="12.75" customHeight="1">
      <c r="A24" s="31">
        <v>891.0</v>
      </c>
      <c r="B24" s="32" t="s">
        <v>43271</v>
      </c>
      <c r="C24" s="33">
        <v>10.0</v>
      </c>
      <c r="D24" s="32" t="s">
        <v>43272</v>
      </c>
      <c r="E24" s="32" t="s">
        <v>43273</v>
      </c>
      <c r="F24" s="31">
        <v>415.0</v>
      </c>
      <c r="G24" s="34">
        <v>1.0914157E7</v>
      </c>
    </row>
    <row r="25" ht="12.75" customHeight="1">
      <c r="A25" s="27">
        <v>193.0</v>
      </c>
      <c r="B25" s="28" t="s">
        <v>43274</v>
      </c>
      <c r="C25" s="29">
        <v>10.0</v>
      </c>
      <c r="D25" s="28" t="s">
        <v>43275</v>
      </c>
      <c r="E25" s="28" t="s">
        <v>43276</v>
      </c>
      <c r="F25" s="29">
        <v>4.0</v>
      </c>
      <c r="G25" s="30">
        <v>1.0930049E7</v>
      </c>
    </row>
    <row r="26" ht="12.75" customHeight="1">
      <c r="A26" s="31">
        <v>193.0</v>
      </c>
      <c r="B26" s="32" t="s">
        <v>43277</v>
      </c>
      <c r="C26" s="33">
        <v>10.0</v>
      </c>
      <c r="D26" s="32" t="s">
        <v>43278</v>
      </c>
      <c r="E26" s="32" t="s">
        <v>43279</v>
      </c>
      <c r="F26" s="33">
        <v>6.0</v>
      </c>
      <c r="G26" s="34">
        <v>1.0930065E7</v>
      </c>
    </row>
    <row r="27" ht="12.75" customHeight="1">
      <c r="A27" s="27">
        <v>193.0</v>
      </c>
      <c r="B27" s="28" t="s">
        <v>43280</v>
      </c>
      <c r="C27" s="29">
        <v>10.0</v>
      </c>
      <c r="D27" s="28" t="s">
        <v>43281</v>
      </c>
      <c r="E27" s="28" t="s">
        <v>43282</v>
      </c>
      <c r="F27" s="29">
        <v>37.0</v>
      </c>
      <c r="G27" s="30">
        <v>1.0930373E7</v>
      </c>
    </row>
    <row r="28" ht="12.75" customHeight="1">
      <c r="A28" s="31">
        <v>193.0</v>
      </c>
      <c r="B28" s="32" t="s">
        <v>43283</v>
      </c>
      <c r="C28" s="33">
        <v>10.0</v>
      </c>
      <c r="D28" s="32" t="s">
        <v>43284</v>
      </c>
      <c r="E28" s="32" t="s">
        <v>43285</v>
      </c>
      <c r="F28" s="33">
        <v>46.0</v>
      </c>
      <c r="G28" s="34">
        <v>1.0930465E7</v>
      </c>
    </row>
    <row r="29" ht="12.75" customHeight="1">
      <c r="A29" s="27">
        <v>193.0</v>
      </c>
      <c r="B29" s="28" t="s">
        <v>43286</v>
      </c>
      <c r="C29" s="29">
        <v>10.0</v>
      </c>
      <c r="D29" s="28" t="s">
        <v>43287</v>
      </c>
      <c r="E29" s="28" t="s">
        <v>43288</v>
      </c>
      <c r="F29" s="29">
        <v>73.0</v>
      </c>
      <c r="G29" s="30">
        <v>1.0930731E7</v>
      </c>
    </row>
    <row r="30" ht="12.75" customHeight="1">
      <c r="A30" s="31">
        <v>193.0</v>
      </c>
      <c r="B30" s="32" t="s">
        <v>43289</v>
      </c>
      <c r="C30" s="33">
        <v>10.0</v>
      </c>
      <c r="D30" s="32" t="s">
        <v>43290</v>
      </c>
      <c r="E30" s="32" t="s">
        <v>43291</v>
      </c>
      <c r="F30" s="33">
        <v>91.0</v>
      </c>
      <c r="G30" s="34">
        <v>1.0930915E7</v>
      </c>
    </row>
    <row r="31" ht="12.75" customHeight="1">
      <c r="A31" s="27">
        <v>193.0</v>
      </c>
      <c r="B31" s="28" t="s">
        <v>43292</v>
      </c>
      <c r="C31" s="29">
        <v>10.0</v>
      </c>
      <c r="D31" s="28" t="s">
        <v>43293</v>
      </c>
      <c r="E31" s="28" t="s">
        <v>43294</v>
      </c>
      <c r="F31" s="27">
        <v>100.0</v>
      </c>
      <c r="G31" s="30">
        <v>1.0931006E7</v>
      </c>
    </row>
    <row r="32" ht="12.75" customHeight="1">
      <c r="A32" s="31">
        <v>193.0</v>
      </c>
      <c r="B32" s="32" t="s">
        <v>43295</v>
      </c>
      <c r="C32" s="33">
        <v>10.0</v>
      </c>
      <c r="D32" s="32" t="s">
        <v>43296</v>
      </c>
      <c r="E32" s="32" t="s">
        <v>43297</v>
      </c>
      <c r="F32" s="31">
        <v>115.0</v>
      </c>
      <c r="G32" s="34">
        <v>1.0931156E7</v>
      </c>
    </row>
    <row r="33" ht="12.75" customHeight="1">
      <c r="A33" s="27">
        <v>193.0</v>
      </c>
      <c r="B33" s="28" t="s">
        <v>43298</v>
      </c>
      <c r="C33" s="29">
        <v>10.0</v>
      </c>
      <c r="D33" s="28" t="s">
        <v>43299</v>
      </c>
      <c r="E33" s="28" t="s">
        <v>43300</v>
      </c>
      <c r="F33" s="27">
        <v>118.0</v>
      </c>
      <c r="G33" s="30">
        <v>1.0931185E7</v>
      </c>
    </row>
    <row r="34" ht="12.75" customHeight="1">
      <c r="A34" s="31">
        <v>193.0</v>
      </c>
      <c r="B34" s="32" t="s">
        <v>43301</v>
      </c>
      <c r="C34" s="33">
        <v>10.0</v>
      </c>
      <c r="D34" s="32" t="s">
        <v>43302</v>
      </c>
      <c r="E34" s="32" t="s">
        <v>43303</v>
      </c>
      <c r="F34" s="31">
        <v>133.0</v>
      </c>
      <c r="G34" s="34">
        <v>1.093133E7</v>
      </c>
    </row>
    <row r="35" ht="12.75" customHeight="1">
      <c r="A35" s="27">
        <v>193.0</v>
      </c>
      <c r="B35" s="28" t="s">
        <v>43304</v>
      </c>
      <c r="C35" s="29">
        <v>10.0</v>
      </c>
      <c r="D35" s="28" t="s">
        <v>43305</v>
      </c>
      <c r="E35" s="28" t="s">
        <v>43306</v>
      </c>
      <c r="F35" s="27">
        <v>136.0</v>
      </c>
      <c r="G35" s="30">
        <v>1.0931369E7</v>
      </c>
    </row>
    <row r="36" ht="12.75" customHeight="1">
      <c r="A36" s="31">
        <v>193.0</v>
      </c>
      <c r="B36" s="32" t="s">
        <v>43307</v>
      </c>
      <c r="C36" s="33">
        <v>10.0</v>
      </c>
      <c r="D36" s="32" t="s">
        <v>43308</v>
      </c>
      <c r="E36" s="32" t="s">
        <v>43309</v>
      </c>
      <c r="F36" s="31">
        <v>139.0</v>
      </c>
      <c r="G36" s="34">
        <v>1.0931398E7</v>
      </c>
    </row>
    <row r="37" ht="12.75" customHeight="1">
      <c r="A37" s="27">
        <v>193.0</v>
      </c>
      <c r="B37" s="28" t="s">
        <v>43310</v>
      </c>
      <c r="C37" s="29">
        <v>10.0</v>
      </c>
      <c r="D37" s="28" t="s">
        <v>43311</v>
      </c>
      <c r="E37" s="28" t="s">
        <v>43312</v>
      </c>
      <c r="F37" s="27">
        <v>148.0</v>
      </c>
      <c r="G37" s="30">
        <v>1.093148E7</v>
      </c>
    </row>
    <row r="38" ht="12.75" customHeight="1">
      <c r="A38" s="31">
        <v>193.0</v>
      </c>
      <c r="B38" s="32" t="s">
        <v>43313</v>
      </c>
      <c r="C38" s="33">
        <v>10.0</v>
      </c>
      <c r="D38" s="32" t="s">
        <v>43314</v>
      </c>
      <c r="E38" s="32" t="s">
        <v>43315</v>
      </c>
      <c r="F38" s="31">
        <v>151.0</v>
      </c>
      <c r="G38" s="34">
        <v>1.0931514E7</v>
      </c>
    </row>
    <row r="39" ht="12.75" customHeight="1">
      <c r="A39" s="27">
        <v>193.0</v>
      </c>
      <c r="B39" s="28" t="s">
        <v>43316</v>
      </c>
      <c r="C39" s="29">
        <v>10.0</v>
      </c>
      <c r="D39" s="28" t="s">
        <v>43317</v>
      </c>
      <c r="E39" s="28" t="s">
        <v>43318</v>
      </c>
      <c r="F39" s="27">
        <v>154.0</v>
      </c>
      <c r="G39" s="30">
        <v>1.0931543E7</v>
      </c>
    </row>
    <row r="40" ht="12.75" customHeight="1">
      <c r="A40" s="31">
        <v>193.0</v>
      </c>
      <c r="B40" s="32" t="s">
        <v>43319</v>
      </c>
      <c r="C40" s="33">
        <v>10.0</v>
      </c>
      <c r="D40" s="32" t="s">
        <v>43320</v>
      </c>
      <c r="E40" s="32" t="s">
        <v>43321</v>
      </c>
      <c r="F40" s="31">
        <v>163.0</v>
      </c>
      <c r="G40" s="34">
        <v>1.0931635E7</v>
      </c>
    </row>
    <row r="41" ht="12.75" customHeight="1">
      <c r="A41" s="27">
        <v>193.0</v>
      </c>
      <c r="B41" s="28" t="s">
        <v>43322</v>
      </c>
      <c r="C41" s="29">
        <v>10.0</v>
      </c>
      <c r="D41" s="28" t="s">
        <v>43323</v>
      </c>
      <c r="E41" s="28" t="s">
        <v>43324</v>
      </c>
      <c r="F41" s="27">
        <v>166.0</v>
      </c>
      <c r="G41" s="30">
        <v>1.0931664E7</v>
      </c>
    </row>
    <row r="42" ht="12.75" customHeight="1">
      <c r="A42" s="31">
        <v>193.0</v>
      </c>
      <c r="B42" s="32" t="s">
        <v>43325</v>
      </c>
      <c r="C42" s="33">
        <v>10.0</v>
      </c>
      <c r="D42" s="32" t="s">
        <v>43326</v>
      </c>
      <c r="E42" s="32" t="s">
        <v>43327</v>
      </c>
      <c r="F42" s="31">
        <v>169.0</v>
      </c>
      <c r="G42" s="34">
        <v>1.0931693E7</v>
      </c>
    </row>
    <row r="43" ht="12.75" customHeight="1">
      <c r="A43" s="27">
        <v>193.0</v>
      </c>
      <c r="B43" s="28" t="s">
        <v>43328</v>
      </c>
      <c r="C43" s="29">
        <v>10.0</v>
      </c>
      <c r="D43" s="28" t="s">
        <v>43329</v>
      </c>
      <c r="E43" s="28" t="s">
        <v>43330</v>
      </c>
      <c r="F43" s="27">
        <v>172.0</v>
      </c>
      <c r="G43" s="30">
        <v>1.0931727E7</v>
      </c>
    </row>
    <row r="44" ht="12.75" customHeight="1">
      <c r="A44" s="31">
        <v>193.0</v>
      </c>
      <c r="B44" s="32" t="s">
        <v>43331</v>
      </c>
      <c r="C44" s="33">
        <v>10.0</v>
      </c>
      <c r="D44" s="32" t="s">
        <v>43332</v>
      </c>
      <c r="E44" s="32" t="s">
        <v>43333</v>
      </c>
      <c r="F44" s="31">
        <v>214.0</v>
      </c>
      <c r="G44" s="34">
        <v>1.0932142E7</v>
      </c>
    </row>
    <row r="45" ht="12.75" customHeight="1">
      <c r="A45" s="27">
        <v>193.0</v>
      </c>
      <c r="B45" s="28" t="s">
        <v>43334</v>
      </c>
      <c r="C45" s="29">
        <v>10.0</v>
      </c>
      <c r="D45" s="28" t="s">
        <v>43335</v>
      </c>
      <c r="E45" s="28" t="s">
        <v>43336</v>
      </c>
      <c r="F45" s="27">
        <v>220.0</v>
      </c>
      <c r="G45" s="30">
        <v>1.0932205E7</v>
      </c>
    </row>
    <row r="46" ht="12.75" customHeight="1">
      <c r="A46" s="31">
        <v>193.0</v>
      </c>
      <c r="B46" s="32" t="s">
        <v>43337</v>
      </c>
      <c r="C46" s="33">
        <v>10.0</v>
      </c>
      <c r="D46" s="32" t="s">
        <v>43338</v>
      </c>
      <c r="E46" s="32" t="s">
        <v>43339</v>
      </c>
      <c r="F46" s="31">
        <v>226.0</v>
      </c>
      <c r="G46" s="34">
        <v>1.0932263E7</v>
      </c>
    </row>
    <row r="47" ht="12.75" customHeight="1">
      <c r="A47" s="27">
        <v>193.0</v>
      </c>
      <c r="B47" s="28" t="s">
        <v>43340</v>
      </c>
      <c r="C47" s="29">
        <v>10.0</v>
      </c>
      <c r="D47" s="28" t="s">
        <v>43341</v>
      </c>
      <c r="E47" s="28" t="s">
        <v>43342</v>
      </c>
      <c r="F47" s="27">
        <v>229.0</v>
      </c>
      <c r="G47" s="30">
        <v>1.0932292E7</v>
      </c>
    </row>
    <row r="48" ht="12.75" customHeight="1">
      <c r="A48" s="31">
        <v>193.0</v>
      </c>
      <c r="B48" s="32" t="s">
        <v>43343</v>
      </c>
      <c r="C48" s="33">
        <v>10.0</v>
      </c>
      <c r="D48" s="32" t="s">
        <v>43344</v>
      </c>
      <c r="E48" s="32" t="s">
        <v>43345</v>
      </c>
      <c r="F48" s="31">
        <v>241.0</v>
      </c>
      <c r="G48" s="34">
        <v>1.0932418E7</v>
      </c>
    </row>
    <row r="49" ht="12.75" customHeight="1">
      <c r="A49" s="27">
        <v>794.0</v>
      </c>
      <c r="B49" s="28" t="s">
        <v>43346</v>
      </c>
      <c r="C49" s="29">
        <v>10.0</v>
      </c>
      <c r="D49" s="28" t="s">
        <v>43347</v>
      </c>
      <c r="E49" s="28" t="s">
        <v>43348</v>
      </c>
      <c r="F49" s="29">
        <v>13.0</v>
      </c>
      <c r="G49" s="30">
        <v>1.0940134E7</v>
      </c>
    </row>
    <row r="50" ht="12.75" customHeight="1">
      <c r="A50" s="31">
        <v>794.0</v>
      </c>
      <c r="B50" s="32" t="s">
        <v>43349</v>
      </c>
      <c r="C50" s="33">
        <v>10.0</v>
      </c>
      <c r="D50" s="32" t="s">
        <v>43350</v>
      </c>
      <c r="E50" s="32" t="s">
        <v>43351</v>
      </c>
      <c r="F50" s="33">
        <v>46.0</v>
      </c>
      <c r="G50" s="34">
        <v>1.0940468E7</v>
      </c>
    </row>
    <row r="51" ht="12.75" customHeight="1">
      <c r="A51" s="27">
        <v>794.0</v>
      </c>
      <c r="B51" s="28" t="s">
        <v>43352</v>
      </c>
      <c r="C51" s="29">
        <v>10.0</v>
      </c>
      <c r="D51" s="28" t="s">
        <v>43353</v>
      </c>
      <c r="E51" s="28" t="s">
        <v>43354</v>
      </c>
      <c r="F51" s="29">
        <v>67.0</v>
      </c>
      <c r="G51" s="30">
        <v>1.0940671E7</v>
      </c>
    </row>
    <row r="52" ht="12.75" customHeight="1">
      <c r="A52" s="31">
        <v>794.0</v>
      </c>
      <c r="B52" s="32" t="s">
        <v>43355</v>
      </c>
      <c r="C52" s="33">
        <v>10.0</v>
      </c>
      <c r="D52" s="32" t="s">
        <v>43356</v>
      </c>
      <c r="E52" s="32" t="s">
        <v>43357</v>
      </c>
      <c r="F52" s="33">
        <v>97.0</v>
      </c>
      <c r="G52" s="34">
        <v>1.0940976E7</v>
      </c>
    </row>
    <row r="53" ht="12.75" customHeight="1">
      <c r="A53" s="27">
        <v>401.0</v>
      </c>
      <c r="B53" s="28" t="s">
        <v>43358</v>
      </c>
      <c r="C53" s="29">
        <v>15.0</v>
      </c>
      <c r="D53" s="28" t="s">
        <v>43359</v>
      </c>
      <c r="E53" s="28" t="s">
        <v>43360</v>
      </c>
      <c r="F53" s="29">
        <v>94.0</v>
      </c>
      <c r="G53" s="30">
        <v>1.5010948E7</v>
      </c>
    </row>
    <row r="54" ht="12.75" customHeight="1">
      <c r="A54" s="31">
        <v>401.0</v>
      </c>
      <c r="B54" s="32" t="s">
        <v>43361</v>
      </c>
      <c r="C54" s="33">
        <v>15.0</v>
      </c>
      <c r="D54" s="32" t="s">
        <v>43362</v>
      </c>
      <c r="E54" s="32" t="s">
        <v>43363</v>
      </c>
      <c r="F54" s="31">
        <v>103.0</v>
      </c>
      <c r="G54" s="34">
        <v>1.5011039E7</v>
      </c>
    </row>
    <row r="55" ht="12.75" customHeight="1">
      <c r="A55" s="27">
        <v>304.0</v>
      </c>
      <c r="B55" s="28" t="s">
        <v>43364</v>
      </c>
      <c r="C55" s="29">
        <v>15.0</v>
      </c>
      <c r="D55" s="28" t="s">
        <v>43365</v>
      </c>
      <c r="E55" s="28" t="s">
        <v>43366</v>
      </c>
      <c r="F55" s="29">
        <v>13.0</v>
      </c>
      <c r="G55" s="30">
        <v>1.5040134E7</v>
      </c>
    </row>
    <row r="56" ht="12.75" customHeight="1">
      <c r="A56" s="31">
        <v>306.0</v>
      </c>
      <c r="B56" s="32" t="s">
        <v>43367</v>
      </c>
      <c r="C56" s="33">
        <v>15.0</v>
      </c>
      <c r="D56" s="32" t="s">
        <v>43368</v>
      </c>
      <c r="E56" s="32" t="s">
        <v>43369</v>
      </c>
      <c r="F56" s="33">
        <v>25.0</v>
      </c>
      <c r="G56" s="34">
        <v>1.5060251E7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306.0</v>
      </c>
      <c r="B1" s="28" t="s">
        <v>43370</v>
      </c>
      <c r="C1" s="29">
        <v>15.0</v>
      </c>
      <c r="D1" s="28" t="s">
        <v>43371</v>
      </c>
      <c r="E1" s="28" t="s">
        <v>43372</v>
      </c>
      <c r="F1" s="29">
        <v>28.0</v>
      </c>
      <c r="G1" s="30">
        <v>1.506028E7</v>
      </c>
    </row>
    <row r="2" ht="12.75" customHeight="1">
      <c r="A2" s="31">
        <v>309.0</v>
      </c>
      <c r="B2" s="32" t="s">
        <v>43373</v>
      </c>
      <c r="C2" s="33">
        <v>15.0</v>
      </c>
      <c r="D2" s="32" t="s">
        <v>43374</v>
      </c>
      <c r="E2" s="32" t="s">
        <v>43375</v>
      </c>
      <c r="F2" s="33">
        <v>10.0</v>
      </c>
      <c r="G2" s="34">
        <v>1.50901E7</v>
      </c>
    </row>
    <row r="3" ht="12.75" customHeight="1">
      <c r="A3" s="27">
        <v>610.0</v>
      </c>
      <c r="B3" s="28" t="s">
        <v>43376</v>
      </c>
      <c r="C3" s="29">
        <v>15.0</v>
      </c>
      <c r="D3" s="28" t="s">
        <v>43377</v>
      </c>
      <c r="E3" s="28" t="s">
        <v>43378</v>
      </c>
      <c r="F3" s="29">
        <v>37.0</v>
      </c>
      <c r="G3" s="30">
        <v>1.5100379E7</v>
      </c>
    </row>
    <row r="4" ht="12.75" customHeight="1">
      <c r="A4" s="31">
        <v>610.0</v>
      </c>
      <c r="B4" s="32" t="s">
        <v>43379</v>
      </c>
      <c r="C4" s="33">
        <v>15.0</v>
      </c>
      <c r="D4" s="32" t="s">
        <v>43380</v>
      </c>
      <c r="E4" s="32" t="s">
        <v>43381</v>
      </c>
      <c r="F4" s="31">
        <v>274.0</v>
      </c>
      <c r="G4" s="34">
        <v>1.5102748E7</v>
      </c>
    </row>
    <row r="5" ht="12.75" customHeight="1">
      <c r="A5" s="27">
        <v>112.0</v>
      </c>
      <c r="B5" s="28" t="s">
        <v>43382</v>
      </c>
      <c r="C5" s="29">
        <v>15.0</v>
      </c>
      <c r="D5" s="28" t="s">
        <v>43383</v>
      </c>
      <c r="E5" s="28" t="s">
        <v>43384</v>
      </c>
      <c r="F5" s="29">
        <v>5.0</v>
      </c>
      <c r="G5" s="30">
        <v>1.5120054E7</v>
      </c>
    </row>
    <row r="6" ht="12.75" customHeight="1">
      <c r="A6" s="31">
        <v>112.0</v>
      </c>
      <c r="B6" s="32" t="s">
        <v>43385</v>
      </c>
      <c r="C6" s="33">
        <v>15.0</v>
      </c>
      <c r="D6" s="32" t="s">
        <v>43386</v>
      </c>
      <c r="E6" s="32" t="s">
        <v>43387</v>
      </c>
      <c r="F6" s="33">
        <v>10.0</v>
      </c>
      <c r="G6" s="34">
        <v>1.5120104E7</v>
      </c>
    </row>
    <row r="7" ht="12.75" customHeight="1">
      <c r="A7" s="27">
        <v>112.0</v>
      </c>
      <c r="B7" s="28" t="s">
        <v>43388</v>
      </c>
      <c r="C7" s="29">
        <v>15.0</v>
      </c>
      <c r="D7" s="28" t="s">
        <v>43389</v>
      </c>
      <c r="E7" s="28" t="s">
        <v>43390</v>
      </c>
      <c r="F7" s="29">
        <v>43.0</v>
      </c>
      <c r="G7" s="30">
        <v>1.5120438E7</v>
      </c>
    </row>
    <row r="8" ht="12.75" customHeight="1">
      <c r="A8" s="31">
        <v>112.0</v>
      </c>
      <c r="B8" s="32" t="s">
        <v>43391</v>
      </c>
      <c r="C8" s="33">
        <v>15.0</v>
      </c>
      <c r="D8" s="32" t="s">
        <v>43392</v>
      </c>
      <c r="E8" s="32" t="s">
        <v>43393</v>
      </c>
      <c r="F8" s="31">
        <v>109.0</v>
      </c>
      <c r="G8" s="34">
        <v>1.5121095E7</v>
      </c>
    </row>
    <row r="9" ht="12.75" customHeight="1">
      <c r="A9" s="27">
        <v>112.0</v>
      </c>
      <c r="B9" s="28" t="s">
        <v>43394</v>
      </c>
      <c r="C9" s="29">
        <v>15.0</v>
      </c>
      <c r="D9" s="28" t="s">
        <v>43395</v>
      </c>
      <c r="E9" s="28" t="s">
        <v>43396</v>
      </c>
      <c r="F9" s="27">
        <v>136.0</v>
      </c>
      <c r="G9" s="30">
        <v>1.5121361E7</v>
      </c>
    </row>
    <row r="10" ht="12.75" customHeight="1">
      <c r="A10" s="31">
        <v>112.0</v>
      </c>
      <c r="B10" s="32" t="s">
        <v>43397</v>
      </c>
      <c r="C10" s="33">
        <v>15.0</v>
      </c>
      <c r="D10" s="32" t="s">
        <v>43398</v>
      </c>
      <c r="E10" s="32" t="s">
        <v>43399</v>
      </c>
      <c r="F10" s="31">
        <v>187.0</v>
      </c>
      <c r="G10" s="34">
        <v>1.5121879E7</v>
      </c>
    </row>
    <row r="11" ht="12.75" customHeight="1">
      <c r="A11" s="27">
        <v>113.0</v>
      </c>
      <c r="B11" s="28" t="s">
        <v>43400</v>
      </c>
      <c r="C11" s="29">
        <v>15.0</v>
      </c>
      <c r="D11" s="28" t="s">
        <v>43401</v>
      </c>
      <c r="E11" s="28" t="s">
        <v>43402</v>
      </c>
      <c r="F11" s="29">
        <v>88.0</v>
      </c>
      <c r="G11" s="30">
        <v>1.5130886E7</v>
      </c>
    </row>
    <row r="12" ht="12.75" customHeight="1">
      <c r="A12" s="31">
        <v>113.0</v>
      </c>
      <c r="B12" s="32" t="s">
        <v>43403</v>
      </c>
      <c r="C12" s="33">
        <v>15.0</v>
      </c>
      <c r="D12" s="32" t="s">
        <v>43404</v>
      </c>
      <c r="E12" s="32" t="s">
        <v>43405</v>
      </c>
      <c r="F12" s="31">
        <v>169.0</v>
      </c>
      <c r="G12" s="34">
        <v>1.5131698E7</v>
      </c>
    </row>
    <row r="13" ht="12.75" customHeight="1">
      <c r="A13" s="27">
        <v>215.0</v>
      </c>
      <c r="B13" s="28" t="s">
        <v>43406</v>
      </c>
      <c r="C13" s="29">
        <v>15.0</v>
      </c>
      <c r="D13" s="28" t="s">
        <v>43407</v>
      </c>
      <c r="E13" s="28" t="s">
        <v>43408</v>
      </c>
      <c r="F13" s="29">
        <v>13.0</v>
      </c>
      <c r="G13" s="30">
        <v>1.5150132E7</v>
      </c>
    </row>
    <row r="14" ht="12.75" customHeight="1">
      <c r="A14" s="31">
        <v>215.0</v>
      </c>
      <c r="B14" s="32" t="s">
        <v>43409</v>
      </c>
      <c r="C14" s="33">
        <v>15.0</v>
      </c>
      <c r="D14" s="32" t="s">
        <v>43410</v>
      </c>
      <c r="E14" s="32" t="s">
        <v>43411</v>
      </c>
      <c r="F14" s="33">
        <v>23.0</v>
      </c>
      <c r="G14" s="34">
        <v>1.5150237E7</v>
      </c>
    </row>
    <row r="15" ht="12.75" customHeight="1">
      <c r="A15" s="27">
        <v>215.0</v>
      </c>
      <c r="B15" s="28" t="s">
        <v>43412</v>
      </c>
      <c r="C15" s="29">
        <v>15.0</v>
      </c>
      <c r="D15" s="28" t="s">
        <v>43413</v>
      </c>
      <c r="E15" s="28" t="s">
        <v>43414</v>
      </c>
      <c r="F15" s="29">
        <v>25.0</v>
      </c>
      <c r="G15" s="30">
        <v>1.5150253E7</v>
      </c>
    </row>
    <row r="16" ht="12.75" customHeight="1">
      <c r="A16" s="31">
        <v>215.0</v>
      </c>
      <c r="B16" s="32" t="s">
        <v>43415</v>
      </c>
      <c r="C16" s="33">
        <v>15.0</v>
      </c>
      <c r="D16" s="32" t="s">
        <v>43416</v>
      </c>
      <c r="E16" s="32" t="s">
        <v>43417</v>
      </c>
      <c r="F16" s="33">
        <v>73.0</v>
      </c>
      <c r="G16" s="34">
        <v>1.5150732E7</v>
      </c>
    </row>
    <row r="17" ht="12.75" customHeight="1">
      <c r="A17" s="27">
        <v>215.0</v>
      </c>
      <c r="B17" s="28" t="s">
        <v>43418</v>
      </c>
      <c r="C17" s="29">
        <v>15.0</v>
      </c>
      <c r="D17" s="28" t="s">
        <v>43419</v>
      </c>
      <c r="E17" s="28" t="s">
        <v>43420</v>
      </c>
      <c r="F17" s="29">
        <v>94.0</v>
      </c>
      <c r="G17" s="30">
        <v>1.5150945E7</v>
      </c>
    </row>
    <row r="18" ht="12.75" customHeight="1">
      <c r="A18" s="31">
        <v>215.0</v>
      </c>
      <c r="B18" s="32" t="s">
        <v>43421</v>
      </c>
      <c r="C18" s="33">
        <v>15.0</v>
      </c>
      <c r="D18" s="32" t="s">
        <v>43422</v>
      </c>
      <c r="E18" s="32" t="s">
        <v>43423</v>
      </c>
      <c r="F18" s="31">
        <v>121.0</v>
      </c>
      <c r="G18" s="34">
        <v>1.515121E7</v>
      </c>
    </row>
    <row r="19" ht="12.75" customHeight="1">
      <c r="A19" s="27">
        <v>215.0</v>
      </c>
      <c r="B19" s="28" t="s">
        <v>43424</v>
      </c>
      <c r="C19" s="29">
        <v>15.0</v>
      </c>
      <c r="D19" s="28" t="s">
        <v>43425</v>
      </c>
      <c r="E19" s="28" t="s">
        <v>43426</v>
      </c>
      <c r="F19" s="27">
        <v>172.0</v>
      </c>
      <c r="G19" s="30">
        <v>1.5151728E7</v>
      </c>
    </row>
    <row r="20" ht="12.75" customHeight="1">
      <c r="A20" s="31">
        <v>215.0</v>
      </c>
      <c r="B20" s="32" t="s">
        <v>43427</v>
      </c>
      <c r="C20" s="33">
        <v>15.0</v>
      </c>
      <c r="D20" s="32" t="s">
        <v>43428</v>
      </c>
      <c r="E20" s="32" t="s">
        <v>43429</v>
      </c>
      <c r="F20" s="31">
        <v>316.0</v>
      </c>
      <c r="G20" s="34">
        <v>1.5153168E7</v>
      </c>
    </row>
    <row r="21" ht="12.75" customHeight="1">
      <c r="A21" s="27">
        <v>215.0</v>
      </c>
      <c r="B21" s="28" t="s">
        <v>43430</v>
      </c>
      <c r="C21" s="29">
        <v>15.0</v>
      </c>
      <c r="D21" s="28" t="s">
        <v>43431</v>
      </c>
      <c r="E21" s="28" t="s">
        <v>43432</v>
      </c>
      <c r="F21" s="27">
        <v>322.0</v>
      </c>
      <c r="G21" s="30">
        <v>1.5153221E7</v>
      </c>
    </row>
    <row r="22" ht="12.75" customHeight="1">
      <c r="A22" s="31">
        <v>215.0</v>
      </c>
      <c r="B22" s="32" t="s">
        <v>43433</v>
      </c>
      <c r="C22" s="33">
        <v>15.0</v>
      </c>
      <c r="D22" s="32" t="s">
        <v>43434</v>
      </c>
      <c r="E22" s="32" t="s">
        <v>43435</v>
      </c>
      <c r="F22" s="31">
        <v>364.0</v>
      </c>
      <c r="G22" s="34">
        <v>1.5153647E7</v>
      </c>
    </row>
    <row r="23" ht="12.75" customHeight="1">
      <c r="A23" s="27">
        <v>215.0</v>
      </c>
      <c r="B23" s="28" t="s">
        <v>43436</v>
      </c>
      <c r="C23" s="29">
        <v>15.0</v>
      </c>
      <c r="D23" s="28" t="s">
        <v>43437</v>
      </c>
      <c r="E23" s="28" t="s">
        <v>43438</v>
      </c>
      <c r="F23" s="27">
        <v>373.0</v>
      </c>
      <c r="G23" s="30">
        <v>1.5153739E7</v>
      </c>
    </row>
    <row r="24" ht="12.75" customHeight="1">
      <c r="A24" s="31">
        <v>215.0</v>
      </c>
      <c r="B24" s="32" t="s">
        <v>43439</v>
      </c>
      <c r="C24" s="33">
        <v>15.0</v>
      </c>
      <c r="D24" s="32" t="s">
        <v>43440</v>
      </c>
      <c r="E24" s="32" t="s">
        <v>43441</v>
      </c>
      <c r="F24" s="31">
        <v>427.0</v>
      </c>
      <c r="G24" s="34">
        <v>1.5154275E7</v>
      </c>
    </row>
    <row r="25" ht="12.75" customHeight="1">
      <c r="A25" s="27">
        <v>215.0</v>
      </c>
      <c r="B25" s="28" t="s">
        <v>43442</v>
      </c>
      <c r="C25" s="29">
        <v>15.0</v>
      </c>
      <c r="D25" s="28" t="s">
        <v>43443</v>
      </c>
      <c r="E25" s="28" t="s">
        <v>43444</v>
      </c>
      <c r="F25" s="27">
        <v>532.0</v>
      </c>
      <c r="G25" s="30">
        <v>1.5155324E7</v>
      </c>
    </row>
    <row r="26" ht="12.75" customHeight="1">
      <c r="A26" s="31">
        <v>215.0</v>
      </c>
      <c r="B26" s="32" t="s">
        <v>43445</v>
      </c>
      <c r="C26" s="33">
        <v>15.0</v>
      </c>
      <c r="D26" s="32" t="s">
        <v>43446</v>
      </c>
      <c r="E26" s="32" t="s">
        <v>43447</v>
      </c>
      <c r="F26" s="31">
        <v>580.0</v>
      </c>
      <c r="G26" s="34">
        <v>1.5155803E7</v>
      </c>
    </row>
    <row r="27" ht="12.75" customHeight="1">
      <c r="A27" s="27">
        <v>215.0</v>
      </c>
      <c r="B27" s="28" t="s">
        <v>43448</v>
      </c>
      <c r="C27" s="29">
        <v>15.0</v>
      </c>
      <c r="D27" s="28" t="s">
        <v>43449</v>
      </c>
      <c r="E27" s="28" t="s">
        <v>43450</v>
      </c>
      <c r="F27" s="27">
        <v>613.0</v>
      </c>
      <c r="G27" s="30">
        <v>1.5156136E7</v>
      </c>
    </row>
    <row r="28" ht="12.75" customHeight="1">
      <c r="A28" s="31">
        <v>215.0</v>
      </c>
      <c r="B28" s="32" t="s">
        <v>43451</v>
      </c>
      <c r="C28" s="33">
        <v>15.0</v>
      </c>
      <c r="D28" s="32" t="s">
        <v>43452</v>
      </c>
      <c r="E28" s="32" t="s">
        <v>43453</v>
      </c>
      <c r="F28" s="31">
        <v>730.0</v>
      </c>
      <c r="G28" s="34">
        <v>1.5157306E7</v>
      </c>
    </row>
    <row r="29" ht="12.75" customHeight="1">
      <c r="A29" s="27">
        <v>215.0</v>
      </c>
      <c r="B29" s="28" t="s">
        <v>43454</v>
      </c>
      <c r="C29" s="29">
        <v>15.0</v>
      </c>
      <c r="D29" s="28" t="s">
        <v>43455</v>
      </c>
      <c r="E29" s="28" t="s">
        <v>43456</v>
      </c>
      <c r="F29" s="27">
        <v>751.0</v>
      </c>
      <c r="G29" s="30">
        <v>1.5157519E7</v>
      </c>
    </row>
    <row r="30" ht="12.75" customHeight="1">
      <c r="A30" s="31">
        <v>418.0</v>
      </c>
      <c r="B30" s="32" t="s">
        <v>43457</v>
      </c>
      <c r="C30" s="33">
        <v>15.0</v>
      </c>
      <c r="D30" s="32" t="s">
        <v>43458</v>
      </c>
      <c r="E30" s="32" t="s">
        <v>43459</v>
      </c>
      <c r="F30" s="33">
        <v>19.0</v>
      </c>
      <c r="G30" s="34">
        <v>1.5180199E7</v>
      </c>
    </row>
    <row r="31" ht="12.75" customHeight="1">
      <c r="A31" s="27">
        <v>119.0</v>
      </c>
      <c r="B31" s="28" t="s">
        <v>43460</v>
      </c>
      <c r="C31" s="29">
        <v>15.0</v>
      </c>
      <c r="D31" s="28" t="s">
        <v>43461</v>
      </c>
      <c r="E31" s="28" t="s">
        <v>43462</v>
      </c>
      <c r="F31" s="29">
        <v>49.0</v>
      </c>
      <c r="G31" s="30">
        <v>1.5190497E7</v>
      </c>
    </row>
    <row r="32" ht="12.75" customHeight="1">
      <c r="A32" s="31">
        <v>119.0</v>
      </c>
      <c r="B32" s="32" t="s">
        <v>43463</v>
      </c>
      <c r="C32" s="33">
        <v>15.0</v>
      </c>
      <c r="D32" s="32" t="s">
        <v>43464</v>
      </c>
      <c r="E32" s="32" t="s">
        <v>43465</v>
      </c>
      <c r="F32" s="31">
        <v>115.0</v>
      </c>
      <c r="G32" s="34">
        <v>1.5191159E7</v>
      </c>
    </row>
    <row r="33" ht="12.75" customHeight="1">
      <c r="A33" s="27">
        <v>119.0</v>
      </c>
      <c r="B33" s="28" t="s">
        <v>43466</v>
      </c>
      <c r="C33" s="29">
        <v>15.0</v>
      </c>
      <c r="D33" s="28" t="s">
        <v>43467</v>
      </c>
      <c r="E33" s="28" t="s">
        <v>43468</v>
      </c>
      <c r="F33" s="27">
        <v>142.0</v>
      </c>
      <c r="G33" s="30">
        <v>1.5191425E7</v>
      </c>
    </row>
    <row r="34" ht="12.75" customHeight="1">
      <c r="A34" s="31">
        <v>119.0</v>
      </c>
      <c r="B34" s="32" t="s">
        <v>43469</v>
      </c>
      <c r="C34" s="33">
        <v>15.0</v>
      </c>
      <c r="D34" s="32" t="s">
        <v>43470</v>
      </c>
      <c r="E34" s="32" t="s">
        <v>43471</v>
      </c>
      <c r="F34" s="31">
        <v>202.0</v>
      </c>
      <c r="G34" s="34">
        <v>1.5192024E7</v>
      </c>
    </row>
    <row r="35" ht="12.75" customHeight="1">
      <c r="A35" s="27">
        <v>119.0</v>
      </c>
      <c r="B35" s="28" t="s">
        <v>43472</v>
      </c>
      <c r="C35" s="29">
        <v>15.0</v>
      </c>
      <c r="D35" s="28" t="s">
        <v>43473</v>
      </c>
      <c r="E35" s="28" t="s">
        <v>43474</v>
      </c>
      <c r="F35" s="27">
        <v>211.0</v>
      </c>
      <c r="G35" s="30">
        <v>1.5192116E7</v>
      </c>
    </row>
    <row r="36" ht="12.75" customHeight="1">
      <c r="A36" s="31">
        <v>119.0</v>
      </c>
      <c r="B36" s="32" t="s">
        <v>43475</v>
      </c>
      <c r="C36" s="33">
        <v>15.0</v>
      </c>
      <c r="D36" s="32" t="s">
        <v>43476</v>
      </c>
      <c r="E36" s="32" t="s">
        <v>43477</v>
      </c>
      <c r="F36" s="31">
        <v>325.0</v>
      </c>
      <c r="G36" s="34">
        <v>1.5193252E7</v>
      </c>
    </row>
    <row r="37" ht="12.75" customHeight="1">
      <c r="A37" s="27">
        <v>222.0</v>
      </c>
      <c r="B37" s="28" t="s">
        <v>43478</v>
      </c>
      <c r="C37" s="29">
        <v>15.0</v>
      </c>
      <c r="D37" s="28" t="s">
        <v>43479</v>
      </c>
      <c r="E37" s="28" t="s">
        <v>43480</v>
      </c>
      <c r="F37" s="29">
        <v>25.0</v>
      </c>
      <c r="G37" s="30">
        <v>1.5220259E7</v>
      </c>
    </row>
    <row r="38" ht="12.75" customHeight="1">
      <c r="A38" s="31">
        <v>222.0</v>
      </c>
      <c r="B38" s="32" t="s">
        <v>43481</v>
      </c>
      <c r="C38" s="33">
        <v>15.0</v>
      </c>
      <c r="D38" s="32" t="s">
        <v>43482</v>
      </c>
      <c r="E38" s="32" t="s">
        <v>43483</v>
      </c>
      <c r="F38" s="33">
        <v>40.0</v>
      </c>
      <c r="G38" s="34">
        <v>1.5220404E7</v>
      </c>
    </row>
    <row r="39" ht="12.75" customHeight="1">
      <c r="A39" s="27">
        <v>222.0</v>
      </c>
      <c r="B39" s="28" t="s">
        <v>43484</v>
      </c>
      <c r="C39" s="29">
        <v>15.0</v>
      </c>
      <c r="D39" s="28" t="s">
        <v>43485</v>
      </c>
      <c r="E39" s="28" t="s">
        <v>43486</v>
      </c>
      <c r="F39" s="29">
        <v>91.0</v>
      </c>
      <c r="G39" s="30">
        <v>1.5220912E7</v>
      </c>
    </row>
    <row r="40" ht="12.75" customHeight="1">
      <c r="A40" s="31">
        <v>126.0</v>
      </c>
      <c r="B40" s="32" t="s">
        <v>43487</v>
      </c>
      <c r="C40" s="33">
        <v>15.0</v>
      </c>
      <c r="D40" s="32" t="s">
        <v>43488</v>
      </c>
      <c r="E40" s="32" t="s">
        <v>43489</v>
      </c>
      <c r="F40" s="33">
        <v>5.0</v>
      </c>
      <c r="G40" s="34">
        <v>1.5260051E7</v>
      </c>
    </row>
    <row r="41" ht="12.75" customHeight="1">
      <c r="A41" s="27">
        <v>126.0</v>
      </c>
      <c r="B41" s="28" t="s">
        <v>43490</v>
      </c>
      <c r="C41" s="29">
        <v>15.0</v>
      </c>
      <c r="D41" s="28" t="s">
        <v>43491</v>
      </c>
      <c r="E41" s="28" t="s">
        <v>43492</v>
      </c>
      <c r="F41" s="29">
        <v>8.0</v>
      </c>
      <c r="G41" s="30">
        <v>1.526008E7</v>
      </c>
    </row>
    <row r="42" ht="12.75" customHeight="1">
      <c r="A42" s="31">
        <v>126.0</v>
      </c>
      <c r="B42" s="32" t="s">
        <v>43493</v>
      </c>
      <c r="C42" s="33">
        <v>15.0</v>
      </c>
      <c r="D42" s="32" t="s">
        <v>43494</v>
      </c>
      <c r="E42" s="32" t="s">
        <v>43495</v>
      </c>
      <c r="F42" s="33">
        <v>9.0</v>
      </c>
      <c r="G42" s="34">
        <v>1.5260093E7</v>
      </c>
    </row>
    <row r="43" ht="12.75" customHeight="1">
      <c r="A43" s="27">
        <v>126.0</v>
      </c>
      <c r="B43" s="28" t="s">
        <v>43496</v>
      </c>
      <c r="C43" s="29">
        <v>15.0</v>
      </c>
      <c r="D43" s="28" t="s">
        <v>43497</v>
      </c>
      <c r="E43" s="28" t="s">
        <v>43498</v>
      </c>
      <c r="F43" s="29">
        <v>13.0</v>
      </c>
      <c r="G43" s="30">
        <v>1.526013E7</v>
      </c>
    </row>
    <row r="44" ht="12.75" customHeight="1">
      <c r="A44" s="31">
        <v>126.0</v>
      </c>
      <c r="B44" s="32" t="s">
        <v>43499</v>
      </c>
      <c r="C44" s="33">
        <v>15.0</v>
      </c>
      <c r="D44" s="32" t="s">
        <v>43500</v>
      </c>
      <c r="E44" s="32" t="s">
        <v>43501</v>
      </c>
      <c r="F44" s="33">
        <v>43.0</v>
      </c>
      <c r="G44" s="34">
        <v>1.5260435E7</v>
      </c>
    </row>
    <row r="45" ht="12.75" customHeight="1">
      <c r="A45" s="27">
        <v>126.0</v>
      </c>
      <c r="B45" s="28" t="s">
        <v>43502</v>
      </c>
      <c r="C45" s="29">
        <v>15.0</v>
      </c>
      <c r="D45" s="28" t="s">
        <v>43503</v>
      </c>
      <c r="E45" s="28" t="s">
        <v>43504</v>
      </c>
      <c r="F45" s="29">
        <v>74.0</v>
      </c>
      <c r="G45" s="30">
        <v>1.5260743E7</v>
      </c>
    </row>
    <row r="46" ht="12.75" customHeight="1">
      <c r="A46" s="31">
        <v>126.0</v>
      </c>
      <c r="B46" s="32" t="s">
        <v>43505</v>
      </c>
      <c r="C46" s="33">
        <v>15.0</v>
      </c>
      <c r="D46" s="32" t="s">
        <v>43506</v>
      </c>
      <c r="E46" s="32" t="s">
        <v>43507</v>
      </c>
      <c r="F46" s="33">
        <v>91.0</v>
      </c>
      <c r="G46" s="34">
        <v>1.5260914E7</v>
      </c>
    </row>
    <row r="47" ht="12.75" customHeight="1">
      <c r="A47" s="27">
        <v>126.0</v>
      </c>
      <c r="B47" s="28" t="s">
        <v>43508</v>
      </c>
      <c r="C47" s="29">
        <v>15.0</v>
      </c>
      <c r="D47" s="28" t="s">
        <v>43509</v>
      </c>
      <c r="E47" s="28" t="s">
        <v>43510</v>
      </c>
      <c r="F47" s="27">
        <v>118.0</v>
      </c>
      <c r="G47" s="30">
        <v>1.5261184E7</v>
      </c>
    </row>
    <row r="48" ht="12.75" customHeight="1">
      <c r="A48" s="31">
        <v>126.0</v>
      </c>
      <c r="B48" s="32" t="s">
        <v>43511</v>
      </c>
      <c r="C48" s="33">
        <v>15.0</v>
      </c>
      <c r="D48" s="32" t="s">
        <v>43512</v>
      </c>
      <c r="E48" s="32" t="s">
        <v>43513</v>
      </c>
      <c r="F48" s="31">
        <v>125.0</v>
      </c>
      <c r="G48" s="34">
        <v>1.526125E7</v>
      </c>
    </row>
    <row r="49" ht="12.75" customHeight="1">
      <c r="A49" s="27">
        <v>126.0</v>
      </c>
      <c r="B49" s="28" t="s">
        <v>43514</v>
      </c>
      <c r="C49" s="29">
        <v>15.0</v>
      </c>
      <c r="D49" s="28" t="s">
        <v>43515</v>
      </c>
      <c r="E49" s="28" t="s">
        <v>43516</v>
      </c>
      <c r="F49" s="27">
        <v>172.0</v>
      </c>
      <c r="G49" s="30">
        <v>1.5261726E7</v>
      </c>
    </row>
    <row r="50" ht="12.75" customHeight="1">
      <c r="A50" s="31">
        <v>126.0</v>
      </c>
      <c r="B50" s="32" t="s">
        <v>43517</v>
      </c>
      <c r="C50" s="33">
        <v>15.0</v>
      </c>
      <c r="D50" s="32" t="s">
        <v>43518</v>
      </c>
      <c r="E50" s="32" t="s">
        <v>43519</v>
      </c>
      <c r="F50" s="31">
        <v>196.0</v>
      </c>
      <c r="G50" s="34">
        <v>1.5261968E7</v>
      </c>
    </row>
    <row r="51" ht="12.75" customHeight="1">
      <c r="A51" s="27">
        <v>126.0</v>
      </c>
      <c r="B51" s="28" t="s">
        <v>43520</v>
      </c>
      <c r="C51" s="29">
        <v>15.0</v>
      </c>
      <c r="D51" s="28" t="s">
        <v>43521</v>
      </c>
      <c r="E51" s="28" t="s">
        <v>43522</v>
      </c>
      <c r="F51" s="27">
        <v>205.0</v>
      </c>
      <c r="G51" s="30">
        <v>1.5262059E7</v>
      </c>
    </row>
    <row r="52" ht="12.75" customHeight="1">
      <c r="A52" s="31">
        <v>126.0</v>
      </c>
      <c r="B52" s="32" t="s">
        <v>43523</v>
      </c>
      <c r="C52" s="33">
        <v>15.0</v>
      </c>
      <c r="D52" s="32" t="s">
        <v>43524</v>
      </c>
      <c r="E52" s="32" t="s">
        <v>43525</v>
      </c>
      <c r="F52" s="31">
        <v>253.0</v>
      </c>
      <c r="G52" s="34">
        <v>1.5262538E7</v>
      </c>
    </row>
    <row r="53" ht="12.75" customHeight="1">
      <c r="A53" s="27">
        <v>126.0</v>
      </c>
      <c r="B53" s="28" t="s">
        <v>43526</v>
      </c>
      <c r="C53" s="29">
        <v>15.0</v>
      </c>
      <c r="D53" s="28" t="s">
        <v>43527</v>
      </c>
      <c r="E53" s="28" t="s">
        <v>43528</v>
      </c>
      <c r="F53" s="27">
        <v>287.0</v>
      </c>
      <c r="G53" s="30">
        <v>1.5262875E7</v>
      </c>
    </row>
    <row r="54" ht="12.75" customHeight="1">
      <c r="A54" s="31">
        <v>126.0</v>
      </c>
      <c r="B54" s="32" t="s">
        <v>43529</v>
      </c>
      <c r="C54" s="33">
        <v>15.0</v>
      </c>
      <c r="D54" s="32" t="s">
        <v>43530</v>
      </c>
      <c r="E54" s="32" t="s">
        <v>43531</v>
      </c>
      <c r="F54" s="31">
        <v>298.0</v>
      </c>
      <c r="G54" s="34">
        <v>1.5262983E7</v>
      </c>
    </row>
    <row r="55" ht="12.75" customHeight="1">
      <c r="A55" s="27">
        <v>126.0</v>
      </c>
      <c r="B55" s="28" t="s">
        <v>43532</v>
      </c>
      <c r="C55" s="29">
        <v>15.0</v>
      </c>
      <c r="D55" s="28" t="s">
        <v>43533</v>
      </c>
      <c r="E55" s="28" t="s">
        <v>43534</v>
      </c>
      <c r="F55" s="27">
        <v>313.0</v>
      </c>
      <c r="G55" s="30">
        <v>1.5263137E7</v>
      </c>
    </row>
    <row r="56" ht="12.75" customHeight="1">
      <c r="A56" s="31">
        <v>126.0</v>
      </c>
      <c r="B56" s="32" t="s">
        <v>43535</v>
      </c>
      <c r="C56" s="33">
        <v>15.0</v>
      </c>
      <c r="D56" s="32" t="s">
        <v>43536</v>
      </c>
      <c r="E56" s="32" t="s">
        <v>43537</v>
      </c>
      <c r="F56" s="31">
        <v>319.0</v>
      </c>
      <c r="G56" s="34">
        <v>1.5263195E7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43538</v>
      </c>
      <c r="C1" s="29">
        <v>15.0</v>
      </c>
      <c r="D1" s="28" t="s">
        <v>43539</v>
      </c>
      <c r="E1" s="28" t="s">
        <v>43540</v>
      </c>
      <c r="F1" s="27">
        <v>337.0</v>
      </c>
      <c r="G1" s="30">
        <v>1.5263379E7</v>
      </c>
    </row>
    <row r="2" ht="12.75" customHeight="1">
      <c r="A2" s="31">
        <v>126.0</v>
      </c>
      <c r="B2" s="32" t="s">
        <v>43541</v>
      </c>
      <c r="C2" s="33">
        <v>15.0</v>
      </c>
      <c r="D2" s="32" t="s">
        <v>43542</v>
      </c>
      <c r="E2" s="32" t="s">
        <v>43543</v>
      </c>
      <c r="F2" s="31">
        <v>342.0</v>
      </c>
      <c r="G2" s="34">
        <v>1.5263429E7</v>
      </c>
    </row>
    <row r="3" ht="12.75" customHeight="1">
      <c r="A3" s="27">
        <v>126.0</v>
      </c>
      <c r="B3" s="28" t="s">
        <v>43544</v>
      </c>
      <c r="C3" s="29">
        <v>15.0</v>
      </c>
      <c r="D3" s="28" t="s">
        <v>43545</v>
      </c>
      <c r="E3" s="28" t="s">
        <v>43546</v>
      </c>
      <c r="F3" s="27">
        <v>349.0</v>
      </c>
      <c r="G3" s="30">
        <v>1.526349E7</v>
      </c>
    </row>
    <row r="4" ht="12.75" customHeight="1">
      <c r="A4" s="31">
        <v>126.0</v>
      </c>
      <c r="B4" s="32" t="s">
        <v>43547</v>
      </c>
      <c r="C4" s="33">
        <v>15.0</v>
      </c>
      <c r="D4" s="32" t="s">
        <v>43548</v>
      </c>
      <c r="E4" s="32" t="s">
        <v>43549</v>
      </c>
      <c r="F4" s="31">
        <v>358.0</v>
      </c>
      <c r="G4" s="34">
        <v>1.5263582E7</v>
      </c>
    </row>
    <row r="5" ht="12.75" customHeight="1">
      <c r="A5" s="27">
        <v>126.0</v>
      </c>
      <c r="B5" s="28" t="s">
        <v>43550</v>
      </c>
      <c r="C5" s="29">
        <v>15.0</v>
      </c>
      <c r="D5" s="28" t="s">
        <v>43551</v>
      </c>
      <c r="E5" s="28" t="s">
        <v>43552</v>
      </c>
      <c r="F5" s="27">
        <v>361.0</v>
      </c>
      <c r="G5" s="30">
        <v>1.5263616E7</v>
      </c>
    </row>
    <row r="6" ht="12.75" customHeight="1">
      <c r="A6" s="31">
        <v>126.0</v>
      </c>
      <c r="B6" s="32" t="s">
        <v>43553</v>
      </c>
      <c r="C6" s="33">
        <v>15.0</v>
      </c>
      <c r="D6" s="32" t="s">
        <v>43554</v>
      </c>
      <c r="E6" s="32" t="s">
        <v>43555</v>
      </c>
      <c r="F6" s="31">
        <v>370.0</v>
      </c>
      <c r="G6" s="34">
        <v>1.5263708E7</v>
      </c>
    </row>
    <row r="7" ht="12.75" customHeight="1">
      <c r="A7" s="27">
        <v>126.0</v>
      </c>
      <c r="B7" s="28" t="s">
        <v>43556</v>
      </c>
      <c r="C7" s="29">
        <v>15.0</v>
      </c>
      <c r="D7" s="28" t="s">
        <v>43557</v>
      </c>
      <c r="E7" s="28" t="s">
        <v>43558</v>
      </c>
      <c r="F7" s="27">
        <v>391.0</v>
      </c>
      <c r="G7" s="30">
        <v>1.5263911E7</v>
      </c>
    </row>
    <row r="8" ht="12.75" customHeight="1">
      <c r="A8" s="31">
        <v>126.0</v>
      </c>
      <c r="B8" s="32" t="s">
        <v>43559</v>
      </c>
      <c r="C8" s="33">
        <v>15.0</v>
      </c>
      <c r="D8" s="32" t="s">
        <v>43560</v>
      </c>
      <c r="E8" s="32" t="s">
        <v>43561</v>
      </c>
      <c r="F8" s="31">
        <v>430.0</v>
      </c>
      <c r="G8" s="34">
        <v>1.5264307E7</v>
      </c>
    </row>
    <row r="9" ht="12.75" customHeight="1">
      <c r="A9" s="27">
        <v>126.0</v>
      </c>
      <c r="B9" s="28" t="s">
        <v>43562</v>
      </c>
      <c r="C9" s="29">
        <v>15.0</v>
      </c>
      <c r="D9" s="28" t="s">
        <v>43563</v>
      </c>
      <c r="E9" s="28" t="s">
        <v>43564</v>
      </c>
      <c r="F9" s="27">
        <v>469.0</v>
      </c>
      <c r="G9" s="30">
        <v>1.5264699E7</v>
      </c>
    </row>
    <row r="10" ht="12.75" customHeight="1">
      <c r="A10" s="31">
        <v>127.0</v>
      </c>
      <c r="B10" s="32" t="s">
        <v>43565</v>
      </c>
      <c r="C10" s="33">
        <v>15.0</v>
      </c>
      <c r="D10" s="32" t="s">
        <v>43566</v>
      </c>
      <c r="E10" s="32" t="s">
        <v>43567</v>
      </c>
      <c r="F10" s="33">
        <v>0.0</v>
      </c>
      <c r="G10" s="34">
        <v>1.5270009E7</v>
      </c>
    </row>
    <row r="11" ht="12.75" customHeight="1">
      <c r="A11" s="27">
        <v>127.0</v>
      </c>
      <c r="B11" s="28" t="s">
        <v>43568</v>
      </c>
      <c r="C11" s="29">
        <v>15.0</v>
      </c>
      <c r="D11" s="28" t="s">
        <v>43569</v>
      </c>
      <c r="E11" s="28" t="s">
        <v>43570</v>
      </c>
      <c r="F11" s="29">
        <v>5.0</v>
      </c>
      <c r="G11" s="30">
        <v>1.5270054E7</v>
      </c>
    </row>
    <row r="12" ht="12.75" customHeight="1">
      <c r="A12" s="31">
        <v>127.0</v>
      </c>
      <c r="B12" s="32" t="s">
        <v>43571</v>
      </c>
      <c r="C12" s="33">
        <v>15.0</v>
      </c>
      <c r="D12" s="32" t="s">
        <v>43572</v>
      </c>
      <c r="E12" s="32" t="s">
        <v>43573</v>
      </c>
      <c r="F12" s="33">
        <v>34.0</v>
      </c>
      <c r="G12" s="34">
        <v>1.5270346E7</v>
      </c>
    </row>
    <row r="13" ht="12.75" customHeight="1">
      <c r="A13" s="27">
        <v>127.0</v>
      </c>
      <c r="B13" s="28" t="s">
        <v>43574</v>
      </c>
      <c r="C13" s="29">
        <v>15.0</v>
      </c>
      <c r="D13" s="28" t="s">
        <v>43575</v>
      </c>
      <c r="E13" s="28" t="s">
        <v>43576</v>
      </c>
      <c r="F13" s="27">
        <v>139.0</v>
      </c>
      <c r="G13" s="30">
        <v>1.527139E7</v>
      </c>
    </row>
    <row r="14" ht="12.75" customHeight="1">
      <c r="A14" s="31">
        <v>127.0</v>
      </c>
      <c r="B14" s="32" t="s">
        <v>43577</v>
      </c>
      <c r="C14" s="33">
        <v>15.0</v>
      </c>
      <c r="D14" s="32" t="s">
        <v>43578</v>
      </c>
      <c r="E14" s="32" t="s">
        <v>43579</v>
      </c>
      <c r="F14" s="31">
        <v>149.0</v>
      </c>
      <c r="G14" s="34">
        <v>1.5271495E7</v>
      </c>
    </row>
    <row r="15" ht="12.75" customHeight="1">
      <c r="A15" s="27">
        <v>127.0</v>
      </c>
      <c r="B15" s="28" t="s">
        <v>43580</v>
      </c>
      <c r="C15" s="29">
        <v>15.0</v>
      </c>
      <c r="D15" s="28" t="s">
        <v>43581</v>
      </c>
      <c r="E15" s="28" t="s">
        <v>43582</v>
      </c>
      <c r="F15" s="27">
        <v>190.0</v>
      </c>
      <c r="G15" s="30">
        <v>1.5271903E7</v>
      </c>
    </row>
    <row r="16" ht="12.75" customHeight="1">
      <c r="A16" s="31">
        <v>127.0</v>
      </c>
      <c r="B16" s="32" t="s">
        <v>43583</v>
      </c>
      <c r="C16" s="33">
        <v>15.0</v>
      </c>
      <c r="D16" s="32" t="s">
        <v>43584</v>
      </c>
      <c r="E16" s="32" t="s">
        <v>43585</v>
      </c>
      <c r="F16" s="31">
        <v>268.0</v>
      </c>
      <c r="G16" s="34">
        <v>1.5272681E7</v>
      </c>
    </row>
    <row r="17" ht="12.75" customHeight="1">
      <c r="A17" s="27">
        <v>127.0</v>
      </c>
      <c r="B17" s="28" t="s">
        <v>43586</v>
      </c>
      <c r="C17" s="29">
        <v>15.0</v>
      </c>
      <c r="D17" s="28" t="s">
        <v>43587</v>
      </c>
      <c r="E17" s="28" t="s">
        <v>43588</v>
      </c>
      <c r="F17" s="27">
        <v>269.0</v>
      </c>
      <c r="G17" s="30">
        <v>1.5272694E7</v>
      </c>
    </row>
    <row r="18" ht="12.75" customHeight="1">
      <c r="A18" s="31">
        <v>127.0</v>
      </c>
      <c r="B18" s="32" t="s">
        <v>43589</v>
      </c>
      <c r="C18" s="33">
        <v>15.0</v>
      </c>
      <c r="D18" s="32" t="s">
        <v>43590</v>
      </c>
      <c r="E18" s="32" t="s">
        <v>43591</v>
      </c>
      <c r="F18" s="31">
        <v>298.0</v>
      </c>
      <c r="G18" s="34">
        <v>1.5272986E7</v>
      </c>
    </row>
    <row r="19" ht="12.75" customHeight="1">
      <c r="A19" s="27">
        <v>127.0</v>
      </c>
      <c r="B19" s="28" t="s">
        <v>43592</v>
      </c>
      <c r="C19" s="29">
        <v>15.0</v>
      </c>
      <c r="D19" s="28" t="s">
        <v>43593</v>
      </c>
      <c r="E19" s="28" t="s">
        <v>43594</v>
      </c>
      <c r="F19" s="27">
        <v>322.0</v>
      </c>
      <c r="G19" s="30">
        <v>1.5273222E7</v>
      </c>
    </row>
    <row r="20" ht="12.75" customHeight="1">
      <c r="A20" s="31">
        <v>127.0</v>
      </c>
      <c r="B20" s="32" t="s">
        <v>43595</v>
      </c>
      <c r="C20" s="33">
        <v>15.0</v>
      </c>
      <c r="D20" s="32" t="s">
        <v>43596</v>
      </c>
      <c r="E20" s="32" t="s">
        <v>43597</v>
      </c>
      <c r="F20" s="31">
        <v>324.0</v>
      </c>
      <c r="G20" s="34">
        <v>1.5273248E7</v>
      </c>
    </row>
    <row r="21" ht="12.75" customHeight="1">
      <c r="A21" s="27">
        <v>127.0</v>
      </c>
      <c r="B21" s="28" t="s">
        <v>43598</v>
      </c>
      <c r="C21" s="29">
        <v>15.0</v>
      </c>
      <c r="D21" s="28" t="s">
        <v>43599</v>
      </c>
      <c r="E21" s="28" t="s">
        <v>43600</v>
      </c>
      <c r="F21" s="27">
        <v>346.0</v>
      </c>
      <c r="G21" s="30">
        <v>1.5273464E7</v>
      </c>
    </row>
    <row r="22" ht="12.75" customHeight="1">
      <c r="A22" s="31">
        <v>127.0</v>
      </c>
      <c r="B22" s="32" t="s">
        <v>43601</v>
      </c>
      <c r="C22" s="33">
        <v>15.0</v>
      </c>
      <c r="D22" s="32" t="s">
        <v>43602</v>
      </c>
      <c r="E22" s="32" t="s">
        <v>43603</v>
      </c>
      <c r="F22" s="31">
        <v>358.0</v>
      </c>
      <c r="G22" s="34">
        <v>1.5273585E7</v>
      </c>
    </row>
    <row r="23" ht="12.75" customHeight="1">
      <c r="A23" s="27">
        <v>127.0</v>
      </c>
      <c r="B23" s="28" t="s">
        <v>43604</v>
      </c>
      <c r="C23" s="29">
        <v>15.0</v>
      </c>
      <c r="D23" s="28" t="s">
        <v>43605</v>
      </c>
      <c r="E23" s="28" t="s">
        <v>43606</v>
      </c>
      <c r="F23" s="27">
        <v>364.0</v>
      </c>
      <c r="G23" s="30">
        <v>1.5273648E7</v>
      </c>
    </row>
    <row r="24" ht="12.75" customHeight="1">
      <c r="A24" s="31">
        <v>127.0</v>
      </c>
      <c r="B24" s="32" t="s">
        <v>43607</v>
      </c>
      <c r="C24" s="33">
        <v>15.0</v>
      </c>
      <c r="D24" s="32" t="s">
        <v>43608</v>
      </c>
      <c r="E24" s="32" t="s">
        <v>43609</v>
      </c>
      <c r="F24" s="31">
        <v>374.0</v>
      </c>
      <c r="G24" s="34">
        <v>1.5273743E7</v>
      </c>
    </row>
    <row r="25" ht="12.75" customHeight="1">
      <c r="A25" s="27">
        <v>127.0</v>
      </c>
      <c r="B25" s="28" t="s">
        <v>43610</v>
      </c>
      <c r="C25" s="29">
        <v>15.0</v>
      </c>
      <c r="D25" s="28" t="s">
        <v>43611</v>
      </c>
      <c r="E25" s="28" t="s">
        <v>43612</v>
      </c>
      <c r="F25" s="27">
        <v>424.0</v>
      </c>
      <c r="G25" s="30">
        <v>1.5274247E7</v>
      </c>
    </row>
    <row r="26" ht="12.75" customHeight="1">
      <c r="A26" s="31">
        <v>127.0</v>
      </c>
      <c r="B26" s="32" t="s">
        <v>43613</v>
      </c>
      <c r="C26" s="33">
        <v>15.0</v>
      </c>
      <c r="D26" s="32" t="s">
        <v>43614</v>
      </c>
      <c r="E26" s="32" t="s">
        <v>43615</v>
      </c>
      <c r="F26" s="31">
        <v>439.0</v>
      </c>
      <c r="G26" s="34">
        <v>1.5274397E7</v>
      </c>
    </row>
    <row r="27" ht="12.75" customHeight="1">
      <c r="A27" s="27">
        <v>127.0</v>
      </c>
      <c r="B27" s="28" t="s">
        <v>43616</v>
      </c>
      <c r="C27" s="29">
        <v>15.0</v>
      </c>
      <c r="D27" s="28" t="s">
        <v>43617</v>
      </c>
      <c r="E27" s="28" t="s">
        <v>43618</v>
      </c>
      <c r="F27" s="27">
        <v>442.0</v>
      </c>
      <c r="G27" s="30">
        <v>1.5274421E7</v>
      </c>
    </row>
    <row r="28" ht="12.75" customHeight="1">
      <c r="A28" s="31">
        <v>127.0</v>
      </c>
      <c r="B28" s="32" t="s">
        <v>43619</v>
      </c>
      <c r="C28" s="33">
        <v>15.0</v>
      </c>
      <c r="D28" s="32" t="s">
        <v>43620</v>
      </c>
      <c r="E28" s="32" t="s">
        <v>43621</v>
      </c>
      <c r="F28" s="31">
        <v>460.0</v>
      </c>
      <c r="G28" s="34">
        <v>1.5274605E7</v>
      </c>
    </row>
    <row r="29" ht="12.75" customHeight="1">
      <c r="A29" s="27">
        <v>127.0</v>
      </c>
      <c r="B29" s="28" t="s">
        <v>43622</v>
      </c>
      <c r="C29" s="29">
        <v>15.0</v>
      </c>
      <c r="D29" s="28" t="s">
        <v>43623</v>
      </c>
      <c r="E29" s="28" t="s">
        <v>43624</v>
      </c>
      <c r="F29" s="27">
        <v>472.0</v>
      </c>
      <c r="G29" s="30">
        <v>1.5274726E7</v>
      </c>
    </row>
    <row r="30" ht="12.75" customHeight="1">
      <c r="A30" s="31">
        <v>127.0</v>
      </c>
      <c r="B30" s="32" t="s">
        <v>43625</v>
      </c>
      <c r="C30" s="33">
        <v>15.0</v>
      </c>
      <c r="D30" s="32" t="s">
        <v>43626</v>
      </c>
      <c r="E30" s="32" t="s">
        <v>43627</v>
      </c>
      <c r="F30" s="31">
        <v>511.0</v>
      </c>
      <c r="G30" s="34">
        <v>1.5275112E7</v>
      </c>
    </row>
    <row r="31" ht="12.75" customHeight="1">
      <c r="A31" s="27">
        <v>127.0</v>
      </c>
      <c r="B31" s="28" t="s">
        <v>43628</v>
      </c>
      <c r="C31" s="29">
        <v>15.0</v>
      </c>
      <c r="D31" s="28" t="s">
        <v>43629</v>
      </c>
      <c r="E31" s="28" t="s">
        <v>43630</v>
      </c>
      <c r="F31" s="27">
        <v>685.0</v>
      </c>
      <c r="G31" s="30">
        <v>1.5276858E7</v>
      </c>
    </row>
    <row r="32" ht="12.75" customHeight="1">
      <c r="A32" s="31">
        <v>728.0</v>
      </c>
      <c r="B32" s="32" t="s">
        <v>43631</v>
      </c>
      <c r="C32" s="33">
        <v>15.0</v>
      </c>
      <c r="D32" s="32" t="s">
        <v>43632</v>
      </c>
      <c r="E32" s="32" t="s">
        <v>43633</v>
      </c>
      <c r="F32" s="33">
        <v>67.0</v>
      </c>
      <c r="G32" s="34">
        <v>1.5280673E7</v>
      </c>
    </row>
    <row r="33" ht="12.75" customHeight="1">
      <c r="A33" s="27">
        <v>329.0</v>
      </c>
      <c r="B33" s="28" t="s">
        <v>43634</v>
      </c>
      <c r="C33" s="29">
        <v>15.0</v>
      </c>
      <c r="D33" s="28" t="s">
        <v>43635</v>
      </c>
      <c r="E33" s="28" t="s">
        <v>43636</v>
      </c>
      <c r="F33" s="29">
        <v>52.0</v>
      </c>
      <c r="G33" s="30">
        <v>1.5290526E7</v>
      </c>
    </row>
    <row r="34" ht="12.75" customHeight="1">
      <c r="A34" s="31">
        <v>230.0</v>
      </c>
      <c r="B34" s="32" t="s">
        <v>43637</v>
      </c>
      <c r="C34" s="33">
        <v>15.0</v>
      </c>
      <c r="D34" s="32" t="s">
        <v>43638</v>
      </c>
      <c r="E34" s="32" t="s">
        <v>43639</v>
      </c>
      <c r="F34" s="33">
        <v>52.0</v>
      </c>
      <c r="G34" s="34">
        <v>1.5300524E7</v>
      </c>
    </row>
    <row r="35" ht="12.75" customHeight="1">
      <c r="A35" s="27">
        <v>632.0</v>
      </c>
      <c r="B35" s="28" t="s">
        <v>43640</v>
      </c>
      <c r="C35" s="29">
        <v>15.0</v>
      </c>
      <c r="D35" s="28" t="s">
        <v>43641</v>
      </c>
      <c r="E35" s="28" t="s">
        <v>43642</v>
      </c>
      <c r="F35" s="27">
        <v>109.0</v>
      </c>
      <c r="G35" s="30">
        <v>1.5321095E7</v>
      </c>
    </row>
    <row r="36" ht="12.75" customHeight="1">
      <c r="A36" s="31">
        <v>133.0</v>
      </c>
      <c r="B36" s="32" t="s">
        <v>43643</v>
      </c>
      <c r="C36" s="33">
        <v>15.0</v>
      </c>
      <c r="D36" s="32" t="s">
        <v>43644</v>
      </c>
      <c r="E36" s="32" t="s">
        <v>43645</v>
      </c>
      <c r="F36" s="33">
        <v>8.0</v>
      </c>
      <c r="G36" s="34">
        <v>1.5330086E7</v>
      </c>
    </row>
    <row r="37" ht="12.75" customHeight="1">
      <c r="A37" s="27">
        <v>133.0</v>
      </c>
      <c r="B37" s="28" t="s">
        <v>43646</v>
      </c>
      <c r="C37" s="29">
        <v>15.0</v>
      </c>
      <c r="D37" s="28" t="s">
        <v>43647</v>
      </c>
      <c r="E37" s="28" t="s">
        <v>43648</v>
      </c>
      <c r="F37" s="29">
        <v>9.0</v>
      </c>
      <c r="G37" s="30">
        <v>1.5330099E7</v>
      </c>
    </row>
    <row r="38" ht="12.75" customHeight="1">
      <c r="A38" s="31">
        <v>133.0</v>
      </c>
      <c r="B38" s="32" t="s">
        <v>43649</v>
      </c>
      <c r="C38" s="33">
        <v>15.0</v>
      </c>
      <c r="D38" s="32" t="s">
        <v>43650</v>
      </c>
      <c r="E38" s="32" t="s">
        <v>43651</v>
      </c>
      <c r="F38" s="33">
        <v>52.0</v>
      </c>
      <c r="G38" s="34">
        <v>1.5330523E7</v>
      </c>
    </row>
    <row r="39" ht="12.75" customHeight="1">
      <c r="A39" s="27">
        <v>133.0</v>
      </c>
      <c r="B39" s="28" t="s">
        <v>43652</v>
      </c>
      <c r="C39" s="29">
        <v>15.0</v>
      </c>
      <c r="D39" s="28" t="s">
        <v>43653</v>
      </c>
      <c r="E39" s="28" t="s">
        <v>43654</v>
      </c>
      <c r="F39" s="29">
        <v>73.0</v>
      </c>
      <c r="G39" s="30">
        <v>1.5330736E7</v>
      </c>
    </row>
    <row r="40" ht="12.75" customHeight="1">
      <c r="A40" s="31">
        <v>133.0</v>
      </c>
      <c r="B40" s="32" t="s">
        <v>43655</v>
      </c>
      <c r="C40" s="33">
        <v>15.0</v>
      </c>
      <c r="D40" s="32" t="s">
        <v>43656</v>
      </c>
      <c r="E40" s="32" t="s">
        <v>43657</v>
      </c>
      <c r="F40" s="33">
        <v>79.0</v>
      </c>
      <c r="G40" s="34">
        <v>1.5330794E7</v>
      </c>
    </row>
    <row r="41" ht="12.75" customHeight="1">
      <c r="A41" s="27">
        <v>133.0</v>
      </c>
      <c r="B41" s="28" t="s">
        <v>43658</v>
      </c>
      <c r="C41" s="29">
        <v>15.0</v>
      </c>
      <c r="D41" s="28" t="s">
        <v>43659</v>
      </c>
      <c r="E41" s="28" t="s">
        <v>43660</v>
      </c>
      <c r="F41" s="29">
        <v>88.0</v>
      </c>
      <c r="G41" s="30">
        <v>1.5330886E7</v>
      </c>
    </row>
    <row r="42" ht="12.75" customHeight="1">
      <c r="A42" s="31">
        <v>133.0</v>
      </c>
      <c r="B42" s="32" t="s">
        <v>43661</v>
      </c>
      <c r="C42" s="33">
        <v>15.0</v>
      </c>
      <c r="D42" s="32" t="s">
        <v>43662</v>
      </c>
      <c r="E42" s="32" t="s">
        <v>43663</v>
      </c>
      <c r="F42" s="31">
        <v>163.0</v>
      </c>
      <c r="G42" s="34">
        <v>1.533163E7</v>
      </c>
    </row>
    <row r="43" ht="12.75" customHeight="1">
      <c r="A43" s="27">
        <v>836.0</v>
      </c>
      <c r="B43" s="28" t="s">
        <v>43664</v>
      </c>
      <c r="C43" s="29">
        <v>15.0</v>
      </c>
      <c r="D43" s="28" t="s">
        <v>43665</v>
      </c>
      <c r="E43" s="28" t="s">
        <v>43666</v>
      </c>
      <c r="F43" s="29">
        <v>89.0</v>
      </c>
      <c r="G43" s="30">
        <v>1.5360898E7</v>
      </c>
    </row>
    <row r="44" ht="12.75" customHeight="1">
      <c r="A44" s="31">
        <v>441.0</v>
      </c>
      <c r="B44" s="32" t="s">
        <v>43667</v>
      </c>
      <c r="C44" s="33">
        <v>15.0</v>
      </c>
      <c r="D44" s="32" t="s">
        <v>43668</v>
      </c>
      <c r="E44" s="32" t="s">
        <v>43669</v>
      </c>
      <c r="F44" s="33">
        <v>28.0</v>
      </c>
      <c r="G44" s="34">
        <v>1.5410285E7</v>
      </c>
    </row>
    <row r="45" ht="12.75" customHeight="1">
      <c r="A45" s="27">
        <v>441.0</v>
      </c>
      <c r="B45" s="28" t="s">
        <v>43670</v>
      </c>
      <c r="C45" s="29">
        <v>15.0</v>
      </c>
      <c r="D45" s="28" t="s">
        <v>43671</v>
      </c>
      <c r="E45" s="28" t="s">
        <v>43672</v>
      </c>
      <c r="F45" s="29">
        <v>94.0</v>
      </c>
      <c r="G45" s="30">
        <v>1.5410948E7</v>
      </c>
    </row>
    <row r="46" ht="12.75" customHeight="1">
      <c r="A46" s="31">
        <v>441.0</v>
      </c>
      <c r="B46" s="32" t="s">
        <v>43673</v>
      </c>
      <c r="C46" s="33">
        <v>15.0</v>
      </c>
      <c r="D46" s="32" t="s">
        <v>43674</v>
      </c>
      <c r="E46" s="32" t="s">
        <v>43675</v>
      </c>
      <c r="F46" s="31">
        <v>151.0</v>
      </c>
      <c r="G46" s="34">
        <v>1.5411518E7</v>
      </c>
    </row>
    <row r="47" ht="12.75" customHeight="1">
      <c r="A47" s="27">
        <v>342.0</v>
      </c>
      <c r="B47" s="28" t="s">
        <v>43676</v>
      </c>
      <c r="C47" s="29">
        <v>15.0</v>
      </c>
      <c r="D47" s="28" t="s">
        <v>43677</v>
      </c>
      <c r="E47" s="28" t="s">
        <v>43678</v>
      </c>
      <c r="F47" s="29">
        <v>31.0</v>
      </c>
      <c r="G47" s="30">
        <v>1.5420312E7</v>
      </c>
    </row>
    <row r="48" ht="12.75" customHeight="1">
      <c r="A48" s="31">
        <v>447.0</v>
      </c>
      <c r="B48" s="32" t="s">
        <v>43679</v>
      </c>
      <c r="C48" s="33">
        <v>15.0</v>
      </c>
      <c r="D48" s="32" t="s">
        <v>43680</v>
      </c>
      <c r="E48" s="32" t="s">
        <v>43681</v>
      </c>
      <c r="F48" s="33">
        <v>55.0</v>
      </c>
      <c r="G48" s="34">
        <v>1.5470559E7</v>
      </c>
    </row>
    <row r="49" ht="12.75" customHeight="1">
      <c r="A49" s="27">
        <v>447.0</v>
      </c>
      <c r="B49" s="28" t="s">
        <v>43682</v>
      </c>
      <c r="C49" s="29">
        <v>15.0</v>
      </c>
      <c r="D49" s="28" t="s">
        <v>43683</v>
      </c>
      <c r="E49" s="28" t="s">
        <v>43684</v>
      </c>
      <c r="F49" s="29">
        <v>88.0</v>
      </c>
      <c r="G49" s="30">
        <v>1.5470883E7</v>
      </c>
    </row>
    <row r="50" ht="12.75" customHeight="1">
      <c r="A50" s="31">
        <v>447.0</v>
      </c>
      <c r="B50" s="32" t="s">
        <v>43685</v>
      </c>
      <c r="C50" s="33">
        <v>15.0</v>
      </c>
      <c r="D50" s="32" t="s">
        <v>43686</v>
      </c>
      <c r="E50" s="32" t="s">
        <v>43687</v>
      </c>
      <c r="F50" s="31">
        <v>154.0</v>
      </c>
      <c r="G50" s="34">
        <v>1.5471545E7</v>
      </c>
    </row>
    <row r="51" ht="12.75" customHeight="1">
      <c r="A51" s="27">
        <v>148.0</v>
      </c>
      <c r="B51" s="28" t="s">
        <v>43688</v>
      </c>
      <c r="C51" s="29">
        <v>15.0</v>
      </c>
      <c r="D51" s="28" t="s">
        <v>43689</v>
      </c>
      <c r="E51" s="28" t="s">
        <v>43690</v>
      </c>
      <c r="F51" s="27">
        <v>124.0</v>
      </c>
      <c r="G51" s="30">
        <v>1.5481243E7</v>
      </c>
    </row>
    <row r="52" ht="12.75" customHeight="1">
      <c r="A52" s="31">
        <v>450.0</v>
      </c>
      <c r="B52" s="32" t="s">
        <v>43691</v>
      </c>
      <c r="C52" s="33">
        <v>15.0</v>
      </c>
      <c r="D52" s="32" t="s">
        <v>43692</v>
      </c>
      <c r="E52" s="32" t="s">
        <v>43693</v>
      </c>
      <c r="F52" s="33">
        <v>94.0</v>
      </c>
      <c r="G52" s="34">
        <v>1.550094E7</v>
      </c>
    </row>
    <row r="53" ht="12.75" customHeight="1">
      <c r="A53" s="27">
        <v>251.0</v>
      </c>
      <c r="B53" s="28" t="s">
        <v>43694</v>
      </c>
      <c r="C53" s="29">
        <v>15.0</v>
      </c>
      <c r="D53" s="28" t="s">
        <v>43695</v>
      </c>
      <c r="E53" s="28" t="s">
        <v>43696</v>
      </c>
      <c r="F53" s="29">
        <v>73.0</v>
      </c>
      <c r="G53" s="30">
        <v>1.551073E7</v>
      </c>
    </row>
    <row r="54" ht="12.75" customHeight="1">
      <c r="A54" s="31">
        <v>354.0</v>
      </c>
      <c r="B54" s="32" t="s">
        <v>43697</v>
      </c>
      <c r="C54" s="33">
        <v>15.0</v>
      </c>
      <c r="D54" s="32" t="s">
        <v>43698</v>
      </c>
      <c r="E54" s="32" t="s">
        <v>43699</v>
      </c>
      <c r="F54" s="33">
        <v>55.0</v>
      </c>
      <c r="G54" s="34">
        <v>1.5540555E7</v>
      </c>
    </row>
    <row r="55" ht="12.75" customHeight="1">
      <c r="A55" s="27">
        <v>455.0</v>
      </c>
      <c r="B55" s="28" t="s">
        <v>43700</v>
      </c>
      <c r="C55" s="29">
        <v>15.0</v>
      </c>
      <c r="D55" s="28" t="s">
        <v>43701</v>
      </c>
      <c r="E55" s="28" t="s">
        <v>43702</v>
      </c>
      <c r="F55" s="29">
        <v>55.0</v>
      </c>
      <c r="G55" s="30">
        <v>1.5550558E7</v>
      </c>
    </row>
    <row r="56" ht="12.75" customHeight="1">
      <c r="A56" s="31">
        <v>858.0</v>
      </c>
      <c r="B56" s="32" t="s">
        <v>43703</v>
      </c>
      <c r="C56" s="33">
        <v>15.0</v>
      </c>
      <c r="D56" s="32" t="s">
        <v>43704</v>
      </c>
      <c r="E56" s="32" t="s">
        <v>43705</v>
      </c>
      <c r="F56" s="33">
        <v>28.0</v>
      </c>
      <c r="G56" s="34">
        <v>1.5580281E7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858.0</v>
      </c>
      <c r="B1" s="28" t="s">
        <v>43706</v>
      </c>
      <c r="C1" s="29">
        <v>15.0</v>
      </c>
      <c r="D1" s="28" t="s">
        <v>43707</v>
      </c>
      <c r="E1" s="28" t="s">
        <v>43708</v>
      </c>
      <c r="F1" s="27">
        <v>142.0</v>
      </c>
      <c r="G1" s="30">
        <v>1.5581422E7</v>
      </c>
    </row>
    <row r="2" ht="12.75" customHeight="1">
      <c r="A2" s="31">
        <v>159.0</v>
      </c>
      <c r="B2" s="32" t="s">
        <v>43709</v>
      </c>
      <c r="C2" s="33">
        <v>15.0</v>
      </c>
      <c r="D2" s="32" t="s">
        <v>43710</v>
      </c>
      <c r="E2" s="32" t="s">
        <v>43711</v>
      </c>
      <c r="F2" s="33">
        <v>31.0</v>
      </c>
      <c r="G2" s="34">
        <v>1.5590318E7</v>
      </c>
    </row>
    <row r="3" ht="12.75" customHeight="1">
      <c r="A3" s="27">
        <v>159.0</v>
      </c>
      <c r="B3" s="28" t="s">
        <v>43712</v>
      </c>
      <c r="C3" s="29">
        <v>15.0</v>
      </c>
      <c r="D3" s="28" t="s">
        <v>43713</v>
      </c>
      <c r="E3" s="28" t="s">
        <v>43714</v>
      </c>
      <c r="F3" s="27">
        <v>117.0</v>
      </c>
      <c r="G3" s="30">
        <v>1.5591175E7</v>
      </c>
    </row>
    <row r="4" ht="12.75" customHeight="1">
      <c r="A4" s="31">
        <v>161.0</v>
      </c>
      <c r="B4" s="32" t="s">
        <v>43715</v>
      </c>
      <c r="C4" s="33">
        <v>15.0</v>
      </c>
      <c r="D4" s="32" t="s">
        <v>43716</v>
      </c>
      <c r="E4" s="32" t="s">
        <v>43717</v>
      </c>
      <c r="F4" s="31">
        <v>175.0</v>
      </c>
      <c r="G4" s="34">
        <v>1.561175E7</v>
      </c>
    </row>
    <row r="5" ht="12.75" customHeight="1">
      <c r="A5" s="27">
        <v>564.0</v>
      </c>
      <c r="B5" s="28" t="s">
        <v>43718</v>
      </c>
      <c r="C5" s="29">
        <v>15.0</v>
      </c>
      <c r="D5" s="28" t="s">
        <v>43719</v>
      </c>
      <c r="E5" s="28" t="s">
        <v>43720</v>
      </c>
      <c r="F5" s="27">
        <v>109.0</v>
      </c>
      <c r="G5" s="30">
        <v>1.5641096E7</v>
      </c>
    </row>
    <row r="6" ht="12.75" customHeight="1">
      <c r="A6" s="31">
        <v>167.0</v>
      </c>
      <c r="B6" s="32" t="s">
        <v>43721</v>
      </c>
      <c r="C6" s="33">
        <v>15.0</v>
      </c>
      <c r="D6" s="32" t="s">
        <v>43722</v>
      </c>
      <c r="E6" s="32" t="s">
        <v>43723</v>
      </c>
      <c r="F6" s="33">
        <v>17.0</v>
      </c>
      <c r="G6" s="34">
        <v>1.5670175E7</v>
      </c>
    </row>
    <row r="7" ht="12.75" customHeight="1">
      <c r="A7" s="27">
        <v>167.0</v>
      </c>
      <c r="B7" s="28" t="s">
        <v>43724</v>
      </c>
      <c r="C7" s="29">
        <v>15.0</v>
      </c>
      <c r="D7" s="28" t="s">
        <v>43725</v>
      </c>
      <c r="E7" s="28" t="s">
        <v>43726</v>
      </c>
      <c r="F7" s="29">
        <v>21.0</v>
      </c>
      <c r="G7" s="30">
        <v>1.5670212E7</v>
      </c>
    </row>
    <row r="8" ht="12.75" customHeight="1">
      <c r="A8" s="31">
        <v>167.0</v>
      </c>
      <c r="B8" s="32" t="s">
        <v>43727</v>
      </c>
      <c r="C8" s="33">
        <v>15.0</v>
      </c>
      <c r="D8" s="32" t="s">
        <v>43728</v>
      </c>
      <c r="E8" s="32" t="s">
        <v>43729</v>
      </c>
      <c r="F8" s="31">
        <v>118.0</v>
      </c>
      <c r="G8" s="34">
        <v>1.5671187E7</v>
      </c>
    </row>
    <row r="9" ht="12.75" customHeight="1">
      <c r="A9" s="27">
        <v>167.0</v>
      </c>
      <c r="B9" s="28" t="s">
        <v>43730</v>
      </c>
      <c r="C9" s="29">
        <v>15.0</v>
      </c>
      <c r="D9" s="28" t="s">
        <v>43731</v>
      </c>
      <c r="E9" s="28" t="s">
        <v>43732</v>
      </c>
      <c r="F9" s="27">
        <v>122.0</v>
      </c>
      <c r="G9" s="30">
        <v>1.5671224E7</v>
      </c>
    </row>
    <row r="10" ht="12.75" customHeight="1">
      <c r="A10" s="31">
        <v>167.0</v>
      </c>
      <c r="B10" s="32" t="s">
        <v>43733</v>
      </c>
      <c r="C10" s="33">
        <v>15.0</v>
      </c>
      <c r="D10" s="32" t="s">
        <v>43734</v>
      </c>
      <c r="E10" s="32" t="s">
        <v>43735</v>
      </c>
      <c r="F10" s="31">
        <v>130.0</v>
      </c>
      <c r="G10" s="34">
        <v>1.5671303E7</v>
      </c>
    </row>
    <row r="11" ht="12.75" customHeight="1">
      <c r="A11" s="27">
        <v>168.0</v>
      </c>
      <c r="B11" s="28" t="s">
        <v>43736</v>
      </c>
      <c r="C11" s="29">
        <v>15.0</v>
      </c>
      <c r="D11" s="28" t="s">
        <v>43737</v>
      </c>
      <c r="E11" s="28" t="s">
        <v>43738</v>
      </c>
      <c r="F11" s="29">
        <v>67.0</v>
      </c>
      <c r="G11" s="30">
        <v>1.5680673E7</v>
      </c>
    </row>
    <row r="12" ht="12.75" customHeight="1">
      <c r="A12" s="31">
        <v>168.0</v>
      </c>
      <c r="B12" s="32" t="s">
        <v>43739</v>
      </c>
      <c r="C12" s="33">
        <v>15.0</v>
      </c>
      <c r="D12" s="32" t="s">
        <v>43740</v>
      </c>
      <c r="E12" s="32" t="s">
        <v>43741</v>
      </c>
      <c r="F12" s="33">
        <v>86.0</v>
      </c>
      <c r="G12" s="34">
        <v>1.568086E7</v>
      </c>
    </row>
    <row r="13" ht="12.75" customHeight="1">
      <c r="A13" s="27">
        <v>168.0</v>
      </c>
      <c r="B13" s="28" t="s">
        <v>43742</v>
      </c>
      <c r="C13" s="29">
        <v>15.0</v>
      </c>
      <c r="D13" s="28" t="s">
        <v>43743</v>
      </c>
      <c r="E13" s="28" t="s">
        <v>43744</v>
      </c>
      <c r="F13" s="27">
        <v>139.0</v>
      </c>
      <c r="G13" s="30">
        <v>1.5681393E7</v>
      </c>
    </row>
    <row r="14" ht="12.75" customHeight="1">
      <c r="A14" s="31">
        <v>569.0</v>
      </c>
      <c r="B14" s="32" t="s">
        <v>43745</v>
      </c>
      <c r="C14" s="33">
        <v>15.0</v>
      </c>
      <c r="D14" s="32" t="s">
        <v>43746</v>
      </c>
      <c r="E14" s="32" t="s">
        <v>43747</v>
      </c>
      <c r="F14" s="31">
        <v>109.0</v>
      </c>
      <c r="G14" s="34">
        <v>1.5691091E7</v>
      </c>
    </row>
    <row r="15" ht="12.75" customHeight="1">
      <c r="A15" s="27">
        <v>570.0</v>
      </c>
      <c r="B15" s="28" t="s">
        <v>43748</v>
      </c>
      <c r="C15" s="29">
        <v>15.0</v>
      </c>
      <c r="D15" s="28" t="s">
        <v>43749</v>
      </c>
      <c r="E15" s="28" t="s">
        <v>43750</v>
      </c>
      <c r="F15" s="29">
        <v>25.0</v>
      </c>
      <c r="G15" s="30">
        <v>1.5700258E7</v>
      </c>
    </row>
    <row r="16" ht="12.75" customHeight="1">
      <c r="A16" s="31">
        <v>172.0</v>
      </c>
      <c r="B16" s="32" t="s">
        <v>43751</v>
      </c>
      <c r="C16" s="33">
        <v>15.0</v>
      </c>
      <c r="D16" s="32" t="s">
        <v>43752</v>
      </c>
      <c r="E16" s="32" t="s">
        <v>43753</v>
      </c>
      <c r="F16" s="33">
        <v>73.0</v>
      </c>
      <c r="G16" s="34">
        <v>1.5720733E7</v>
      </c>
    </row>
    <row r="17" ht="12.75" customHeight="1">
      <c r="A17" s="27">
        <v>773.0</v>
      </c>
      <c r="B17" s="28" t="s">
        <v>43754</v>
      </c>
      <c r="C17" s="29">
        <v>15.0</v>
      </c>
      <c r="D17" s="28" t="s">
        <v>43755</v>
      </c>
      <c r="E17" s="28" t="s">
        <v>43756</v>
      </c>
      <c r="F17" s="29">
        <v>79.0</v>
      </c>
      <c r="G17" s="30">
        <v>1.5730794E7</v>
      </c>
    </row>
    <row r="18" ht="12.75" customHeight="1">
      <c r="A18" s="31">
        <v>275.0</v>
      </c>
      <c r="B18" s="32" t="s">
        <v>43757</v>
      </c>
      <c r="C18" s="33">
        <v>15.0</v>
      </c>
      <c r="D18" s="32" t="s">
        <v>43758</v>
      </c>
      <c r="E18" s="32" t="s">
        <v>43759</v>
      </c>
      <c r="F18" s="33">
        <v>26.0</v>
      </c>
      <c r="G18" s="34">
        <v>1.5750266E7</v>
      </c>
    </row>
    <row r="19" ht="12.75" customHeight="1">
      <c r="A19" s="27">
        <v>275.0</v>
      </c>
      <c r="B19" s="28" t="s">
        <v>43760</v>
      </c>
      <c r="C19" s="29">
        <v>15.0</v>
      </c>
      <c r="D19" s="28" t="s">
        <v>43761</v>
      </c>
      <c r="E19" s="28" t="s">
        <v>43762</v>
      </c>
      <c r="F19" s="29">
        <v>67.0</v>
      </c>
      <c r="G19" s="30">
        <v>1.5750679E7</v>
      </c>
    </row>
    <row r="20" ht="12.75" customHeight="1">
      <c r="A20" s="31">
        <v>576.0</v>
      </c>
      <c r="B20" s="32" t="s">
        <v>43763</v>
      </c>
      <c r="C20" s="33">
        <v>15.0</v>
      </c>
      <c r="D20" s="32" t="s">
        <v>43764</v>
      </c>
      <c r="E20" s="32" t="s">
        <v>43765</v>
      </c>
      <c r="F20" s="31">
        <v>178.0</v>
      </c>
      <c r="G20" s="34">
        <v>1.5761789E7</v>
      </c>
    </row>
    <row r="21" ht="12.75" customHeight="1">
      <c r="A21" s="27">
        <v>378.0</v>
      </c>
      <c r="B21" s="28" t="s">
        <v>43766</v>
      </c>
      <c r="C21" s="29">
        <v>15.0</v>
      </c>
      <c r="D21" s="28" t="s">
        <v>43767</v>
      </c>
      <c r="E21" s="28" t="s">
        <v>43768</v>
      </c>
      <c r="F21" s="29">
        <v>5.0</v>
      </c>
      <c r="G21" s="30">
        <v>1.5780052E7</v>
      </c>
    </row>
    <row r="22" ht="12.75" customHeight="1">
      <c r="A22" s="31">
        <v>378.0</v>
      </c>
      <c r="B22" s="32" t="s">
        <v>43769</v>
      </c>
      <c r="C22" s="33">
        <v>15.0</v>
      </c>
      <c r="D22" s="32" t="s">
        <v>43770</v>
      </c>
      <c r="E22" s="32" t="s">
        <v>43771</v>
      </c>
      <c r="F22" s="31">
        <v>109.0</v>
      </c>
      <c r="G22" s="34">
        <v>1.5781093E7</v>
      </c>
    </row>
    <row r="23" ht="12.75" customHeight="1">
      <c r="A23" s="27">
        <v>379.0</v>
      </c>
      <c r="B23" s="28" t="s">
        <v>43772</v>
      </c>
      <c r="C23" s="29">
        <v>15.0</v>
      </c>
      <c r="D23" s="28" t="s">
        <v>43773</v>
      </c>
      <c r="E23" s="28" t="s">
        <v>43774</v>
      </c>
      <c r="F23" s="29">
        <v>13.0</v>
      </c>
      <c r="G23" s="30">
        <v>1.5790134E7</v>
      </c>
    </row>
    <row r="24" ht="12.75" customHeight="1">
      <c r="A24" s="31">
        <v>379.0</v>
      </c>
      <c r="B24" s="32" t="s">
        <v>43775</v>
      </c>
      <c r="C24" s="33">
        <v>15.0</v>
      </c>
      <c r="D24" s="32" t="s">
        <v>43776</v>
      </c>
      <c r="E24" s="32" t="s">
        <v>43777</v>
      </c>
      <c r="F24" s="33">
        <v>52.0</v>
      </c>
      <c r="G24" s="34">
        <v>1.5790521E7</v>
      </c>
    </row>
    <row r="25" ht="12.75" customHeight="1">
      <c r="A25" s="27">
        <v>581.0</v>
      </c>
      <c r="B25" s="28" t="s">
        <v>43778</v>
      </c>
      <c r="C25" s="29">
        <v>15.0</v>
      </c>
      <c r="D25" s="28" t="s">
        <v>43779</v>
      </c>
      <c r="E25" s="28" t="s">
        <v>43780</v>
      </c>
      <c r="F25" s="27">
        <v>193.0</v>
      </c>
      <c r="G25" s="30">
        <v>1.5811934E7</v>
      </c>
    </row>
    <row r="26" ht="12.75" customHeight="1">
      <c r="A26" s="31">
        <v>785.0</v>
      </c>
      <c r="B26" s="32" t="s">
        <v>43781</v>
      </c>
      <c r="C26" s="33">
        <v>15.0</v>
      </c>
      <c r="D26" s="32" t="s">
        <v>43782</v>
      </c>
      <c r="E26" s="32" t="s">
        <v>43783</v>
      </c>
      <c r="F26" s="33">
        <v>17.0</v>
      </c>
      <c r="G26" s="34">
        <v>1.5850179E7</v>
      </c>
    </row>
    <row r="27" ht="12.75" customHeight="1">
      <c r="A27" s="27">
        <v>785.0</v>
      </c>
      <c r="B27" s="28" t="s">
        <v>43784</v>
      </c>
      <c r="C27" s="29">
        <v>15.0</v>
      </c>
      <c r="D27" s="28" t="s">
        <v>43785</v>
      </c>
      <c r="E27" s="28" t="s">
        <v>43786</v>
      </c>
      <c r="F27" s="27">
        <v>145.0</v>
      </c>
      <c r="G27" s="30">
        <v>1.5851457E7</v>
      </c>
    </row>
    <row r="28" ht="12.75" customHeight="1">
      <c r="A28" s="31">
        <v>386.0</v>
      </c>
      <c r="B28" s="32" t="s">
        <v>43787</v>
      </c>
      <c r="C28" s="33">
        <v>15.0</v>
      </c>
      <c r="D28" s="32" t="s">
        <v>43788</v>
      </c>
      <c r="E28" s="32" t="s">
        <v>43789</v>
      </c>
      <c r="F28" s="33">
        <v>41.0</v>
      </c>
      <c r="G28" s="34">
        <v>1.5860419E7</v>
      </c>
    </row>
    <row r="29" ht="12.75" customHeight="1">
      <c r="A29" s="27">
        <v>487.0</v>
      </c>
      <c r="B29" s="28" t="s">
        <v>43790</v>
      </c>
      <c r="C29" s="29">
        <v>15.0</v>
      </c>
      <c r="D29" s="28" t="s">
        <v>43791</v>
      </c>
      <c r="E29" s="28" t="s">
        <v>43792</v>
      </c>
      <c r="F29" s="29">
        <v>55.0</v>
      </c>
      <c r="G29" s="30">
        <v>1.5870559E7</v>
      </c>
    </row>
    <row r="30" ht="12.75" customHeight="1">
      <c r="A30" s="31">
        <v>487.0</v>
      </c>
      <c r="B30" s="32" t="s">
        <v>43793</v>
      </c>
      <c r="C30" s="33">
        <v>15.0</v>
      </c>
      <c r="D30" s="32" t="s">
        <v>43794</v>
      </c>
      <c r="E30" s="32" t="s">
        <v>43795</v>
      </c>
      <c r="F30" s="31">
        <v>109.0</v>
      </c>
      <c r="G30" s="34">
        <v>1.5871095E7</v>
      </c>
    </row>
    <row r="31" ht="12.75" customHeight="1">
      <c r="A31" s="27">
        <v>688.0</v>
      </c>
      <c r="B31" s="28" t="s">
        <v>43796</v>
      </c>
      <c r="C31" s="29">
        <v>15.0</v>
      </c>
      <c r="D31" s="28" t="s">
        <v>43797</v>
      </c>
      <c r="E31" s="28" t="s">
        <v>43798</v>
      </c>
      <c r="F31" s="27">
        <v>190.0</v>
      </c>
      <c r="G31" s="30">
        <v>1.5881906E7</v>
      </c>
    </row>
    <row r="32" ht="12.75" customHeight="1">
      <c r="A32" s="31">
        <v>891.0</v>
      </c>
      <c r="B32" s="32" t="s">
        <v>43799</v>
      </c>
      <c r="C32" s="33">
        <v>15.0</v>
      </c>
      <c r="D32" s="32" t="s">
        <v>43800</v>
      </c>
      <c r="E32" s="32" t="s">
        <v>43801</v>
      </c>
      <c r="F32" s="33">
        <v>4.0</v>
      </c>
      <c r="G32" s="34">
        <v>1.5910048E7</v>
      </c>
    </row>
    <row r="33" ht="12.75" customHeight="1">
      <c r="A33" s="27">
        <v>891.0</v>
      </c>
      <c r="B33" s="28" t="s">
        <v>43802</v>
      </c>
      <c r="C33" s="29">
        <v>15.0</v>
      </c>
      <c r="D33" s="28" t="s">
        <v>43803</v>
      </c>
      <c r="E33" s="28" t="s">
        <v>43804</v>
      </c>
      <c r="F33" s="29">
        <v>31.0</v>
      </c>
      <c r="G33" s="30">
        <v>1.5910314E7</v>
      </c>
    </row>
    <row r="34" ht="12.75" customHeight="1">
      <c r="A34" s="31">
        <v>891.0</v>
      </c>
      <c r="B34" s="32" t="s">
        <v>43805</v>
      </c>
      <c r="C34" s="33">
        <v>15.0</v>
      </c>
      <c r="D34" s="32" t="s">
        <v>43806</v>
      </c>
      <c r="E34" s="32" t="s">
        <v>43807</v>
      </c>
      <c r="F34" s="31">
        <v>250.0</v>
      </c>
      <c r="G34" s="34">
        <v>1.5912509E7</v>
      </c>
    </row>
    <row r="35" ht="12.75" customHeight="1">
      <c r="A35" s="27">
        <v>891.0</v>
      </c>
      <c r="B35" s="28" t="s">
        <v>43808</v>
      </c>
      <c r="C35" s="29">
        <v>15.0</v>
      </c>
      <c r="D35" s="28" t="s">
        <v>43809</v>
      </c>
      <c r="E35" s="28" t="s">
        <v>43810</v>
      </c>
      <c r="F35" s="27">
        <v>415.0</v>
      </c>
      <c r="G35" s="30">
        <v>1.5914152E7</v>
      </c>
    </row>
    <row r="36" ht="12.75" customHeight="1">
      <c r="A36" s="31">
        <v>193.0</v>
      </c>
      <c r="B36" s="32" t="s">
        <v>43811</v>
      </c>
      <c r="C36" s="33">
        <v>15.0</v>
      </c>
      <c r="D36" s="32" t="s">
        <v>43812</v>
      </c>
      <c r="E36" s="32" t="s">
        <v>43813</v>
      </c>
      <c r="F36" s="31">
        <v>229.0</v>
      </c>
      <c r="G36" s="34">
        <v>1.5932297E7</v>
      </c>
    </row>
    <row r="37" ht="12.75" customHeight="1">
      <c r="A37" s="27">
        <v>306.0</v>
      </c>
      <c r="B37" s="28" t="s">
        <v>43814</v>
      </c>
      <c r="C37" s="29">
        <v>20.0</v>
      </c>
      <c r="D37" s="28" t="s">
        <v>43815</v>
      </c>
      <c r="E37" s="28" t="s">
        <v>43816</v>
      </c>
      <c r="F37" s="29">
        <v>28.0</v>
      </c>
      <c r="G37" s="30">
        <v>2.0060288E7</v>
      </c>
    </row>
    <row r="38" ht="12.75" customHeight="1">
      <c r="A38" s="31">
        <v>610.0</v>
      </c>
      <c r="B38" s="32" t="s">
        <v>43817</v>
      </c>
      <c r="C38" s="33">
        <v>20.0</v>
      </c>
      <c r="D38" s="32" t="s">
        <v>43818</v>
      </c>
      <c r="E38" s="32" t="s">
        <v>43819</v>
      </c>
      <c r="F38" s="33">
        <v>37.0</v>
      </c>
      <c r="G38" s="34">
        <v>2.0100377E7</v>
      </c>
    </row>
    <row r="39" ht="12.75" customHeight="1">
      <c r="A39" s="27">
        <v>112.0</v>
      </c>
      <c r="B39" s="28" t="s">
        <v>43820</v>
      </c>
      <c r="C39" s="29">
        <v>20.0</v>
      </c>
      <c r="D39" s="28" t="s">
        <v>43821</v>
      </c>
      <c r="E39" s="28" t="s">
        <v>43822</v>
      </c>
      <c r="F39" s="29">
        <v>10.0</v>
      </c>
      <c r="G39" s="30">
        <v>2.0120102E7</v>
      </c>
    </row>
    <row r="40" ht="12.75" customHeight="1">
      <c r="A40" s="31">
        <v>112.0</v>
      </c>
      <c r="B40" s="32" t="s">
        <v>43823</v>
      </c>
      <c r="C40" s="33">
        <v>20.0</v>
      </c>
      <c r="D40" s="32" t="s">
        <v>43824</v>
      </c>
      <c r="E40" s="32" t="s">
        <v>43825</v>
      </c>
      <c r="F40" s="33">
        <v>43.0</v>
      </c>
      <c r="G40" s="34">
        <v>2.0120436E7</v>
      </c>
    </row>
    <row r="41" ht="12.75" customHeight="1">
      <c r="A41" s="27">
        <v>113.0</v>
      </c>
      <c r="B41" s="28" t="s">
        <v>43826</v>
      </c>
      <c r="C41" s="29">
        <v>20.0</v>
      </c>
      <c r="D41" s="28" t="s">
        <v>43827</v>
      </c>
      <c r="E41" s="28" t="s">
        <v>43828</v>
      </c>
      <c r="F41" s="29">
        <v>31.0</v>
      </c>
      <c r="G41" s="30">
        <v>2.0130318E7</v>
      </c>
    </row>
    <row r="42" ht="12.75" customHeight="1">
      <c r="A42" s="31">
        <v>215.0</v>
      </c>
      <c r="B42" s="32" t="s">
        <v>43829</v>
      </c>
      <c r="C42" s="33">
        <v>20.0</v>
      </c>
      <c r="D42" s="32" t="s">
        <v>43830</v>
      </c>
      <c r="E42" s="32" t="s">
        <v>43831</v>
      </c>
      <c r="F42" s="33">
        <v>13.0</v>
      </c>
      <c r="G42" s="34">
        <v>2.015013E7</v>
      </c>
    </row>
    <row r="43" ht="12.75" customHeight="1">
      <c r="A43" s="27">
        <v>215.0</v>
      </c>
      <c r="B43" s="28" t="s">
        <v>43832</v>
      </c>
      <c r="C43" s="29">
        <v>20.0</v>
      </c>
      <c r="D43" s="28" t="s">
        <v>43833</v>
      </c>
      <c r="E43" s="28" t="s">
        <v>43834</v>
      </c>
      <c r="F43" s="29">
        <v>49.0</v>
      </c>
      <c r="G43" s="30">
        <v>2.0150493E7</v>
      </c>
    </row>
    <row r="44" ht="12.75" customHeight="1">
      <c r="A44" s="31">
        <v>215.0</v>
      </c>
      <c r="B44" s="32" t="s">
        <v>43835</v>
      </c>
      <c r="C44" s="33">
        <v>20.0</v>
      </c>
      <c r="D44" s="32" t="s">
        <v>43836</v>
      </c>
      <c r="E44" s="32" t="s">
        <v>43837</v>
      </c>
      <c r="F44" s="33">
        <v>79.0</v>
      </c>
      <c r="G44" s="34">
        <v>2.0150798E7</v>
      </c>
    </row>
    <row r="45" ht="12.75" customHeight="1">
      <c r="A45" s="27">
        <v>215.0</v>
      </c>
      <c r="B45" s="28" t="s">
        <v>43838</v>
      </c>
      <c r="C45" s="29">
        <v>20.0</v>
      </c>
      <c r="D45" s="28" t="s">
        <v>43839</v>
      </c>
      <c r="E45" s="28" t="s">
        <v>43840</v>
      </c>
      <c r="F45" s="29">
        <v>97.0</v>
      </c>
      <c r="G45" s="30">
        <v>2.0150972E7</v>
      </c>
    </row>
    <row r="46" ht="12.75" customHeight="1">
      <c r="A46" s="31">
        <v>215.0</v>
      </c>
      <c r="B46" s="32" t="s">
        <v>43841</v>
      </c>
      <c r="C46" s="33">
        <v>20.0</v>
      </c>
      <c r="D46" s="32" t="s">
        <v>43842</v>
      </c>
      <c r="E46" s="32" t="s">
        <v>43843</v>
      </c>
      <c r="F46" s="31">
        <v>130.0</v>
      </c>
      <c r="G46" s="34">
        <v>2.01513E7</v>
      </c>
    </row>
    <row r="47" ht="12.75" customHeight="1">
      <c r="A47" s="27">
        <v>215.0</v>
      </c>
      <c r="B47" s="28" t="s">
        <v>43844</v>
      </c>
      <c r="C47" s="29">
        <v>20.0</v>
      </c>
      <c r="D47" s="28" t="s">
        <v>43845</v>
      </c>
      <c r="E47" s="28" t="s">
        <v>43846</v>
      </c>
      <c r="F47" s="27">
        <v>148.0</v>
      </c>
      <c r="G47" s="30">
        <v>2.0151489E7</v>
      </c>
    </row>
    <row r="48" ht="12.75" customHeight="1">
      <c r="A48" s="31">
        <v>215.0</v>
      </c>
      <c r="B48" s="32" t="s">
        <v>43847</v>
      </c>
      <c r="C48" s="33">
        <v>20.0</v>
      </c>
      <c r="D48" s="32" t="s">
        <v>43848</v>
      </c>
      <c r="E48" s="32" t="s">
        <v>43849</v>
      </c>
      <c r="F48" s="31">
        <v>157.0</v>
      </c>
      <c r="G48" s="34">
        <v>2.0151571E7</v>
      </c>
    </row>
    <row r="49" ht="12.75" customHeight="1">
      <c r="A49" s="27">
        <v>215.0</v>
      </c>
      <c r="B49" s="28" t="s">
        <v>43850</v>
      </c>
      <c r="C49" s="29">
        <v>20.0</v>
      </c>
      <c r="D49" s="28" t="s">
        <v>43851</v>
      </c>
      <c r="E49" s="28" t="s">
        <v>43852</v>
      </c>
      <c r="F49" s="27">
        <v>187.0</v>
      </c>
      <c r="G49" s="30">
        <v>2.0151876E7</v>
      </c>
    </row>
    <row r="50" ht="12.75" customHeight="1">
      <c r="A50" s="31">
        <v>215.0</v>
      </c>
      <c r="B50" s="32" t="s">
        <v>43853</v>
      </c>
      <c r="C50" s="33">
        <v>20.0</v>
      </c>
      <c r="D50" s="32" t="s">
        <v>43854</v>
      </c>
      <c r="E50" s="32" t="s">
        <v>43855</v>
      </c>
      <c r="F50" s="31">
        <v>193.0</v>
      </c>
      <c r="G50" s="34">
        <v>2.0151939E7</v>
      </c>
    </row>
    <row r="51" ht="12.75" customHeight="1">
      <c r="A51" s="27">
        <v>215.0</v>
      </c>
      <c r="B51" s="28" t="s">
        <v>43856</v>
      </c>
      <c r="C51" s="29">
        <v>20.0</v>
      </c>
      <c r="D51" s="28" t="s">
        <v>43857</v>
      </c>
      <c r="E51" s="28" t="s">
        <v>43858</v>
      </c>
      <c r="F51" s="27">
        <v>244.0</v>
      </c>
      <c r="G51" s="30">
        <v>2.0152446E7</v>
      </c>
    </row>
    <row r="52" ht="12.75" customHeight="1">
      <c r="A52" s="31">
        <v>215.0</v>
      </c>
      <c r="B52" s="32" t="s">
        <v>43859</v>
      </c>
      <c r="C52" s="33">
        <v>20.0</v>
      </c>
      <c r="D52" s="32" t="s">
        <v>43860</v>
      </c>
      <c r="E52" s="32" t="s">
        <v>43861</v>
      </c>
      <c r="F52" s="31">
        <v>322.0</v>
      </c>
      <c r="G52" s="34">
        <v>2.0153229E7</v>
      </c>
    </row>
    <row r="53" ht="12.75" customHeight="1">
      <c r="A53" s="27">
        <v>215.0</v>
      </c>
      <c r="B53" s="28" t="s">
        <v>43862</v>
      </c>
      <c r="C53" s="29">
        <v>20.0</v>
      </c>
      <c r="D53" s="28" t="s">
        <v>43863</v>
      </c>
      <c r="E53" s="28" t="s">
        <v>43864</v>
      </c>
      <c r="F53" s="27">
        <v>364.0</v>
      </c>
      <c r="G53" s="30">
        <v>2.0153645E7</v>
      </c>
    </row>
    <row r="54" ht="12.75" customHeight="1">
      <c r="A54" s="31">
        <v>215.0</v>
      </c>
      <c r="B54" s="32" t="s">
        <v>43865</v>
      </c>
      <c r="C54" s="33">
        <v>20.0</v>
      </c>
      <c r="D54" s="32" t="s">
        <v>43866</v>
      </c>
      <c r="E54" s="32" t="s">
        <v>43867</v>
      </c>
      <c r="F54" s="31">
        <v>427.0</v>
      </c>
      <c r="G54" s="34">
        <v>2.0154273E7</v>
      </c>
    </row>
    <row r="55" ht="12.75" customHeight="1">
      <c r="A55" s="27">
        <v>215.0</v>
      </c>
      <c r="B55" s="28" t="s">
        <v>43868</v>
      </c>
      <c r="C55" s="29">
        <v>20.0</v>
      </c>
      <c r="D55" s="28" t="s">
        <v>43869</v>
      </c>
      <c r="E55" s="28" t="s">
        <v>43870</v>
      </c>
      <c r="F55" s="27">
        <v>436.0</v>
      </c>
      <c r="G55" s="30">
        <v>2.0154365E7</v>
      </c>
    </row>
    <row r="56" ht="12.75" customHeight="1">
      <c r="A56" s="31">
        <v>215.0</v>
      </c>
      <c r="B56" s="32" t="s">
        <v>43871</v>
      </c>
      <c r="C56" s="33">
        <v>20.0</v>
      </c>
      <c r="D56" s="32" t="s">
        <v>43872</v>
      </c>
      <c r="E56" s="32" t="s">
        <v>43873</v>
      </c>
      <c r="F56" s="31">
        <v>466.0</v>
      </c>
      <c r="G56" s="34">
        <v>2.015466E7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43874</v>
      </c>
      <c r="C1" s="29">
        <v>20.0</v>
      </c>
      <c r="D1" s="28" t="s">
        <v>43875</v>
      </c>
      <c r="E1" s="28" t="s">
        <v>43876</v>
      </c>
      <c r="F1" s="27">
        <v>526.0</v>
      </c>
      <c r="G1" s="30">
        <v>2.0155269E7</v>
      </c>
    </row>
    <row r="2" ht="12.75" customHeight="1">
      <c r="A2" s="31">
        <v>215.0</v>
      </c>
      <c r="B2" s="32" t="s">
        <v>43877</v>
      </c>
      <c r="C2" s="33">
        <v>20.0</v>
      </c>
      <c r="D2" s="32" t="s">
        <v>43878</v>
      </c>
      <c r="E2" s="32" t="s">
        <v>43879</v>
      </c>
      <c r="F2" s="31">
        <v>562.0</v>
      </c>
      <c r="G2" s="34">
        <v>2.0155627E7</v>
      </c>
    </row>
    <row r="3" ht="12.75" customHeight="1">
      <c r="A3" s="27">
        <v>215.0</v>
      </c>
      <c r="B3" s="28" t="s">
        <v>43880</v>
      </c>
      <c r="C3" s="29">
        <v>20.0</v>
      </c>
      <c r="D3" s="28" t="s">
        <v>43881</v>
      </c>
      <c r="E3" s="28" t="s">
        <v>43882</v>
      </c>
      <c r="F3" s="27">
        <v>592.0</v>
      </c>
      <c r="G3" s="30">
        <v>2.0155922E7</v>
      </c>
    </row>
    <row r="4" ht="12.75" customHeight="1">
      <c r="A4" s="31">
        <v>215.0</v>
      </c>
      <c r="B4" s="32" t="s">
        <v>43883</v>
      </c>
      <c r="C4" s="33">
        <v>20.0</v>
      </c>
      <c r="D4" s="32" t="s">
        <v>43884</v>
      </c>
      <c r="E4" s="32" t="s">
        <v>43885</v>
      </c>
      <c r="F4" s="31">
        <v>613.0</v>
      </c>
      <c r="G4" s="34">
        <v>2.0156134E7</v>
      </c>
    </row>
    <row r="5" ht="12.75" customHeight="1">
      <c r="A5" s="27">
        <v>215.0</v>
      </c>
      <c r="B5" s="28" t="s">
        <v>43886</v>
      </c>
      <c r="C5" s="29">
        <v>20.0</v>
      </c>
      <c r="D5" s="28" t="s">
        <v>43887</v>
      </c>
      <c r="E5" s="28" t="s">
        <v>43888</v>
      </c>
      <c r="F5" s="27">
        <v>625.0</v>
      </c>
      <c r="G5" s="30">
        <v>2.0156255E7</v>
      </c>
    </row>
    <row r="6" ht="12.75" customHeight="1">
      <c r="A6" s="31">
        <v>215.0</v>
      </c>
      <c r="B6" s="32" t="s">
        <v>43889</v>
      </c>
      <c r="C6" s="33">
        <v>20.0</v>
      </c>
      <c r="D6" s="32" t="s">
        <v>43890</v>
      </c>
      <c r="E6" s="32" t="s">
        <v>43891</v>
      </c>
      <c r="F6" s="31">
        <v>691.0</v>
      </c>
      <c r="G6" s="34">
        <v>2.0156918E7</v>
      </c>
    </row>
    <row r="7" ht="12.75" customHeight="1">
      <c r="A7" s="27">
        <v>215.0</v>
      </c>
      <c r="B7" s="28" t="s">
        <v>43892</v>
      </c>
      <c r="C7" s="29">
        <v>20.0</v>
      </c>
      <c r="D7" s="28" t="s">
        <v>43893</v>
      </c>
      <c r="E7" s="28" t="s">
        <v>43894</v>
      </c>
      <c r="F7" s="27">
        <v>739.0</v>
      </c>
      <c r="G7" s="30">
        <v>2.0157391E7</v>
      </c>
    </row>
    <row r="8" ht="12.75" customHeight="1">
      <c r="A8" s="31">
        <v>215.0</v>
      </c>
      <c r="B8" s="32" t="s">
        <v>43895</v>
      </c>
      <c r="C8" s="33">
        <v>20.0</v>
      </c>
      <c r="D8" s="32" t="s">
        <v>43896</v>
      </c>
      <c r="E8" s="32" t="s">
        <v>43897</v>
      </c>
      <c r="F8" s="31">
        <v>751.0</v>
      </c>
      <c r="G8" s="34">
        <v>2.0157517E7</v>
      </c>
    </row>
    <row r="9" ht="12.75" customHeight="1">
      <c r="A9" s="27">
        <v>119.0</v>
      </c>
      <c r="B9" s="28" t="s">
        <v>43898</v>
      </c>
      <c r="C9" s="29">
        <v>20.0</v>
      </c>
      <c r="D9" s="28" t="s">
        <v>43899</v>
      </c>
      <c r="E9" s="28" t="s">
        <v>43900</v>
      </c>
      <c r="F9" s="27">
        <v>115.0</v>
      </c>
      <c r="G9" s="30">
        <v>2.0191157E7</v>
      </c>
    </row>
    <row r="10" ht="12.75" customHeight="1">
      <c r="A10" s="31">
        <v>222.0</v>
      </c>
      <c r="B10" s="32" t="s">
        <v>43901</v>
      </c>
      <c r="C10" s="33">
        <v>20.0</v>
      </c>
      <c r="D10" s="32" t="s">
        <v>43902</v>
      </c>
      <c r="E10" s="32" t="s">
        <v>43903</v>
      </c>
      <c r="F10" s="33">
        <v>16.0</v>
      </c>
      <c r="G10" s="34">
        <v>2.0220165E7</v>
      </c>
    </row>
    <row r="11" ht="12.75" customHeight="1">
      <c r="A11" s="27">
        <v>222.0</v>
      </c>
      <c r="B11" s="28" t="s">
        <v>43904</v>
      </c>
      <c r="C11" s="29">
        <v>20.0</v>
      </c>
      <c r="D11" s="28" t="s">
        <v>43905</v>
      </c>
      <c r="E11" s="28" t="s">
        <v>43906</v>
      </c>
      <c r="F11" s="29">
        <v>25.0</v>
      </c>
      <c r="G11" s="30">
        <v>2.0220257E7</v>
      </c>
    </row>
    <row r="12" ht="12.75" customHeight="1">
      <c r="A12" s="31">
        <v>222.0</v>
      </c>
      <c r="B12" s="32" t="s">
        <v>43907</v>
      </c>
      <c r="C12" s="33">
        <v>20.0</v>
      </c>
      <c r="D12" s="32" t="s">
        <v>43908</v>
      </c>
      <c r="E12" s="32" t="s">
        <v>43909</v>
      </c>
      <c r="F12" s="33">
        <v>91.0</v>
      </c>
      <c r="G12" s="34">
        <v>2.022091E7</v>
      </c>
    </row>
    <row r="13" ht="12.75" customHeight="1">
      <c r="A13" s="27">
        <v>126.0</v>
      </c>
      <c r="B13" s="28" t="s">
        <v>43910</v>
      </c>
      <c r="C13" s="29">
        <v>20.0</v>
      </c>
      <c r="D13" s="28" t="s">
        <v>43911</v>
      </c>
      <c r="E13" s="28" t="s">
        <v>43912</v>
      </c>
      <c r="F13" s="29">
        <v>43.0</v>
      </c>
      <c r="G13" s="30">
        <v>2.0260433E7</v>
      </c>
    </row>
    <row r="14" ht="12.75" customHeight="1">
      <c r="A14" s="31">
        <v>126.0</v>
      </c>
      <c r="B14" s="32" t="s">
        <v>43913</v>
      </c>
      <c r="C14" s="33">
        <v>20.0</v>
      </c>
      <c r="D14" s="32" t="s">
        <v>43914</v>
      </c>
      <c r="E14" s="32" t="s">
        <v>43915</v>
      </c>
      <c r="F14" s="33">
        <v>55.0</v>
      </c>
      <c r="G14" s="34">
        <v>2.0260554E7</v>
      </c>
    </row>
    <row r="15" ht="12.75" customHeight="1">
      <c r="A15" s="27">
        <v>126.0</v>
      </c>
      <c r="B15" s="28" t="s">
        <v>43916</v>
      </c>
      <c r="C15" s="29">
        <v>20.0</v>
      </c>
      <c r="D15" s="28" t="s">
        <v>43917</v>
      </c>
      <c r="E15" s="28" t="s">
        <v>43918</v>
      </c>
      <c r="F15" s="27">
        <v>118.0</v>
      </c>
      <c r="G15" s="30">
        <v>2.0261182E7</v>
      </c>
    </row>
    <row r="16" ht="12.75" customHeight="1">
      <c r="A16" s="31">
        <v>126.0</v>
      </c>
      <c r="B16" s="32" t="s">
        <v>43919</v>
      </c>
      <c r="C16" s="33">
        <v>20.0</v>
      </c>
      <c r="D16" s="32" t="s">
        <v>43920</v>
      </c>
      <c r="E16" s="32" t="s">
        <v>43921</v>
      </c>
      <c r="F16" s="31">
        <v>164.0</v>
      </c>
      <c r="G16" s="34">
        <v>2.0261645E7</v>
      </c>
    </row>
    <row r="17" ht="12.75" customHeight="1">
      <c r="A17" s="27">
        <v>126.0</v>
      </c>
      <c r="B17" s="28" t="s">
        <v>43922</v>
      </c>
      <c r="C17" s="29">
        <v>20.0</v>
      </c>
      <c r="D17" s="28" t="s">
        <v>43923</v>
      </c>
      <c r="E17" s="28" t="s">
        <v>43924</v>
      </c>
      <c r="F17" s="27">
        <v>172.0</v>
      </c>
      <c r="G17" s="30">
        <v>2.0261724E7</v>
      </c>
    </row>
    <row r="18" ht="12.75" customHeight="1">
      <c r="A18" s="31">
        <v>126.0</v>
      </c>
      <c r="B18" s="32" t="s">
        <v>43925</v>
      </c>
      <c r="C18" s="33">
        <v>20.0</v>
      </c>
      <c r="D18" s="32" t="s">
        <v>43926</v>
      </c>
      <c r="E18" s="32" t="s">
        <v>43927</v>
      </c>
      <c r="F18" s="31">
        <v>244.0</v>
      </c>
      <c r="G18" s="34">
        <v>2.0262444E7</v>
      </c>
    </row>
    <row r="19" ht="12.75" customHeight="1">
      <c r="A19" s="27">
        <v>126.0</v>
      </c>
      <c r="B19" s="28" t="s">
        <v>43928</v>
      </c>
      <c r="C19" s="29">
        <v>20.0</v>
      </c>
      <c r="D19" s="28" t="s">
        <v>43929</v>
      </c>
      <c r="E19" s="28" t="s">
        <v>43930</v>
      </c>
      <c r="F19" s="27">
        <v>253.0</v>
      </c>
      <c r="G19" s="30">
        <v>2.0262536E7</v>
      </c>
    </row>
    <row r="20" ht="12.75" customHeight="1">
      <c r="A20" s="31">
        <v>126.0</v>
      </c>
      <c r="B20" s="32" t="s">
        <v>43931</v>
      </c>
      <c r="C20" s="33">
        <v>20.0</v>
      </c>
      <c r="D20" s="32" t="s">
        <v>43932</v>
      </c>
      <c r="E20" s="32" t="s">
        <v>43933</v>
      </c>
      <c r="F20" s="31">
        <v>298.0</v>
      </c>
      <c r="G20" s="34">
        <v>2.0262981E7</v>
      </c>
    </row>
    <row r="21" ht="12.75" customHeight="1">
      <c r="A21" s="27">
        <v>126.0</v>
      </c>
      <c r="B21" s="28" t="s">
        <v>43934</v>
      </c>
      <c r="C21" s="29">
        <v>20.0</v>
      </c>
      <c r="D21" s="28" t="s">
        <v>43935</v>
      </c>
      <c r="E21" s="28" t="s">
        <v>43936</v>
      </c>
      <c r="F21" s="27">
        <v>319.0</v>
      </c>
      <c r="G21" s="30">
        <v>2.0263193E7</v>
      </c>
    </row>
    <row r="22" ht="12.75" customHeight="1">
      <c r="A22" s="31">
        <v>126.0</v>
      </c>
      <c r="B22" s="32" t="s">
        <v>43937</v>
      </c>
      <c r="C22" s="33">
        <v>20.0</v>
      </c>
      <c r="D22" s="32" t="s">
        <v>43938</v>
      </c>
      <c r="E22" s="32" t="s">
        <v>43939</v>
      </c>
      <c r="F22" s="31">
        <v>349.0</v>
      </c>
      <c r="G22" s="34">
        <v>2.0263498E7</v>
      </c>
    </row>
    <row r="23" ht="12.75" customHeight="1">
      <c r="A23" s="27">
        <v>126.0</v>
      </c>
      <c r="B23" s="28" t="s">
        <v>43940</v>
      </c>
      <c r="C23" s="29">
        <v>20.0</v>
      </c>
      <c r="D23" s="28" t="s">
        <v>43941</v>
      </c>
      <c r="E23" s="28" t="s">
        <v>43942</v>
      </c>
      <c r="F23" s="27">
        <v>370.0</v>
      </c>
      <c r="G23" s="30">
        <v>2.0263706E7</v>
      </c>
    </row>
    <row r="24" ht="12.75" customHeight="1">
      <c r="A24" s="31">
        <v>126.0</v>
      </c>
      <c r="B24" s="32" t="s">
        <v>43943</v>
      </c>
      <c r="C24" s="33">
        <v>20.0</v>
      </c>
      <c r="D24" s="32" t="s">
        <v>43944</v>
      </c>
      <c r="E24" s="32" t="s">
        <v>43945</v>
      </c>
      <c r="F24" s="31">
        <v>400.0</v>
      </c>
      <c r="G24" s="34">
        <v>2.0264E7</v>
      </c>
    </row>
    <row r="25" ht="12.75" customHeight="1">
      <c r="A25" s="27">
        <v>126.0</v>
      </c>
      <c r="B25" s="28" t="s">
        <v>43946</v>
      </c>
      <c r="C25" s="29">
        <v>20.0</v>
      </c>
      <c r="D25" s="28" t="s">
        <v>43947</v>
      </c>
      <c r="E25" s="28" t="s">
        <v>43948</v>
      </c>
      <c r="F25" s="27">
        <v>409.0</v>
      </c>
      <c r="G25" s="30">
        <v>2.0264097E7</v>
      </c>
    </row>
    <row r="26" ht="12.75" customHeight="1">
      <c r="A26" s="31">
        <v>126.0</v>
      </c>
      <c r="B26" s="32" t="s">
        <v>43949</v>
      </c>
      <c r="C26" s="33">
        <v>20.0</v>
      </c>
      <c r="D26" s="32" t="s">
        <v>43950</v>
      </c>
      <c r="E26" s="32" t="s">
        <v>43951</v>
      </c>
      <c r="F26" s="31">
        <v>430.0</v>
      </c>
      <c r="G26" s="34">
        <v>2.0264305E7</v>
      </c>
    </row>
    <row r="27" ht="12.75" customHeight="1">
      <c r="A27" s="27">
        <v>126.0</v>
      </c>
      <c r="B27" s="28" t="s">
        <v>43952</v>
      </c>
      <c r="C27" s="29">
        <v>20.0</v>
      </c>
      <c r="D27" s="28" t="s">
        <v>43953</v>
      </c>
      <c r="E27" s="28" t="s">
        <v>43954</v>
      </c>
      <c r="F27" s="27">
        <v>463.0</v>
      </c>
      <c r="G27" s="30">
        <v>2.0264639E7</v>
      </c>
    </row>
    <row r="28" ht="12.75" customHeight="1">
      <c r="A28" s="31">
        <v>127.0</v>
      </c>
      <c r="B28" s="32" t="s">
        <v>43955</v>
      </c>
      <c r="C28" s="33">
        <v>20.0</v>
      </c>
      <c r="D28" s="32" t="s">
        <v>43956</v>
      </c>
      <c r="E28" s="32" t="s">
        <v>43957</v>
      </c>
      <c r="F28" s="33">
        <v>0.0</v>
      </c>
      <c r="G28" s="34">
        <v>2.0270007E7</v>
      </c>
    </row>
    <row r="29" ht="12.75" customHeight="1">
      <c r="A29" s="27">
        <v>127.0</v>
      </c>
      <c r="B29" s="28" t="s">
        <v>43958</v>
      </c>
      <c r="C29" s="29">
        <v>20.0</v>
      </c>
      <c r="D29" s="28" t="s">
        <v>43959</v>
      </c>
      <c r="E29" s="28" t="s">
        <v>43960</v>
      </c>
      <c r="F29" s="29">
        <v>64.0</v>
      </c>
      <c r="G29" s="30">
        <v>2.0270649E7</v>
      </c>
    </row>
    <row r="30" ht="12.75" customHeight="1">
      <c r="A30" s="31">
        <v>127.0</v>
      </c>
      <c r="B30" s="32" t="s">
        <v>43961</v>
      </c>
      <c r="C30" s="33">
        <v>20.0</v>
      </c>
      <c r="D30" s="32" t="s">
        <v>43962</v>
      </c>
      <c r="E30" s="32" t="s">
        <v>43963</v>
      </c>
      <c r="F30" s="31">
        <v>268.0</v>
      </c>
      <c r="G30" s="34">
        <v>2.0272689E7</v>
      </c>
    </row>
    <row r="31" ht="12.75" customHeight="1">
      <c r="A31" s="27">
        <v>127.0</v>
      </c>
      <c r="B31" s="28" t="s">
        <v>43964</v>
      </c>
      <c r="C31" s="29">
        <v>20.0</v>
      </c>
      <c r="D31" s="28" t="s">
        <v>43965</v>
      </c>
      <c r="E31" s="28" t="s">
        <v>43966</v>
      </c>
      <c r="F31" s="27">
        <v>280.0</v>
      </c>
      <c r="G31" s="30">
        <v>2.0272805E7</v>
      </c>
    </row>
    <row r="32" ht="12.75" customHeight="1">
      <c r="A32" s="31">
        <v>127.0</v>
      </c>
      <c r="B32" s="32" t="s">
        <v>43967</v>
      </c>
      <c r="C32" s="33">
        <v>20.0</v>
      </c>
      <c r="D32" s="32" t="s">
        <v>43968</v>
      </c>
      <c r="E32" s="32" t="s">
        <v>43969</v>
      </c>
      <c r="F32" s="31">
        <v>292.0</v>
      </c>
      <c r="G32" s="34">
        <v>2.0272926E7</v>
      </c>
    </row>
    <row r="33" ht="12.75" customHeight="1">
      <c r="A33" s="27">
        <v>127.0</v>
      </c>
      <c r="B33" s="28" t="s">
        <v>43970</v>
      </c>
      <c r="C33" s="29">
        <v>20.0</v>
      </c>
      <c r="D33" s="28" t="s">
        <v>43971</v>
      </c>
      <c r="E33" s="28" t="s">
        <v>43972</v>
      </c>
      <c r="F33" s="27">
        <v>298.0</v>
      </c>
      <c r="G33" s="30">
        <v>2.0272984E7</v>
      </c>
    </row>
    <row r="34" ht="12.75" customHeight="1">
      <c r="A34" s="31">
        <v>127.0</v>
      </c>
      <c r="B34" s="32" t="s">
        <v>43973</v>
      </c>
      <c r="C34" s="33">
        <v>20.0</v>
      </c>
      <c r="D34" s="32" t="s">
        <v>43974</v>
      </c>
      <c r="E34" s="32" t="s">
        <v>43975</v>
      </c>
      <c r="F34" s="31">
        <v>322.0</v>
      </c>
      <c r="G34" s="34">
        <v>2.027322E7</v>
      </c>
    </row>
    <row r="35" ht="12.75" customHeight="1">
      <c r="A35" s="27">
        <v>127.0</v>
      </c>
      <c r="B35" s="28" t="s">
        <v>43976</v>
      </c>
      <c r="C35" s="29">
        <v>20.0</v>
      </c>
      <c r="D35" s="28" t="s">
        <v>43977</v>
      </c>
      <c r="E35" s="28" t="s">
        <v>43978</v>
      </c>
      <c r="F35" s="27">
        <v>328.0</v>
      </c>
      <c r="G35" s="30">
        <v>2.0273288E7</v>
      </c>
    </row>
    <row r="36" ht="12.75" customHeight="1">
      <c r="A36" s="31">
        <v>127.0</v>
      </c>
      <c r="B36" s="32" t="s">
        <v>43979</v>
      </c>
      <c r="C36" s="33">
        <v>20.0</v>
      </c>
      <c r="D36" s="32" t="s">
        <v>43980</v>
      </c>
      <c r="E36" s="32" t="s">
        <v>43981</v>
      </c>
      <c r="F36" s="31">
        <v>337.0</v>
      </c>
      <c r="G36" s="34">
        <v>2.027337E7</v>
      </c>
    </row>
    <row r="37" ht="12.75" customHeight="1">
      <c r="A37" s="27">
        <v>127.0</v>
      </c>
      <c r="B37" s="28" t="s">
        <v>43982</v>
      </c>
      <c r="C37" s="29">
        <v>20.0</v>
      </c>
      <c r="D37" s="28" t="s">
        <v>43983</v>
      </c>
      <c r="E37" s="28" t="s">
        <v>43984</v>
      </c>
      <c r="F37" s="27">
        <v>343.0</v>
      </c>
      <c r="G37" s="30">
        <v>2.0273433E7</v>
      </c>
    </row>
    <row r="38" ht="12.75" customHeight="1">
      <c r="A38" s="31">
        <v>127.0</v>
      </c>
      <c r="B38" s="32" t="s">
        <v>43985</v>
      </c>
      <c r="C38" s="33">
        <v>20.0</v>
      </c>
      <c r="D38" s="32" t="s">
        <v>43986</v>
      </c>
      <c r="E38" s="32" t="s">
        <v>43987</v>
      </c>
      <c r="F38" s="31">
        <v>358.0</v>
      </c>
      <c r="G38" s="34">
        <v>2.0273583E7</v>
      </c>
    </row>
    <row r="39" ht="12.75" customHeight="1">
      <c r="A39" s="27">
        <v>127.0</v>
      </c>
      <c r="B39" s="28" t="s">
        <v>43988</v>
      </c>
      <c r="C39" s="29">
        <v>20.0</v>
      </c>
      <c r="D39" s="28" t="s">
        <v>43989</v>
      </c>
      <c r="E39" s="28" t="s">
        <v>43990</v>
      </c>
      <c r="F39" s="27">
        <v>394.0</v>
      </c>
      <c r="G39" s="30">
        <v>2.0273941E7</v>
      </c>
    </row>
    <row r="40" ht="12.75" customHeight="1">
      <c r="A40" s="31">
        <v>127.0</v>
      </c>
      <c r="B40" s="32" t="s">
        <v>43991</v>
      </c>
      <c r="C40" s="33">
        <v>20.0</v>
      </c>
      <c r="D40" s="32" t="s">
        <v>43992</v>
      </c>
      <c r="E40" s="32" t="s">
        <v>43993</v>
      </c>
      <c r="F40" s="31">
        <v>424.0</v>
      </c>
      <c r="G40" s="34">
        <v>2.0274245E7</v>
      </c>
    </row>
    <row r="41" ht="12.75" customHeight="1">
      <c r="A41" s="27">
        <v>127.0</v>
      </c>
      <c r="B41" s="28" t="s">
        <v>43994</v>
      </c>
      <c r="C41" s="29">
        <v>20.0</v>
      </c>
      <c r="D41" s="28" t="s">
        <v>43995</v>
      </c>
      <c r="E41" s="28" t="s">
        <v>43996</v>
      </c>
      <c r="F41" s="27">
        <v>472.0</v>
      </c>
      <c r="G41" s="30">
        <v>2.0274724E7</v>
      </c>
    </row>
    <row r="42" ht="12.75" customHeight="1">
      <c r="A42" s="31">
        <v>127.0</v>
      </c>
      <c r="B42" s="32" t="s">
        <v>43997</v>
      </c>
      <c r="C42" s="33">
        <v>20.0</v>
      </c>
      <c r="D42" s="32" t="s">
        <v>43998</v>
      </c>
      <c r="E42" s="32" t="s">
        <v>43999</v>
      </c>
      <c r="F42" s="31">
        <v>511.0</v>
      </c>
      <c r="G42" s="34">
        <v>2.027511E7</v>
      </c>
    </row>
    <row r="43" ht="12.75" customHeight="1">
      <c r="A43" s="27">
        <v>127.0</v>
      </c>
      <c r="B43" s="28" t="s">
        <v>44000</v>
      </c>
      <c r="C43" s="29">
        <v>20.0</v>
      </c>
      <c r="D43" s="28" t="s">
        <v>44001</v>
      </c>
      <c r="E43" s="28" t="s">
        <v>44002</v>
      </c>
      <c r="F43" s="27">
        <v>535.0</v>
      </c>
      <c r="G43" s="30">
        <v>2.0275352E7</v>
      </c>
    </row>
    <row r="44" ht="12.75" customHeight="1">
      <c r="A44" s="31">
        <v>127.0</v>
      </c>
      <c r="B44" s="32" t="s">
        <v>44003</v>
      </c>
      <c r="C44" s="33">
        <v>20.0</v>
      </c>
      <c r="D44" s="32" t="s">
        <v>44004</v>
      </c>
      <c r="E44" s="32" t="s">
        <v>44005</v>
      </c>
      <c r="F44" s="31">
        <v>709.0</v>
      </c>
      <c r="G44" s="34">
        <v>2.0277097E7</v>
      </c>
    </row>
    <row r="45" ht="12.75" customHeight="1">
      <c r="A45" s="27">
        <v>728.0</v>
      </c>
      <c r="B45" s="28" t="s">
        <v>44006</v>
      </c>
      <c r="C45" s="29">
        <v>20.0</v>
      </c>
      <c r="D45" s="28" t="s">
        <v>44007</v>
      </c>
      <c r="E45" s="28" t="s">
        <v>44008</v>
      </c>
      <c r="F45" s="29">
        <v>67.0</v>
      </c>
      <c r="G45" s="30">
        <v>2.0280671E7</v>
      </c>
    </row>
    <row r="46" ht="12.75" customHeight="1">
      <c r="A46" s="31">
        <v>329.0</v>
      </c>
      <c r="B46" s="32" t="s">
        <v>44009</v>
      </c>
      <c r="C46" s="33">
        <v>20.0</v>
      </c>
      <c r="D46" s="32" t="s">
        <v>44010</v>
      </c>
      <c r="E46" s="32" t="s">
        <v>44011</v>
      </c>
      <c r="F46" s="33">
        <v>52.0</v>
      </c>
      <c r="G46" s="34">
        <v>2.0290524E7</v>
      </c>
    </row>
    <row r="47" ht="12.75" customHeight="1">
      <c r="A47" s="27">
        <v>230.0</v>
      </c>
      <c r="B47" s="28" t="s">
        <v>44012</v>
      </c>
      <c r="C47" s="29">
        <v>20.0</v>
      </c>
      <c r="D47" s="28" t="s">
        <v>44013</v>
      </c>
      <c r="E47" s="28" t="s">
        <v>44014</v>
      </c>
      <c r="F47" s="29">
        <v>52.0</v>
      </c>
      <c r="G47" s="30">
        <v>2.0300522E7</v>
      </c>
    </row>
    <row r="48" ht="12.75" customHeight="1">
      <c r="A48" s="31">
        <v>133.0</v>
      </c>
      <c r="B48" s="32" t="s">
        <v>44015</v>
      </c>
      <c r="C48" s="33">
        <v>20.0</v>
      </c>
      <c r="D48" s="32" t="s">
        <v>44016</v>
      </c>
      <c r="E48" s="32" t="s">
        <v>44017</v>
      </c>
      <c r="F48" s="33">
        <v>22.0</v>
      </c>
      <c r="G48" s="34">
        <v>2.0330226E7</v>
      </c>
    </row>
    <row r="49" ht="12.75" customHeight="1">
      <c r="A49" s="27">
        <v>133.0</v>
      </c>
      <c r="B49" s="28" t="s">
        <v>44018</v>
      </c>
      <c r="C49" s="29">
        <v>20.0</v>
      </c>
      <c r="D49" s="28" t="s">
        <v>44019</v>
      </c>
      <c r="E49" s="28" t="s">
        <v>44020</v>
      </c>
      <c r="F49" s="29">
        <v>40.0</v>
      </c>
      <c r="G49" s="30">
        <v>2.03304E7</v>
      </c>
    </row>
    <row r="50" ht="12.75" customHeight="1">
      <c r="A50" s="31">
        <v>133.0</v>
      </c>
      <c r="B50" s="32" t="s">
        <v>44021</v>
      </c>
      <c r="C50" s="33">
        <v>20.0</v>
      </c>
      <c r="D50" s="32" t="s">
        <v>44022</v>
      </c>
      <c r="E50" s="32" t="s">
        <v>44023</v>
      </c>
      <c r="F50" s="31">
        <v>163.0</v>
      </c>
      <c r="G50" s="34">
        <v>2.0331638E7</v>
      </c>
    </row>
    <row r="51" ht="12.75" customHeight="1">
      <c r="A51" s="27">
        <v>836.0</v>
      </c>
      <c r="B51" s="28" t="s">
        <v>44024</v>
      </c>
      <c r="C51" s="29">
        <v>20.0</v>
      </c>
      <c r="D51" s="28" t="s">
        <v>44025</v>
      </c>
      <c r="E51" s="28" t="s">
        <v>44026</v>
      </c>
      <c r="F51" s="29">
        <v>61.0</v>
      </c>
      <c r="G51" s="30">
        <v>2.0360612E7</v>
      </c>
    </row>
    <row r="52" ht="12.75" customHeight="1">
      <c r="A52" s="31">
        <v>836.0</v>
      </c>
      <c r="B52" s="32" t="s">
        <v>44027</v>
      </c>
      <c r="C52" s="33">
        <v>20.0</v>
      </c>
      <c r="D52" s="32" t="s">
        <v>44028</v>
      </c>
      <c r="E52" s="32" t="s">
        <v>44029</v>
      </c>
      <c r="F52" s="33">
        <v>88.0</v>
      </c>
      <c r="G52" s="34">
        <v>2.0360883E7</v>
      </c>
    </row>
    <row r="53" ht="12.75" customHeight="1">
      <c r="A53" s="27">
        <v>441.0</v>
      </c>
      <c r="B53" s="28" t="s">
        <v>44030</v>
      </c>
      <c r="C53" s="29">
        <v>20.0</v>
      </c>
      <c r="D53" s="28" t="s">
        <v>44031</v>
      </c>
      <c r="E53" s="28" t="s">
        <v>44032</v>
      </c>
      <c r="F53" s="29">
        <v>28.0</v>
      </c>
      <c r="G53" s="30">
        <v>2.0410283E7</v>
      </c>
    </row>
    <row r="54" ht="12.75" customHeight="1">
      <c r="A54" s="31">
        <v>441.0</v>
      </c>
      <c r="B54" s="32" t="s">
        <v>44033</v>
      </c>
      <c r="C54" s="33">
        <v>20.0</v>
      </c>
      <c r="D54" s="32" t="s">
        <v>44034</v>
      </c>
      <c r="E54" s="32" t="s">
        <v>44035</v>
      </c>
      <c r="F54" s="33">
        <v>94.0</v>
      </c>
      <c r="G54" s="34">
        <v>2.0410946E7</v>
      </c>
    </row>
    <row r="55" ht="12.75" customHeight="1">
      <c r="A55" s="27">
        <v>441.0</v>
      </c>
      <c r="B55" s="28" t="s">
        <v>44036</v>
      </c>
      <c r="C55" s="29">
        <v>20.0</v>
      </c>
      <c r="D55" s="28" t="s">
        <v>44037</v>
      </c>
      <c r="E55" s="28" t="s">
        <v>44038</v>
      </c>
      <c r="F55" s="27">
        <v>109.0</v>
      </c>
      <c r="G55" s="30">
        <v>2.0411095E7</v>
      </c>
    </row>
    <row r="56" ht="12.75" customHeight="1">
      <c r="A56" s="31">
        <v>444.0</v>
      </c>
      <c r="B56" s="32" t="s">
        <v>44039</v>
      </c>
      <c r="C56" s="33">
        <v>20.0</v>
      </c>
      <c r="D56" s="32" t="s">
        <v>44040</v>
      </c>
      <c r="E56" s="32" t="s">
        <v>44041</v>
      </c>
      <c r="F56" s="33">
        <v>64.0</v>
      </c>
      <c r="G56" s="34">
        <v>2.044064E7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447.0</v>
      </c>
      <c r="B1" s="28" t="s">
        <v>44042</v>
      </c>
      <c r="C1" s="29">
        <v>20.0</v>
      </c>
      <c r="D1" s="28" t="s">
        <v>44043</v>
      </c>
      <c r="E1" s="28" t="s">
        <v>44044</v>
      </c>
      <c r="F1" s="27">
        <v>154.0</v>
      </c>
      <c r="G1" s="30">
        <v>2.0471543E7</v>
      </c>
    </row>
    <row r="2" ht="12.75" customHeight="1">
      <c r="A2" s="31">
        <v>148.0</v>
      </c>
      <c r="B2" s="32" t="s">
        <v>44045</v>
      </c>
      <c r="C2" s="33">
        <v>20.0</v>
      </c>
      <c r="D2" s="32" t="s">
        <v>44046</v>
      </c>
      <c r="E2" s="32" t="s">
        <v>44047</v>
      </c>
      <c r="F2" s="33">
        <v>7.0</v>
      </c>
      <c r="G2" s="34">
        <v>2.0480071E7</v>
      </c>
    </row>
    <row r="3" ht="12.75" customHeight="1">
      <c r="A3" s="27">
        <v>148.0</v>
      </c>
      <c r="B3" s="28" t="s">
        <v>44048</v>
      </c>
      <c r="C3" s="29">
        <v>20.0</v>
      </c>
      <c r="D3" s="28" t="s">
        <v>44049</v>
      </c>
      <c r="E3" s="28" t="s">
        <v>44050</v>
      </c>
      <c r="F3" s="29">
        <v>22.0</v>
      </c>
      <c r="G3" s="30">
        <v>2.0480226E7</v>
      </c>
    </row>
    <row r="4" ht="12.75" customHeight="1">
      <c r="A4" s="31">
        <v>450.0</v>
      </c>
      <c r="B4" s="32" t="s">
        <v>44051</v>
      </c>
      <c r="C4" s="33">
        <v>20.0</v>
      </c>
      <c r="D4" s="32" t="s">
        <v>44052</v>
      </c>
      <c r="E4" s="32" t="s">
        <v>44053</v>
      </c>
      <c r="F4" s="33">
        <v>94.0</v>
      </c>
      <c r="G4" s="34">
        <v>2.0500948E7</v>
      </c>
    </row>
    <row r="5" ht="12.75" customHeight="1">
      <c r="A5" s="27">
        <v>752.0</v>
      </c>
      <c r="B5" s="28" t="s">
        <v>44054</v>
      </c>
      <c r="C5" s="29">
        <v>20.0</v>
      </c>
      <c r="D5" s="28" t="s">
        <v>44055</v>
      </c>
      <c r="E5" s="28" t="s">
        <v>44056</v>
      </c>
      <c r="F5" s="29">
        <v>46.0</v>
      </c>
      <c r="G5" s="30">
        <v>2.0520465E7</v>
      </c>
    </row>
    <row r="6" ht="12.75" customHeight="1">
      <c r="A6" s="31">
        <v>156.0</v>
      </c>
      <c r="B6" s="32" t="s">
        <v>44057</v>
      </c>
      <c r="C6" s="33">
        <v>20.0</v>
      </c>
      <c r="D6" s="32" t="s">
        <v>44058</v>
      </c>
      <c r="E6" s="32" t="s">
        <v>44059</v>
      </c>
      <c r="F6" s="33">
        <v>8.0</v>
      </c>
      <c r="G6" s="34">
        <v>2.0560083E7</v>
      </c>
    </row>
    <row r="7" ht="12.75" customHeight="1">
      <c r="A7" s="27">
        <v>858.0</v>
      </c>
      <c r="B7" s="28" t="s">
        <v>44060</v>
      </c>
      <c r="C7" s="29">
        <v>20.0</v>
      </c>
      <c r="D7" s="28" t="s">
        <v>44061</v>
      </c>
      <c r="E7" s="28" t="s">
        <v>44062</v>
      </c>
      <c r="F7" s="27">
        <v>118.0</v>
      </c>
      <c r="G7" s="30">
        <v>2.0581183E7</v>
      </c>
    </row>
    <row r="8" ht="12.75" customHeight="1">
      <c r="A8" s="31">
        <v>858.0</v>
      </c>
      <c r="B8" s="32" t="s">
        <v>44063</v>
      </c>
      <c r="C8" s="33">
        <v>20.0</v>
      </c>
      <c r="D8" s="32" t="s">
        <v>44064</v>
      </c>
      <c r="E8" s="32" t="s">
        <v>44065</v>
      </c>
      <c r="F8" s="31">
        <v>172.0</v>
      </c>
      <c r="G8" s="34">
        <v>2.0581725E7</v>
      </c>
    </row>
    <row r="9" ht="12.75" customHeight="1">
      <c r="A9" s="27">
        <v>161.0</v>
      </c>
      <c r="B9" s="28" t="s">
        <v>44066</v>
      </c>
      <c r="C9" s="29">
        <v>20.0</v>
      </c>
      <c r="D9" s="28" t="s">
        <v>44067</v>
      </c>
      <c r="E9" s="28" t="s">
        <v>44068</v>
      </c>
      <c r="F9" s="27">
        <v>178.0</v>
      </c>
      <c r="G9" s="30">
        <v>2.0611787E7</v>
      </c>
    </row>
    <row r="10" ht="12.75" customHeight="1">
      <c r="A10" s="31">
        <v>161.0</v>
      </c>
      <c r="B10" s="32" t="s">
        <v>44069</v>
      </c>
      <c r="C10" s="33">
        <v>20.0</v>
      </c>
      <c r="D10" s="32" t="s">
        <v>44070</v>
      </c>
      <c r="E10" s="32" t="s">
        <v>44071</v>
      </c>
      <c r="F10" s="31">
        <v>209.0</v>
      </c>
      <c r="G10" s="34">
        <v>2.0612094E7</v>
      </c>
    </row>
    <row r="11" ht="12.75" customHeight="1">
      <c r="A11" s="27">
        <v>564.0</v>
      </c>
      <c r="B11" s="28" t="s">
        <v>44072</v>
      </c>
      <c r="C11" s="29">
        <v>20.0</v>
      </c>
      <c r="D11" s="28" t="s">
        <v>44073</v>
      </c>
      <c r="E11" s="28" t="s">
        <v>44074</v>
      </c>
      <c r="F11" s="27">
        <v>118.0</v>
      </c>
      <c r="G11" s="30">
        <v>2.0641186E7</v>
      </c>
    </row>
    <row r="12" ht="12.75" customHeight="1">
      <c r="A12" s="31">
        <v>167.0</v>
      </c>
      <c r="B12" s="32" t="s">
        <v>44075</v>
      </c>
      <c r="C12" s="33">
        <v>20.0</v>
      </c>
      <c r="D12" s="32" t="s">
        <v>44076</v>
      </c>
      <c r="E12" s="32" t="s">
        <v>44077</v>
      </c>
      <c r="F12" s="33">
        <v>22.0</v>
      </c>
      <c r="G12" s="34">
        <v>2.0670223E7</v>
      </c>
    </row>
    <row r="13" ht="12.75" customHeight="1">
      <c r="A13" s="27">
        <v>167.0</v>
      </c>
      <c r="B13" s="28" t="s">
        <v>44078</v>
      </c>
      <c r="C13" s="29">
        <v>20.0</v>
      </c>
      <c r="D13" s="28" t="s">
        <v>44079</v>
      </c>
      <c r="E13" s="28" t="s">
        <v>44080</v>
      </c>
      <c r="F13" s="27">
        <v>118.0</v>
      </c>
      <c r="G13" s="30">
        <v>2.0671185E7</v>
      </c>
    </row>
    <row r="14" ht="12.75" customHeight="1">
      <c r="A14" s="31">
        <v>167.0</v>
      </c>
      <c r="B14" s="32" t="s">
        <v>44081</v>
      </c>
      <c r="C14" s="33">
        <v>20.0</v>
      </c>
      <c r="D14" s="32" t="s">
        <v>44082</v>
      </c>
      <c r="E14" s="32" t="s">
        <v>44083</v>
      </c>
      <c r="F14" s="31">
        <v>130.0</v>
      </c>
      <c r="G14" s="34">
        <v>2.0671301E7</v>
      </c>
    </row>
    <row r="15" ht="12.75" customHeight="1">
      <c r="A15" s="27">
        <v>168.0</v>
      </c>
      <c r="B15" s="28" t="s">
        <v>44084</v>
      </c>
      <c r="C15" s="29">
        <v>20.0</v>
      </c>
      <c r="D15" s="28" t="s">
        <v>44085</v>
      </c>
      <c r="E15" s="28" t="s">
        <v>44086</v>
      </c>
      <c r="F15" s="29">
        <v>67.0</v>
      </c>
      <c r="G15" s="30">
        <v>2.0680671E7</v>
      </c>
    </row>
    <row r="16" ht="12.75" customHeight="1">
      <c r="A16" s="31">
        <v>570.0</v>
      </c>
      <c r="B16" s="32" t="s">
        <v>44087</v>
      </c>
      <c r="C16" s="33">
        <v>20.0</v>
      </c>
      <c r="D16" s="32" t="s">
        <v>44088</v>
      </c>
      <c r="E16" s="32" t="s">
        <v>44089</v>
      </c>
      <c r="F16" s="33">
        <v>25.0</v>
      </c>
      <c r="G16" s="34">
        <v>2.0700256E7</v>
      </c>
    </row>
    <row r="17" ht="12.75" customHeight="1">
      <c r="A17" s="27">
        <v>773.0</v>
      </c>
      <c r="B17" s="28" t="s">
        <v>44090</v>
      </c>
      <c r="C17" s="29">
        <v>20.0</v>
      </c>
      <c r="D17" s="28" t="s">
        <v>44091</v>
      </c>
      <c r="E17" s="28" t="s">
        <v>44092</v>
      </c>
      <c r="F17" s="29">
        <v>79.0</v>
      </c>
      <c r="G17" s="30">
        <v>2.0730792E7</v>
      </c>
    </row>
    <row r="18" ht="12.75" customHeight="1">
      <c r="A18" s="31">
        <v>275.0</v>
      </c>
      <c r="B18" s="32" t="s">
        <v>44093</v>
      </c>
      <c r="C18" s="33">
        <v>20.0</v>
      </c>
      <c r="D18" s="32" t="s">
        <v>44094</v>
      </c>
      <c r="E18" s="32" t="s">
        <v>44095</v>
      </c>
      <c r="F18" s="33">
        <v>67.0</v>
      </c>
      <c r="G18" s="34">
        <v>2.0750677E7</v>
      </c>
    </row>
    <row r="19" ht="12.75" customHeight="1">
      <c r="A19" s="27">
        <v>576.0</v>
      </c>
      <c r="B19" s="28" t="s">
        <v>44096</v>
      </c>
      <c r="C19" s="29">
        <v>20.0</v>
      </c>
      <c r="D19" s="28" t="s">
        <v>44097</v>
      </c>
      <c r="E19" s="28" t="s">
        <v>44098</v>
      </c>
      <c r="F19" s="27">
        <v>178.0</v>
      </c>
      <c r="G19" s="30">
        <v>2.0761787E7</v>
      </c>
    </row>
    <row r="20" ht="12.75" customHeight="1">
      <c r="A20" s="31">
        <v>581.0</v>
      </c>
      <c r="B20" s="32" t="s">
        <v>44099</v>
      </c>
      <c r="C20" s="33">
        <v>20.0</v>
      </c>
      <c r="D20" s="32" t="s">
        <v>44100</v>
      </c>
      <c r="E20" s="32" t="s">
        <v>44101</v>
      </c>
      <c r="F20" s="31">
        <v>193.0</v>
      </c>
      <c r="G20" s="34">
        <v>2.0811932E7</v>
      </c>
    </row>
    <row r="21" ht="12.75" customHeight="1">
      <c r="A21" s="27">
        <v>785.0</v>
      </c>
      <c r="B21" s="28" t="s">
        <v>44102</v>
      </c>
      <c r="C21" s="29">
        <v>20.0</v>
      </c>
      <c r="D21" s="28" t="s">
        <v>44103</v>
      </c>
      <c r="E21" s="28" t="s">
        <v>44104</v>
      </c>
      <c r="F21" s="27">
        <v>145.0</v>
      </c>
      <c r="G21" s="30">
        <v>2.0851455E7</v>
      </c>
    </row>
    <row r="22" ht="12.75" customHeight="1">
      <c r="A22" s="31">
        <v>487.0</v>
      </c>
      <c r="B22" s="32" t="s">
        <v>44105</v>
      </c>
      <c r="C22" s="33">
        <v>20.0</v>
      </c>
      <c r="D22" s="32" t="s">
        <v>44106</v>
      </c>
      <c r="E22" s="32" t="s">
        <v>44107</v>
      </c>
      <c r="F22" s="31">
        <v>109.0</v>
      </c>
      <c r="G22" s="34">
        <v>2.0871093E7</v>
      </c>
    </row>
    <row r="23" ht="12.75" customHeight="1">
      <c r="A23" s="27">
        <v>688.0</v>
      </c>
      <c r="B23" s="28" t="s">
        <v>44108</v>
      </c>
      <c r="C23" s="29">
        <v>20.0</v>
      </c>
      <c r="D23" s="28" t="s">
        <v>44109</v>
      </c>
      <c r="E23" s="28" t="s">
        <v>44110</v>
      </c>
      <c r="F23" s="27">
        <v>187.0</v>
      </c>
      <c r="G23" s="30">
        <v>2.088187E7</v>
      </c>
    </row>
    <row r="24" ht="12.75" customHeight="1">
      <c r="A24" s="31">
        <v>890.0</v>
      </c>
      <c r="B24" s="32" t="s">
        <v>44111</v>
      </c>
      <c r="C24" s="33">
        <v>20.0</v>
      </c>
      <c r="D24" s="32" t="s">
        <v>44112</v>
      </c>
      <c r="E24" s="32" t="s">
        <v>44113</v>
      </c>
      <c r="F24" s="33">
        <v>22.0</v>
      </c>
      <c r="G24" s="34">
        <v>2.0900227E7</v>
      </c>
    </row>
    <row r="25" ht="12.75" customHeight="1">
      <c r="A25" s="27">
        <v>891.0</v>
      </c>
      <c r="B25" s="28" t="s">
        <v>44114</v>
      </c>
      <c r="C25" s="29">
        <v>20.0</v>
      </c>
      <c r="D25" s="28" t="s">
        <v>44115</v>
      </c>
      <c r="E25" s="28" t="s">
        <v>44116</v>
      </c>
      <c r="F25" s="29">
        <v>52.0</v>
      </c>
      <c r="G25" s="30">
        <v>2.0910525E7</v>
      </c>
    </row>
    <row r="26" ht="12.75" customHeight="1">
      <c r="A26" s="31">
        <v>891.0</v>
      </c>
      <c r="B26" s="32" t="s">
        <v>44117</v>
      </c>
      <c r="C26" s="33">
        <v>20.0</v>
      </c>
      <c r="D26" s="32" t="s">
        <v>44118</v>
      </c>
      <c r="E26" s="32" t="s">
        <v>44119</v>
      </c>
      <c r="F26" s="31">
        <v>109.0</v>
      </c>
      <c r="G26" s="34">
        <v>2.091109E7</v>
      </c>
    </row>
    <row r="27" ht="12.75" customHeight="1">
      <c r="A27" s="27">
        <v>891.0</v>
      </c>
      <c r="B27" s="28" t="s">
        <v>44120</v>
      </c>
      <c r="C27" s="29">
        <v>20.0</v>
      </c>
      <c r="D27" s="28" t="s">
        <v>44121</v>
      </c>
      <c r="E27" s="28" t="s">
        <v>44122</v>
      </c>
      <c r="F27" s="27">
        <v>148.0</v>
      </c>
      <c r="G27" s="30">
        <v>2.0911487E7</v>
      </c>
    </row>
    <row r="28" ht="12.75" customHeight="1">
      <c r="A28" s="31">
        <v>891.0</v>
      </c>
      <c r="B28" s="32" t="s">
        <v>44123</v>
      </c>
      <c r="C28" s="33">
        <v>20.0</v>
      </c>
      <c r="D28" s="32" t="s">
        <v>44124</v>
      </c>
      <c r="E28" s="32" t="s">
        <v>44125</v>
      </c>
      <c r="F28" s="31">
        <v>265.0</v>
      </c>
      <c r="G28" s="34">
        <v>2.0912657E7</v>
      </c>
    </row>
    <row r="29" ht="12.75" customHeight="1">
      <c r="A29" s="27">
        <v>891.0</v>
      </c>
      <c r="B29" s="28" t="s">
        <v>44126</v>
      </c>
      <c r="C29" s="29">
        <v>20.0</v>
      </c>
      <c r="D29" s="28" t="s">
        <v>44127</v>
      </c>
      <c r="E29" s="28" t="s">
        <v>44128</v>
      </c>
      <c r="F29" s="27">
        <v>382.0</v>
      </c>
      <c r="G29" s="30">
        <v>2.0913827E7</v>
      </c>
    </row>
    <row r="30" ht="12.75" customHeight="1">
      <c r="A30" s="31">
        <v>193.0</v>
      </c>
      <c r="B30" s="32" t="s">
        <v>44129</v>
      </c>
      <c r="C30" s="33">
        <v>20.0</v>
      </c>
      <c r="D30" s="32" t="s">
        <v>44130</v>
      </c>
      <c r="E30" s="32" t="s">
        <v>44131</v>
      </c>
      <c r="F30" s="31">
        <v>229.0</v>
      </c>
      <c r="G30" s="34">
        <v>2.0932295E7</v>
      </c>
    </row>
    <row r="31" ht="12.75" customHeight="1">
      <c r="A31" s="27">
        <v>306.0</v>
      </c>
      <c r="B31" s="28" t="s">
        <v>44132</v>
      </c>
      <c r="C31" s="29">
        <v>25.0</v>
      </c>
      <c r="D31" s="28" t="s">
        <v>44133</v>
      </c>
      <c r="E31" s="28" t="s">
        <v>44134</v>
      </c>
      <c r="F31" s="29">
        <v>0.0</v>
      </c>
      <c r="G31" s="30">
        <v>2.5060009E7</v>
      </c>
    </row>
    <row r="32" ht="12.75" customHeight="1">
      <c r="A32" s="31">
        <v>306.0</v>
      </c>
      <c r="B32" s="32" t="s">
        <v>44135</v>
      </c>
      <c r="C32" s="33">
        <v>25.0</v>
      </c>
      <c r="D32" s="32" t="s">
        <v>44136</v>
      </c>
      <c r="E32" s="32" t="s">
        <v>44137</v>
      </c>
      <c r="F32" s="31">
        <v>111.0</v>
      </c>
      <c r="G32" s="34">
        <v>2.5061116E7</v>
      </c>
    </row>
    <row r="33" ht="12.75" customHeight="1">
      <c r="A33" s="27">
        <v>306.0</v>
      </c>
      <c r="B33" s="28" t="s">
        <v>44138</v>
      </c>
      <c r="C33" s="29">
        <v>25.0</v>
      </c>
      <c r="D33" s="28" t="s">
        <v>44139</v>
      </c>
      <c r="E33" s="28" t="s">
        <v>44140</v>
      </c>
      <c r="F33" s="27">
        <v>222.0</v>
      </c>
      <c r="G33" s="30">
        <v>2.5062223E7</v>
      </c>
    </row>
    <row r="34" ht="12.75" customHeight="1">
      <c r="A34" s="31">
        <v>306.0</v>
      </c>
      <c r="B34" s="32" t="s">
        <v>44141</v>
      </c>
      <c r="C34" s="33">
        <v>25.0</v>
      </c>
      <c r="D34" s="32" t="s">
        <v>44142</v>
      </c>
      <c r="E34" s="32" t="s">
        <v>44143</v>
      </c>
      <c r="F34" s="31">
        <v>888.0</v>
      </c>
      <c r="G34" s="34">
        <v>2.5068885E7</v>
      </c>
    </row>
    <row r="35" ht="12.75" customHeight="1">
      <c r="A35" s="27">
        <v>610.0</v>
      </c>
      <c r="B35" s="28" t="s">
        <v>44144</v>
      </c>
      <c r="C35" s="29">
        <v>25.0</v>
      </c>
      <c r="D35" s="28" t="s">
        <v>44145</v>
      </c>
      <c r="E35" s="28" t="s">
        <v>44146</v>
      </c>
      <c r="F35" s="29">
        <v>0.0</v>
      </c>
      <c r="G35" s="30">
        <v>2.5100006E7</v>
      </c>
    </row>
    <row r="36" ht="12.75" customHeight="1">
      <c r="A36" s="31">
        <v>610.0</v>
      </c>
      <c r="B36" s="32" t="s">
        <v>44147</v>
      </c>
      <c r="C36" s="33">
        <v>25.0</v>
      </c>
      <c r="D36" s="32" t="s">
        <v>44148</v>
      </c>
      <c r="E36" s="32" t="s">
        <v>44149</v>
      </c>
      <c r="F36" s="31">
        <v>111.0</v>
      </c>
      <c r="G36" s="34">
        <v>2.5101113E7</v>
      </c>
    </row>
    <row r="37" ht="12.75" customHeight="1">
      <c r="A37" s="27">
        <v>610.0</v>
      </c>
      <c r="B37" s="28" t="s">
        <v>44150</v>
      </c>
      <c r="C37" s="29">
        <v>25.0</v>
      </c>
      <c r="D37" s="28" t="s">
        <v>44151</v>
      </c>
      <c r="E37" s="28" t="s">
        <v>44152</v>
      </c>
      <c r="F37" s="27">
        <v>222.0</v>
      </c>
      <c r="G37" s="30">
        <v>2.510222E7</v>
      </c>
    </row>
    <row r="38" ht="12.75" customHeight="1">
      <c r="A38" s="31">
        <v>610.0</v>
      </c>
      <c r="B38" s="32" t="s">
        <v>44153</v>
      </c>
      <c r="C38" s="33">
        <v>25.0</v>
      </c>
      <c r="D38" s="32" t="s">
        <v>44154</v>
      </c>
      <c r="E38" s="32" t="s">
        <v>44155</v>
      </c>
      <c r="F38" s="31">
        <v>888.0</v>
      </c>
      <c r="G38" s="34">
        <v>2.5108882E7</v>
      </c>
    </row>
    <row r="39" ht="12.75" customHeight="1">
      <c r="A39" s="27">
        <v>215.0</v>
      </c>
      <c r="B39" s="28" t="s">
        <v>44156</v>
      </c>
      <c r="C39" s="29">
        <v>25.0</v>
      </c>
      <c r="D39" s="28" t="s">
        <v>44157</v>
      </c>
      <c r="E39" s="28" t="s">
        <v>44158</v>
      </c>
      <c r="F39" s="29">
        <v>0.0</v>
      </c>
      <c r="G39" s="30">
        <v>2.5150001E7</v>
      </c>
    </row>
    <row r="40" ht="12.75" customHeight="1">
      <c r="A40" s="31">
        <v>215.0</v>
      </c>
      <c r="B40" s="32" t="s">
        <v>44159</v>
      </c>
      <c r="C40" s="33">
        <v>25.0</v>
      </c>
      <c r="D40" s="32" t="s">
        <v>44160</v>
      </c>
      <c r="E40" s="32" t="s">
        <v>44161</v>
      </c>
      <c r="F40" s="31">
        <v>111.0</v>
      </c>
      <c r="G40" s="34">
        <v>2.5151118E7</v>
      </c>
    </row>
    <row r="41" ht="12.75" customHeight="1">
      <c r="A41" s="27">
        <v>215.0</v>
      </c>
      <c r="B41" s="28" t="s">
        <v>44162</v>
      </c>
      <c r="C41" s="29">
        <v>25.0</v>
      </c>
      <c r="D41" s="28" t="s">
        <v>44163</v>
      </c>
      <c r="E41" s="28" t="s">
        <v>44164</v>
      </c>
      <c r="F41" s="27">
        <v>222.0</v>
      </c>
      <c r="G41" s="30">
        <v>2.5152225E7</v>
      </c>
    </row>
    <row r="42" ht="12.75" customHeight="1">
      <c r="A42" s="31">
        <v>215.0</v>
      </c>
      <c r="B42" s="32" t="s">
        <v>44165</v>
      </c>
      <c r="C42" s="33">
        <v>25.0</v>
      </c>
      <c r="D42" s="32" t="s">
        <v>44166</v>
      </c>
      <c r="E42" s="32" t="s">
        <v>44167</v>
      </c>
      <c r="F42" s="31">
        <v>888.0</v>
      </c>
      <c r="G42" s="34">
        <v>2.5158887E7</v>
      </c>
    </row>
    <row r="43" ht="12.75" customHeight="1">
      <c r="A43" s="27">
        <v>127.0</v>
      </c>
      <c r="B43" s="28" t="s">
        <v>44168</v>
      </c>
      <c r="C43" s="29">
        <v>25.0</v>
      </c>
      <c r="D43" s="28" t="s">
        <v>44169</v>
      </c>
      <c r="E43" s="28" t="s">
        <v>44170</v>
      </c>
      <c r="F43" s="29">
        <v>0.0</v>
      </c>
      <c r="G43" s="30">
        <v>2.5270002E7</v>
      </c>
    </row>
    <row r="44" ht="12.75" customHeight="1">
      <c r="A44" s="31">
        <v>127.0</v>
      </c>
      <c r="B44" s="32" t="s">
        <v>44171</v>
      </c>
      <c r="C44" s="33">
        <v>25.0</v>
      </c>
      <c r="D44" s="32" t="s">
        <v>44172</v>
      </c>
      <c r="E44" s="32" t="s">
        <v>44173</v>
      </c>
      <c r="F44" s="31">
        <v>111.0</v>
      </c>
      <c r="G44" s="34">
        <v>2.5271119E7</v>
      </c>
    </row>
    <row r="45" ht="12.75" customHeight="1">
      <c r="A45" s="27">
        <v>127.0</v>
      </c>
      <c r="B45" s="28" t="s">
        <v>44174</v>
      </c>
      <c r="C45" s="29">
        <v>25.0</v>
      </c>
      <c r="D45" s="28" t="s">
        <v>44175</v>
      </c>
      <c r="E45" s="28" t="s">
        <v>44176</v>
      </c>
      <c r="F45" s="27">
        <v>222.0</v>
      </c>
      <c r="G45" s="30">
        <v>2.5272226E7</v>
      </c>
    </row>
    <row r="46" ht="12.75" customHeight="1">
      <c r="A46" s="31">
        <v>127.0</v>
      </c>
      <c r="B46" s="32" t="s">
        <v>44177</v>
      </c>
      <c r="C46" s="33">
        <v>25.0</v>
      </c>
      <c r="D46" s="32" t="s">
        <v>44178</v>
      </c>
      <c r="E46" s="32" t="s">
        <v>44179</v>
      </c>
      <c r="F46" s="31">
        <v>268.0</v>
      </c>
      <c r="G46" s="34">
        <v>2.5272684E7</v>
      </c>
    </row>
    <row r="47" ht="12.75" customHeight="1">
      <c r="A47" s="27">
        <v>127.0</v>
      </c>
      <c r="B47" s="28" t="s">
        <v>44180</v>
      </c>
      <c r="C47" s="29">
        <v>25.0</v>
      </c>
      <c r="D47" s="28" t="s">
        <v>44181</v>
      </c>
      <c r="E47" s="28" t="s">
        <v>44182</v>
      </c>
      <c r="F47" s="27">
        <v>592.0</v>
      </c>
      <c r="G47" s="30">
        <v>2.5275928E7</v>
      </c>
    </row>
    <row r="48" ht="12.75" customHeight="1">
      <c r="A48" s="31">
        <v>127.0</v>
      </c>
      <c r="B48" s="32" t="s">
        <v>44183</v>
      </c>
      <c r="C48" s="33">
        <v>25.0</v>
      </c>
      <c r="D48" s="32" t="s">
        <v>44184</v>
      </c>
      <c r="E48" s="32" t="s">
        <v>44185</v>
      </c>
      <c r="F48" s="31">
        <v>888.0</v>
      </c>
      <c r="G48" s="34">
        <v>2.5278888E7</v>
      </c>
    </row>
    <row r="49" ht="12.75" customHeight="1">
      <c r="A49" s="27">
        <v>127.0</v>
      </c>
      <c r="B49" s="28" t="s">
        <v>44186</v>
      </c>
      <c r="C49" s="29">
        <v>25.0</v>
      </c>
      <c r="D49" s="28" t="s">
        <v>44187</v>
      </c>
      <c r="E49" s="28" t="s">
        <v>44188</v>
      </c>
      <c r="F49" s="27">
        <v>999.0</v>
      </c>
      <c r="G49" s="30">
        <v>2.5279995E7</v>
      </c>
    </row>
    <row r="50" ht="12.75" customHeight="1">
      <c r="A50" s="31">
        <v>447.0</v>
      </c>
      <c r="B50" s="32" t="s">
        <v>44189</v>
      </c>
      <c r="C50" s="33">
        <v>25.0</v>
      </c>
      <c r="D50" s="32" t="s">
        <v>44190</v>
      </c>
      <c r="E50" s="32" t="s">
        <v>44191</v>
      </c>
      <c r="F50" s="33">
        <v>0.0</v>
      </c>
      <c r="G50" s="34">
        <v>2.5470002E7</v>
      </c>
    </row>
    <row r="51" ht="12.75" customHeight="1">
      <c r="A51" s="27">
        <v>447.0</v>
      </c>
      <c r="B51" s="28" t="s">
        <v>44192</v>
      </c>
      <c r="C51" s="29">
        <v>25.0</v>
      </c>
      <c r="D51" s="28" t="s">
        <v>44193</v>
      </c>
      <c r="E51" s="28" t="s">
        <v>44194</v>
      </c>
      <c r="F51" s="27">
        <v>111.0</v>
      </c>
      <c r="G51" s="30">
        <v>2.5471119E7</v>
      </c>
    </row>
    <row r="52" ht="12.75" customHeight="1">
      <c r="A52" s="31">
        <v>447.0</v>
      </c>
      <c r="B52" s="32" t="s">
        <v>44195</v>
      </c>
      <c r="C52" s="33">
        <v>25.0</v>
      </c>
      <c r="D52" s="32" t="s">
        <v>44196</v>
      </c>
      <c r="E52" s="32" t="s">
        <v>44197</v>
      </c>
      <c r="F52" s="31">
        <v>222.0</v>
      </c>
      <c r="G52" s="34">
        <v>2.5472226E7</v>
      </c>
    </row>
    <row r="53" ht="12.75" customHeight="1">
      <c r="A53" s="27">
        <v>447.0</v>
      </c>
      <c r="B53" s="28" t="s">
        <v>44198</v>
      </c>
      <c r="C53" s="29">
        <v>25.0</v>
      </c>
      <c r="D53" s="28" t="s">
        <v>44199</v>
      </c>
      <c r="E53" s="28" t="s">
        <v>44200</v>
      </c>
      <c r="F53" s="27">
        <v>888.0</v>
      </c>
      <c r="G53" s="30">
        <v>2.5478888E7</v>
      </c>
    </row>
    <row r="54" ht="12.75" customHeight="1">
      <c r="A54" s="31">
        <v>581.0</v>
      </c>
      <c r="B54" s="32" t="s">
        <v>44201</v>
      </c>
      <c r="C54" s="33">
        <v>25.0</v>
      </c>
      <c r="D54" s="32" t="s">
        <v>44202</v>
      </c>
      <c r="E54" s="32" t="s">
        <v>44203</v>
      </c>
      <c r="F54" s="33">
        <v>0.0</v>
      </c>
      <c r="G54" s="34">
        <v>2.5810004E7</v>
      </c>
    </row>
    <row r="55" ht="12.75" customHeight="1">
      <c r="A55" s="27">
        <v>581.0</v>
      </c>
      <c r="B55" s="28" t="s">
        <v>44204</v>
      </c>
      <c r="C55" s="29">
        <v>25.0</v>
      </c>
      <c r="D55" s="28" t="s">
        <v>44205</v>
      </c>
      <c r="E55" s="28" t="s">
        <v>44206</v>
      </c>
      <c r="F55" s="27">
        <v>111.0</v>
      </c>
      <c r="G55" s="30">
        <v>2.5811111E7</v>
      </c>
    </row>
    <row r="56" ht="12.75" customHeight="1">
      <c r="A56" s="31">
        <v>581.0</v>
      </c>
      <c r="B56" s="32" t="s">
        <v>44207</v>
      </c>
      <c r="C56" s="33">
        <v>25.0</v>
      </c>
      <c r="D56" s="32" t="s">
        <v>44208</v>
      </c>
      <c r="E56" s="32" t="s">
        <v>44209</v>
      </c>
      <c r="F56" s="31">
        <v>222.0</v>
      </c>
      <c r="G56" s="34">
        <v>2.5812228E7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581.0</v>
      </c>
      <c r="B1" s="28" t="s">
        <v>44210</v>
      </c>
      <c r="C1" s="29">
        <v>25.0</v>
      </c>
      <c r="D1" s="28" t="s">
        <v>44211</v>
      </c>
      <c r="E1" s="28" t="s">
        <v>44212</v>
      </c>
      <c r="F1" s="27">
        <v>888.0</v>
      </c>
      <c r="G1" s="30">
        <v>2.5819997E7</v>
      </c>
    </row>
    <row r="2" ht="12.75" customHeight="1">
      <c r="A2" s="31">
        <v>785.0</v>
      </c>
      <c r="B2" s="32" t="s">
        <v>44213</v>
      </c>
      <c r="C2" s="33">
        <v>25.0</v>
      </c>
      <c r="D2" s="32" t="s">
        <v>44214</v>
      </c>
      <c r="E2" s="32" t="s">
        <v>44215</v>
      </c>
      <c r="F2" s="33">
        <v>0.0</v>
      </c>
      <c r="G2" s="34">
        <v>2.5850006E7</v>
      </c>
    </row>
    <row r="3" ht="12.75" customHeight="1">
      <c r="A3" s="27">
        <v>785.0</v>
      </c>
      <c r="B3" s="28" t="s">
        <v>44216</v>
      </c>
      <c r="C3" s="29">
        <v>25.0</v>
      </c>
      <c r="D3" s="28" t="s">
        <v>44217</v>
      </c>
      <c r="E3" s="28" t="s">
        <v>44218</v>
      </c>
      <c r="F3" s="27">
        <v>111.0</v>
      </c>
      <c r="G3" s="30">
        <v>2.5851113E7</v>
      </c>
    </row>
    <row r="4" ht="12.75" customHeight="1">
      <c r="A4" s="31">
        <v>785.0</v>
      </c>
      <c r="B4" s="32" t="s">
        <v>44219</v>
      </c>
      <c r="C4" s="33">
        <v>25.0</v>
      </c>
      <c r="D4" s="32" t="s">
        <v>44220</v>
      </c>
      <c r="E4" s="32" t="s">
        <v>44221</v>
      </c>
      <c r="F4" s="31">
        <v>222.0</v>
      </c>
      <c r="G4" s="34">
        <v>2.585222E7</v>
      </c>
    </row>
    <row r="5" ht="12.75" customHeight="1">
      <c r="A5" s="27">
        <v>785.0</v>
      </c>
      <c r="B5" s="28" t="s">
        <v>44222</v>
      </c>
      <c r="C5" s="29">
        <v>25.0</v>
      </c>
      <c r="D5" s="28" t="s">
        <v>44223</v>
      </c>
      <c r="E5" s="28" t="s">
        <v>44224</v>
      </c>
      <c r="F5" s="27">
        <v>888.0</v>
      </c>
      <c r="G5" s="30">
        <v>2.5858882E7</v>
      </c>
    </row>
    <row r="6" ht="12.75" customHeight="1">
      <c r="A6" s="31">
        <v>891.0</v>
      </c>
      <c r="B6" s="32" t="s">
        <v>44225</v>
      </c>
      <c r="C6" s="33">
        <v>25.0</v>
      </c>
      <c r="D6" s="32" t="s">
        <v>44226</v>
      </c>
      <c r="E6" s="32" t="s">
        <v>44227</v>
      </c>
      <c r="F6" s="33">
        <v>0.0</v>
      </c>
      <c r="G6" s="34">
        <v>2.5910009E7</v>
      </c>
    </row>
    <row r="7" ht="12.75" customHeight="1">
      <c r="A7" s="27">
        <v>891.0</v>
      </c>
      <c r="B7" s="28" t="s">
        <v>44228</v>
      </c>
      <c r="C7" s="29">
        <v>25.0</v>
      </c>
      <c r="D7" s="28" t="s">
        <v>44229</v>
      </c>
      <c r="E7" s="28" t="s">
        <v>44230</v>
      </c>
      <c r="F7" s="27">
        <v>111.0</v>
      </c>
      <c r="G7" s="30">
        <v>2.5911116E7</v>
      </c>
    </row>
    <row r="8" ht="12.75" customHeight="1">
      <c r="A8" s="31">
        <v>891.0</v>
      </c>
      <c r="B8" s="32" t="s">
        <v>44231</v>
      </c>
      <c r="C8" s="33">
        <v>25.0</v>
      </c>
      <c r="D8" s="32" t="s">
        <v>44232</v>
      </c>
      <c r="E8" s="32" t="s">
        <v>44233</v>
      </c>
      <c r="F8" s="31">
        <v>222.0</v>
      </c>
      <c r="G8" s="34">
        <v>2.5912223E7</v>
      </c>
    </row>
    <row r="9" ht="12.75" customHeight="1">
      <c r="A9" s="27">
        <v>891.0</v>
      </c>
      <c r="B9" s="28" t="s">
        <v>44234</v>
      </c>
      <c r="C9" s="29">
        <v>25.0</v>
      </c>
      <c r="D9" s="28" t="s">
        <v>44235</v>
      </c>
      <c r="E9" s="28" t="s">
        <v>44236</v>
      </c>
      <c r="F9" s="27">
        <v>888.0</v>
      </c>
      <c r="G9" s="30">
        <v>2.5918885E7</v>
      </c>
    </row>
    <row r="10" ht="12.75" customHeight="1">
      <c r="A10" s="31">
        <v>306.0</v>
      </c>
      <c r="B10" s="32" t="s">
        <v>44237</v>
      </c>
      <c r="C10" s="33">
        <v>30.0</v>
      </c>
      <c r="D10" s="32" t="s">
        <v>44238</v>
      </c>
      <c r="E10" s="32" t="s">
        <v>44239</v>
      </c>
      <c r="F10" s="33">
        <v>28.0</v>
      </c>
      <c r="G10" s="34">
        <v>3.0060281E7</v>
      </c>
    </row>
    <row r="11" ht="12.75" customHeight="1">
      <c r="A11" s="27">
        <v>306.0</v>
      </c>
      <c r="B11" s="28" t="s">
        <v>44240</v>
      </c>
      <c r="C11" s="29">
        <v>30.0</v>
      </c>
      <c r="D11" s="28" t="s">
        <v>44241</v>
      </c>
      <c r="E11" s="28" t="s">
        <v>44242</v>
      </c>
      <c r="F11" s="29">
        <v>37.0</v>
      </c>
      <c r="G11" s="30">
        <v>3.0060373E7</v>
      </c>
    </row>
    <row r="12" ht="12.75" customHeight="1">
      <c r="A12" s="31">
        <v>610.0</v>
      </c>
      <c r="B12" s="32" t="s">
        <v>44243</v>
      </c>
      <c r="C12" s="33">
        <v>30.0</v>
      </c>
      <c r="D12" s="32" t="s">
        <v>44244</v>
      </c>
      <c r="E12" s="32" t="s">
        <v>44245</v>
      </c>
      <c r="F12" s="33">
        <v>37.0</v>
      </c>
      <c r="G12" s="34">
        <v>3.010037E7</v>
      </c>
    </row>
    <row r="13" ht="12.75" customHeight="1">
      <c r="A13" s="27">
        <v>215.0</v>
      </c>
      <c r="B13" s="28" t="s">
        <v>44246</v>
      </c>
      <c r="C13" s="29">
        <v>30.0</v>
      </c>
      <c r="D13" s="28" t="s">
        <v>44247</v>
      </c>
      <c r="E13" s="28" t="s">
        <v>44248</v>
      </c>
      <c r="F13" s="29">
        <v>13.0</v>
      </c>
      <c r="G13" s="30">
        <v>3.0150133E7</v>
      </c>
    </row>
    <row r="14" ht="12.75" customHeight="1">
      <c r="A14" s="31">
        <v>215.0</v>
      </c>
      <c r="B14" s="32" t="s">
        <v>44249</v>
      </c>
      <c r="C14" s="33">
        <v>30.0</v>
      </c>
      <c r="D14" s="32" t="s">
        <v>44250</v>
      </c>
      <c r="E14" s="32" t="s">
        <v>44251</v>
      </c>
      <c r="F14" s="33">
        <v>21.0</v>
      </c>
      <c r="G14" s="34">
        <v>3.0150212E7</v>
      </c>
    </row>
    <row r="15" ht="12.75" customHeight="1">
      <c r="A15" s="27">
        <v>215.0</v>
      </c>
      <c r="B15" s="28" t="s">
        <v>44252</v>
      </c>
      <c r="C15" s="29">
        <v>30.0</v>
      </c>
      <c r="D15" s="28" t="s">
        <v>44253</v>
      </c>
      <c r="E15" s="28" t="s">
        <v>44254</v>
      </c>
      <c r="F15" s="27">
        <v>175.0</v>
      </c>
      <c r="G15" s="30">
        <v>3.0151758E7</v>
      </c>
    </row>
    <row r="16" ht="12.75" customHeight="1">
      <c r="A16" s="31">
        <v>215.0</v>
      </c>
      <c r="B16" s="32" t="s">
        <v>44255</v>
      </c>
      <c r="C16" s="33">
        <v>30.0</v>
      </c>
      <c r="D16" s="32" t="s">
        <v>44256</v>
      </c>
      <c r="E16" s="32" t="s">
        <v>44257</v>
      </c>
      <c r="F16" s="31">
        <v>244.0</v>
      </c>
      <c r="G16" s="34">
        <v>3.0152449E7</v>
      </c>
    </row>
    <row r="17" ht="12.75" customHeight="1">
      <c r="A17" s="27">
        <v>215.0</v>
      </c>
      <c r="B17" s="28" t="s">
        <v>44258</v>
      </c>
      <c r="C17" s="29">
        <v>30.0</v>
      </c>
      <c r="D17" s="28" t="s">
        <v>44259</v>
      </c>
      <c r="E17" s="28" t="s">
        <v>44260</v>
      </c>
      <c r="F17" s="27">
        <v>364.0</v>
      </c>
      <c r="G17" s="30">
        <v>3.0153648E7</v>
      </c>
    </row>
    <row r="18" ht="12.75" customHeight="1">
      <c r="A18" s="31">
        <v>215.0</v>
      </c>
      <c r="B18" s="32" t="s">
        <v>44261</v>
      </c>
      <c r="C18" s="33">
        <v>30.0</v>
      </c>
      <c r="D18" s="32" t="s">
        <v>44262</v>
      </c>
      <c r="E18" s="32" t="s">
        <v>44263</v>
      </c>
      <c r="F18" s="31">
        <v>427.0</v>
      </c>
      <c r="G18" s="34">
        <v>3.0154276E7</v>
      </c>
    </row>
    <row r="19" ht="12.75" customHeight="1">
      <c r="A19" s="27">
        <v>215.0</v>
      </c>
      <c r="B19" s="28" t="s">
        <v>44264</v>
      </c>
      <c r="C19" s="29">
        <v>30.0</v>
      </c>
      <c r="D19" s="28" t="s">
        <v>44265</v>
      </c>
      <c r="E19" s="28" t="s">
        <v>44266</v>
      </c>
      <c r="F19" s="27">
        <v>466.0</v>
      </c>
      <c r="G19" s="30">
        <v>3.0154663E7</v>
      </c>
    </row>
    <row r="20" ht="12.75" customHeight="1">
      <c r="A20" s="31">
        <v>215.0</v>
      </c>
      <c r="B20" s="32" t="s">
        <v>44267</v>
      </c>
      <c r="C20" s="33">
        <v>30.0</v>
      </c>
      <c r="D20" s="32" t="s">
        <v>44268</v>
      </c>
      <c r="E20" s="32" t="s">
        <v>44269</v>
      </c>
      <c r="F20" s="31">
        <v>532.0</v>
      </c>
      <c r="G20" s="34">
        <v>3.0155325E7</v>
      </c>
    </row>
    <row r="21" ht="12.75" customHeight="1">
      <c r="A21" s="27">
        <v>119.0</v>
      </c>
      <c r="B21" s="28" t="s">
        <v>44270</v>
      </c>
      <c r="C21" s="29">
        <v>30.0</v>
      </c>
      <c r="D21" s="28" t="s">
        <v>44271</v>
      </c>
      <c r="E21" s="28" t="s">
        <v>44272</v>
      </c>
      <c r="F21" s="29">
        <v>27.0</v>
      </c>
      <c r="G21" s="30">
        <v>3.0190272E7</v>
      </c>
    </row>
    <row r="22" ht="12.75" customHeight="1">
      <c r="A22" s="31">
        <v>119.0</v>
      </c>
      <c r="B22" s="32" t="s">
        <v>44273</v>
      </c>
      <c r="C22" s="33">
        <v>30.0</v>
      </c>
      <c r="D22" s="32" t="s">
        <v>44274</v>
      </c>
      <c r="E22" s="32" t="s">
        <v>44275</v>
      </c>
      <c r="F22" s="31">
        <v>136.0</v>
      </c>
      <c r="G22" s="34">
        <v>3.0191363E7</v>
      </c>
    </row>
    <row r="23" ht="12.75" customHeight="1">
      <c r="A23" s="27">
        <v>126.0</v>
      </c>
      <c r="B23" s="28" t="s">
        <v>44276</v>
      </c>
      <c r="C23" s="29">
        <v>30.0</v>
      </c>
      <c r="D23" s="28" t="s">
        <v>44277</v>
      </c>
      <c r="E23" s="28" t="s">
        <v>44278</v>
      </c>
      <c r="F23" s="29">
        <v>9.0</v>
      </c>
      <c r="G23" s="30">
        <v>3.0260094E7</v>
      </c>
    </row>
    <row r="24" ht="12.75" customHeight="1">
      <c r="A24" s="31">
        <v>126.0</v>
      </c>
      <c r="B24" s="32" t="s">
        <v>44279</v>
      </c>
      <c r="C24" s="33">
        <v>30.0</v>
      </c>
      <c r="D24" s="32" t="s">
        <v>44280</v>
      </c>
      <c r="E24" s="32" t="s">
        <v>44281</v>
      </c>
      <c r="F24" s="31">
        <v>115.0</v>
      </c>
      <c r="G24" s="34">
        <v>3.0261156E7</v>
      </c>
    </row>
    <row r="25" ht="12.75" customHeight="1">
      <c r="A25" s="27">
        <v>126.0</v>
      </c>
      <c r="B25" s="28" t="s">
        <v>44282</v>
      </c>
      <c r="C25" s="29">
        <v>30.0</v>
      </c>
      <c r="D25" s="28" t="s">
        <v>44283</v>
      </c>
      <c r="E25" s="28" t="s">
        <v>44284</v>
      </c>
      <c r="F25" s="27">
        <v>169.0</v>
      </c>
      <c r="G25" s="30">
        <v>3.0261693E7</v>
      </c>
    </row>
    <row r="26" ht="12.75" customHeight="1">
      <c r="A26" s="31">
        <v>126.0</v>
      </c>
      <c r="B26" s="32" t="s">
        <v>44285</v>
      </c>
      <c r="C26" s="33">
        <v>30.0</v>
      </c>
      <c r="D26" s="32" t="s">
        <v>44286</v>
      </c>
      <c r="E26" s="32" t="s">
        <v>44287</v>
      </c>
      <c r="F26" s="31">
        <v>172.0</v>
      </c>
      <c r="G26" s="34">
        <v>3.0261727E7</v>
      </c>
    </row>
    <row r="27" ht="12.75" customHeight="1">
      <c r="A27" s="27">
        <v>126.0</v>
      </c>
      <c r="B27" s="28" t="s">
        <v>44288</v>
      </c>
      <c r="C27" s="29">
        <v>30.0</v>
      </c>
      <c r="D27" s="28" t="s">
        <v>44289</v>
      </c>
      <c r="E27" s="28" t="s">
        <v>44290</v>
      </c>
      <c r="F27" s="27">
        <v>232.0</v>
      </c>
      <c r="G27" s="30">
        <v>3.0262326E7</v>
      </c>
    </row>
    <row r="28" ht="12.75" customHeight="1">
      <c r="A28" s="31">
        <v>126.0</v>
      </c>
      <c r="B28" s="32" t="s">
        <v>44291</v>
      </c>
      <c r="C28" s="33">
        <v>30.0</v>
      </c>
      <c r="D28" s="32" t="s">
        <v>44292</v>
      </c>
      <c r="E28" s="32" t="s">
        <v>44293</v>
      </c>
      <c r="F28" s="31">
        <v>298.0</v>
      </c>
      <c r="G28" s="34">
        <v>3.0262984E7</v>
      </c>
    </row>
    <row r="29" ht="12.75" customHeight="1">
      <c r="A29" s="27">
        <v>126.0</v>
      </c>
      <c r="B29" s="28" t="s">
        <v>44294</v>
      </c>
      <c r="C29" s="29">
        <v>30.0</v>
      </c>
      <c r="D29" s="28" t="s">
        <v>44295</v>
      </c>
      <c r="E29" s="28" t="s">
        <v>44296</v>
      </c>
      <c r="F29" s="27">
        <v>358.0</v>
      </c>
      <c r="G29" s="30">
        <v>3.0263583E7</v>
      </c>
    </row>
    <row r="30" ht="12.75" customHeight="1">
      <c r="A30" s="31">
        <v>126.0</v>
      </c>
      <c r="B30" s="32" t="s">
        <v>44297</v>
      </c>
      <c r="C30" s="33">
        <v>30.0</v>
      </c>
      <c r="D30" s="32" t="s">
        <v>44298</v>
      </c>
      <c r="E30" s="32" t="s">
        <v>44299</v>
      </c>
      <c r="F30" s="31">
        <v>370.0</v>
      </c>
      <c r="G30" s="34">
        <v>3.0263709E7</v>
      </c>
    </row>
    <row r="31" ht="12.75" customHeight="1">
      <c r="A31" s="27">
        <v>126.0</v>
      </c>
      <c r="B31" s="28" t="s">
        <v>44300</v>
      </c>
      <c r="C31" s="29">
        <v>30.0</v>
      </c>
      <c r="D31" s="28" t="s">
        <v>44301</v>
      </c>
      <c r="E31" s="28" t="s">
        <v>44302</v>
      </c>
      <c r="F31" s="27">
        <v>409.0</v>
      </c>
      <c r="G31" s="30">
        <v>3.026409E7</v>
      </c>
    </row>
    <row r="32" ht="12.75" customHeight="1">
      <c r="A32" s="31">
        <v>126.0</v>
      </c>
      <c r="B32" s="32" t="s">
        <v>44303</v>
      </c>
      <c r="C32" s="33">
        <v>30.0</v>
      </c>
      <c r="D32" s="32" t="s">
        <v>44304</v>
      </c>
      <c r="E32" s="32" t="s">
        <v>44305</v>
      </c>
      <c r="F32" s="31">
        <v>463.0</v>
      </c>
      <c r="G32" s="34">
        <v>3.0264632E7</v>
      </c>
    </row>
    <row r="33" ht="12.75" customHeight="1">
      <c r="A33" s="27">
        <v>127.0</v>
      </c>
      <c r="B33" s="28" t="s">
        <v>44306</v>
      </c>
      <c r="C33" s="29">
        <v>30.0</v>
      </c>
      <c r="D33" s="28" t="s">
        <v>44307</v>
      </c>
      <c r="E33" s="28" t="s">
        <v>44308</v>
      </c>
      <c r="F33" s="29">
        <v>0.0</v>
      </c>
      <c r="G33" s="30">
        <v>3.027E7</v>
      </c>
    </row>
    <row r="34" ht="12.75" customHeight="1">
      <c r="A34" s="31">
        <v>127.0</v>
      </c>
      <c r="B34" s="32" t="s">
        <v>44309</v>
      </c>
      <c r="C34" s="33">
        <v>30.0</v>
      </c>
      <c r="D34" s="32" t="s">
        <v>44310</v>
      </c>
      <c r="E34" s="32" t="s">
        <v>44311</v>
      </c>
      <c r="F34" s="33">
        <v>18.0</v>
      </c>
      <c r="G34" s="34">
        <v>3.0270189E7</v>
      </c>
    </row>
    <row r="35" ht="12.75" customHeight="1">
      <c r="A35" s="27">
        <v>127.0</v>
      </c>
      <c r="B35" s="28" t="s">
        <v>44312</v>
      </c>
      <c r="C35" s="29">
        <v>30.0</v>
      </c>
      <c r="D35" s="28" t="s">
        <v>44313</v>
      </c>
      <c r="E35" s="28" t="s">
        <v>44314</v>
      </c>
      <c r="F35" s="29">
        <v>64.0</v>
      </c>
      <c r="G35" s="30">
        <v>3.0270642E7</v>
      </c>
    </row>
    <row r="36" ht="12.75" customHeight="1">
      <c r="A36" s="31">
        <v>127.0</v>
      </c>
      <c r="B36" s="32" t="s">
        <v>44315</v>
      </c>
      <c r="C36" s="33">
        <v>30.0</v>
      </c>
      <c r="D36" s="32" t="s">
        <v>44316</v>
      </c>
      <c r="E36" s="32" t="s">
        <v>44317</v>
      </c>
      <c r="F36" s="33">
        <v>82.0</v>
      </c>
      <c r="G36" s="34">
        <v>3.0270826E7</v>
      </c>
    </row>
    <row r="37" ht="12.75" customHeight="1">
      <c r="A37" s="27">
        <v>127.0</v>
      </c>
      <c r="B37" s="28" t="s">
        <v>44318</v>
      </c>
      <c r="C37" s="29">
        <v>30.0</v>
      </c>
      <c r="D37" s="28" t="s">
        <v>44319</v>
      </c>
      <c r="E37" s="28" t="s">
        <v>44320</v>
      </c>
      <c r="F37" s="29">
        <v>88.0</v>
      </c>
      <c r="G37" s="30">
        <v>3.0270884E7</v>
      </c>
    </row>
    <row r="38" ht="12.75" customHeight="1">
      <c r="A38" s="31">
        <v>127.0</v>
      </c>
      <c r="B38" s="32" t="s">
        <v>44321</v>
      </c>
      <c r="C38" s="33">
        <v>30.0</v>
      </c>
      <c r="D38" s="32" t="s">
        <v>44322</v>
      </c>
      <c r="E38" s="32" t="s">
        <v>44323</v>
      </c>
      <c r="F38" s="31">
        <v>109.0</v>
      </c>
      <c r="G38" s="34">
        <v>3.0271096E7</v>
      </c>
    </row>
    <row r="39" ht="12.75" customHeight="1">
      <c r="A39" s="27">
        <v>127.0</v>
      </c>
      <c r="B39" s="28" t="s">
        <v>44324</v>
      </c>
      <c r="C39" s="29">
        <v>30.0</v>
      </c>
      <c r="D39" s="28" t="s">
        <v>44325</v>
      </c>
      <c r="E39" s="28" t="s">
        <v>44326</v>
      </c>
      <c r="F39" s="27">
        <v>184.0</v>
      </c>
      <c r="G39" s="30">
        <v>3.0271841E7</v>
      </c>
    </row>
    <row r="40" ht="12.75" customHeight="1">
      <c r="A40" s="31">
        <v>127.0</v>
      </c>
      <c r="B40" s="32" t="s">
        <v>44327</v>
      </c>
      <c r="C40" s="33">
        <v>30.0</v>
      </c>
      <c r="D40" s="32" t="s">
        <v>44328</v>
      </c>
      <c r="E40" s="32" t="s">
        <v>44329</v>
      </c>
      <c r="F40" s="31">
        <v>190.0</v>
      </c>
      <c r="G40" s="34">
        <v>3.0271904E7</v>
      </c>
    </row>
    <row r="41" ht="12.75" customHeight="1">
      <c r="A41" s="27">
        <v>127.0</v>
      </c>
      <c r="B41" s="28" t="s">
        <v>44330</v>
      </c>
      <c r="C41" s="29">
        <v>30.0</v>
      </c>
      <c r="D41" s="28" t="s">
        <v>44331</v>
      </c>
      <c r="E41" s="28" t="s">
        <v>44332</v>
      </c>
      <c r="F41" s="27">
        <v>232.0</v>
      </c>
      <c r="G41" s="30">
        <v>3.0272329E7</v>
      </c>
    </row>
    <row r="42" ht="12.75" customHeight="1">
      <c r="A42" s="31">
        <v>127.0</v>
      </c>
      <c r="B42" s="32" t="s">
        <v>44333</v>
      </c>
      <c r="C42" s="33">
        <v>30.0</v>
      </c>
      <c r="D42" s="32" t="s">
        <v>44334</v>
      </c>
      <c r="E42" s="32" t="s">
        <v>44335</v>
      </c>
      <c r="F42" s="31">
        <v>268.0</v>
      </c>
      <c r="G42" s="34">
        <v>3.0272682E7</v>
      </c>
    </row>
    <row r="43" ht="12.75" customHeight="1">
      <c r="A43" s="27">
        <v>127.0</v>
      </c>
      <c r="B43" s="28" t="s">
        <v>44336</v>
      </c>
      <c r="C43" s="29">
        <v>30.0</v>
      </c>
      <c r="D43" s="28" t="s">
        <v>44337</v>
      </c>
      <c r="E43" s="28" t="s">
        <v>44338</v>
      </c>
      <c r="F43" s="27">
        <v>367.0</v>
      </c>
      <c r="G43" s="30">
        <v>3.0273678E7</v>
      </c>
    </row>
    <row r="44" ht="12.75" customHeight="1">
      <c r="A44" s="31">
        <v>127.0</v>
      </c>
      <c r="B44" s="32" t="s">
        <v>44339</v>
      </c>
      <c r="C44" s="33">
        <v>30.0</v>
      </c>
      <c r="D44" s="32" t="s">
        <v>44340</v>
      </c>
      <c r="E44" s="32" t="s">
        <v>44341</v>
      </c>
      <c r="F44" s="31">
        <v>436.0</v>
      </c>
      <c r="G44" s="34">
        <v>3.0274369E7</v>
      </c>
    </row>
    <row r="45" ht="12.75" customHeight="1">
      <c r="A45" s="27">
        <v>127.0</v>
      </c>
      <c r="B45" s="28" t="s">
        <v>44342</v>
      </c>
      <c r="C45" s="29">
        <v>30.0</v>
      </c>
      <c r="D45" s="28" t="s">
        <v>44343</v>
      </c>
      <c r="E45" s="28" t="s">
        <v>44344</v>
      </c>
      <c r="F45" s="27">
        <v>442.0</v>
      </c>
      <c r="G45" s="30">
        <v>3.0274422E7</v>
      </c>
    </row>
    <row r="46" ht="12.75" customHeight="1">
      <c r="A46" s="31">
        <v>127.0</v>
      </c>
      <c r="B46" s="32" t="s">
        <v>44345</v>
      </c>
      <c r="C46" s="33">
        <v>30.0</v>
      </c>
      <c r="D46" s="32" t="s">
        <v>44346</v>
      </c>
      <c r="E46" s="32" t="s">
        <v>44347</v>
      </c>
      <c r="F46" s="31">
        <v>535.0</v>
      </c>
      <c r="G46" s="34">
        <v>3.0275355E7</v>
      </c>
    </row>
    <row r="47" ht="12.75" customHeight="1">
      <c r="A47" s="27">
        <v>728.0</v>
      </c>
      <c r="B47" s="28" t="s">
        <v>44348</v>
      </c>
      <c r="C47" s="29">
        <v>30.0</v>
      </c>
      <c r="D47" s="28" t="s">
        <v>44349</v>
      </c>
      <c r="E47" s="28" t="s">
        <v>44350</v>
      </c>
      <c r="F47" s="29">
        <v>67.0</v>
      </c>
      <c r="G47" s="30">
        <v>3.0280674E7</v>
      </c>
    </row>
    <row r="48" ht="12.75" customHeight="1">
      <c r="A48" s="31">
        <v>230.0</v>
      </c>
      <c r="B48" s="32" t="s">
        <v>44351</v>
      </c>
      <c r="C48" s="33">
        <v>30.0</v>
      </c>
      <c r="D48" s="32" t="s">
        <v>44352</v>
      </c>
      <c r="E48" s="32" t="s">
        <v>44353</v>
      </c>
      <c r="F48" s="33">
        <v>52.0</v>
      </c>
      <c r="G48" s="34">
        <v>3.0300525E7</v>
      </c>
    </row>
    <row r="49" ht="12.75" customHeight="1">
      <c r="A49" s="27">
        <v>133.0</v>
      </c>
      <c r="B49" s="28" t="s">
        <v>44354</v>
      </c>
      <c r="C49" s="29">
        <v>30.0</v>
      </c>
      <c r="D49" s="28" t="s">
        <v>44355</v>
      </c>
      <c r="E49" s="28" t="s">
        <v>44356</v>
      </c>
      <c r="F49" s="29">
        <v>55.0</v>
      </c>
      <c r="G49" s="30">
        <v>3.0330553E7</v>
      </c>
    </row>
    <row r="50" ht="12.75" customHeight="1">
      <c r="A50" s="31">
        <v>133.0</v>
      </c>
      <c r="B50" s="32" t="s">
        <v>44357</v>
      </c>
      <c r="C50" s="33">
        <v>30.0</v>
      </c>
      <c r="D50" s="32" t="s">
        <v>44358</v>
      </c>
      <c r="E50" s="32" t="s">
        <v>44359</v>
      </c>
      <c r="F50" s="33">
        <v>79.0</v>
      </c>
      <c r="G50" s="34">
        <v>3.0330795E7</v>
      </c>
    </row>
    <row r="51" ht="12.75" customHeight="1">
      <c r="A51" s="27">
        <v>441.0</v>
      </c>
      <c r="B51" s="28" t="s">
        <v>44360</v>
      </c>
      <c r="C51" s="29">
        <v>30.0</v>
      </c>
      <c r="D51" s="28" t="s">
        <v>44361</v>
      </c>
      <c r="E51" s="28" t="s">
        <v>44362</v>
      </c>
      <c r="F51" s="29">
        <v>94.0</v>
      </c>
      <c r="G51" s="30">
        <v>3.0410949E7</v>
      </c>
    </row>
    <row r="52" ht="12.75" customHeight="1">
      <c r="A52" s="31">
        <v>447.0</v>
      </c>
      <c r="B52" s="32" t="s">
        <v>44363</v>
      </c>
      <c r="C52" s="33">
        <v>30.0</v>
      </c>
      <c r="D52" s="32" t="s">
        <v>44364</v>
      </c>
      <c r="E52" s="32" t="s">
        <v>44365</v>
      </c>
      <c r="F52" s="33">
        <v>70.0</v>
      </c>
      <c r="G52" s="34">
        <v>3.0470705E7</v>
      </c>
    </row>
    <row r="53" ht="12.75" customHeight="1">
      <c r="A53" s="27">
        <v>447.0</v>
      </c>
      <c r="B53" s="28" t="s">
        <v>44366</v>
      </c>
      <c r="C53" s="29">
        <v>30.0</v>
      </c>
      <c r="D53" s="28" t="s">
        <v>44367</v>
      </c>
      <c r="E53" s="28" t="s">
        <v>44368</v>
      </c>
      <c r="F53" s="27">
        <v>130.0</v>
      </c>
      <c r="G53" s="30">
        <v>3.0471304E7</v>
      </c>
    </row>
    <row r="54" ht="12.75" customHeight="1">
      <c r="A54" s="31">
        <v>447.0</v>
      </c>
      <c r="B54" s="32" t="s">
        <v>44369</v>
      </c>
      <c r="C54" s="33">
        <v>30.0</v>
      </c>
      <c r="D54" s="32" t="s">
        <v>44370</v>
      </c>
      <c r="E54" s="32" t="s">
        <v>44371</v>
      </c>
      <c r="F54" s="31">
        <v>154.0</v>
      </c>
      <c r="G54" s="34">
        <v>3.0471546E7</v>
      </c>
    </row>
    <row r="55" ht="12.75" customHeight="1">
      <c r="A55" s="27">
        <v>251.0</v>
      </c>
      <c r="B55" s="28" t="s">
        <v>44372</v>
      </c>
      <c r="C55" s="29">
        <v>30.0</v>
      </c>
      <c r="D55" s="28" t="s">
        <v>44373</v>
      </c>
      <c r="E55" s="28" t="s">
        <v>44374</v>
      </c>
      <c r="F55" s="29">
        <v>82.0</v>
      </c>
      <c r="G55" s="30">
        <v>3.0510823E7</v>
      </c>
    </row>
    <row r="56" ht="12.75" customHeight="1">
      <c r="A56" s="31">
        <v>354.0</v>
      </c>
      <c r="B56" s="32" t="s">
        <v>44375</v>
      </c>
      <c r="C56" s="33">
        <v>30.0</v>
      </c>
      <c r="D56" s="32" t="s">
        <v>44376</v>
      </c>
      <c r="E56" s="32" t="s">
        <v>44377</v>
      </c>
      <c r="F56" s="33">
        <v>70.0</v>
      </c>
      <c r="G56" s="34">
        <v>3.0540701E7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858.0</v>
      </c>
      <c r="B1" s="28" t="s">
        <v>44378</v>
      </c>
      <c r="C1" s="29">
        <v>30.0</v>
      </c>
      <c r="D1" s="28" t="s">
        <v>44379</v>
      </c>
      <c r="E1" s="28" t="s">
        <v>44380</v>
      </c>
      <c r="F1" s="29">
        <v>67.0</v>
      </c>
      <c r="G1" s="30">
        <v>3.0580679E7</v>
      </c>
    </row>
    <row r="2" ht="12.75" customHeight="1">
      <c r="A2" s="31">
        <v>858.0</v>
      </c>
      <c r="B2" s="32" t="s">
        <v>44381</v>
      </c>
      <c r="C2" s="33">
        <v>30.0</v>
      </c>
      <c r="D2" s="32" t="s">
        <v>44382</v>
      </c>
      <c r="E2" s="32" t="s">
        <v>44383</v>
      </c>
      <c r="F2" s="31">
        <v>160.0</v>
      </c>
      <c r="G2" s="34">
        <v>3.0581607E7</v>
      </c>
    </row>
    <row r="3" ht="12.75" customHeight="1">
      <c r="A3" s="27">
        <v>161.0</v>
      </c>
      <c r="B3" s="28" t="s">
        <v>44384</v>
      </c>
      <c r="C3" s="29">
        <v>30.0</v>
      </c>
      <c r="D3" s="28" t="s">
        <v>44385</v>
      </c>
      <c r="E3" s="28" t="s">
        <v>44386</v>
      </c>
      <c r="F3" s="27">
        <v>209.0</v>
      </c>
      <c r="G3" s="30">
        <v>3.0612097E7</v>
      </c>
    </row>
    <row r="4" ht="12.75" customHeight="1">
      <c r="A4" s="31">
        <v>564.0</v>
      </c>
      <c r="B4" s="32" t="s">
        <v>44387</v>
      </c>
      <c r="C4" s="33">
        <v>30.0</v>
      </c>
      <c r="D4" s="32" t="s">
        <v>44388</v>
      </c>
      <c r="E4" s="32" t="s">
        <v>44389</v>
      </c>
      <c r="F4" s="31">
        <v>118.0</v>
      </c>
      <c r="G4" s="34">
        <v>3.0641189E7</v>
      </c>
    </row>
    <row r="5" ht="12.75" customHeight="1">
      <c r="A5" s="27">
        <v>167.0</v>
      </c>
      <c r="B5" s="28" t="s">
        <v>44390</v>
      </c>
      <c r="C5" s="29">
        <v>30.0</v>
      </c>
      <c r="D5" s="28" t="s">
        <v>44391</v>
      </c>
      <c r="E5" s="28" t="s">
        <v>44392</v>
      </c>
      <c r="F5" s="27">
        <v>169.0</v>
      </c>
      <c r="G5" s="30">
        <v>3.0671696E7</v>
      </c>
    </row>
    <row r="6" ht="12.75" customHeight="1">
      <c r="A6" s="31">
        <v>167.0</v>
      </c>
      <c r="B6" s="32" t="s">
        <v>44393</v>
      </c>
      <c r="C6" s="33">
        <v>30.0</v>
      </c>
      <c r="D6" s="32" t="s">
        <v>44394</v>
      </c>
      <c r="E6" s="32" t="s">
        <v>44395</v>
      </c>
      <c r="F6" s="31">
        <v>175.0</v>
      </c>
      <c r="G6" s="34">
        <v>3.0671759E7</v>
      </c>
    </row>
    <row r="7" ht="12.75" customHeight="1">
      <c r="A7" s="27">
        <v>569.0</v>
      </c>
      <c r="B7" s="28" t="s">
        <v>44396</v>
      </c>
      <c r="C7" s="29">
        <v>30.0</v>
      </c>
      <c r="D7" s="28" t="s">
        <v>44397</v>
      </c>
      <c r="E7" s="28" t="s">
        <v>44398</v>
      </c>
      <c r="F7" s="29">
        <v>7.0</v>
      </c>
      <c r="G7" s="30">
        <v>3.0690077E7</v>
      </c>
    </row>
    <row r="8" ht="12.75" customHeight="1">
      <c r="A8" s="31">
        <v>581.0</v>
      </c>
      <c r="B8" s="32" t="s">
        <v>44399</v>
      </c>
      <c r="C8" s="33">
        <v>30.0</v>
      </c>
      <c r="D8" s="32" t="s">
        <v>44400</v>
      </c>
      <c r="E8" s="32" t="s">
        <v>44401</v>
      </c>
      <c r="F8" s="31">
        <v>193.0</v>
      </c>
      <c r="G8" s="34">
        <v>3.0811935E7</v>
      </c>
    </row>
    <row r="9" ht="12.75" customHeight="1">
      <c r="A9" s="27">
        <v>891.0</v>
      </c>
      <c r="B9" s="28" t="s">
        <v>44402</v>
      </c>
      <c r="C9" s="29">
        <v>30.0</v>
      </c>
      <c r="D9" s="28" t="s">
        <v>44403</v>
      </c>
      <c r="E9" s="28" t="s">
        <v>44404</v>
      </c>
      <c r="F9" s="27">
        <v>355.0</v>
      </c>
      <c r="G9" s="30">
        <v>3.0913554E7</v>
      </c>
    </row>
    <row r="10" ht="12.75" customHeight="1">
      <c r="A10" s="31">
        <v>193.0</v>
      </c>
      <c r="B10" s="32" t="s">
        <v>44405</v>
      </c>
      <c r="C10" s="33">
        <v>30.0</v>
      </c>
      <c r="D10" s="32" t="s">
        <v>44406</v>
      </c>
      <c r="E10" s="32" t="s">
        <v>44407</v>
      </c>
      <c r="F10" s="33">
        <v>17.0</v>
      </c>
      <c r="G10" s="34">
        <v>3.0930179E7</v>
      </c>
    </row>
    <row r="11" ht="12.75" customHeight="1">
      <c r="A11" s="27">
        <v>401.0</v>
      </c>
      <c r="B11" s="28" t="s">
        <v>44408</v>
      </c>
      <c r="C11" s="29">
        <v>35.0</v>
      </c>
      <c r="D11" s="28" t="s">
        <v>44409</v>
      </c>
      <c r="E11" s="28" t="s">
        <v>44410</v>
      </c>
      <c r="F11" s="29">
        <v>4.0</v>
      </c>
      <c r="G11" s="30">
        <v>3.5010049E7</v>
      </c>
    </row>
    <row r="12" ht="12.75" customHeight="1">
      <c r="A12" s="31">
        <v>401.0</v>
      </c>
      <c r="B12" s="32" t="s">
        <v>44411</v>
      </c>
      <c r="C12" s="33">
        <v>35.0</v>
      </c>
      <c r="D12" s="32" t="s">
        <v>44412</v>
      </c>
      <c r="E12" s="32" t="s">
        <v>44413</v>
      </c>
      <c r="F12" s="33">
        <v>7.0</v>
      </c>
      <c r="G12" s="34">
        <v>3.5010078E7</v>
      </c>
    </row>
    <row r="13" ht="12.75" customHeight="1">
      <c r="A13" s="27">
        <v>401.0</v>
      </c>
      <c r="B13" s="28" t="s">
        <v>44414</v>
      </c>
      <c r="C13" s="29">
        <v>35.0</v>
      </c>
      <c r="D13" s="28" t="s">
        <v>44415</v>
      </c>
      <c r="E13" s="28" t="s">
        <v>44416</v>
      </c>
      <c r="F13" s="29">
        <v>19.0</v>
      </c>
      <c r="G13" s="30">
        <v>3.5010199E7</v>
      </c>
    </row>
    <row r="14" ht="12.75" customHeight="1">
      <c r="A14" s="31">
        <v>401.0</v>
      </c>
      <c r="B14" s="32" t="s">
        <v>44417</v>
      </c>
      <c r="C14" s="33">
        <v>35.0</v>
      </c>
      <c r="D14" s="32" t="s">
        <v>44418</v>
      </c>
      <c r="E14" s="32" t="s">
        <v>44419</v>
      </c>
      <c r="F14" s="33">
        <v>25.0</v>
      </c>
      <c r="G14" s="34">
        <v>3.5010252E7</v>
      </c>
    </row>
    <row r="15" ht="12.75" customHeight="1">
      <c r="A15" s="27">
        <v>401.0</v>
      </c>
      <c r="B15" s="28" t="s">
        <v>44420</v>
      </c>
      <c r="C15" s="29">
        <v>35.0</v>
      </c>
      <c r="D15" s="28" t="s">
        <v>44421</v>
      </c>
      <c r="E15" s="28" t="s">
        <v>44422</v>
      </c>
      <c r="F15" s="29">
        <v>30.0</v>
      </c>
      <c r="G15" s="30">
        <v>3.5010302E7</v>
      </c>
    </row>
    <row r="16" ht="12.75" customHeight="1">
      <c r="A16" s="31">
        <v>401.0</v>
      </c>
      <c r="B16" s="32" t="s">
        <v>44423</v>
      </c>
      <c r="C16" s="33">
        <v>35.0</v>
      </c>
      <c r="D16" s="32" t="s">
        <v>44424</v>
      </c>
      <c r="E16" s="32" t="s">
        <v>44425</v>
      </c>
      <c r="F16" s="33">
        <v>31.0</v>
      </c>
      <c r="G16" s="34">
        <v>3.5010315E7</v>
      </c>
    </row>
    <row r="17" ht="12.75" customHeight="1">
      <c r="A17" s="27">
        <v>401.0</v>
      </c>
      <c r="B17" s="28" t="s">
        <v>44426</v>
      </c>
      <c r="C17" s="29">
        <v>35.0</v>
      </c>
      <c r="D17" s="28" t="s">
        <v>44427</v>
      </c>
      <c r="E17" s="28" t="s">
        <v>44428</v>
      </c>
      <c r="F17" s="29">
        <v>34.0</v>
      </c>
      <c r="G17" s="30">
        <v>3.5010344E7</v>
      </c>
    </row>
    <row r="18" ht="12.75" customHeight="1">
      <c r="A18" s="31">
        <v>401.0</v>
      </c>
      <c r="B18" s="32" t="s">
        <v>44429</v>
      </c>
      <c r="C18" s="33">
        <v>35.0</v>
      </c>
      <c r="D18" s="32" t="s">
        <v>44430</v>
      </c>
      <c r="E18" s="32" t="s">
        <v>44431</v>
      </c>
      <c r="F18" s="33">
        <v>46.0</v>
      </c>
      <c r="G18" s="34">
        <v>3.5010465E7</v>
      </c>
    </row>
    <row r="19" ht="12.75" customHeight="1">
      <c r="A19" s="27">
        <v>401.0</v>
      </c>
      <c r="B19" s="28" t="s">
        <v>44432</v>
      </c>
      <c r="C19" s="29">
        <v>35.0</v>
      </c>
      <c r="D19" s="28" t="s">
        <v>44433</v>
      </c>
      <c r="E19" s="28" t="s">
        <v>44434</v>
      </c>
      <c r="F19" s="29">
        <v>49.0</v>
      </c>
      <c r="G19" s="30">
        <v>3.5010494E7</v>
      </c>
    </row>
    <row r="20" ht="12.75" customHeight="1">
      <c r="A20" s="31">
        <v>401.0</v>
      </c>
      <c r="B20" s="32" t="s">
        <v>44435</v>
      </c>
      <c r="C20" s="33">
        <v>35.0</v>
      </c>
      <c r="D20" s="32" t="s">
        <v>44436</v>
      </c>
      <c r="E20" s="32" t="s">
        <v>44437</v>
      </c>
      <c r="F20" s="33">
        <v>52.0</v>
      </c>
      <c r="G20" s="34">
        <v>3.5010528E7</v>
      </c>
    </row>
    <row r="21" ht="12.75" customHeight="1">
      <c r="A21" s="27">
        <v>401.0</v>
      </c>
      <c r="B21" s="28" t="s">
        <v>44438</v>
      </c>
      <c r="C21" s="29">
        <v>35.0</v>
      </c>
      <c r="D21" s="28" t="s">
        <v>44439</v>
      </c>
      <c r="E21" s="28" t="s">
        <v>44440</v>
      </c>
      <c r="F21" s="29">
        <v>55.0</v>
      </c>
      <c r="G21" s="30">
        <v>3.5010557E7</v>
      </c>
    </row>
    <row r="22" ht="12.75" customHeight="1">
      <c r="A22" s="31">
        <v>401.0</v>
      </c>
      <c r="B22" s="32" t="s">
        <v>44441</v>
      </c>
      <c r="C22" s="33">
        <v>35.0</v>
      </c>
      <c r="D22" s="32" t="s">
        <v>44442</v>
      </c>
      <c r="E22" s="32" t="s">
        <v>44443</v>
      </c>
      <c r="F22" s="33">
        <v>73.0</v>
      </c>
      <c r="G22" s="34">
        <v>3.5010731E7</v>
      </c>
    </row>
    <row r="23" ht="12.75" customHeight="1">
      <c r="A23" s="27">
        <v>401.0</v>
      </c>
      <c r="B23" s="28" t="s">
        <v>44444</v>
      </c>
      <c r="C23" s="29">
        <v>35.0</v>
      </c>
      <c r="D23" s="28" t="s">
        <v>44445</v>
      </c>
      <c r="E23" s="28" t="s">
        <v>44446</v>
      </c>
      <c r="F23" s="29">
        <v>79.0</v>
      </c>
      <c r="G23" s="30">
        <v>3.5010799E7</v>
      </c>
    </row>
    <row r="24" ht="12.75" customHeight="1">
      <c r="A24" s="31">
        <v>401.0</v>
      </c>
      <c r="B24" s="32" t="s">
        <v>44447</v>
      </c>
      <c r="C24" s="33">
        <v>35.0</v>
      </c>
      <c r="D24" s="32" t="s">
        <v>44448</v>
      </c>
      <c r="E24" s="32" t="s">
        <v>44449</v>
      </c>
      <c r="F24" s="33">
        <v>91.0</v>
      </c>
      <c r="G24" s="34">
        <v>3.5010915E7</v>
      </c>
    </row>
    <row r="25" ht="12.75" customHeight="1">
      <c r="A25" s="27">
        <v>401.0</v>
      </c>
      <c r="B25" s="28" t="s">
        <v>44450</v>
      </c>
      <c r="C25" s="29">
        <v>35.0</v>
      </c>
      <c r="D25" s="28" t="s">
        <v>44451</v>
      </c>
      <c r="E25" s="28" t="s">
        <v>44452</v>
      </c>
      <c r="F25" s="29">
        <v>97.0</v>
      </c>
      <c r="G25" s="30">
        <v>3.5010973E7</v>
      </c>
    </row>
    <row r="26" ht="12.75" customHeight="1">
      <c r="A26" s="31">
        <v>401.0</v>
      </c>
      <c r="B26" s="32" t="s">
        <v>44453</v>
      </c>
      <c r="C26" s="33">
        <v>35.0</v>
      </c>
      <c r="D26" s="32" t="s">
        <v>44454</v>
      </c>
      <c r="E26" s="32" t="s">
        <v>44455</v>
      </c>
      <c r="F26" s="31">
        <v>103.0</v>
      </c>
      <c r="G26" s="34">
        <v>3.5011035E7</v>
      </c>
    </row>
    <row r="27" ht="12.75" customHeight="1">
      <c r="A27" s="27">
        <v>401.0</v>
      </c>
      <c r="B27" s="28" t="s">
        <v>44456</v>
      </c>
      <c r="C27" s="29">
        <v>35.0</v>
      </c>
      <c r="D27" s="28" t="s">
        <v>44457</v>
      </c>
      <c r="E27" s="28" t="s">
        <v>44458</v>
      </c>
      <c r="F27" s="27">
        <v>121.0</v>
      </c>
      <c r="G27" s="30">
        <v>3.5011219E7</v>
      </c>
    </row>
    <row r="28" ht="12.75" customHeight="1">
      <c r="A28" s="31">
        <v>401.0</v>
      </c>
      <c r="B28" s="32" t="s">
        <v>44459</v>
      </c>
      <c r="C28" s="33">
        <v>35.0</v>
      </c>
      <c r="D28" s="32" t="s">
        <v>44460</v>
      </c>
      <c r="E28" s="32" t="s">
        <v>44461</v>
      </c>
      <c r="F28" s="31">
        <v>124.0</v>
      </c>
      <c r="G28" s="34">
        <v>3.5011248E7</v>
      </c>
    </row>
    <row r="29" ht="12.75" customHeight="1">
      <c r="A29" s="27">
        <v>401.0</v>
      </c>
      <c r="B29" s="28" t="s">
        <v>44462</v>
      </c>
      <c r="C29" s="29">
        <v>35.0</v>
      </c>
      <c r="D29" s="28" t="s">
        <v>44463</v>
      </c>
      <c r="E29" s="28" t="s">
        <v>44464</v>
      </c>
      <c r="F29" s="27">
        <v>133.0</v>
      </c>
      <c r="G29" s="30">
        <v>3.501133E7</v>
      </c>
    </row>
    <row r="30" ht="12.75" customHeight="1">
      <c r="A30" s="31">
        <v>401.0</v>
      </c>
      <c r="B30" s="32" t="s">
        <v>44465</v>
      </c>
      <c r="C30" s="33">
        <v>35.0</v>
      </c>
      <c r="D30" s="32" t="s">
        <v>44466</v>
      </c>
      <c r="E30" s="32" t="s">
        <v>44467</v>
      </c>
      <c r="F30" s="31">
        <v>136.0</v>
      </c>
      <c r="G30" s="34">
        <v>3.5011369E7</v>
      </c>
    </row>
    <row r="31" ht="12.75" customHeight="1">
      <c r="A31" s="27">
        <v>401.0</v>
      </c>
      <c r="B31" s="28" t="s">
        <v>44468</v>
      </c>
      <c r="C31" s="29">
        <v>35.0</v>
      </c>
      <c r="D31" s="28" t="s">
        <v>44469</v>
      </c>
      <c r="E31" s="28" t="s">
        <v>44470</v>
      </c>
      <c r="F31" s="27">
        <v>139.0</v>
      </c>
      <c r="G31" s="30">
        <v>3.5011398E7</v>
      </c>
    </row>
    <row r="32" ht="12.75" customHeight="1">
      <c r="A32" s="31">
        <v>203.0</v>
      </c>
      <c r="B32" s="32" t="s">
        <v>44471</v>
      </c>
      <c r="C32" s="33">
        <v>35.0</v>
      </c>
      <c r="D32" s="32" t="s">
        <v>44472</v>
      </c>
      <c r="E32" s="32" t="s">
        <v>44473</v>
      </c>
      <c r="F32" s="33">
        <v>4.0</v>
      </c>
      <c r="G32" s="34">
        <v>3.5030045E7</v>
      </c>
    </row>
    <row r="33" ht="12.75" customHeight="1">
      <c r="A33" s="27">
        <v>203.0</v>
      </c>
      <c r="B33" s="28" t="s">
        <v>44474</v>
      </c>
      <c r="C33" s="29">
        <v>35.0</v>
      </c>
      <c r="D33" s="28" t="s">
        <v>44475</v>
      </c>
      <c r="E33" s="28" t="s">
        <v>44476</v>
      </c>
      <c r="F33" s="29">
        <v>7.0</v>
      </c>
      <c r="G33" s="30">
        <v>3.5030074E7</v>
      </c>
    </row>
    <row r="34" ht="12.75" customHeight="1">
      <c r="A34" s="31">
        <v>203.0</v>
      </c>
      <c r="B34" s="32" t="s">
        <v>44477</v>
      </c>
      <c r="C34" s="33">
        <v>35.0</v>
      </c>
      <c r="D34" s="32" t="s">
        <v>44478</v>
      </c>
      <c r="E34" s="32" t="s">
        <v>44479</v>
      </c>
      <c r="F34" s="33">
        <v>10.0</v>
      </c>
      <c r="G34" s="34">
        <v>3.5030108E7</v>
      </c>
    </row>
    <row r="35" ht="12.75" customHeight="1">
      <c r="A35" s="27">
        <v>203.0</v>
      </c>
      <c r="B35" s="28" t="s">
        <v>44480</v>
      </c>
      <c r="C35" s="29">
        <v>35.0</v>
      </c>
      <c r="D35" s="28" t="s">
        <v>44481</v>
      </c>
      <c r="E35" s="28" t="s">
        <v>44482</v>
      </c>
      <c r="F35" s="29">
        <v>13.0</v>
      </c>
      <c r="G35" s="30">
        <v>3.5030137E7</v>
      </c>
    </row>
    <row r="36" ht="12.75" customHeight="1">
      <c r="A36" s="31">
        <v>203.0</v>
      </c>
      <c r="B36" s="32" t="s">
        <v>44483</v>
      </c>
      <c r="C36" s="33">
        <v>35.0</v>
      </c>
      <c r="D36" s="32" t="s">
        <v>44484</v>
      </c>
      <c r="E36" s="32" t="s">
        <v>44485</v>
      </c>
      <c r="F36" s="33">
        <v>19.0</v>
      </c>
      <c r="G36" s="34">
        <v>3.5030195E7</v>
      </c>
    </row>
    <row r="37" ht="12.75" customHeight="1">
      <c r="A37" s="27">
        <v>203.0</v>
      </c>
      <c r="B37" s="28" t="s">
        <v>44486</v>
      </c>
      <c r="C37" s="29">
        <v>35.0</v>
      </c>
      <c r="D37" s="28" t="s">
        <v>44487</v>
      </c>
      <c r="E37" s="28" t="s">
        <v>44488</v>
      </c>
      <c r="F37" s="29">
        <v>22.0</v>
      </c>
      <c r="G37" s="30">
        <v>3.5030229E7</v>
      </c>
    </row>
    <row r="38" ht="12.75" customHeight="1">
      <c r="A38" s="31">
        <v>203.0</v>
      </c>
      <c r="B38" s="32" t="s">
        <v>44489</v>
      </c>
      <c r="C38" s="33">
        <v>35.0</v>
      </c>
      <c r="D38" s="32" t="s">
        <v>44490</v>
      </c>
      <c r="E38" s="32" t="s">
        <v>44491</v>
      </c>
      <c r="F38" s="33">
        <v>25.0</v>
      </c>
      <c r="G38" s="34">
        <v>3.5030258E7</v>
      </c>
    </row>
    <row r="39" ht="12.75" customHeight="1">
      <c r="A39" s="27">
        <v>203.0</v>
      </c>
      <c r="B39" s="28" t="s">
        <v>44492</v>
      </c>
      <c r="C39" s="29">
        <v>35.0</v>
      </c>
      <c r="D39" s="28" t="s">
        <v>44493</v>
      </c>
      <c r="E39" s="28" t="s">
        <v>44494</v>
      </c>
      <c r="F39" s="29">
        <v>28.0</v>
      </c>
      <c r="G39" s="30">
        <v>3.5030287E7</v>
      </c>
    </row>
    <row r="40" ht="12.75" customHeight="1">
      <c r="A40" s="31">
        <v>203.0</v>
      </c>
      <c r="B40" s="32" t="s">
        <v>44495</v>
      </c>
      <c r="C40" s="33">
        <v>35.0</v>
      </c>
      <c r="D40" s="32" t="s">
        <v>44496</v>
      </c>
      <c r="E40" s="32" t="s">
        <v>44497</v>
      </c>
      <c r="F40" s="33">
        <v>31.0</v>
      </c>
      <c r="G40" s="34">
        <v>3.5030311E7</v>
      </c>
    </row>
    <row r="41" ht="12.75" customHeight="1">
      <c r="A41" s="27">
        <v>304.0</v>
      </c>
      <c r="B41" s="28" t="s">
        <v>44498</v>
      </c>
      <c r="C41" s="29">
        <v>35.0</v>
      </c>
      <c r="D41" s="28" t="s">
        <v>44499</v>
      </c>
      <c r="E41" s="28" t="s">
        <v>44500</v>
      </c>
      <c r="F41" s="29">
        <v>4.0</v>
      </c>
      <c r="G41" s="30">
        <v>3.5040048E7</v>
      </c>
    </row>
    <row r="42" ht="12.75" customHeight="1">
      <c r="A42" s="31">
        <v>304.0</v>
      </c>
      <c r="B42" s="32" t="s">
        <v>44501</v>
      </c>
      <c r="C42" s="33">
        <v>35.0</v>
      </c>
      <c r="D42" s="32" t="s">
        <v>44502</v>
      </c>
      <c r="E42" s="32" t="s">
        <v>44503</v>
      </c>
      <c r="F42" s="33">
        <v>7.0</v>
      </c>
      <c r="G42" s="34">
        <v>3.5040077E7</v>
      </c>
    </row>
    <row r="43" ht="12.75" customHeight="1">
      <c r="A43" s="27">
        <v>304.0</v>
      </c>
      <c r="B43" s="28" t="s">
        <v>44504</v>
      </c>
      <c r="C43" s="29">
        <v>35.0</v>
      </c>
      <c r="D43" s="28" t="s">
        <v>44505</v>
      </c>
      <c r="E43" s="28" t="s">
        <v>44506</v>
      </c>
      <c r="F43" s="29">
        <v>10.0</v>
      </c>
      <c r="G43" s="30">
        <v>3.5040101E7</v>
      </c>
    </row>
    <row r="44" ht="12.75" customHeight="1">
      <c r="A44" s="31">
        <v>304.0</v>
      </c>
      <c r="B44" s="32" t="s">
        <v>44507</v>
      </c>
      <c r="C44" s="33">
        <v>35.0</v>
      </c>
      <c r="D44" s="32" t="s">
        <v>44508</v>
      </c>
      <c r="E44" s="32" t="s">
        <v>44509</v>
      </c>
      <c r="F44" s="33">
        <v>13.0</v>
      </c>
      <c r="G44" s="34">
        <v>3.504013E7</v>
      </c>
    </row>
    <row r="45" ht="12.75" customHeight="1">
      <c r="A45" s="27">
        <v>304.0</v>
      </c>
      <c r="B45" s="28" t="s">
        <v>44510</v>
      </c>
      <c r="C45" s="29">
        <v>35.0</v>
      </c>
      <c r="D45" s="28" t="s">
        <v>44511</v>
      </c>
      <c r="E45" s="28" t="s">
        <v>44512</v>
      </c>
      <c r="F45" s="29">
        <v>22.0</v>
      </c>
      <c r="G45" s="30">
        <v>3.5040222E7</v>
      </c>
    </row>
    <row r="46" ht="12.75" customHeight="1">
      <c r="A46" s="31">
        <v>304.0</v>
      </c>
      <c r="B46" s="32" t="s">
        <v>44513</v>
      </c>
      <c r="C46" s="33">
        <v>35.0</v>
      </c>
      <c r="D46" s="32" t="s">
        <v>44514</v>
      </c>
      <c r="E46" s="32" t="s">
        <v>44515</v>
      </c>
      <c r="F46" s="33">
        <v>25.0</v>
      </c>
      <c r="G46" s="34">
        <v>3.5040251E7</v>
      </c>
    </row>
    <row r="47" ht="12.75" customHeight="1">
      <c r="A47" s="27">
        <v>304.0</v>
      </c>
      <c r="B47" s="28" t="s">
        <v>44516</v>
      </c>
      <c r="C47" s="29">
        <v>35.0</v>
      </c>
      <c r="D47" s="28" t="s">
        <v>44517</v>
      </c>
      <c r="E47" s="28" t="s">
        <v>44518</v>
      </c>
      <c r="F47" s="29">
        <v>28.0</v>
      </c>
      <c r="G47" s="30">
        <v>3.504028E7</v>
      </c>
    </row>
    <row r="48" ht="12.75" customHeight="1">
      <c r="A48" s="31">
        <v>304.0</v>
      </c>
      <c r="B48" s="32" t="s">
        <v>44519</v>
      </c>
      <c r="C48" s="33">
        <v>35.0</v>
      </c>
      <c r="D48" s="32" t="s">
        <v>44520</v>
      </c>
      <c r="E48" s="32" t="s">
        <v>44521</v>
      </c>
      <c r="F48" s="33">
        <v>31.0</v>
      </c>
      <c r="G48" s="34">
        <v>3.5040314E7</v>
      </c>
    </row>
    <row r="49" ht="12.75" customHeight="1">
      <c r="A49" s="27">
        <v>304.0</v>
      </c>
      <c r="B49" s="28" t="s">
        <v>44522</v>
      </c>
      <c r="C49" s="29">
        <v>35.0</v>
      </c>
      <c r="D49" s="28" t="s">
        <v>44523</v>
      </c>
      <c r="E49" s="28" t="s">
        <v>44524</v>
      </c>
      <c r="F49" s="29">
        <v>34.0</v>
      </c>
      <c r="G49" s="30">
        <v>3.5040343E7</v>
      </c>
    </row>
    <row r="50" ht="12.75" customHeight="1">
      <c r="A50" s="31">
        <v>304.0</v>
      </c>
      <c r="B50" s="32" t="s">
        <v>44525</v>
      </c>
      <c r="C50" s="33">
        <v>35.0</v>
      </c>
      <c r="D50" s="32" t="s">
        <v>44526</v>
      </c>
      <c r="E50" s="32" t="s">
        <v>44527</v>
      </c>
      <c r="F50" s="33">
        <v>40.0</v>
      </c>
      <c r="G50" s="34">
        <v>3.5040406E7</v>
      </c>
    </row>
    <row r="51" ht="12.75" customHeight="1">
      <c r="A51" s="27">
        <v>304.0</v>
      </c>
      <c r="B51" s="28" t="s">
        <v>44528</v>
      </c>
      <c r="C51" s="29">
        <v>35.0</v>
      </c>
      <c r="D51" s="28" t="s">
        <v>44529</v>
      </c>
      <c r="E51" s="28" t="s">
        <v>44530</v>
      </c>
      <c r="F51" s="29">
        <v>43.0</v>
      </c>
      <c r="G51" s="30">
        <v>3.5040435E7</v>
      </c>
    </row>
    <row r="52" ht="12.75" customHeight="1">
      <c r="A52" s="31">
        <v>304.0</v>
      </c>
      <c r="B52" s="32" t="s">
        <v>44531</v>
      </c>
      <c r="C52" s="33">
        <v>35.0</v>
      </c>
      <c r="D52" s="32" t="s">
        <v>44532</v>
      </c>
      <c r="E52" s="32" t="s">
        <v>44533</v>
      </c>
      <c r="F52" s="33">
        <v>55.0</v>
      </c>
      <c r="G52" s="34">
        <v>3.5040556E7</v>
      </c>
    </row>
    <row r="53" ht="12.75" customHeight="1">
      <c r="A53" s="27">
        <v>304.0</v>
      </c>
      <c r="B53" s="28" t="s">
        <v>44534</v>
      </c>
      <c r="C53" s="29">
        <v>35.0</v>
      </c>
      <c r="D53" s="28" t="s">
        <v>44535</v>
      </c>
      <c r="E53" s="28" t="s">
        <v>44536</v>
      </c>
      <c r="F53" s="29">
        <v>58.0</v>
      </c>
      <c r="G53" s="30">
        <v>3.5040585E7</v>
      </c>
    </row>
    <row r="54" ht="12.75" customHeight="1">
      <c r="A54" s="31">
        <v>304.0</v>
      </c>
      <c r="B54" s="32" t="s">
        <v>44537</v>
      </c>
      <c r="C54" s="33">
        <v>35.0</v>
      </c>
      <c r="D54" s="32" t="s">
        <v>44538</v>
      </c>
      <c r="E54" s="32" t="s">
        <v>44539</v>
      </c>
      <c r="F54" s="33">
        <v>61.0</v>
      </c>
      <c r="G54" s="34">
        <v>3.5040619E7</v>
      </c>
    </row>
    <row r="55" ht="12.75" customHeight="1">
      <c r="A55" s="27">
        <v>304.0</v>
      </c>
      <c r="B55" s="28" t="s">
        <v>44540</v>
      </c>
      <c r="C55" s="29">
        <v>35.0</v>
      </c>
      <c r="D55" s="28" t="s">
        <v>44541</v>
      </c>
      <c r="E55" s="28" t="s">
        <v>44542</v>
      </c>
      <c r="F55" s="29">
        <v>67.0</v>
      </c>
      <c r="G55" s="30">
        <v>3.5040677E7</v>
      </c>
    </row>
    <row r="56" ht="12.75" customHeight="1">
      <c r="A56" s="31">
        <v>304.0</v>
      </c>
      <c r="B56" s="32" t="s">
        <v>44543</v>
      </c>
      <c r="C56" s="33">
        <v>35.0</v>
      </c>
      <c r="D56" s="32" t="s">
        <v>44544</v>
      </c>
      <c r="E56" s="32" t="s">
        <v>44545</v>
      </c>
      <c r="F56" s="33">
        <v>70.0</v>
      </c>
      <c r="G56" s="34">
        <v>3.5040701E7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306.0</v>
      </c>
      <c r="B1" s="28" t="s">
        <v>44546</v>
      </c>
      <c r="C1" s="29">
        <v>35.0</v>
      </c>
      <c r="D1" s="28" t="s">
        <v>44547</v>
      </c>
      <c r="E1" s="28" t="s">
        <v>44548</v>
      </c>
      <c r="F1" s="29">
        <v>7.0</v>
      </c>
      <c r="G1" s="30">
        <v>3.5060073E7</v>
      </c>
    </row>
    <row r="2" ht="12.75" customHeight="1">
      <c r="A2" s="31">
        <v>306.0</v>
      </c>
      <c r="B2" s="32" t="s">
        <v>44549</v>
      </c>
      <c r="C2" s="33">
        <v>35.0</v>
      </c>
      <c r="D2" s="32" t="s">
        <v>44550</v>
      </c>
      <c r="E2" s="32" t="s">
        <v>44551</v>
      </c>
      <c r="F2" s="33">
        <v>9.0</v>
      </c>
      <c r="G2" s="34">
        <v>3.5060099E7</v>
      </c>
    </row>
    <row r="3" ht="12.75" customHeight="1">
      <c r="A3" s="27">
        <v>306.0</v>
      </c>
      <c r="B3" s="28" t="s">
        <v>44552</v>
      </c>
      <c r="C3" s="29">
        <v>35.0</v>
      </c>
      <c r="D3" s="28" t="s">
        <v>44553</v>
      </c>
      <c r="E3" s="28" t="s">
        <v>44554</v>
      </c>
      <c r="F3" s="29">
        <v>11.0</v>
      </c>
      <c r="G3" s="30">
        <v>3.506011E7</v>
      </c>
    </row>
    <row r="4" ht="12.75" customHeight="1">
      <c r="A4" s="31">
        <v>306.0</v>
      </c>
      <c r="B4" s="32" t="s">
        <v>44555</v>
      </c>
      <c r="C4" s="33">
        <v>35.0</v>
      </c>
      <c r="D4" s="32" t="s">
        <v>44556</v>
      </c>
      <c r="E4" s="32" t="s">
        <v>44557</v>
      </c>
      <c r="F4" s="33">
        <v>12.0</v>
      </c>
      <c r="G4" s="34">
        <v>3.5060123E7</v>
      </c>
    </row>
    <row r="5" ht="12.75" customHeight="1">
      <c r="A5" s="27">
        <v>306.0</v>
      </c>
      <c r="B5" s="28" t="s">
        <v>44558</v>
      </c>
      <c r="C5" s="29">
        <v>35.0</v>
      </c>
      <c r="D5" s="28" t="s">
        <v>44559</v>
      </c>
      <c r="E5" s="28" t="s">
        <v>44560</v>
      </c>
      <c r="F5" s="29">
        <v>16.0</v>
      </c>
      <c r="G5" s="30">
        <v>3.5060165E7</v>
      </c>
    </row>
    <row r="6" ht="12.75" customHeight="1">
      <c r="A6" s="31">
        <v>306.0</v>
      </c>
      <c r="B6" s="32" t="s">
        <v>44561</v>
      </c>
      <c r="C6" s="33">
        <v>35.0</v>
      </c>
      <c r="D6" s="32" t="s">
        <v>44562</v>
      </c>
      <c r="E6" s="32" t="s">
        <v>44563</v>
      </c>
      <c r="F6" s="33">
        <v>19.0</v>
      </c>
      <c r="G6" s="34">
        <v>3.5060194E7</v>
      </c>
    </row>
    <row r="7" ht="12.75" customHeight="1">
      <c r="A7" s="27">
        <v>306.0</v>
      </c>
      <c r="B7" s="28" t="s">
        <v>44564</v>
      </c>
      <c r="C7" s="29">
        <v>35.0</v>
      </c>
      <c r="D7" s="28" t="s">
        <v>44565</v>
      </c>
      <c r="E7" s="28" t="s">
        <v>44566</v>
      </c>
      <c r="F7" s="29">
        <v>22.0</v>
      </c>
      <c r="G7" s="30">
        <v>3.5060228E7</v>
      </c>
    </row>
    <row r="8" ht="12.75" customHeight="1">
      <c r="A8" s="31">
        <v>306.0</v>
      </c>
      <c r="B8" s="32" t="s">
        <v>44567</v>
      </c>
      <c r="C8" s="33">
        <v>35.0</v>
      </c>
      <c r="D8" s="32" t="s">
        <v>44568</v>
      </c>
      <c r="E8" s="32" t="s">
        <v>44569</v>
      </c>
      <c r="F8" s="33">
        <v>25.0</v>
      </c>
      <c r="G8" s="34">
        <v>3.5060257E7</v>
      </c>
    </row>
    <row r="9" ht="12.75" customHeight="1">
      <c r="A9" s="27">
        <v>306.0</v>
      </c>
      <c r="B9" s="28" t="s">
        <v>44570</v>
      </c>
      <c r="C9" s="29">
        <v>35.0</v>
      </c>
      <c r="D9" s="28" t="s">
        <v>44571</v>
      </c>
      <c r="E9" s="28" t="s">
        <v>44572</v>
      </c>
      <c r="F9" s="29">
        <v>28.0</v>
      </c>
      <c r="G9" s="30">
        <v>3.5060286E7</v>
      </c>
    </row>
    <row r="10" ht="12.75" customHeight="1">
      <c r="A10" s="31">
        <v>306.0</v>
      </c>
      <c r="B10" s="32" t="s">
        <v>44573</v>
      </c>
      <c r="C10" s="33">
        <v>35.0</v>
      </c>
      <c r="D10" s="32" t="s">
        <v>44574</v>
      </c>
      <c r="E10" s="32" t="s">
        <v>44575</v>
      </c>
      <c r="F10" s="33">
        <v>43.0</v>
      </c>
      <c r="G10" s="34">
        <v>3.5060431E7</v>
      </c>
    </row>
    <row r="11" ht="12.75" customHeight="1">
      <c r="A11" s="27">
        <v>306.0</v>
      </c>
      <c r="B11" s="28" t="s">
        <v>44576</v>
      </c>
      <c r="C11" s="29">
        <v>35.0</v>
      </c>
      <c r="D11" s="28" t="s">
        <v>44577</v>
      </c>
      <c r="E11" s="28" t="s">
        <v>44578</v>
      </c>
      <c r="F11" s="29">
        <v>82.0</v>
      </c>
      <c r="G11" s="30">
        <v>3.5060828E7</v>
      </c>
    </row>
    <row r="12" ht="12.75" customHeight="1">
      <c r="A12" s="31">
        <v>306.0</v>
      </c>
      <c r="B12" s="32" t="s">
        <v>44579</v>
      </c>
      <c r="C12" s="33">
        <v>35.0</v>
      </c>
      <c r="D12" s="32" t="s">
        <v>44580</v>
      </c>
      <c r="E12" s="32" t="s">
        <v>44581</v>
      </c>
      <c r="F12" s="33">
        <v>91.0</v>
      </c>
      <c r="G12" s="34">
        <v>3.506091E7</v>
      </c>
    </row>
    <row r="13" ht="12.75" customHeight="1">
      <c r="A13" s="27">
        <v>306.0</v>
      </c>
      <c r="B13" s="28" t="s">
        <v>44582</v>
      </c>
      <c r="C13" s="29">
        <v>35.0</v>
      </c>
      <c r="D13" s="28" t="s">
        <v>44583</v>
      </c>
      <c r="E13" s="28" t="s">
        <v>44584</v>
      </c>
      <c r="F13" s="29">
        <v>97.0</v>
      </c>
      <c r="G13" s="30">
        <v>3.5060978E7</v>
      </c>
    </row>
    <row r="14" ht="12.75" customHeight="1">
      <c r="A14" s="31">
        <v>306.0</v>
      </c>
      <c r="B14" s="32" t="s">
        <v>44585</v>
      </c>
      <c r="C14" s="33">
        <v>35.0</v>
      </c>
      <c r="D14" s="32" t="s">
        <v>44586</v>
      </c>
      <c r="E14" s="32" t="s">
        <v>44587</v>
      </c>
      <c r="F14" s="31">
        <v>110.0</v>
      </c>
      <c r="G14" s="34">
        <v>3.5061106E7</v>
      </c>
    </row>
    <row r="15" ht="12.75" customHeight="1">
      <c r="A15" s="27">
        <v>306.0</v>
      </c>
      <c r="B15" s="28" t="s">
        <v>44588</v>
      </c>
      <c r="C15" s="29">
        <v>35.0</v>
      </c>
      <c r="D15" s="28" t="s">
        <v>44589</v>
      </c>
      <c r="E15" s="28" t="s">
        <v>44590</v>
      </c>
      <c r="F15" s="27">
        <v>112.0</v>
      </c>
      <c r="G15" s="30">
        <v>3.5061122E7</v>
      </c>
    </row>
    <row r="16" ht="12.75" customHeight="1">
      <c r="A16" s="31">
        <v>306.0</v>
      </c>
      <c r="B16" s="32" t="s">
        <v>44591</v>
      </c>
      <c r="C16" s="33">
        <v>35.0</v>
      </c>
      <c r="D16" s="32" t="s">
        <v>44592</v>
      </c>
      <c r="E16" s="32" t="s">
        <v>44593</v>
      </c>
      <c r="F16" s="31">
        <v>118.0</v>
      </c>
      <c r="G16" s="34">
        <v>3.506118E7</v>
      </c>
    </row>
    <row r="17" ht="12.75" customHeight="1">
      <c r="A17" s="27">
        <v>306.0</v>
      </c>
      <c r="B17" s="28" t="s">
        <v>44594</v>
      </c>
      <c r="C17" s="29">
        <v>35.0</v>
      </c>
      <c r="D17" s="28" t="s">
        <v>44595</v>
      </c>
      <c r="E17" s="28" t="s">
        <v>44596</v>
      </c>
      <c r="F17" s="27">
        <v>127.0</v>
      </c>
      <c r="G17" s="30">
        <v>3.5061272E7</v>
      </c>
    </row>
    <row r="18" ht="12.75" customHeight="1">
      <c r="A18" s="31">
        <v>306.0</v>
      </c>
      <c r="B18" s="32" t="s">
        <v>44597</v>
      </c>
      <c r="C18" s="33">
        <v>35.0</v>
      </c>
      <c r="D18" s="32" t="s">
        <v>44598</v>
      </c>
      <c r="E18" s="32" t="s">
        <v>44599</v>
      </c>
      <c r="F18" s="31">
        <v>139.0</v>
      </c>
      <c r="G18" s="34">
        <v>3.5061393E7</v>
      </c>
    </row>
    <row r="19" ht="12.75" customHeight="1">
      <c r="A19" s="27">
        <v>306.0</v>
      </c>
      <c r="B19" s="28" t="s">
        <v>44600</v>
      </c>
      <c r="C19" s="29">
        <v>35.0</v>
      </c>
      <c r="D19" s="28" t="s">
        <v>44601</v>
      </c>
      <c r="E19" s="28" t="s">
        <v>44602</v>
      </c>
      <c r="F19" s="27">
        <v>142.0</v>
      </c>
      <c r="G19" s="30">
        <v>3.5061427E7</v>
      </c>
    </row>
    <row r="20" ht="12.75" customHeight="1">
      <c r="A20" s="31">
        <v>306.0</v>
      </c>
      <c r="B20" s="32" t="s">
        <v>44603</v>
      </c>
      <c r="C20" s="33">
        <v>35.0</v>
      </c>
      <c r="D20" s="32" t="s">
        <v>44604</v>
      </c>
      <c r="E20" s="32" t="s">
        <v>44605</v>
      </c>
      <c r="F20" s="31">
        <v>145.0</v>
      </c>
      <c r="G20" s="34">
        <v>3.5061456E7</v>
      </c>
    </row>
    <row r="21" ht="12.75" customHeight="1">
      <c r="A21" s="27">
        <v>306.0</v>
      </c>
      <c r="B21" s="28" t="s">
        <v>44606</v>
      </c>
      <c r="C21" s="29">
        <v>35.0</v>
      </c>
      <c r="D21" s="28" t="s">
        <v>44607</v>
      </c>
      <c r="E21" s="28" t="s">
        <v>44608</v>
      </c>
      <c r="F21" s="27">
        <v>163.0</v>
      </c>
      <c r="G21" s="30">
        <v>3.506163E7</v>
      </c>
    </row>
    <row r="22" ht="12.75" customHeight="1">
      <c r="A22" s="31">
        <v>306.0</v>
      </c>
      <c r="B22" s="32" t="s">
        <v>44609</v>
      </c>
      <c r="C22" s="33">
        <v>35.0</v>
      </c>
      <c r="D22" s="32" t="s">
        <v>44610</v>
      </c>
      <c r="E22" s="32" t="s">
        <v>44611</v>
      </c>
      <c r="F22" s="31">
        <v>175.0</v>
      </c>
      <c r="G22" s="34">
        <v>3.5061751E7</v>
      </c>
    </row>
    <row r="23" ht="12.75" customHeight="1">
      <c r="A23" s="27">
        <v>306.0</v>
      </c>
      <c r="B23" s="28" t="s">
        <v>44612</v>
      </c>
      <c r="C23" s="29">
        <v>35.0</v>
      </c>
      <c r="D23" s="28" t="s">
        <v>44613</v>
      </c>
      <c r="E23" s="28" t="s">
        <v>44614</v>
      </c>
      <c r="F23" s="27">
        <v>178.0</v>
      </c>
      <c r="G23" s="30">
        <v>3.506178E7</v>
      </c>
    </row>
    <row r="24" ht="12.75" customHeight="1">
      <c r="A24" s="31">
        <v>306.0</v>
      </c>
      <c r="B24" s="32" t="s">
        <v>44615</v>
      </c>
      <c r="C24" s="33">
        <v>35.0</v>
      </c>
      <c r="D24" s="32" t="s">
        <v>44616</v>
      </c>
      <c r="E24" s="32" t="s">
        <v>44617</v>
      </c>
      <c r="F24" s="31">
        <v>190.0</v>
      </c>
      <c r="G24" s="34">
        <v>3.5061906E7</v>
      </c>
    </row>
    <row r="25" ht="12.75" customHeight="1">
      <c r="A25" s="27">
        <v>306.0</v>
      </c>
      <c r="B25" s="28" t="s">
        <v>44618</v>
      </c>
      <c r="C25" s="29">
        <v>35.0</v>
      </c>
      <c r="D25" s="28" t="s">
        <v>44619</v>
      </c>
      <c r="E25" s="28" t="s">
        <v>44620</v>
      </c>
      <c r="F25" s="27">
        <v>205.0</v>
      </c>
      <c r="G25" s="30">
        <v>3.5062055E7</v>
      </c>
    </row>
    <row r="26" ht="12.75" customHeight="1">
      <c r="A26" s="31">
        <v>306.0</v>
      </c>
      <c r="B26" s="32" t="s">
        <v>44621</v>
      </c>
      <c r="C26" s="33">
        <v>35.0</v>
      </c>
      <c r="D26" s="32" t="s">
        <v>44622</v>
      </c>
      <c r="E26" s="32" t="s">
        <v>44623</v>
      </c>
      <c r="F26" s="31">
        <v>211.0</v>
      </c>
      <c r="G26" s="34">
        <v>3.5062118E7</v>
      </c>
    </row>
    <row r="27" ht="12.75" customHeight="1">
      <c r="A27" s="27">
        <v>306.0</v>
      </c>
      <c r="B27" s="28" t="s">
        <v>44624</v>
      </c>
      <c r="C27" s="29">
        <v>35.0</v>
      </c>
      <c r="D27" s="28" t="s">
        <v>44625</v>
      </c>
      <c r="E27" s="28" t="s">
        <v>44626</v>
      </c>
      <c r="F27" s="27">
        <v>214.0</v>
      </c>
      <c r="G27" s="30">
        <v>3.5062147E7</v>
      </c>
    </row>
    <row r="28" ht="12.75" customHeight="1">
      <c r="A28" s="31">
        <v>306.0</v>
      </c>
      <c r="B28" s="32" t="s">
        <v>44627</v>
      </c>
      <c r="C28" s="33">
        <v>35.0</v>
      </c>
      <c r="D28" s="32" t="s">
        <v>44628</v>
      </c>
      <c r="E28" s="32" t="s">
        <v>44629</v>
      </c>
      <c r="F28" s="31">
        <v>226.0</v>
      </c>
      <c r="G28" s="34">
        <v>3.5062268E7</v>
      </c>
    </row>
    <row r="29" ht="12.75" customHeight="1">
      <c r="A29" s="27">
        <v>306.0</v>
      </c>
      <c r="B29" s="28" t="s">
        <v>44630</v>
      </c>
      <c r="C29" s="29">
        <v>35.0</v>
      </c>
      <c r="D29" s="28" t="s">
        <v>44631</v>
      </c>
      <c r="E29" s="28" t="s">
        <v>44632</v>
      </c>
      <c r="F29" s="27">
        <v>229.0</v>
      </c>
      <c r="G29" s="30">
        <v>3.5062297E7</v>
      </c>
    </row>
    <row r="30" ht="12.75" customHeight="1">
      <c r="A30" s="31">
        <v>309.0</v>
      </c>
      <c r="B30" s="32" t="s">
        <v>44633</v>
      </c>
      <c r="C30" s="33">
        <v>35.0</v>
      </c>
      <c r="D30" s="32" t="s">
        <v>44634</v>
      </c>
      <c r="E30" s="32" t="s">
        <v>44635</v>
      </c>
      <c r="F30" s="33">
        <v>10.0</v>
      </c>
      <c r="G30" s="34">
        <v>3.5090106E7</v>
      </c>
    </row>
    <row r="31" ht="12.75" customHeight="1">
      <c r="A31" s="27">
        <v>309.0</v>
      </c>
      <c r="B31" s="28" t="s">
        <v>44636</v>
      </c>
      <c r="C31" s="29">
        <v>35.0</v>
      </c>
      <c r="D31" s="28" t="s">
        <v>44637</v>
      </c>
      <c r="E31" s="28" t="s">
        <v>44638</v>
      </c>
      <c r="F31" s="29">
        <v>16.0</v>
      </c>
      <c r="G31" s="30">
        <v>3.5090164E7</v>
      </c>
    </row>
    <row r="32" ht="12.75" customHeight="1">
      <c r="A32" s="31">
        <v>309.0</v>
      </c>
      <c r="B32" s="32" t="s">
        <v>44639</v>
      </c>
      <c r="C32" s="33">
        <v>35.0</v>
      </c>
      <c r="D32" s="32" t="s">
        <v>44640</v>
      </c>
      <c r="E32" s="32" t="s">
        <v>44641</v>
      </c>
      <c r="F32" s="33">
        <v>19.0</v>
      </c>
      <c r="G32" s="34">
        <v>3.5090193E7</v>
      </c>
    </row>
    <row r="33" ht="12.75" customHeight="1">
      <c r="A33" s="27">
        <v>309.0</v>
      </c>
      <c r="B33" s="28" t="s">
        <v>44642</v>
      </c>
      <c r="C33" s="29">
        <v>35.0</v>
      </c>
      <c r="D33" s="28" t="s">
        <v>44643</v>
      </c>
      <c r="E33" s="28" t="s">
        <v>44644</v>
      </c>
      <c r="F33" s="29">
        <v>22.0</v>
      </c>
      <c r="G33" s="30">
        <v>3.5090227E7</v>
      </c>
    </row>
    <row r="34" ht="12.75" customHeight="1">
      <c r="A34" s="31">
        <v>309.0</v>
      </c>
      <c r="B34" s="32" t="s">
        <v>44645</v>
      </c>
      <c r="C34" s="33">
        <v>35.0</v>
      </c>
      <c r="D34" s="32" t="s">
        <v>44646</v>
      </c>
      <c r="E34" s="32" t="s">
        <v>44647</v>
      </c>
      <c r="F34" s="33">
        <v>31.0</v>
      </c>
      <c r="G34" s="34">
        <v>3.5090319E7</v>
      </c>
    </row>
    <row r="35" ht="12.75" customHeight="1">
      <c r="A35" s="27">
        <v>309.0</v>
      </c>
      <c r="B35" s="28" t="s">
        <v>44648</v>
      </c>
      <c r="C35" s="29">
        <v>35.0</v>
      </c>
      <c r="D35" s="28" t="s">
        <v>44649</v>
      </c>
      <c r="E35" s="28" t="s">
        <v>44650</v>
      </c>
      <c r="F35" s="29">
        <v>37.0</v>
      </c>
      <c r="G35" s="30">
        <v>3.5090377E7</v>
      </c>
    </row>
    <row r="36" ht="12.75" customHeight="1">
      <c r="A36" s="31">
        <v>309.0</v>
      </c>
      <c r="B36" s="32" t="s">
        <v>44651</v>
      </c>
      <c r="C36" s="33">
        <v>35.0</v>
      </c>
      <c r="D36" s="32" t="s">
        <v>44652</v>
      </c>
      <c r="E36" s="32" t="s">
        <v>44653</v>
      </c>
      <c r="F36" s="33">
        <v>40.0</v>
      </c>
      <c r="G36" s="34">
        <v>3.5090401E7</v>
      </c>
    </row>
    <row r="37" ht="12.75" customHeight="1">
      <c r="A37" s="27">
        <v>309.0</v>
      </c>
      <c r="B37" s="28" t="s">
        <v>44654</v>
      </c>
      <c r="C37" s="29">
        <v>35.0</v>
      </c>
      <c r="D37" s="28" t="s">
        <v>44655</v>
      </c>
      <c r="E37" s="28" t="s">
        <v>44656</v>
      </c>
      <c r="F37" s="29">
        <v>46.0</v>
      </c>
      <c r="G37" s="30">
        <v>3.5090469E7</v>
      </c>
    </row>
    <row r="38" ht="12.75" customHeight="1">
      <c r="A38" s="31">
        <v>309.0</v>
      </c>
      <c r="B38" s="32" t="s">
        <v>44657</v>
      </c>
      <c r="C38" s="33">
        <v>35.0</v>
      </c>
      <c r="D38" s="32" t="s">
        <v>44658</v>
      </c>
      <c r="E38" s="32" t="s">
        <v>44659</v>
      </c>
      <c r="F38" s="33">
        <v>49.0</v>
      </c>
      <c r="G38" s="34">
        <v>3.5090498E7</v>
      </c>
    </row>
    <row r="39" ht="12.75" customHeight="1">
      <c r="A39" s="27">
        <v>309.0</v>
      </c>
      <c r="B39" s="28" t="s">
        <v>44660</v>
      </c>
      <c r="C39" s="29">
        <v>35.0</v>
      </c>
      <c r="D39" s="28" t="s">
        <v>44661</v>
      </c>
      <c r="E39" s="28" t="s">
        <v>44662</v>
      </c>
      <c r="F39" s="29">
        <v>58.0</v>
      </c>
      <c r="G39" s="30">
        <v>3.509058E7</v>
      </c>
    </row>
    <row r="40" ht="12.75" customHeight="1">
      <c r="A40" s="31">
        <v>309.0</v>
      </c>
      <c r="B40" s="32" t="s">
        <v>44663</v>
      </c>
      <c r="C40" s="33">
        <v>35.0</v>
      </c>
      <c r="D40" s="32" t="s">
        <v>44664</v>
      </c>
      <c r="E40" s="32" t="s">
        <v>44665</v>
      </c>
      <c r="F40" s="33">
        <v>64.0</v>
      </c>
      <c r="G40" s="34">
        <v>3.5090643E7</v>
      </c>
    </row>
    <row r="41" ht="12.75" customHeight="1">
      <c r="A41" s="27">
        <v>309.0</v>
      </c>
      <c r="B41" s="28" t="s">
        <v>44666</v>
      </c>
      <c r="C41" s="29">
        <v>35.0</v>
      </c>
      <c r="D41" s="28" t="s">
        <v>44667</v>
      </c>
      <c r="E41" s="28" t="s">
        <v>44668</v>
      </c>
      <c r="F41" s="29">
        <v>70.0</v>
      </c>
      <c r="G41" s="30">
        <v>3.5090706E7</v>
      </c>
    </row>
    <row r="42" ht="12.75" customHeight="1">
      <c r="A42" s="31">
        <v>309.0</v>
      </c>
      <c r="B42" s="32" t="s">
        <v>44669</v>
      </c>
      <c r="C42" s="33">
        <v>35.0</v>
      </c>
      <c r="D42" s="32" t="s">
        <v>44670</v>
      </c>
      <c r="E42" s="32" t="s">
        <v>44671</v>
      </c>
      <c r="F42" s="33">
        <v>73.0</v>
      </c>
      <c r="G42" s="34">
        <v>3.5090735E7</v>
      </c>
    </row>
    <row r="43" ht="12.75" customHeight="1">
      <c r="A43" s="27">
        <v>309.0</v>
      </c>
      <c r="B43" s="28" t="s">
        <v>44672</v>
      </c>
      <c r="C43" s="29">
        <v>35.0</v>
      </c>
      <c r="D43" s="28" t="s">
        <v>44673</v>
      </c>
      <c r="E43" s="28" t="s">
        <v>44674</v>
      </c>
      <c r="F43" s="29">
        <v>79.0</v>
      </c>
      <c r="G43" s="30">
        <v>3.5090793E7</v>
      </c>
    </row>
    <row r="44" ht="12.75" customHeight="1">
      <c r="A44" s="31">
        <v>309.0</v>
      </c>
      <c r="B44" s="32" t="s">
        <v>44675</v>
      </c>
      <c r="C44" s="33">
        <v>35.0</v>
      </c>
      <c r="D44" s="32" t="s">
        <v>44676</v>
      </c>
      <c r="E44" s="32" t="s">
        <v>44677</v>
      </c>
      <c r="F44" s="33">
        <v>82.0</v>
      </c>
      <c r="G44" s="34">
        <v>3.5090827E7</v>
      </c>
    </row>
    <row r="45" ht="12.75" customHeight="1">
      <c r="A45" s="27">
        <v>309.0</v>
      </c>
      <c r="B45" s="28" t="s">
        <v>44678</v>
      </c>
      <c r="C45" s="29">
        <v>35.0</v>
      </c>
      <c r="D45" s="28" t="s">
        <v>44679</v>
      </c>
      <c r="E45" s="28" t="s">
        <v>44680</v>
      </c>
      <c r="F45" s="29">
        <v>97.0</v>
      </c>
      <c r="G45" s="30">
        <v>3.5090977E7</v>
      </c>
    </row>
    <row r="46" ht="12.75" customHeight="1">
      <c r="A46" s="31">
        <v>309.0</v>
      </c>
      <c r="B46" s="32" t="s">
        <v>44681</v>
      </c>
      <c r="C46" s="33">
        <v>35.0</v>
      </c>
      <c r="D46" s="32" t="s">
        <v>44682</v>
      </c>
      <c r="E46" s="32" t="s">
        <v>44683</v>
      </c>
      <c r="F46" s="31">
        <v>100.0</v>
      </c>
      <c r="G46" s="34">
        <v>3.5091E7</v>
      </c>
    </row>
    <row r="47" ht="12.75" customHeight="1">
      <c r="A47" s="27">
        <v>112.0</v>
      </c>
      <c r="B47" s="28" t="s">
        <v>44684</v>
      </c>
      <c r="C47" s="29">
        <v>35.0</v>
      </c>
      <c r="D47" s="28" t="s">
        <v>44685</v>
      </c>
      <c r="E47" s="28" t="s">
        <v>44686</v>
      </c>
      <c r="F47" s="29">
        <v>4.0</v>
      </c>
      <c r="G47" s="30">
        <v>3.5120047E7</v>
      </c>
    </row>
    <row r="48" ht="12.75" customHeight="1">
      <c r="A48" s="31">
        <v>112.0</v>
      </c>
      <c r="B48" s="32" t="s">
        <v>44687</v>
      </c>
      <c r="C48" s="33">
        <v>35.0</v>
      </c>
      <c r="D48" s="32" t="s">
        <v>44688</v>
      </c>
      <c r="E48" s="32" t="s">
        <v>44689</v>
      </c>
      <c r="F48" s="33">
        <v>8.0</v>
      </c>
      <c r="G48" s="34">
        <v>3.5120089E7</v>
      </c>
    </row>
    <row r="49" ht="12.75" customHeight="1">
      <c r="A49" s="27">
        <v>112.0</v>
      </c>
      <c r="B49" s="28" t="s">
        <v>44690</v>
      </c>
      <c r="C49" s="29">
        <v>35.0</v>
      </c>
      <c r="D49" s="28" t="s">
        <v>44691</v>
      </c>
      <c r="E49" s="28" t="s">
        <v>44692</v>
      </c>
      <c r="F49" s="29">
        <v>10.0</v>
      </c>
      <c r="G49" s="30">
        <v>3.51201E7</v>
      </c>
    </row>
    <row r="50" ht="12.75" customHeight="1">
      <c r="A50" s="31">
        <v>112.0</v>
      </c>
      <c r="B50" s="32" t="s">
        <v>44693</v>
      </c>
      <c r="C50" s="33">
        <v>35.0</v>
      </c>
      <c r="D50" s="32" t="s">
        <v>44694</v>
      </c>
      <c r="E50" s="32" t="s">
        <v>44695</v>
      </c>
      <c r="F50" s="33">
        <v>13.0</v>
      </c>
      <c r="G50" s="34">
        <v>3.5120139E7</v>
      </c>
    </row>
    <row r="51" ht="12.75" customHeight="1">
      <c r="A51" s="27">
        <v>112.0</v>
      </c>
      <c r="B51" s="28" t="s">
        <v>44696</v>
      </c>
      <c r="C51" s="29">
        <v>35.0</v>
      </c>
      <c r="D51" s="28" t="s">
        <v>44697</v>
      </c>
      <c r="E51" s="28" t="s">
        <v>44698</v>
      </c>
      <c r="F51" s="29">
        <v>16.0</v>
      </c>
      <c r="G51" s="30">
        <v>3.5120168E7</v>
      </c>
    </row>
    <row r="52" ht="12.75" customHeight="1">
      <c r="A52" s="31">
        <v>112.0</v>
      </c>
      <c r="B52" s="32" t="s">
        <v>44699</v>
      </c>
      <c r="C52" s="33">
        <v>35.0</v>
      </c>
      <c r="D52" s="32" t="s">
        <v>44700</v>
      </c>
      <c r="E52" s="32" t="s">
        <v>44701</v>
      </c>
      <c r="F52" s="33">
        <v>22.0</v>
      </c>
      <c r="G52" s="34">
        <v>3.5120221E7</v>
      </c>
    </row>
    <row r="53" ht="12.75" customHeight="1">
      <c r="A53" s="27">
        <v>112.0</v>
      </c>
      <c r="B53" s="28" t="s">
        <v>44702</v>
      </c>
      <c r="C53" s="29">
        <v>35.0</v>
      </c>
      <c r="D53" s="28" t="s">
        <v>44703</v>
      </c>
      <c r="E53" s="28" t="s">
        <v>44704</v>
      </c>
      <c r="F53" s="29">
        <v>25.0</v>
      </c>
      <c r="G53" s="30">
        <v>3.512025E7</v>
      </c>
    </row>
    <row r="54" ht="12.75" customHeight="1">
      <c r="A54" s="31">
        <v>112.0</v>
      </c>
      <c r="B54" s="32" t="s">
        <v>44705</v>
      </c>
      <c r="C54" s="33">
        <v>35.0</v>
      </c>
      <c r="D54" s="32" t="s">
        <v>44706</v>
      </c>
      <c r="E54" s="32" t="s">
        <v>44707</v>
      </c>
      <c r="F54" s="33">
        <v>43.0</v>
      </c>
      <c r="G54" s="34">
        <v>3.5120434E7</v>
      </c>
    </row>
    <row r="55" ht="12.75" customHeight="1">
      <c r="A55" s="27">
        <v>112.0</v>
      </c>
      <c r="B55" s="28" t="s">
        <v>44708</v>
      </c>
      <c r="C55" s="29">
        <v>35.0</v>
      </c>
      <c r="D55" s="28" t="s">
        <v>44709</v>
      </c>
      <c r="E55" s="28" t="s">
        <v>44710</v>
      </c>
      <c r="F55" s="29">
        <v>49.0</v>
      </c>
      <c r="G55" s="30">
        <v>3.5120492E7</v>
      </c>
    </row>
    <row r="56" ht="12.75" customHeight="1">
      <c r="A56" s="31">
        <v>112.0</v>
      </c>
      <c r="B56" s="32" t="s">
        <v>44711</v>
      </c>
      <c r="C56" s="33">
        <v>35.0</v>
      </c>
      <c r="D56" s="32" t="s">
        <v>44712</v>
      </c>
      <c r="E56" s="32" t="s">
        <v>44713</v>
      </c>
      <c r="F56" s="33">
        <v>55.0</v>
      </c>
      <c r="G56" s="34">
        <v>3.5120555E7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112.0</v>
      </c>
      <c r="B1" s="28" t="s">
        <v>44714</v>
      </c>
      <c r="C1" s="29">
        <v>35.0</v>
      </c>
      <c r="D1" s="28" t="s">
        <v>44715</v>
      </c>
      <c r="E1" s="28" t="s">
        <v>44716</v>
      </c>
      <c r="F1" s="29">
        <v>61.0</v>
      </c>
      <c r="G1" s="30">
        <v>3.5120618E7</v>
      </c>
    </row>
    <row r="2" ht="12.75" customHeight="1">
      <c r="A2" s="31">
        <v>112.0</v>
      </c>
      <c r="B2" s="32" t="s">
        <v>44717</v>
      </c>
      <c r="C2" s="33">
        <v>35.0</v>
      </c>
      <c r="D2" s="32" t="s">
        <v>44718</v>
      </c>
      <c r="E2" s="32" t="s">
        <v>44719</v>
      </c>
      <c r="F2" s="33">
        <v>64.0</v>
      </c>
      <c r="G2" s="34">
        <v>3.5120647E7</v>
      </c>
    </row>
    <row r="3" ht="12.75" customHeight="1">
      <c r="A3" s="27">
        <v>112.0</v>
      </c>
      <c r="B3" s="28" t="s">
        <v>44720</v>
      </c>
      <c r="C3" s="29">
        <v>35.0</v>
      </c>
      <c r="D3" s="28" t="s">
        <v>44721</v>
      </c>
      <c r="E3" s="28" t="s">
        <v>44722</v>
      </c>
      <c r="F3" s="29">
        <v>82.0</v>
      </c>
      <c r="G3" s="30">
        <v>3.5120821E7</v>
      </c>
    </row>
    <row r="4" ht="12.75" customHeight="1">
      <c r="A4" s="31">
        <v>112.0</v>
      </c>
      <c r="B4" s="32" t="s">
        <v>44723</v>
      </c>
      <c r="C4" s="33">
        <v>35.0</v>
      </c>
      <c r="D4" s="32" t="s">
        <v>44724</v>
      </c>
      <c r="E4" s="32" t="s">
        <v>44725</v>
      </c>
      <c r="F4" s="33">
        <v>85.0</v>
      </c>
      <c r="G4" s="34">
        <v>3.512085E7</v>
      </c>
    </row>
    <row r="5" ht="12.75" customHeight="1">
      <c r="A5" s="27">
        <v>112.0</v>
      </c>
      <c r="B5" s="28" t="s">
        <v>44726</v>
      </c>
      <c r="C5" s="29">
        <v>35.0</v>
      </c>
      <c r="D5" s="28" t="s">
        <v>44727</v>
      </c>
      <c r="E5" s="28" t="s">
        <v>44728</v>
      </c>
      <c r="F5" s="29">
        <v>94.0</v>
      </c>
      <c r="G5" s="30">
        <v>3.5120942E7</v>
      </c>
    </row>
    <row r="6" ht="12.75" customHeight="1">
      <c r="A6" s="31">
        <v>112.0</v>
      </c>
      <c r="B6" s="32" t="s">
        <v>44729</v>
      </c>
      <c r="C6" s="33">
        <v>35.0</v>
      </c>
      <c r="D6" s="32" t="s">
        <v>44730</v>
      </c>
      <c r="E6" s="32" t="s">
        <v>44731</v>
      </c>
      <c r="F6" s="33">
        <v>97.0</v>
      </c>
      <c r="G6" s="34">
        <v>3.5120971E7</v>
      </c>
    </row>
    <row r="7" ht="12.75" customHeight="1">
      <c r="A7" s="27">
        <v>112.0</v>
      </c>
      <c r="B7" s="28" t="s">
        <v>44732</v>
      </c>
      <c r="C7" s="29">
        <v>35.0</v>
      </c>
      <c r="D7" s="28" t="s">
        <v>44733</v>
      </c>
      <c r="E7" s="28" t="s">
        <v>44734</v>
      </c>
      <c r="F7" s="27">
        <v>100.0</v>
      </c>
      <c r="G7" s="30">
        <v>3.5121004E7</v>
      </c>
    </row>
    <row r="8" ht="12.75" customHeight="1">
      <c r="A8" s="31">
        <v>112.0</v>
      </c>
      <c r="B8" s="32" t="s">
        <v>44735</v>
      </c>
      <c r="C8" s="33">
        <v>35.0</v>
      </c>
      <c r="D8" s="32" t="s">
        <v>44736</v>
      </c>
      <c r="E8" s="32" t="s">
        <v>44737</v>
      </c>
      <c r="F8" s="31">
        <v>103.0</v>
      </c>
      <c r="G8" s="34">
        <v>3.5121033E7</v>
      </c>
    </row>
    <row r="9" ht="12.75" customHeight="1">
      <c r="A9" s="27">
        <v>112.0</v>
      </c>
      <c r="B9" s="28" t="s">
        <v>44738</v>
      </c>
      <c r="C9" s="29">
        <v>35.0</v>
      </c>
      <c r="D9" s="28" t="s">
        <v>44739</v>
      </c>
      <c r="E9" s="28" t="s">
        <v>44740</v>
      </c>
      <c r="F9" s="27">
        <v>109.0</v>
      </c>
      <c r="G9" s="30">
        <v>3.5121091E7</v>
      </c>
    </row>
    <row r="10" ht="12.75" customHeight="1">
      <c r="A10" s="31">
        <v>112.0</v>
      </c>
      <c r="B10" s="32" t="s">
        <v>44741</v>
      </c>
      <c r="C10" s="33">
        <v>35.0</v>
      </c>
      <c r="D10" s="32" t="s">
        <v>44742</v>
      </c>
      <c r="E10" s="32" t="s">
        <v>44743</v>
      </c>
      <c r="F10" s="31">
        <v>115.0</v>
      </c>
      <c r="G10" s="34">
        <v>3.5121154E7</v>
      </c>
    </row>
    <row r="11" ht="12.75" customHeight="1">
      <c r="A11" s="27">
        <v>112.0</v>
      </c>
      <c r="B11" s="28" t="s">
        <v>44744</v>
      </c>
      <c r="C11" s="29">
        <v>35.0</v>
      </c>
      <c r="D11" s="28" t="s">
        <v>44745</v>
      </c>
      <c r="E11" s="28" t="s">
        <v>44746</v>
      </c>
      <c r="F11" s="27">
        <v>118.0</v>
      </c>
      <c r="G11" s="30">
        <v>3.5121183E7</v>
      </c>
    </row>
    <row r="12" ht="12.75" customHeight="1">
      <c r="A12" s="31">
        <v>112.0</v>
      </c>
      <c r="B12" s="32" t="s">
        <v>44747</v>
      </c>
      <c r="C12" s="33">
        <v>35.0</v>
      </c>
      <c r="D12" s="32" t="s">
        <v>44748</v>
      </c>
      <c r="E12" s="32" t="s">
        <v>44749</v>
      </c>
      <c r="F12" s="31">
        <v>121.0</v>
      </c>
      <c r="G12" s="34">
        <v>3.5121217E7</v>
      </c>
    </row>
    <row r="13" ht="12.75" customHeight="1">
      <c r="A13" s="27">
        <v>112.0</v>
      </c>
      <c r="B13" s="28" t="s">
        <v>44750</v>
      </c>
      <c r="C13" s="29">
        <v>35.0</v>
      </c>
      <c r="D13" s="28" t="s">
        <v>44751</v>
      </c>
      <c r="E13" s="28" t="s">
        <v>44752</v>
      </c>
      <c r="F13" s="27">
        <v>130.0</v>
      </c>
      <c r="G13" s="30">
        <v>3.5121309E7</v>
      </c>
    </row>
    <row r="14" ht="12.75" customHeight="1">
      <c r="A14" s="31">
        <v>112.0</v>
      </c>
      <c r="B14" s="32" t="s">
        <v>44753</v>
      </c>
      <c r="C14" s="33">
        <v>35.0</v>
      </c>
      <c r="D14" s="32" t="s">
        <v>44754</v>
      </c>
      <c r="E14" s="32" t="s">
        <v>44755</v>
      </c>
      <c r="F14" s="31">
        <v>136.0</v>
      </c>
      <c r="G14" s="34">
        <v>3.5121367E7</v>
      </c>
    </row>
    <row r="15" ht="12.75" customHeight="1">
      <c r="A15" s="27">
        <v>112.0</v>
      </c>
      <c r="B15" s="28" t="s">
        <v>44756</v>
      </c>
      <c r="C15" s="29">
        <v>35.0</v>
      </c>
      <c r="D15" s="28" t="s">
        <v>44757</v>
      </c>
      <c r="E15" s="28" t="s">
        <v>44758</v>
      </c>
      <c r="F15" s="27">
        <v>139.0</v>
      </c>
      <c r="G15" s="30">
        <v>3.5121396E7</v>
      </c>
    </row>
    <row r="16" ht="12.75" customHeight="1">
      <c r="A16" s="31">
        <v>112.0</v>
      </c>
      <c r="B16" s="32" t="s">
        <v>44759</v>
      </c>
      <c r="C16" s="33">
        <v>35.0</v>
      </c>
      <c r="D16" s="32" t="s">
        <v>44760</v>
      </c>
      <c r="E16" s="32" t="s">
        <v>44761</v>
      </c>
      <c r="F16" s="31">
        <v>148.0</v>
      </c>
      <c r="G16" s="34">
        <v>3.5121488E7</v>
      </c>
    </row>
    <row r="17" ht="12.75" customHeight="1">
      <c r="A17" s="27">
        <v>112.0</v>
      </c>
      <c r="B17" s="28" t="s">
        <v>44762</v>
      </c>
      <c r="C17" s="29">
        <v>35.0</v>
      </c>
      <c r="D17" s="28" t="s">
        <v>44763</v>
      </c>
      <c r="E17" s="28" t="s">
        <v>44764</v>
      </c>
      <c r="F17" s="27">
        <v>160.0</v>
      </c>
      <c r="G17" s="30">
        <v>3.5121604E7</v>
      </c>
    </row>
    <row r="18" ht="12.75" customHeight="1">
      <c r="A18" s="31">
        <v>112.0</v>
      </c>
      <c r="B18" s="32" t="s">
        <v>44765</v>
      </c>
      <c r="C18" s="33">
        <v>35.0</v>
      </c>
      <c r="D18" s="32" t="s">
        <v>44766</v>
      </c>
      <c r="E18" s="32" t="s">
        <v>44767</v>
      </c>
      <c r="F18" s="31">
        <v>169.0</v>
      </c>
      <c r="G18" s="34">
        <v>3.5121691E7</v>
      </c>
    </row>
    <row r="19" ht="12.75" customHeight="1">
      <c r="A19" s="27">
        <v>113.0</v>
      </c>
      <c r="B19" s="28" t="s">
        <v>44768</v>
      </c>
      <c r="C19" s="29">
        <v>35.0</v>
      </c>
      <c r="D19" s="28" t="s">
        <v>44769</v>
      </c>
      <c r="E19" s="28" t="s">
        <v>44770</v>
      </c>
      <c r="F19" s="29">
        <v>9.0</v>
      </c>
      <c r="G19" s="30">
        <v>3.5130095E7</v>
      </c>
    </row>
    <row r="20" ht="12.75" customHeight="1">
      <c r="A20" s="31">
        <v>113.0</v>
      </c>
      <c r="B20" s="32" t="s">
        <v>44771</v>
      </c>
      <c r="C20" s="33">
        <v>35.0</v>
      </c>
      <c r="D20" s="32" t="s">
        <v>44772</v>
      </c>
      <c r="E20" s="32" t="s">
        <v>44773</v>
      </c>
      <c r="F20" s="33">
        <v>10.0</v>
      </c>
      <c r="G20" s="34">
        <v>3.5130103E7</v>
      </c>
    </row>
    <row r="21" ht="12.75" customHeight="1">
      <c r="A21" s="27">
        <v>113.0</v>
      </c>
      <c r="B21" s="28" t="s">
        <v>44774</v>
      </c>
      <c r="C21" s="29">
        <v>35.0</v>
      </c>
      <c r="D21" s="28" t="s">
        <v>44775</v>
      </c>
      <c r="E21" s="28" t="s">
        <v>44776</v>
      </c>
      <c r="F21" s="29">
        <v>16.0</v>
      </c>
      <c r="G21" s="30">
        <v>3.5130161E7</v>
      </c>
    </row>
    <row r="22" ht="12.75" customHeight="1">
      <c r="A22" s="31">
        <v>113.0</v>
      </c>
      <c r="B22" s="32" t="s">
        <v>44777</v>
      </c>
      <c r="C22" s="33">
        <v>35.0</v>
      </c>
      <c r="D22" s="32" t="s">
        <v>44778</v>
      </c>
      <c r="E22" s="32" t="s">
        <v>44779</v>
      </c>
      <c r="F22" s="33">
        <v>19.0</v>
      </c>
      <c r="G22" s="34">
        <v>3.513019E7</v>
      </c>
    </row>
    <row r="23" ht="12.75" customHeight="1">
      <c r="A23" s="27">
        <v>113.0</v>
      </c>
      <c r="B23" s="28" t="s">
        <v>44780</v>
      </c>
      <c r="C23" s="29">
        <v>35.0</v>
      </c>
      <c r="D23" s="28" t="s">
        <v>44781</v>
      </c>
      <c r="E23" s="28" t="s">
        <v>44782</v>
      </c>
      <c r="F23" s="29">
        <v>28.0</v>
      </c>
      <c r="G23" s="30">
        <v>3.5130282E7</v>
      </c>
    </row>
    <row r="24" ht="12.75" customHeight="1">
      <c r="A24" s="31">
        <v>113.0</v>
      </c>
      <c r="B24" s="32" t="s">
        <v>44783</v>
      </c>
      <c r="C24" s="33">
        <v>35.0</v>
      </c>
      <c r="D24" s="32" t="s">
        <v>44784</v>
      </c>
      <c r="E24" s="32" t="s">
        <v>44785</v>
      </c>
      <c r="F24" s="33">
        <v>31.0</v>
      </c>
      <c r="G24" s="34">
        <v>3.5130316E7</v>
      </c>
    </row>
    <row r="25" ht="12.75" customHeight="1">
      <c r="A25" s="27">
        <v>113.0</v>
      </c>
      <c r="B25" s="28" t="s">
        <v>44786</v>
      </c>
      <c r="C25" s="29">
        <v>35.0</v>
      </c>
      <c r="D25" s="28" t="s">
        <v>44787</v>
      </c>
      <c r="E25" s="28" t="s">
        <v>44788</v>
      </c>
      <c r="F25" s="29">
        <v>46.0</v>
      </c>
      <c r="G25" s="30">
        <v>3.5130466E7</v>
      </c>
    </row>
    <row r="26" ht="12.75" customHeight="1">
      <c r="A26" s="31">
        <v>113.0</v>
      </c>
      <c r="B26" s="32" t="s">
        <v>44789</v>
      </c>
      <c r="C26" s="33">
        <v>35.0</v>
      </c>
      <c r="D26" s="32" t="s">
        <v>44790</v>
      </c>
      <c r="E26" s="32" t="s">
        <v>44791</v>
      </c>
      <c r="F26" s="33">
        <v>49.0</v>
      </c>
      <c r="G26" s="34">
        <v>3.5130495E7</v>
      </c>
    </row>
    <row r="27" ht="12.75" customHeight="1">
      <c r="A27" s="27">
        <v>113.0</v>
      </c>
      <c r="B27" s="28" t="s">
        <v>44792</v>
      </c>
      <c r="C27" s="29">
        <v>35.0</v>
      </c>
      <c r="D27" s="28" t="s">
        <v>44793</v>
      </c>
      <c r="E27" s="28" t="s">
        <v>44794</v>
      </c>
      <c r="F27" s="29">
        <v>52.0</v>
      </c>
      <c r="G27" s="30">
        <v>3.5130529E7</v>
      </c>
    </row>
    <row r="28" ht="12.75" customHeight="1">
      <c r="A28" s="31">
        <v>113.0</v>
      </c>
      <c r="B28" s="32" t="s">
        <v>44795</v>
      </c>
      <c r="C28" s="33">
        <v>35.0</v>
      </c>
      <c r="D28" s="32" t="s">
        <v>44796</v>
      </c>
      <c r="E28" s="32" t="s">
        <v>44797</v>
      </c>
      <c r="F28" s="33">
        <v>61.0</v>
      </c>
      <c r="G28" s="34">
        <v>3.5130611E7</v>
      </c>
    </row>
    <row r="29" ht="12.75" customHeight="1">
      <c r="A29" s="27">
        <v>113.0</v>
      </c>
      <c r="B29" s="28" t="s">
        <v>44798</v>
      </c>
      <c r="C29" s="29">
        <v>35.0</v>
      </c>
      <c r="D29" s="28" t="s">
        <v>44799</v>
      </c>
      <c r="E29" s="28" t="s">
        <v>44800</v>
      </c>
      <c r="F29" s="29">
        <v>67.0</v>
      </c>
      <c r="G29" s="30">
        <v>3.5130679E7</v>
      </c>
    </row>
    <row r="30" ht="12.75" customHeight="1">
      <c r="A30" s="31">
        <v>113.0</v>
      </c>
      <c r="B30" s="32" t="s">
        <v>44801</v>
      </c>
      <c r="C30" s="33">
        <v>35.0</v>
      </c>
      <c r="D30" s="32" t="s">
        <v>44802</v>
      </c>
      <c r="E30" s="32" t="s">
        <v>44803</v>
      </c>
      <c r="F30" s="33">
        <v>70.0</v>
      </c>
      <c r="G30" s="34">
        <v>3.5130703E7</v>
      </c>
    </row>
    <row r="31" ht="12.75" customHeight="1">
      <c r="A31" s="27">
        <v>113.0</v>
      </c>
      <c r="B31" s="28" t="s">
        <v>44804</v>
      </c>
      <c r="C31" s="29">
        <v>35.0</v>
      </c>
      <c r="D31" s="28" t="s">
        <v>44805</v>
      </c>
      <c r="E31" s="28" t="s">
        <v>44806</v>
      </c>
      <c r="F31" s="29">
        <v>82.0</v>
      </c>
      <c r="G31" s="30">
        <v>3.5130824E7</v>
      </c>
    </row>
    <row r="32" ht="12.75" customHeight="1">
      <c r="A32" s="31">
        <v>113.0</v>
      </c>
      <c r="B32" s="32" t="s">
        <v>44807</v>
      </c>
      <c r="C32" s="33">
        <v>35.0</v>
      </c>
      <c r="D32" s="32" t="s">
        <v>44808</v>
      </c>
      <c r="E32" s="32" t="s">
        <v>44809</v>
      </c>
      <c r="F32" s="33">
        <v>85.0</v>
      </c>
      <c r="G32" s="34">
        <v>3.5130853E7</v>
      </c>
    </row>
    <row r="33" ht="12.75" customHeight="1">
      <c r="A33" s="27">
        <v>113.0</v>
      </c>
      <c r="B33" s="28" t="s">
        <v>44810</v>
      </c>
      <c r="C33" s="29">
        <v>35.0</v>
      </c>
      <c r="D33" s="28" t="s">
        <v>44811</v>
      </c>
      <c r="E33" s="28" t="s">
        <v>44812</v>
      </c>
      <c r="F33" s="29">
        <v>88.0</v>
      </c>
      <c r="G33" s="30">
        <v>3.5130882E7</v>
      </c>
    </row>
    <row r="34" ht="12.75" customHeight="1">
      <c r="A34" s="31">
        <v>113.0</v>
      </c>
      <c r="B34" s="32" t="s">
        <v>44813</v>
      </c>
      <c r="C34" s="33">
        <v>35.0</v>
      </c>
      <c r="D34" s="32" t="s">
        <v>44814</v>
      </c>
      <c r="E34" s="32" t="s">
        <v>44815</v>
      </c>
      <c r="F34" s="33">
        <v>91.0</v>
      </c>
      <c r="G34" s="34">
        <v>3.5130916E7</v>
      </c>
    </row>
    <row r="35" ht="12.75" customHeight="1">
      <c r="A35" s="27">
        <v>113.0</v>
      </c>
      <c r="B35" s="28" t="s">
        <v>44816</v>
      </c>
      <c r="C35" s="29">
        <v>35.0</v>
      </c>
      <c r="D35" s="28" t="s">
        <v>44817</v>
      </c>
      <c r="E35" s="28" t="s">
        <v>44818</v>
      </c>
      <c r="F35" s="29">
        <v>94.0</v>
      </c>
      <c r="G35" s="30">
        <v>3.5130945E7</v>
      </c>
    </row>
    <row r="36" ht="12.75" customHeight="1">
      <c r="A36" s="31">
        <v>113.0</v>
      </c>
      <c r="B36" s="32" t="s">
        <v>44819</v>
      </c>
      <c r="C36" s="33">
        <v>35.0</v>
      </c>
      <c r="D36" s="32" t="s">
        <v>44820</v>
      </c>
      <c r="E36" s="32" t="s">
        <v>44821</v>
      </c>
      <c r="F36" s="31">
        <v>100.0</v>
      </c>
      <c r="G36" s="34">
        <v>3.5131007E7</v>
      </c>
    </row>
    <row r="37" ht="12.75" customHeight="1">
      <c r="A37" s="27">
        <v>113.0</v>
      </c>
      <c r="B37" s="28" t="s">
        <v>44822</v>
      </c>
      <c r="C37" s="29">
        <v>35.0</v>
      </c>
      <c r="D37" s="28" t="s">
        <v>44823</v>
      </c>
      <c r="E37" s="28" t="s">
        <v>44824</v>
      </c>
      <c r="F37" s="27">
        <v>113.0</v>
      </c>
      <c r="G37" s="30">
        <v>3.5131131E7</v>
      </c>
    </row>
    <row r="38" ht="12.75" customHeight="1">
      <c r="A38" s="31">
        <v>113.0</v>
      </c>
      <c r="B38" s="32" t="s">
        <v>44825</v>
      </c>
      <c r="C38" s="33">
        <v>35.0</v>
      </c>
      <c r="D38" s="32" t="s">
        <v>44826</v>
      </c>
      <c r="E38" s="32" t="s">
        <v>44827</v>
      </c>
      <c r="F38" s="31">
        <v>115.0</v>
      </c>
      <c r="G38" s="34">
        <v>3.5131157E7</v>
      </c>
    </row>
    <row r="39" ht="12.75" customHeight="1">
      <c r="A39" s="27">
        <v>113.0</v>
      </c>
      <c r="B39" s="28" t="s">
        <v>44828</v>
      </c>
      <c r="C39" s="29">
        <v>35.0</v>
      </c>
      <c r="D39" s="28" t="s">
        <v>44829</v>
      </c>
      <c r="E39" s="28" t="s">
        <v>44830</v>
      </c>
      <c r="F39" s="27">
        <v>118.0</v>
      </c>
      <c r="G39" s="30">
        <v>3.5131186E7</v>
      </c>
    </row>
    <row r="40" ht="12.75" customHeight="1">
      <c r="A40" s="31">
        <v>113.0</v>
      </c>
      <c r="B40" s="32" t="s">
        <v>44831</v>
      </c>
      <c r="C40" s="33">
        <v>35.0</v>
      </c>
      <c r="D40" s="32" t="s">
        <v>44832</v>
      </c>
      <c r="E40" s="32" t="s">
        <v>44833</v>
      </c>
      <c r="F40" s="31">
        <v>133.0</v>
      </c>
      <c r="G40" s="34">
        <v>3.5131331E7</v>
      </c>
    </row>
    <row r="41" ht="12.75" customHeight="1">
      <c r="A41" s="27">
        <v>113.0</v>
      </c>
      <c r="B41" s="28" t="s">
        <v>44834</v>
      </c>
      <c r="C41" s="29">
        <v>35.0</v>
      </c>
      <c r="D41" s="28" t="s">
        <v>44835</v>
      </c>
      <c r="E41" s="28" t="s">
        <v>44836</v>
      </c>
      <c r="F41" s="27">
        <v>151.0</v>
      </c>
      <c r="G41" s="30">
        <v>3.5131515E7</v>
      </c>
    </row>
    <row r="42" ht="12.75" customHeight="1">
      <c r="A42" s="31">
        <v>113.0</v>
      </c>
      <c r="B42" s="32" t="s">
        <v>44837</v>
      </c>
      <c r="C42" s="33">
        <v>35.0</v>
      </c>
      <c r="D42" s="32" t="s">
        <v>44838</v>
      </c>
      <c r="E42" s="32" t="s">
        <v>44839</v>
      </c>
      <c r="F42" s="31">
        <v>163.0</v>
      </c>
      <c r="G42" s="34">
        <v>3.5131636E7</v>
      </c>
    </row>
    <row r="43" ht="12.75" customHeight="1">
      <c r="A43" s="27">
        <v>113.0</v>
      </c>
      <c r="B43" s="28" t="s">
        <v>44840</v>
      </c>
      <c r="C43" s="29">
        <v>35.0</v>
      </c>
      <c r="D43" s="28" t="s">
        <v>44841</v>
      </c>
      <c r="E43" s="28" t="s">
        <v>44842</v>
      </c>
      <c r="F43" s="27">
        <v>166.0</v>
      </c>
      <c r="G43" s="30">
        <v>3.5131665E7</v>
      </c>
    </row>
    <row r="44" ht="12.75" customHeight="1">
      <c r="A44" s="31">
        <v>113.0</v>
      </c>
      <c r="B44" s="32" t="s">
        <v>44843</v>
      </c>
      <c r="C44" s="33">
        <v>35.0</v>
      </c>
      <c r="D44" s="32" t="s">
        <v>44844</v>
      </c>
      <c r="E44" s="32" t="s">
        <v>44845</v>
      </c>
      <c r="F44" s="31">
        <v>181.0</v>
      </c>
      <c r="G44" s="34">
        <v>3.513181E7</v>
      </c>
    </row>
    <row r="45" ht="12.75" customHeight="1">
      <c r="A45" s="27">
        <v>113.0</v>
      </c>
      <c r="B45" s="28" t="s">
        <v>44846</v>
      </c>
      <c r="C45" s="29">
        <v>35.0</v>
      </c>
      <c r="D45" s="28" t="s">
        <v>44847</v>
      </c>
      <c r="E45" s="28" t="s">
        <v>44848</v>
      </c>
      <c r="F45" s="27">
        <v>196.0</v>
      </c>
      <c r="G45" s="30">
        <v>3.513196E7</v>
      </c>
    </row>
    <row r="46" ht="12.75" customHeight="1">
      <c r="A46" s="31">
        <v>113.0</v>
      </c>
      <c r="B46" s="32" t="s">
        <v>44849</v>
      </c>
      <c r="C46" s="33">
        <v>35.0</v>
      </c>
      <c r="D46" s="32" t="s">
        <v>44850</v>
      </c>
      <c r="E46" s="32" t="s">
        <v>44851</v>
      </c>
      <c r="F46" s="31">
        <v>199.0</v>
      </c>
      <c r="G46" s="34">
        <v>3.5131999E7</v>
      </c>
    </row>
    <row r="47" ht="12.75" customHeight="1">
      <c r="A47" s="27">
        <v>215.0</v>
      </c>
      <c r="B47" s="28" t="s">
        <v>44852</v>
      </c>
      <c r="C47" s="29">
        <v>35.0</v>
      </c>
      <c r="D47" s="28" t="s">
        <v>44853</v>
      </c>
      <c r="E47" s="28" t="s">
        <v>44854</v>
      </c>
      <c r="F47" s="29">
        <v>7.0</v>
      </c>
      <c r="G47" s="30">
        <v>3.5150075E7</v>
      </c>
    </row>
    <row r="48" ht="12.75" customHeight="1">
      <c r="A48" s="31">
        <v>215.0</v>
      </c>
      <c r="B48" s="32" t="s">
        <v>44855</v>
      </c>
      <c r="C48" s="33">
        <v>35.0</v>
      </c>
      <c r="D48" s="32" t="s">
        <v>44856</v>
      </c>
      <c r="E48" s="32" t="s">
        <v>44857</v>
      </c>
      <c r="F48" s="33">
        <v>10.0</v>
      </c>
      <c r="G48" s="34">
        <v>3.5150109E7</v>
      </c>
    </row>
    <row r="49" ht="12.75" customHeight="1">
      <c r="A49" s="27">
        <v>215.0</v>
      </c>
      <c r="B49" s="28" t="s">
        <v>44858</v>
      </c>
      <c r="C49" s="29">
        <v>35.0</v>
      </c>
      <c r="D49" s="28" t="s">
        <v>44859</v>
      </c>
      <c r="E49" s="28" t="s">
        <v>44860</v>
      </c>
      <c r="F49" s="29">
        <v>11.0</v>
      </c>
      <c r="G49" s="30">
        <v>3.5150112E7</v>
      </c>
    </row>
    <row r="50" ht="12.75" customHeight="1">
      <c r="A50" s="31">
        <v>215.0</v>
      </c>
      <c r="B50" s="32" t="s">
        <v>44861</v>
      </c>
      <c r="C50" s="33">
        <v>35.0</v>
      </c>
      <c r="D50" s="32" t="s">
        <v>44862</v>
      </c>
      <c r="E50" s="32" t="s">
        <v>44863</v>
      </c>
      <c r="F50" s="33">
        <v>13.0</v>
      </c>
      <c r="G50" s="34">
        <v>3.5150138E7</v>
      </c>
    </row>
    <row r="51" ht="12.75" customHeight="1">
      <c r="A51" s="27">
        <v>215.0</v>
      </c>
      <c r="B51" s="28" t="s">
        <v>44864</v>
      </c>
      <c r="C51" s="29">
        <v>35.0</v>
      </c>
      <c r="D51" s="28" t="s">
        <v>44865</v>
      </c>
      <c r="E51" s="28" t="s">
        <v>44866</v>
      </c>
      <c r="F51" s="29">
        <v>22.0</v>
      </c>
      <c r="G51" s="30">
        <v>3.515022E7</v>
      </c>
    </row>
    <row r="52" ht="12.75" customHeight="1">
      <c r="A52" s="31">
        <v>215.0</v>
      </c>
      <c r="B52" s="32" t="s">
        <v>44867</v>
      </c>
      <c r="C52" s="33">
        <v>35.0</v>
      </c>
      <c r="D52" s="32" t="s">
        <v>44868</v>
      </c>
      <c r="E52" s="32" t="s">
        <v>44869</v>
      </c>
      <c r="F52" s="33">
        <v>24.0</v>
      </c>
      <c r="G52" s="34">
        <v>3.5150246E7</v>
      </c>
    </row>
    <row r="53" ht="12.75" customHeight="1">
      <c r="A53" s="27">
        <v>215.0</v>
      </c>
      <c r="B53" s="28" t="s">
        <v>44870</v>
      </c>
      <c r="C53" s="29">
        <v>35.0</v>
      </c>
      <c r="D53" s="28" t="s">
        <v>44871</v>
      </c>
      <c r="E53" s="28" t="s">
        <v>44872</v>
      </c>
      <c r="F53" s="29">
        <v>52.0</v>
      </c>
      <c r="G53" s="30">
        <v>3.5150525E7</v>
      </c>
    </row>
    <row r="54" ht="12.75" customHeight="1">
      <c r="A54" s="31">
        <v>215.0</v>
      </c>
      <c r="B54" s="32" t="s">
        <v>44873</v>
      </c>
      <c r="C54" s="33">
        <v>35.0</v>
      </c>
      <c r="D54" s="32" t="s">
        <v>44874</v>
      </c>
      <c r="E54" s="32" t="s">
        <v>44875</v>
      </c>
      <c r="F54" s="33">
        <v>73.0</v>
      </c>
      <c r="G54" s="34">
        <v>3.5150738E7</v>
      </c>
    </row>
    <row r="55" ht="12.75" customHeight="1">
      <c r="A55" s="27">
        <v>215.0</v>
      </c>
      <c r="B55" s="28" t="s">
        <v>44876</v>
      </c>
      <c r="C55" s="29">
        <v>35.0</v>
      </c>
      <c r="D55" s="28" t="s">
        <v>44877</v>
      </c>
      <c r="E55" s="28" t="s">
        <v>44878</v>
      </c>
      <c r="F55" s="29">
        <v>76.0</v>
      </c>
      <c r="G55" s="30">
        <v>3.5150767E7</v>
      </c>
    </row>
    <row r="56" ht="12.75" customHeight="1">
      <c r="A56" s="31">
        <v>215.0</v>
      </c>
      <c r="B56" s="32" t="s">
        <v>44879</v>
      </c>
      <c r="C56" s="33">
        <v>35.0</v>
      </c>
      <c r="D56" s="32" t="s">
        <v>44880</v>
      </c>
      <c r="E56" s="32" t="s">
        <v>44881</v>
      </c>
      <c r="F56" s="33">
        <v>88.0</v>
      </c>
      <c r="G56" s="34">
        <v>3.5150888E7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44882</v>
      </c>
      <c r="C1" s="29">
        <v>35.0</v>
      </c>
      <c r="D1" s="28" t="s">
        <v>44883</v>
      </c>
      <c r="E1" s="28" t="s">
        <v>44884</v>
      </c>
      <c r="F1" s="29">
        <v>97.0</v>
      </c>
      <c r="G1" s="30">
        <v>3.515097E7</v>
      </c>
    </row>
    <row r="2" ht="12.75" customHeight="1">
      <c r="A2" s="31">
        <v>215.0</v>
      </c>
      <c r="B2" s="32" t="s">
        <v>44885</v>
      </c>
      <c r="C2" s="33">
        <v>35.0</v>
      </c>
      <c r="D2" s="32" t="s">
        <v>44886</v>
      </c>
      <c r="E2" s="32" t="s">
        <v>44887</v>
      </c>
      <c r="F2" s="31">
        <v>106.0</v>
      </c>
      <c r="G2" s="34">
        <v>3.5151061E7</v>
      </c>
    </row>
    <row r="3" ht="12.75" customHeight="1">
      <c r="A3" s="27">
        <v>215.0</v>
      </c>
      <c r="B3" s="28" t="s">
        <v>44888</v>
      </c>
      <c r="C3" s="29">
        <v>35.0</v>
      </c>
      <c r="D3" s="28" t="s">
        <v>44889</v>
      </c>
      <c r="E3" s="28" t="s">
        <v>44890</v>
      </c>
      <c r="F3" s="27">
        <v>109.0</v>
      </c>
      <c r="G3" s="30">
        <v>3.515109E7</v>
      </c>
    </row>
    <row r="4" ht="12.75" customHeight="1">
      <c r="A4" s="31">
        <v>215.0</v>
      </c>
      <c r="B4" s="32" t="s">
        <v>44891</v>
      </c>
      <c r="C4" s="33">
        <v>35.0</v>
      </c>
      <c r="D4" s="32" t="s">
        <v>44892</v>
      </c>
      <c r="E4" s="32" t="s">
        <v>44893</v>
      </c>
      <c r="F4" s="31">
        <v>130.0</v>
      </c>
      <c r="G4" s="34">
        <v>3.5151308E7</v>
      </c>
    </row>
    <row r="5" ht="12.75" customHeight="1">
      <c r="A5" s="27">
        <v>215.0</v>
      </c>
      <c r="B5" s="28" t="s">
        <v>44894</v>
      </c>
      <c r="C5" s="29">
        <v>35.0</v>
      </c>
      <c r="D5" s="28" t="s">
        <v>44895</v>
      </c>
      <c r="E5" s="28" t="s">
        <v>44896</v>
      </c>
      <c r="F5" s="27">
        <v>133.0</v>
      </c>
      <c r="G5" s="30">
        <v>3.5151337E7</v>
      </c>
    </row>
    <row r="6" ht="12.75" customHeight="1">
      <c r="A6" s="31">
        <v>215.0</v>
      </c>
      <c r="B6" s="32" t="s">
        <v>44897</v>
      </c>
      <c r="C6" s="33">
        <v>35.0</v>
      </c>
      <c r="D6" s="32" t="s">
        <v>44898</v>
      </c>
      <c r="E6" s="32" t="s">
        <v>44899</v>
      </c>
      <c r="F6" s="31">
        <v>142.0</v>
      </c>
      <c r="G6" s="34">
        <v>3.5151429E7</v>
      </c>
    </row>
    <row r="7" ht="12.75" customHeight="1">
      <c r="A7" s="27">
        <v>215.0</v>
      </c>
      <c r="B7" s="28" t="s">
        <v>44900</v>
      </c>
      <c r="C7" s="29">
        <v>35.0</v>
      </c>
      <c r="D7" s="28" t="s">
        <v>44901</v>
      </c>
      <c r="E7" s="28" t="s">
        <v>44902</v>
      </c>
      <c r="F7" s="27">
        <v>178.0</v>
      </c>
      <c r="G7" s="30">
        <v>3.5151782E7</v>
      </c>
    </row>
    <row r="8" ht="12.75" customHeight="1">
      <c r="A8" s="31">
        <v>215.0</v>
      </c>
      <c r="B8" s="32" t="s">
        <v>44903</v>
      </c>
      <c r="C8" s="33">
        <v>35.0</v>
      </c>
      <c r="D8" s="32" t="s">
        <v>44904</v>
      </c>
      <c r="E8" s="32" t="s">
        <v>44905</v>
      </c>
      <c r="F8" s="31">
        <v>181.0</v>
      </c>
      <c r="G8" s="34">
        <v>3.5151816E7</v>
      </c>
    </row>
    <row r="9" ht="12.75" customHeight="1">
      <c r="A9" s="27">
        <v>215.0</v>
      </c>
      <c r="B9" s="28" t="s">
        <v>44906</v>
      </c>
      <c r="C9" s="29">
        <v>35.0</v>
      </c>
      <c r="D9" s="28" t="s">
        <v>44907</v>
      </c>
      <c r="E9" s="28" t="s">
        <v>44908</v>
      </c>
      <c r="F9" s="27">
        <v>187.0</v>
      </c>
      <c r="G9" s="30">
        <v>3.5151874E7</v>
      </c>
    </row>
    <row r="10" ht="12.75" customHeight="1">
      <c r="A10" s="31">
        <v>215.0</v>
      </c>
      <c r="B10" s="32" t="s">
        <v>44909</v>
      </c>
      <c r="C10" s="33">
        <v>35.0</v>
      </c>
      <c r="D10" s="32" t="s">
        <v>44910</v>
      </c>
      <c r="E10" s="32" t="s">
        <v>44911</v>
      </c>
      <c r="F10" s="31">
        <v>196.0</v>
      </c>
      <c r="G10" s="34">
        <v>3.5151966E7</v>
      </c>
    </row>
    <row r="11" ht="12.75" customHeight="1">
      <c r="A11" s="27">
        <v>215.0</v>
      </c>
      <c r="B11" s="28" t="s">
        <v>44912</v>
      </c>
      <c r="C11" s="29">
        <v>35.0</v>
      </c>
      <c r="D11" s="28" t="s">
        <v>44913</v>
      </c>
      <c r="E11" s="28" t="s">
        <v>44914</v>
      </c>
      <c r="F11" s="27">
        <v>223.0</v>
      </c>
      <c r="G11" s="30">
        <v>3.5152231E7</v>
      </c>
    </row>
    <row r="12" ht="12.75" customHeight="1">
      <c r="A12" s="31">
        <v>215.0</v>
      </c>
      <c r="B12" s="32" t="s">
        <v>44915</v>
      </c>
      <c r="C12" s="33">
        <v>35.0</v>
      </c>
      <c r="D12" s="32" t="s">
        <v>44916</v>
      </c>
      <c r="E12" s="32" t="s">
        <v>44917</v>
      </c>
      <c r="F12" s="31">
        <v>253.0</v>
      </c>
      <c r="G12" s="34">
        <v>3.5152536E7</v>
      </c>
    </row>
    <row r="13" ht="12.75" customHeight="1">
      <c r="A13" s="27">
        <v>215.0</v>
      </c>
      <c r="B13" s="28" t="s">
        <v>44918</v>
      </c>
      <c r="C13" s="29">
        <v>35.0</v>
      </c>
      <c r="D13" s="28" t="s">
        <v>44919</v>
      </c>
      <c r="E13" s="28" t="s">
        <v>44920</v>
      </c>
      <c r="F13" s="27">
        <v>256.0</v>
      </c>
      <c r="G13" s="30">
        <v>3.5152565E7</v>
      </c>
    </row>
    <row r="14" ht="12.75" customHeight="1">
      <c r="A14" s="31">
        <v>215.0</v>
      </c>
      <c r="B14" s="32" t="s">
        <v>44921</v>
      </c>
      <c r="C14" s="33">
        <v>35.0</v>
      </c>
      <c r="D14" s="32" t="s">
        <v>44922</v>
      </c>
      <c r="E14" s="32" t="s">
        <v>44923</v>
      </c>
      <c r="F14" s="31">
        <v>274.0</v>
      </c>
      <c r="G14" s="34">
        <v>3.5152749E7</v>
      </c>
    </row>
    <row r="15" ht="12.75" customHeight="1">
      <c r="A15" s="27">
        <v>215.0</v>
      </c>
      <c r="B15" s="28" t="s">
        <v>44924</v>
      </c>
      <c r="C15" s="29">
        <v>35.0</v>
      </c>
      <c r="D15" s="28" t="s">
        <v>44925</v>
      </c>
      <c r="E15" s="28" t="s">
        <v>44926</v>
      </c>
      <c r="F15" s="27">
        <v>277.0</v>
      </c>
      <c r="G15" s="30">
        <v>3.5152778E7</v>
      </c>
    </row>
    <row r="16" ht="12.75" customHeight="1">
      <c r="A16" s="31">
        <v>215.0</v>
      </c>
      <c r="B16" s="32" t="s">
        <v>44927</v>
      </c>
      <c r="C16" s="33">
        <v>35.0</v>
      </c>
      <c r="D16" s="32" t="s">
        <v>44928</v>
      </c>
      <c r="E16" s="32" t="s">
        <v>44929</v>
      </c>
      <c r="F16" s="31">
        <v>292.0</v>
      </c>
      <c r="G16" s="34">
        <v>3.5152923E7</v>
      </c>
    </row>
    <row r="17" ht="12.75" customHeight="1">
      <c r="A17" s="27">
        <v>215.0</v>
      </c>
      <c r="B17" s="28" t="s">
        <v>44930</v>
      </c>
      <c r="C17" s="29">
        <v>35.0</v>
      </c>
      <c r="D17" s="28" t="s">
        <v>44931</v>
      </c>
      <c r="E17" s="28" t="s">
        <v>44932</v>
      </c>
      <c r="F17" s="27">
        <v>322.0</v>
      </c>
      <c r="G17" s="30">
        <v>3.5153227E7</v>
      </c>
    </row>
    <row r="18" ht="12.75" customHeight="1">
      <c r="A18" s="31">
        <v>215.0</v>
      </c>
      <c r="B18" s="32" t="s">
        <v>44933</v>
      </c>
      <c r="C18" s="33">
        <v>35.0</v>
      </c>
      <c r="D18" s="32" t="s">
        <v>44934</v>
      </c>
      <c r="E18" s="32" t="s">
        <v>44935</v>
      </c>
      <c r="F18" s="31">
        <v>328.0</v>
      </c>
      <c r="G18" s="34">
        <v>3.5153285E7</v>
      </c>
    </row>
    <row r="19" ht="12.75" customHeight="1">
      <c r="A19" s="27">
        <v>215.0</v>
      </c>
      <c r="B19" s="28" t="s">
        <v>44936</v>
      </c>
      <c r="C19" s="29">
        <v>35.0</v>
      </c>
      <c r="D19" s="28" t="s">
        <v>44937</v>
      </c>
      <c r="E19" s="28" t="s">
        <v>44938</v>
      </c>
      <c r="F19" s="27">
        <v>385.0</v>
      </c>
      <c r="G19" s="30">
        <v>3.5153856E7</v>
      </c>
    </row>
    <row r="20" ht="12.75" customHeight="1">
      <c r="A20" s="31">
        <v>215.0</v>
      </c>
      <c r="B20" s="32" t="s">
        <v>44939</v>
      </c>
      <c r="C20" s="33">
        <v>35.0</v>
      </c>
      <c r="D20" s="32" t="s">
        <v>44940</v>
      </c>
      <c r="E20" s="32" t="s">
        <v>44941</v>
      </c>
      <c r="F20" s="31">
        <v>397.0</v>
      </c>
      <c r="G20" s="34">
        <v>3.5153977E7</v>
      </c>
    </row>
    <row r="21" ht="12.75" customHeight="1">
      <c r="A21" s="27">
        <v>215.0</v>
      </c>
      <c r="B21" s="28" t="s">
        <v>44942</v>
      </c>
      <c r="C21" s="29">
        <v>35.0</v>
      </c>
      <c r="D21" s="28" t="s">
        <v>44943</v>
      </c>
      <c r="E21" s="28" t="s">
        <v>44944</v>
      </c>
      <c r="F21" s="27">
        <v>412.0</v>
      </c>
      <c r="G21" s="30">
        <v>3.5154121E7</v>
      </c>
    </row>
    <row r="22" ht="12.75" customHeight="1">
      <c r="A22" s="31">
        <v>215.0</v>
      </c>
      <c r="B22" s="32" t="s">
        <v>44945</v>
      </c>
      <c r="C22" s="33">
        <v>35.0</v>
      </c>
      <c r="D22" s="32" t="s">
        <v>44946</v>
      </c>
      <c r="E22" s="32" t="s">
        <v>44947</v>
      </c>
      <c r="F22" s="31">
        <v>418.0</v>
      </c>
      <c r="G22" s="34">
        <v>3.5154189E7</v>
      </c>
    </row>
    <row r="23" ht="12.75" customHeight="1">
      <c r="A23" s="27">
        <v>215.0</v>
      </c>
      <c r="B23" s="28" t="s">
        <v>44948</v>
      </c>
      <c r="C23" s="29">
        <v>35.0</v>
      </c>
      <c r="D23" s="28" t="s">
        <v>44949</v>
      </c>
      <c r="E23" s="28" t="s">
        <v>44950</v>
      </c>
      <c r="F23" s="27">
        <v>427.0</v>
      </c>
      <c r="G23" s="30">
        <v>3.5154271E7</v>
      </c>
    </row>
    <row r="24" ht="12.75" customHeight="1">
      <c r="A24" s="31">
        <v>215.0</v>
      </c>
      <c r="B24" s="32" t="s">
        <v>44951</v>
      </c>
      <c r="C24" s="33">
        <v>35.0</v>
      </c>
      <c r="D24" s="32" t="s">
        <v>44952</v>
      </c>
      <c r="E24" s="32" t="s">
        <v>44953</v>
      </c>
      <c r="F24" s="31">
        <v>433.0</v>
      </c>
      <c r="G24" s="34">
        <v>3.5154334E7</v>
      </c>
    </row>
    <row r="25" ht="12.75" customHeight="1">
      <c r="A25" s="27">
        <v>215.0</v>
      </c>
      <c r="B25" s="28" t="s">
        <v>44954</v>
      </c>
      <c r="C25" s="29">
        <v>35.0</v>
      </c>
      <c r="D25" s="28" t="s">
        <v>44955</v>
      </c>
      <c r="E25" s="28" t="s">
        <v>44956</v>
      </c>
      <c r="F25" s="27">
        <v>445.0</v>
      </c>
      <c r="G25" s="30">
        <v>3.5154455E7</v>
      </c>
    </row>
    <row r="26" ht="12.75" customHeight="1">
      <c r="A26" s="31">
        <v>215.0</v>
      </c>
      <c r="B26" s="32" t="s">
        <v>44957</v>
      </c>
      <c r="C26" s="33">
        <v>35.0</v>
      </c>
      <c r="D26" s="32" t="s">
        <v>44958</v>
      </c>
      <c r="E26" s="32" t="s">
        <v>44959</v>
      </c>
      <c r="F26" s="31">
        <v>466.0</v>
      </c>
      <c r="G26" s="34">
        <v>3.5154668E7</v>
      </c>
    </row>
    <row r="27" ht="12.75" customHeight="1">
      <c r="A27" s="27">
        <v>215.0</v>
      </c>
      <c r="B27" s="28" t="s">
        <v>44960</v>
      </c>
      <c r="C27" s="29">
        <v>35.0</v>
      </c>
      <c r="D27" s="28" t="s">
        <v>44961</v>
      </c>
      <c r="E27" s="28" t="s">
        <v>44962</v>
      </c>
      <c r="F27" s="27">
        <v>472.0</v>
      </c>
      <c r="G27" s="30">
        <v>3.5154721E7</v>
      </c>
    </row>
    <row r="28" ht="12.75" customHeight="1">
      <c r="A28" s="31">
        <v>215.0</v>
      </c>
      <c r="B28" s="32" t="s">
        <v>44963</v>
      </c>
      <c r="C28" s="33">
        <v>35.0</v>
      </c>
      <c r="D28" s="32" t="s">
        <v>44964</v>
      </c>
      <c r="E28" s="32" t="s">
        <v>44965</v>
      </c>
      <c r="F28" s="31">
        <v>478.0</v>
      </c>
      <c r="G28" s="34">
        <v>3.5154789E7</v>
      </c>
    </row>
    <row r="29" ht="12.75" customHeight="1">
      <c r="A29" s="27">
        <v>215.0</v>
      </c>
      <c r="B29" s="28" t="s">
        <v>44966</v>
      </c>
      <c r="C29" s="29">
        <v>35.0</v>
      </c>
      <c r="D29" s="28" t="s">
        <v>44967</v>
      </c>
      <c r="E29" s="28" t="s">
        <v>44968</v>
      </c>
      <c r="F29" s="27">
        <v>505.0</v>
      </c>
      <c r="G29" s="30">
        <v>3.5155054E7</v>
      </c>
    </row>
    <row r="30" ht="12.75" customHeight="1">
      <c r="A30" s="31">
        <v>215.0</v>
      </c>
      <c r="B30" s="32" t="s">
        <v>44969</v>
      </c>
      <c r="C30" s="33">
        <v>35.0</v>
      </c>
      <c r="D30" s="32" t="s">
        <v>44970</v>
      </c>
      <c r="E30" s="32" t="s">
        <v>44971</v>
      </c>
      <c r="F30" s="31">
        <v>547.0</v>
      </c>
      <c r="G30" s="34">
        <v>3.515547E7</v>
      </c>
    </row>
    <row r="31" ht="12.75" customHeight="1">
      <c r="A31" s="27">
        <v>215.0</v>
      </c>
      <c r="B31" s="28" t="s">
        <v>44972</v>
      </c>
      <c r="C31" s="29">
        <v>35.0</v>
      </c>
      <c r="D31" s="28" t="s">
        <v>44973</v>
      </c>
      <c r="E31" s="28" t="s">
        <v>44974</v>
      </c>
      <c r="F31" s="27">
        <v>550.0</v>
      </c>
      <c r="G31" s="30">
        <v>3.5155504E7</v>
      </c>
    </row>
    <row r="32" ht="12.75" customHeight="1">
      <c r="A32" s="31">
        <v>215.0</v>
      </c>
      <c r="B32" s="32" t="s">
        <v>44975</v>
      </c>
      <c r="C32" s="33">
        <v>35.0</v>
      </c>
      <c r="D32" s="32" t="s">
        <v>44976</v>
      </c>
      <c r="E32" s="32" t="s">
        <v>44977</v>
      </c>
      <c r="F32" s="31">
        <v>559.0</v>
      </c>
      <c r="G32" s="34">
        <v>3.5155591E7</v>
      </c>
    </row>
    <row r="33" ht="12.75" customHeight="1">
      <c r="A33" s="27">
        <v>215.0</v>
      </c>
      <c r="B33" s="28" t="s">
        <v>44978</v>
      </c>
      <c r="C33" s="29">
        <v>35.0</v>
      </c>
      <c r="D33" s="28" t="s">
        <v>44979</v>
      </c>
      <c r="E33" s="28" t="s">
        <v>44980</v>
      </c>
      <c r="F33" s="27">
        <v>562.0</v>
      </c>
      <c r="G33" s="30">
        <v>3.5155625E7</v>
      </c>
    </row>
    <row r="34" ht="12.75" customHeight="1">
      <c r="A34" s="31">
        <v>215.0</v>
      </c>
      <c r="B34" s="32" t="s">
        <v>44981</v>
      </c>
      <c r="C34" s="33">
        <v>35.0</v>
      </c>
      <c r="D34" s="32" t="s">
        <v>44982</v>
      </c>
      <c r="E34" s="32" t="s">
        <v>44983</v>
      </c>
      <c r="F34" s="31">
        <v>595.0</v>
      </c>
      <c r="G34" s="34">
        <v>3.5155959E7</v>
      </c>
    </row>
    <row r="35" ht="12.75" customHeight="1">
      <c r="A35" s="27">
        <v>215.0</v>
      </c>
      <c r="B35" s="28" t="s">
        <v>44984</v>
      </c>
      <c r="C35" s="29">
        <v>35.0</v>
      </c>
      <c r="D35" s="28" t="s">
        <v>44985</v>
      </c>
      <c r="E35" s="28" t="s">
        <v>44986</v>
      </c>
      <c r="F35" s="27">
        <v>607.0</v>
      </c>
      <c r="G35" s="30">
        <v>3.5156079E7</v>
      </c>
    </row>
    <row r="36" ht="12.75" customHeight="1">
      <c r="A36" s="31">
        <v>215.0</v>
      </c>
      <c r="B36" s="32" t="s">
        <v>44987</v>
      </c>
      <c r="C36" s="33">
        <v>35.0</v>
      </c>
      <c r="D36" s="32" t="s">
        <v>44988</v>
      </c>
      <c r="E36" s="32" t="s">
        <v>44989</v>
      </c>
      <c r="F36" s="31">
        <v>613.0</v>
      </c>
      <c r="G36" s="34">
        <v>3.5156132E7</v>
      </c>
    </row>
    <row r="37" ht="12.75" customHeight="1">
      <c r="A37" s="27">
        <v>215.0</v>
      </c>
      <c r="B37" s="28" t="s">
        <v>44990</v>
      </c>
      <c r="C37" s="29">
        <v>35.0</v>
      </c>
      <c r="D37" s="28" t="s">
        <v>44991</v>
      </c>
      <c r="E37" s="28" t="s">
        <v>44992</v>
      </c>
      <c r="F37" s="27">
        <v>616.0</v>
      </c>
      <c r="G37" s="30">
        <v>3.5156161E7</v>
      </c>
    </row>
    <row r="38" ht="12.75" customHeight="1">
      <c r="A38" s="31">
        <v>215.0</v>
      </c>
      <c r="B38" s="32" t="s">
        <v>44993</v>
      </c>
      <c r="C38" s="33">
        <v>35.0</v>
      </c>
      <c r="D38" s="32" t="s">
        <v>44994</v>
      </c>
      <c r="E38" s="32" t="s">
        <v>44995</v>
      </c>
      <c r="F38" s="31">
        <v>619.0</v>
      </c>
      <c r="G38" s="34">
        <v>3.515619E7</v>
      </c>
    </row>
    <row r="39" ht="12.75" customHeight="1">
      <c r="A39" s="27">
        <v>215.0</v>
      </c>
      <c r="B39" s="28" t="s">
        <v>44996</v>
      </c>
      <c r="C39" s="29">
        <v>35.0</v>
      </c>
      <c r="D39" s="28" t="s">
        <v>44997</v>
      </c>
      <c r="E39" s="28" t="s">
        <v>44998</v>
      </c>
      <c r="F39" s="27">
        <v>640.0</v>
      </c>
      <c r="G39" s="30">
        <v>3.5156408E7</v>
      </c>
    </row>
    <row r="40" ht="12.75" customHeight="1">
      <c r="A40" s="31">
        <v>215.0</v>
      </c>
      <c r="B40" s="32" t="s">
        <v>44999</v>
      </c>
      <c r="C40" s="33">
        <v>35.0</v>
      </c>
      <c r="D40" s="32" t="s">
        <v>45000</v>
      </c>
      <c r="E40" s="32" t="s">
        <v>45001</v>
      </c>
      <c r="F40" s="31">
        <v>643.0</v>
      </c>
      <c r="G40" s="34">
        <v>3.5156437E7</v>
      </c>
    </row>
    <row r="41" ht="12.75" customHeight="1">
      <c r="A41" s="27">
        <v>215.0</v>
      </c>
      <c r="B41" s="28" t="s">
        <v>45002</v>
      </c>
      <c r="C41" s="29">
        <v>35.0</v>
      </c>
      <c r="D41" s="28" t="s">
        <v>45003</v>
      </c>
      <c r="E41" s="28" t="s">
        <v>45004</v>
      </c>
      <c r="F41" s="27">
        <v>649.0</v>
      </c>
      <c r="G41" s="30">
        <v>3.5156495E7</v>
      </c>
    </row>
    <row r="42" ht="12.75" customHeight="1">
      <c r="A42" s="31">
        <v>215.0</v>
      </c>
      <c r="B42" s="32" t="s">
        <v>45005</v>
      </c>
      <c r="C42" s="33">
        <v>35.0</v>
      </c>
      <c r="D42" s="32" t="s">
        <v>45006</v>
      </c>
      <c r="E42" s="32" t="s">
        <v>45007</v>
      </c>
      <c r="F42" s="31">
        <v>691.0</v>
      </c>
      <c r="G42" s="34">
        <v>3.5156916E7</v>
      </c>
    </row>
    <row r="43" ht="12.75" customHeight="1">
      <c r="A43" s="27">
        <v>215.0</v>
      </c>
      <c r="B43" s="28" t="s">
        <v>45008</v>
      </c>
      <c r="C43" s="29">
        <v>35.0</v>
      </c>
      <c r="D43" s="28" t="s">
        <v>45009</v>
      </c>
      <c r="E43" s="28" t="s">
        <v>45010</v>
      </c>
      <c r="F43" s="27">
        <v>706.0</v>
      </c>
      <c r="G43" s="30">
        <v>3.5157065E7</v>
      </c>
    </row>
    <row r="44" ht="12.75" customHeight="1">
      <c r="A44" s="31">
        <v>215.0</v>
      </c>
      <c r="B44" s="32" t="s">
        <v>45011</v>
      </c>
      <c r="C44" s="33">
        <v>35.0</v>
      </c>
      <c r="D44" s="32" t="s">
        <v>45012</v>
      </c>
      <c r="E44" s="32" t="s">
        <v>45013</v>
      </c>
      <c r="F44" s="31">
        <v>730.0</v>
      </c>
      <c r="G44" s="34">
        <v>3.5157302E7</v>
      </c>
    </row>
    <row r="45" ht="12.75" customHeight="1">
      <c r="A45" s="27">
        <v>215.0</v>
      </c>
      <c r="B45" s="28" t="s">
        <v>45014</v>
      </c>
      <c r="C45" s="29">
        <v>35.0</v>
      </c>
      <c r="D45" s="28" t="s">
        <v>45015</v>
      </c>
      <c r="E45" s="28" t="s">
        <v>45016</v>
      </c>
      <c r="F45" s="27">
        <v>733.0</v>
      </c>
      <c r="G45" s="30">
        <v>3.5157331E7</v>
      </c>
    </row>
    <row r="46" ht="12.75" customHeight="1">
      <c r="A46" s="31">
        <v>215.0</v>
      </c>
      <c r="B46" s="32" t="s">
        <v>45017</v>
      </c>
      <c r="C46" s="33">
        <v>35.0</v>
      </c>
      <c r="D46" s="32" t="s">
        <v>45018</v>
      </c>
      <c r="E46" s="32" t="s">
        <v>45019</v>
      </c>
      <c r="F46" s="31">
        <v>739.0</v>
      </c>
      <c r="G46" s="34">
        <v>3.5157399E7</v>
      </c>
    </row>
    <row r="47" ht="12.75" customHeight="1">
      <c r="A47" s="27">
        <v>215.0</v>
      </c>
      <c r="B47" s="28" t="s">
        <v>45020</v>
      </c>
      <c r="C47" s="29">
        <v>35.0</v>
      </c>
      <c r="D47" s="28" t="s">
        <v>45021</v>
      </c>
      <c r="E47" s="28" t="s">
        <v>45022</v>
      </c>
      <c r="F47" s="27">
        <v>760.0</v>
      </c>
      <c r="G47" s="30">
        <v>3.5157607E7</v>
      </c>
    </row>
    <row r="48" ht="12.75" customHeight="1">
      <c r="A48" s="31">
        <v>215.0</v>
      </c>
      <c r="B48" s="32" t="s">
        <v>45023</v>
      </c>
      <c r="C48" s="33">
        <v>35.0</v>
      </c>
      <c r="D48" s="32" t="s">
        <v>45024</v>
      </c>
      <c r="E48" s="32" t="s">
        <v>45025</v>
      </c>
      <c r="F48" s="31">
        <v>772.0</v>
      </c>
      <c r="G48" s="34">
        <v>3.5157728E7</v>
      </c>
    </row>
    <row r="49" ht="12.75" customHeight="1">
      <c r="A49" s="27">
        <v>418.0</v>
      </c>
      <c r="B49" s="28" t="s">
        <v>45026</v>
      </c>
      <c r="C49" s="29">
        <v>35.0</v>
      </c>
      <c r="D49" s="28" t="s">
        <v>45027</v>
      </c>
      <c r="E49" s="28" t="s">
        <v>45028</v>
      </c>
      <c r="F49" s="29">
        <v>4.0</v>
      </c>
      <c r="G49" s="30">
        <v>3.5180045E7</v>
      </c>
    </row>
    <row r="50" ht="12.75" customHeight="1">
      <c r="A50" s="31">
        <v>418.0</v>
      </c>
      <c r="B50" s="32" t="s">
        <v>45029</v>
      </c>
      <c r="C50" s="33">
        <v>35.0</v>
      </c>
      <c r="D50" s="32" t="s">
        <v>45030</v>
      </c>
      <c r="E50" s="32" t="s">
        <v>45031</v>
      </c>
      <c r="F50" s="33">
        <v>16.0</v>
      </c>
      <c r="G50" s="34">
        <v>3.5180166E7</v>
      </c>
    </row>
    <row r="51" ht="12.75" customHeight="1">
      <c r="A51" s="27">
        <v>418.0</v>
      </c>
      <c r="B51" s="28" t="s">
        <v>45032</v>
      </c>
      <c r="C51" s="29">
        <v>35.0</v>
      </c>
      <c r="D51" s="28" t="s">
        <v>45033</v>
      </c>
      <c r="E51" s="28" t="s">
        <v>45034</v>
      </c>
      <c r="F51" s="29">
        <v>19.0</v>
      </c>
      <c r="G51" s="30">
        <v>3.5180195E7</v>
      </c>
    </row>
    <row r="52" ht="12.75" customHeight="1">
      <c r="A52" s="31">
        <v>418.0</v>
      </c>
      <c r="B52" s="32" t="s">
        <v>45035</v>
      </c>
      <c r="C52" s="33">
        <v>35.0</v>
      </c>
      <c r="D52" s="32" t="s">
        <v>45036</v>
      </c>
      <c r="E52" s="32" t="s">
        <v>45037</v>
      </c>
      <c r="F52" s="33">
        <v>28.0</v>
      </c>
      <c r="G52" s="34">
        <v>3.5180287E7</v>
      </c>
    </row>
    <row r="53" ht="12.75" customHeight="1">
      <c r="A53" s="27">
        <v>418.0</v>
      </c>
      <c r="B53" s="28" t="s">
        <v>45038</v>
      </c>
      <c r="C53" s="29">
        <v>35.0</v>
      </c>
      <c r="D53" s="28" t="s">
        <v>45039</v>
      </c>
      <c r="E53" s="28" t="s">
        <v>45040</v>
      </c>
      <c r="F53" s="29">
        <v>37.0</v>
      </c>
      <c r="G53" s="30">
        <v>3.5180379E7</v>
      </c>
    </row>
    <row r="54" ht="12.75" customHeight="1">
      <c r="A54" s="31">
        <v>418.0</v>
      </c>
      <c r="B54" s="32" t="s">
        <v>45041</v>
      </c>
      <c r="C54" s="33">
        <v>35.0</v>
      </c>
      <c r="D54" s="32" t="s">
        <v>45042</v>
      </c>
      <c r="E54" s="32" t="s">
        <v>45043</v>
      </c>
      <c r="F54" s="33">
        <v>52.0</v>
      </c>
      <c r="G54" s="34">
        <v>3.5180524E7</v>
      </c>
    </row>
    <row r="55" ht="12.75" customHeight="1">
      <c r="A55" s="27">
        <v>418.0</v>
      </c>
      <c r="B55" s="28" t="s">
        <v>45044</v>
      </c>
      <c r="C55" s="29">
        <v>35.0</v>
      </c>
      <c r="D55" s="28" t="s">
        <v>45045</v>
      </c>
      <c r="E55" s="28" t="s">
        <v>45046</v>
      </c>
      <c r="F55" s="29">
        <v>55.0</v>
      </c>
      <c r="G55" s="30">
        <v>3.5180553E7</v>
      </c>
    </row>
    <row r="56" ht="12.75" customHeight="1">
      <c r="A56" s="31">
        <v>418.0</v>
      </c>
      <c r="B56" s="32" t="s">
        <v>45047</v>
      </c>
      <c r="C56" s="33">
        <v>35.0</v>
      </c>
      <c r="D56" s="32" t="s">
        <v>45048</v>
      </c>
      <c r="E56" s="32" t="s">
        <v>45049</v>
      </c>
      <c r="F56" s="33">
        <v>58.0</v>
      </c>
      <c r="G56" s="34">
        <v>3.5180582E7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418.0</v>
      </c>
      <c r="B1" s="28" t="s">
        <v>45050</v>
      </c>
      <c r="C1" s="29">
        <v>35.0</v>
      </c>
      <c r="D1" s="28" t="s">
        <v>45051</v>
      </c>
      <c r="E1" s="28" t="s">
        <v>45052</v>
      </c>
      <c r="F1" s="29">
        <v>61.0</v>
      </c>
      <c r="G1" s="30">
        <v>3.5180616E7</v>
      </c>
    </row>
    <row r="2" ht="12.75" customHeight="1">
      <c r="A2" s="31">
        <v>418.0</v>
      </c>
      <c r="B2" s="32" t="s">
        <v>45053</v>
      </c>
      <c r="C2" s="33">
        <v>35.0</v>
      </c>
      <c r="D2" s="32" t="s">
        <v>45054</v>
      </c>
      <c r="E2" s="32" t="s">
        <v>45055</v>
      </c>
      <c r="F2" s="33">
        <v>64.0</v>
      </c>
      <c r="G2" s="34">
        <v>3.5180645E7</v>
      </c>
    </row>
    <row r="3" ht="12.75" customHeight="1">
      <c r="A3" s="27">
        <v>418.0</v>
      </c>
      <c r="B3" s="28" t="s">
        <v>45056</v>
      </c>
      <c r="C3" s="29">
        <v>35.0</v>
      </c>
      <c r="D3" s="28" t="s">
        <v>45057</v>
      </c>
      <c r="E3" s="28" t="s">
        <v>45058</v>
      </c>
      <c r="F3" s="29">
        <v>88.0</v>
      </c>
      <c r="G3" s="30">
        <v>3.5180887E7</v>
      </c>
    </row>
    <row r="4" ht="12.75" customHeight="1">
      <c r="A4" s="31">
        <v>119.0</v>
      </c>
      <c r="B4" s="32" t="s">
        <v>45059</v>
      </c>
      <c r="C4" s="33">
        <v>35.0</v>
      </c>
      <c r="D4" s="32" t="s">
        <v>45060</v>
      </c>
      <c r="E4" s="32" t="s">
        <v>45061</v>
      </c>
      <c r="F4" s="33">
        <v>7.0</v>
      </c>
      <c r="G4" s="34">
        <v>3.5190077E7</v>
      </c>
    </row>
    <row r="5" ht="12.75" customHeight="1">
      <c r="A5" s="27">
        <v>119.0</v>
      </c>
      <c r="B5" s="28" t="s">
        <v>45062</v>
      </c>
      <c r="C5" s="29">
        <v>35.0</v>
      </c>
      <c r="D5" s="28" t="s">
        <v>45063</v>
      </c>
      <c r="E5" s="28" t="s">
        <v>45064</v>
      </c>
      <c r="F5" s="29">
        <v>8.0</v>
      </c>
      <c r="G5" s="30">
        <v>3.519008E7</v>
      </c>
    </row>
    <row r="6" ht="12.75" customHeight="1">
      <c r="A6" s="31">
        <v>119.0</v>
      </c>
      <c r="B6" s="32" t="s">
        <v>45065</v>
      </c>
      <c r="C6" s="33">
        <v>35.0</v>
      </c>
      <c r="D6" s="32" t="s">
        <v>45066</v>
      </c>
      <c r="E6" s="32" t="s">
        <v>45067</v>
      </c>
      <c r="F6" s="33">
        <v>9.0</v>
      </c>
      <c r="G6" s="34">
        <v>3.5190093E7</v>
      </c>
    </row>
    <row r="7" ht="12.75" customHeight="1">
      <c r="A7" s="27">
        <v>119.0</v>
      </c>
      <c r="B7" s="28" t="s">
        <v>45068</v>
      </c>
      <c r="C7" s="29">
        <v>35.0</v>
      </c>
      <c r="D7" s="28" t="s">
        <v>45069</v>
      </c>
      <c r="E7" s="28" t="s">
        <v>45070</v>
      </c>
      <c r="F7" s="29">
        <v>11.0</v>
      </c>
      <c r="G7" s="30">
        <v>3.5190114E7</v>
      </c>
    </row>
    <row r="8" ht="12.75" customHeight="1">
      <c r="A8" s="31">
        <v>119.0</v>
      </c>
      <c r="B8" s="32" t="s">
        <v>45071</v>
      </c>
      <c r="C8" s="33">
        <v>35.0</v>
      </c>
      <c r="D8" s="32" t="s">
        <v>45072</v>
      </c>
      <c r="E8" s="32" t="s">
        <v>45073</v>
      </c>
      <c r="F8" s="33">
        <v>13.0</v>
      </c>
      <c r="G8" s="34">
        <v>3.519013E7</v>
      </c>
    </row>
    <row r="9" ht="12.75" customHeight="1">
      <c r="A9" s="27">
        <v>119.0</v>
      </c>
      <c r="B9" s="28" t="s">
        <v>45074</v>
      </c>
      <c r="C9" s="29">
        <v>35.0</v>
      </c>
      <c r="D9" s="28" t="s">
        <v>45075</v>
      </c>
      <c r="E9" s="28" t="s">
        <v>45076</v>
      </c>
      <c r="F9" s="29">
        <v>19.0</v>
      </c>
      <c r="G9" s="30">
        <v>3.5190198E7</v>
      </c>
    </row>
    <row r="10" ht="12.75" customHeight="1">
      <c r="A10" s="31">
        <v>119.0</v>
      </c>
      <c r="B10" s="32" t="s">
        <v>45077</v>
      </c>
      <c r="C10" s="33">
        <v>35.0</v>
      </c>
      <c r="D10" s="32" t="s">
        <v>45078</v>
      </c>
      <c r="E10" s="32" t="s">
        <v>45079</v>
      </c>
      <c r="F10" s="33">
        <v>20.0</v>
      </c>
      <c r="G10" s="34">
        <v>3.5190206E7</v>
      </c>
    </row>
    <row r="11" ht="12.75" customHeight="1">
      <c r="A11" s="27">
        <v>119.0</v>
      </c>
      <c r="B11" s="28" t="s">
        <v>45080</v>
      </c>
      <c r="C11" s="29">
        <v>35.0</v>
      </c>
      <c r="D11" s="28" t="s">
        <v>45081</v>
      </c>
      <c r="E11" s="28" t="s">
        <v>45082</v>
      </c>
      <c r="F11" s="29">
        <v>21.0</v>
      </c>
      <c r="G11" s="30">
        <v>3.5190219E7</v>
      </c>
    </row>
    <row r="12" ht="12.75" customHeight="1">
      <c r="A12" s="31">
        <v>119.0</v>
      </c>
      <c r="B12" s="32" t="s">
        <v>45083</v>
      </c>
      <c r="C12" s="33">
        <v>35.0</v>
      </c>
      <c r="D12" s="32" t="s">
        <v>45084</v>
      </c>
      <c r="E12" s="32" t="s">
        <v>45085</v>
      </c>
      <c r="F12" s="33">
        <v>28.0</v>
      </c>
      <c r="G12" s="34">
        <v>3.519028E7</v>
      </c>
    </row>
    <row r="13" ht="12.75" customHeight="1">
      <c r="A13" s="27">
        <v>119.0</v>
      </c>
      <c r="B13" s="28" t="s">
        <v>45086</v>
      </c>
      <c r="C13" s="29">
        <v>35.0</v>
      </c>
      <c r="D13" s="28" t="s">
        <v>45087</v>
      </c>
      <c r="E13" s="28" t="s">
        <v>45088</v>
      </c>
      <c r="F13" s="29">
        <v>29.0</v>
      </c>
      <c r="G13" s="30">
        <v>3.5190293E7</v>
      </c>
    </row>
    <row r="14" ht="12.75" customHeight="1">
      <c r="A14" s="31">
        <v>119.0</v>
      </c>
      <c r="B14" s="32" t="s">
        <v>45089</v>
      </c>
      <c r="C14" s="33">
        <v>35.0</v>
      </c>
      <c r="D14" s="32" t="s">
        <v>45090</v>
      </c>
      <c r="E14" s="32" t="s">
        <v>45091</v>
      </c>
      <c r="F14" s="33">
        <v>40.0</v>
      </c>
      <c r="G14" s="34">
        <v>3.5190406E7</v>
      </c>
    </row>
    <row r="15" ht="12.75" customHeight="1">
      <c r="A15" s="27">
        <v>119.0</v>
      </c>
      <c r="B15" s="28" t="s">
        <v>45092</v>
      </c>
      <c r="C15" s="29">
        <v>35.0</v>
      </c>
      <c r="D15" s="28" t="s">
        <v>45093</v>
      </c>
      <c r="E15" s="28" t="s">
        <v>45094</v>
      </c>
      <c r="F15" s="29">
        <v>43.0</v>
      </c>
      <c r="G15" s="30">
        <v>3.5190435E7</v>
      </c>
    </row>
    <row r="16" ht="12.75" customHeight="1">
      <c r="A16" s="31">
        <v>119.0</v>
      </c>
      <c r="B16" s="32" t="s">
        <v>45095</v>
      </c>
      <c r="C16" s="33">
        <v>35.0</v>
      </c>
      <c r="D16" s="32" t="s">
        <v>45096</v>
      </c>
      <c r="E16" s="32" t="s">
        <v>45097</v>
      </c>
      <c r="F16" s="33">
        <v>49.0</v>
      </c>
      <c r="G16" s="34">
        <v>3.5190493E7</v>
      </c>
    </row>
    <row r="17" ht="12.75" customHeight="1">
      <c r="A17" s="27">
        <v>119.0</v>
      </c>
      <c r="B17" s="28" t="s">
        <v>45098</v>
      </c>
      <c r="C17" s="29">
        <v>35.0</v>
      </c>
      <c r="D17" s="28" t="s">
        <v>45099</v>
      </c>
      <c r="E17" s="28" t="s">
        <v>45100</v>
      </c>
      <c r="F17" s="29">
        <v>58.0</v>
      </c>
      <c r="G17" s="30">
        <v>3.5190585E7</v>
      </c>
    </row>
    <row r="18" ht="12.75" customHeight="1">
      <c r="A18" s="31">
        <v>119.0</v>
      </c>
      <c r="B18" s="32" t="s">
        <v>45101</v>
      </c>
      <c r="C18" s="33">
        <v>35.0</v>
      </c>
      <c r="D18" s="32" t="s">
        <v>45102</v>
      </c>
      <c r="E18" s="32" t="s">
        <v>45103</v>
      </c>
      <c r="F18" s="33">
        <v>70.0</v>
      </c>
      <c r="G18" s="34">
        <v>3.5190701E7</v>
      </c>
    </row>
    <row r="19" ht="12.75" customHeight="1">
      <c r="A19" s="27">
        <v>119.0</v>
      </c>
      <c r="B19" s="28" t="s">
        <v>45104</v>
      </c>
      <c r="C19" s="29">
        <v>35.0</v>
      </c>
      <c r="D19" s="28" t="s">
        <v>45105</v>
      </c>
      <c r="E19" s="28" t="s">
        <v>45106</v>
      </c>
      <c r="F19" s="29">
        <v>76.0</v>
      </c>
      <c r="G19" s="30">
        <v>3.5190769E7</v>
      </c>
    </row>
    <row r="20" ht="12.75" customHeight="1">
      <c r="A20" s="31">
        <v>119.0</v>
      </c>
      <c r="B20" s="32" t="s">
        <v>45107</v>
      </c>
      <c r="C20" s="33">
        <v>35.0</v>
      </c>
      <c r="D20" s="32" t="s">
        <v>45108</v>
      </c>
      <c r="E20" s="32" t="s">
        <v>45109</v>
      </c>
      <c r="F20" s="33">
        <v>82.0</v>
      </c>
      <c r="G20" s="34">
        <v>3.5190822E7</v>
      </c>
    </row>
    <row r="21" ht="12.75" customHeight="1">
      <c r="A21" s="27">
        <v>119.0</v>
      </c>
      <c r="B21" s="28" t="s">
        <v>45110</v>
      </c>
      <c r="C21" s="29">
        <v>35.0</v>
      </c>
      <c r="D21" s="28" t="s">
        <v>45111</v>
      </c>
      <c r="E21" s="28" t="s">
        <v>45112</v>
      </c>
      <c r="F21" s="29">
        <v>88.0</v>
      </c>
      <c r="G21" s="30">
        <v>3.519088E7</v>
      </c>
    </row>
    <row r="22" ht="12.75" customHeight="1">
      <c r="A22" s="31">
        <v>119.0</v>
      </c>
      <c r="B22" s="32" t="s">
        <v>45113</v>
      </c>
      <c r="C22" s="33">
        <v>35.0</v>
      </c>
      <c r="D22" s="32" t="s">
        <v>45114</v>
      </c>
      <c r="E22" s="32" t="s">
        <v>45115</v>
      </c>
      <c r="F22" s="33">
        <v>94.0</v>
      </c>
      <c r="G22" s="34">
        <v>3.5190943E7</v>
      </c>
    </row>
    <row r="23" ht="12.75" customHeight="1">
      <c r="A23" s="27">
        <v>119.0</v>
      </c>
      <c r="B23" s="28" t="s">
        <v>45116</v>
      </c>
      <c r="C23" s="29">
        <v>35.0</v>
      </c>
      <c r="D23" s="28" t="s">
        <v>45117</v>
      </c>
      <c r="E23" s="28" t="s">
        <v>45118</v>
      </c>
      <c r="F23" s="27">
        <v>103.0</v>
      </c>
      <c r="G23" s="30">
        <v>3.5191034E7</v>
      </c>
    </row>
    <row r="24" ht="12.75" customHeight="1">
      <c r="A24" s="31">
        <v>119.0</v>
      </c>
      <c r="B24" s="32" t="s">
        <v>45119</v>
      </c>
      <c r="C24" s="33">
        <v>35.0</v>
      </c>
      <c r="D24" s="32" t="s">
        <v>45120</v>
      </c>
      <c r="E24" s="32" t="s">
        <v>45121</v>
      </c>
      <c r="F24" s="31">
        <v>106.0</v>
      </c>
      <c r="G24" s="34">
        <v>3.5191063E7</v>
      </c>
    </row>
    <row r="25" ht="12.75" customHeight="1">
      <c r="A25" s="27">
        <v>119.0</v>
      </c>
      <c r="B25" s="28" t="s">
        <v>45122</v>
      </c>
      <c r="C25" s="29">
        <v>35.0</v>
      </c>
      <c r="D25" s="28" t="s">
        <v>45123</v>
      </c>
      <c r="E25" s="28" t="s">
        <v>45124</v>
      </c>
      <c r="F25" s="27">
        <v>112.0</v>
      </c>
      <c r="G25" s="30">
        <v>3.5191126E7</v>
      </c>
    </row>
    <row r="26" ht="12.75" customHeight="1">
      <c r="A26" s="31">
        <v>119.0</v>
      </c>
      <c r="B26" s="32" t="s">
        <v>45125</v>
      </c>
      <c r="C26" s="33">
        <v>35.0</v>
      </c>
      <c r="D26" s="32" t="s">
        <v>45126</v>
      </c>
      <c r="E26" s="32" t="s">
        <v>45127</v>
      </c>
      <c r="F26" s="31">
        <v>115.0</v>
      </c>
      <c r="G26" s="34">
        <v>3.5191155E7</v>
      </c>
    </row>
    <row r="27" ht="12.75" customHeight="1">
      <c r="A27" s="27">
        <v>119.0</v>
      </c>
      <c r="B27" s="28" t="s">
        <v>45128</v>
      </c>
      <c r="C27" s="29">
        <v>35.0</v>
      </c>
      <c r="D27" s="28" t="s">
        <v>45129</v>
      </c>
      <c r="E27" s="28" t="s">
        <v>45130</v>
      </c>
      <c r="F27" s="27">
        <v>148.0</v>
      </c>
      <c r="G27" s="30">
        <v>3.5191489E7</v>
      </c>
    </row>
    <row r="28" ht="12.75" customHeight="1">
      <c r="A28" s="31">
        <v>119.0</v>
      </c>
      <c r="B28" s="32" t="s">
        <v>45131</v>
      </c>
      <c r="C28" s="33">
        <v>35.0</v>
      </c>
      <c r="D28" s="32" t="s">
        <v>45132</v>
      </c>
      <c r="E28" s="32" t="s">
        <v>45133</v>
      </c>
      <c r="F28" s="31">
        <v>151.0</v>
      </c>
      <c r="G28" s="34">
        <v>3.5191513E7</v>
      </c>
    </row>
    <row r="29" ht="12.75" customHeight="1">
      <c r="A29" s="27">
        <v>119.0</v>
      </c>
      <c r="B29" s="28" t="s">
        <v>45134</v>
      </c>
      <c r="C29" s="29">
        <v>35.0</v>
      </c>
      <c r="D29" s="28" t="s">
        <v>45135</v>
      </c>
      <c r="E29" s="28" t="s">
        <v>45136</v>
      </c>
      <c r="F29" s="27">
        <v>160.0</v>
      </c>
      <c r="G29" s="30">
        <v>3.5191605E7</v>
      </c>
    </row>
    <row r="30" ht="12.75" customHeight="1">
      <c r="A30" s="31">
        <v>119.0</v>
      </c>
      <c r="B30" s="32" t="s">
        <v>45137</v>
      </c>
      <c r="C30" s="33">
        <v>35.0</v>
      </c>
      <c r="D30" s="32" t="s">
        <v>45138</v>
      </c>
      <c r="E30" s="32" t="s">
        <v>45139</v>
      </c>
      <c r="F30" s="31">
        <v>166.0</v>
      </c>
      <c r="G30" s="34">
        <v>3.5191663E7</v>
      </c>
    </row>
    <row r="31" ht="12.75" customHeight="1">
      <c r="A31" s="27">
        <v>119.0</v>
      </c>
      <c r="B31" s="28" t="s">
        <v>45140</v>
      </c>
      <c r="C31" s="29">
        <v>35.0</v>
      </c>
      <c r="D31" s="28" t="s">
        <v>45141</v>
      </c>
      <c r="E31" s="28" t="s">
        <v>45142</v>
      </c>
      <c r="F31" s="27">
        <v>169.0</v>
      </c>
      <c r="G31" s="30">
        <v>3.5191692E7</v>
      </c>
    </row>
    <row r="32" ht="12.75" customHeight="1">
      <c r="A32" s="31">
        <v>119.0</v>
      </c>
      <c r="B32" s="32" t="s">
        <v>45143</v>
      </c>
      <c r="C32" s="33">
        <v>35.0</v>
      </c>
      <c r="D32" s="32" t="s">
        <v>45144</v>
      </c>
      <c r="E32" s="32" t="s">
        <v>45145</v>
      </c>
      <c r="F32" s="31">
        <v>172.0</v>
      </c>
      <c r="G32" s="34">
        <v>3.5191726E7</v>
      </c>
    </row>
    <row r="33" ht="12.75" customHeight="1">
      <c r="A33" s="27">
        <v>119.0</v>
      </c>
      <c r="B33" s="28" t="s">
        <v>45146</v>
      </c>
      <c r="C33" s="29">
        <v>35.0</v>
      </c>
      <c r="D33" s="28" t="s">
        <v>45147</v>
      </c>
      <c r="E33" s="28" t="s">
        <v>45148</v>
      </c>
      <c r="F33" s="27">
        <v>184.0</v>
      </c>
      <c r="G33" s="30">
        <v>3.5191847E7</v>
      </c>
    </row>
    <row r="34" ht="12.75" customHeight="1">
      <c r="A34" s="31">
        <v>119.0</v>
      </c>
      <c r="B34" s="32" t="s">
        <v>45149</v>
      </c>
      <c r="C34" s="33">
        <v>35.0</v>
      </c>
      <c r="D34" s="32" t="s">
        <v>45150</v>
      </c>
      <c r="E34" s="32" t="s">
        <v>45151</v>
      </c>
      <c r="F34" s="31">
        <v>196.0</v>
      </c>
      <c r="G34" s="34">
        <v>3.5191968E7</v>
      </c>
    </row>
    <row r="35" ht="12.75" customHeight="1">
      <c r="A35" s="27">
        <v>119.0</v>
      </c>
      <c r="B35" s="28" t="s">
        <v>45152</v>
      </c>
      <c r="C35" s="29">
        <v>35.0</v>
      </c>
      <c r="D35" s="28" t="s">
        <v>45153</v>
      </c>
      <c r="E35" s="28" t="s">
        <v>45154</v>
      </c>
      <c r="F35" s="27">
        <v>199.0</v>
      </c>
      <c r="G35" s="30">
        <v>3.5191997E7</v>
      </c>
    </row>
    <row r="36" ht="12.75" customHeight="1">
      <c r="A36" s="31">
        <v>119.0</v>
      </c>
      <c r="B36" s="32" t="s">
        <v>45155</v>
      </c>
      <c r="C36" s="33">
        <v>35.0</v>
      </c>
      <c r="D36" s="32" t="s">
        <v>45156</v>
      </c>
      <c r="E36" s="32" t="s">
        <v>45157</v>
      </c>
      <c r="F36" s="31">
        <v>223.0</v>
      </c>
      <c r="G36" s="34">
        <v>3.5192233E7</v>
      </c>
    </row>
    <row r="37" ht="12.75" customHeight="1">
      <c r="A37" s="27">
        <v>119.0</v>
      </c>
      <c r="B37" s="28" t="s">
        <v>45158</v>
      </c>
      <c r="C37" s="29">
        <v>35.0</v>
      </c>
      <c r="D37" s="28" t="s">
        <v>45159</v>
      </c>
      <c r="E37" s="28" t="s">
        <v>45160</v>
      </c>
      <c r="F37" s="27">
        <v>229.0</v>
      </c>
      <c r="G37" s="30">
        <v>3.5192291E7</v>
      </c>
    </row>
    <row r="38" ht="12.75" customHeight="1">
      <c r="A38" s="31">
        <v>119.0</v>
      </c>
      <c r="B38" s="32" t="s">
        <v>45161</v>
      </c>
      <c r="C38" s="33">
        <v>35.0</v>
      </c>
      <c r="D38" s="32" t="s">
        <v>45162</v>
      </c>
      <c r="E38" s="32" t="s">
        <v>45163</v>
      </c>
      <c r="F38" s="31">
        <v>239.0</v>
      </c>
      <c r="G38" s="34">
        <v>3.5192396E7</v>
      </c>
    </row>
    <row r="39" ht="12.75" customHeight="1">
      <c r="A39" s="27">
        <v>119.0</v>
      </c>
      <c r="B39" s="28" t="s">
        <v>45164</v>
      </c>
      <c r="C39" s="29">
        <v>35.0</v>
      </c>
      <c r="D39" s="28" t="s">
        <v>45165</v>
      </c>
      <c r="E39" s="28" t="s">
        <v>45166</v>
      </c>
      <c r="F39" s="27">
        <v>241.0</v>
      </c>
      <c r="G39" s="30">
        <v>3.5192417E7</v>
      </c>
    </row>
    <row r="40" ht="12.75" customHeight="1">
      <c r="A40" s="31">
        <v>119.0</v>
      </c>
      <c r="B40" s="32" t="s">
        <v>45167</v>
      </c>
      <c r="C40" s="33">
        <v>35.0</v>
      </c>
      <c r="D40" s="32" t="s">
        <v>45168</v>
      </c>
      <c r="E40" s="32" t="s">
        <v>45169</v>
      </c>
      <c r="F40" s="31">
        <v>244.0</v>
      </c>
      <c r="G40" s="34">
        <v>3.5192446E7</v>
      </c>
    </row>
    <row r="41" ht="12.75" customHeight="1">
      <c r="A41" s="27">
        <v>119.0</v>
      </c>
      <c r="B41" s="28" t="s">
        <v>45170</v>
      </c>
      <c r="C41" s="29">
        <v>35.0</v>
      </c>
      <c r="D41" s="28" t="s">
        <v>45171</v>
      </c>
      <c r="E41" s="28" t="s">
        <v>45172</v>
      </c>
      <c r="F41" s="27">
        <v>256.0</v>
      </c>
      <c r="G41" s="30">
        <v>3.5192567E7</v>
      </c>
    </row>
    <row r="42" ht="12.75" customHeight="1">
      <c r="A42" s="31">
        <v>119.0</v>
      </c>
      <c r="B42" s="32" t="s">
        <v>45173</v>
      </c>
      <c r="C42" s="33">
        <v>35.0</v>
      </c>
      <c r="D42" s="32" t="s">
        <v>45174</v>
      </c>
      <c r="E42" s="32" t="s">
        <v>45175</v>
      </c>
      <c r="F42" s="31">
        <v>259.0</v>
      </c>
      <c r="G42" s="34">
        <v>3.5192596E7</v>
      </c>
    </row>
    <row r="43" ht="12.75" customHeight="1">
      <c r="A43" s="27">
        <v>119.0</v>
      </c>
      <c r="B43" s="28" t="s">
        <v>45176</v>
      </c>
      <c r="C43" s="29">
        <v>35.0</v>
      </c>
      <c r="D43" s="28" t="s">
        <v>45177</v>
      </c>
      <c r="E43" s="28" t="s">
        <v>45178</v>
      </c>
      <c r="F43" s="27">
        <v>268.0</v>
      </c>
      <c r="G43" s="30">
        <v>3.5192688E7</v>
      </c>
    </row>
    <row r="44" ht="12.75" customHeight="1">
      <c r="A44" s="31">
        <v>119.0</v>
      </c>
      <c r="B44" s="32" t="s">
        <v>45179</v>
      </c>
      <c r="C44" s="33">
        <v>35.0</v>
      </c>
      <c r="D44" s="32" t="s">
        <v>45180</v>
      </c>
      <c r="E44" s="32" t="s">
        <v>45181</v>
      </c>
      <c r="F44" s="31">
        <v>271.0</v>
      </c>
      <c r="G44" s="34">
        <v>3.5192712E7</v>
      </c>
    </row>
    <row r="45" ht="12.75" customHeight="1">
      <c r="A45" s="27">
        <v>119.0</v>
      </c>
      <c r="B45" s="28" t="s">
        <v>45182</v>
      </c>
      <c r="C45" s="29">
        <v>35.0</v>
      </c>
      <c r="D45" s="28" t="s">
        <v>45183</v>
      </c>
      <c r="E45" s="28" t="s">
        <v>45184</v>
      </c>
      <c r="F45" s="27">
        <v>274.0</v>
      </c>
      <c r="G45" s="30">
        <v>3.5192741E7</v>
      </c>
    </row>
    <row r="46" ht="12.75" customHeight="1">
      <c r="A46" s="31">
        <v>119.0</v>
      </c>
      <c r="B46" s="32" t="s">
        <v>45185</v>
      </c>
      <c r="C46" s="33">
        <v>35.0</v>
      </c>
      <c r="D46" s="32" t="s">
        <v>45186</v>
      </c>
      <c r="E46" s="32" t="s">
        <v>45187</v>
      </c>
      <c r="F46" s="31">
        <v>289.0</v>
      </c>
      <c r="G46" s="34">
        <v>3.5192891E7</v>
      </c>
    </row>
    <row r="47" ht="12.75" customHeight="1">
      <c r="A47" s="27">
        <v>119.0</v>
      </c>
      <c r="B47" s="28" t="s">
        <v>45188</v>
      </c>
      <c r="C47" s="29">
        <v>35.0</v>
      </c>
      <c r="D47" s="28" t="s">
        <v>45189</v>
      </c>
      <c r="E47" s="28" t="s">
        <v>45190</v>
      </c>
      <c r="F47" s="27">
        <v>295.0</v>
      </c>
      <c r="G47" s="30">
        <v>3.5192954E7</v>
      </c>
    </row>
    <row r="48" ht="12.75" customHeight="1">
      <c r="A48" s="31">
        <v>119.0</v>
      </c>
      <c r="B48" s="32" t="s">
        <v>45191</v>
      </c>
      <c r="C48" s="33">
        <v>35.0</v>
      </c>
      <c r="D48" s="32" t="s">
        <v>45192</v>
      </c>
      <c r="E48" s="32" t="s">
        <v>45193</v>
      </c>
      <c r="F48" s="31">
        <v>301.0</v>
      </c>
      <c r="G48" s="34">
        <v>3.5193016E7</v>
      </c>
    </row>
    <row r="49" ht="12.75" customHeight="1">
      <c r="A49" s="27">
        <v>119.0</v>
      </c>
      <c r="B49" s="28" t="s">
        <v>45194</v>
      </c>
      <c r="C49" s="29">
        <v>35.0</v>
      </c>
      <c r="D49" s="28" t="s">
        <v>45195</v>
      </c>
      <c r="E49" s="28" t="s">
        <v>45196</v>
      </c>
      <c r="F49" s="27">
        <v>304.0</v>
      </c>
      <c r="G49" s="30">
        <v>3.5193045E7</v>
      </c>
    </row>
    <row r="50" ht="12.75" customHeight="1">
      <c r="A50" s="31">
        <v>119.0</v>
      </c>
      <c r="B50" s="32" t="s">
        <v>45197</v>
      </c>
      <c r="C50" s="33">
        <v>35.0</v>
      </c>
      <c r="D50" s="32" t="s">
        <v>45198</v>
      </c>
      <c r="E50" s="32" t="s">
        <v>45199</v>
      </c>
      <c r="F50" s="31">
        <v>316.0</v>
      </c>
      <c r="G50" s="34">
        <v>3.5193166E7</v>
      </c>
    </row>
    <row r="51" ht="12.75" customHeight="1">
      <c r="A51" s="27">
        <v>119.0</v>
      </c>
      <c r="B51" s="28" t="s">
        <v>45200</v>
      </c>
      <c r="C51" s="29">
        <v>35.0</v>
      </c>
      <c r="D51" s="28" t="s">
        <v>45201</v>
      </c>
      <c r="E51" s="28" t="s">
        <v>45202</v>
      </c>
      <c r="F51" s="27">
        <v>319.0</v>
      </c>
      <c r="G51" s="30">
        <v>3.5193195E7</v>
      </c>
    </row>
    <row r="52" ht="12.75" customHeight="1">
      <c r="A52" s="31">
        <v>119.0</v>
      </c>
      <c r="B52" s="32" t="s">
        <v>45203</v>
      </c>
      <c r="C52" s="33">
        <v>35.0</v>
      </c>
      <c r="D52" s="32" t="s">
        <v>45204</v>
      </c>
      <c r="E52" s="32" t="s">
        <v>45205</v>
      </c>
      <c r="F52" s="31">
        <v>325.0</v>
      </c>
      <c r="G52" s="34">
        <v>3.5193258E7</v>
      </c>
    </row>
    <row r="53" ht="12.75" customHeight="1">
      <c r="A53" s="27">
        <v>119.0</v>
      </c>
      <c r="B53" s="28" t="s">
        <v>45206</v>
      </c>
      <c r="C53" s="29">
        <v>35.0</v>
      </c>
      <c r="D53" s="28" t="s">
        <v>45207</v>
      </c>
      <c r="E53" s="28" t="s">
        <v>45208</v>
      </c>
      <c r="F53" s="27">
        <v>331.0</v>
      </c>
      <c r="G53" s="30">
        <v>3.5193311E7</v>
      </c>
    </row>
    <row r="54" ht="12.75" customHeight="1">
      <c r="A54" s="31">
        <v>119.0</v>
      </c>
      <c r="B54" s="32" t="s">
        <v>45209</v>
      </c>
      <c r="C54" s="33">
        <v>35.0</v>
      </c>
      <c r="D54" s="32" t="s">
        <v>45210</v>
      </c>
      <c r="E54" s="32" t="s">
        <v>45211</v>
      </c>
      <c r="F54" s="31">
        <v>352.0</v>
      </c>
      <c r="G54" s="34">
        <v>3.5193524E7</v>
      </c>
    </row>
    <row r="55" ht="12.75" customHeight="1">
      <c r="A55" s="27">
        <v>119.0</v>
      </c>
      <c r="B55" s="28" t="s">
        <v>45212</v>
      </c>
      <c r="C55" s="29">
        <v>35.0</v>
      </c>
      <c r="D55" s="28" t="s">
        <v>45213</v>
      </c>
      <c r="E55" s="28" t="s">
        <v>45214</v>
      </c>
      <c r="F55" s="27">
        <v>391.0</v>
      </c>
      <c r="G55" s="30">
        <v>3.5193911E7</v>
      </c>
    </row>
    <row r="56" ht="12.75" customHeight="1">
      <c r="A56" s="31">
        <v>119.0</v>
      </c>
      <c r="B56" s="32" t="s">
        <v>45215</v>
      </c>
      <c r="C56" s="33">
        <v>35.0</v>
      </c>
      <c r="D56" s="32" t="s">
        <v>45216</v>
      </c>
      <c r="E56" s="32" t="s">
        <v>45217</v>
      </c>
      <c r="F56" s="31">
        <v>394.0</v>
      </c>
      <c r="G56" s="34">
        <v>3.519394E7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119.0</v>
      </c>
      <c r="B1" s="28" t="s">
        <v>45218</v>
      </c>
      <c r="C1" s="29">
        <v>35.0</v>
      </c>
      <c r="D1" s="28" t="s">
        <v>45219</v>
      </c>
      <c r="E1" s="28" t="s">
        <v>45220</v>
      </c>
      <c r="F1" s="27">
        <v>412.0</v>
      </c>
      <c r="G1" s="30">
        <v>3.5194123E7</v>
      </c>
    </row>
    <row r="2" ht="12.75" customHeight="1">
      <c r="A2" s="31">
        <v>222.0</v>
      </c>
      <c r="B2" s="32" t="s">
        <v>45221</v>
      </c>
      <c r="C2" s="33">
        <v>35.0</v>
      </c>
      <c r="D2" s="32" t="s">
        <v>45222</v>
      </c>
      <c r="E2" s="32" t="s">
        <v>45223</v>
      </c>
      <c r="F2" s="33">
        <v>7.0</v>
      </c>
      <c r="G2" s="34">
        <v>3.5220071E7</v>
      </c>
    </row>
    <row r="3" ht="12.75" customHeight="1">
      <c r="A3" s="27">
        <v>222.0</v>
      </c>
      <c r="B3" s="28" t="s">
        <v>45224</v>
      </c>
      <c r="C3" s="29">
        <v>35.0</v>
      </c>
      <c r="D3" s="28" t="s">
        <v>45225</v>
      </c>
      <c r="E3" s="28" t="s">
        <v>45226</v>
      </c>
      <c r="F3" s="29">
        <v>10.0</v>
      </c>
      <c r="G3" s="30">
        <v>3.5220105E7</v>
      </c>
    </row>
    <row r="4" ht="12.75" customHeight="1">
      <c r="A4" s="31">
        <v>222.0</v>
      </c>
      <c r="B4" s="32" t="s">
        <v>45227</v>
      </c>
      <c r="C4" s="33">
        <v>35.0</v>
      </c>
      <c r="D4" s="32" t="s">
        <v>45228</v>
      </c>
      <c r="E4" s="32" t="s">
        <v>45229</v>
      </c>
      <c r="F4" s="33">
        <v>19.0</v>
      </c>
      <c r="G4" s="34">
        <v>3.5220192E7</v>
      </c>
    </row>
    <row r="5" ht="12.75" customHeight="1">
      <c r="A5" s="27">
        <v>222.0</v>
      </c>
      <c r="B5" s="28" t="s">
        <v>45230</v>
      </c>
      <c r="C5" s="29">
        <v>35.0</v>
      </c>
      <c r="D5" s="28" t="s">
        <v>45231</v>
      </c>
      <c r="E5" s="28" t="s">
        <v>45232</v>
      </c>
      <c r="F5" s="29">
        <v>25.0</v>
      </c>
      <c r="G5" s="30">
        <v>3.5220255E7</v>
      </c>
    </row>
    <row r="6" ht="12.75" customHeight="1">
      <c r="A6" s="31">
        <v>222.0</v>
      </c>
      <c r="B6" s="32" t="s">
        <v>45233</v>
      </c>
      <c r="C6" s="33">
        <v>35.0</v>
      </c>
      <c r="D6" s="32" t="s">
        <v>45234</v>
      </c>
      <c r="E6" s="32" t="s">
        <v>45235</v>
      </c>
      <c r="F6" s="33">
        <v>34.0</v>
      </c>
      <c r="G6" s="34">
        <v>3.5220347E7</v>
      </c>
    </row>
    <row r="7" ht="12.75" customHeight="1">
      <c r="A7" s="27">
        <v>222.0</v>
      </c>
      <c r="B7" s="28" t="s">
        <v>45236</v>
      </c>
      <c r="C7" s="29">
        <v>35.0</v>
      </c>
      <c r="D7" s="28" t="s">
        <v>45237</v>
      </c>
      <c r="E7" s="28" t="s">
        <v>45238</v>
      </c>
      <c r="F7" s="29">
        <v>37.0</v>
      </c>
      <c r="G7" s="30">
        <v>3.5220376E7</v>
      </c>
    </row>
    <row r="8" ht="12.75" customHeight="1">
      <c r="A8" s="31">
        <v>222.0</v>
      </c>
      <c r="B8" s="32" t="s">
        <v>45239</v>
      </c>
      <c r="C8" s="33">
        <v>35.0</v>
      </c>
      <c r="D8" s="32" t="s">
        <v>45240</v>
      </c>
      <c r="E8" s="32" t="s">
        <v>45241</v>
      </c>
      <c r="F8" s="33">
        <v>40.0</v>
      </c>
      <c r="G8" s="34">
        <v>3.52204E7</v>
      </c>
    </row>
    <row r="9" ht="12.75" customHeight="1">
      <c r="A9" s="27">
        <v>222.0</v>
      </c>
      <c r="B9" s="28" t="s">
        <v>45242</v>
      </c>
      <c r="C9" s="29">
        <v>35.0</v>
      </c>
      <c r="D9" s="28" t="s">
        <v>45243</v>
      </c>
      <c r="E9" s="28" t="s">
        <v>45244</v>
      </c>
      <c r="F9" s="29">
        <v>43.0</v>
      </c>
      <c r="G9" s="30">
        <v>3.5220439E7</v>
      </c>
    </row>
    <row r="10" ht="12.75" customHeight="1">
      <c r="A10" s="31">
        <v>222.0</v>
      </c>
      <c r="B10" s="32" t="s">
        <v>45245</v>
      </c>
      <c r="C10" s="33">
        <v>35.0</v>
      </c>
      <c r="D10" s="32" t="s">
        <v>45246</v>
      </c>
      <c r="E10" s="32" t="s">
        <v>45247</v>
      </c>
      <c r="F10" s="33">
        <v>46.0</v>
      </c>
      <c r="G10" s="34">
        <v>3.5220468E7</v>
      </c>
    </row>
    <row r="11" ht="12.75" customHeight="1">
      <c r="A11" s="27">
        <v>222.0</v>
      </c>
      <c r="B11" s="28" t="s">
        <v>45248</v>
      </c>
      <c r="C11" s="29">
        <v>35.0</v>
      </c>
      <c r="D11" s="28" t="s">
        <v>45249</v>
      </c>
      <c r="E11" s="28" t="s">
        <v>45250</v>
      </c>
      <c r="F11" s="29">
        <v>49.0</v>
      </c>
      <c r="G11" s="30">
        <v>3.5220497E7</v>
      </c>
    </row>
    <row r="12" ht="12.75" customHeight="1">
      <c r="A12" s="31">
        <v>222.0</v>
      </c>
      <c r="B12" s="32" t="s">
        <v>45251</v>
      </c>
      <c r="C12" s="33">
        <v>35.0</v>
      </c>
      <c r="D12" s="32" t="s">
        <v>45252</v>
      </c>
      <c r="E12" s="32" t="s">
        <v>45253</v>
      </c>
      <c r="F12" s="33">
        <v>52.0</v>
      </c>
      <c r="G12" s="34">
        <v>3.5220521E7</v>
      </c>
    </row>
    <row r="13" ht="12.75" customHeight="1">
      <c r="A13" s="27">
        <v>222.0</v>
      </c>
      <c r="B13" s="28" t="s">
        <v>45254</v>
      </c>
      <c r="C13" s="29">
        <v>35.0</v>
      </c>
      <c r="D13" s="28" t="s">
        <v>45255</v>
      </c>
      <c r="E13" s="28" t="s">
        <v>45256</v>
      </c>
      <c r="F13" s="29">
        <v>55.0</v>
      </c>
      <c r="G13" s="30">
        <v>3.522055E7</v>
      </c>
    </row>
    <row r="14" ht="12.75" customHeight="1">
      <c r="A14" s="31">
        <v>222.0</v>
      </c>
      <c r="B14" s="32" t="s">
        <v>45257</v>
      </c>
      <c r="C14" s="33">
        <v>35.0</v>
      </c>
      <c r="D14" s="32" t="s">
        <v>45258</v>
      </c>
      <c r="E14" s="32" t="s">
        <v>45259</v>
      </c>
      <c r="F14" s="33">
        <v>61.0</v>
      </c>
      <c r="G14" s="34">
        <v>3.5220613E7</v>
      </c>
    </row>
    <row r="15" ht="12.75" customHeight="1">
      <c r="A15" s="27">
        <v>222.0</v>
      </c>
      <c r="B15" s="28" t="s">
        <v>45260</v>
      </c>
      <c r="C15" s="29">
        <v>35.0</v>
      </c>
      <c r="D15" s="28" t="s">
        <v>45261</v>
      </c>
      <c r="E15" s="28" t="s">
        <v>45262</v>
      </c>
      <c r="F15" s="29">
        <v>67.0</v>
      </c>
      <c r="G15" s="30">
        <v>3.5220671E7</v>
      </c>
    </row>
    <row r="16" ht="12.75" customHeight="1">
      <c r="A16" s="31">
        <v>222.0</v>
      </c>
      <c r="B16" s="32" t="s">
        <v>45263</v>
      </c>
      <c r="C16" s="33">
        <v>35.0</v>
      </c>
      <c r="D16" s="32" t="s">
        <v>45264</v>
      </c>
      <c r="E16" s="32" t="s">
        <v>45265</v>
      </c>
      <c r="F16" s="33">
        <v>73.0</v>
      </c>
      <c r="G16" s="34">
        <v>3.5220734E7</v>
      </c>
    </row>
    <row r="17" ht="12.75" customHeight="1">
      <c r="A17" s="27">
        <v>222.0</v>
      </c>
      <c r="B17" s="28" t="s">
        <v>45266</v>
      </c>
      <c r="C17" s="29">
        <v>35.0</v>
      </c>
      <c r="D17" s="28" t="s">
        <v>45267</v>
      </c>
      <c r="E17" s="28" t="s">
        <v>45268</v>
      </c>
      <c r="F17" s="29">
        <v>82.0</v>
      </c>
      <c r="G17" s="30">
        <v>3.5220826E7</v>
      </c>
    </row>
    <row r="18" ht="12.75" customHeight="1">
      <c r="A18" s="31">
        <v>222.0</v>
      </c>
      <c r="B18" s="32" t="s">
        <v>45269</v>
      </c>
      <c r="C18" s="33">
        <v>35.0</v>
      </c>
      <c r="D18" s="32" t="s">
        <v>45270</v>
      </c>
      <c r="E18" s="32" t="s">
        <v>45271</v>
      </c>
      <c r="F18" s="33">
        <v>85.0</v>
      </c>
      <c r="G18" s="34">
        <v>3.5220855E7</v>
      </c>
    </row>
    <row r="19" ht="12.75" customHeight="1">
      <c r="A19" s="27">
        <v>222.0</v>
      </c>
      <c r="B19" s="28" t="s">
        <v>45272</v>
      </c>
      <c r="C19" s="29">
        <v>35.0</v>
      </c>
      <c r="D19" s="28" t="s">
        <v>45273</v>
      </c>
      <c r="E19" s="28" t="s">
        <v>45274</v>
      </c>
      <c r="F19" s="29">
        <v>91.0</v>
      </c>
      <c r="G19" s="30">
        <v>3.5220918E7</v>
      </c>
    </row>
    <row r="20" ht="12.75" customHeight="1">
      <c r="A20" s="31">
        <v>222.0</v>
      </c>
      <c r="B20" s="32" t="s">
        <v>45275</v>
      </c>
      <c r="C20" s="33">
        <v>35.0</v>
      </c>
      <c r="D20" s="32" t="s">
        <v>45276</v>
      </c>
      <c r="E20" s="32" t="s">
        <v>45277</v>
      </c>
      <c r="F20" s="33">
        <v>94.0</v>
      </c>
      <c r="G20" s="34">
        <v>3.5220947E7</v>
      </c>
    </row>
    <row r="21" ht="12.75" customHeight="1">
      <c r="A21" s="27">
        <v>126.0</v>
      </c>
      <c r="B21" s="28" t="s">
        <v>45278</v>
      </c>
      <c r="C21" s="29">
        <v>35.0</v>
      </c>
      <c r="D21" s="28" t="s">
        <v>45279</v>
      </c>
      <c r="E21" s="28" t="s">
        <v>45280</v>
      </c>
      <c r="F21" s="29">
        <v>25.0</v>
      </c>
      <c r="G21" s="30">
        <v>3.5260257E7</v>
      </c>
    </row>
    <row r="22" ht="12.75" customHeight="1">
      <c r="A22" s="31">
        <v>126.0</v>
      </c>
      <c r="B22" s="32" t="s">
        <v>45281</v>
      </c>
      <c r="C22" s="33">
        <v>35.0</v>
      </c>
      <c r="D22" s="32" t="s">
        <v>45282</v>
      </c>
      <c r="E22" s="32" t="s">
        <v>45283</v>
      </c>
      <c r="F22" s="33">
        <v>34.0</v>
      </c>
      <c r="G22" s="34">
        <v>3.5260349E7</v>
      </c>
    </row>
    <row r="23" ht="12.75" customHeight="1">
      <c r="A23" s="27">
        <v>126.0</v>
      </c>
      <c r="B23" s="28" t="s">
        <v>45284</v>
      </c>
      <c r="C23" s="29">
        <v>35.0</v>
      </c>
      <c r="D23" s="28" t="s">
        <v>45285</v>
      </c>
      <c r="E23" s="28" t="s">
        <v>45286</v>
      </c>
      <c r="F23" s="29">
        <v>40.0</v>
      </c>
      <c r="G23" s="30">
        <v>3.5260402E7</v>
      </c>
    </row>
    <row r="24" ht="12.75" customHeight="1">
      <c r="A24" s="31">
        <v>126.0</v>
      </c>
      <c r="B24" s="32" t="s">
        <v>45287</v>
      </c>
      <c r="C24" s="33">
        <v>35.0</v>
      </c>
      <c r="D24" s="32" t="s">
        <v>45288</v>
      </c>
      <c r="E24" s="32" t="s">
        <v>45289</v>
      </c>
      <c r="F24" s="33">
        <v>43.0</v>
      </c>
      <c r="G24" s="34">
        <v>3.5260431E7</v>
      </c>
    </row>
    <row r="25" ht="12.75" customHeight="1">
      <c r="A25" s="27">
        <v>126.0</v>
      </c>
      <c r="B25" s="28" t="s">
        <v>45290</v>
      </c>
      <c r="C25" s="29">
        <v>35.0</v>
      </c>
      <c r="D25" s="28" t="s">
        <v>45291</v>
      </c>
      <c r="E25" s="28" t="s">
        <v>45292</v>
      </c>
      <c r="F25" s="29">
        <v>70.0</v>
      </c>
      <c r="G25" s="30">
        <v>3.5260707E7</v>
      </c>
    </row>
    <row r="26" ht="12.75" customHeight="1">
      <c r="A26" s="31">
        <v>126.0</v>
      </c>
      <c r="B26" s="32" t="s">
        <v>45293</v>
      </c>
      <c r="C26" s="33">
        <v>35.0</v>
      </c>
      <c r="D26" s="32" t="s">
        <v>45294</v>
      </c>
      <c r="E26" s="32" t="s">
        <v>45295</v>
      </c>
      <c r="F26" s="31">
        <v>115.0</v>
      </c>
      <c r="G26" s="34">
        <v>3.5261151E7</v>
      </c>
    </row>
    <row r="27" ht="12.75" customHeight="1">
      <c r="A27" s="27">
        <v>126.0</v>
      </c>
      <c r="B27" s="28" t="s">
        <v>45296</v>
      </c>
      <c r="C27" s="29">
        <v>35.0</v>
      </c>
      <c r="D27" s="28" t="s">
        <v>45297</v>
      </c>
      <c r="E27" s="28" t="s">
        <v>45298</v>
      </c>
      <c r="F27" s="27">
        <v>253.0</v>
      </c>
      <c r="G27" s="30">
        <v>3.5262534E7</v>
      </c>
    </row>
    <row r="28" ht="12.75" customHeight="1">
      <c r="A28" s="31">
        <v>126.0</v>
      </c>
      <c r="B28" s="32" t="s">
        <v>45299</v>
      </c>
      <c r="C28" s="33">
        <v>35.0</v>
      </c>
      <c r="D28" s="32" t="s">
        <v>45300</v>
      </c>
      <c r="E28" s="32" t="s">
        <v>45301</v>
      </c>
      <c r="F28" s="31">
        <v>259.0</v>
      </c>
      <c r="G28" s="34">
        <v>3.5262592E7</v>
      </c>
    </row>
    <row r="29" ht="12.75" customHeight="1">
      <c r="A29" s="27">
        <v>126.0</v>
      </c>
      <c r="B29" s="28" t="s">
        <v>45302</v>
      </c>
      <c r="C29" s="29">
        <v>35.0</v>
      </c>
      <c r="D29" s="28" t="s">
        <v>45303</v>
      </c>
      <c r="E29" s="28" t="s">
        <v>45304</v>
      </c>
      <c r="F29" s="27">
        <v>298.0</v>
      </c>
      <c r="G29" s="30">
        <v>3.5262989E7</v>
      </c>
    </row>
    <row r="30" ht="12.75" customHeight="1">
      <c r="A30" s="31">
        <v>126.0</v>
      </c>
      <c r="B30" s="32" t="s">
        <v>45305</v>
      </c>
      <c r="C30" s="33">
        <v>35.0</v>
      </c>
      <c r="D30" s="32" t="s">
        <v>45306</v>
      </c>
      <c r="E30" s="32" t="s">
        <v>45307</v>
      </c>
      <c r="F30" s="31">
        <v>409.0</v>
      </c>
      <c r="G30" s="34">
        <v>3.5264095E7</v>
      </c>
    </row>
    <row r="31" ht="12.75" customHeight="1">
      <c r="A31" s="27">
        <v>126.0</v>
      </c>
      <c r="B31" s="28" t="s">
        <v>45308</v>
      </c>
      <c r="C31" s="29">
        <v>35.0</v>
      </c>
      <c r="D31" s="28" t="s">
        <v>45309</v>
      </c>
      <c r="E31" s="28" t="s">
        <v>45310</v>
      </c>
      <c r="F31" s="27">
        <v>430.0</v>
      </c>
      <c r="G31" s="30">
        <v>3.5264303E7</v>
      </c>
    </row>
    <row r="32" ht="12.75" customHeight="1">
      <c r="A32" s="31">
        <v>126.0</v>
      </c>
      <c r="B32" s="32" t="s">
        <v>45311</v>
      </c>
      <c r="C32" s="33">
        <v>35.0</v>
      </c>
      <c r="D32" s="32" t="s">
        <v>45312</v>
      </c>
      <c r="E32" s="32" t="s">
        <v>45313</v>
      </c>
      <c r="F32" s="31">
        <v>445.0</v>
      </c>
      <c r="G32" s="34">
        <v>3.5264453E7</v>
      </c>
    </row>
    <row r="33" ht="12.75" customHeight="1">
      <c r="A33" s="27">
        <v>126.0</v>
      </c>
      <c r="B33" s="28" t="s">
        <v>45314</v>
      </c>
      <c r="C33" s="29">
        <v>35.0</v>
      </c>
      <c r="D33" s="28" t="s">
        <v>45315</v>
      </c>
      <c r="E33" s="28" t="s">
        <v>45316</v>
      </c>
      <c r="F33" s="27">
        <v>454.0</v>
      </c>
      <c r="G33" s="30">
        <v>3.5264545E7</v>
      </c>
    </row>
    <row r="34" ht="12.75" customHeight="1">
      <c r="A34" s="31">
        <v>126.0</v>
      </c>
      <c r="B34" s="32" t="s">
        <v>45317</v>
      </c>
      <c r="C34" s="33">
        <v>35.0</v>
      </c>
      <c r="D34" s="32" t="s">
        <v>45318</v>
      </c>
      <c r="E34" s="32" t="s">
        <v>45319</v>
      </c>
      <c r="F34" s="31">
        <v>463.0</v>
      </c>
      <c r="G34" s="34">
        <v>3.5264637E7</v>
      </c>
    </row>
    <row r="35" ht="12.75" customHeight="1">
      <c r="A35" s="27">
        <v>127.0</v>
      </c>
      <c r="B35" s="28" t="s">
        <v>45320</v>
      </c>
      <c r="C35" s="29">
        <v>35.0</v>
      </c>
      <c r="D35" s="28" t="s">
        <v>45321</v>
      </c>
      <c r="E35" s="28" t="s">
        <v>45322</v>
      </c>
      <c r="F35" s="29">
        <v>0.0</v>
      </c>
      <c r="G35" s="30">
        <v>3.5270005E7</v>
      </c>
    </row>
    <row r="36" ht="12.75" customHeight="1">
      <c r="A36" s="31">
        <v>127.0</v>
      </c>
      <c r="B36" s="32" t="s">
        <v>45323</v>
      </c>
      <c r="C36" s="33">
        <v>35.0</v>
      </c>
      <c r="D36" s="32" t="s">
        <v>45324</v>
      </c>
      <c r="E36" s="32" t="s">
        <v>45325</v>
      </c>
      <c r="F36" s="33">
        <v>67.0</v>
      </c>
      <c r="G36" s="34">
        <v>3.5270676E7</v>
      </c>
    </row>
    <row r="37" ht="12.75" customHeight="1">
      <c r="A37" s="27">
        <v>127.0</v>
      </c>
      <c r="B37" s="28" t="s">
        <v>45326</v>
      </c>
      <c r="C37" s="29">
        <v>35.0</v>
      </c>
      <c r="D37" s="28" t="s">
        <v>45327</v>
      </c>
      <c r="E37" s="28" t="s">
        <v>45328</v>
      </c>
      <c r="F37" s="27">
        <v>127.0</v>
      </c>
      <c r="G37" s="30">
        <v>3.5271275E7</v>
      </c>
    </row>
    <row r="38" ht="12.75" customHeight="1">
      <c r="A38" s="31">
        <v>127.0</v>
      </c>
      <c r="B38" s="32" t="s">
        <v>45329</v>
      </c>
      <c r="C38" s="33">
        <v>35.0</v>
      </c>
      <c r="D38" s="32" t="s">
        <v>45330</v>
      </c>
      <c r="E38" s="32" t="s">
        <v>45331</v>
      </c>
      <c r="F38" s="31">
        <v>148.0</v>
      </c>
      <c r="G38" s="34">
        <v>3.5271488E7</v>
      </c>
    </row>
    <row r="39" ht="12.75" customHeight="1">
      <c r="A39" s="27">
        <v>127.0</v>
      </c>
      <c r="B39" s="28" t="s">
        <v>45332</v>
      </c>
      <c r="C39" s="29">
        <v>35.0</v>
      </c>
      <c r="D39" s="28" t="s">
        <v>45333</v>
      </c>
      <c r="E39" s="28" t="s">
        <v>45334</v>
      </c>
      <c r="F39" s="27">
        <v>205.0</v>
      </c>
      <c r="G39" s="30">
        <v>3.5272058E7</v>
      </c>
    </row>
    <row r="40" ht="12.75" customHeight="1">
      <c r="A40" s="31">
        <v>127.0</v>
      </c>
      <c r="B40" s="32" t="s">
        <v>45335</v>
      </c>
      <c r="C40" s="33">
        <v>35.0</v>
      </c>
      <c r="D40" s="32" t="s">
        <v>45336</v>
      </c>
      <c r="E40" s="32" t="s">
        <v>45337</v>
      </c>
      <c r="F40" s="31">
        <v>223.0</v>
      </c>
      <c r="G40" s="34">
        <v>3.5272232E7</v>
      </c>
    </row>
    <row r="41" ht="12.75" customHeight="1">
      <c r="A41" s="27">
        <v>127.0</v>
      </c>
      <c r="B41" s="28" t="s">
        <v>45338</v>
      </c>
      <c r="C41" s="29">
        <v>35.0</v>
      </c>
      <c r="D41" s="28" t="s">
        <v>45339</v>
      </c>
      <c r="E41" s="28" t="s">
        <v>45340</v>
      </c>
      <c r="F41" s="27">
        <v>265.0</v>
      </c>
      <c r="G41" s="30">
        <v>3.5272658E7</v>
      </c>
    </row>
    <row r="42" ht="12.75" customHeight="1">
      <c r="A42" s="31">
        <v>127.0</v>
      </c>
      <c r="B42" s="32" t="s">
        <v>45341</v>
      </c>
      <c r="C42" s="33">
        <v>35.0</v>
      </c>
      <c r="D42" s="32" t="s">
        <v>45342</v>
      </c>
      <c r="E42" s="32" t="s">
        <v>45343</v>
      </c>
      <c r="F42" s="31">
        <v>331.0</v>
      </c>
      <c r="G42" s="34">
        <v>3.527331E7</v>
      </c>
    </row>
    <row r="43" ht="12.75" customHeight="1">
      <c r="A43" s="27">
        <v>127.0</v>
      </c>
      <c r="B43" s="28" t="s">
        <v>45344</v>
      </c>
      <c r="C43" s="29">
        <v>35.0</v>
      </c>
      <c r="D43" s="28" t="s">
        <v>45345</v>
      </c>
      <c r="E43" s="28" t="s">
        <v>45346</v>
      </c>
      <c r="F43" s="27">
        <v>358.0</v>
      </c>
      <c r="G43" s="30">
        <v>3.5273581E7</v>
      </c>
    </row>
    <row r="44" ht="12.75" customHeight="1">
      <c r="A44" s="31">
        <v>127.0</v>
      </c>
      <c r="B44" s="32" t="s">
        <v>45347</v>
      </c>
      <c r="C44" s="33">
        <v>35.0</v>
      </c>
      <c r="D44" s="32" t="s">
        <v>45348</v>
      </c>
      <c r="E44" s="32" t="s">
        <v>45349</v>
      </c>
      <c r="F44" s="31">
        <v>364.0</v>
      </c>
      <c r="G44" s="34">
        <v>3.5273644E7</v>
      </c>
    </row>
    <row r="45" ht="12.75" customHeight="1">
      <c r="A45" s="27">
        <v>127.0</v>
      </c>
      <c r="B45" s="28" t="s">
        <v>45350</v>
      </c>
      <c r="C45" s="29">
        <v>35.0</v>
      </c>
      <c r="D45" s="28" t="s">
        <v>45351</v>
      </c>
      <c r="E45" s="28" t="s">
        <v>45352</v>
      </c>
      <c r="F45" s="27">
        <v>370.0</v>
      </c>
      <c r="G45" s="30">
        <v>3.5273707E7</v>
      </c>
    </row>
    <row r="46" ht="12.75" customHeight="1">
      <c r="A46" s="31">
        <v>127.0</v>
      </c>
      <c r="B46" s="32" t="s">
        <v>45353</v>
      </c>
      <c r="C46" s="33">
        <v>35.0</v>
      </c>
      <c r="D46" s="32" t="s">
        <v>45354</v>
      </c>
      <c r="E46" s="32" t="s">
        <v>45355</v>
      </c>
      <c r="F46" s="31">
        <v>391.0</v>
      </c>
      <c r="G46" s="34">
        <v>3.527391E7</v>
      </c>
    </row>
    <row r="47" ht="12.75" customHeight="1">
      <c r="A47" s="27">
        <v>127.0</v>
      </c>
      <c r="B47" s="28" t="s">
        <v>45356</v>
      </c>
      <c r="C47" s="29">
        <v>35.0</v>
      </c>
      <c r="D47" s="28" t="s">
        <v>45357</v>
      </c>
      <c r="E47" s="28" t="s">
        <v>45358</v>
      </c>
      <c r="F47" s="27">
        <v>460.0</v>
      </c>
      <c r="G47" s="30">
        <v>3.5274601E7</v>
      </c>
    </row>
    <row r="48" ht="12.75" customHeight="1">
      <c r="A48" s="31">
        <v>127.0</v>
      </c>
      <c r="B48" s="32" t="s">
        <v>45359</v>
      </c>
      <c r="C48" s="33">
        <v>35.0</v>
      </c>
      <c r="D48" s="32" t="s">
        <v>45360</v>
      </c>
      <c r="E48" s="32" t="s">
        <v>45361</v>
      </c>
      <c r="F48" s="31">
        <v>469.0</v>
      </c>
      <c r="G48" s="34">
        <v>3.5274698E7</v>
      </c>
    </row>
    <row r="49" ht="12.75" customHeight="1">
      <c r="A49" s="27">
        <v>127.0</v>
      </c>
      <c r="B49" s="28" t="s">
        <v>45362</v>
      </c>
      <c r="C49" s="29">
        <v>35.0</v>
      </c>
      <c r="D49" s="28" t="s">
        <v>45363</v>
      </c>
      <c r="E49" s="28" t="s">
        <v>45364</v>
      </c>
      <c r="F49" s="27">
        <v>631.0</v>
      </c>
      <c r="G49" s="30">
        <v>3.5276317E7</v>
      </c>
    </row>
    <row r="50" ht="12.75" customHeight="1">
      <c r="A50" s="31">
        <v>127.0</v>
      </c>
      <c r="B50" s="32" t="s">
        <v>45365</v>
      </c>
      <c r="C50" s="33">
        <v>35.0</v>
      </c>
      <c r="D50" s="32" t="s">
        <v>45366</v>
      </c>
      <c r="E50" s="32" t="s">
        <v>45367</v>
      </c>
      <c r="F50" s="31">
        <v>649.0</v>
      </c>
      <c r="G50" s="34">
        <v>3.5276496E7</v>
      </c>
    </row>
    <row r="51" ht="12.75" customHeight="1">
      <c r="A51" s="27">
        <v>329.0</v>
      </c>
      <c r="B51" s="28" t="s">
        <v>45368</v>
      </c>
      <c r="C51" s="29">
        <v>35.0</v>
      </c>
      <c r="D51" s="28" t="s">
        <v>45369</v>
      </c>
      <c r="E51" s="28" t="s">
        <v>45370</v>
      </c>
      <c r="F51" s="29">
        <v>4.0</v>
      </c>
      <c r="G51" s="30">
        <v>3.5290043E7</v>
      </c>
    </row>
    <row r="52" ht="12.75" customHeight="1">
      <c r="A52" s="31">
        <v>329.0</v>
      </c>
      <c r="B52" s="32" t="s">
        <v>45371</v>
      </c>
      <c r="C52" s="33">
        <v>35.0</v>
      </c>
      <c r="D52" s="32" t="s">
        <v>45372</v>
      </c>
      <c r="E52" s="32" t="s">
        <v>45373</v>
      </c>
      <c r="F52" s="33">
        <v>5.0</v>
      </c>
      <c r="G52" s="34">
        <v>3.5290056E7</v>
      </c>
    </row>
    <row r="53" ht="12.75" customHeight="1">
      <c r="A53" s="27">
        <v>329.0</v>
      </c>
      <c r="B53" s="28" t="s">
        <v>45374</v>
      </c>
      <c r="C53" s="29">
        <v>35.0</v>
      </c>
      <c r="D53" s="28" t="s">
        <v>45375</v>
      </c>
      <c r="E53" s="28" t="s">
        <v>45376</v>
      </c>
      <c r="F53" s="29">
        <v>13.0</v>
      </c>
      <c r="G53" s="30">
        <v>3.5290135E7</v>
      </c>
    </row>
    <row r="54" ht="12.75" customHeight="1">
      <c r="A54" s="31">
        <v>329.0</v>
      </c>
      <c r="B54" s="32" t="s">
        <v>45377</v>
      </c>
      <c r="C54" s="33">
        <v>35.0</v>
      </c>
      <c r="D54" s="32" t="s">
        <v>45378</v>
      </c>
      <c r="E54" s="32" t="s">
        <v>45379</v>
      </c>
      <c r="F54" s="33">
        <v>19.0</v>
      </c>
      <c r="G54" s="34">
        <v>3.5290193E7</v>
      </c>
    </row>
    <row r="55" ht="12.75" customHeight="1">
      <c r="A55" s="27">
        <v>329.0</v>
      </c>
      <c r="B55" s="28" t="s">
        <v>45380</v>
      </c>
      <c r="C55" s="29">
        <v>35.0</v>
      </c>
      <c r="D55" s="28" t="s">
        <v>45381</v>
      </c>
      <c r="E55" s="28" t="s">
        <v>45382</v>
      </c>
      <c r="F55" s="29">
        <v>22.0</v>
      </c>
      <c r="G55" s="30">
        <v>3.5290227E7</v>
      </c>
    </row>
    <row r="56" ht="12.75" customHeight="1">
      <c r="A56" s="31">
        <v>329.0</v>
      </c>
      <c r="B56" s="32" t="s">
        <v>45383</v>
      </c>
      <c r="C56" s="33">
        <v>35.0</v>
      </c>
      <c r="D56" s="32" t="s">
        <v>45384</v>
      </c>
      <c r="E56" s="32" t="s">
        <v>45385</v>
      </c>
      <c r="F56" s="33">
        <v>25.0</v>
      </c>
      <c r="G56" s="34">
        <v>3.5290256E7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329.0</v>
      </c>
      <c r="B1" s="28" t="s">
        <v>45386</v>
      </c>
      <c r="C1" s="29">
        <v>35.0</v>
      </c>
      <c r="D1" s="28" t="s">
        <v>45387</v>
      </c>
      <c r="E1" s="28" t="s">
        <v>45388</v>
      </c>
      <c r="F1" s="29">
        <v>28.0</v>
      </c>
      <c r="G1" s="30">
        <v>3.5290285E7</v>
      </c>
    </row>
    <row r="2" ht="12.75" customHeight="1">
      <c r="A2" s="31">
        <v>329.0</v>
      </c>
      <c r="B2" s="32" t="s">
        <v>45389</v>
      </c>
      <c r="C2" s="33">
        <v>35.0</v>
      </c>
      <c r="D2" s="32" t="s">
        <v>45390</v>
      </c>
      <c r="E2" s="32" t="s">
        <v>45391</v>
      </c>
      <c r="F2" s="33">
        <v>31.0</v>
      </c>
      <c r="G2" s="34">
        <v>3.5290319E7</v>
      </c>
    </row>
    <row r="3" ht="12.75" customHeight="1">
      <c r="A3" s="27">
        <v>329.0</v>
      </c>
      <c r="B3" s="28" t="s">
        <v>45392</v>
      </c>
      <c r="C3" s="29">
        <v>35.0</v>
      </c>
      <c r="D3" s="28" t="s">
        <v>45393</v>
      </c>
      <c r="E3" s="28" t="s">
        <v>45394</v>
      </c>
      <c r="F3" s="29">
        <v>34.0</v>
      </c>
      <c r="G3" s="30">
        <v>3.5290348E7</v>
      </c>
    </row>
    <row r="4" ht="12.75" customHeight="1">
      <c r="A4" s="31">
        <v>329.0</v>
      </c>
      <c r="B4" s="32" t="s">
        <v>45395</v>
      </c>
      <c r="C4" s="33">
        <v>35.0</v>
      </c>
      <c r="D4" s="32" t="s">
        <v>45396</v>
      </c>
      <c r="E4" s="32" t="s">
        <v>45397</v>
      </c>
      <c r="F4" s="33">
        <v>40.0</v>
      </c>
      <c r="G4" s="34">
        <v>3.5290401E7</v>
      </c>
    </row>
    <row r="5" ht="12.75" customHeight="1">
      <c r="A5" s="27">
        <v>329.0</v>
      </c>
      <c r="B5" s="28" t="s">
        <v>45398</v>
      </c>
      <c r="C5" s="29">
        <v>35.0</v>
      </c>
      <c r="D5" s="28" t="s">
        <v>45399</v>
      </c>
      <c r="E5" s="28" t="s">
        <v>45400</v>
      </c>
      <c r="F5" s="29">
        <v>43.0</v>
      </c>
      <c r="G5" s="30">
        <v>3.529043E7</v>
      </c>
    </row>
    <row r="6" ht="12.75" customHeight="1">
      <c r="A6" s="31">
        <v>329.0</v>
      </c>
      <c r="B6" s="32" t="s">
        <v>45401</v>
      </c>
      <c r="C6" s="33">
        <v>35.0</v>
      </c>
      <c r="D6" s="32" t="s">
        <v>45402</v>
      </c>
      <c r="E6" s="32" t="s">
        <v>45403</v>
      </c>
      <c r="F6" s="33">
        <v>52.0</v>
      </c>
      <c r="G6" s="34">
        <v>3.5290522E7</v>
      </c>
    </row>
    <row r="7" ht="12.75" customHeight="1">
      <c r="A7" s="27">
        <v>329.0</v>
      </c>
      <c r="B7" s="28" t="s">
        <v>45404</v>
      </c>
      <c r="C7" s="29">
        <v>35.0</v>
      </c>
      <c r="D7" s="28" t="s">
        <v>45405</v>
      </c>
      <c r="E7" s="28" t="s">
        <v>45406</v>
      </c>
      <c r="F7" s="29">
        <v>64.0</v>
      </c>
      <c r="G7" s="30">
        <v>3.5290643E7</v>
      </c>
    </row>
    <row r="8" ht="12.75" customHeight="1">
      <c r="A8" s="31">
        <v>329.0</v>
      </c>
      <c r="B8" s="32" t="s">
        <v>45407</v>
      </c>
      <c r="C8" s="33">
        <v>35.0</v>
      </c>
      <c r="D8" s="32" t="s">
        <v>45408</v>
      </c>
      <c r="E8" s="32" t="s">
        <v>45409</v>
      </c>
      <c r="F8" s="33">
        <v>73.0</v>
      </c>
      <c r="G8" s="34">
        <v>3.5290735E7</v>
      </c>
    </row>
    <row r="9" ht="12.75" customHeight="1">
      <c r="A9" s="27">
        <v>329.0</v>
      </c>
      <c r="B9" s="28" t="s">
        <v>45410</v>
      </c>
      <c r="C9" s="29">
        <v>35.0</v>
      </c>
      <c r="D9" s="28" t="s">
        <v>45411</v>
      </c>
      <c r="E9" s="28" t="s">
        <v>45412</v>
      </c>
      <c r="F9" s="29">
        <v>76.0</v>
      </c>
      <c r="G9" s="30">
        <v>3.5290764E7</v>
      </c>
    </row>
    <row r="10" ht="12.75" customHeight="1">
      <c r="A10" s="31">
        <v>329.0</v>
      </c>
      <c r="B10" s="32" t="s">
        <v>45413</v>
      </c>
      <c r="C10" s="33">
        <v>35.0</v>
      </c>
      <c r="D10" s="32" t="s">
        <v>45414</v>
      </c>
      <c r="E10" s="32" t="s">
        <v>45415</v>
      </c>
      <c r="F10" s="33">
        <v>79.0</v>
      </c>
      <c r="G10" s="34">
        <v>3.5290793E7</v>
      </c>
    </row>
    <row r="11" ht="12.75" customHeight="1">
      <c r="A11" s="27">
        <v>329.0</v>
      </c>
      <c r="B11" s="28" t="s">
        <v>45416</v>
      </c>
      <c r="C11" s="29">
        <v>35.0</v>
      </c>
      <c r="D11" s="28" t="s">
        <v>45417</v>
      </c>
      <c r="E11" s="28" t="s">
        <v>45418</v>
      </c>
      <c r="F11" s="29">
        <v>82.0</v>
      </c>
      <c r="G11" s="30">
        <v>3.5290827E7</v>
      </c>
    </row>
    <row r="12" ht="12.75" customHeight="1">
      <c r="A12" s="31">
        <v>329.0</v>
      </c>
      <c r="B12" s="32" t="s">
        <v>45419</v>
      </c>
      <c r="C12" s="33">
        <v>35.0</v>
      </c>
      <c r="D12" s="32" t="s">
        <v>45420</v>
      </c>
      <c r="E12" s="32" t="s">
        <v>45421</v>
      </c>
      <c r="F12" s="33">
        <v>94.0</v>
      </c>
      <c r="G12" s="34">
        <v>3.5290948E7</v>
      </c>
    </row>
    <row r="13" ht="12.75" customHeight="1">
      <c r="A13" s="27">
        <v>329.0</v>
      </c>
      <c r="B13" s="28" t="s">
        <v>45422</v>
      </c>
      <c r="C13" s="29">
        <v>35.0</v>
      </c>
      <c r="D13" s="28" t="s">
        <v>45423</v>
      </c>
      <c r="E13" s="28" t="s">
        <v>45424</v>
      </c>
      <c r="F13" s="27">
        <v>100.0</v>
      </c>
      <c r="G13" s="30">
        <v>3.5291E7</v>
      </c>
    </row>
    <row r="14" ht="12.75" customHeight="1">
      <c r="A14" s="31">
        <v>329.0</v>
      </c>
      <c r="B14" s="32" t="s">
        <v>45425</v>
      </c>
      <c r="C14" s="33">
        <v>35.0</v>
      </c>
      <c r="D14" s="32" t="s">
        <v>45426</v>
      </c>
      <c r="E14" s="32" t="s">
        <v>45427</v>
      </c>
      <c r="F14" s="31">
        <v>103.0</v>
      </c>
      <c r="G14" s="34">
        <v>3.5291039E7</v>
      </c>
    </row>
    <row r="15" ht="12.75" customHeight="1">
      <c r="A15" s="27">
        <v>329.0</v>
      </c>
      <c r="B15" s="28" t="s">
        <v>45428</v>
      </c>
      <c r="C15" s="29">
        <v>35.0</v>
      </c>
      <c r="D15" s="28" t="s">
        <v>45429</v>
      </c>
      <c r="E15" s="28" t="s">
        <v>45430</v>
      </c>
      <c r="F15" s="27">
        <v>109.0</v>
      </c>
      <c r="G15" s="30">
        <v>3.5291097E7</v>
      </c>
    </row>
    <row r="16" ht="12.75" customHeight="1">
      <c r="A16" s="31">
        <v>329.0</v>
      </c>
      <c r="B16" s="32" t="s">
        <v>45431</v>
      </c>
      <c r="C16" s="33">
        <v>35.0</v>
      </c>
      <c r="D16" s="32" t="s">
        <v>45432</v>
      </c>
      <c r="E16" s="32" t="s">
        <v>45433</v>
      </c>
      <c r="F16" s="31">
        <v>118.0</v>
      </c>
      <c r="G16" s="34">
        <v>3.5291189E7</v>
      </c>
    </row>
    <row r="17" ht="12.75" customHeight="1">
      <c r="A17" s="27">
        <v>329.0</v>
      </c>
      <c r="B17" s="28" t="s">
        <v>45434</v>
      </c>
      <c r="C17" s="29">
        <v>35.0</v>
      </c>
      <c r="D17" s="28" t="s">
        <v>45435</v>
      </c>
      <c r="E17" s="28" t="s">
        <v>45436</v>
      </c>
      <c r="F17" s="27">
        <v>121.0</v>
      </c>
      <c r="G17" s="30">
        <v>3.5291213E7</v>
      </c>
    </row>
    <row r="18" ht="12.75" customHeight="1">
      <c r="A18" s="31">
        <v>329.0</v>
      </c>
      <c r="B18" s="32" t="s">
        <v>45437</v>
      </c>
      <c r="C18" s="33">
        <v>35.0</v>
      </c>
      <c r="D18" s="32" t="s">
        <v>45438</v>
      </c>
      <c r="E18" s="32" t="s">
        <v>45439</v>
      </c>
      <c r="F18" s="31">
        <v>127.0</v>
      </c>
      <c r="G18" s="34">
        <v>3.5291271E7</v>
      </c>
    </row>
    <row r="19" ht="12.75" customHeight="1">
      <c r="A19" s="27">
        <v>329.0</v>
      </c>
      <c r="B19" s="28" t="s">
        <v>45440</v>
      </c>
      <c r="C19" s="29">
        <v>35.0</v>
      </c>
      <c r="D19" s="28" t="s">
        <v>45441</v>
      </c>
      <c r="E19" s="28" t="s">
        <v>45442</v>
      </c>
      <c r="F19" s="27">
        <v>130.0</v>
      </c>
      <c r="G19" s="30">
        <v>3.5291305E7</v>
      </c>
    </row>
    <row r="20" ht="12.75" customHeight="1">
      <c r="A20" s="31">
        <v>329.0</v>
      </c>
      <c r="B20" s="32" t="s">
        <v>45443</v>
      </c>
      <c r="C20" s="33">
        <v>35.0</v>
      </c>
      <c r="D20" s="32" t="s">
        <v>45444</v>
      </c>
      <c r="E20" s="32" t="s">
        <v>45445</v>
      </c>
      <c r="F20" s="31">
        <v>142.0</v>
      </c>
      <c r="G20" s="34">
        <v>3.5291426E7</v>
      </c>
    </row>
    <row r="21" ht="12.75" customHeight="1">
      <c r="A21" s="27">
        <v>329.0</v>
      </c>
      <c r="B21" s="28" t="s">
        <v>45446</v>
      </c>
      <c r="C21" s="29">
        <v>35.0</v>
      </c>
      <c r="D21" s="28" t="s">
        <v>45447</v>
      </c>
      <c r="E21" s="28" t="s">
        <v>45448</v>
      </c>
      <c r="F21" s="27">
        <v>143.0</v>
      </c>
      <c r="G21" s="30">
        <v>3.5291439E7</v>
      </c>
    </row>
    <row r="22" ht="12.75" customHeight="1">
      <c r="A22" s="31">
        <v>230.0</v>
      </c>
      <c r="B22" s="32" t="s">
        <v>45449</v>
      </c>
      <c r="C22" s="33">
        <v>35.0</v>
      </c>
      <c r="D22" s="32" t="s">
        <v>45450</v>
      </c>
      <c r="E22" s="32" t="s">
        <v>45451</v>
      </c>
      <c r="F22" s="33">
        <v>4.0</v>
      </c>
      <c r="G22" s="34">
        <v>3.5300041E7</v>
      </c>
    </row>
    <row r="23" ht="12.75" customHeight="1">
      <c r="A23" s="27">
        <v>230.0</v>
      </c>
      <c r="B23" s="28" t="s">
        <v>45452</v>
      </c>
      <c r="C23" s="29">
        <v>35.0</v>
      </c>
      <c r="D23" s="28" t="s">
        <v>45453</v>
      </c>
      <c r="E23" s="28" t="s">
        <v>45454</v>
      </c>
      <c r="F23" s="29">
        <v>10.0</v>
      </c>
      <c r="G23" s="30">
        <v>3.5300104E7</v>
      </c>
    </row>
    <row r="24" ht="12.75" customHeight="1">
      <c r="A24" s="31">
        <v>230.0</v>
      </c>
      <c r="B24" s="32" t="s">
        <v>45455</v>
      </c>
      <c r="C24" s="33">
        <v>35.0</v>
      </c>
      <c r="D24" s="32" t="s">
        <v>45456</v>
      </c>
      <c r="E24" s="32" t="s">
        <v>45457</v>
      </c>
      <c r="F24" s="33">
        <v>28.0</v>
      </c>
      <c r="G24" s="34">
        <v>3.5300283E7</v>
      </c>
    </row>
    <row r="25" ht="12.75" customHeight="1">
      <c r="A25" s="27">
        <v>230.0</v>
      </c>
      <c r="B25" s="28" t="s">
        <v>45458</v>
      </c>
      <c r="C25" s="29">
        <v>35.0</v>
      </c>
      <c r="D25" s="28" t="s">
        <v>45459</v>
      </c>
      <c r="E25" s="28" t="s">
        <v>45460</v>
      </c>
      <c r="F25" s="29">
        <v>31.0</v>
      </c>
      <c r="G25" s="30">
        <v>3.5300317E7</v>
      </c>
    </row>
    <row r="26" ht="12.75" customHeight="1">
      <c r="A26" s="31">
        <v>230.0</v>
      </c>
      <c r="B26" s="32" t="s">
        <v>45461</v>
      </c>
      <c r="C26" s="33">
        <v>35.0</v>
      </c>
      <c r="D26" s="32" t="s">
        <v>45462</v>
      </c>
      <c r="E26" s="32" t="s">
        <v>45463</v>
      </c>
      <c r="F26" s="33">
        <v>37.0</v>
      </c>
      <c r="G26" s="34">
        <v>3.5300375E7</v>
      </c>
    </row>
    <row r="27" ht="12.75" customHeight="1">
      <c r="A27" s="27">
        <v>230.0</v>
      </c>
      <c r="B27" s="28" t="s">
        <v>45464</v>
      </c>
      <c r="C27" s="29">
        <v>35.0</v>
      </c>
      <c r="D27" s="28" t="s">
        <v>45465</v>
      </c>
      <c r="E27" s="28" t="s">
        <v>45466</v>
      </c>
      <c r="F27" s="29">
        <v>46.0</v>
      </c>
      <c r="G27" s="30">
        <v>3.5300467E7</v>
      </c>
    </row>
    <row r="28" ht="12.75" customHeight="1">
      <c r="A28" s="31">
        <v>230.0</v>
      </c>
      <c r="B28" s="32" t="s">
        <v>45467</v>
      </c>
      <c r="C28" s="33">
        <v>35.0</v>
      </c>
      <c r="D28" s="32" t="s">
        <v>45468</v>
      </c>
      <c r="E28" s="32" t="s">
        <v>45469</v>
      </c>
      <c r="F28" s="33">
        <v>49.0</v>
      </c>
      <c r="G28" s="34">
        <v>3.5300496E7</v>
      </c>
    </row>
    <row r="29" ht="12.75" customHeight="1">
      <c r="A29" s="27">
        <v>230.0</v>
      </c>
      <c r="B29" s="28" t="s">
        <v>45470</v>
      </c>
      <c r="C29" s="29">
        <v>35.0</v>
      </c>
      <c r="D29" s="28" t="s">
        <v>45471</v>
      </c>
      <c r="E29" s="28" t="s">
        <v>45472</v>
      </c>
      <c r="F29" s="29">
        <v>52.0</v>
      </c>
      <c r="G29" s="30">
        <v>3.530052E7</v>
      </c>
    </row>
    <row r="30" ht="12.75" customHeight="1">
      <c r="A30" s="31">
        <v>230.0</v>
      </c>
      <c r="B30" s="32" t="s">
        <v>45473</v>
      </c>
      <c r="C30" s="33">
        <v>35.0</v>
      </c>
      <c r="D30" s="32" t="s">
        <v>45474</v>
      </c>
      <c r="E30" s="32" t="s">
        <v>45475</v>
      </c>
      <c r="F30" s="33">
        <v>61.0</v>
      </c>
      <c r="G30" s="34">
        <v>3.5300612E7</v>
      </c>
    </row>
    <row r="31" ht="12.75" customHeight="1">
      <c r="A31" s="27">
        <v>230.0</v>
      </c>
      <c r="B31" s="28" t="s">
        <v>45476</v>
      </c>
      <c r="C31" s="29">
        <v>35.0</v>
      </c>
      <c r="D31" s="28" t="s">
        <v>45477</v>
      </c>
      <c r="E31" s="28" t="s">
        <v>45478</v>
      </c>
      <c r="F31" s="29">
        <v>64.0</v>
      </c>
      <c r="G31" s="30">
        <v>3.5300641E7</v>
      </c>
    </row>
    <row r="32" ht="12.75" customHeight="1">
      <c r="A32" s="31">
        <v>230.0</v>
      </c>
      <c r="B32" s="32" t="s">
        <v>45479</v>
      </c>
      <c r="C32" s="33">
        <v>35.0</v>
      </c>
      <c r="D32" s="32" t="s">
        <v>45480</v>
      </c>
      <c r="E32" s="32" t="s">
        <v>45481</v>
      </c>
      <c r="F32" s="33">
        <v>76.0</v>
      </c>
      <c r="G32" s="34">
        <v>3.5300762E7</v>
      </c>
    </row>
    <row r="33" ht="12.75" customHeight="1">
      <c r="A33" s="27">
        <v>230.0</v>
      </c>
      <c r="B33" s="28" t="s">
        <v>45482</v>
      </c>
      <c r="C33" s="29">
        <v>35.0</v>
      </c>
      <c r="D33" s="28" t="s">
        <v>45483</v>
      </c>
      <c r="E33" s="28" t="s">
        <v>45484</v>
      </c>
      <c r="F33" s="29">
        <v>91.0</v>
      </c>
      <c r="G33" s="30">
        <v>3.5300917E7</v>
      </c>
    </row>
    <row r="34" ht="12.75" customHeight="1">
      <c r="A34" s="31">
        <v>230.0</v>
      </c>
      <c r="B34" s="32" t="s">
        <v>45485</v>
      </c>
      <c r="C34" s="33">
        <v>35.0</v>
      </c>
      <c r="D34" s="32" t="s">
        <v>45486</v>
      </c>
      <c r="E34" s="32" t="s">
        <v>45487</v>
      </c>
      <c r="F34" s="33">
        <v>92.0</v>
      </c>
      <c r="G34" s="34">
        <v>3.530092E7</v>
      </c>
    </row>
    <row r="35" ht="12.75" customHeight="1">
      <c r="A35" s="27">
        <v>230.0</v>
      </c>
      <c r="B35" s="28" t="s">
        <v>45488</v>
      </c>
      <c r="C35" s="29">
        <v>35.0</v>
      </c>
      <c r="D35" s="28" t="s">
        <v>45489</v>
      </c>
      <c r="E35" s="28" t="s">
        <v>45490</v>
      </c>
      <c r="F35" s="29">
        <v>94.0</v>
      </c>
      <c r="G35" s="30">
        <v>3.5300946E7</v>
      </c>
    </row>
    <row r="36" ht="12.75" customHeight="1">
      <c r="A36" s="31">
        <v>230.0</v>
      </c>
      <c r="B36" s="32" t="s">
        <v>45491</v>
      </c>
      <c r="C36" s="33">
        <v>35.0</v>
      </c>
      <c r="D36" s="32" t="s">
        <v>45492</v>
      </c>
      <c r="E36" s="32" t="s">
        <v>45493</v>
      </c>
      <c r="F36" s="31">
        <v>114.0</v>
      </c>
      <c r="G36" s="34">
        <v>3.5301145E7</v>
      </c>
    </row>
    <row r="37" ht="12.75" customHeight="1">
      <c r="A37" s="27">
        <v>230.0</v>
      </c>
      <c r="B37" s="28" t="s">
        <v>45494</v>
      </c>
      <c r="C37" s="29">
        <v>35.0</v>
      </c>
      <c r="D37" s="28" t="s">
        <v>45495</v>
      </c>
      <c r="E37" s="28" t="s">
        <v>45496</v>
      </c>
      <c r="F37" s="27">
        <v>127.0</v>
      </c>
      <c r="G37" s="30">
        <v>3.5301279E7</v>
      </c>
    </row>
    <row r="38" ht="12.75" customHeight="1">
      <c r="A38" s="31">
        <v>230.0</v>
      </c>
      <c r="B38" s="32" t="s">
        <v>45497</v>
      </c>
      <c r="C38" s="33">
        <v>35.0</v>
      </c>
      <c r="D38" s="32" t="s">
        <v>45498</v>
      </c>
      <c r="E38" s="32" t="s">
        <v>45499</v>
      </c>
      <c r="F38" s="31">
        <v>145.0</v>
      </c>
      <c r="G38" s="34">
        <v>3.5301453E7</v>
      </c>
    </row>
    <row r="39" ht="12.75" customHeight="1">
      <c r="A39" s="27">
        <v>230.0</v>
      </c>
      <c r="B39" s="28" t="s">
        <v>45500</v>
      </c>
      <c r="C39" s="29">
        <v>35.0</v>
      </c>
      <c r="D39" s="28" t="s">
        <v>45501</v>
      </c>
      <c r="E39" s="28" t="s">
        <v>45502</v>
      </c>
      <c r="F39" s="27">
        <v>148.0</v>
      </c>
      <c r="G39" s="30">
        <v>3.5301482E7</v>
      </c>
    </row>
    <row r="40" ht="12.75" customHeight="1">
      <c r="A40" s="31">
        <v>133.0</v>
      </c>
      <c r="B40" s="32" t="s">
        <v>45503</v>
      </c>
      <c r="C40" s="33">
        <v>35.0</v>
      </c>
      <c r="D40" s="32" t="s">
        <v>45504</v>
      </c>
      <c r="E40" s="32" t="s">
        <v>45505</v>
      </c>
      <c r="F40" s="33">
        <v>4.0</v>
      </c>
      <c r="G40" s="34">
        <v>3.533004E7</v>
      </c>
    </row>
    <row r="41" ht="12.75" customHeight="1">
      <c r="A41" s="27">
        <v>133.0</v>
      </c>
      <c r="B41" s="28" t="s">
        <v>45506</v>
      </c>
      <c r="C41" s="29">
        <v>35.0</v>
      </c>
      <c r="D41" s="28" t="s">
        <v>45507</v>
      </c>
      <c r="E41" s="28" t="s">
        <v>45508</v>
      </c>
      <c r="F41" s="29">
        <v>7.0</v>
      </c>
      <c r="G41" s="30">
        <v>3.5330079E7</v>
      </c>
    </row>
    <row r="42" ht="12.75" customHeight="1">
      <c r="A42" s="31">
        <v>133.0</v>
      </c>
      <c r="B42" s="32" t="s">
        <v>45509</v>
      </c>
      <c r="C42" s="33">
        <v>35.0</v>
      </c>
      <c r="D42" s="32" t="s">
        <v>45510</v>
      </c>
      <c r="E42" s="32" t="s">
        <v>45511</v>
      </c>
      <c r="F42" s="33">
        <v>46.0</v>
      </c>
      <c r="G42" s="34">
        <v>3.5330466E7</v>
      </c>
    </row>
    <row r="43" ht="12.75" customHeight="1">
      <c r="A43" s="27">
        <v>133.0</v>
      </c>
      <c r="B43" s="28" t="s">
        <v>45512</v>
      </c>
      <c r="C43" s="29">
        <v>35.0</v>
      </c>
      <c r="D43" s="28" t="s">
        <v>45513</v>
      </c>
      <c r="E43" s="28" t="s">
        <v>45514</v>
      </c>
      <c r="F43" s="29">
        <v>67.0</v>
      </c>
      <c r="G43" s="30">
        <v>3.5330679E7</v>
      </c>
    </row>
    <row r="44" ht="12.75" customHeight="1">
      <c r="A44" s="31">
        <v>133.0</v>
      </c>
      <c r="B44" s="32" t="s">
        <v>45515</v>
      </c>
      <c r="C44" s="33">
        <v>35.0</v>
      </c>
      <c r="D44" s="32" t="s">
        <v>45516</v>
      </c>
      <c r="E44" s="32" t="s">
        <v>45517</v>
      </c>
      <c r="F44" s="33">
        <v>73.0</v>
      </c>
      <c r="G44" s="34">
        <v>3.5330732E7</v>
      </c>
    </row>
    <row r="45" ht="12.75" customHeight="1">
      <c r="A45" s="27">
        <v>133.0</v>
      </c>
      <c r="B45" s="28" t="s">
        <v>45518</v>
      </c>
      <c r="C45" s="29">
        <v>35.0</v>
      </c>
      <c r="D45" s="28" t="s">
        <v>45519</v>
      </c>
      <c r="E45" s="28" t="s">
        <v>45520</v>
      </c>
      <c r="F45" s="29">
        <v>79.0</v>
      </c>
      <c r="G45" s="30">
        <v>3.533079E7</v>
      </c>
    </row>
    <row r="46" ht="12.75" customHeight="1">
      <c r="A46" s="31">
        <v>133.0</v>
      </c>
      <c r="B46" s="32" t="s">
        <v>45521</v>
      </c>
      <c r="C46" s="33">
        <v>35.0</v>
      </c>
      <c r="D46" s="32" t="s">
        <v>45522</v>
      </c>
      <c r="E46" s="32" t="s">
        <v>45523</v>
      </c>
      <c r="F46" s="33">
        <v>82.0</v>
      </c>
      <c r="G46" s="34">
        <v>3.5330824E7</v>
      </c>
    </row>
    <row r="47" ht="12.75" customHeight="1">
      <c r="A47" s="27">
        <v>133.0</v>
      </c>
      <c r="B47" s="28" t="s">
        <v>45524</v>
      </c>
      <c r="C47" s="29">
        <v>35.0</v>
      </c>
      <c r="D47" s="28" t="s">
        <v>45525</v>
      </c>
      <c r="E47" s="28" t="s">
        <v>45526</v>
      </c>
      <c r="F47" s="29">
        <v>88.0</v>
      </c>
      <c r="G47" s="30">
        <v>3.5330882E7</v>
      </c>
    </row>
    <row r="48" ht="12.75" customHeight="1">
      <c r="A48" s="31">
        <v>133.0</v>
      </c>
      <c r="B48" s="32" t="s">
        <v>45527</v>
      </c>
      <c r="C48" s="33">
        <v>35.0</v>
      </c>
      <c r="D48" s="32" t="s">
        <v>45528</v>
      </c>
      <c r="E48" s="32" t="s">
        <v>45529</v>
      </c>
      <c r="F48" s="33">
        <v>93.0</v>
      </c>
      <c r="G48" s="34">
        <v>3.5330932E7</v>
      </c>
    </row>
    <row r="49" ht="12.75" customHeight="1">
      <c r="A49" s="27">
        <v>133.0</v>
      </c>
      <c r="B49" s="28" t="s">
        <v>45530</v>
      </c>
      <c r="C49" s="29">
        <v>35.0</v>
      </c>
      <c r="D49" s="28" t="s">
        <v>45531</v>
      </c>
      <c r="E49" s="28" t="s">
        <v>45532</v>
      </c>
      <c r="F49" s="29">
        <v>94.0</v>
      </c>
      <c r="G49" s="30">
        <v>3.5330945E7</v>
      </c>
    </row>
    <row r="50" ht="12.75" customHeight="1">
      <c r="A50" s="31">
        <v>133.0</v>
      </c>
      <c r="B50" s="32" t="s">
        <v>45533</v>
      </c>
      <c r="C50" s="33">
        <v>35.0</v>
      </c>
      <c r="D50" s="32" t="s">
        <v>45534</v>
      </c>
      <c r="E50" s="32" t="s">
        <v>45535</v>
      </c>
      <c r="F50" s="31">
        <v>106.0</v>
      </c>
      <c r="G50" s="34">
        <v>3.5331065E7</v>
      </c>
    </row>
    <row r="51" ht="12.75" customHeight="1">
      <c r="A51" s="27">
        <v>133.0</v>
      </c>
      <c r="B51" s="28" t="s">
        <v>45536</v>
      </c>
      <c r="C51" s="29">
        <v>35.0</v>
      </c>
      <c r="D51" s="28" t="s">
        <v>45537</v>
      </c>
      <c r="E51" s="28" t="s">
        <v>45538</v>
      </c>
      <c r="F51" s="27">
        <v>136.0</v>
      </c>
      <c r="G51" s="30">
        <v>3.533136E7</v>
      </c>
    </row>
    <row r="52" ht="12.75" customHeight="1">
      <c r="A52" s="31">
        <v>133.0</v>
      </c>
      <c r="B52" s="32" t="s">
        <v>45539</v>
      </c>
      <c r="C52" s="33">
        <v>35.0</v>
      </c>
      <c r="D52" s="32" t="s">
        <v>45540</v>
      </c>
      <c r="E52" s="32" t="s">
        <v>45541</v>
      </c>
      <c r="F52" s="31">
        <v>139.0</v>
      </c>
      <c r="G52" s="34">
        <v>3.5331399E7</v>
      </c>
    </row>
    <row r="53" ht="12.75" customHeight="1">
      <c r="A53" s="27">
        <v>133.0</v>
      </c>
      <c r="B53" s="28" t="s">
        <v>45542</v>
      </c>
      <c r="C53" s="29">
        <v>35.0</v>
      </c>
      <c r="D53" s="28" t="s">
        <v>45543</v>
      </c>
      <c r="E53" s="28" t="s">
        <v>45544</v>
      </c>
      <c r="F53" s="27">
        <v>142.0</v>
      </c>
      <c r="G53" s="30">
        <v>3.5331423E7</v>
      </c>
    </row>
    <row r="54" ht="12.75" customHeight="1">
      <c r="A54" s="31">
        <v>133.0</v>
      </c>
      <c r="B54" s="32" t="s">
        <v>45545</v>
      </c>
      <c r="C54" s="33">
        <v>35.0</v>
      </c>
      <c r="D54" s="32" t="s">
        <v>45546</v>
      </c>
      <c r="E54" s="32" t="s">
        <v>45547</v>
      </c>
      <c r="F54" s="31">
        <v>148.0</v>
      </c>
      <c r="G54" s="34">
        <v>3.5331481E7</v>
      </c>
    </row>
    <row r="55" ht="12.75" customHeight="1">
      <c r="A55" s="27">
        <v>133.0</v>
      </c>
      <c r="B55" s="28" t="s">
        <v>45548</v>
      </c>
      <c r="C55" s="29">
        <v>35.0</v>
      </c>
      <c r="D55" s="28" t="s">
        <v>45549</v>
      </c>
      <c r="E55" s="28" t="s">
        <v>45550</v>
      </c>
      <c r="F55" s="27">
        <v>160.0</v>
      </c>
      <c r="G55" s="30">
        <v>3.5331607E7</v>
      </c>
    </row>
    <row r="56" ht="12.75" customHeight="1">
      <c r="A56" s="31">
        <v>133.0</v>
      </c>
      <c r="B56" s="32" t="s">
        <v>45551</v>
      </c>
      <c r="C56" s="33">
        <v>35.0</v>
      </c>
      <c r="D56" s="32" t="s">
        <v>45552</v>
      </c>
      <c r="E56" s="32" t="s">
        <v>45553</v>
      </c>
      <c r="F56" s="31">
        <v>163.0</v>
      </c>
      <c r="G56" s="34">
        <v>3.5331636E7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435.0</v>
      </c>
      <c r="B1" s="28" t="s">
        <v>45554</v>
      </c>
      <c r="C1" s="29">
        <v>35.0</v>
      </c>
      <c r="D1" s="28" t="s">
        <v>45555</v>
      </c>
      <c r="E1" s="28" t="s">
        <v>45556</v>
      </c>
      <c r="F1" s="29">
        <v>4.0</v>
      </c>
      <c r="G1" s="30">
        <v>3.5350046E7</v>
      </c>
    </row>
    <row r="2" ht="12.75" customHeight="1">
      <c r="A2" s="31">
        <v>435.0</v>
      </c>
      <c r="B2" s="32" t="s">
        <v>45557</v>
      </c>
      <c r="C2" s="33">
        <v>35.0</v>
      </c>
      <c r="D2" s="32" t="s">
        <v>45558</v>
      </c>
      <c r="E2" s="32" t="s">
        <v>45559</v>
      </c>
      <c r="F2" s="33">
        <v>5.0</v>
      </c>
      <c r="G2" s="34">
        <v>3.5350059E7</v>
      </c>
    </row>
    <row r="3" ht="12.75" customHeight="1">
      <c r="A3" s="27">
        <v>435.0</v>
      </c>
      <c r="B3" s="28" t="s">
        <v>45560</v>
      </c>
      <c r="C3" s="29">
        <v>35.0</v>
      </c>
      <c r="D3" s="28" t="s">
        <v>45561</v>
      </c>
      <c r="E3" s="28" t="s">
        <v>45562</v>
      </c>
      <c r="F3" s="29">
        <v>10.0</v>
      </c>
      <c r="G3" s="30">
        <v>3.5350109E7</v>
      </c>
    </row>
    <row r="4" ht="12.75" customHeight="1">
      <c r="A4" s="31">
        <v>435.0</v>
      </c>
      <c r="B4" s="32" t="s">
        <v>45563</v>
      </c>
      <c r="C4" s="33">
        <v>35.0</v>
      </c>
      <c r="D4" s="32" t="s">
        <v>45564</v>
      </c>
      <c r="E4" s="32" t="s">
        <v>45565</v>
      </c>
      <c r="F4" s="33">
        <v>13.0</v>
      </c>
      <c r="G4" s="34">
        <v>3.5350138E7</v>
      </c>
    </row>
    <row r="5" ht="12.75" customHeight="1">
      <c r="A5" s="27">
        <v>435.0</v>
      </c>
      <c r="B5" s="28" t="s">
        <v>45566</v>
      </c>
      <c r="C5" s="29">
        <v>35.0</v>
      </c>
      <c r="D5" s="28" t="s">
        <v>45567</v>
      </c>
      <c r="E5" s="28" t="s">
        <v>45568</v>
      </c>
      <c r="F5" s="29">
        <v>19.0</v>
      </c>
      <c r="G5" s="30">
        <v>3.5350196E7</v>
      </c>
    </row>
    <row r="6" ht="12.75" customHeight="1">
      <c r="A6" s="31">
        <v>435.0</v>
      </c>
      <c r="B6" s="32" t="s">
        <v>45569</v>
      </c>
      <c r="C6" s="33">
        <v>35.0</v>
      </c>
      <c r="D6" s="32" t="s">
        <v>45570</v>
      </c>
      <c r="E6" s="32" t="s">
        <v>45571</v>
      </c>
      <c r="F6" s="33">
        <v>25.0</v>
      </c>
      <c r="G6" s="34">
        <v>3.5350259E7</v>
      </c>
    </row>
    <row r="7" ht="12.75" customHeight="1">
      <c r="A7" s="27">
        <v>435.0</v>
      </c>
      <c r="B7" s="28" t="s">
        <v>45572</v>
      </c>
      <c r="C7" s="29">
        <v>35.0</v>
      </c>
      <c r="D7" s="28" t="s">
        <v>45573</v>
      </c>
      <c r="E7" s="28" t="s">
        <v>45574</v>
      </c>
      <c r="F7" s="29">
        <v>31.0</v>
      </c>
      <c r="G7" s="30">
        <v>3.5350312E7</v>
      </c>
    </row>
    <row r="8" ht="12.75" customHeight="1">
      <c r="A8" s="31">
        <v>435.0</v>
      </c>
      <c r="B8" s="32" t="s">
        <v>45575</v>
      </c>
      <c r="C8" s="33">
        <v>35.0</v>
      </c>
      <c r="D8" s="32" t="s">
        <v>45576</v>
      </c>
      <c r="E8" s="32" t="s">
        <v>45577</v>
      </c>
      <c r="F8" s="33">
        <v>34.0</v>
      </c>
      <c r="G8" s="34">
        <v>3.5350341E7</v>
      </c>
    </row>
    <row r="9" ht="12.75" customHeight="1">
      <c r="A9" s="27">
        <v>435.0</v>
      </c>
      <c r="B9" s="28" t="s">
        <v>45578</v>
      </c>
      <c r="C9" s="29">
        <v>35.0</v>
      </c>
      <c r="D9" s="28" t="s">
        <v>45579</v>
      </c>
      <c r="E9" s="28" t="s">
        <v>45580</v>
      </c>
      <c r="F9" s="29">
        <v>37.0</v>
      </c>
      <c r="G9" s="30">
        <v>3.535037E7</v>
      </c>
    </row>
    <row r="10" ht="12.75" customHeight="1">
      <c r="A10" s="31">
        <v>435.0</v>
      </c>
      <c r="B10" s="32" t="s">
        <v>45581</v>
      </c>
      <c r="C10" s="33">
        <v>35.0</v>
      </c>
      <c r="D10" s="32" t="s">
        <v>45582</v>
      </c>
      <c r="E10" s="32" t="s">
        <v>45583</v>
      </c>
      <c r="F10" s="33">
        <v>43.0</v>
      </c>
      <c r="G10" s="34">
        <v>3.5350433E7</v>
      </c>
    </row>
    <row r="11" ht="12.75" customHeight="1">
      <c r="A11" s="27">
        <v>435.0</v>
      </c>
      <c r="B11" s="28" t="s">
        <v>45584</v>
      </c>
      <c r="C11" s="29">
        <v>35.0</v>
      </c>
      <c r="D11" s="28" t="s">
        <v>45585</v>
      </c>
      <c r="E11" s="28" t="s">
        <v>45586</v>
      </c>
      <c r="F11" s="29">
        <v>55.0</v>
      </c>
      <c r="G11" s="30">
        <v>3.5350554E7</v>
      </c>
    </row>
    <row r="12" ht="12.75" customHeight="1">
      <c r="A12" s="31">
        <v>435.0</v>
      </c>
      <c r="B12" s="32" t="s">
        <v>45587</v>
      </c>
      <c r="C12" s="33">
        <v>35.0</v>
      </c>
      <c r="D12" s="32" t="s">
        <v>45588</v>
      </c>
      <c r="E12" s="32" t="s">
        <v>45589</v>
      </c>
      <c r="F12" s="33">
        <v>58.0</v>
      </c>
      <c r="G12" s="34">
        <v>3.5350583E7</v>
      </c>
    </row>
    <row r="13" ht="12.75" customHeight="1">
      <c r="A13" s="27">
        <v>435.0</v>
      </c>
      <c r="B13" s="28" t="s">
        <v>45590</v>
      </c>
      <c r="C13" s="29">
        <v>35.0</v>
      </c>
      <c r="D13" s="28" t="s">
        <v>45591</v>
      </c>
      <c r="E13" s="28" t="s">
        <v>45592</v>
      </c>
      <c r="F13" s="29">
        <v>61.0</v>
      </c>
      <c r="G13" s="30">
        <v>3.5350617E7</v>
      </c>
    </row>
    <row r="14" ht="12.75" customHeight="1">
      <c r="A14" s="31">
        <v>435.0</v>
      </c>
      <c r="B14" s="32" t="s">
        <v>45593</v>
      </c>
      <c r="C14" s="33">
        <v>35.0</v>
      </c>
      <c r="D14" s="32" t="s">
        <v>45594</v>
      </c>
      <c r="E14" s="32" t="s">
        <v>45595</v>
      </c>
      <c r="F14" s="33">
        <v>64.0</v>
      </c>
      <c r="G14" s="34">
        <v>3.5350646E7</v>
      </c>
    </row>
    <row r="15" ht="12.75" customHeight="1">
      <c r="A15" s="27">
        <v>435.0</v>
      </c>
      <c r="B15" s="28" t="s">
        <v>45596</v>
      </c>
      <c r="C15" s="29">
        <v>35.0</v>
      </c>
      <c r="D15" s="28" t="s">
        <v>45597</v>
      </c>
      <c r="E15" s="28" t="s">
        <v>45598</v>
      </c>
      <c r="F15" s="29">
        <v>67.0</v>
      </c>
      <c r="G15" s="30">
        <v>3.5350675E7</v>
      </c>
    </row>
    <row r="16" ht="12.75" customHeight="1">
      <c r="A16" s="31">
        <v>435.0</v>
      </c>
      <c r="B16" s="32" t="s">
        <v>45599</v>
      </c>
      <c r="C16" s="33">
        <v>35.0</v>
      </c>
      <c r="D16" s="32" t="s">
        <v>45600</v>
      </c>
      <c r="E16" s="32" t="s">
        <v>45601</v>
      </c>
      <c r="F16" s="33">
        <v>73.0</v>
      </c>
      <c r="G16" s="34">
        <v>3.5350738E7</v>
      </c>
    </row>
    <row r="17" ht="12.75" customHeight="1">
      <c r="A17" s="27">
        <v>435.0</v>
      </c>
      <c r="B17" s="28" t="s">
        <v>45602</v>
      </c>
      <c r="C17" s="29">
        <v>35.0</v>
      </c>
      <c r="D17" s="28" t="s">
        <v>45603</v>
      </c>
      <c r="E17" s="28" t="s">
        <v>45604</v>
      </c>
      <c r="F17" s="29">
        <v>76.0</v>
      </c>
      <c r="G17" s="30">
        <v>3.5350767E7</v>
      </c>
    </row>
    <row r="18" ht="12.75" customHeight="1">
      <c r="A18" s="31">
        <v>435.0</v>
      </c>
      <c r="B18" s="32" t="s">
        <v>45605</v>
      </c>
      <c r="C18" s="33">
        <v>35.0</v>
      </c>
      <c r="D18" s="32" t="s">
        <v>45606</v>
      </c>
      <c r="E18" s="32" t="s">
        <v>45607</v>
      </c>
      <c r="F18" s="33">
        <v>88.0</v>
      </c>
      <c r="G18" s="34">
        <v>3.5350888E7</v>
      </c>
    </row>
    <row r="19" ht="12.75" customHeight="1">
      <c r="A19" s="27">
        <v>435.0</v>
      </c>
      <c r="B19" s="28" t="s">
        <v>45608</v>
      </c>
      <c r="C19" s="29">
        <v>35.0</v>
      </c>
      <c r="D19" s="28" t="s">
        <v>45609</v>
      </c>
      <c r="E19" s="28" t="s">
        <v>45610</v>
      </c>
      <c r="F19" s="29">
        <v>94.0</v>
      </c>
      <c r="G19" s="30">
        <v>3.5350941E7</v>
      </c>
    </row>
    <row r="20" ht="12.75" customHeight="1">
      <c r="A20" s="31">
        <v>435.0</v>
      </c>
      <c r="B20" s="32" t="s">
        <v>45611</v>
      </c>
      <c r="C20" s="33">
        <v>35.0</v>
      </c>
      <c r="D20" s="32" t="s">
        <v>45612</v>
      </c>
      <c r="E20" s="32" t="s">
        <v>45613</v>
      </c>
      <c r="F20" s="33">
        <v>97.0</v>
      </c>
      <c r="G20" s="34">
        <v>3.535097E7</v>
      </c>
    </row>
    <row r="21" ht="12.75" customHeight="1">
      <c r="A21" s="27">
        <v>435.0</v>
      </c>
      <c r="B21" s="28" t="s">
        <v>45614</v>
      </c>
      <c r="C21" s="29">
        <v>35.0</v>
      </c>
      <c r="D21" s="28" t="s">
        <v>45615</v>
      </c>
      <c r="E21" s="28" t="s">
        <v>45616</v>
      </c>
      <c r="F21" s="27">
        <v>103.0</v>
      </c>
      <c r="G21" s="30">
        <v>3.5351032E7</v>
      </c>
    </row>
    <row r="22" ht="12.75" customHeight="1">
      <c r="A22" s="31">
        <v>435.0</v>
      </c>
      <c r="B22" s="32" t="s">
        <v>45617</v>
      </c>
      <c r="C22" s="33">
        <v>35.0</v>
      </c>
      <c r="D22" s="32" t="s">
        <v>45618</v>
      </c>
      <c r="E22" s="32" t="s">
        <v>45619</v>
      </c>
      <c r="F22" s="31">
        <v>109.0</v>
      </c>
      <c r="G22" s="34">
        <v>3.535109E7</v>
      </c>
    </row>
    <row r="23" ht="12.75" customHeight="1">
      <c r="A23" s="27">
        <v>435.0</v>
      </c>
      <c r="B23" s="28" t="s">
        <v>45620</v>
      </c>
      <c r="C23" s="29">
        <v>35.0</v>
      </c>
      <c r="D23" s="28" t="s">
        <v>45621</v>
      </c>
      <c r="E23" s="28" t="s">
        <v>45622</v>
      </c>
      <c r="F23" s="27">
        <v>112.0</v>
      </c>
      <c r="G23" s="30">
        <v>3.5351124E7</v>
      </c>
    </row>
    <row r="24" ht="12.75" customHeight="1">
      <c r="A24" s="31">
        <v>836.0</v>
      </c>
      <c r="B24" s="32" t="s">
        <v>45623</v>
      </c>
      <c r="C24" s="33">
        <v>35.0</v>
      </c>
      <c r="D24" s="32" t="s">
        <v>45624</v>
      </c>
      <c r="E24" s="32" t="s">
        <v>45625</v>
      </c>
      <c r="F24" s="33">
        <v>4.0</v>
      </c>
      <c r="G24" s="34">
        <v>3.5360049E7</v>
      </c>
    </row>
    <row r="25" ht="12.75" customHeight="1">
      <c r="A25" s="27">
        <v>836.0</v>
      </c>
      <c r="B25" s="28" t="s">
        <v>45626</v>
      </c>
      <c r="C25" s="29">
        <v>35.0</v>
      </c>
      <c r="D25" s="28" t="s">
        <v>45627</v>
      </c>
      <c r="E25" s="28" t="s">
        <v>45628</v>
      </c>
      <c r="F25" s="29">
        <v>7.0</v>
      </c>
      <c r="G25" s="30">
        <v>3.5360078E7</v>
      </c>
    </row>
    <row r="26" ht="12.75" customHeight="1">
      <c r="A26" s="31">
        <v>836.0</v>
      </c>
      <c r="B26" s="32" t="s">
        <v>45629</v>
      </c>
      <c r="C26" s="33">
        <v>35.0</v>
      </c>
      <c r="D26" s="32" t="s">
        <v>45630</v>
      </c>
      <c r="E26" s="32" t="s">
        <v>45631</v>
      </c>
      <c r="F26" s="33">
        <v>13.0</v>
      </c>
      <c r="G26" s="34">
        <v>3.5360131E7</v>
      </c>
    </row>
    <row r="27" ht="12.75" customHeight="1">
      <c r="A27" s="27">
        <v>836.0</v>
      </c>
      <c r="B27" s="28" t="s">
        <v>45632</v>
      </c>
      <c r="C27" s="29">
        <v>35.0</v>
      </c>
      <c r="D27" s="28" t="s">
        <v>45633</v>
      </c>
      <c r="E27" s="28" t="s">
        <v>45634</v>
      </c>
      <c r="F27" s="29">
        <v>16.0</v>
      </c>
      <c r="G27" s="30">
        <v>3.536016E7</v>
      </c>
    </row>
    <row r="28" ht="12.75" customHeight="1">
      <c r="A28" s="31">
        <v>836.0</v>
      </c>
      <c r="B28" s="32" t="s">
        <v>45635</v>
      </c>
      <c r="C28" s="33">
        <v>35.0</v>
      </c>
      <c r="D28" s="32" t="s">
        <v>45636</v>
      </c>
      <c r="E28" s="32" t="s">
        <v>45637</v>
      </c>
      <c r="F28" s="33">
        <v>31.0</v>
      </c>
      <c r="G28" s="34">
        <v>3.5360315E7</v>
      </c>
    </row>
    <row r="29" ht="12.75" customHeight="1">
      <c r="A29" s="27">
        <v>836.0</v>
      </c>
      <c r="B29" s="28" t="s">
        <v>45638</v>
      </c>
      <c r="C29" s="29">
        <v>35.0</v>
      </c>
      <c r="D29" s="28" t="s">
        <v>45639</v>
      </c>
      <c r="E29" s="28" t="s">
        <v>45640</v>
      </c>
      <c r="F29" s="29">
        <v>34.0</v>
      </c>
      <c r="G29" s="30">
        <v>3.5360344E7</v>
      </c>
    </row>
    <row r="30" ht="12.75" customHeight="1">
      <c r="A30" s="31">
        <v>836.0</v>
      </c>
      <c r="B30" s="32" t="s">
        <v>45641</v>
      </c>
      <c r="C30" s="33">
        <v>35.0</v>
      </c>
      <c r="D30" s="32" t="s">
        <v>45642</v>
      </c>
      <c r="E30" s="32" t="s">
        <v>45643</v>
      </c>
      <c r="F30" s="33">
        <v>40.0</v>
      </c>
      <c r="G30" s="34">
        <v>3.5360407E7</v>
      </c>
    </row>
    <row r="31" ht="12.75" customHeight="1">
      <c r="A31" s="27">
        <v>836.0</v>
      </c>
      <c r="B31" s="28" t="s">
        <v>45644</v>
      </c>
      <c r="C31" s="29">
        <v>35.0</v>
      </c>
      <c r="D31" s="28" t="s">
        <v>45645</v>
      </c>
      <c r="E31" s="28" t="s">
        <v>45646</v>
      </c>
      <c r="F31" s="29">
        <v>55.0</v>
      </c>
      <c r="G31" s="30">
        <v>3.5360557E7</v>
      </c>
    </row>
    <row r="32" ht="12.75" customHeight="1">
      <c r="A32" s="31">
        <v>836.0</v>
      </c>
      <c r="B32" s="32" t="s">
        <v>45647</v>
      </c>
      <c r="C32" s="33">
        <v>35.0</v>
      </c>
      <c r="D32" s="32" t="s">
        <v>45648</v>
      </c>
      <c r="E32" s="32" t="s">
        <v>45649</v>
      </c>
      <c r="F32" s="33">
        <v>61.0</v>
      </c>
      <c r="G32" s="34">
        <v>3.536061E7</v>
      </c>
    </row>
    <row r="33" ht="12.75" customHeight="1">
      <c r="A33" s="27">
        <v>836.0</v>
      </c>
      <c r="B33" s="28" t="s">
        <v>45650</v>
      </c>
      <c r="C33" s="29">
        <v>35.0</v>
      </c>
      <c r="D33" s="28" t="s">
        <v>45651</v>
      </c>
      <c r="E33" s="28" t="s">
        <v>45652</v>
      </c>
      <c r="F33" s="29">
        <v>67.0</v>
      </c>
      <c r="G33" s="30">
        <v>3.5360678E7</v>
      </c>
    </row>
    <row r="34" ht="12.75" customHeight="1">
      <c r="A34" s="31">
        <v>836.0</v>
      </c>
      <c r="B34" s="32" t="s">
        <v>45653</v>
      </c>
      <c r="C34" s="33">
        <v>35.0</v>
      </c>
      <c r="D34" s="32" t="s">
        <v>45654</v>
      </c>
      <c r="E34" s="32" t="s">
        <v>45655</v>
      </c>
      <c r="F34" s="33">
        <v>73.0</v>
      </c>
      <c r="G34" s="34">
        <v>3.5360731E7</v>
      </c>
    </row>
    <row r="35" ht="12.75" customHeight="1">
      <c r="A35" s="27">
        <v>836.0</v>
      </c>
      <c r="B35" s="28" t="s">
        <v>45656</v>
      </c>
      <c r="C35" s="29">
        <v>35.0</v>
      </c>
      <c r="D35" s="28" t="s">
        <v>45657</v>
      </c>
      <c r="E35" s="28" t="s">
        <v>45658</v>
      </c>
      <c r="F35" s="29">
        <v>76.0</v>
      </c>
      <c r="G35" s="30">
        <v>3.536076E7</v>
      </c>
    </row>
    <row r="36" ht="12.75" customHeight="1">
      <c r="A36" s="31">
        <v>836.0</v>
      </c>
      <c r="B36" s="32" t="s">
        <v>45659</v>
      </c>
      <c r="C36" s="33">
        <v>35.0</v>
      </c>
      <c r="D36" s="32" t="s">
        <v>45660</v>
      </c>
      <c r="E36" s="32" t="s">
        <v>45661</v>
      </c>
      <c r="F36" s="33">
        <v>79.0</v>
      </c>
      <c r="G36" s="34">
        <v>3.5360799E7</v>
      </c>
    </row>
    <row r="37" ht="12.75" customHeight="1">
      <c r="A37" s="27">
        <v>836.0</v>
      </c>
      <c r="B37" s="28" t="s">
        <v>45662</v>
      </c>
      <c r="C37" s="29">
        <v>35.0</v>
      </c>
      <c r="D37" s="28" t="s">
        <v>45663</v>
      </c>
      <c r="E37" s="28" t="s">
        <v>45664</v>
      </c>
      <c r="F37" s="29">
        <v>82.0</v>
      </c>
      <c r="G37" s="30">
        <v>3.5360823E7</v>
      </c>
    </row>
    <row r="38" ht="12.75" customHeight="1">
      <c r="A38" s="31">
        <v>836.0</v>
      </c>
      <c r="B38" s="32" t="s">
        <v>45665</v>
      </c>
      <c r="C38" s="33">
        <v>35.0</v>
      </c>
      <c r="D38" s="32" t="s">
        <v>45666</v>
      </c>
      <c r="E38" s="32" t="s">
        <v>45667</v>
      </c>
      <c r="F38" s="33">
        <v>85.0</v>
      </c>
      <c r="G38" s="34">
        <v>3.5360852E7</v>
      </c>
    </row>
    <row r="39" ht="12.75" customHeight="1">
      <c r="A39" s="27">
        <v>836.0</v>
      </c>
      <c r="B39" s="28" t="s">
        <v>45668</v>
      </c>
      <c r="C39" s="29">
        <v>35.0</v>
      </c>
      <c r="D39" s="28" t="s">
        <v>45669</v>
      </c>
      <c r="E39" s="28" t="s">
        <v>45670</v>
      </c>
      <c r="F39" s="29">
        <v>88.0</v>
      </c>
      <c r="G39" s="30">
        <v>3.5360881E7</v>
      </c>
    </row>
    <row r="40" ht="12.75" customHeight="1">
      <c r="A40" s="31">
        <v>836.0</v>
      </c>
      <c r="B40" s="32" t="s">
        <v>45671</v>
      </c>
      <c r="C40" s="33">
        <v>35.0</v>
      </c>
      <c r="D40" s="32" t="s">
        <v>45672</v>
      </c>
      <c r="E40" s="32" t="s">
        <v>45673</v>
      </c>
      <c r="F40" s="33">
        <v>91.0</v>
      </c>
      <c r="G40" s="34">
        <v>3.5360915E7</v>
      </c>
    </row>
    <row r="41" ht="12.75" customHeight="1">
      <c r="A41" s="27">
        <v>836.0</v>
      </c>
      <c r="B41" s="28" t="s">
        <v>45674</v>
      </c>
      <c r="C41" s="29">
        <v>35.0</v>
      </c>
      <c r="D41" s="28" t="s">
        <v>45675</v>
      </c>
      <c r="E41" s="28" t="s">
        <v>45676</v>
      </c>
      <c r="F41" s="29">
        <v>97.0</v>
      </c>
      <c r="G41" s="30">
        <v>3.5360973E7</v>
      </c>
    </row>
    <row r="42" ht="12.75" customHeight="1">
      <c r="A42" s="31">
        <v>836.0</v>
      </c>
      <c r="B42" s="32" t="s">
        <v>45677</v>
      </c>
      <c r="C42" s="33">
        <v>35.0</v>
      </c>
      <c r="D42" s="32" t="s">
        <v>45678</v>
      </c>
      <c r="E42" s="32" t="s">
        <v>45679</v>
      </c>
      <c r="F42" s="31">
        <v>106.0</v>
      </c>
      <c r="G42" s="34">
        <v>3.5361064E7</v>
      </c>
    </row>
    <row r="43" ht="12.75" customHeight="1">
      <c r="A43" s="27">
        <v>836.0</v>
      </c>
      <c r="B43" s="28" t="s">
        <v>45680</v>
      </c>
      <c r="C43" s="29">
        <v>35.0</v>
      </c>
      <c r="D43" s="28" t="s">
        <v>45681</v>
      </c>
      <c r="E43" s="28" t="s">
        <v>45682</v>
      </c>
      <c r="F43" s="27">
        <v>109.0</v>
      </c>
      <c r="G43" s="30">
        <v>3.5361093E7</v>
      </c>
    </row>
    <row r="44" ht="12.75" customHeight="1">
      <c r="A44" s="31">
        <v>836.0</v>
      </c>
      <c r="B44" s="32" t="s">
        <v>45683</v>
      </c>
      <c r="C44" s="33">
        <v>35.0</v>
      </c>
      <c r="D44" s="32" t="s">
        <v>45684</v>
      </c>
      <c r="E44" s="32" t="s">
        <v>45685</v>
      </c>
      <c r="F44" s="31">
        <v>112.0</v>
      </c>
      <c r="G44" s="34">
        <v>3.5361127E7</v>
      </c>
    </row>
    <row r="45" ht="12.75" customHeight="1">
      <c r="A45" s="27">
        <v>836.0</v>
      </c>
      <c r="B45" s="28" t="s">
        <v>45686</v>
      </c>
      <c r="C45" s="29">
        <v>35.0</v>
      </c>
      <c r="D45" s="28" t="s">
        <v>45687</v>
      </c>
      <c r="E45" s="28" t="s">
        <v>45688</v>
      </c>
      <c r="F45" s="27">
        <v>115.0</v>
      </c>
      <c r="G45" s="30">
        <v>3.5361156E7</v>
      </c>
    </row>
    <row r="46" ht="12.75" customHeight="1">
      <c r="A46" s="31">
        <v>836.0</v>
      </c>
      <c r="B46" s="32" t="s">
        <v>45689</v>
      </c>
      <c r="C46" s="33">
        <v>35.0</v>
      </c>
      <c r="D46" s="32" t="s">
        <v>45690</v>
      </c>
      <c r="E46" s="32" t="s">
        <v>45691</v>
      </c>
      <c r="F46" s="31">
        <v>118.0</v>
      </c>
      <c r="G46" s="34">
        <v>3.5361185E7</v>
      </c>
    </row>
    <row r="47" ht="12.75" customHeight="1">
      <c r="A47" s="27">
        <v>836.0</v>
      </c>
      <c r="B47" s="28" t="s">
        <v>45692</v>
      </c>
      <c r="C47" s="29">
        <v>35.0</v>
      </c>
      <c r="D47" s="28" t="s">
        <v>45693</v>
      </c>
      <c r="E47" s="28" t="s">
        <v>45694</v>
      </c>
      <c r="F47" s="27">
        <v>124.0</v>
      </c>
      <c r="G47" s="30">
        <v>3.5361248E7</v>
      </c>
    </row>
    <row r="48" ht="12.75" customHeight="1">
      <c r="A48" s="31">
        <v>836.0</v>
      </c>
      <c r="B48" s="32" t="s">
        <v>45695</v>
      </c>
      <c r="C48" s="33">
        <v>35.0</v>
      </c>
      <c r="D48" s="32" t="s">
        <v>45696</v>
      </c>
      <c r="E48" s="32" t="s">
        <v>45697</v>
      </c>
      <c r="F48" s="31">
        <v>127.0</v>
      </c>
      <c r="G48" s="34">
        <v>3.5361277E7</v>
      </c>
    </row>
    <row r="49" ht="12.75" customHeight="1">
      <c r="A49" s="27">
        <v>836.0</v>
      </c>
      <c r="B49" s="28" t="s">
        <v>45698</v>
      </c>
      <c r="C49" s="29">
        <v>35.0</v>
      </c>
      <c r="D49" s="28" t="s">
        <v>45699</v>
      </c>
      <c r="E49" s="28" t="s">
        <v>45700</v>
      </c>
      <c r="F49" s="27">
        <v>130.0</v>
      </c>
      <c r="G49" s="30">
        <v>3.5361301E7</v>
      </c>
    </row>
    <row r="50" ht="12.75" customHeight="1">
      <c r="A50" s="31">
        <v>836.0</v>
      </c>
      <c r="B50" s="32" t="s">
        <v>45701</v>
      </c>
      <c r="C50" s="33">
        <v>35.0</v>
      </c>
      <c r="D50" s="32" t="s">
        <v>45702</v>
      </c>
      <c r="E50" s="32" t="s">
        <v>45703</v>
      </c>
      <c r="F50" s="31">
        <v>136.0</v>
      </c>
      <c r="G50" s="34">
        <v>3.5361369E7</v>
      </c>
    </row>
    <row r="51" ht="12.75" customHeight="1">
      <c r="A51" s="27">
        <v>836.0</v>
      </c>
      <c r="B51" s="28" t="s">
        <v>45704</v>
      </c>
      <c r="C51" s="29">
        <v>35.0</v>
      </c>
      <c r="D51" s="28" t="s">
        <v>45705</v>
      </c>
      <c r="E51" s="28" t="s">
        <v>45706</v>
      </c>
      <c r="F51" s="27">
        <v>142.0</v>
      </c>
      <c r="G51" s="30">
        <v>3.5361422E7</v>
      </c>
    </row>
    <row r="52" ht="12.75" customHeight="1">
      <c r="A52" s="31">
        <v>836.0</v>
      </c>
      <c r="B52" s="32" t="s">
        <v>45707</v>
      </c>
      <c r="C52" s="33">
        <v>35.0</v>
      </c>
      <c r="D52" s="32" t="s">
        <v>45708</v>
      </c>
      <c r="E52" s="32" t="s">
        <v>45709</v>
      </c>
      <c r="F52" s="31">
        <v>145.0</v>
      </c>
      <c r="G52" s="34">
        <v>3.5361451E7</v>
      </c>
    </row>
    <row r="53" ht="12.75" customHeight="1">
      <c r="A53" s="27">
        <v>836.0</v>
      </c>
      <c r="B53" s="28" t="s">
        <v>45710</v>
      </c>
      <c r="C53" s="29">
        <v>35.0</v>
      </c>
      <c r="D53" s="28" t="s">
        <v>45711</v>
      </c>
      <c r="E53" s="28" t="s">
        <v>45712</v>
      </c>
      <c r="F53" s="27">
        <v>154.0</v>
      </c>
      <c r="G53" s="30">
        <v>3.5361543E7</v>
      </c>
    </row>
    <row r="54" ht="12.75" customHeight="1">
      <c r="A54" s="31">
        <v>139.0</v>
      </c>
      <c r="B54" s="32" t="s">
        <v>45713</v>
      </c>
      <c r="C54" s="33">
        <v>35.0</v>
      </c>
      <c r="D54" s="32" t="s">
        <v>45714</v>
      </c>
      <c r="E54" s="32" t="s">
        <v>45715</v>
      </c>
      <c r="F54" s="33">
        <v>4.0</v>
      </c>
      <c r="G54" s="34">
        <v>3.5390048E7</v>
      </c>
    </row>
    <row r="55" ht="12.75" customHeight="1">
      <c r="A55" s="27">
        <v>139.0</v>
      </c>
      <c r="B55" s="28" t="s">
        <v>45716</v>
      </c>
      <c r="C55" s="29">
        <v>35.0</v>
      </c>
      <c r="D55" s="28" t="s">
        <v>45717</v>
      </c>
      <c r="E55" s="28" t="s">
        <v>45718</v>
      </c>
      <c r="F55" s="29">
        <v>6.0</v>
      </c>
      <c r="G55" s="30">
        <v>3.5390064E7</v>
      </c>
    </row>
    <row r="56" ht="12.75" customHeight="1">
      <c r="A56" s="31">
        <v>139.0</v>
      </c>
      <c r="B56" s="32" t="s">
        <v>45719</v>
      </c>
      <c r="C56" s="33">
        <v>35.0</v>
      </c>
      <c r="D56" s="32" t="s">
        <v>45720</v>
      </c>
      <c r="E56" s="32" t="s">
        <v>45721</v>
      </c>
      <c r="F56" s="33">
        <v>8.0</v>
      </c>
      <c r="G56" s="34">
        <v>3.539008E7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139.0</v>
      </c>
      <c r="B1" s="28" t="s">
        <v>45722</v>
      </c>
      <c r="C1" s="29">
        <v>35.0</v>
      </c>
      <c r="D1" s="28" t="s">
        <v>45723</v>
      </c>
      <c r="E1" s="28" t="s">
        <v>45724</v>
      </c>
      <c r="F1" s="29">
        <v>9.0</v>
      </c>
      <c r="G1" s="30">
        <v>3.5390093E7</v>
      </c>
    </row>
    <row r="2" ht="12.75" customHeight="1">
      <c r="A2" s="31">
        <v>139.0</v>
      </c>
      <c r="B2" s="32" t="s">
        <v>45725</v>
      </c>
      <c r="C2" s="33">
        <v>35.0</v>
      </c>
      <c r="D2" s="32" t="s">
        <v>45726</v>
      </c>
      <c r="E2" s="32" t="s">
        <v>45727</v>
      </c>
      <c r="F2" s="33">
        <v>10.0</v>
      </c>
      <c r="G2" s="34">
        <v>3.5390101E7</v>
      </c>
    </row>
    <row r="3" ht="12.75" customHeight="1">
      <c r="A3" s="27">
        <v>139.0</v>
      </c>
      <c r="B3" s="28" t="s">
        <v>45728</v>
      </c>
      <c r="C3" s="29">
        <v>35.0</v>
      </c>
      <c r="D3" s="28" t="s">
        <v>45729</v>
      </c>
      <c r="E3" s="28" t="s">
        <v>45730</v>
      </c>
      <c r="F3" s="29">
        <v>11.0</v>
      </c>
      <c r="G3" s="30">
        <v>3.5390114E7</v>
      </c>
    </row>
    <row r="4" ht="12.75" customHeight="1">
      <c r="A4" s="31">
        <v>139.0</v>
      </c>
      <c r="B4" s="32" t="s">
        <v>45731</v>
      </c>
      <c r="C4" s="33">
        <v>35.0</v>
      </c>
      <c r="D4" s="32" t="s">
        <v>45732</v>
      </c>
      <c r="E4" s="32" t="s">
        <v>45733</v>
      </c>
      <c r="F4" s="33">
        <v>12.0</v>
      </c>
      <c r="G4" s="34">
        <v>3.5390127E7</v>
      </c>
    </row>
    <row r="5" ht="12.75" customHeight="1">
      <c r="A5" s="27">
        <v>139.0</v>
      </c>
      <c r="B5" s="28" t="s">
        <v>45734</v>
      </c>
      <c r="C5" s="29">
        <v>35.0</v>
      </c>
      <c r="D5" s="28" t="s">
        <v>45735</v>
      </c>
      <c r="E5" s="28" t="s">
        <v>45736</v>
      </c>
      <c r="F5" s="29">
        <v>14.0</v>
      </c>
      <c r="G5" s="30">
        <v>3.5390143E7</v>
      </c>
    </row>
    <row r="6" ht="12.75" customHeight="1">
      <c r="A6" s="31">
        <v>139.0</v>
      </c>
      <c r="B6" s="32" t="s">
        <v>45737</v>
      </c>
      <c r="C6" s="33">
        <v>35.0</v>
      </c>
      <c r="D6" s="32" t="s">
        <v>45738</v>
      </c>
      <c r="E6" s="32" t="s">
        <v>45739</v>
      </c>
      <c r="F6" s="33">
        <v>22.0</v>
      </c>
      <c r="G6" s="34">
        <v>3.5390222E7</v>
      </c>
    </row>
    <row r="7" ht="12.75" customHeight="1">
      <c r="A7" s="27">
        <v>139.0</v>
      </c>
      <c r="B7" s="28" t="s">
        <v>45740</v>
      </c>
      <c r="C7" s="29">
        <v>35.0</v>
      </c>
      <c r="D7" s="28" t="s">
        <v>45741</v>
      </c>
      <c r="E7" s="28" t="s">
        <v>45742</v>
      </c>
      <c r="F7" s="29">
        <v>25.0</v>
      </c>
      <c r="G7" s="30">
        <v>3.5390251E7</v>
      </c>
    </row>
    <row r="8" ht="12.75" customHeight="1">
      <c r="A8" s="31">
        <v>139.0</v>
      </c>
      <c r="B8" s="32" t="s">
        <v>45743</v>
      </c>
      <c r="C8" s="33">
        <v>35.0</v>
      </c>
      <c r="D8" s="32" t="s">
        <v>45744</v>
      </c>
      <c r="E8" s="32" t="s">
        <v>45745</v>
      </c>
      <c r="F8" s="33">
        <v>28.0</v>
      </c>
      <c r="G8" s="34">
        <v>3.539028E7</v>
      </c>
    </row>
    <row r="9" ht="12.75" customHeight="1">
      <c r="A9" s="27">
        <v>139.0</v>
      </c>
      <c r="B9" s="28" t="s">
        <v>45746</v>
      </c>
      <c r="C9" s="29">
        <v>35.0</v>
      </c>
      <c r="D9" s="28" t="s">
        <v>45747</v>
      </c>
      <c r="E9" s="28" t="s">
        <v>45748</v>
      </c>
      <c r="F9" s="29">
        <v>31.0</v>
      </c>
      <c r="G9" s="30">
        <v>3.5390314E7</v>
      </c>
    </row>
    <row r="10" ht="12.75" customHeight="1">
      <c r="A10" s="31">
        <v>139.0</v>
      </c>
      <c r="B10" s="32" t="s">
        <v>45749</v>
      </c>
      <c r="C10" s="33">
        <v>35.0</v>
      </c>
      <c r="D10" s="32" t="s">
        <v>45750</v>
      </c>
      <c r="E10" s="32" t="s">
        <v>45751</v>
      </c>
      <c r="F10" s="33">
        <v>34.0</v>
      </c>
      <c r="G10" s="34">
        <v>3.5390343E7</v>
      </c>
    </row>
    <row r="11" ht="12.75" customHeight="1">
      <c r="A11" s="27">
        <v>139.0</v>
      </c>
      <c r="B11" s="28" t="s">
        <v>45752</v>
      </c>
      <c r="C11" s="29">
        <v>35.0</v>
      </c>
      <c r="D11" s="28" t="s">
        <v>45753</v>
      </c>
      <c r="E11" s="28" t="s">
        <v>45754</v>
      </c>
      <c r="F11" s="29">
        <v>35.0</v>
      </c>
      <c r="G11" s="30">
        <v>3.5390356E7</v>
      </c>
    </row>
    <row r="12" ht="12.75" customHeight="1">
      <c r="A12" s="31">
        <v>139.0</v>
      </c>
      <c r="B12" s="32" t="s">
        <v>45755</v>
      </c>
      <c r="C12" s="33">
        <v>35.0</v>
      </c>
      <c r="D12" s="32" t="s">
        <v>45756</v>
      </c>
      <c r="E12" s="32" t="s">
        <v>45757</v>
      </c>
      <c r="F12" s="33">
        <v>46.0</v>
      </c>
      <c r="G12" s="34">
        <v>3.5390464E7</v>
      </c>
    </row>
    <row r="13" ht="12.75" customHeight="1">
      <c r="A13" s="27">
        <v>139.0</v>
      </c>
      <c r="B13" s="28" t="s">
        <v>45758</v>
      </c>
      <c r="C13" s="29">
        <v>35.0</v>
      </c>
      <c r="D13" s="28" t="s">
        <v>45759</v>
      </c>
      <c r="E13" s="28" t="s">
        <v>45760</v>
      </c>
      <c r="F13" s="29">
        <v>67.0</v>
      </c>
      <c r="G13" s="30">
        <v>3.5390677E7</v>
      </c>
    </row>
    <row r="14" ht="12.75" customHeight="1">
      <c r="A14" s="31">
        <v>139.0</v>
      </c>
      <c r="B14" s="32" t="s">
        <v>45761</v>
      </c>
      <c r="C14" s="33">
        <v>35.0</v>
      </c>
      <c r="D14" s="32" t="s">
        <v>45762</v>
      </c>
      <c r="E14" s="32" t="s">
        <v>45763</v>
      </c>
      <c r="F14" s="33">
        <v>70.0</v>
      </c>
      <c r="G14" s="34">
        <v>3.5390701E7</v>
      </c>
    </row>
    <row r="15" ht="12.75" customHeight="1">
      <c r="A15" s="27">
        <v>139.0</v>
      </c>
      <c r="B15" s="28" t="s">
        <v>45764</v>
      </c>
      <c r="C15" s="29">
        <v>35.0</v>
      </c>
      <c r="D15" s="28" t="s">
        <v>45765</v>
      </c>
      <c r="E15" s="28" t="s">
        <v>45766</v>
      </c>
      <c r="F15" s="29">
        <v>76.0</v>
      </c>
      <c r="G15" s="30">
        <v>3.5390769E7</v>
      </c>
    </row>
    <row r="16" ht="12.75" customHeight="1">
      <c r="A16" s="31">
        <v>139.0</v>
      </c>
      <c r="B16" s="32" t="s">
        <v>45767</v>
      </c>
      <c r="C16" s="33">
        <v>35.0</v>
      </c>
      <c r="D16" s="32" t="s">
        <v>45768</v>
      </c>
      <c r="E16" s="32" t="s">
        <v>45769</v>
      </c>
      <c r="F16" s="33">
        <v>85.0</v>
      </c>
      <c r="G16" s="34">
        <v>3.5390851E7</v>
      </c>
    </row>
    <row r="17" ht="12.75" customHeight="1">
      <c r="A17" s="27">
        <v>139.0</v>
      </c>
      <c r="B17" s="28" t="s">
        <v>45770</v>
      </c>
      <c r="C17" s="29">
        <v>35.0</v>
      </c>
      <c r="D17" s="28" t="s">
        <v>45771</v>
      </c>
      <c r="E17" s="28" t="s">
        <v>45772</v>
      </c>
      <c r="F17" s="27">
        <v>118.0</v>
      </c>
      <c r="G17" s="30">
        <v>3.5391184E7</v>
      </c>
    </row>
    <row r="18" ht="12.75" customHeight="1">
      <c r="A18" s="31">
        <v>139.0</v>
      </c>
      <c r="B18" s="32" t="s">
        <v>45773</v>
      </c>
      <c r="C18" s="33">
        <v>35.0</v>
      </c>
      <c r="D18" s="32" t="s">
        <v>45774</v>
      </c>
      <c r="E18" s="32" t="s">
        <v>45775</v>
      </c>
      <c r="F18" s="31">
        <v>127.0</v>
      </c>
      <c r="G18" s="34">
        <v>3.5391276E7</v>
      </c>
    </row>
    <row r="19" ht="12.75" customHeight="1">
      <c r="A19" s="27">
        <v>139.0</v>
      </c>
      <c r="B19" s="28" t="s">
        <v>45776</v>
      </c>
      <c r="C19" s="29">
        <v>35.0</v>
      </c>
      <c r="D19" s="28" t="s">
        <v>45777</v>
      </c>
      <c r="E19" s="28" t="s">
        <v>45778</v>
      </c>
      <c r="F19" s="27">
        <v>130.0</v>
      </c>
      <c r="G19" s="30">
        <v>3.53913E7</v>
      </c>
    </row>
    <row r="20" ht="12.75" customHeight="1">
      <c r="A20" s="31">
        <v>139.0</v>
      </c>
      <c r="B20" s="32" t="s">
        <v>45779</v>
      </c>
      <c r="C20" s="33">
        <v>35.0</v>
      </c>
      <c r="D20" s="32" t="s">
        <v>45780</v>
      </c>
      <c r="E20" s="32" t="s">
        <v>45781</v>
      </c>
      <c r="F20" s="31">
        <v>133.0</v>
      </c>
      <c r="G20" s="34">
        <v>3.5391339E7</v>
      </c>
    </row>
    <row r="21" ht="12.75" customHeight="1">
      <c r="A21" s="27">
        <v>139.0</v>
      </c>
      <c r="B21" s="28" t="s">
        <v>45782</v>
      </c>
      <c r="C21" s="29">
        <v>35.0</v>
      </c>
      <c r="D21" s="28" t="s">
        <v>45783</v>
      </c>
      <c r="E21" s="28" t="s">
        <v>45784</v>
      </c>
      <c r="F21" s="27">
        <v>136.0</v>
      </c>
      <c r="G21" s="30">
        <v>3.5391368E7</v>
      </c>
    </row>
    <row r="22" ht="12.75" customHeight="1">
      <c r="A22" s="31">
        <v>139.0</v>
      </c>
      <c r="B22" s="32" t="s">
        <v>45785</v>
      </c>
      <c r="C22" s="33">
        <v>35.0</v>
      </c>
      <c r="D22" s="32" t="s">
        <v>45786</v>
      </c>
      <c r="E22" s="32" t="s">
        <v>45787</v>
      </c>
      <c r="F22" s="31">
        <v>148.0</v>
      </c>
      <c r="G22" s="34">
        <v>3.5391489E7</v>
      </c>
    </row>
    <row r="23" ht="12.75" customHeight="1">
      <c r="A23" s="27">
        <v>139.0</v>
      </c>
      <c r="B23" s="28" t="s">
        <v>45788</v>
      </c>
      <c r="C23" s="29">
        <v>35.0</v>
      </c>
      <c r="D23" s="28" t="s">
        <v>45789</v>
      </c>
      <c r="E23" s="28" t="s">
        <v>45790</v>
      </c>
      <c r="F23" s="27">
        <v>155.0</v>
      </c>
      <c r="G23" s="30">
        <v>3.5391555E7</v>
      </c>
    </row>
    <row r="24" ht="12.75" customHeight="1">
      <c r="A24" s="31">
        <v>139.0</v>
      </c>
      <c r="B24" s="32" t="s">
        <v>45791</v>
      </c>
      <c r="C24" s="33">
        <v>35.0</v>
      </c>
      <c r="D24" s="32" t="s">
        <v>45792</v>
      </c>
      <c r="E24" s="32" t="s">
        <v>45793</v>
      </c>
      <c r="F24" s="31">
        <v>157.0</v>
      </c>
      <c r="G24" s="34">
        <v>3.5391571E7</v>
      </c>
    </row>
    <row r="25" ht="12.75" customHeight="1">
      <c r="A25" s="27">
        <v>139.0</v>
      </c>
      <c r="B25" s="28" t="s">
        <v>45794</v>
      </c>
      <c r="C25" s="29">
        <v>35.0</v>
      </c>
      <c r="D25" s="28" t="s">
        <v>45795</v>
      </c>
      <c r="E25" s="28" t="s">
        <v>45796</v>
      </c>
      <c r="F25" s="27">
        <v>160.0</v>
      </c>
      <c r="G25" s="30">
        <v>3.5391605E7</v>
      </c>
    </row>
    <row r="26" ht="12.75" customHeight="1">
      <c r="A26" s="31">
        <v>139.0</v>
      </c>
      <c r="B26" s="32" t="s">
        <v>45797</v>
      </c>
      <c r="C26" s="33">
        <v>35.0</v>
      </c>
      <c r="D26" s="32" t="s">
        <v>45798</v>
      </c>
      <c r="E26" s="32" t="s">
        <v>45799</v>
      </c>
      <c r="F26" s="31">
        <v>169.0</v>
      </c>
      <c r="G26" s="34">
        <v>3.5391692E7</v>
      </c>
    </row>
    <row r="27" ht="12.75" customHeight="1">
      <c r="A27" s="27">
        <v>441.0</v>
      </c>
      <c r="B27" s="28" t="s">
        <v>45800</v>
      </c>
      <c r="C27" s="29">
        <v>35.0</v>
      </c>
      <c r="D27" s="28" t="s">
        <v>45801</v>
      </c>
      <c r="E27" s="28" t="s">
        <v>45802</v>
      </c>
      <c r="F27" s="29">
        <v>5.0</v>
      </c>
      <c r="G27" s="30">
        <v>3.5410052E7</v>
      </c>
    </row>
    <row r="28" ht="12.75" customHeight="1">
      <c r="A28" s="31">
        <v>441.0</v>
      </c>
      <c r="B28" s="32" t="s">
        <v>45803</v>
      </c>
      <c r="C28" s="33">
        <v>35.0</v>
      </c>
      <c r="D28" s="32" t="s">
        <v>45804</v>
      </c>
      <c r="E28" s="32" t="s">
        <v>45805</v>
      </c>
      <c r="F28" s="33">
        <v>6.0</v>
      </c>
      <c r="G28" s="34">
        <v>3.5410065E7</v>
      </c>
    </row>
    <row r="29" ht="12.75" customHeight="1">
      <c r="A29" s="27">
        <v>441.0</v>
      </c>
      <c r="B29" s="28" t="s">
        <v>45806</v>
      </c>
      <c r="C29" s="29">
        <v>35.0</v>
      </c>
      <c r="D29" s="28" t="s">
        <v>45807</v>
      </c>
      <c r="E29" s="28" t="s">
        <v>45808</v>
      </c>
      <c r="F29" s="29">
        <v>13.0</v>
      </c>
      <c r="G29" s="30">
        <v>3.5410131E7</v>
      </c>
    </row>
    <row r="30" ht="12.75" customHeight="1">
      <c r="A30" s="31">
        <v>441.0</v>
      </c>
      <c r="B30" s="32" t="s">
        <v>45809</v>
      </c>
      <c r="C30" s="33">
        <v>35.0</v>
      </c>
      <c r="D30" s="32" t="s">
        <v>45810</v>
      </c>
      <c r="E30" s="32" t="s">
        <v>45811</v>
      </c>
      <c r="F30" s="33">
        <v>55.0</v>
      </c>
      <c r="G30" s="34">
        <v>3.5410557E7</v>
      </c>
    </row>
    <row r="31" ht="12.75" customHeight="1">
      <c r="A31" s="27">
        <v>441.0</v>
      </c>
      <c r="B31" s="28" t="s">
        <v>45812</v>
      </c>
      <c r="C31" s="29">
        <v>35.0</v>
      </c>
      <c r="D31" s="28" t="s">
        <v>45813</v>
      </c>
      <c r="E31" s="28" t="s">
        <v>45814</v>
      </c>
      <c r="F31" s="29">
        <v>76.0</v>
      </c>
      <c r="G31" s="30">
        <v>3.541076E7</v>
      </c>
    </row>
    <row r="32" ht="12.75" customHeight="1">
      <c r="A32" s="31">
        <v>441.0</v>
      </c>
      <c r="B32" s="32" t="s">
        <v>45815</v>
      </c>
      <c r="C32" s="33">
        <v>35.0</v>
      </c>
      <c r="D32" s="32" t="s">
        <v>45816</v>
      </c>
      <c r="E32" s="32" t="s">
        <v>45817</v>
      </c>
      <c r="F32" s="33">
        <v>82.0</v>
      </c>
      <c r="G32" s="34">
        <v>3.5410823E7</v>
      </c>
    </row>
    <row r="33" ht="12.75" customHeight="1">
      <c r="A33" s="27">
        <v>441.0</v>
      </c>
      <c r="B33" s="28" t="s">
        <v>45818</v>
      </c>
      <c r="C33" s="29">
        <v>35.0</v>
      </c>
      <c r="D33" s="28" t="s">
        <v>45819</v>
      </c>
      <c r="E33" s="28" t="s">
        <v>45820</v>
      </c>
      <c r="F33" s="29">
        <v>91.0</v>
      </c>
      <c r="G33" s="30">
        <v>3.5410915E7</v>
      </c>
    </row>
    <row r="34" ht="12.75" customHeight="1">
      <c r="A34" s="31">
        <v>441.0</v>
      </c>
      <c r="B34" s="32" t="s">
        <v>45821</v>
      </c>
      <c r="C34" s="33">
        <v>35.0</v>
      </c>
      <c r="D34" s="32" t="s">
        <v>45822</v>
      </c>
      <c r="E34" s="32" t="s">
        <v>45823</v>
      </c>
      <c r="F34" s="33">
        <v>94.0</v>
      </c>
      <c r="G34" s="34">
        <v>3.5410944E7</v>
      </c>
    </row>
    <row r="35" ht="12.75" customHeight="1">
      <c r="A35" s="27">
        <v>441.0</v>
      </c>
      <c r="B35" s="28" t="s">
        <v>45824</v>
      </c>
      <c r="C35" s="29">
        <v>35.0</v>
      </c>
      <c r="D35" s="28" t="s">
        <v>45825</v>
      </c>
      <c r="E35" s="28" t="s">
        <v>45826</v>
      </c>
      <c r="F35" s="27">
        <v>109.0</v>
      </c>
      <c r="G35" s="30">
        <v>3.5411093E7</v>
      </c>
    </row>
    <row r="36" ht="12.75" customHeight="1">
      <c r="A36" s="31">
        <v>441.0</v>
      </c>
      <c r="B36" s="32" t="s">
        <v>45827</v>
      </c>
      <c r="C36" s="33">
        <v>35.0</v>
      </c>
      <c r="D36" s="32" t="s">
        <v>45828</v>
      </c>
      <c r="E36" s="32" t="s">
        <v>45829</v>
      </c>
      <c r="F36" s="31">
        <v>118.0</v>
      </c>
      <c r="G36" s="34">
        <v>3.5411185E7</v>
      </c>
    </row>
    <row r="37" ht="12.75" customHeight="1">
      <c r="A37" s="27">
        <v>441.0</v>
      </c>
      <c r="B37" s="28" t="s">
        <v>45830</v>
      </c>
      <c r="C37" s="29">
        <v>35.0</v>
      </c>
      <c r="D37" s="28" t="s">
        <v>45831</v>
      </c>
      <c r="E37" s="28" t="s">
        <v>45832</v>
      </c>
      <c r="F37" s="27">
        <v>121.0</v>
      </c>
      <c r="G37" s="30">
        <v>3.5411219E7</v>
      </c>
    </row>
    <row r="38" ht="12.75" customHeight="1">
      <c r="A38" s="31">
        <v>441.0</v>
      </c>
      <c r="B38" s="32" t="s">
        <v>45833</v>
      </c>
      <c r="C38" s="33">
        <v>35.0</v>
      </c>
      <c r="D38" s="32" t="s">
        <v>45834</v>
      </c>
      <c r="E38" s="32" t="s">
        <v>45835</v>
      </c>
      <c r="F38" s="31">
        <v>127.0</v>
      </c>
      <c r="G38" s="34">
        <v>3.5411277E7</v>
      </c>
    </row>
    <row r="39" ht="12.75" customHeight="1">
      <c r="A39" s="27">
        <v>441.0</v>
      </c>
      <c r="B39" s="28" t="s">
        <v>45836</v>
      </c>
      <c r="C39" s="29">
        <v>35.0</v>
      </c>
      <c r="D39" s="28" t="s">
        <v>45837</v>
      </c>
      <c r="E39" s="28" t="s">
        <v>45838</v>
      </c>
      <c r="F39" s="27">
        <v>130.0</v>
      </c>
      <c r="G39" s="30">
        <v>3.5411301E7</v>
      </c>
    </row>
    <row r="40" ht="12.75" customHeight="1">
      <c r="A40" s="31">
        <v>441.0</v>
      </c>
      <c r="B40" s="32" t="s">
        <v>45839</v>
      </c>
      <c r="C40" s="33">
        <v>35.0</v>
      </c>
      <c r="D40" s="32" t="s">
        <v>45840</v>
      </c>
      <c r="E40" s="32" t="s">
        <v>45841</v>
      </c>
      <c r="F40" s="31">
        <v>136.0</v>
      </c>
      <c r="G40" s="34">
        <v>3.5411369E7</v>
      </c>
    </row>
    <row r="41" ht="12.75" customHeight="1">
      <c r="A41" s="27">
        <v>441.0</v>
      </c>
      <c r="B41" s="28" t="s">
        <v>45842</v>
      </c>
      <c r="C41" s="29">
        <v>35.0</v>
      </c>
      <c r="D41" s="28" t="s">
        <v>45843</v>
      </c>
      <c r="E41" s="28" t="s">
        <v>45844</v>
      </c>
      <c r="F41" s="27">
        <v>148.0</v>
      </c>
      <c r="G41" s="30">
        <v>3.541148E7</v>
      </c>
    </row>
    <row r="42" ht="12.75" customHeight="1">
      <c r="A42" s="31">
        <v>441.0</v>
      </c>
      <c r="B42" s="32" t="s">
        <v>45845</v>
      </c>
      <c r="C42" s="33">
        <v>35.0</v>
      </c>
      <c r="D42" s="32" t="s">
        <v>45846</v>
      </c>
      <c r="E42" s="32" t="s">
        <v>45847</v>
      </c>
      <c r="F42" s="31">
        <v>151.0</v>
      </c>
      <c r="G42" s="34">
        <v>3.5411514E7</v>
      </c>
    </row>
    <row r="43" ht="12.75" customHeight="1">
      <c r="A43" s="27">
        <v>441.0</v>
      </c>
      <c r="B43" s="28" t="s">
        <v>45848</v>
      </c>
      <c r="C43" s="29">
        <v>35.0</v>
      </c>
      <c r="D43" s="28" t="s">
        <v>45849</v>
      </c>
      <c r="E43" s="28" t="s">
        <v>45850</v>
      </c>
      <c r="F43" s="27">
        <v>154.0</v>
      </c>
      <c r="G43" s="30">
        <v>3.5411543E7</v>
      </c>
    </row>
    <row r="44" ht="12.75" customHeight="1">
      <c r="A44" s="31">
        <v>441.0</v>
      </c>
      <c r="B44" s="32" t="s">
        <v>45851</v>
      </c>
      <c r="C44" s="33">
        <v>35.0</v>
      </c>
      <c r="D44" s="32" t="s">
        <v>45852</v>
      </c>
      <c r="E44" s="32" t="s">
        <v>45853</v>
      </c>
      <c r="F44" s="31">
        <v>160.0</v>
      </c>
      <c r="G44" s="34">
        <v>3.5411606E7</v>
      </c>
    </row>
    <row r="45" ht="12.75" customHeight="1">
      <c r="A45" s="27">
        <v>441.0</v>
      </c>
      <c r="B45" s="28" t="s">
        <v>45854</v>
      </c>
      <c r="C45" s="29">
        <v>35.0</v>
      </c>
      <c r="D45" s="28" t="s">
        <v>45855</v>
      </c>
      <c r="E45" s="28" t="s">
        <v>45856</v>
      </c>
      <c r="F45" s="27">
        <v>163.0</v>
      </c>
      <c r="G45" s="30">
        <v>3.5411635E7</v>
      </c>
    </row>
    <row r="46" ht="12.75" customHeight="1">
      <c r="A46" s="31">
        <v>441.0</v>
      </c>
      <c r="B46" s="32" t="s">
        <v>45857</v>
      </c>
      <c r="C46" s="33">
        <v>35.0</v>
      </c>
      <c r="D46" s="32" t="s">
        <v>45858</v>
      </c>
      <c r="E46" s="32" t="s">
        <v>45859</v>
      </c>
      <c r="F46" s="31">
        <v>202.0</v>
      </c>
      <c r="G46" s="34">
        <v>3.5412021E7</v>
      </c>
    </row>
    <row r="47" ht="12.75" customHeight="1">
      <c r="A47" s="27">
        <v>441.0</v>
      </c>
      <c r="B47" s="28" t="s">
        <v>45860</v>
      </c>
      <c r="C47" s="29">
        <v>35.0</v>
      </c>
      <c r="D47" s="28" t="s">
        <v>45861</v>
      </c>
      <c r="E47" s="28" t="s">
        <v>45862</v>
      </c>
      <c r="F47" s="27">
        <v>214.0</v>
      </c>
      <c r="G47" s="30">
        <v>3.5412142E7</v>
      </c>
    </row>
    <row r="48" ht="12.75" customHeight="1">
      <c r="A48" s="31">
        <v>441.0</v>
      </c>
      <c r="B48" s="32" t="s">
        <v>45863</v>
      </c>
      <c r="C48" s="33">
        <v>35.0</v>
      </c>
      <c r="D48" s="32" t="s">
        <v>45864</v>
      </c>
      <c r="E48" s="32" t="s">
        <v>45865</v>
      </c>
      <c r="F48" s="31">
        <v>220.0</v>
      </c>
      <c r="G48" s="34">
        <v>3.5412205E7</v>
      </c>
    </row>
    <row r="49" ht="12.75" customHeight="1">
      <c r="A49" s="27">
        <v>342.0</v>
      </c>
      <c r="B49" s="28" t="s">
        <v>45866</v>
      </c>
      <c r="C49" s="29">
        <v>35.0</v>
      </c>
      <c r="D49" s="28" t="s">
        <v>45867</v>
      </c>
      <c r="E49" s="28" t="s">
        <v>45868</v>
      </c>
      <c r="F49" s="29">
        <v>4.0</v>
      </c>
      <c r="G49" s="30">
        <v>3.5420042E7</v>
      </c>
    </row>
    <row r="50" ht="12.75" customHeight="1">
      <c r="A50" s="31">
        <v>342.0</v>
      </c>
      <c r="B50" s="32" t="s">
        <v>45869</v>
      </c>
      <c r="C50" s="33">
        <v>35.0</v>
      </c>
      <c r="D50" s="32" t="s">
        <v>45870</v>
      </c>
      <c r="E50" s="32" t="s">
        <v>45871</v>
      </c>
      <c r="F50" s="33">
        <v>10.0</v>
      </c>
      <c r="G50" s="34">
        <v>3.5420105E7</v>
      </c>
    </row>
    <row r="51" ht="12.75" customHeight="1">
      <c r="A51" s="27">
        <v>342.0</v>
      </c>
      <c r="B51" s="28" t="s">
        <v>45872</v>
      </c>
      <c r="C51" s="29">
        <v>35.0</v>
      </c>
      <c r="D51" s="28" t="s">
        <v>45873</v>
      </c>
      <c r="E51" s="28" t="s">
        <v>45874</v>
      </c>
      <c r="F51" s="29">
        <v>13.0</v>
      </c>
      <c r="G51" s="30">
        <v>3.5420134E7</v>
      </c>
    </row>
    <row r="52" ht="12.75" customHeight="1">
      <c r="A52" s="31">
        <v>342.0</v>
      </c>
      <c r="B52" s="32" t="s">
        <v>45875</v>
      </c>
      <c r="C52" s="33">
        <v>35.0</v>
      </c>
      <c r="D52" s="32" t="s">
        <v>45876</v>
      </c>
      <c r="E52" s="32" t="s">
        <v>45877</v>
      </c>
      <c r="F52" s="33">
        <v>16.0</v>
      </c>
      <c r="G52" s="34">
        <v>3.5420163E7</v>
      </c>
    </row>
    <row r="53" ht="12.75" customHeight="1">
      <c r="A53" s="27">
        <v>342.0</v>
      </c>
      <c r="B53" s="28" t="s">
        <v>45878</v>
      </c>
      <c r="C53" s="29">
        <v>35.0</v>
      </c>
      <c r="D53" s="28" t="s">
        <v>45879</v>
      </c>
      <c r="E53" s="28" t="s">
        <v>45880</v>
      </c>
      <c r="F53" s="29">
        <v>19.0</v>
      </c>
      <c r="G53" s="30">
        <v>3.5420192E7</v>
      </c>
    </row>
    <row r="54" ht="12.75" customHeight="1">
      <c r="A54" s="31">
        <v>342.0</v>
      </c>
      <c r="B54" s="32" t="s">
        <v>45881</v>
      </c>
      <c r="C54" s="33">
        <v>35.0</v>
      </c>
      <c r="D54" s="32" t="s">
        <v>45882</v>
      </c>
      <c r="E54" s="32" t="s">
        <v>45883</v>
      </c>
      <c r="F54" s="33">
        <v>25.0</v>
      </c>
      <c r="G54" s="34">
        <v>3.5420255E7</v>
      </c>
    </row>
    <row r="55" ht="12.75" customHeight="1">
      <c r="A55" s="27">
        <v>342.0</v>
      </c>
      <c r="B55" s="28" t="s">
        <v>45884</v>
      </c>
      <c r="C55" s="29">
        <v>35.0</v>
      </c>
      <c r="D55" s="28" t="s">
        <v>45885</v>
      </c>
      <c r="E55" s="28" t="s">
        <v>45886</v>
      </c>
      <c r="F55" s="29">
        <v>27.0</v>
      </c>
      <c r="G55" s="30">
        <v>3.5420271E7</v>
      </c>
    </row>
    <row r="56" ht="12.75" customHeight="1">
      <c r="A56" s="31">
        <v>342.0</v>
      </c>
      <c r="B56" s="32" t="s">
        <v>45887</v>
      </c>
      <c r="C56" s="33">
        <v>35.0</v>
      </c>
      <c r="D56" s="32" t="s">
        <v>45888</v>
      </c>
      <c r="E56" s="32" t="s">
        <v>45889</v>
      </c>
      <c r="F56" s="33">
        <v>31.0</v>
      </c>
      <c r="G56" s="34">
        <v>3.5420318E7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342.0</v>
      </c>
      <c r="B1" s="28" t="s">
        <v>45890</v>
      </c>
      <c r="C1" s="29">
        <v>35.0</v>
      </c>
      <c r="D1" s="28" t="s">
        <v>45891</v>
      </c>
      <c r="E1" s="28" t="s">
        <v>45892</v>
      </c>
      <c r="F1" s="29">
        <v>34.0</v>
      </c>
      <c r="G1" s="30">
        <v>3.5420347E7</v>
      </c>
    </row>
    <row r="2" ht="12.75" customHeight="1">
      <c r="A2" s="31">
        <v>342.0</v>
      </c>
      <c r="B2" s="32" t="s">
        <v>45893</v>
      </c>
      <c r="C2" s="33">
        <v>35.0</v>
      </c>
      <c r="D2" s="32" t="s">
        <v>45894</v>
      </c>
      <c r="E2" s="32" t="s">
        <v>45895</v>
      </c>
      <c r="F2" s="33">
        <v>37.0</v>
      </c>
      <c r="G2" s="34">
        <v>3.5420376E7</v>
      </c>
    </row>
    <row r="3" ht="12.75" customHeight="1">
      <c r="A3" s="27">
        <v>342.0</v>
      </c>
      <c r="B3" s="28" t="s">
        <v>45896</v>
      </c>
      <c r="C3" s="29">
        <v>35.0</v>
      </c>
      <c r="D3" s="28" t="s">
        <v>45897</v>
      </c>
      <c r="E3" s="28" t="s">
        <v>45898</v>
      </c>
      <c r="F3" s="29">
        <v>43.0</v>
      </c>
      <c r="G3" s="30">
        <v>3.5420439E7</v>
      </c>
    </row>
    <row r="4" ht="12.75" customHeight="1">
      <c r="A4" s="31">
        <v>342.0</v>
      </c>
      <c r="B4" s="32" t="s">
        <v>45899</v>
      </c>
      <c r="C4" s="33">
        <v>35.0</v>
      </c>
      <c r="D4" s="32" t="s">
        <v>45900</v>
      </c>
      <c r="E4" s="32" t="s">
        <v>45901</v>
      </c>
      <c r="F4" s="33">
        <v>49.0</v>
      </c>
      <c r="G4" s="34">
        <v>3.5420497E7</v>
      </c>
    </row>
    <row r="5" ht="12.75" customHeight="1">
      <c r="A5" s="27">
        <v>342.0</v>
      </c>
      <c r="B5" s="28" t="s">
        <v>45902</v>
      </c>
      <c r="C5" s="29">
        <v>35.0</v>
      </c>
      <c r="D5" s="28" t="s">
        <v>45903</v>
      </c>
      <c r="E5" s="28" t="s">
        <v>45904</v>
      </c>
      <c r="F5" s="29">
        <v>55.0</v>
      </c>
      <c r="G5" s="30">
        <v>3.542055E7</v>
      </c>
    </row>
    <row r="6" ht="12.75" customHeight="1">
      <c r="A6" s="31">
        <v>342.0</v>
      </c>
      <c r="B6" s="32" t="s">
        <v>45905</v>
      </c>
      <c r="C6" s="33">
        <v>35.0</v>
      </c>
      <c r="D6" s="32" t="s">
        <v>45906</v>
      </c>
      <c r="E6" s="32" t="s">
        <v>45907</v>
      </c>
      <c r="F6" s="33">
        <v>58.0</v>
      </c>
      <c r="G6" s="34">
        <v>3.5420589E7</v>
      </c>
    </row>
    <row r="7" ht="12.75" customHeight="1">
      <c r="A7" s="27">
        <v>342.0</v>
      </c>
      <c r="B7" s="28" t="s">
        <v>45908</v>
      </c>
      <c r="C7" s="29">
        <v>35.0</v>
      </c>
      <c r="D7" s="28" t="s">
        <v>45909</v>
      </c>
      <c r="E7" s="28" t="s">
        <v>45910</v>
      </c>
      <c r="F7" s="29">
        <v>67.0</v>
      </c>
      <c r="G7" s="30">
        <v>3.5420671E7</v>
      </c>
    </row>
    <row r="8" ht="12.75" customHeight="1">
      <c r="A8" s="31">
        <v>444.0</v>
      </c>
      <c r="B8" s="32" t="s">
        <v>45911</v>
      </c>
      <c r="C8" s="33">
        <v>35.0</v>
      </c>
      <c r="D8" s="32" t="s">
        <v>45912</v>
      </c>
      <c r="E8" s="32" t="s">
        <v>45913</v>
      </c>
      <c r="F8" s="33">
        <v>4.0</v>
      </c>
      <c r="G8" s="34">
        <v>3.5440048E7</v>
      </c>
    </row>
    <row r="9" ht="12.75" customHeight="1">
      <c r="A9" s="27">
        <v>444.0</v>
      </c>
      <c r="B9" s="28" t="s">
        <v>45914</v>
      </c>
      <c r="C9" s="29">
        <v>35.0</v>
      </c>
      <c r="D9" s="28" t="s">
        <v>45915</v>
      </c>
      <c r="E9" s="28" t="s">
        <v>45916</v>
      </c>
      <c r="F9" s="29">
        <v>13.0</v>
      </c>
      <c r="G9" s="30">
        <v>3.544013E7</v>
      </c>
    </row>
    <row r="10" ht="12.75" customHeight="1">
      <c r="A10" s="31">
        <v>444.0</v>
      </c>
      <c r="B10" s="32" t="s">
        <v>45917</v>
      </c>
      <c r="C10" s="33">
        <v>35.0</v>
      </c>
      <c r="D10" s="32" t="s">
        <v>45918</v>
      </c>
      <c r="E10" s="32" t="s">
        <v>45919</v>
      </c>
      <c r="F10" s="33">
        <v>16.0</v>
      </c>
      <c r="G10" s="34">
        <v>3.5440169E7</v>
      </c>
    </row>
    <row r="11" ht="12.75" customHeight="1">
      <c r="A11" s="27">
        <v>444.0</v>
      </c>
      <c r="B11" s="28" t="s">
        <v>45920</v>
      </c>
      <c r="C11" s="29">
        <v>35.0</v>
      </c>
      <c r="D11" s="28" t="s">
        <v>45921</v>
      </c>
      <c r="E11" s="28" t="s">
        <v>45922</v>
      </c>
      <c r="F11" s="29">
        <v>19.0</v>
      </c>
      <c r="G11" s="30">
        <v>3.5440198E7</v>
      </c>
    </row>
    <row r="12" ht="12.75" customHeight="1">
      <c r="A12" s="31">
        <v>444.0</v>
      </c>
      <c r="B12" s="32" t="s">
        <v>45923</v>
      </c>
      <c r="C12" s="33">
        <v>35.0</v>
      </c>
      <c r="D12" s="32" t="s">
        <v>45924</v>
      </c>
      <c r="E12" s="32" t="s">
        <v>45925</v>
      </c>
      <c r="F12" s="33">
        <v>43.0</v>
      </c>
      <c r="G12" s="34">
        <v>3.5440435E7</v>
      </c>
    </row>
    <row r="13" ht="12.75" customHeight="1">
      <c r="A13" s="27">
        <v>444.0</v>
      </c>
      <c r="B13" s="28" t="s">
        <v>45926</v>
      </c>
      <c r="C13" s="29">
        <v>35.0</v>
      </c>
      <c r="D13" s="28" t="s">
        <v>45927</v>
      </c>
      <c r="E13" s="28" t="s">
        <v>45928</v>
      </c>
      <c r="F13" s="29">
        <v>49.0</v>
      </c>
      <c r="G13" s="30">
        <v>3.5440493E7</v>
      </c>
    </row>
    <row r="14" ht="12.75" customHeight="1">
      <c r="A14" s="31">
        <v>444.0</v>
      </c>
      <c r="B14" s="32" t="s">
        <v>45929</v>
      </c>
      <c r="C14" s="33">
        <v>35.0</v>
      </c>
      <c r="D14" s="32" t="s">
        <v>45930</v>
      </c>
      <c r="E14" s="32" t="s">
        <v>45931</v>
      </c>
      <c r="F14" s="33">
        <v>64.0</v>
      </c>
      <c r="G14" s="34">
        <v>3.5440648E7</v>
      </c>
    </row>
    <row r="15" ht="12.75" customHeight="1">
      <c r="A15" s="27">
        <v>444.0</v>
      </c>
      <c r="B15" s="28" t="s">
        <v>45932</v>
      </c>
      <c r="C15" s="29">
        <v>35.0</v>
      </c>
      <c r="D15" s="28" t="s">
        <v>45933</v>
      </c>
      <c r="E15" s="28" t="s">
        <v>45934</v>
      </c>
      <c r="F15" s="29">
        <v>76.0</v>
      </c>
      <c r="G15" s="30">
        <v>3.5440769E7</v>
      </c>
    </row>
    <row r="16" ht="12.75" customHeight="1">
      <c r="A16" s="31">
        <v>444.0</v>
      </c>
      <c r="B16" s="32" t="s">
        <v>45935</v>
      </c>
      <c r="C16" s="33">
        <v>35.0</v>
      </c>
      <c r="D16" s="32" t="s">
        <v>45936</v>
      </c>
      <c r="E16" s="32" t="s">
        <v>45937</v>
      </c>
      <c r="F16" s="33">
        <v>79.0</v>
      </c>
      <c r="G16" s="34">
        <v>3.5440798E7</v>
      </c>
    </row>
    <row r="17" ht="12.75" customHeight="1">
      <c r="A17" s="27">
        <v>444.0</v>
      </c>
      <c r="B17" s="28" t="s">
        <v>45938</v>
      </c>
      <c r="C17" s="29">
        <v>35.0</v>
      </c>
      <c r="D17" s="28" t="s">
        <v>45939</v>
      </c>
      <c r="E17" s="28" t="s">
        <v>45940</v>
      </c>
      <c r="F17" s="29">
        <v>88.0</v>
      </c>
      <c r="G17" s="30">
        <v>3.544088E7</v>
      </c>
    </row>
    <row r="18" ht="12.75" customHeight="1">
      <c r="A18" s="31">
        <v>444.0</v>
      </c>
      <c r="B18" s="32" t="s">
        <v>45941</v>
      </c>
      <c r="C18" s="33">
        <v>35.0</v>
      </c>
      <c r="D18" s="32" t="s">
        <v>45942</v>
      </c>
      <c r="E18" s="32" t="s">
        <v>45943</v>
      </c>
      <c r="F18" s="33">
        <v>94.0</v>
      </c>
      <c r="G18" s="34">
        <v>3.5440943E7</v>
      </c>
    </row>
    <row r="19" ht="12.75" customHeight="1">
      <c r="A19" s="27">
        <v>444.0</v>
      </c>
      <c r="B19" s="28" t="s">
        <v>45944</v>
      </c>
      <c r="C19" s="29">
        <v>35.0</v>
      </c>
      <c r="D19" s="28" t="s">
        <v>45945</v>
      </c>
      <c r="E19" s="28" t="s">
        <v>45946</v>
      </c>
      <c r="F19" s="27">
        <v>100.0</v>
      </c>
      <c r="G19" s="30">
        <v>3.5441005E7</v>
      </c>
    </row>
    <row r="20" ht="12.75" customHeight="1">
      <c r="A20" s="31">
        <v>444.0</v>
      </c>
      <c r="B20" s="32" t="s">
        <v>45947</v>
      </c>
      <c r="C20" s="33">
        <v>35.0</v>
      </c>
      <c r="D20" s="32" t="s">
        <v>45948</v>
      </c>
      <c r="E20" s="32" t="s">
        <v>45949</v>
      </c>
      <c r="F20" s="31">
        <v>109.0</v>
      </c>
      <c r="G20" s="34">
        <v>3.5441092E7</v>
      </c>
    </row>
    <row r="21" ht="12.75" customHeight="1">
      <c r="A21" s="27">
        <v>444.0</v>
      </c>
      <c r="B21" s="28" t="s">
        <v>45950</v>
      </c>
      <c r="C21" s="29">
        <v>35.0</v>
      </c>
      <c r="D21" s="28" t="s">
        <v>45951</v>
      </c>
      <c r="E21" s="28" t="s">
        <v>45952</v>
      </c>
      <c r="F21" s="27">
        <v>118.0</v>
      </c>
      <c r="G21" s="30">
        <v>3.5441184E7</v>
      </c>
    </row>
    <row r="22" ht="12.75" customHeight="1">
      <c r="A22" s="31">
        <v>444.0</v>
      </c>
      <c r="B22" s="32" t="s">
        <v>45953</v>
      </c>
      <c r="C22" s="33">
        <v>35.0</v>
      </c>
      <c r="D22" s="32" t="s">
        <v>45954</v>
      </c>
      <c r="E22" s="32" t="s">
        <v>45955</v>
      </c>
      <c r="F22" s="31">
        <v>127.0</v>
      </c>
      <c r="G22" s="34">
        <v>3.5441276E7</v>
      </c>
    </row>
    <row r="23" ht="12.75" customHeight="1">
      <c r="A23" s="27">
        <v>246.0</v>
      </c>
      <c r="B23" s="28" t="s">
        <v>45956</v>
      </c>
      <c r="C23" s="29">
        <v>35.0</v>
      </c>
      <c r="D23" s="28" t="s">
        <v>45957</v>
      </c>
      <c r="E23" s="28" t="s">
        <v>45958</v>
      </c>
      <c r="F23" s="29">
        <v>4.0</v>
      </c>
      <c r="G23" s="30">
        <v>3.5460044E7</v>
      </c>
    </row>
    <row r="24" ht="12.75" customHeight="1">
      <c r="A24" s="31">
        <v>246.0</v>
      </c>
      <c r="B24" s="32" t="s">
        <v>45959</v>
      </c>
      <c r="C24" s="33">
        <v>35.0</v>
      </c>
      <c r="D24" s="32" t="s">
        <v>45960</v>
      </c>
      <c r="E24" s="32" t="s">
        <v>45961</v>
      </c>
      <c r="F24" s="33">
        <v>7.0</v>
      </c>
      <c r="G24" s="34">
        <v>3.5460073E7</v>
      </c>
    </row>
    <row r="25" ht="12.75" customHeight="1">
      <c r="A25" s="27">
        <v>246.0</v>
      </c>
      <c r="B25" s="28" t="s">
        <v>45962</v>
      </c>
      <c r="C25" s="29">
        <v>35.0</v>
      </c>
      <c r="D25" s="28" t="s">
        <v>45963</v>
      </c>
      <c r="E25" s="28" t="s">
        <v>45964</v>
      </c>
      <c r="F25" s="29">
        <v>13.0</v>
      </c>
      <c r="G25" s="30">
        <v>3.5460136E7</v>
      </c>
    </row>
    <row r="26" ht="12.75" customHeight="1">
      <c r="A26" s="31">
        <v>246.0</v>
      </c>
      <c r="B26" s="32" t="s">
        <v>45965</v>
      </c>
      <c r="C26" s="33">
        <v>35.0</v>
      </c>
      <c r="D26" s="32" t="s">
        <v>45966</v>
      </c>
      <c r="E26" s="32" t="s">
        <v>45967</v>
      </c>
      <c r="F26" s="33">
        <v>19.0</v>
      </c>
      <c r="G26" s="34">
        <v>3.5460194E7</v>
      </c>
    </row>
    <row r="27" ht="12.75" customHeight="1">
      <c r="A27" s="27">
        <v>246.0</v>
      </c>
      <c r="B27" s="28" t="s">
        <v>45968</v>
      </c>
      <c r="C27" s="29">
        <v>35.0</v>
      </c>
      <c r="D27" s="28" t="s">
        <v>45969</v>
      </c>
      <c r="E27" s="28" t="s">
        <v>45970</v>
      </c>
      <c r="F27" s="29">
        <v>22.0</v>
      </c>
      <c r="G27" s="30">
        <v>3.5460228E7</v>
      </c>
    </row>
    <row r="28" ht="12.75" customHeight="1">
      <c r="A28" s="31">
        <v>246.0</v>
      </c>
      <c r="B28" s="32" t="s">
        <v>45971</v>
      </c>
      <c r="C28" s="33">
        <v>35.0</v>
      </c>
      <c r="D28" s="32" t="s">
        <v>45972</v>
      </c>
      <c r="E28" s="32" t="s">
        <v>45973</v>
      </c>
      <c r="F28" s="33">
        <v>25.0</v>
      </c>
      <c r="G28" s="34">
        <v>3.5460257E7</v>
      </c>
    </row>
    <row r="29" ht="12.75" customHeight="1">
      <c r="A29" s="27">
        <v>246.0</v>
      </c>
      <c r="B29" s="28" t="s">
        <v>45974</v>
      </c>
      <c r="C29" s="29">
        <v>35.0</v>
      </c>
      <c r="D29" s="28" t="s">
        <v>45975</v>
      </c>
      <c r="E29" s="28" t="s">
        <v>45976</v>
      </c>
      <c r="F29" s="29">
        <v>28.0</v>
      </c>
      <c r="G29" s="30">
        <v>3.5460286E7</v>
      </c>
    </row>
    <row r="30" ht="12.75" customHeight="1">
      <c r="A30" s="31">
        <v>246.0</v>
      </c>
      <c r="B30" s="32" t="s">
        <v>45977</v>
      </c>
      <c r="C30" s="33">
        <v>35.0</v>
      </c>
      <c r="D30" s="32" t="s">
        <v>45978</v>
      </c>
      <c r="E30" s="32" t="s">
        <v>45979</v>
      </c>
      <c r="F30" s="33">
        <v>31.0</v>
      </c>
      <c r="G30" s="34">
        <v>3.546031E7</v>
      </c>
    </row>
    <row r="31" ht="12.75" customHeight="1">
      <c r="A31" s="27">
        <v>447.0</v>
      </c>
      <c r="B31" s="28" t="s">
        <v>45980</v>
      </c>
      <c r="C31" s="29">
        <v>35.0</v>
      </c>
      <c r="D31" s="28" t="s">
        <v>45981</v>
      </c>
      <c r="E31" s="28" t="s">
        <v>45982</v>
      </c>
      <c r="F31" s="29">
        <v>25.0</v>
      </c>
      <c r="G31" s="30">
        <v>3.547025E7</v>
      </c>
    </row>
    <row r="32" ht="12.75" customHeight="1">
      <c r="A32" s="31">
        <v>447.0</v>
      </c>
      <c r="B32" s="32" t="s">
        <v>45983</v>
      </c>
      <c r="C32" s="33">
        <v>35.0</v>
      </c>
      <c r="D32" s="32" t="s">
        <v>45984</v>
      </c>
      <c r="E32" s="32" t="s">
        <v>45985</v>
      </c>
      <c r="F32" s="33">
        <v>31.0</v>
      </c>
      <c r="G32" s="34">
        <v>3.5470313E7</v>
      </c>
    </row>
    <row r="33" ht="12.75" customHeight="1">
      <c r="A33" s="27">
        <v>447.0</v>
      </c>
      <c r="B33" s="28" t="s">
        <v>45986</v>
      </c>
      <c r="C33" s="29">
        <v>35.0</v>
      </c>
      <c r="D33" s="28" t="s">
        <v>45987</v>
      </c>
      <c r="E33" s="28" t="s">
        <v>45988</v>
      </c>
      <c r="F33" s="29">
        <v>34.0</v>
      </c>
      <c r="G33" s="30">
        <v>3.5470342E7</v>
      </c>
    </row>
    <row r="34" ht="12.75" customHeight="1">
      <c r="A34" s="31">
        <v>447.0</v>
      </c>
      <c r="B34" s="32" t="s">
        <v>45989</v>
      </c>
      <c r="C34" s="33">
        <v>35.0</v>
      </c>
      <c r="D34" s="32" t="s">
        <v>45990</v>
      </c>
      <c r="E34" s="32" t="s">
        <v>45991</v>
      </c>
      <c r="F34" s="33">
        <v>52.0</v>
      </c>
      <c r="G34" s="34">
        <v>3.5470526E7</v>
      </c>
    </row>
    <row r="35" ht="12.75" customHeight="1">
      <c r="A35" s="27">
        <v>447.0</v>
      </c>
      <c r="B35" s="28" t="s">
        <v>45992</v>
      </c>
      <c r="C35" s="29">
        <v>35.0</v>
      </c>
      <c r="D35" s="28" t="s">
        <v>45993</v>
      </c>
      <c r="E35" s="28" t="s">
        <v>45994</v>
      </c>
      <c r="F35" s="29">
        <v>64.0</v>
      </c>
      <c r="G35" s="30">
        <v>3.5470647E7</v>
      </c>
    </row>
    <row r="36" ht="12.75" customHeight="1">
      <c r="A36" s="31">
        <v>447.0</v>
      </c>
      <c r="B36" s="32" t="s">
        <v>45995</v>
      </c>
      <c r="C36" s="33">
        <v>35.0</v>
      </c>
      <c r="D36" s="32" t="s">
        <v>45996</v>
      </c>
      <c r="E36" s="32" t="s">
        <v>45997</v>
      </c>
      <c r="F36" s="33">
        <v>70.0</v>
      </c>
      <c r="G36" s="34">
        <v>3.54707E7</v>
      </c>
    </row>
    <row r="37" ht="12.75" customHeight="1">
      <c r="A37" s="27">
        <v>447.0</v>
      </c>
      <c r="B37" s="28" t="s">
        <v>45998</v>
      </c>
      <c r="C37" s="29">
        <v>35.0</v>
      </c>
      <c r="D37" s="28" t="s">
        <v>45999</v>
      </c>
      <c r="E37" s="28" t="s">
        <v>46000</v>
      </c>
      <c r="F37" s="29">
        <v>79.0</v>
      </c>
      <c r="G37" s="30">
        <v>3.5470797E7</v>
      </c>
    </row>
    <row r="38" ht="12.75" customHeight="1">
      <c r="A38" s="31">
        <v>447.0</v>
      </c>
      <c r="B38" s="32" t="s">
        <v>46001</v>
      </c>
      <c r="C38" s="33">
        <v>35.0</v>
      </c>
      <c r="D38" s="32" t="s">
        <v>46002</v>
      </c>
      <c r="E38" s="32" t="s">
        <v>46003</v>
      </c>
      <c r="F38" s="31">
        <v>106.0</v>
      </c>
      <c r="G38" s="34">
        <v>3.5471062E7</v>
      </c>
    </row>
    <row r="39" ht="12.75" customHeight="1">
      <c r="A39" s="27">
        <v>447.0</v>
      </c>
      <c r="B39" s="28" t="s">
        <v>46004</v>
      </c>
      <c r="C39" s="29">
        <v>35.0</v>
      </c>
      <c r="D39" s="28" t="s">
        <v>46005</v>
      </c>
      <c r="E39" s="28" t="s">
        <v>46006</v>
      </c>
      <c r="F39" s="27">
        <v>109.0</v>
      </c>
      <c r="G39" s="30">
        <v>3.5471091E7</v>
      </c>
    </row>
    <row r="40" ht="12.75" customHeight="1">
      <c r="A40" s="31">
        <v>447.0</v>
      </c>
      <c r="B40" s="32" t="s">
        <v>46007</v>
      </c>
      <c r="C40" s="33">
        <v>35.0</v>
      </c>
      <c r="D40" s="32" t="s">
        <v>46008</v>
      </c>
      <c r="E40" s="32" t="s">
        <v>46009</v>
      </c>
      <c r="F40" s="31">
        <v>136.0</v>
      </c>
      <c r="G40" s="34">
        <v>3.5471367E7</v>
      </c>
    </row>
    <row r="41" ht="12.75" customHeight="1">
      <c r="A41" s="27">
        <v>447.0</v>
      </c>
      <c r="B41" s="28" t="s">
        <v>46010</v>
      </c>
      <c r="C41" s="29">
        <v>35.0</v>
      </c>
      <c r="D41" s="28" t="s">
        <v>46011</v>
      </c>
      <c r="E41" s="28" t="s">
        <v>46012</v>
      </c>
      <c r="F41" s="27">
        <v>142.0</v>
      </c>
      <c r="G41" s="30">
        <v>3.547142E7</v>
      </c>
    </row>
    <row r="42" ht="12.75" customHeight="1">
      <c r="A42" s="31">
        <v>447.0</v>
      </c>
      <c r="B42" s="32" t="s">
        <v>46013</v>
      </c>
      <c r="C42" s="33">
        <v>35.0</v>
      </c>
      <c r="D42" s="32" t="s">
        <v>46014</v>
      </c>
      <c r="E42" s="32" t="s">
        <v>46015</v>
      </c>
      <c r="F42" s="31">
        <v>154.0</v>
      </c>
      <c r="G42" s="34">
        <v>3.5471541E7</v>
      </c>
    </row>
    <row r="43" ht="12.75" customHeight="1">
      <c r="A43" s="27">
        <v>447.0</v>
      </c>
      <c r="B43" s="28" t="s">
        <v>46016</v>
      </c>
      <c r="C43" s="29">
        <v>35.0</v>
      </c>
      <c r="D43" s="28" t="s">
        <v>46017</v>
      </c>
      <c r="E43" s="28" t="s">
        <v>46018</v>
      </c>
      <c r="F43" s="27">
        <v>178.0</v>
      </c>
      <c r="G43" s="30">
        <v>3.5471783E7</v>
      </c>
    </row>
    <row r="44" ht="12.75" customHeight="1">
      <c r="A44" s="31">
        <v>447.0</v>
      </c>
      <c r="B44" s="32" t="s">
        <v>46019</v>
      </c>
      <c r="C44" s="33">
        <v>35.0</v>
      </c>
      <c r="D44" s="32" t="s">
        <v>46020</v>
      </c>
      <c r="E44" s="32" t="s">
        <v>46021</v>
      </c>
      <c r="F44" s="31">
        <v>181.0</v>
      </c>
      <c r="G44" s="34">
        <v>3.5471817E7</v>
      </c>
    </row>
    <row r="45" ht="12.75" customHeight="1">
      <c r="A45" s="27">
        <v>447.0</v>
      </c>
      <c r="B45" s="28" t="s">
        <v>46022</v>
      </c>
      <c r="C45" s="29">
        <v>35.0</v>
      </c>
      <c r="D45" s="28" t="s">
        <v>46023</v>
      </c>
      <c r="E45" s="28" t="s">
        <v>46024</v>
      </c>
      <c r="F45" s="27">
        <v>193.0</v>
      </c>
      <c r="G45" s="30">
        <v>3.5471938E7</v>
      </c>
    </row>
    <row r="46" ht="12.75" customHeight="1">
      <c r="A46" s="31">
        <v>447.0</v>
      </c>
      <c r="B46" s="32" t="s">
        <v>46025</v>
      </c>
      <c r="C46" s="33">
        <v>35.0</v>
      </c>
      <c r="D46" s="32" t="s">
        <v>46026</v>
      </c>
      <c r="E46" s="32" t="s">
        <v>46027</v>
      </c>
      <c r="F46" s="31">
        <v>199.0</v>
      </c>
      <c r="G46" s="34">
        <v>3.5471996E7</v>
      </c>
    </row>
    <row r="47" ht="12.75" customHeight="1">
      <c r="A47" s="27">
        <v>447.0</v>
      </c>
      <c r="B47" s="28" t="s">
        <v>46028</v>
      </c>
      <c r="C47" s="29">
        <v>35.0</v>
      </c>
      <c r="D47" s="28" t="s">
        <v>46029</v>
      </c>
      <c r="E47" s="28" t="s">
        <v>46030</v>
      </c>
      <c r="F47" s="27">
        <v>208.0</v>
      </c>
      <c r="G47" s="30">
        <v>3.5472087E7</v>
      </c>
    </row>
    <row r="48" ht="12.75" customHeight="1">
      <c r="A48" s="31">
        <v>447.0</v>
      </c>
      <c r="B48" s="32" t="s">
        <v>46031</v>
      </c>
      <c r="C48" s="33">
        <v>35.0</v>
      </c>
      <c r="D48" s="32" t="s">
        <v>46032</v>
      </c>
      <c r="E48" s="32" t="s">
        <v>46033</v>
      </c>
      <c r="F48" s="31">
        <v>214.0</v>
      </c>
      <c r="G48" s="34">
        <v>3.547214E7</v>
      </c>
    </row>
    <row r="49" ht="12.75" customHeight="1">
      <c r="A49" s="27">
        <v>447.0</v>
      </c>
      <c r="B49" s="28" t="s">
        <v>46034</v>
      </c>
      <c r="C49" s="29">
        <v>35.0</v>
      </c>
      <c r="D49" s="28" t="s">
        <v>46035</v>
      </c>
      <c r="E49" s="28" t="s">
        <v>46036</v>
      </c>
      <c r="F49" s="27">
        <v>232.0</v>
      </c>
      <c r="G49" s="30">
        <v>3.5472324E7</v>
      </c>
    </row>
    <row r="50" ht="12.75" customHeight="1">
      <c r="A50" s="31">
        <v>447.0</v>
      </c>
      <c r="B50" s="32" t="s">
        <v>46037</v>
      </c>
      <c r="C50" s="33">
        <v>35.0</v>
      </c>
      <c r="D50" s="32" t="s">
        <v>46038</v>
      </c>
      <c r="E50" s="32" t="s">
        <v>46039</v>
      </c>
      <c r="F50" s="31">
        <v>244.0</v>
      </c>
      <c r="G50" s="34">
        <v>3.5472445E7</v>
      </c>
    </row>
    <row r="51" ht="12.75" customHeight="1">
      <c r="A51" s="27">
        <v>447.0</v>
      </c>
      <c r="B51" s="28" t="s">
        <v>46040</v>
      </c>
      <c r="C51" s="29">
        <v>35.0</v>
      </c>
      <c r="D51" s="28" t="s">
        <v>46041</v>
      </c>
      <c r="E51" s="28" t="s">
        <v>46042</v>
      </c>
      <c r="F51" s="27">
        <v>265.0</v>
      </c>
      <c r="G51" s="30">
        <v>3.5472658E7</v>
      </c>
    </row>
    <row r="52" ht="12.75" customHeight="1">
      <c r="A52" s="31">
        <v>148.0</v>
      </c>
      <c r="B52" s="32" t="s">
        <v>46043</v>
      </c>
      <c r="C52" s="33">
        <v>35.0</v>
      </c>
      <c r="D52" s="32" t="s">
        <v>46044</v>
      </c>
      <c r="E52" s="32" t="s">
        <v>46045</v>
      </c>
      <c r="F52" s="33">
        <v>4.0</v>
      </c>
      <c r="G52" s="34">
        <v>3.548004E7</v>
      </c>
    </row>
    <row r="53" ht="12.75" customHeight="1">
      <c r="A53" s="27">
        <v>148.0</v>
      </c>
      <c r="B53" s="28" t="s">
        <v>46046</v>
      </c>
      <c r="C53" s="29">
        <v>35.0</v>
      </c>
      <c r="D53" s="28" t="s">
        <v>46047</v>
      </c>
      <c r="E53" s="28" t="s">
        <v>46048</v>
      </c>
      <c r="F53" s="29">
        <v>7.0</v>
      </c>
      <c r="G53" s="30">
        <v>3.5480079E7</v>
      </c>
    </row>
    <row r="54" ht="12.75" customHeight="1">
      <c r="A54" s="31">
        <v>148.0</v>
      </c>
      <c r="B54" s="32" t="s">
        <v>46049</v>
      </c>
      <c r="C54" s="33">
        <v>35.0</v>
      </c>
      <c r="D54" s="32" t="s">
        <v>46050</v>
      </c>
      <c r="E54" s="32" t="s">
        <v>46051</v>
      </c>
      <c r="F54" s="33">
        <v>8.0</v>
      </c>
      <c r="G54" s="34">
        <v>3.5480082E7</v>
      </c>
    </row>
    <row r="55" ht="12.75" customHeight="1">
      <c r="A55" s="27">
        <v>148.0</v>
      </c>
      <c r="B55" s="28" t="s">
        <v>46052</v>
      </c>
      <c r="C55" s="29">
        <v>35.0</v>
      </c>
      <c r="D55" s="28" t="s">
        <v>46053</v>
      </c>
      <c r="E55" s="28" t="s">
        <v>46054</v>
      </c>
      <c r="F55" s="29">
        <v>9.0</v>
      </c>
      <c r="G55" s="30">
        <v>3.5480095E7</v>
      </c>
    </row>
    <row r="56" ht="12.75" customHeight="1">
      <c r="A56" s="31">
        <v>148.0</v>
      </c>
      <c r="B56" s="32" t="s">
        <v>46055</v>
      </c>
      <c r="C56" s="33">
        <v>35.0</v>
      </c>
      <c r="D56" s="32" t="s">
        <v>46056</v>
      </c>
      <c r="E56" s="32" t="s">
        <v>46057</v>
      </c>
      <c r="F56" s="33">
        <v>10.0</v>
      </c>
      <c r="G56" s="34">
        <v>3.5480103E7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148.0</v>
      </c>
      <c r="B1" s="28" t="s">
        <v>46058</v>
      </c>
      <c r="C1" s="29">
        <v>35.0</v>
      </c>
      <c r="D1" s="28" t="s">
        <v>46059</v>
      </c>
      <c r="E1" s="28" t="s">
        <v>46060</v>
      </c>
      <c r="F1" s="29">
        <v>11.0</v>
      </c>
      <c r="G1" s="30">
        <v>3.5480116E7</v>
      </c>
    </row>
    <row r="2" ht="12.75" customHeight="1">
      <c r="A2" s="31">
        <v>148.0</v>
      </c>
      <c r="B2" s="32" t="s">
        <v>46061</v>
      </c>
      <c r="C2" s="33">
        <v>35.0</v>
      </c>
      <c r="D2" s="32" t="s">
        <v>46062</v>
      </c>
      <c r="E2" s="32" t="s">
        <v>46063</v>
      </c>
      <c r="F2" s="33">
        <v>22.0</v>
      </c>
      <c r="G2" s="34">
        <v>3.5480224E7</v>
      </c>
    </row>
    <row r="3" ht="12.75" customHeight="1">
      <c r="A3" s="27">
        <v>148.0</v>
      </c>
      <c r="B3" s="28" t="s">
        <v>46064</v>
      </c>
      <c r="C3" s="29">
        <v>35.0</v>
      </c>
      <c r="D3" s="28" t="s">
        <v>46065</v>
      </c>
      <c r="E3" s="28" t="s">
        <v>46066</v>
      </c>
      <c r="F3" s="29">
        <v>31.0</v>
      </c>
      <c r="G3" s="30">
        <v>3.5480316E7</v>
      </c>
    </row>
    <row r="4" ht="12.75" customHeight="1">
      <c r="A4" s="31">
        <v>148.0</v>
      </c>
      <c r="B4" s="32" t="s">
        <v>46067</v>
      </c>
      <c r="C4" s="33">
        <v>35.0</v>
      </c>
      <c r="D4" s="32" t="s">
        <v>46068</v>
      </c>
      <c r="E4" s="32" t="s">
        <v>46069</v>
      </c>
      <c r="F4" s="33">
        <v>34.0</v>
      </c>
      <c r="G4" s="34">
        <v>3.5480345E7</v>
      </c>
    </row>
    <row r="5" ht="12.75" customHeight="1">
      <c r="A5" s="27">
        <v>148.0</v>
      </c>
      <c r="B5" s="28" t="s">
        <v>46070</v>
      </c>
      <c r="C5" s="29">
        <v>35.0</v>
      </c>
      <c r="D5" s="28" t="s">
        <v>46071</v>
      </c>
      <c r="E5" s="28" t="s">
        <v>46072</v>
      </c>
      <c r="F5" s="29">
        <v>37.0</v>
      </c>
      <c r="G5" s="30">
        <v>3.5480374E7</v>
      </c>
    </row>
    <row r="6" ht="12.75" customHeight="1">
      <c r="A6" s="31">
        <v>148.0</v>
      </c>
      <c r="B6" s="32" t="s">
        <v>46073</v>
      </c>
      <c r="C6" s="33">
        <v>35.0</v>
      </c>
      <c r="D6" s="32" t="s">
        <v>46074</v>
      </c>
      <c r="E6" s="32" t="s">
        <v>46075</v>
      </c>
      <c r="F6" s="33">
        <v>40.0</v>
      </c>
      <c r="G6" s="34">
        <v>3.5480408E7</v>
      </c>
    </row>
    <row r="7" ht="12.75" customHeight="1">
      <c r="A7" s="27">
        <v>148.0</v>
      </c>
      <c r="B7" s="28" t="s">
        <v>46076</v>
      </c>
      <c r="C7" s="29">
        <v>35.0</v>
      </c>
      <c r="D7" s="28" t="s">
        <v>46077</v>
      </c>
      <c r="E7" s="28" t="s">
        <v>46078</v>
      </c>
      <c r="F7" s="29">
        <v>43.0</v>
      </c>
      <c r="G7" s="30">
        <v>3.5480437E7</v>
      </c>
    </row>
    <row r="8" ht="12.75" customHeight="1">
      <c r="A8" s="31">
        <v>148.0</v>
      </c>
      <c r="B8" s="32" t="s">
        <v>46079</v>
      </c>
      <c r="C8" s="33">
        <v>35.0</v>
      </c>
      <c r="D8" s="32" t="s">
        <v>46080</v>
      </c>
      <c r="E8" s="32" t="s">
        <v>46081</v>
      </c>
      <c r="F8" s="33">
        <v>46.0</v>
      </c>
      <c r="G8" s="34">
        <v>3.5480466E7</v>
      </c>
    </row>
    <row r="9" ht="12.75" customHeight="1">
      <c r="A9" s="27">
        <v>148.0</v>
      </c>
      <c r="B9" s="28" t="s">
        <v>46082</v>
      </c>
      <c r="C9" s="29">
        <v>35.0</v>
      </c>
      <c r="D9" s="28" t="s">
        <v>46083</v>
      </c>
      <c r="E9" s="28" t="s">
        <v>46084</v>
      </c>
      <c r="F9" s="29">
        <v>55.0</v>
      </c>
      <c r="G9" s="30">
        <v>3.5480558E7</v>
      </c>
    </row>
    <row r="10" ht="12.75" customHeight="1">
      <c r="A10" s="31">
        <v>148.0</v>
      </c>
      <c r="B10" s="32" t="s">
        <v>46085</v>
      </c>
      <c r="C10" s="33">
        <v>35.0</v>
      </c>
      <c r="D10" s="32" t="s">
        <v>46086</v>
      </c>
      <c r="E10" s="32" t="s">
        <v>46087</v>
      </c>
      <c r="F10" s="33">
        <v>58.0</v>
      </c>
      <c r="G10" s="34">
        <v>3.5480587E7</v>
      </c>
    </row>
    <row r="11" ht="12.75" customHeight="1">
      <c r="A11" s="27">
        <v>148.0</v>
      </c>
      <c r="B11" s="28" t="s">
        <v>46088</v>
      </c>
      <c r="C11" s="29">
        <v>35.0</v>
      </c>
      <c r="D11" s="28" t="s">
        <v>46089</v>
      </c>
      <c r="E11" s="28" t="s">
        <v>46090</v>
      </c>
      <c r="F11" s="29">
        <v>67.0</v>
      </c>
      <c r="G11" s="30">
        <v>3.5480679E7</v>
      </c>
    </row>
    <row r="12" ht="12.75" customHeight="1">
      <c r="A12" s="31">
        <v>148.0</v>
      </c>
      <c r="B12" s="32" t="s">
        <v>46091</v>
      </c>
      <c r="C12" s="33">
        <v>35.0</v>
      </c>
      <c r="D12" s="32" t="s">
        <v>46092</v>
      </c>
      <c r="E12" s="32" t="s">
        <v>46093</v>
      </c>
      <c r="F12" s="33">
        <v>73.0</v>
      </c>
      <c r="G12" s="34">
        <v>3.5480732E7</v>
      </c>
    </row>
    <row r="13" ht="12.75" customHeight="1">
      <c r="A13" s="27">
        <v>148.0</v>
      </c>
      <c r="B13" s="28" t="s">
        <v>46094</v>
      </c>
      <c r="C13" s="29">
        <v>35.0</v>
      </c>
      <c r="D13" s="28" t="s">
        <v>46095</v>
      </c>
      <c r="E13" s="28" t="s">
        <v>46096</v>
      </c>
      <c r="F13" s="29">
        <v>76.0</v>
      </c>
      <c r="G13" s="30">
        <v>3.5480761E7</v>
      </c>
    </row>
    <row r="14" ht="12.75" customHeight="1">
      <c r="A14" s="31">
        <v>148.0</v>
      </c>
      <c r="B14" s="32" t="s">
        <v>46097</v>
      </c>
      <c r="C14" s="33">
        <v>35.0</v>
      </c>
      <c r="D14" s="32" t="s">
        <v>46098</v>
      </c>
      <c r="E14" s="32" t="s">
        <v>46099</v>
      </c>
      <c r="F14" s="33">
        <v>85.0</v>
      </c>
      <c r="G14" s="34">
        <v>3.5480853E7</v>
      </c>
    </row>
    <row r="15" ht="12.75" customHeight="1">
      <c r="A15" s="27">
        <v>148.0</v>
      </c>
      <c r="B15" s="28" t="s">
        <v>46100</v>
      </c>
      <c r="C15" s="29">
        <v>35.0</v>
      </c>
      <c r="D15" s="28" t="s">
        <v>46101</v>
      </c>
      <c r="E15" s="28" t="s">
        <v>46102</v>
      </c>
      <c r="F15" s="29">
        <v>94.0</v>
      </c>
      <c r="G15" s="30">
        <v>3.5480945E7</v>
      </c>
    </row>
    <row r="16" ht="12.75" customHeight="1">
      <c r="A16" s="31">
        <v>148.0</v>
      </c>
      <c r="B16" s="32" t="s">
        <v>46103</v>
      </c>
      <c r="C16" s="33">
        <v>35.0</v>
      </c>
      <c r="D16" s="32" t="s">
        <v>46104</v>
      </c>
      <c r="E16" s="32" t="s">
        <v>46105</v>
      </c>
      <c r="F16" s="33">
        <v>97.0</v>
      </c>
      <c r="G16" s="34">
        <v>3.5480974E7</v>
      </c>
    </row>
    <row r="17" ht="12.75" customHeight="1">
      <c r="A17" s="27">
        <v>148.0</v>
      </c>
      <c r="B17" s="28" t="s">
        <v>46106</v>
      </c>
      <c r="C17" s="29">
        <v>35.0</v>
      </c>
      <c r="D17" s="28" t="s">
        <v>46107</v>
      </c>
      <c r="E17" s="28" t="s">
        <v>46108</v>
      </c>
      <c r="F17" s="27">
        <v>100.0</v>
      </c>
      <c r="G17" s="30">
        <v>3.5481007E7</v>
      </c>
    </row>
    <row r="18" ht="12.75" customHeight="1">
      <c r="A18" s="31">
        <v>148.0</v>
      </c>
      <c r="B18" s="32" t="s">
        <v>46109</v>
      </c>
      <c r="C18" s="33">
        <v>35.0</v>
      </c>
      <c r="D18" s="32" t="s">
        <v>46110</v>
      </c>
      <c r="E18" s="32" t="s">
        <v>46111</v>
      </c>
      <c r="F18" s="31">
        <v>106.0</v>
      </c>
      <c r="G18" s="34">
        <v>3.5481065E7</v>
      </c>
    </row>
    <row r="19" ht="12.75" customHeight="1">
      <c r="A19" s="27">
        <v>148.0</v>
      </c>
      <c r="B19" s="28" t="s">
        <v>46112</v>
      </c>
      <c r="C19" s="29">
        <v>35.0</v>
      </c>
      <c r="D19" s="28" t="s">
        <v>46113</v>
      </c>
      <c r="E19" s="28" t="s">
        <v>46114</v>
      </c>
      <c r="F19" s="27">
        <v>109.0</v>
      </c>
      <c r="G19" s="30">
        <v>3.5481094E7</v>
      </c>
    </row>
    <row r="20" ht="12.75" customHeight="1">
      <c r="A20" s="31">
        <v>148.0</v>
      </c>
      <c r="B20" s="32" t="s">
        <v>46115</v>
      </c>
      <c r="C20" s="33">
        <v>35.0</v>
      </c>
      <c r="D20" s="32" t="s">
        <v>46116</v>
      </c>
      <c r="E20" s="32" t="s">
        <v>46117</v>
      </c>
      <c r="F20" s="31">
        <v>112.0</v>
      </c>
      <c r="G20" s="34">
        <v>3.5481128E7</v>
      </c>
    </row>
    <row r="21" ht="12.75" customHeight="1">
      <c r="A21" s="27">
        <v>148.0</v>
      </c>
      <c r="B21" s="28" t="s">
        <v>46118</v>
      </c>
      <c r="C21" s="29">
        <v>35.0</v>
      </c>
      <c r="D21" s="28" t="s">
        <v>46119</v>
      </c>
      <c r="E21" s="28" t="s">
        <v>46120</v>
      </c>
      <c r="F21" s="27">
        <v>115.0</v>
      </c>
      <c r="G21" s="30">
        <v>3.5481157E7</v>
      </c>
    </row>
    <row r="22" ht="12.75" customHeight="1">
      <c r="A22" s="31">
        <v>450.0</v>
      </c>
      <c r="B22" s="32" t="s">
        <v>46121</v>
      </c>
      <c r="C22" s="33">
        <v>35.0</v>
      </c>
      <c r="D22" s="32" t="s">
        <v>46122</v>
      </c>
      <c r="E22" s="32" t="s">
        <v>46123</v>
      </c>
      <c r="F22" s="33">
        <v>4.0</v>
      </c>
      <c r="G22" s="34">
        <v>3.5500041E7</v>
      </c>
    </row>
    <row r="23" ht="12.75" customHeight="1">
      <c r="A23" s="27">
        <v>450.0</v>
      </c>
      <c r="B23" s="28" t="s">
        <v>46124</v>
      </c>
      <c r="C23" s="29">
        <v>35.0</v>
      </c>
      <c r="D23" s="28" t="s">
        <v>46125</v>
      </c>
      <c r="E23" s="28" t="s">
        <v>46126</v>
      </c>
      <c r="F23" s="29">
        <v>10.0</v>
      </c>
      <c r="G23" s="30">
        <v>3.5500104E7</v>
      </c>
    </row>
    <row r="24" ht="12.75" customHeight="1">
      <c r="A24" s="31">
        <v>450.0</v>
      </c>
      <c r="B24" s="32" t="s">
        <v>46127</v>
      </c>
      <c r="C24" s="33">
        <v>35.0</v>
      </c>
      <c r="D24" s="32" t="s">
        <v>46128</v>
      </c>
      <c r="E24" s="32" t="s">
        <v>46129</v>
      </c>
      <c r="F24" s="33">
        <v>16.0</v>
      </c>
      <c r="G24" s="34">
        <v>3.5500162E7</v>
      </c>
    </row>
    <row r="25" ht="12.75" customHeight="1">
      <c r="A25" s="27">
        <v>450.0</v>
      </c>
      <c r="B25" s="28" t="s">
        <v>46130</v>
      </c>
      <c r="C25" s="29">
        <v>35.0</v>
      </c>
      <c r="D25" s="28" t="s">
        <v>46131</v>
      </c>
      <c r="E25" s="28" t="s">
        <v>46132</v>
      </c>
      <c r="F25" s="29">
        <v>19.0</v>
      </c>
      <c r="G25" s="30">
        <v>3.5500191E7</v>
      </c>
    </row>
    <row r="26" ht="12.75" customHeight="1">
      <c r="A26" s="31">
        <v>450.0</v>
      </c>
      <c r="B26" s="32" t="s">
        <v>46133</v>
      </c>
      <c r="C26" s="33">
        <v>35.0</v>
      </c>
      <c r="D26" s="32" t="s">
        <v>46134</v>
      </c>
      <c r="E26" s="32" t="s">
        <v>46135</v>
      </c>
      <c r="F26" s="33">
        <v>25.0</v>
      </c>
      <c r="G26" s="34">
        <v>3.5500254E7</v>
      </c>
    </row>
    <row r="27" ht="12.75" customHeight="1">
      <c r="A27" s="27">
        <v>450.0</v>
      </c>
      <c r="B27" s="28" t="s">
        <v>46136</v>
      </c>
      <c r="C27" s="29">
        <v>35.0</v>
      </c>
      <c r="D27" s="28" t="s">
        <v>46137</v>
      </c>
      <c r="E27" s="28" t="s">
        <v>46138</v>
      </c>
      <c r="F27" s="29">
        <v>28.0</v>
      </c>
      <c r="G27" s="30">
        <v>3.5500283E7</v>
      </c>
    </row>
    <row r="28" ht="12.75" customHeight="1">
      <c r="A28" s="31">
        <v>450.0</v>
      </c>
      <c r="B28" s="32" t="s">
        <v>46139</v>
      </c>
      <c r="C28" s="33">
        <v>35.0</v>
      </c>
      <c r="D28" s="32" t="s">
        <v>46140</v>
      </c>
      <c r="E28" s="32" t="s">
        <v>46141</v>
      </c>
      <c r="F28" s="33">
        <v>40.0</v>
      </c>
      <c r="G28" s="34">
        <v>3.5500409E7</v>
      </c>
    </row>
    <row r="29" ht="12.75" customHeight="1">
      <c r="A29" s="27">
        <v>450.0</v>
      </c>
      <c r="B29" s="28" t="s">
        <v>46142</v>
      </c>
      <c r="C29" s="29">
        <v>35.0</v>
      </c>
      <c r="D29" s="28" t="s">
        <v>46143</v>
      </c>
      <c r="E29" s="28" t="s">
        <v>46144</v>
      </c>
      <c r="F29" s="29">
        <v>46.0</v>
      </c>
      <c r="G29" s="30">
        <v>3.5500467E7</v>
      </c>
    </row>
    <row r="30" ht="12.75" customHeight="1">
      <c r="A30" s="31">
        <v>450.0</v>
      </c>
      <c r="B30" s="32" t="s">
        <v>46145</v>
      </c>
      <c r="C30" s="33">
        <v>35.0</v>
      </c>
      <c r="D30" s="32" t="s">
        <v>46146</v>
      </c>
      <c r="E30" s="32" t="s">
        <v>46147</v>
      </c>
      <c r="F30" s="33">
        <v>70.0</v>
      </c>
      <c r="G30" s="34">
        <v>3.5500704E7</v>
      </c>
    </row>
    <row r="31" ht="12.75" customHeight="1">
      <c r="A31" s="27">
        <v>450.0</v>
      </c>
      <c r="B31" s="28" t="s">
        <v>46148</v>
      </c>
      <c r="C31" s="29">
        <v>35.0</v>
      </c>
      <c r="D31" s="28" t="s">
        <v>46149</v>
      </c>
      <c r="E31" s="28" t="s">
        <v>46150</v>
      </c>
      <c r="F31" s="29">
        <v>73.0</v>
      </c>
      <c r="G31" s="30">
        <v>3.5500733E7</v>
      </c>
    </row>
    <row r="32" ht="12.75" customHeight="1">
      <c r="A32" s="31">
        <v>450.0</v>
      </c>
      <c r="B32" s="32" t="s">
        <v>46151</v>
      </c>
      <c r="C32" s="33">
        <v>35.0</v>
      </c>
      <c r="D32" s="32" t="s">
        <v>46152</v>
      </c>
      <c r="E32" s="32" t="s">
        <v>46153</v>
      </c>
      <c r="F32" s="33">
        <v>82.0</v>
      </c>
      <c r="G32" s="34">
        <v>3.5500825E7</v>
      </c>
    </row>
    <row r="33" ht="12.75" customHeight="1">
      <c r="A33" s="27">
        <v>450.0</v>
      </c>
      <c r="B33" s="28" t="s">
        <v>46154</v>
      </c>
      <c r="C33" s="29">
        <v>35.0</v>
      </c>
      <c r="D33" s="28" t="s">
        <v>46155</v>
      </c>
      <c r="E33" s="28" t="s">
        <v>46156</v>
      </c>
      <c r="F33" s="29">
        <v>85.0</v>
      </c>
      <c r="G33" s="30">
        <v>3.5500854E7</v>
      </c>
    </row>
    <row r="34" ht="12.75" customHeight="1">
      <c r="A34" s="31">
        <v>450.0</v>
      </c>
      <c r="B34" s="32" t="s">
        <v>46157</v>
      </c>
      <c r="C34" s="33">
        <v>35.0</v>
      </c>
      <c r="D34" s="32" t="s">
        <v>46158</v>
      </c>
      <c r="E34" s="32" t="s">
        <v>46159</v>
      </c>
      <c r="F34" s="33">
        <v>88.0</v>
      </c>
      <c r="G34" s="34">
        <v>3.5500883E7</v>
      </c>
    </row>
    <row r="35" ht="12.75" customHeight="1">
      <c r="A35" s="27">
        <v>450.0</v>
      </c>
      <c r="B35" s="28" t="s">
        <v>46160</v>
      </c>
      <c r="C35" s="29">
        <v>35.0</v>
      </c>
      <c r="D35" s="28" t="s">
        <v>46161</v>
      </c>
      <c r="E35" s="28" t="s">
        <v>46162</v>
      </c>
      <c r="F35" s="29">
        <v>94.0</v>
      </c>
      <c r="G35" s="30">
        <v>3.5500946E7</v>
      </c>
    </row>
    <row r="36" ht="12.75" customHeight="1">
      <c r="A36" s="31">
        <v>450.0</v>
      </c>
      <c r="B36" s="32" t="s">
        <v>46163</v>
      </c>
      <c r="C36" s="33">
        <v>35.0</v>
      </c>
      <c r="D36" s="32" t="s">
        <v>46164</v>
      </c>
      <c r="E36" s="32" t="s">
        <v>46165</v>
      </c>
      <c r="F36" s="31">
        <v>106.0</v>
      </c>
      <c r="G36" s="34">
        <v>3.5501066E7</v>
      </c>
    </row>
    <row r="37" ht="12.75" customHeight="1">
      <c r="A37" s="27">
        <v>450.0</v>
      </c>
      <c r="B37" s="28" t="s">
        <v>46166</v>
      </c>
      <c r="C37" s="29">
        <v>35.0</v>
      </c>
      <c r="D37" s="28" t="s">
        <v>46167</v>
      </c>
      <c r="E37" s="28" t="s">
        <v>46168</v>
      </c>
      <c r="F37" s="27">
        <v>109.0</v>
      </c>
      <c r="G37" s="30">
        <v>3.5501095E7</v>
      </c>
    </row>
    <row r="38" ht="12.75" customHeight="1">
      <c r="A38" s="31">
        <v>251.0</v>
      </c>
      <c r="B38" s="32" t="s">
        <v>46169</v>
      </c>
      <c r="C38" s="33">
        <v>35.0</v>
      </c>
      <c r="D38" s="32" t="s">
        <v>46170</v>
      </c>
      <c r="E38" s="32" t="s">
        <v>46171</v>
      </c>
      <c r="F38" s="33">
        <v>6.0</v>
      </c>
      <c r="G38" s="34">
        <v>3.551006E7</v>
      </c>
    </row>
    <row r="39" ht="12.75" customHeight="1">
      <c r="A39" s="27">
        <v>251.0</v>
      </c>
      <c r="B39" s="28" t="s">
        <v>46172</v>
      </c>
      <c r="C39" s="29">
        <v>35.0</v>
      </c>
      <c r="D39" s="28" t="s">
        <v>46173</v>
      </c>
      <c r="E39" s="28" t="s">
        <v>46174</v>
      </c>
      <c r="F39" s="29">
        <v>22.0</v>
      </c>
      <c r="G39" s="30">
        <v>3.5510228E7</v>
      </c>
    </row>
    <row r="40" ht="12.75" customHeight="1">
      <c r="A40" s="31">
        <v>251.0</v>
      </c>
      <c r="B40" s="32" t="s">
        <v>46175</v>
      </c>
      <c r="C40" s="33">
        <v>35.0</v>
      </c>
      <c r="D40" s="32" t="s">
        <v>46176</v>
      </c>
      <c r="E40" s="32" t="s">
        <v>46177</v>
      </c>
      <c r="F40" s="33">
        <v>25.0</v>
      </c>
      <c r="G40" s="34">
        <v>3.5510257E7</v>
      </c>
    </row>
    <row r="41" ht="12.75" customHeight="1">
      <c r="A41" s="27">
        <v>251.0</v>
      </c>
      <c r="B41" s="28" t="s">
        <v>46178</v>
      </c>
      <c r="C41" s="29">
        <v>35.0</v>
      </c>
      <c r="D41" s="28" t="s">
        <v>46179</v>
      </c>
      <c r="E41" s="28" t="s">
        <v>46180</v>
      </c>
      <c r="F41" s="29">
        <v>28.0</v>
      </c>
      <c r="G41" s="30">
        <v>3.5510286E7</v>
      </c>
    </row>
    <row r="42" ht="12.75" customHeight="1">
      <c r="A42" s="31">
        <v>251.0</v>
      </c>
      <c r="B42" s="32" t="s">
        <v>46181</v>
      </c>
      <c r="C42" s="33">
        <v>35.0</v>
      </c>
      <c r="D42" s="32" t="s">
        <v>46182</v>
      </c>
      <c r="E42" s="32" t="s">
        <v>46183</v>
      </c>
      <c r="F42" s="33">
        <v>37.0</v>
      </c>
      <c r="G42" s="34">
        <v>3.5510378E7</v>
      </c>
    </row>
    <row r="43" ht="12.75" customHeight="1">
      <c r="A43" s="27">
        <v>251.0</v>
      </c>
      <c r="B43" s="28" t="s">
        <v>46184</v>
      </c>
      <c r="C43" s="29">
        <v>35.0</v>
      </c>
      <c r="D43" s="28" t="s">
        <v>46185</v>
      </c>
      <c r="E43" s="28" t="s">
        <v>46186</v>
      </c>
      <c r="F43" s="29">
        <v>58.0</v>
      </c>
      <c r="G43" s="30">
        <v>3.5510581E7</v>
      </c>
    </row>
    <row r="44" ht="12.75" customHeight="1">
      <c r="A44" s="31">
        <v>251.0</v>
      </c>
      <c r="B44" s="32" t="s">
        <v>46187</v>
      </c>
      <c r="C44" s="33">
        <v>35.0</v>
      </c>
      <c r="D44" s="32" t="s">
        <v>46188</v>
      </c>
      <c r="E44" s="32" t="s">
        <v>46189</v>
      </c>
      <c r="F44" s="33">
        <v>61.0</v>
      </c>
      <c r="G44" s="34">
        <v>3.5510615E7</v>
      </c>
    </row>
    <row r="45" ht="12.75" customHeight="1">
      <c r="A45" s="27">
        <v>251.0</v>
      </c>
      <c r="B45" s="28" t="s">
        <v>46190</v>
      </c>
      <c r="C45" s="29">
        <v>35.0</v>
      </c>
      <c r="D45" s="28" t="s">
        <v>46191</v>
      </c>
      <c r="E45" s="28" t="s">
        <v>46192</v>
      </c>
      <c r="F45" s="29">
        <v>64.0</v>
      </c>
      <c r="G45" s="30">
        <v>3.5510644E7</v>
      </c>
    </row>
    <row r="46" ht="12.75" customHeight="1">
      <c r="A46" s="31">
        <v>251.0</v>
      </c>
      <c r="B46" s="32" t="s">
        <v>46193</v>
      </c>
      <c r="C46" s="33">
        <v>35.0</v>
      </c>
      <c r="D46" s="32" t="s">
        <v>46194</v>
      </c>
      <c r="E46" s="32" t="s">
        <v>46195</v>
      </c>
      <c r="F46" s="33">
        <v>70.0</v>
      </c>
      <c r="G46" s="34">
        <v>3.5510707E7</v>
      </c>
    </row>
    <row r="47" ht="12.75" customHeight="1">
      <c r="A47" s="27">
        <v>251.0</v>
      </c>
      <c r="B47" s="28" t="s">
        <v>46196</v>
      </c>
      <c r="C47" s="29">
        <v>35.0</v>
      </c>
      <c r="D47" s="28" t="s">
        <v>46197</v>
      </c>
      <c r="E47" s="28" t="s">
        <v>46198</v>
      </c>
      <c r="F47" s="29">
        <v>73.0</v>
      </c>
      <c r="G47" s="30">
        <v>3.5510736E7</v>
      </c>
    </row>
    <row r="48" ht="12.75" customHeight="1">
      <c r="A48" s="31">
        <v>251.0</v>
      </c>
      <c r="B48" s="32" t="s">
        <v>46199</v>
      </c>
      <c r="C48" s="33">
        <v>35.0</v>
      </c>
      <c r="D48" s="32" t="s">
        <v>46200</v>
      </c>
      <c r="E48" s="32" t="s">
        <v>46201</v>
      </c>
      <c r="F48" s="33">
        <v>79.0</v>
      </c>
      <c r="G48" s="34">
        <v>3.5510794E7</v>
      </c>
    </row>
    <row r="49" ht="12.75" customHeight="1">
      <c r="A49" s="27">
        <v>251.0</v>
      </c>
      <c r="B49" s="28" t="s">
        <v>46202</v>
      </c>
      <c r="C49" s="29">
        <v>35.0</v>
      </c>
      <c r="D49" s="28" t="s">
        <v>46203</v>
      </c>
      <c r="E49" s="28" t="s">
        <v>46204</v>
      </c>
      <c r="F49" s="29">
        <v>88.0</v>
      </c>
      <c r="G49" s="30">
        <v>3.5510886E7</v>
      </c>
    </row>
    <row r="50" ht="12.75" customHeight="1">
      <c r="A50" s="31">
        <v>251.0</v>
      </c>
      <c r="B50" s="32" t="s">
        <v>46205</v>
      </c>
      <c r="C50" s="33">
        <v>35.0</v>
      </c>
      <c r="D50" s="32" t="s">
        <v>46206</v>
      </c>
      <c r="E50" s="32" t="s">
        <v>46207</v>
      </c>
      <c r="F50" s="33">
        <v>91.0</v>
      </c>
      <c r="G50" s="34">
        <v>3.551091E7</v>
      </c>
    </row>
    <row r="51" ht="12.75" customHeight="1">
      <c r="A51" s="27">
        <v>251.0</v>
      </c>
      <c r="B51" s="28" t="s">
        <v>46208</v>
      </c>
      <c r="C51" s="29">
        <v>35.0</v>
      </c>
      <c r="D51" s="28" t="s">
        <v>46209</v>
      </c>
      <c r="E51" s="28" t="s">
        <v>46210</v>
      </c>
      <c r="F51" s="29">
        <v>94.0</v>
      </c>
      <c r="G51" s="30">
        <v>3.5510949E7</v>
      </c>
    </row>
    <row r="52" ht="12.75" customHeight="1">
      <c r="A52" s="31">
        <v>251.0</v>
      </c>
      <c r="B52" s="32" t="s">
        <v>46211</v>
      </c>
      <c r="C52" s="33">
        <v>35.0</v>
      </c>
      <c r="D52" s="32" t="s">
        <v>46212</v>
      </c>
      <c r="E52" s="32" t="s">
        <v>46213</v>
      </c>
      <c r="F52" s="33">
        <v>97.0</v>
      </c>
      <c r="G52" s="34">
        <v>3.5510978E7</v>
      </c>
    </row>
    <row r="53" ht="12.75" customHeight="1">
      <c r="A53" s="27">
        <v>251.0</v>
      </c>
      <c r="B53" s="28" t="s">
        <v>46214</v>
      </c>
      <c r="C53" s="29">
        <v>35.0</v>
      </c>
      <c r="D53" s="28" t="s">
        <v>46215</v>
      </c>
      <c r="E53" s="28" t="s">
        <v>46216</v>
      </c>
      <c r="F53" s="27">
        <v>100.0</v>
      </c>
      <c r="G53" s="30">
        <v>3.5511001E7</v>
      </c>
    </row>
    <row r="54" ht="12.75" customHeight="1">
      <c r="A54" s="31">
        <v>251.0</v>
      </c>
      <c r="B54" s="32" t="s">
        <v>46217</v>
      </c>
      <c r="C54" s="33">
        <v>35.0</v>
      </c>
      <c r="D54" s="32" t="s">
        <v>46218</v>
      </c>
      <c r="E54" s="32" t="s">
        <v>46219</v>
      </c>
      <c r="F54" s="31">
        <v>103.0</v>
      </c>
      <c r="G54" s="34">
        <v>3.551103E7</v>
      </c>
    </row>
    <row r="55" ht="12.75" customHeight="1">
      <c r="A55" s="27">
        <v>251.0</v>
      </c>
      <c r="B55" s="28" t="s">
        <v>46220</v>
      </c>
      <c r="C55" s="29">
        <v>35.0</v>
      </c>
      <c r="D55" s="28" t="s">
        <v>46221</v>
      </c>
      <c r="E55" s="28" t="s">
        <v>46222</v>
      </c>
      <c r="F55" s="27">
        <v>118.0</v>
      </c>
      <c r="G55" s="30">
        <v>3.551118E7</v>
      </c>
    </row>
    <row r="56" ht="12.75" customHeight="1">
      <c r="A56" s="31">
        <v>354.0</v>
      </c>
      <c r="B56" s="32" t="s">
        <v>46223</v>
      </c>
      <c r="C56" s="33">
        <v>35.0</v>
      </c>
      <c r="D56" s="32" t="s">
        <v>46224</v>
      </c>
      <c r="E56" s="32" t="s">
        <v>46225</v>
      </c>
      <c r="F56" s="33">
        <v>4.0</v>
      </c>
      <c r="G56" s="34">
        <v>3.5540043E7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354.0</v>
      </c>
      <c r="B1" s="28" t="s">
        <v>46226</v>
      </c>
      <c r="C1" s="29">
        <v>35.0</v>
      </c>
      <c r="D1" s="28" t="s">
        <v>46227</v>
      </c>
      <c r="E1" s="28" t="s">
        <v>46228</v>
      </c>
      <c r="F1" s="29">
        <v>9.0</v>
      </c>
      <c r="G1" s="30">
        <v>3.5540098E7</v>
      </c>
    </row>
    <row r="2" ht="12.75" customHeight="1">
      <c r="A2" s="31">
        <v>354.0</v>
      </c>
      <c r="B2" s="32" t="s">
        <v>46229</v>
      </c>
      <c r="C2" s="33">
        <v>35.0</v>
      </c>
      <c r="D2" s="32" t="s">
        <v>46230</v>
      </c>
      <c r="E2" s="32" t="s">
        <v>46231</v>
      </c>
      <c r="F2" s="33">
        <v>10.0</v>
      </c>
      <c r="G2" s="34">
        <v>3.5540106E7</v>
      </c>
    </row>
    <row r="3" ht="12.75" customHeight="1">
      <c r="A3" s="27">
        <v>354.0</v>
      </c>
      <c r="B3" s="28" t="s">
        <v>46232</v>
      </c>
      <c r="C3" s="29">
        <v>35.0</v>
      </c>
      <c r="D3" s="28" t="s">
        <v>46233</v>
      </c>
      <c r="E3" s="28" t="s">
        <v>46234</v>
      </c>
      <c r="F3" s="29">
        <v>19.0</v>
      </c>
      <c r="G3" s="30">
        <v>3.5540193E7</v>
      </c>
    </row>
    <row r="4" ht="12.75" customHeight="1">
      <c r="A4" s="31">
        <v>354.0</v>
      </c>
      <c r="B4" s="32" t="s">
        <v>46235</v>
      </c>
      <c r="C4" s="33">
        <v>35.0</v>
      </c>
      <c r="D4" s="32" t="s">
        <v>46236</v>
      </c>
      <c r="E4" s="32" t="s">
        <v>46237</v>
      </c>
      <c r="F4" s="33">
        <v>22.0</v>
      </c>
      <c r="G4" s="34">
        <v>3.5540227E7</v>
      </c>
    </row>
    <row r="5" ht="12.75" customHeight="1">
      <c r="A5" s="27">
        <v>354.0</v>
      </c>
      <c r="B5" s="28" t="s">
        <v>46238</v>
      </c>
      <c r="C5" s="29">
        <v>35.0</v>
      </c>
      <c r="D5" s="28" t="s">
        <v>46239</v>
      </c>
      <c r="E5" s="28" t="s">
        <v>46240</v>
      </c>
      <c r="F5" s="29">
        <v>25.0</v>
      </c>
      <c r="G5" s="30">
        <v>3.5540256E7</v>
      </c>
    </row>
    <row r="6" ht="12.75" customHeight="1">
      <c r="A6" s="31">
        <v>354.0</v>
      </c>
      <c r="B6" s="32" t="s">
        <v>46241</v>
      </c>
      <c r="C6" s="33">
        <v>35.0</v>
      </c>
      <c r="D6" s="32" t="s">
        <v>46242</v>
      </c>
      <c r="E6" s="32" t="s">
        <v>46243</v>
      </c>
      <c r="F6" s="33">
        <v>28.0</v>
      </c>
      <c r="G6" s="34">
        <v>3.5540285E7</v>
      </c>
    </row>
    <row r="7" ht="12.75" customHeight="1">
      <c r="A7" s="27">
        <v>354.0</v>
      </c>
      <c r="B7" s="28" t="s">
        <v>46244</v>
      </c>
      <c r="C7" s="29">
        <v>35.0</v>
      </c>
      <c r="D7" s="28" t="s">
        <v>46245</v>
      </c>
      <c r="E7" s="28" t="s">
        <v>46246</v>
      </c>
      <c r="F7" s="29">
        <v>31.0</v>
      </c>
      <c r="G7" s="30">
        <v>3.5540319E7</v>
      </c>
    </row>
    <row r="8" ht="12.75" customHeight="1">
      <c r="A8" s="31">
        <v>354.0</v>
      </c>
      <c r="B8" s="32" t="s">
        <v>46247</v>
      </c>
      <c r="C8" s="33">
        <v>35.0</v>
      </c>
      <c r="D8" s="32" t="s">
        <v>46248</v>
      </c>
      <c r="E8" s="32" t="s">
        <v>46249</v>
      </c>
      <c r="F8" s="33">
        <v>40.0</v>
      </c>
      <c r="G8" s="34">
        <v>3.5540401E7</v>
      </c>
    </row>
    <row r="9" ht="12.75" customHeight="1">
      <c r="A9" s="27">
        <v>354.0</v>
      </c>
      <c r="B9" s="28" t="s">
        <v>46250</v>
      </c>
      <c r="C9" s="29">
        <v>35.0</v>
      </c>
      <c r="D9" s="28" t="s">
        <v>46251</v>
      </c>
      <c r="E9" s="28" t="s">
        <v>46252</v>
      </c>
      <c r="F9" s="29">
        <v>49.0</v>
      </c>
      <c r="G9" s="30">
        <v>3.5540498E7</v>
      </c>
    </row>
    <row r="10" ht="12.75" customHeight="1">
      <c r="A10" s="31">
        <v>354.0</v>
      </c>
      <c r="B10" s="32" t="s">
        <v>46253</v>
      </c>
      <c r="C10" s="33">
        <v>35.0</v>
      </c>
      <c r="D10" s="32" t="s">
        <v>46254</v>
      </c>
      <c r="E10" s="32" t="s">
        <v>46255</v>
      </c>
      <c r="F10" s="33">
        <v>61.0</v>
      </c>
      <c r="G10" s="34">
        <v>3.5540614E7</v>
      </c>
    </row>
    <row r="11" ht="12.75" customHeight="1">
      <c r="A11" s="27">
        <v>354.0</v>
      </c>
      <c r="B11" s="28" t="s">
        <v>46256</v>
      </c>
      <c r="C11" s="29">
        <v>35.0</v>
      </c>
      <c r="D11" s="28" t="s">
        <v>46257</v>
      </c>
      <c r="E11" s="28" t="s">
        <v>46258</v>
      </c>
      <c r="F11" s="29">
        <v>64.0</v>
      </c>
      <c r="G11" s="30">
        <v>3.5540643E7</v>
      </c>
    </row>
    <row r="12" ht="12.75" customHeight="1">
      <c r="A12" s="31">
        <v>354.0</v>
      </c>
      <c r="B12" s="32" t="s">
        <v>46259</v>
      </c>
      <c r="C12" s="33">
        <v>35.0</v>
      </c>
      <c r="D12" s="32" t="s">
        <v>46260</v>
      </c>
      <c r="E12" s="32" t="s">
        <v>46261</v>
      </c>
      <c r="F12" s="33">
        <v>67.0</v>
      </c>
      <c r="G12" s="34">
        <v>3.5540672E7</v>
      </c>
    </row>
    <row r="13" ht="12.75" customHeight="1">
      <c r="A13" s="27">
        <v>354.0</v>
      </c>
      <c r="B13" s="28" t="s">
        <v>46262</v>
      </c>
      <c r="C13" s="29">
        <v>35.0</v>
      </c>
      <c r="D13" s="28" t="s">
        <v>46263</v>
      </c>
      <c r="E13" s="28" t="s">
        <v>46264</v>
      </c>
      <c r="F13" s="29">
        <v>70.0</v>
      </c>
      <c r="G13" s="30">
        <v>3.5540706E7</v>
      </c>
    </row>
    <row r="14" ht="12.75" customHeight="1">
      <c r="A14" s="31">
        <v>354.0</v>
      </c>
      <c r="B14" s="32" t="s">
        <v>46265</v>
      </c>
      <c r="C14" s="33">
        <v>35.0</v>
      </c>
      <c r="D14" s="32" t="s">
        <v>46266</v>
      </c>
      <c r="E14" s="32" t="s">
        <v>46267</v>
      </c>
      <c r="F14" s="33">
        <v>78.0</v>
      </c>
      <c r="G14" s="34">
        <v>3.554078E7</v>
      </c>
    </row>
    <row r="15" ht="12.75" customHeight="1">
      <c r="A15" s="27">
        <v>354.0</v>
      </c>
      <c r="B15" s="28" t="s">
        <v>46268</v>
      </c>
      <c r="C15" s="29">
        <v>35.0</v>
      </c>
      <c r="D15" s="28" t="s">
        <v>46269</v>
      </c>
      <c r="E15" s="28" t="s">
        <v>46270</v>
      </c>
      <c r="F15" s="29">
        <v>82.0</v>
      </c>
      <c r="G15" s="30">
        <v>3.5540827E7</v>
      </c>
    </row>
    <row r="16" ht="12.75" customHeight="1">
      <c r="A16" s="31">
        <v>455.0</v>
      </c>
      <c r="B16" s="32" t="s">
        <v>46271</v>
      </c>
      <c r="C16" s="33">
        <v>35.0</v>
      </c>
      <c r="D16" s="32" t="s">
        <v>46272</v>
      </c>
      <c r="E16" s="32" t="s">
        <v>46273</v>
      </c>
      <c r="F16" s="33">
        <v>4.0</v>
      </c>
      <c r="G16" s="34">
        <v>3.5550046E7</v>
      </c>
    </row>
    <row r="17" ht="12.75" customHeight="1">
      <c r="A17" s="27">
        <v>455.0</v>
      </c>
      <c r="B17" s="28" t="s">
        <v>46274</v>
      </c>
      <c r="C17" s="29">
        <v>35.0</v>
      </c>
      <c r="D17" s="28" t="s">
        <v>46275</v>
      </c>
      <c r="E17" s="28" t="s">
        <v>46276</v>
      </c>
      <c r="F17" s="29">
        <v>7.0</v>
      </c>
      <c r="G17" s="30">
        <v>3.5550075E7</v>
      </c>
    </row>
    <row r="18" ht="12.75" customHeight="1">
      <c r="A18" s="31">
        <v>455.0</v>
      </c>
      <c r="B18" s="32" t="s">
        <v>46277</v>
      </c>
      <c r="C18" s="33">
        <v>35.0</v>
      </c>
      <c r="D18" s="32" t="s">
        <v>46278</v>
      </c>
      <c r="E18" s="32" t="s">
        <v>46279</v>
      </c>
      <c r="F18" s="33">
        <v>10.0</v>
      </c>
      <c r="G18" s="34">
        <v>3.5550109E7</v>
      </c>
    </row>
    <row r="19" ht="12.75" customHeight="1">
      <c r="A19" s="27">
        <v>455.0</v>
      </c>
      <c r="B19" s="28" t="s">
        <v>46280</v>
      </c>
      <c r="C19" s="29">
        <v>35.0</v>
      </c>
      <c r="D19" s="28" t="s">
        <v>46281</v>
      </c>
      <c r="E19" s="28" t="s">
        <v>46282</v>
      </c>
      <c r="F19" s="29">
        <v>13.0</v>
      </c>
      <c r="G19" s="30">
        <v>3.5550138E7</v>
      </c>
    </row>
    <row r="20" ht="12.75" customHeight="1">
      <c r="A20" s="31">
        <v>455.0</v>
      </c>
      <c r="B20" s="32" t="s">
        <v>46283</v>
      </c>
      <c r="C20" s="33">
        <v>35.0</v>
      </c>
      <c r="D20" s="32" t="s">
        <v>46284</v>
      </c>
      <c r="E20" s="32" t="s">
        <v>46285</v>
      </c>
      <c r="F20" s="33">
        <v>19.0</v>
      </c>
      <c r="G20" s="34">
        <v>3.5550196E7</v>
      </c>
    </row>
    <row r="21" ht="12.75" customHeight="1">
      <c r="A21" s="27">
        <v>455.0</v>
      </c>
      <c r="B21" s="28" t="s">
        <v>46286</v>
      </c>
      <c r="C21" s="29">
        <v>35.0</v>
      </c>
      <c r="D21" s="28" t="s">
        <v>46287</v>
      </c>
      <c r="E21" s="28" t="s">
        <v>46288</v>
      </c>
      <c r="F21" s="29">
        <v>22.0</v>
      </c>
      <c r="G21" s="30">
        <v>3.555022E7</v>
      </c>
    </row>
    <row r="22" ht="12.75" customHeight="1">
      <c r="A22" s="31">
        <v>455.0</v>
      </c>
      <c r="B22" s="32" t="s">
        <v>46289</v>
      </c>
      <c r="C22" s="33">
        <v>35.0</v>
      </c>
      <c r="D22" s="32" t="s">
        <v>46290</v>
      </c>
      <c r="E22" s="32" t="s">
        <v>46291</v>
      </c>
      <c r="F22" s="33">
        <v>31.0</v>
      </c>
      <c r="G22" s="34">
        <v>3.5550312E7</v>
      </c>
    </row>
    <row r="23" ht="12.75" customHeight="1">
      <c r="A23" s="27">
        <v>455.0</v>
      </c>
      <c r="B23" s="28" t="s">
        <v>46292</v>
      </c>
      <c r="C23" s="29">
        <v>35.0</v>
      </c>
      <c r="D23" s="28" t="s">
        <v>46293</v>
      </c>
      <c r="E23" s="28" t="s">
        <v>46294</v>
      </c>
      <c r="F23" s="29">
        <v>43.0</v>
      </c>
      <c r="G23" s="30">
        <v>3.5550433E7</v>
      </c>
    </row>
    <row r="24" ht="12.75" customHeight="1">
      <c r="A24" s="31">
        <v>455.0</v>
      </c>
      <c r="B24" s="32" t="s">
        <v>46295</v>
      </c>
      <c r="C24" s="33">
        <v>35.0</v>
      </c>
      <c r="D24" s="32" t="s">
        <v>46296</v>
      </c>
      <c r="E24" s="32" t="s">
        <v>46297</v>
      </c>
      <c r="F24" s="33">
        <v>52.0</v>
      </c>
      <c r="G24" s="34">
        <v>3.5550525E7</v>
      </c>
    </row>
    <row r="25" ht="12.75" customHeight="1">
      <c r="A25" s="27">
        <v>455.0</v>
      </c>
      <c r="B25" s="28" t="s">
        <v>46298</v>
      </c>
      <c r="C25" s="29">
        <v>35.0</v>
      </c>
      <c r="D25" s="28" t="s">
        <v>46299</v>
      </c>
      <c r="E25" s="28" t="s">
        <v>46300</v>
      </c>
      <c r="F25" s="29">
        <v>55.0</v>
      </c>
      <c r="G25" s="30">
        <v>3.5550554E7</v>
      </c>
    </row>
    <row r="26" ht="12.75" customHeight="1">
      <c r="A26" s="31">
        <v>455.0</v>
      </c>
      <c r="B26" s="32" t="s">
        <v>46301</v>
      </c>
      <c r="C26" s="33">
        <v>35.0</v>
      </c>
      <c r="D26" s="32" t="s">
        <v>46302</v>
      </c>
      <c r="E26" s="32" t="s">
        <v>46303</v>
      </c>
      <c r="F26" s="33">
        <v>61.0</v>
      </c>
      <c r="G26" s="34">
        <v>3.5550617E7</v>
      </c>
    </row>
    <row r="27" ht="12.75" customHeight="1">
      <c r="A27" s="27">
        <v>455.0</v>
      </c>
      <c r="B27" s="28" t="s">
        <v>46304</v>
      </c>
      <c r="C27" s="29">
        <v>35.0</v>
      </c>
      <c r="D27" s="28" t="s">
        <v>46305</v>
      </c>
      <c r="E27" s="28" t="s">
        <v>46306</v>
      </c>
      <c r="F27" s="29">
        <v>64.0</v>
      </c>
      <c r="G27" s="30">
        <v>3.5550646E7</v>
      </c>
    </row>
    <row r="28" ht="12.75" customHeight="1">
      <c r="A28" s="31">
        <v>455.0</v>
      </c>
      <c r="B28" s="32" t="s">
        <v>46307</v>
      </c>
      <c r="C28" s="33">
        <v>35.0</v>
      </c>
      <c r="D28" s="32" t="s">
        <v>46308</v>
      </c>
      <c r="E28" s="32" t="s">
        <v>46309</v>
      </c>
      <c r="F28" s="33">
        <v>76.0</v>
      </c>
      <c r="G28" s="34">
        <v>3.5550767E7</v>
      </c>
    </row>
    <row r="29" ht="12.75" customHeight="1">
      <c r="A29" s="27">
        <v>455.0</v>
      </c>
      <c r="B29" s="28" t="s">
        <v>46310</v>
      </c>
      <c r="C29" s="29">
        <v>35.0</v>
      </c>
      <c r="D29" s="28" t="s">
        <v>46311</v>
      </c>
      <c r="E29" s="28" t="s">
        <v>46312</v>
      </c>
      <c r="F29" s="29">
        <v>82.0</v>
      </c>
      <c r="G29" s="30">
        <v>3.555082E7</v>
      </c>
    </row>
    <row r="30" ht="12.75" customHeight="1">
      <c r="A30" s="31">
        <v>455.0</v>
      </c>
      <c r="B30" s="32" t="s">
        <v>46313</v>
      </c>
      <c r="C30" s="33">
        <v>35.0</v>
      </c>
      <c r="D30" s="32" t="s">
        <v>46314</v>
      </c>
      <c r="E30" s="32" t="s">
        <v>46315</v>
      </c>
      <c r="F30" s="33">
        <v>85.0</v>
      </c>
      <c r="G30" s="34">
        <v>3.5550859E7</v>
      </c>
    </row>
    <row r="31" ht="12.75" customHeight="1">
      <c r="A31" s="27">
        <v>455.0</v>
      </c>
      <c r="B31" s="28" t="s">
        <v>46316</v>
      </c>
      <c r="C31" s="29">
        <v>35.0</v>
      </c>
      <c r="D31" s="28" t="s">
        <v>46317</v>
      </c>
      <c r="E31" s="28" t="s">
        <v>46318</v>
      </c>
      <c r="F31" s="29">
        <v>97.0</v>
      </c>
      <c r="G31" s="30">
        <v>3.555097E7</v>
      </c>
    </row>
    <row r="32" ht="12.75" customHeight="1">
      <c r="A32" s="31">
        <v>156.0</v>
      </c>
      <c r="B32" s="32" t="s">
        <v>46319</v>
      </c>
      <c r="C32" s="33">
        <v>35.0</v>
      </c>
      <c r="D32" s="32" t="s">
        <v>46320</v>
      </c>
      <c r="E32" s="32" t="s">
        <v>46321</v>
      </c>
      <c r="F32" s="33">
        <v>13.0</v>
      </c>
      <c r="G32" s="34">
        <v>3.5560131E7</v>
      </c>
    </row>
    <row r="33" ht="12.75" customHeight="1">
      <c r="A33" s="27">
        <v>156.0</v>
      </c>
      <c r="B33" s="28" t="s">
        <v>46322</v>
      </c>
      <c r="C33" s="29">
        <v>35.0</v>
      </c>
      <c r="D33" s="28" t="s">
        <v>46323</v>
      </c>
      <c r="E33" s="28" t="s">
        <v>46324</v>
      </c>
      <c r="F33" s="29">
        <v>22.0</v>
      </c>
      <c r="G33" s="30">
        <v>3.5560223E7</v>
      </c>
    </row>
    <row r="34" ht="12.75" customHeight="1">
      <c r="A34" s="31">
        <v>156.0</v>
      </c>
      <c r="B34" s="32" t="s">
        <v>46325</v>
      </c>
      <c r="C34" s="33">
        <v>35.0</v>
      </c>
      <c r="D34" s="32" t="s">
        <v>46326</v>
      </c>
      <c r="E34" s="32" t="s">
        <v>46327</v>
      </c>
      <c r="F34" s="33">
        <v>28.0</v>
      </c>
      <c r="G34" s="34">
        <v>3.5560281E7</v>
      </c>
    </row>
    <row r="35" ht="12.75" customHeight="1">
      <c r="A35" s="27">
        <v>156.0</v>
      </c>
      <c r="B35" s="28" t="s">
        <v>46328</v>
      </c>
      <c r="C35" s="29">
        <v>35.0</v>
      </c>
      <c r="D35" s="28" t="s">
        <v>46329</v>
      </c>
      <c r="E35" s="28" t="s">
        <v>46330</v>
      </c>
      <c r="F35" s="29">
        <v>37.0</v>
      </c>
      <c r="G35" s="30">
        <v>3.5560373E7</v>
      </c>
    </row>
    <row r="36" ht="12.75" customHeight="1">
      <c r="A36" s="31">
        <v>156.0</v>
      </c>
      <c r="B36" s="32" t="s">
        <v>46331</v>
      </c>
      <c r="C36" s="33">
        <v>35.0</v>
      </c>
      <c r="D36" s="32" t="s">
        <v>46332</v>
      </c>
      <c r="E36" s="32" t="s">
        <v>46333</v>
      </c>
      <c r="F36" s="33">
        <v>40.0</v>
      </c>
      <c r="G36" s="34">
        <v>3.5560407E7</v>
      </c>
    </row>
    <row r="37" ht="12.75" customHeight="1">
      <c r="A37" s="27">
        <v>156.0</v>
      </c>
      <c r="B37" s="28" t="s">
        <v>46334</v>
      </c>
      <c r="C37" s="29">
        <v>35.0</v>
      </c>
      <c r="D37" s="28" t="s">
        <v>46335</v>
      </c>
      <c r="E37" s="28" t="s">
        <v>46336</v>
      </c>
      <c r="F37" s="29">
        <v>43.0</v>
      </c>
      <c r="G37" s="30">
        <v>3.5560436E7</v>
      </c>
    </row>
    <row r="38" ht="12.75" customHeight="1">
      <c r="A38" s="31">
        <v>156.0</v>
      </c>
      <c r="B38" s="32" t="s">
        <v>46337</v>
      </c>
      <c r="C38" s="33">
        <v>35.0</v>
      </c>
      <c r="D38" s="32" t="s">
        <v>46338</v>
      </c>
      <c r="E38" s="32" t="s">
        <v>46339</v>
      </c>
      <c r="F38" s="33">
        <v>46.0</v>
      </c>
      <c r="G38" s="34">
        <v>3.5560465E7</v>
      </c>
    </row>
    <row r="39" ht="12.75" customHeight="1">
      <c r="A39" s="27">
        <v>156.0</v>
      </c>
      <c r="B39" s="28" t="s">
        <v>46340</v>
      </c>
      <c r="C39" s="29">
        <v>35.0</v>
      </c>
      <c r="D39" s="28" t="s">
        <v>46341</v>
      </c>
      <c r="E39" s="28" t="s">
        <v>46342</v>
      </c>
      <c r="F39" s="29">
        <v>52.0</v>
      </c>
      <c r="G39" s="30">
        <v>3.5560528E7</v>
      </c>
    </row>
    <row r="40" ht="12.75" customHeight="1">
      <c r="A40" s="31">
        <v>156.0</v>
      </c>
      <c r="B40" s="32" t="s">
        <v>46343</v>
      </c>
      <c r="C40" s="33">
        <v>35.0</v>
      </c>
      <c r="D40" s="32" t="s">
        <v>46344</v>
      </c>
      <c r="E40" s="32" t="s">
        <v>46345</v>
      </c>
      <c r="F40" s="33">
        <v>57.0</v>
      </c>
      <c r="G40" s="34">
        <v>3.5560573E7</v>
      </c>
    </row>
    <row r="41" ht="12.75" customHeight="1">
      <c r="A41" s="27">
        <v>156.0</v>
      </c>
      <c r="B41" s="28" t="s">
        <v>46346</v>
      </c>
      <c r="C41" s="29">
        <v>35.0</v>
      </c>
      <c r="D41" s="28" t="s">
        <v>46347</v>
      </c>
      <c r="E41" s="28" t="s">
        <v>46348</v>
      </c>
      <c r="F41" s="29">
        <v>61.0</v>
      </c>
      <c r="G41" s="30">
        <v>3.556061E7</v>
      </c>
    </row>
    <row r="42" ht="12.75" customHeight="1">
      <c r="A42" s="31">
        <v>156.0</v>
      </c>
      <c r="B42" s="32" t="s">
        <v>46349</v>
      </c>
      <c r="C42" s="33">
        <v>35.0</v>
      </c>
      <c r="D42" s="32" t="s">
        <v>46350</v>
      </c>
      <c r="E42" s="32" t="s">
        <v>46351</v>
      </c>
      <c r="F42" s="33">
        <v>70.0</v>
      </c>
      <c r="G42" s="34">
        <v>3.5560702E7</v>
      </c>
    </row>
    <row r="43" ht="12.75" customHeight="1">
      <c r="A43" s="27">
        <v>156.0</v>
      </c>
      <c r="B43" s="28" t="s">
        <v>46352</v>
      </c>
      <c r="C43" s="29">
        <v>35.0</v>
      </c>
      <c r="D43" s="28" t="s">
        <v>46353</v>
      </c>
      <c r="E43" s="28" t="s">
        <v>46354</v>
      </c>
      <c r="F43" s="29">
        <v>76.0</v>
      </c>
      <c r="G43" s="30">
        <v>3.556076E7</v>
      </c>
    </row>
    <row r="44" ht="12.75" customHeight="1">
      <c r="A44" s="31">
        <v>156.0</v>
      </c>
      <c r="B44" s="32" t="s">
        <v>46355</v>
      </c>
      <c r="C44" s="33">
        <v>35.0</v>
      </c>
      <c r="D44" s="32" t="s">
        <v>46356</v>
      </c>
      <c r="E44" s="32" t="s">
        <v>46357</v>
      </c>
      <c r="F44" s="33">
        <v>79.0</v>
      </c>
      <c r="G44" s="34">
        <v>3.5560799E7</v>
      </c>
    </row>
    <row r="45" ht="12.75" customHeight="1">
      <c r="A45" s="27">
        <v>156.0</v>
      </c>
      <c r="B45" s="28" t="s">
        <v>46358</v>
      </c>
      <c r="C45" s="29">
        <v>35.0</v>
      </c>
      <c r="D45" s="28" t="s">
        <v>46359</v>
      </c>
      <c r="E45" s="28" t="s">
        <v>46360</v>
      </c>
      <c r="F45" s="29">
        <v>82.0</v>
      </c>
      <c r="G45" s="30">
        <v>3.5560823E7</v>
      </c>
    </row>
    <row r="46" ht="12.75" customHeight="1">
      <c r="A46" s="31">
        <v>457.0</v>
      </c>
      <c r="B46" s="32" t="s">
        <v>46361</v>
      </c>
      <c r="C46" s="33">
        <v>35.0</v>
      </c>
      <c r="D46" s="32" t="s">
        <v>46362</v>
      </c>
      <c r="E46" s="32" t="s">
        <v>46363</v>
      </c>
      <c r="F46" s="33">
        <v>16.0</v>
      </c>
      <c r="G46" s="34">
        <v>3.5570163E7</v>
      </c>
    </row>
    <row r="47" ht="12.75" customHeight="1">
      <c r="A47" s="27">
        <v>457.0</v>
      </c>
      <c r="B47" s="28" t="s">
        <v>46364</v>
      </c>
      <c r="C47" s="29">
        <v>35.0</v>
      </c>
      <c r="D47" s="28" t="s">
        <v>46365</v>
      </c>
      <c r="E47" s="28" t="s">
        <v>46366</v>
      </c>
      <c r="F47" s="29">
        <v>19.0</v>
      </c>
      <c r="G47" s="30">
        <v>3.5570192E7</v>
      </c>
    </row>
    <row r="48" ht="12.75" customHeight="1">
      <c r="A48" s="31">
        <v>457.0</v>
      </c>
      <c r="B48" s="32" t="s">
        <v>46367</v>
      </c>
      <c r="C48" s="33">
        <v>35.0</v>
      </c>
      <c r="D48" s="32" t="s">
        <v>46368</v>
      </c>
      <c r="E48" s="32" t="s">
        <v>46369</v>
      </c>
      <c r="F48" s="33">
        <v>22.0</v>
      </c>
      <c r="G48" s="34">
        <v>3.5570226E7</v>
      </c>
    </row>
    <row r="49" ht="12.75" customHeight="1">
      <c r="A49" s="27">
        <v>457.0</v>
      </c>
      <c r="B49" s="28" t="s">
        <v>46370</v>
      </c>
      <c r="C49" s="29">
        <v>35.0</v>
      </c>
      <c r="D49" s="28" t="s">
        <v>46371</v>
      </c>
      <c r="E49" s="28" t="s">
        <v>46372</v>
      </c>
      <c r="F49" s="29">
        <v>34.0</v>
      </c>
      <c r="G49" s="30">
        <v>3.5570347E7</v>
      </c>
    </row>
    <row r="50" ht="12.75" customHeight="1">
      <c r="A50" s="31">
        <v>457.0</v>
      </c>
      <c r="B50" s="32" t="s">
        <v>46373</v>
      </c>
      <c r="C50" s="33">
        <v>35.0</v>
      </c>
      <c r="D50" s="32" t="s">
        <v>46374</v>
      </c>
      <c r="E50" s="32" t="s">
        <v>46375</v>
      </c>
      <c r="F50" s="33">
        <v>37.0</v>
      </c>
      <c r="G50" s="34">
        <v>3.5570376E7</v>
      </c>
    </row>
    <row r="51" ht="12.75" customHeight="1">
      <c r="A51" s="27">
        <v>457.0</v>
      </c>
      <c r="B51" s="28" t="s">
        <v>46376</v>
      </c>
      <c r="C51" s="29">
        <v>35.0</v>
      </c>
      <c r="D51" s="28" t="s">
        <v>46377</v>
      </c>
      <c r="E51" s="28" t="s">
        <v>46378</v>
      </c>
      <c r="F51" s="29">
        <v>46.0</v>
      </c>
      <c r="G51" s="30">
        <v>3.5570468E7</v>
      </c>
    </row>
    <row r="52" ht="12.75" customHeight="1">
      <c r="A52" s="31">
        <v>457.0</v>
      </c>
      <c r="B52" s="32" t="s">
        <v>46379</v>
      </c>
      <c r="C52" s="33">
        <v>35.0</v>
      </c>
      <c r="D52" s="32" t="s">
        <v>46380</v>
      </c>
      <c r="E52" s="32" t="s">
        <v>46381</v>
      </c>
      <c r="F52" s="33">
        <v>52.0</v>
      </c>
      <c r="G52" s="34">
        <v>3.5570521E7</v>
      </c>
    </row>
    <row r="53" ht="12.75" customHeight="1">
      <c r="A53" s="27">
        <v>858.0</v>
      </c>
      <c r="B53" s="28" t="s">
        <v>46382</v>
      </c>
      <c r="C53" s="29">
        <v>35.0</v>
      </c>
      <c r="D53" s="28" t="s">
        <v>46383</v>
      </c>
      <c r="E53" s="28" t="s">
        <v>46384</v>
      </c>
      <c r="F53" s="29">
        <v>10.0</v>
      </c>
      <c r="G53" s="30">
        <v>3.5580108E7</v>
      </c>
    </row>
    <row r="54" ht="12.75" customHeight="1">
      <c r="A54" s="31">
        <v>858.0</v>
      </c>
      <c r="B54" s="32" t="s">
        <v>46385</v>
      </c>
      <c r="C54" s="33">
        <v>35.0</v>
      </c>
      <c r="D54" s="32" t="s">
        <v>46386</v>
      </c>
      <c r="E54" s="32" t="s">
        <v>46387</v>
      </c>
      <c r="F54" s="33">
        <v>13.0</v>
      </c>
      <c r="G54" s="34">
        <v>3.5580137E7</v>
      </c>
    </row>
    <row r="55" ht="12.75" customHeight="1">
      <c r="A55" s="27">
        <v>858.0</v>
      </c>
      <c r="B55" s="28" t="s">
        <v>46388</v>
      </c>
      <c r="C55" s="29">
        <v>35.0</v>
      </c>
      <c r="D55" s="28" t="s">
        <v>46389</v>
      </c>
      <c r="E55" s="28" t="s">
        <v>46390</v>
      </c>
      <c r="F55" s="29">
        <v>46.0</v>
      </c>
      <c r="G55" s="30">
        <v>3.5580461E7</v>
      </c>
    </row>
    <row r="56" ht="12.75" customHeight="1">
      <c r="A56" s="31">
        <v>858.0</v>
      </c>
      <c r="B56" s="32" t="s">
        <v>46391</v>
      </c>
      <c r="C56" s="33">
        <v>35.0</v>
      </c>
      <c r="D56" s="32" t="s">
        <v>46392</v>
      </c>
      <c r="E56" s="32" t="s">
        <v>46393</v>
      </c>
      <c r="F56" s="33">
        <v>67.0</v>
      </c>
      <c r="G56" s="34">
        <v>3.5580674E7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858.0</v>
      </c>
      <c r="B1" s="28" t="s">
        <v>46394</v>
      </c>
      <c r="C1" s="29">
        <v>35.0</v>
      </c>
      <c r="D1" s="28" t="s">
        <v>46395</v>
      </c>
      <c r="E1" s="28" t="s">
        <v>46396</v>
      </c>
      <c r="F1" s="29">
        <v>73.0</v>
      </c>
      <c r="G1" s="30">
        <v>3.5580737E7</v>
      </c>
    </row>
    <row r="2" ht="12.75" customHeight="1">
      <c r="A2" s="31">
        <v>858.0</v>
      </c>
      <c r="B2" s="32" t="s">
        <v>46397</v>
      </c>
      <c r="C2" s="33">
        <v>35.0</v>
      </c>
      <c r="D2" s="32" t="s">
        <v>46398</v>
      </c>
      <c r="E2" s="32" t="s">
        <v>46399</v>
      </c>
      <c r="F2" s="33">
        <v>76.0</v>
      </c>
      <c r="G2" s="34">
        <v>3.5580766E7</v>
      </c>
    </row>
    <row r="3" ht="12.75" customHeight="1">
      <c r="A3" s="27">
        <v>858.0</v>
      </c>
      <c r="B3" s="28" t="s">
        <v>46400</v>
      </c>
      <c r="C3" s="29">
        <v>35.0</v>
      </c>
      <c r="D3" s="28" t="s">
        <v>46401</v>
      </c>
      <c r="E3" s="28" t="s">
        <v>46402</v>
      </c>
      <c r="F3" s="29">
        <v>94.0</v>
      </c>
      <c r="G3" s="30">
        <v>3.558094E7</v>
      </c>
    </row>
    <row r="4" ht="12.75" customHeight="1">
      <c r="A4" s="31">
        <v>858.0</v>
      </c>
      <c r="B4" s="32" t="s">
        <v>46403</v>
      </c>
      <c r="C4" s="33">
        <v>35.0</v>
      </c>
      <c r="D4" s="32" t="s">
        <v>46404</v>
      </c>
      <c r="E4" s="32" t="s">
        <v>46405</v>
      </c>
      <c r="F4" s="31">
        <v>103.0</v>
      </c>
      <c r="G4" s="34">
        <v>3.5581031E7</v>
      </c>
    </row>
    <row r="5" ht="12.75" customHeight="1">
      <c r="A5" s="27">
        <v>858.0</v>
      </c>
      <c r="B5" s="28" t="s">
        <v>46406</v>
      </c>
      <c r="C5" s="29">
        <v>35.0</v>
      </c>
      <c r="D5" s="28" t="s">
        <v>46407</v>
      </c>
      <c r="E5" s="28" t="s">
        <v>46408</v>
      </c>
      <c r="F5" s="27">
        <v>109.0</v>
      </c>
      <c r="G5" s="30">
        <v>3.5581099E7</v>
      </c>
    </row>
    <row r="6" ht="12.75" customHeight="1">
      <c r="A6" s="31">
        <v>858.0</v>
      </c>
      <c r="B6" s="32" t="s">
        <v>46409</v>
      </c>
      <c r="C6" s="33">
        <v>35.0</v>
      </c>
      <c r="D6" s="32" t="s">
        <v>46410</v>
      </c>
      <c r="E6" s="32" t="s">
        <v>46411</v>
      </c>
      <c r="F6" s="31">
        <v>118.0</v>
      </c>
      <c r="G6" s="34">
        <v>3.5581181E7</v>
      </c>
    </row>
    <row r="7" ht="12.75" customHeight="1">
      <c r="A7" s="27">
        <v>858.0</v>
      </c>
      <c r="B7" s="28" t="s">
        <v>46412</v>
      </c>
      <c r="C7" s="29">
        <v>35.0</v>
      </c>
      <c r="D7" s="28" t="s">
        <v>46413</v>
      </c>
      <c r="E7" s="28" t="s">
        <v>46414</v>
      </c>
      <c r="F7" s="27">
        <v>139.0</v>
      </c>
      <c r="G7" s="30">
        <v>3.5581394E7</v>
      </c>
    </row>
    <row r="8" ht="12.75" customHeight="1">
      <c r="A8" s="31">
        <v>858.0</v>
      </c>
      <c r="B8" s="32" t="s">
        <v>46415</v>
      </c>
      <c r="C8" s="33">
        <v>35.0</v>
      </c>
      <c r="D8" s="32" t="s">
        <v>46416</v>
      </c>
      <c r="E8" s="32" t="s">
        <v>46417</v>
      </c>
      <c r="F8" s="31">
        <v>157.0</v>
      </c>
      <c r="G8" s="34">
        <v>3.5581578E7</v>
      </c>
    </row>
    <row r="9" ht="12.75" customHeight="1">
      <c r="A9" s="27">
        <v>858.0</v>
      </c>
      <c r="B9" s="28" t="s">
        <v>46418</v>
      </c>
      <c r="C9" s="29">
        <v>35.0</v>
      </c>
      <c r="D9" s="28" t="s">
        <v>46419</v>
      </c>
      <c r="E9" s="28" t="s">
        <v>46420</v>
      </c>
      <c r="F9" s="27">
        <v>166.0</v>
      </c>
      <c r="G9" s="30">
        <v>3.558166E7</v>
      </c>
    </row>
    <row r="10" ht="12.75" customHeight="1">
      <c r="A10" s="31">
        <v>858.0</v>
      </c>
      <c r="B10" s="32" t="s">
        <v>46421</v>
      </c>
      <c r="C10" s="33">
        <v>35.0</v>
      </c>
      <c r="D10" s="32" t="s">
        <v>46422</v>
      </c>
      <c r="E10" s="32" t="s">
        <v>46423</v>
      </c>
      <c r="F10" s="31">
        <v>172.0</v>
      </c>
      <c r="G10" s="34">
        <v>3.5581723E7</v>
      </c>
    </row>
    <row r="11" ht="12.75" customHeight="1">
      <c r="A11" s="27">
        <v>858.0</v>
      </c>
      <c r="B11" s="28" t="s">
        <v>46424</v>
      </c>
      <c r="C11" s="29">
        <v>35.0</v>
      </c>
      <c r="D11" s="28" t="s">
        <v>46425</v>
      </c>
      <c r="E11" s="28" t="s">
        <v>46426</v>
      </c>
      <c r="F11" s="27">
        <v>181.0</v>
      </c>
      <c r="G11" s="30">
        <v>3.5581815E7</v>
      </c>
    </row>
    <row r="12" ht="12.75" customHeight="1">
      <c r="A12" s="31">
        <v>159.0</v>
      </c>
      <c r="B12" s="32" t="s">
        <v>46427</v>
      </c>
      <c r="C12" s="33">
        <v>35.0</v>
      </c>
      <c r="D12" s="32" t="s">
        <v>46428</v>
      </c>
      <c r="E12" s="32" t="s">
        <v>46429</v>
      </c>
      <c r="F12" s="33">
        <v>7.0</v>
      </c>
      <c r="G12" s="34">
        <v>3.5590077E7</v>
      </c>
    </row>
    <row r="13" ht="12.75" customHeight="1">
      <c r="A13" s="27">
        <v>159.0</v>
      </c>
      <c r="B13" s="28" t="s">
        <v>46430</v>
      </c>
      <c r="C13" s="29">
        <v>35.0</v>
      </c>
      <c r="D13" s="28" t="s">
        <v>46431</v>
      </c>
      <c r="E13" s="28" t="s">
        <v>46432</v>
      </c>
      <c r="F13" s="29">
        <v>17.0</v>
      </c>
      <c r="G13" s="30">
        <v>3.5590172E7</v>
      </c>
    </row>
    <row r="14" ht="12.75" customHeight="1">
      <c r="A14" s="31">
        <v>159.0</v>
      </c>
      <c r="B14" s="32" t="s">
        <v>46433</v>
      </c>
      <c r="C14" s="33">
        <v>35.0</v>
      </c>
      <c r="D14" s="32" t="s">
        <v>46434</v>
      </c>
      <c r="E14" s="32" t="s">
        <v>46435</v>
      </c>
      <c r="F14" s="33">
        <v>25.0</v>
      </c>
      <c r="G14" s="34">
        <v>3.5590251E7</v>
      </c>
    </row>
    <row r="15" ht="12.75" customHeight="1">
      <c r="A15" s="27">
        <v>159.0</v>
      </c>
      <c r="B15" s="28" t="s">
        <v>46436</v>
      </c>
      <c r="C15" s="29">
        <v>35.0</v>
      </c>
      <c r="D15" s="28" t="s">
        <v>46437</v>
      </c>
      <c r="E15" s="28" t="s">
        <v>46438</v>
      </c>
      <c r="F15" s="29">
        <v>28.0</v>
      </c>
      <c r="G15" s="30">
        <v>3.559028E7</v>
      </c>
    </row>
    <row r="16" ht="12.75" customHeight="1">
      <c r="A16" s="31">
        <v>159.0</v>
      </c>
      <c r="B16" s="32" t="s">
        <v>46439</v>
      </c>
      <c r="C16" s="33">
        <v>35.0</v>
      </c>
      <c r="D16" s="32" t="s">
        <v>46440</v>
      </c>
      <c r="E16" s="32" t="s">
        <v>46441</v>
      </c>
      <c r="F16" s="33">
        <v>34.0</v>
      </c>
      <c r="G16" s="34">
        <v>3.5590343E7</v>
      </c>
    </row>
    <row r="17" ht="12.75" customHeight="1">
      <c r="A17" s="27">
        <v>159.0</v>
      </c>
      <c r="B17" s="28" t="s">
        <v>46442</v>
      </c>
      <c r="C17" s="29">
        <v>35.0</v>
      </c>
      <c r="D17" s="28" t="s">
        <v>46443</v>
      </c>
      <c r="E17" s="28" t="s">
        <v>46444</v>
      </c>
      <c r="F17" s="29">
        <v>46.0</v>
      </c>
      <c r="G17" s="30">
        <v>3.5590464E7</v>
      </c>
    </row>
    <row r="18" ht="12.75" customHeight="1">
      <c r="A18" s="31">
        <v>159.0</v>
      </c>
      <c r="B18" s="32" t="s">
        <v>46445</v>
      </c>
      <c r="C18" s="33">
        <v>35.0</v>
      </c>
      <c r="D18" s="32" t="s">
        <v>46446</v>
      </c>
      <c r="E18" s="32" t="s">
        <v>46447</v>
      </c>
      <c r="F18" s="33">
        <v>49.0</v>
      </c>
      <c r="G18" s="34">
        <v>3.5590493E7</v>
      </c>
    </row>
    <row r="19" ht="12.75" customHeight="1">
      <c r="A19" s="27">
        <v>159.0</v>
      </c>
      <c r="B19" s="28" t="s">
        <v>46448</v>
      </c>
      <c r="C19" s="29">
        <v>35.0</v>
      </c>
      <c r="D19" s="28" t="s">
        <v>46449</v>
      </c>
      <c r="E19" s="28" t="s">
        <v>46450</v>
      </c>
      <c r="F19" s="29">
        <v>58.0</v>
      </c>
      <c r="G19" s="30">
        <v>3.5590585E7</v>
      </c>
    </row>
    <row r="20" ht="12.75" customHeight="1">
      <c r="A20" s="31">
        <v>159.0</v>
      </c>
      <c r="B20" s="32" t="s">
        <v>46451</v>
      </c>
      <c r="C20" s="33">
        <v>35.0</v>
      </c>
      <c r="D20" s="32" t="s">
        <v>46452</v>
      </c>
      <c r="E20" s="32" t="s">
        <v>46453</v>
      </c>
      <c r="F20" s="33">
        <v>67.0</v>
      </c>
      <c r="G20" s="34">
        <v>3.5590677E7</v>
      </c>
    </row>
    <row r="21" ht="12.75" customHeight="1">
      <c r="A21" s="27">
        <v>159.0</v>
      </c>
      <c r="B21" s="28" t="s">
        <v>46454</v>
      </c>
      <c r="C21" s="29">
        <v>35.0</v>
      </c>
      <c r="D21" s="28" t="s">
        <v>46455</v>
      </c>
      <c r="E21" s="28" t="s">
        <v>46456</v>
      </c>
      <c r="F21" s="29">
        <v>85.0</v>
      </c>
      <c r="G21" s="30">
        <v>3.5590851E7</v>
      </c>
    </row>
    <row r="22" ht="12.75" customHeight="1">
      <c r="A22" s="31">
        <v>159.0</v>
      </c>
      <c r="B22" s="32" t="s">
        <v>46457</v>
      </c>
      <c r="C22" s="33">
        <v>35.0</v>
      </c>
      <c r="D22" s="32" t="s">
        <v>46458</v>
      </c>
      <c r="E22" s="32" t="s">
        <v>46459</v>
      </c>
      <c r="F22" s="33">
        <v>94.0</v>
      </c>
      <c r="G22" s="34">
        <v>3.5590943E7</v>
      </c>
    </row>
    <row r="23" ht="12.75" customHeight="1">
      <c r="A23" s="27">
        <v>159.0</v>
      </c>
      <c r="B23" s="28" t="s">
        <v>46460</v>
      </c>
      <c r="C23" s="29">
        <v>35.0</v>
      </c>
      <c r="D23" s="28" t="s">
        <v>46461</v>
      </c>
      <c r="E23" s="28" t="s">
        <v>46462</v>
      </c>
      <c r="F23" s="27">
        <v>103.0</v>
      </c>
      <c r="G23" s="30">
        <v>3.5591034E7</v>
      </c>
    </row>
    <row r="24" ht="12.75" customHeight="1">
      <c r="A24" s="31">
        <v>159.0</v>
      </c>
      <c r="B24" s="32" t="s">
        <v>46463</v>
      </c>
      <c r="C24" s="33">
        <v>35.0</v>
      </c>
      <c r="D24" s="32" t="s">
        <v>46464</v>
      </c>
      <c r="E24" s="32" t="s">
        <v>46465</v>
      </c>
      <c r="F24" s="31">
        <v>118.0</v>
      </c>
      <c r="G24" s="34">
        <v>3.5591184E7</v>
      </c>
    </row>
    <row r="25" ht="12.75" customHeight="1">
      <c r="A25" s="27">
        <v>159.0</v>
      </c>
      <c r="B25" s="28" t="s">
        <v>46466</v>
      </c>
      <c r="C25" s="29">
        <v>35.0</v>
      </c>
      <c r="D25" s="28" t="s">
        <v>46467</v>
      </c>
      <c r="E25" s="28" t="s">
        <v>46468</v>
      </c>
      <c r="F25" s="27">
        <v>127.0</v>
      </c>
      <c r="G25" s="30">
        <v>3.5591276E7</v>
      </c>
    </row>
    <row r="26" ht="12.75" customHeight="1">
      <c r="A26" s="31">
        <v>159.0</v>
      </c>
      <c r="B26" s="32" t="s">
        <v>46469</v>
      </c>
      <c r="C26" s="33">
        <v>35.0</v>
      </c>
      <c r="D26" s="32" t="s">
        <v>46470</v>
      </c>
      <c r="E26" s="32" t="s">
        <v>46471</v>
      </c>
      <c r="F26" s="31">
        <v>133.0</v>
      </c>
      <c r="G26" s="34">
        <v>3.5591339E7</v>
      </c>
    </row>
    <row r="27" ht="12.75" customHeight="1">
      <c r="A27" s="27">
        <v>159.0</v>
      </c>
      <c r="B27" s="28" t="s">
        <v>46472</v>
      </c>
      <c r="C27" s="29">
        <v>35.0</v>
      </c>
      <c r="D27" s="28" t="s">
        <v>46473</v>
      </c>
      <c r="E27" s="28" t="s">
        <v>46474</v>
      </c>
      <c r="F27" s="27">
        <v>142.0</v>
      </c>
      <c r="G27" s="30">
        <v>3.5591421E7</v>
      </c>
    </row>
    <row r="28" ht="12.75" customHeight="1">
      <c r="A28" s="31">
        <v>159.0</v>
      </c>
      <c r="B28" s="32" t="s">
        <v>46475</v>
      </c>
      <c r="C28" s="33">
        <v>35.0</v>
      </c>
      <c r="D28" s="32" t="s">
        <v>46476</v>
      </c>
      <c r="E28" s="32" t="s">
        <v>46477</v>
      </c>
      <c r="F28" s="31">
        <v>154.0</v>
      </c>
      <c r="G28" s="34">
        <v>3.5591542E7</v>
      </c>
    </row>
    <row r="29" ht="12.75" customHeight="1">
      <c r="A29" s="27">
        <v>161.0</v>
      </c>
      <c r="B29" s="28" t="s">
        <v>46478</v>
      </c>
      <c r="C29" s="29">
        <v>35.0</v>
      </c>
      <c r="D29" s="28" t="s">
        <v>46479</v>
      </c>
      <c r="E29" s="28" t="s">
        <v>46480</v>
      </c>
      <c r="F29" s="29">
        <v>4.0</v>
      </c>
      <c r="G29" s="30">
        <v>3.5610049E7</v>
      </c>
    </row>
    <row r="30" ht="12.75" customHeight="1">
      <c r="A30" s="31">
        <v>161.0</v>
      </c>
      <c r="B30" s="32" t="s">
        <v>46481</v>
      </c>
      <c r="C30" s="33">
        <v>35.0</v>
      </c>
      <c r="D30" s="32" t="s">
        <v>46482</v>
      </c>
      <c r="E30" s="32" t="s">
        <v>46483</v>
      </c>
      <c r="F30" s="33">
        <v>7.0</v>
      </c>
      <c r="G30" s="34">
        <v>3.5610078E7</v>
      </c>
    </row>
    <row r="31" ht="12.75" customHeight="1">
      <c r="A31" s="27">
        <v>161.0</v>
      </c>
      <c r="B31" s="28" t="s">
        <v>46484</v>
      </c>
      <c r="C31" s="29">
        <v>35.0</v>
      </c>
      <c r="D31" s="28" t="s">
        <v>46485</v>
      </c>
      <c r="E31" s="28" t="s">
        <v>46486</v>
      </c>
      <c r="F31" s="29">
        <v>8.0</v>
      </c>
      <c r="G31" s="30">
        <v>3.5610081E7</v>
      </c>
    </row>
    <row r="32" ht="12.75" customHeight="1">
      <c r="A32" s="31">
        <v>161.0</v>
      </c>
      <c r="B32" s="32" t="s">
        <v>46487</v>
      </c>
      <c r="C32" s="33">
        <v>35.0</v>
      </c>
      <c r="D32" s="32" t="s">
        <v>46488</v>
      </c>
      <c r="E32" s="32" t="s">
        <v>46489</v>
      </c>
      <c r="F32" s="33">
        <v>11.0</v>
      </c>
      <c r="G32" s="34">
        <v>3.5610115E7</v>
      </c>
    </row>
    <row r="33" ht="12.75" customHeight="1">
      <c r="A33" s="27">
        <v>161.0</v>
      </c>
      <c r="B33" s="28" t="s">
        <v>46490</v>
      </c>
      <c r="C33" s="29">
        <v>35.0</v>
      </c>
      <c r="D33" s="28" t="s">
        <v>46491</v>
      </c>
      <c r="E33" s="28" t="s">
        <v>46492</v>
      </c>
      <c r="F33" s="29">
        <v>16.0</v>
      </c>
      <c r="G33" s="30">
        <v>3.561016E7</v>
      </c>
    </row>
    <row r="34" ht="12.75" customHeight="1">
      <c r="A34" s="31">
        <v>161.0</v>
      </c>
      <c r="B34" s="32" t="s">
        <v>46493</v>
      </c>
      <c r="C34" s="33">
        <v>35.0</v>
      </c>
      <c r="D34" s="32" t="s">
        <v>46494</v>
      </c>
      <c r="E34" s="32" t="s">
        <v>46495</v>
      </c>
      <c r="F34" s="33">
        <v>19.0</v>
      </c>
      <c r="G34" s="34">
        <v>3.5610199E7</v>
      </c>
    </row>
    <row r="35" ht="12.75" customHeight="1">
      <c r="A35" s="27">
        <v>161.0</v>
      </c>
      <c r="B35" s="28" t="s">
        <v>46496</v>
      </c>
      <c r="C35" s="29">
        <v>35.0</v>
      </c>
      <c r="D35" s="28" t="s">
        <v>46497</v>
      </c>
      <c r="E35" s="28" t="s">
        <v>46498</v>
      </c>
      <c r="F35" s="29">
        <v>31.0</v>
      </c>
      <c r="G35" s="30">
        <v>3.5610315E7</v>
      </c>
    </row>
    <row r="36" ht="12.75" customHeight="1">
      <c r="A36" s="31">
        <v>161.0</v>
      </c>
      <c r="B36" s="32" t="s">
        <v>46499</v>
      </c>
      <c r="C36" s="33">
        <v>35.0</v>
      </c>
      <c r="D36" s="32" t="s">
        <v>46500</v>
      </c>
      <c r="E36" s="32" t="s">
        <v>46501</v>
      </c>
      <c r="F36" s="33">
        <v>37.0</v>
      </c>
      <c r="G36" s="34">
        <v>3.5610373E7</v>
      </c>
    </row>
    <row r="37" ht="12.75" customHeight="1">
      <c r="A37" s="27">
        <v>161.0</v>
      </c>
      <c r="B37" s="28" t="s">
        <v>46502</v>
      </c>
      <c r="C37" s="29">
        <v>35.0</v>
      </c>
      <c r="D37" s="28" t="s">
        <v>46503</v>
      </c>
      <c r="E37" s="28" t="s">
        <v>46504</v>
      </c>
      <c r="F37" s="29">
        <v>46.0</v>
      </c>
      <c r="G37" s="30">
        <v>3.5610465E7</v>
      </c>
    </row>
    <row r="38" ht="12.75" customHeight="1">
      <c r="A38" s="31">
        <v>161.0</v>
      </c>
      <c r="B38" s="32" t="s">
        <v>46505</v>
      </c>
      <c r="C38" s="33">
        <v>35.0</v>
      </c>
      <c r="D38" s="32" t="s">
        <v>46506</v>
      </c>
      <c r="E38" s="32" t="s">
        <v>46507</v>
      </c>
      <c r="F38" s="33">
        <v>55.0</v>
      </c>
      <c r="G38" s="34">
        <v>3.5610557E7</v>
      </c>
    </row>
    <row r="39" ht="12.75" customHeight="1">
      <c r="A39" s="27">
        <v>161.0</v>
      </c>
      <c r="B39" s="28" t="s">
        <v>46508</v>
      </c>
      <c r="C39" s="29">
        <v>35.0</v>
      </c>
      <c r="D39" s="28" t="s">
        <v>46509</v>
      </c>
      <c r="E39" s="28" t="s">
        <v>46510</v>
      </c>
      <c r="F39" s="29">
        <v>59.0</v>
      </c>
      <c r="G39" s="30">
        <v>3.5610599E7</v>
      </c>
    </row>
    <row r="40" ht="12.75" customHeight="1">
      <c r="A40" s="31">
        <v>161.0</v>
      </c>
      <c r="B40" s="32" t="s">
        <v>46511</v>
      </c>
      <c r="C40" s="33">
        <v>35.0</v>
      </c>
      <c r="D40" s="32" t="s">
        <v>46512</v>
      </c>
      <c r="E40" s="32" t="s">
        <v>46513</v>
      </c>
      <c r="F40" s="33">
        <v>67.0</v>
      </c>
      <c r="G40" s="34">
        <v>3.5610678E7</v>
      </c>
    </row>
    <row r="41" ht="12.75" customHeight="1">
      <c r="A41" s="27">
        <v>161.0</v>
      </c>
      <c r="B41" s="28" t="s">
        <v>46514</v>
      </c>
      <c r="C41" s="29">
        <v>35.0</v>
      </c>
      <c r="D41" s="28" t="s">
        <v>46515</v>
      </c>
      <c r="E41" s="28" t="s">
        <v>46516</v>
      </c>
      <c r="F41" s="29">
        <v>70.0</v>
      </c>
      <c r="G41" s="30">
        <v>3.5610702E7</v>
      </c>
    </row>
    <row r="42" ht="12.75" customHeight="1">
      <c r="A42" s="31">
        <v>161.0</v>
      </c>
      <c r="B42" s="32" t="s">
        <v>46517</v>
      </c>
      <c r="C42" s="33">
        <v>35.0</v>
      </c>
      <c r="D42" s="32" t="s">
        <v>46518</v>
      </c>
      <c r="E42" s="32" t="s">
        <v>46519</v>
      </c>
      <c r="F42" s="33">
        <v>76.0</v>
      </c>
      <c r="G42" s="34">
        <v>3.561076E7</v>
      </c>
    </row>
    <row r="43" ht="12.75" customHeight="1">
      <c r="A43" s="27">
        <v>161.0</v>
      </c>
      <c r="B43" s="28" t="s">
        <v>46520</v>
      </c>
      <c r="C43" s="29">
        <v>35.0</v>
      </c>
      <c r="D43" s="28" t="s">
        <v>46521</v>
      </c>
      <c r="E43" s="28" t="s">
        <v>46522</v>
      </c>
      <c r="F43" s="29">
        <v>79.0</v>
      </c>
      <c r="G43" s="30">
        <v>3.5610799E7</v>
      </c>
    </row>
    <row r="44" ht="12.75" customHeight="1">
      <c r="A44" s="31">
        <v>161.0</v>
      </c>
      <c r="B44" s="32" t="s">
        <v>46523</v>
      </c>
      <c r="C44" s="33">
        <v>35.0</v>
      </c>
      <c r="D44" s="32" t="s">
        <v>46524</v>
      </c>
      <c r="E44" s="32" t="s">
        <v>46525</v>
      </c>
      <c r="F44" s="33">
        <v>88.0</v>
      </c>
      <c r="G44" s="34">
        <v>3.5610881E7</v>
      </c>
    </row>
    <row r="45" ht="12.75" customHeight="1">
      <c r="A45" s="27">
        <v>161.0</v>
      </c>
      <c r="B45" s="28" t="s">
        <v>46526</v>
      </c>
      <c r="C45" s="29">
        <v>35.0</v>
      </c>
      <c r="D45" s="28" t="s">
        <v>46527</v>
      </c>
      <c r="E45" s="28" t="s">
        <v>46528</v>
      </c>
      <c r="F45" s="29">
        <v>94.0</v>
      </c>
      <c r="G45" s="30">
        <v>3.5610944E7</v>
      </c>
    </row>
    <row r="46" ht="12.75" customHeight="1">
      <c r="A46" s="31">
        <v>161.0</v>
      </c>
      <c r="B46" s="32" t="s">
        <v>46529</v>
      </c>
      <c r="C46" s="33">
        <v>35.0</v>
      </c>
      <c r="D46" s="32" t="s">
        <v>46530</v>
      </c>
      <c r="E46" s="32" t="s">
        <v>46531</v>
      </c>
      <c r="F46" s="33">
        <v>97.0</v>
      </c>
      <c r="G46" s="34">
        <v>3.5610973E7</v>
      </c>
    </row>
    <row r="47" ht="12.75" customHeight="1">
      <c r="A47" s="27">
        <v>161.0</v>
      </c>
      <c r="B47" s="28" t="s">
        <v>46532</v>
      </c>
      <c r="C47" s="29">
        <v>35.0</v>
      </c>
      <c r="D47" s="28" t="s">
        <v>46533</v>
      </c>
      <c r="E47" s="28" t="s">
        <v>46534</v>
      </c>
      <c r="F47" s="27">
        <v>100.0</v>
      </c>
      <c r="G47" s="30">
        <v>3.5611006E7</v>
      </c>
    </row>
    <row r="48" ht="12.75" customHeight="1">
      <c r="A48" s="31">
        <v>161.0</v>
      </c>
      <c r="B48" s="32" t="s">
        <v>46535</v>
      </c>
      <c r="C48" s="33">
        <v>35.0</v>
      </c>
      <c r="D48" s="32" t="s">
        <v>46536</v>
      </c>
      <c r="E48" s="32" t="s">
        <v>46537</v>
      </c>
      <c r="F48" s="31">
        <v>106.0</v>
      </c>
      <c r="G48" s="34">
        <v>3.5611064E7</v>
      </c>
    </row>
    <row r="49" ht="12.75" customHeight="1">
      <c r="A49" s="27">
        <v>161.0</v>
      </c>
      <c r="B49" s="28" t="s">
        <v>46538</v>
      </c>
      <c r="C49" s="29">
        <v>35.0</v>
      </c>
      <c r="D49" s="28" t="s">
        <v>46539</v>
      </c>
      <c r="E49" s="28" t="s">
        <v>46540</v>
      </c>
      <c r="F49" s="27">
        <v>112.0</v>
      </c>
      <c r="G49" s="30">
        <v>3.5611127E7</v>
      </c>
    </row>
    <row r="50" ht="12.75" customHeight="1">
      <c r="A50" s="31">
        <v>161.0</v>
      </c>
      <c r="B50" s="32" t="s">
        <v>46541</v>
      </c>
      <c r="C50" s="33">
        <v>35.0</v>
      </c>
      <c r="D50" s="32" t="s">
        <v>46542</v>
      </c>
      <c r="E50" s="32" t="s">
        <v>46543</v>
      </c>
      <c r="F50" s="31">
        <v>115.0</v>
      </c>
      <c r="G50" s="34">
        <v>3.5611156E7</v>
      </c>
    </row>
    <row r="51" ht="12.75" customHeight="1">
      <c r="A51" s="27">
        <v>161.0</v>
      </c>
      <c r="B51" s="28" t="s">
        <v>46544</v>
      </c>
      <c r="C51" s="29">
        <v>35.0</v>
      </c>
      <c r="D51" s="28" t="s">
        <v>46545</v>
      </c>
      <c r="E51" s="28" t="s">
        <v>46546</v>
      </c>
      <c r="F51" s="27">
        <v>118.0</v>
      </c>
      <c r="G51" s="30">
        <v>3.5611185E7</v>
      </c>
    </row>
    <row r="52" ht="12.75" customHeight="1">
      <c r="A52" s="31">
        <v>161.0</v>
      </c>
      <c r="B52" s="32" t="s">
        <v>46547</v>
      </c>
      <c r="C52" s="33">
        <v>35.0</v>
      </c>
      <c r="D52" s="32" t="s">
        <v>46548</v>
      </c>
      <c r="E52" s="32" t="s">
        <v>46549</v>
      </c>
      <c r="F52" s="31">
        <v>121.0</v>
      </c>
      <c r="G52" s="34">
        <v>3.5611219E7</v>
      </c>
    </row>
    <row r="53" ht="12.75" customHeight="1">
      <c r="A53" s="27">
        <v>161.0</v>
      </c>
      <c r="B53" s="28" t="s">
        <v>46550</v>
      </c>
      <c r="C53" s="29">
        <v>35.0</v>
      </c>
      <c r="D53" s="28" t="s">
        <v>46551</v>
      </c>
      <c r="E53" s="28" t="s">
        <v>46552</v>
      </c>
      <c r="F53" s="27">
        <v>127.0</v>
      </c>
      <c r="G53" s="30">
        <v>3.5611277E7</v>
      </c>
    </row>
    <row r="54" ht="12.75" customHeight="1">
      <c r="A54" s="31">
        <v>161.0</v>
      </c>
      <c r="B54" s="32" t="s">
        <v>46553</v>
      </c>
      <c r="C54" s="33">
        <v>35.0</v>
      </c>
      <c r="D54" s="32" t="s">
        <v>46554</v>
      </c>
      <c r="E54" s="32" t="s">
        <v>46555</v>
      </c>
      <c r="F54" s="31">
        <v>130.0</v>
      </c>
      <c r="G54" s="34">
        <v>3.5611301E7</v>
      </c>
    </row>
    <row r="55" ht="12.75" customHeight="1">
      <c r="A55" s="27">
        <v>161.0</v>
      </c>
      <c r="B55" s="28" t="s">
        <v>46556</v>
      </c>
      <c r="C55" s="29">
        <v>35.0</v>
      </c>
      <c r="D55" s="28" t="s">
        <v>46557</v>
      </c>
      <c r="E55" s="28" t="s">
        <v>46558</v>
      </c>
      <c r="F55" s="27">
        <v>133.0</v>
      </c>
      <c r="G55" s="30">
        <v>3.561133E7</v>
      </c>
    </row>
    <row r="56" ht="12.75" customHeight="1">
      <c r="A56" s="31">
        <v>161.0</v>
      </c>
      <c r="B56" s="32" t="s">
        <v>46559</v>
      </c>
      <c r="C56" s="33">
        <v>35.0</v>
      </c>
      <c r="D56" s="32" t="s">
        <v>46560</v>
      </c>
      <c r="E56" s="32" t="s">
        <v>46561</v>
      </c>
      <c r="F56" s="31">
        <v>145.0</v>
      </c>
      <c r="G56" s="34">
        <v>3.5611451E7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161.0</v>
      </c>
      <c r="B1" s="28" t="s">
        <v>46562</v>
      </c>
      <c r="C1" s="29">
        <v>35.0</v>
      </c>
      <c r="D1" s="28" t="s">
        <v>46563</v>
      </c>
      <c r="E1" s="28" t="s">
        <v>46564</v>
      </c>
      <c r="F1" s="27">
        <v>148.0</v>
      </c>
      <c r="G1" s="30">
        <v>3.561148E7</v>
      </c>
    </row>
    <row r="2" ht="12.75" customHeight="1">
      <c r="A2" s="31">
        <v>161.0</v>
      </c>
      <c r="B2" s="32" t="s">
        <v>46565</v>
      </c>
      <c r="C2" s="33">
        <v>35.0</v>
      </c>
      <c r="D2" s="32" t="s">
        <v>46566</v>
      </c>
      <c r="E2" s="32" t="s">
        <v>46567</v>
      </c>
      <c r="F2" s="31">
        <v>157.0</v>
      </c>
      <c r="G2" s="34">
        <v>3.5611572E7</v>
      </c>
    </row>
    <row r="3" ht="12.75" customHeight="1">
      <c r="A3" s="27">
        <v>161.0</v>
      </c>
      <c r="B3" s="28" t="s">
        <v>46568</v>
      </c>
      <c r="C3" s="29">
        <v>35.0</v>
      </c>
      <c r="D3" s="28" t="s">
        <v>46569</v>
      </c>
      <c r="E3" s="28" t="s">
        <v>46570</v>
      </c>
      <c r="F3" s="27">
        <v>166.0</v>
      </c>
      <c r="G3" s="30">
        <v>3.5611664E7</v>
      </c>
    </row>
    <row r="4" ht="12.75" customHeight="1">
      <c r="A4" s="31">
        <v>161.0</v>
      </c>
      <c r="B4" s="32" t="s">
        <v>46571</v>
      </c>
      <c r="C4" s="33">
        <v>35.0</v>
      </c>
      <c r="D4" s="32" t="s">
        <v>46572</v>
      </c>
      <c r="E4" s="32" t="s">
        <v>46573</v>
      </c>
      <c r="F4" s="31">
        <v>169.0</v>
      </c>
      <c r="G4" s="34">
        <v>3.5611693E7</v>
      </c>
    </row>
    <row r="5" ht="12.75" customHeight="1">
      <c r="A5" s="27">
        <v>161.0</v>
      </c>
      <c r="B5" s="28" t="s">
        <v>46574</v>
      </c>
      <c r="C5" s="29">
        <v>35.0</v>
      </c>
      <c r="D5" s="28" t="s">
        <v>46575</v>
      </c>
      <c r="E5" s="28" t="s">
        <v>46576</v>
      </c>
      <c r="F5" s="27">
        <v>175.0</v>
      </c>
      <c r="G5" s="30">
        <v>3.5611756E7</v>
      </c>
    </row>
    <row r="6" ht="12.75" customHeight="1">
      <c r="A6" s="31">
        <v>161.0</v>
      </c>
      <c r="B6" s="32" t="s">
        <v>46577</v>
      </c>
      <c r="C6" s="33">
        <v>35.0</v>
      </c>
      <c r="D6" s="32" t="s">
        <v>46578</v>
      </c>
      <c r="E6" s="32" t="s">
        <v>46579</v>
      </c>
      <c r="F6" s="31">
        <v>187.0</v>
      </c>
      <c r="G6" s="34">
        <v>3.5611877E7</v>
      </c>
    </row>
    <row r="7" ht="12.75" customHeight="1">
      <c r="A7" s="27">
        <v>161.0</v>
      </c>
      <c r="B7" s="28" t="s">
        <v>46580</v>
      </c>
      <c r="C7" s="29">
        <v>35.0</v>
      </c>
      <c r="D7" s="28" t="s">
        <v>46581</v>
      </c>
      <c r="E7" s="28" t="s">
        <v>46582</v>
      </c>
      <c r="F7" s="27">
        <v>190.0</v>
      </c>
      <c r="G7" s="30">
        <v>3.5611901E7</v>
      </c>
    </row>
    <row r="8" ht="12.75" customHeight="1">
      <c r="A8" s="31">
        <v>161.0</v>
      </c>
      <c r="B8" s="32" t="s">
        <v>46583</v>
      </c>
      <c r="C8" s="33">
        <v>35.0</v>
      </c>
      <c r="D8" s="32" t="s">
        <v>46584</v>
      </c>
      <c r="E8" s="32" t="s">
        <v>46585</v>
      </c>
      <c r="F8" s="31">
        <v>208.0</v>
      </c>
      <c r="G8" s="34">
        <v>3.5612089E7</v>
      </c>
    </row>
    <row r="9" ht="12.75" customHeight="1">
      <c r="A9" s="27">
        <v>161.0</v>
      </c>
      <c r="B9" s="28" t="s">
        <v>46586</v>
      </c>
      <c r="C9" s="29">
        <v>35.0</v>
      </c>
      <c r="D9" s="28" t="s">
        <v>46587</v>
      </c>
      <c r="E9" s="28" t="s">
        <v>46588</v>
      </c>
      <c r="F9" s="27">
        <v>215.0</v>
      </c>
      <c r="G9" s="30">
        <v>3.5612155E7</v>
      </c>
    </row>
    <row r="10" ht="12.75" customHeight="1">
      <c r="A10" s="31">
        <v>161.0</v>
      </c>
      <c r="B10" s="32" t="s">
        <v>46589</v>
      </c>
      <c r="C10" s="33">
        <v>35.0</v>
      </c>
      <c r="D10" s="32" t="s">
        <v>46590</v>
      </c>
      <c r="E10" s="32" t="s">
        <v>46591</v>
      </c>
      <c r="F10" s="31">
        <v>217.0</v>
      </c>
      <c r="G10" s="34">
        <v>3.5612171E7</v>
      </c>
    </row>
    <row r="11" ht="12.75" customHeight="1">
      <c r="A11" s="27">
        <v>161.0</v>
      </c>
      <c r="B11" s="28" t="s">
        <v>46592</v>
      </c>
      <c r="C11" s="29">
        <v>35.0</v>
      </c>
      <c r="D11" s="28" t="s">
        <v>46593</v>
      </c>
      <c r="E11" s="28" t="s">
        <v>46594</v>
      </c>
      <c r="F11" s="27">
        <v>226.0</v>
      </c>
      <c r="G11" s="30">
        <v>3.5612263E7</v>
      </c>
    </row>
    <row r="12" ht="12.75" customHeight="1">
      <c r="A12" s="31">
        <v>161.0</v>
      </c>
      <c r="B12" s="32" t="s">
        <v>46595</v>
      </c>
      <c r="C12" s="33">
        <v>35.0</v>
      </c>
      <c r="D12" s="32" t="s">
        <v>46596</v>
      </c>
      <c r="E12" s="32" t="s">
        <v>46597</v>
      </c>
      <c r="F12" s="31">
        <v>235.0</v>
      </c>
      <c r="G12" s="34">
        <v>3.5612355E7</v>
      </c>
    </row>
    <row r="13" ht="12.75" customHeight="1">
      <c r="A13" s="27">
        <v>465.0</v>
      </c>
      <c r="B13" s="28" t="s">
        <v>46598</v>
      </c>
      <c r="C13" s="29">
        <v>35.0</v>
      </c>
      <c r="D13" s="28" t="s">
        <v>46599</v>
      </c>
      <c r="E13" s="28" t="s">
        <v>46600</v>
      </c>
      <c r="F13" s="29">
        <v>25.0</v>
      </c>
      <c r="G13" s="30">
        <v>3.5650254E7</v>
      </c>
    </row>
    <row r="14" ht="12.75" customHeight="1">
      <c r="A14" s="31">
        <v>465.0</v>
      </c>
      <c r="B14" s="32" t="s">
        <v>46601</v>
      </c>
      <c r="C14" s="33">
        <v>35.0</v>
      </c>
      <c r="D14" s="32" t="s">
        <v>46602</v>
      </c>
      <c r="E14" s="32" t="s">
        <v>46603</v>
      </c>
      <c r="F14" s="33">
        <v>34.0</v>
      </c>
      <c r="G14" s="34">
        <v>3.5650346E7</v>
      </c>
    </row>
    <row r="15" ht="12.75" customHeight="1">
      <c r="A15" s="27">
        <v>465.0</v>
      </c>
      <c r="B15" s="28" t="s">
        <v>46604</v>
      </c>
      <c r="C15" s="29">
        <v>35.0</v>
      </c>
      <c r="D15" s="28" t="s">
        <v>46605</v>
      </c>
      <c r="E15" s="28" t="s">
        <v>46606</v>
      </c>
      <c r="F15" s="29">
        <v>40.0</v>
      </c>
      <c r="G15" s="30">
        <v>3.5650409E7</v>
      </c>
    </row>
    <row r="16" ht="12.75" customHeight="1">
      <c r="A16" s="31">
        <v>465.0</v>
      </c>
      <c r="B16" s="32" t="s">
        <v>46607</v>
      </c>
      <c r="C16" s="33">
        <v>35.0</v>
      </c>
      <c r="D16" s="32" t="s">
        <v>46608</v>
      </c>
      <c r="E16" s="32" t="s">
        <v>46609</v>
      </c>
      <c r="F16" s="33">
        <v>46.0</v>
      </c>
      <c r="G16" s="34">
        <v>3.5650467E7</v>
      </c>
    </row>
    <row r="17" ht="12.75" customHeight="1">
      <c r="A17" s="27">
        <v>465.0</v>
      </c>
      <c r="B17" s="28" t="s">
        <v>46610</v>
      </c>
      <c r="C17" s="29">
        <v>35.0</v>
      </c>
      <c r="D17" s="28" t="s">
        <v>46611</v>
      </c>
      <c r="E17" s="28" t="s">
        <v>46612</v>
      </c>
      <c r="F17" s="29">
        <v>61.0</v>
      </c>
      <c r="G17" s="30">
        <v>3.5650612E7</v>
      </c>
    </row>
    <row r="18" ht="12.75" customHeight="1">
      <c r="A18" s="31">
        <v>465.0</v>
      </c>
      <c r="B18" s="32" t="s">
        <v>46613</v>
      </c>
      <c r="C18" s="33">
        <v>35.0</v>
      </c>
      <c r="D18" s="32" t="s">
        <v>46614</v>
      </c>
      <c r="E18" s="32" t="s">
        <v>46615</v>
      </c>
      <c r="F18" s="33">
        <v>64.0</v>
      </c>
      <c r="G18" s="34">
        <v>3.5650641E7</v>
      </c>
    </row>
    <row r="19" ht="12.75" customHeight="1">
      <c r="A19" s="27">
        <v>465.0</v>
      </c>
      <c r="B19" s="28" t="s">
        <v>46616</v>
      </c>
      <c r="C19" s="29">
        <v>35.0</v>
      </c>
      <c r="D19" s="28" t="s">
        <v>46617</v>
      </c>
      <c r="E19" s="28" t="s">
        <v>46618</v>
      </c>
      <c r="F19" s="29">
        <v>76.0</v>
      </c>
      <c r="G19" s="30">
        <v>3.5650762E7</v>
      </c>
    </row>
    <row r="20" ht="12.75" customHeight="1">
      <c r="A20" s="31">
        <v>167.0</v>
      </c>
      <c r="B20" s="32" t="s">
        <v>46619</v>
      </c>
      <c r="C20" s="33">
        <v>35.0</v>
      </c>
      <c r="D20" s="32" t="s">
        <v>46620</v>
      </c>
      <c r="E20" s="32" t="s">
        <v>46621</v>
      </c>
      <c r="F20" s="33">
        <v>4.0</v>
      </c>
      <c r="G20" s="34">
        <v>3.5670047E7</v>
      </c>
    </row>
    <row r="21" ht="12.75" customHeight="1">
      <c r="A21" s="27">
        <v>167.0</v>
      </c>
      <c r="B21" s="28" t="s">
        <v>46622</v>
      </c>
      <c r="C21" s="29">
        <v>35.0</v>
      </c>
      <c r="D21" s="28" t="s">
        <v>46623</v>
      </c>
      <c r="E21" s="28" t="s">
        <v>46624</v>
      </c>
      <c r="F21" s="29">
        <v>8.0</v>
      </c>
      <c r="G21" s="30">
        <v>3.5670089E7</v>
      </c>
    </row>
    <row r="22" ht="12.75" customHeight="1">
      <c r="A22" s="31">
        <v>167.0</v>
      </c>
      <c r="B22" s="32" t="s">
        <v>46625</v>
      </c>
      <c r="C22" s="33">
        <v>35.0</v>
      </c>
      <c r="D22" s="32" t="s">
        <v>46626</v>
      </c>
      <c r="E22" s="32" t="s">
        <v>46627</v>
      </c>
      <c r="F22" s="33">
        <v>16.0</v>
      </c>
      <c r="G22" s="34">
        <v>3.5670168E7</v>
      </c>
    </row>
    <row r="23" ht="12.75" customHeight="1">
      <c r="A23" s="27">
        <v>167.0</v>
      </c>
      <c r="B23" s="28" t="s">
        <v>46628</v>
      </c>
      <c r="C23" s="29">
        <v>35.0</v>
      </c>
      <c r="D23" s="28" t="s">
        <v>46629</v>
      </c>
      <c r="E23" s="28" t="s">
        <v>46630</v>
      </c>
      <c r="F23" s="29">
        <v>52.0</v>
      </c>
      <c r="G23" s="30">
        <v>3.5670526E7</v>
      </c>
    </row>
    <row r="24" ht="12.75" customHeight="1">
      <c r="A24" s="31">
        <v>167.0</v>
      </c>
      <c r="B24" s="32" t="s">
        <v>46631</v>
      </c>
      <c r="C24" s="33">
        <v>35.0</v>
      </c>
      <c r="D24" s="32" t="s">
        <v>46632</v>
      </c>
      <c r="E24" s="32" t="s">
        <v>46633</v>
      </c>
      <c r="F24" s="33">
        <v>58.0</v>
      </c>
      <c r="G24" s="34">
        <v>3.5670584E7</v>
      </c>
    </row>
    <row r="25" ht="12.75" customHeight="1">
      <c r="A25" s="27">
        <v>167.0</v>
      </c>
      <c r="B25" s="28" t="s">
        <v>46634</v>
      </c>
      <c r="C25" s="29">
        <v>35.0</v>
      </c>
      <c r="D25" s="28" t="s">
        <v>46635</v>
      </c>
      <c r="E25" s="28" t="s">
        <v>46636</v>
      </c>
      <c r="F25" s="29">
        <v>64.0</v>
      </c>
      <c r="G25" s="30">
        <v>3.5670647E7</v>
      </c>
    </row>
    <row r="26" ht="12.75" customHeight="1">
      <c r="A26" s="31">
        <v>167.0</v>
      </c>
      <c r="B26" s="32" t="s">
        <v>46637</v>
      </c>
      <c r="C26" s="33">
        <v>35.0</v>
      </c>
      <c r="D26" s="32" t="s">
        <v>46638</v>
      </c>
      <c r="E26" s="32" t="s">
        <v>46639</v>
      </c>
      <c r="F26" s="33">
        <v>67.0</v>
      </c>
      <c r="G26" s="34">
        <v>3.5670676E7</v>
      </c>
    </row>
    <row r="27" ht="12.75" customHeight="1">
      <c r="A27" s="27">
        <v>167.0</v>
      </c>
      <c r="B27" s="28" t="s">
        <v>46640</v>
      </c>
      <c r="C27" s="29">
        <v>35.0</v>
      </c>
      <c r="D27" s="28" t="s">
        <v>46641</v>
      </c>
      <c r="E27" s="28" t="s">
        <v>46642</v>
      </c>
      <c r="F27" s="29">
        <v>70.0</v>
      </c>
      <c r="G27" s="30">
        <v>3.56707E7</v>
      </c>
    </row>
    <row r="28" ht="12.75" customHeight="1">
      <c r="A28" s="31">
        <v>167.0</v>
      </c>
      <c r="B28" s="32" t="s">
        <v>46643</v>
      </c>
      <c r="C28" s="33">
        <v>35.0</v>
      </c>
      <c r="D28" s="32" t="s">
        <v>46644</v>
      </c>
      <c r="E28" s="32" t="s">
        <v>46645</v>
      </c>
      <c r="F28" s="33">
        <v>97.0</v>
      </c>
      <c r="G28" s="34">
        <v>3.5670971E7</v>
      </c>
    </row>
    <row r="29" ht="12.75" customHeight="1">
      <c r="A29" s="27">
        <v>167.0</v>
      </c>
      <c r="B29" s="28" t="s">
        <v>46646</v>
      </c>
      <c r="C29" s="29">
        <v>35.0</v>
      </c>
      <c r="D29" s="28" t="s">
        <v>46647</v>
      </c>
      <c r="E29" s="28" t="s">
        <v>46648</v>
      </c>
      <c r="F29" s="27">
        <v>109.0</v>
      </c>
      <c r="G29" s="30">
        <v>3.5671091E7</v>
      </c>
    </row>
    <row r="30" ht="12.75" customHeight="1">
      <c r="A30" s="31">
        <v>167.0</v>
      </c>
      <c r="B30" s="32" t="s">
        <v>46649</v>
      </c>
      <c r="C30" s="33">
        <v>35.0</v>
      </c>
      <c r="D30" s="32" t="s">
        <v>46650</v>
      </c>
      <c r="E30" s="32" t="s">
        <v>46651</v>
      </c>
      <c r="F30" s="31">
        <v>118.0</v>
      </c>
      <c r="G30" s="34">
        <v>3.5671183E7</v>
      </c>
    </row>
    <row r="31" ht="12.75" customHeight="1">
      <c r="A31" s="27">
        <v>167.0</v>
      </c>
      <c r="B31" s="28" t="s">
        <v>46652</v>
      </c>
      <c r="C31" s="29">
        <v>35.0</v>
      </c>
      <c r="D31" s="28" t="s">
        <v>46653</v>
      </c>
      <c r="E31" s="28" t="s">
        <v>46654</v>
      </c>
      <c r="F31" s="27">
        <v>145.0</v>
      </c>
      <c r="G31" s="30">
        <v>3.5671459E7</v>
      </c>
    </row>
    <row r="32" ht="12.75" customHeight="1">
      <c r="A32" s="31">
        <v>167.0</v>
      </c>
      <c r="B32" s="32" t="s">
        <v>46655</v>
      </c>
      <c r="C32" s="33">
        <v>35.0</v>
      </c>
      <c r="D32" s="32" t="s">
        <v>46656</v>
      </c>
      <c r="E32" s="32" t="s">
        <v>46657</v>
      </c>
      <c r="F32" s="31">
        <v>151.0</v>
      </c>
      <c r="G32" s="34">
        <v>3.5671512E7</v>
      </c>
    </row>
    <row r="33" ht="12.75" customHeight="1">
      <c r="A33" s="27">
        <v>167.0</v>
      </c>
      <c r="B33" s="28" t="s">
        <v>46658</v>
      </c>
      <c r="C33" s="29">
        <v>35.0</v>
      </c>
      <c r="D33" s="28" t="s">
        <v>46659</v>
      </c>
      <c r="E33" s="28" t="s">
        <v>46660</v>
      </c>
      <c r="F33" s="27">
        <v>160.0</v>
      </c>
      <c r="G33" s="30">
        <v>3.5671604E7</v>
      </c>
    </row>
    <row r="34" ht="12.75" customHeight="1">
      <c r="A34" s="31">
        <v>167.0</v>
      </c>
      <c r="B34" s="32" t="s">
        <v>46661</v>
      </c>
      <c r="C34" s="33">
        <v>35.0</v>
      </c>
      <c r="D34" s="32" t="s">
        <v>46662</v>
      </c>
      <c r="E34" s="32" t="s">
        <v>46663</v>
      </c>
      <c r="F34" s="31">
        <v>169.0</v>
      </c>
      <c r="G34" s="34">
        <v>3.5671691E7</v>
      </c>
    </row>
    <row r="35" ht="12.75" customHeight="1">
      <c r="A35" s="27">
        <v>168.0</v>
      </c>
      <c r="B35" s="28" t="s">
        <v>46664</v>
      </c>
      <c r="C35" s="29">
        <v>35.0</v>
      </c>
      <c r="D35" s="28" t="s">
        <v>46665</v>
      </c>
      <c r="E35" s="28" t="s">
        <v>46666</v>
      </c>
      <c r="F35" s="29">
        <v>5.0</v>
      </c>
      <c r="G35" s="30">
        <v>3.5680053E7</v>
      </c>
    </row>
    <row r="36" ht="12.75" customHeight="1">
      <c r="A36" s="31">
        <v>168.0</v>
      </c>
      <c r="B36" s="32" t="s">
        <v>46667</v>
      </c>
      <c r="C36" s="33">
        <v>35.0</v>
      </c>
      <c r="D36" s="32" t="s">
        <v>46668</v>
      </c>
      <c r="E36" s="32" t="s">
        <v>46669</v>
      </c>
      <c r="F36" s="33">
        <v>6.0</v>
      </c>
      <c r="G36" s="34">
        <v>3.5680066E7</v>
      </c>
    </row>
    <row r="37" ht="12.75" customHeight="1">
      <c r="A37" s="27">
        <v>168.0</v>
      </c>
      <c r="B37" s="28" t="s">
        <v>46670</v>
      </c>
      <c r="C37" s="29">
        <v>35.0</v>
      </c>
      <c r="D37" s="28" t="s">
        <v>46671</v>
      </c>
      <c r="E37" s="28" t="s">
        <v>46672</v>
      </c>
      <c r="F37" s="29">
        <v>9.0</v>
      </c>
      <c r="G37" s="30">
        <v>3.5680095E7</v>
      </c>
    </row>
    <row r="38" ht="12.75" customHeight="1">
      <c r="A38" s="31">
        <v>168.0</v>
      </c>
      <c r="B38" s="32" t="s">
        <v>46673</v>
      </c>
      <c r="C38" s="33">
        <v>35.0</v>
      </c>
      <c r="D38" s="32" t="s">
        <v>46674</v>
      </c>
      <c r="E38" s="32" t="s">
        <v>46675</v>
      </c>
      <c r="F38" s="33">
        <v>10.0</v>
      </c>
      <c r="G38" s="34">
        <v>3.5680103E7</v>
      </c>
    </row>
    <row r="39" ht="12.75" customHeight="1">
      <c r="A39" s="27">
        <v>168.0</v>
      </c>
      <c r="B39" s="28" t="s">
        <v>46676</v>
      </c>
      <c r="C39" s="29">
        <v>35.0</v>
      </c>
      <c r="D39" s="28" t="s">
        <v>46677</v>
      </c>
      <c r="E39" s="28" t="s">
        <v>46678</v>
      </c>
      <c r="F39" s="29">
        <v>11.0</v>
      </c>
      <c r="G39" s="30">
        <v>3.5680116E7</v>
      </c>
    </row>
    <row r="40" ht="12.75" customHeight="1">
      <c r="A40" s="31">
        <v>168.0</v>
      </c>
      <c r="B40" s="32" t="s">
        <v>46679</v>
      </c>
      <c r="C40" s="33">
        <v>35.0</v>
      </c>
      <c r="D40" s="32" t="s">
        <v>46680</v>
      </c>
      <c r="E40" s="32" t="s">
        <v>46681</v>
      </c>
      <c r="F40" s="33">
        <v>16.0</v>
      </c>
      <c r="G40" s="34">
        <v>3.5680161E7</v>
      </c>
    </row>
    <row r="41" ht="12.75" customHeight="1">
      <c r="A41" s="27">
        <v>168.0</v>
      </c>
      <c r="B41" s="28" t="s">
        <v>46682</v>
      </c>
      <c r="C41" s="29">
        <v>35.0</v>
      </c>
      <c r="D41" s="28" t="s">
        <v>46683</v>
      </c>
      <c r="E41" s="28" t="s">
        <v>46684</v>
      </c>
      <c r="F41" s="29">
        <v>19.0</v>
      </c>
      <c r="G41" s="30">
        <v>3.568019E7</v>
      </c>
    </row>
    <row r="42" ht="12.75" customHeight="1">
      <c r="A42" s="31">
        <v>168.0</v>
      </c>
      <c r="B42" s="32" t="s">
        <v>46685</v>
      </c>
      <c r="C42" s="33">
        <v>35.0</v>
      </c>
      <c r="D42" s="32" t="s">
        <v>46686</v>
      </c>
      <c r="E42" s="32" t="s">
        <v>46687</v>
      </c>
      <c r="F42" s="33">
        <v>25.0</v>
      </c>
      <c r="G42" s="34">
        <v>3.5680253E7</v>
      </c>
    </row>
    <row r="43" ht="12.75" customHeight="1">
      <c r="A43" s="27">
        <v>168.0</v>
      </c>
      <c r="B43" s="28" t="s">
        <v>46688</v>
      </c>
      <c r="C43" s="29">
        <v>35.0</v>
      </c>
      <c r="D43" s="28" t="s">
        <v>46689</v>
      </c>
      <c r="E43" s="28" t="s">
        <v>46690</v>
      </c>
      <c r="F43" s="29">
        <v>37.0</v>
      </c>
      <c r="G43" s="30">
        <v>3.5680374E7</v>
      </c>
    </row>
    <row r="44" ht="12.75" customHeight="1">
      <c r="A44" s="31">
        <v>168.0</v>
      </c>
      <c r="B44" s="32" t="s">
        <v>46691</v>
      </c>
      <c r="C44" s="33">
        <v>35.0</v>
      </c>
      <c r="D44" s="32" t="s">
        <v>46692</v>
      </c>
      <c r="E44" s="32" t="s">
        <v>46693</v>
      </c>
      <c r="F44" s="33">
        <v>49.0</v>
      </c>
      <c r="G44" s="34">
        <v>3.5680495E7</v>
      </c>
    </row>
    <row r="45" ht="12.75" customHeight="1">
      <c r="A45" s="27">
        <v>168.0</v>
      </c>
      <c r="B45" s="28" t="s">
        <v>46694</v>
      </c>
      <c r="C45" s="29">
        <v>35.0</v>
      </c>
      <c r="D45" s="28" t="s">
        <v>46695</v>
      </c>
      <c r="E45" s="28" t="s">
        <v>46696</v>
      </c>
      <c r="F45" s="29">
        <v>55.0</v>
      </c>
      <c r="G45" s="30">
        <v>3.5680558E7</v>
      </c>
    </row>
    <row r="46" ht="12.75" customHeight="1">
      <c r="A46" s="31">
        <v>168.0</v>
      </c>
      <c r="B46" s="32" t="s">
        <v>46697</v>
      </c>
      <c r="C46" s="33">
        <v>35.0</v>
      </c>
      <c r="D46" s="32" t="s">
        <v>46698</v>
      </c>
      <c r="E46" s="32" t="s">
        <v>46699</v>
      </c>
      <c r="F46" s="33">
        <v>64.0</v>
      </c>
      <c r="G46" s="34">
        <v>3.568064E7</v>
      </c>
    </row>
    <row r="47" ht="12.75" customHeight="1">
      <c r="A47" s="27">
        <v>168.0</v>
      </c>
      <c r="B47" s="28" t="s">
        <v>46700</v>
      </c>
      <c r="C47" s="29">
        <v>35.0</v>
      </c>
      <c r="D47" s="28" t="s">
        <v>46701</v>
      </c>
      <c r="E47" s="28" t="s">
        <v>46702</v>
      </c>
      <c r="F47" s="29">
        <v>73.0</v>
      </c>
      <c r="G47" s="30">
        <v>3.5680732E7</v>
      </c>
    </row>
    <row r="48" ht="12.75" customHeight="1">
      <c r="A48" s="31">
        <v>168.0</v>
      </c>
      <c r="B48" s="32" t="s">
        <v>46703</v>
      </c>
      <c r="C48" s="33">
        <v>35.0</v>
      </c>
      <c r="D48" s="32" t="s">
        <v>46704</v>
      </c>
      <c r="E48" s="32" t="s">
        <v>46705</v>
      </c>
      <c r="F48" s="33">
        <v>76.0</v>
      </c>
      <c r="G48" s="34">
        <v>3.5680761E7</v>
      </c>
    </row>
    <row r="49" ht="12.75" customHeight="1">
      <c r="A49" s="27">
        <v>168.0</v>
      </c>
      <c r="B49" s="28" t="s">
        <v>46706</v>
      </c>
      <c r="C49" s="29">
        <v>35.0</v>
      </c>
      <c r="D49" s="28" t="s">
        <v>46707</v>
      </c>
      <c r="E49" s="28" t="s">
        <v>46708</v>
      </c>
      <c r="F49" s="29">
        <v>77.0</v>
      </c>
      <c r="G49" s="30">
        <v>3.5680774E7</v>
      </c>
    </row>
    <row r="50" ht="12.75" customHeight="1">
      <c r="A50" s="31">
        <v>168.0</v>
      </c>
      <c r="B50" s="32" t="s">
        <v>46709</v>
      </c>
      <c r="C50" s="33">
        <v>35.0</v>
      </c>
      <c r="D50" s="32" t="s">
        <v>46710</v>
      </c>
      <c r="E50" s="32" t="s">
        <v>46711</v>
      </c>
      <c r="F50" s="33">
        <v>85.0</v>
      </c>
      <c r="G50" s="34">
        <v>3.5680853E7</v>
      </c>
    </row>
    <row r="51" ht="12.75" customHeight="1">
      <c r="A51" s="27">
        <v>168.0</v>
      </c>
      <c r="B51" s="28" t="s">
        <v>46712</v>
      </c>
      <c r="C51" s="29">
        <v>35.0</v>
      </c>
      <c r="D51" s="28" t="s">
        <v>46713</v>
      </c>
      <c r="E51" s="28" t="s">
        <v>46714</v>
      </c>
      <c r="F51" s="29">
        <v>91.0</v>
      </c>
      <c r="G51" s="30">
        <v>3.5680916E7</v>
      </c>
    </row>
    <row r="52" ht="12.75" customHeight="1">
      <c r="A52" s="31">
        <v>168.0</v>
      </c>
      <c r="B52" s="32" t="s">
        <v>46715</v>
      </c>
      <c r="C52" s="33">
        <v>35.0</v>
      </c>
      <c r="D52" s="32" t="s">
        <v>46716</v>
      </c>
      <c r="E52" s="32" t="s">
        <v>46717</v>
      </c>
      <c r="F52" s="31">
        <v>100.0</v>
      </c>
      <c r="G52" s="34">
        <v>3.5681007E7</v>
      </c>
    </row>
    <row r="53" ht="12.75" customHeight="1">
      <c r="A53" s="27">
        <v>168.0</v>
      </c>
      <c r="B53" s="28" t="s">
        <v>46718</v>
      </c>
      <c r="C53" s="29">
        <v>35.0</v>
      </c>
      <c r="D53" s="28" t="s">
        <v>46719</v>
      </c>
      <c r="E53" s="28" t="s">
        <v>46720</v>
      </c>
      <c r="F53" s="27">
        <v>109.0</v>
      </c>
      <c r="G53" s="30">
        <v>3.5681094E7</v>
      </c>
    </row>
    <row r="54" ht="12.75" customHeight="1">
      <c r="A54" s="31">
        <v>168.0</v>
      </c>
      <c r="B54" s="32" t="s">
        <v>46721</v>
      </c>
      <c r="C54" s="33">
        <v>35.0</v>
      </c>
      <c r="D54" s="32" t="s">
        <v>46722</v>
      </c>
      <c r="E54" s="32" t="s">
        <v>46723</v>
      </c>
      <c r="F54" s="31">
        <v>124.0</v>
      </c>
      <c r="G54" s="34">
        <v>3.5681249E7</v>
      </c>
    </row>
    <row r="55" ht="12.75" customHeight="1">
      <c r="A55" s="27">
        <v>168.0</v>
      </c>
      <c r="B55" s="28" t="s">
        <v>46724</v>
      </c>
      <c r="C55" s="29">
        <v>35.0</v>
      </c>
      <c r="D55" s="28" t="s">
        <v>46725</v>
      </c>
      <c r="E55" s="28" t="s">
        <v>46726</v>
      </c>
      <c r="F55" s="27">
        <v>130.0</v>
      </c>
      <c r="G55" s="30">
        <v>3.5681302E7</v>
      </c>
    </row>
    <row r="56" ht="12.75" customHeight="1">
      <c r="A56" s="31">
        <v>172.0</v>
      </c>
      <c r="B56" s="32" t="s">
        <v>46727</v>
      </c>
      <c r="C56" s="33">
        <v>35.0</v>
      </c>
      <c r="D56" s="32" t="s">
        <v>46728</v>
      </c>
      <c r="E56" s="32" t="s">
        <v>46729</v>
      </c>
      <c r="F56" s="33">
        <v>4.0</v>
      </c>
      <c r="G56" s="34">
        <v>3.5720047E7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172.0</v>
      </c>
      <c r="B1" s="28" t="s">
        <v>46730</v>
      </c>
      <c r="C1" s="29">
        <v>35.0</v>
      </c>
      <c r="D1" s="28" t="s">
        <v>46731</v>
      </c>
      <c r="E1" s="28" t="s">
        <v>46732</v>
      </c>
      <c r="F1" s="29">
        <v>6.0</v>
      </c>
      <c r="G1" s="30">
        <v>3.5720063E7</v>
      </c>
    </row>
    <row r="2" ht="12.75" customHeight="1">
      <c r="A2" s="31">
        <v>172.0</v>
      </c>
      <c r="B2" s="32" t="s">
        <v>46733</v>
      </c>
      <c r="C2" s="33">
        <v>35.0</v>
      </c>
      <c r="D2" s="32" t="s">
        <v>46734</v>
      </c>
      <c r="E2" s="32" t="s">
        <v>46735</v>
      </c>
      <c r="F2" s="33">
        <v>7.0</v>
      </c>
      <c r="G2" s="34">
        <v>3.5720076E7</v>
      </c>
    </row>
    <row r="3" ht="12.75" customHeight="1">
      <c r="A3" s="27">
        <v>172.0</v>
      </c>
      <c r="B3" s="28" t="s">
        <v>46736</v>
      </c>
      <c r="C3" s="29">
        <v>35.0</v>
      </c>
      <c r="D3" s="28" t="s">
        <v>46737</v>
      </c>
      <c r="E3" s="28" t="s">
        <v>46738</v>
      </c>
      <c r="F3" s="29">
        <v>13.0</v>
      </c>
      <c r="G3" s="30">
        <v>3.5720139E7</v>
      </c>
    </row>
    <row r="4" ht="12.75" customHeight="1">
      <c r="A4" s="31">
        <v>172.0</v>
      </c>
      <c r="B4" s="32" t="s">
        <v>46739</v>
      </c>
      <c r="C4" s="33">
        <v>35.0</v>
      </c>
      <c r="D4" s="32" t="s">
        <v>46740</v>
      </c>
      <c r="E4" s="32" t="s">
        <v>46741</v>
      </c>
      <c r="F4" s="33">
        <v>16.0</v>
      </c>
      <c r="G4" s="34">
        <v>3.5720168E7</v>
      </c>
    </row>
    <row r="5" ht="12.75" customHeight="1">
      <c r="A5" s="27">
        <v>172.0</v>
      </c>
      <c r="B5" s="28" t="s">
        <v>46742</v>
      </c>
      <c r="C5" s="29">
        <v>35.0</v>
      </c>
      <c r="D5" s="28" t="s">
        <v>46743</v>
      </c>
      <c r="E5" s="28" t="s">
        <v>46744</v>
      </c>
      <c r="F5" s="29">
        <v>19.0</v>
      </c>
      <c r="G5" s="30">
        <v>3.5720197E7</v>
      </c>
    </row>
    <row r="6" ht="12.75" customHeight="1">
      <c r="A6" s="31">
        <v>172.0</v>
      </c>
      <c r="B6" s="32" t="s">
        <v>46745</v>
      </c>
      <c r="C6" s="33">
        <v>35.0</v>
      </c>
      <c r="D6" s="32" t="s">
        <v>46746</v>
      </c>
      <c r="E6" s="32" t="s">
        <v>46747</v>
      </c>
      <c r="F6" s="33">
        <v>25.0</v>
      </c>
      <c r="G6" s="34">
        <v>3.572025E7</v>
      </c>
    </row>
    <row r="7" ht="12.75" customHeight="1">
      <c r="A7" s="27">
        <v>172.0</v>
      </c>
      <c r="B7" s="28" t="s">
        <v>46748</v>
      </c>
      <c r="C7" s="29">
        <v>35.0</v>
      </c>
      <c r="D7" s="28" t="s">
        <v>46749</v>
      </c>
      <c r="E7" s="28" t="s">
        <v>46750</v>
      </c>
      <c r="F7" s="29">
        <v>31.0</v>
      </c>
      <c r="G7" s="30">
        <v>3.5720313E7</v>
      </c>
    </row>
    <row r="8" ht="12.75" customHeight="1">
      <c r="A8" s="31">
        <v>172.0</v>
      </c>
      <c r="B8" s="32" t="s">
        <v>46751</v>
      </c>
      <c r="C8" s="33">
        <v>35.0</v>
      </c>
      <c r="D8" s="32" t="s">
        <v>46752</v>
      </c>
      <c r="E8" s="32" t="s">
        <v>46753</v>
      </c>
      <c r="F8" s="33">
        <v>40.0</v>
      </c>
      <c r="G8" s="34">
        <v>3.5720405E7</v>
      </c>
    </row>
    <row r="9" ht="12.75" customHeight="1">
      <c r="A9" s="27">
        <v>172.0</v>
      </c>
      <c r="B9" s="28" t="s">
        <v>46754</v>
      </c>
      <c r="C9" s="29">
        <v>35.0</v>
      </c>
      <c r="D9" s="28" t="s">
        <v>46755</v>
      </c>
      <c r="E9" s="28" t="s">
        <v>46756</v>
      </c>
      <c r="F9" s="29">
        <v>43.0</v>
      </c>
      <c r="G9" s="30">
        <v>3.5720434E7</v>
      </c>
    </row>
    <row r="10" ht="12.75" customHeight="1">
      <c r="A10" s="31">
        <v>172.0</v>
      </c>
      <c r="B10" s="32" t="s">
        <v>46757</v>
      </c>
      <c r="C10" s="33">
        <v>35.0</v>
      </c>
      <c r="D10" s="32" t="s">
        <v>46758</v>
      </c>
      <c r="E10" s="32" t="s">
        <v>46759</v>
      </c>
      <c r="F10" s="33">
        <v>46.0</v>
      </c>
      <c r="G10" s="34">
        <v>3.5720463E7</v>
      </c>
    </row>
    <row r="11" ht="12.75" customHeight="1">
      <c r="A11" s="27">
        <v>172.0</v>
      </c>
      <c r="B11" s="28" t="s">
        <v>46760</v>
      </c>
      <c r="C11" s="29">
        <v>35.0</v>
      </c>
      <c r="D11" s="28" t="s">
        <v>46761</v>
      </c>
      <c r="E11" s="28" t="s">
        <v>46762</v>
      </c>
      <c r="F11" s="29">
        <v>49.0</v>
      </c>
      <c r="G11" s="30">
        <v>3.5720492E7</v>
      </c>
    </row>
    <row r="12" ht="12.75" customHeight="1">
      <c r="A12" s="31">
        <v>172.0</v>
      </c>
      <c r="B12" s="32" t="s">
        <v>46763</v>
      </c>
      <c r="C12" s="33">
        <v>35.0</v>
      </c>
      <c r="D12" s="32" t="s">
        <v>46764</v>
      </c>
      <c r="E12" s="32" t="s">
        <v>46765</v>
      </c>
      <c r="F12" s="33">
        <v>52.0</v>
      </c>
      <c r="G12" s="34">
        <v>3.5720526E7</v>
      </c>
    </row>
    <row r="13" ht="12.75" customHeight="1">
      <c r="A13" s="27">
        <v>172.0</v>
      </c>
      <c r="B13" s="28" t="s">
        <v>46766</v>
      </c>
      <c r="C13" s="29">
        <v>35.0</v>
      </c>
      <c r="D13" s="28" t="s">
        <v>46767</v>
      </c>
      <c r="E13" s="28" t="s">
        <v>46768</v>
      </c>
      <c r="F13" s="29">
        <v>55.0</v>
      </c>
      <c r="G13" s="30">
        <v>3.5720555E7</v>
      </c>
    </row>
    <row r="14" ht="12.75" customHeight="1">
      <c r="A14" s="31">
        <v>172.0</v>
      </c>
      <c r="B14" s="32" t="s">
        <v>46769</v>
      </c>
      <c r="C14" s="33">
        <v>35.0</v>
      </c>
      <c r="D14" s="32" t="s">
        <v>46770</v>
      </c>
      <c r="E14" s="32" t="s">
        <v>46771</v>
      </c>
      <c r="F14" s="33">
        <v>61.0</v>
      </c>
      <c r="G14" s="34">
        <v>3.5720618E7</v>
      </c>
    </row>
    <row r="15" ht="12.75" customHeight="1">
      <c r="A15" s="27">
        <v>172.0</v>
      </c>
      <c r="B15" s="28" t="s">
        <v>46772</v>
      </c>
      <c r="C15" s="29">
        <v>35.0</v>
      </c>
      <c r="D15" s="28" t="s">
        <v>46773</v>
      </c>
      <c r="E15" s="28" t="s">
        <v>46774</v>
      </c>
      <c r="F15" s="29">
        <v>67.0</v>
      </c>
      <c r="G15" s="30">
        <v>3.5720676E7</v>
      </c>
    </row>
    <row r="16" ht="12.75" customHeight="1">
      <c r="A16" s="31">
        <v>172.0</v>
      </c>
      <c r="B16" s="32" t="s">
        <v>46775</v>
      </c>
      <c r="C16" s="33">
        <v>35.0</v>
      </c>
      <c r="D16" s="32" t="s">
        <v>46776</v>
      </c>
      <c r="E16" s="32" t="s">
        <v>46777</v>
      </c>
      <c r="F16" s="33">
        <v>70.0</v>
      </c>
      <c r="G16" s="34">
        <v>3.57207E7</v>
      </c>
    </row>
    <row r="17" ht="12.75" customHeight="1">
      <c r="A17" s="27">
        <v>172.0</v>
      </c>
      <c r="B17" s="28" t="s">
        <v>46778</v>
      </c>
      <c r="C17" s="29">
        <v>35.0</v>
      </c>
      <c r="D17" s="28" t="s">
        <v>46779</v>
      </c>
      <c r="E17" s="28" t="s">
        <v>46780</v>
      </c>
      <c r="F17" s="29">
        <v>73.0</v>
      </c>
      <c r="G17" s="30">
        <v>3.5720739E7</v>
      </c>
    </row>
    <row r="18" ht="12.75" customHeight="1">
      <c r="A18" s="31">
        <v>172.0</v>
      </c>
      <c r="B18" s="32" t="s">
        <v>46781</v>
      </c>
      <c r="C18" s="33">
        <v>35.0</v>
      </c>
      <c r="D18" s="32" t="s">
        <v>46782</v>
      </c>
      <c r="E18" s="32" t="s">
        <v>46783</v>
      </c>
      <c r="F18" s="33">
        <v>79.0</v>
      </c>
      <c r="G18" s="34">
        <v>3.5720797E7</v>
      </c>
    </row>
    <row r="19" ht="12.75" customHeight="1">
      <c r="A19" s="27">
        <v>172.0</v>
      </c>
      <c r="B19" s="28" t="s">
        <v>46784</v>
      </c>
      <c r="C19" s="29">
        <v>35.0</v>
      </c>
      <c r="D19" s="28" t="s">
        <v>46785</v>
      </c>
      <c r="E19" s="28" t="s">
        <v>46786</v>
      </c>
      <c r="F19" s="29">
        <v>91.0</v>
      </c>
      <c r="G19" s="30">
        <v>3.5720913E7</v>
      </c>
    </row>
    <row r="20" ht="12.75" customHeight="1">
      <c r="A20" s="31">
        <v>172.0</v>
      </c>
      <c r="B20" s="32" t="s">
        <v>46787</v>
      </c>
      <c r="C20" s="33">
        <v>35.0</v>
      </c>
      <c r="D20" s="32" t="s">
        <v>46788</v>
      </c>
      <c r="E20" s="32" t="s">
        <v>46789</v>
      </c>
      <c r="F20" s="33">
        <v>94.0</v>
      </c>
      <c r="G20" s="34">
        <v>3.5720942E7</v>
      </c>
    </row>
    <row r="21" ht="12.75" customHeight="1">
      <c r="A21" s="27">
        <v>172.0</v>
      </c>
      <c r="B21" s="28" t="s">
        <v>46790</v>
      </c>
      <c r="C21" s="29">
        <v>35.0</v>
      </c>
      <c r="D21" s="28" t="s">
        <v>46791</v>
      </c>
      <c r="E21" s="28" t="s">
        <v>46792</v>
      </c>
      <c r="F21" s="29">
        <v>97.0</v>
      </c>
      <c r="G21" s="30">
        <v>3.5720971E7</v>
      </c>
    </row>
    <row r="22" ht="12.75" customHeight="1">
      <c r="A22" s="31">
        <v>275.0</v>
      </c>
      <c r="B22" s="32" t="s">
        <v>46793</v>
      </c>
      <c r="C22" s="33">
        <v>35.0</v>
      </c>
      <c r="D22" s="32" t="s">
        <v>46794</v>
      </c>
      <c r="E22" s="32" t="s">
        <v>46795</v>
      </c>
      <c r="F22" s="33">
        <v>8.0</v>
      </c>
      <c r="G22" s="34">
        <v>3.5750088E7</v>
      </c>
    </row>
    <row r="23" ht="12.75" customHeight="1">
      <c r="A23" s="27">
        <v>275.0</v>
      </c>
      <c r="B23" s="28" t="s">
        <v>46796</v>
      </c>
      <c r="C23" s="29">
        <v>35.0</v>
      </c>
      <c r="D23" s="28" t="s">
        <v>46797</v>
      </c>
      <c r="E23" s="28" t="s">
        <v>46798</v>
      </c>
      <c r="F23" s="29">
        <v>9.0</v>
      </c>
      <c r="G23" s="30">
        <v>3.5750091E7</v>
      </c>
    </row>
    <row r="24" ht="12.75" customHeight="1">
      <c r="A24" s="31">
        <v>275.0</v>
      </c>
      <c r="B24" s="32" t="s">
        <v>46799</v>
      </c>
      <c r="C24" s="33">
        <v>35.0</v>
      </c>
      <c r="D24" s="32" t="s">
        <v>46800</v>
      </c>
      <c r="E24" s="32" t="s">
        <v>46801</v>
      </c>
      <c r="F24" s="33">
        <v>12.0</v>
      </c>
      <c r="G24" s="34">
        <v>3.5750125E7</v>
      </c>
    </row>
    <row r="25" ht="12.75" customHeight="1">
      <c r="A25" s="27">
        <v>275.0</v>
      </c>
      <c r="B25" s="28" t="s">
        <v>46802</v>
      </c>
      <c r="C25" s="29">
        <v>35.0</v>
      </c>
      <c r="D25" s="28" t="s">
        <v>46803</v>
      </c>
      <c r="E25" s="28" t="s">
        <v>46804</v>
      </c>
      <c r="F25" s="29">
        <v>25.0</v>
      </c>
      <c r="G25" s="30">
        <v>3.5750259E7</v>
      </c>
    </row>
    <row r="26" ht="12.75" customHeight="1">
      <c r="A26" s="31">
        <v>275.0</v>
      </c>
      <c r="B26" s="32" t="s">
        <v>46805</v>
      </c>
      <c r="C26" s="33">
        <v>35.0</v>
      </c>
      <c r="D26" s="32" t="s">
        <v>46806</v>
      </c>
      <c r="E26" s="32" t="s">
        <v>46807</v>
      </c>
      <c r="F26" s="33">
        <v>28.0</v>
      </c>
      <c r="G26" s="34">
        <v>3.5750288E7</v>
      </c>
    </row>
    <row r="27" ht="12.75" customHeight="1">
      <c r="A27" s="27">
        <v>275.0</v>
      </c>
      <c r="B27" s="28" t="s">
        <v>46808</v>
      </c>
      <c r="C27" s="29">
        <v>35.0</v>
      </c>
      <c r="D27" s="28" t="s">
        <v>46809</v>
      </c>
      <c r="E27" s="28" t="s">
        <v>46810</v>
      </c>
      <c r="F27" s="29">
        <v>46.0</v>
      </c>
      <c r="G27" s="30">
        <v>3.5750462E7</v>
      </c>
    </row>
    <row r="28" ht="12.75" customHeight="1">
      <c r="A28" s="31">
        <v>275.0</v>
      </c>
      <c r="B28" s="32" t="s">
        <v>46811</v>
      </c>
      <c r="C28" s="33">
        <v>35.0</v>
      </c>
      <c r="D28" s="32" t="s">
        <v>46812</v>
      </c>
      <c r="E28" s="32" t="s">
        <v>46813</v>
      </c>
      <c r="F28" s="33">
        <v>52.0</v>
      </c>
      <c r="G28" s="34">
        <v>3.5750525E7</v>
      </c>
    </row>
    <row r="29" ht="12.75" customHeight="1">
      <c r="A29" s="27">
        <v>275.0</v>
      </c>
      <c r="B29" s="28" t="s">
        <v>46814</v>
      </c>
      <c r="C29" s="29">
        <v>35.0</v>
      </c>
      <c r="D29" s="28" t="s">
        <v>46815</v>
      </c>
      <c r="E29" s="28" t="s">
        <v>46816</v>
      </c>
      <c r="F29" s="29">
        <v>58.0</v>
      </c>
      <c r="G29" s="30">
        <v>3.5750583E7</v>
      </c>
    </row>
    <row r="30" ht="12.75" customHeight="1">
      <c r="A30" s="31">
        <v>275.0</v>
      </c>
      <c r="B30" s="32" t="s">
        <v>46817</v>
      </c>
      <c r="C30" s="33">
        <v>35.0</v>
      </c>
      <c r="D30" s="32" t="s">
        <v>46818</v>
      </c>
      <c r="E30" s="32" t="s">
        <v>46819</v>
      </c>
      <c r="F30" s="33">
        <v>67.0</v>
      </c>
      <c r="G30" s="34">
        <v>3.5750675E7</v>
      </c>
    </row>
    <row r="31" ht="12.75" customHeight="1">
      <c r="A31" s="27">
        <v>275.0</v>
      </c>
      <c r="B31" s="28" t="s">
        <v>46820</v>
      </c>
      <c r="C31" s="29">
        <v>35.0</v>
      </c>
      <c r="D31" s="28" t="s">
        <v>46821</v>
      </c>
      <c r="E31" s="28" t="s">
        <v>46822</v>
      </c>
      <c r="F31" s="29">
        <v>88.0</v>
      </c>
      <c r="G31" s="30">
        <v>3.5750888E7</v>
      </c>
    </row>
    <row r="32" ht="12.75" customHeight="1">
      <c r="A32" s="31">
        <v>275.0</v>
      </c>
      <c r="B32" s="32" t="s">
        <v>46823</v>
      </c>
      <c r="C32" s="33">
        <v>35.0</v>
      </c>
      <c r="D32" s="32" t="s">
        <v>46824</v>
      </c>
      <c r="E32" s="32" t="s">
        <v>46825</v>
      </c>
      <c r="F32" s="31">
        <v>109.0</v>
      </c>
      <c r="G32" s="34">
        <v>3.575109E7</v>
      </c>
    </row>
    <row r="33" ht="12.75" customHeight="1">
      <c r="A33" s="27">
        <v>275.0</v>
      </c>
      <c r="B33" s="28" t="s">
        <v>46826</v>
      </c>
      <c r="C33" s="29">
        <v>35.0</v>
      </c>
      <c r="D33" s="28" t="s">
        <v>46827</v>
      </c>
      <c r="E33" s="28" t="s">
        <v>46828</v>
      </c>
      <c r="F33" s="27">
        <v>112.0</v>
      </c>
      <c r="G33" s="30">
        <v>3.5751124E7</v>
      </c>
    </row>
    <row r="34" ht="12.75" customHeight="1">
      <c r="A34" s="31">
        <v>275.0</v>
      </c>
      <c r="B34" s="32" t="s">
        <v>46829</v>
      </c>
      <c r="C34" s="33">
        <v>35.0</v>
      </c>
      <c r="D34" s="32" t="s">
        <v>46830</v>
      </c>
      <c r="E34" s="32" t="s">
        <v>46831</v>
      </c>
      <c r="F34" s="31">
        <v>121.0</v>
      </c>
      <c r="G34" s="34">
        <v>3.5751216E7</v>
      </c>
    </row>
    <row r="35" ht="12.75" customHeight="1">
      <c r="A35" s="27">
        <v>275.0</v>
      </c>
      <c r="B35" s="28" t="s">
        <v>46832</v>
      </c>
      <c r="C35" s="29">
        <v>35.0</v>
      </c>
      <c r="D35" s="28" t="s">
        <v>46833</v>
      </c>
      <c r="E35" s="28" t="s">
        <v>46834</v>
      </c>
      <c r="F35" s="27">
        <v>124.0</v>
      </c>
      <c r="G35" s="30">
        <v>3.5751245E7</v>
      </c>
    </row>
    <row r="36" ht="12.75" customHeight="1">
      <c r="A36" s="31">
        <v>275.0</v>
      </c>
      <c r="B36" s="32" t="s">
        <v>46835</v>
      </c>
      <c r="C36" s="33">
        <v>35.0</v>
      </c>
      <c r="D36" s="32" t="s">
        <v>46836</v>
      </c>
      <c r="E36" s="32" t="s">
        <v>46837</v>
      </c>
      <c r="F36" s="31">
        <v>151.0</v>
      </c>
      <c r="G36" s="34">
        <v>3.5751511E7</v>
      </c>
    </row>
    <row r="37" ht="12.75" customHeight="1">
      <c r="A37" s="27">
        <v>275.0</v>
      </c>
      <c r="B37" s="28" t="s">
        <v>46838</v>
      </c>
      <c r="C37" s="29">
        <v>35.0</v>
      </c>
      <c r="D37" s="28" t="s">
        <v>46839</v>
      </c>
      <c r="E37" s="28" t="s">
        <v>46840</v>
      </c>
      <c r="F37" s="27">
        <v>157.0</v>
      </c>
      <c r="G37" s="30">
        <v>3.5751579E7</v>
      </c>
    </row>
    <row r="38" ht="12.75" customHeight="1">
      <c r="A38" s="31">
        <v>275.0</v>
      </c>
      <c r="B38" s="32" t="s">
        <v>46841</v>
      </c>
      <c r="C38" s="33">
        <v>35.0</v>
      </c>
      <c r="D38" s="32" t="s">
        <v>46842</v>
      </c>
      <c r="E38" s="32" t="s">
        <v>46843</v>
      </c>
      <c r="F38" s="31">
        <v>160.0</v>
      </c>
      <c r="G38" s="34">
        <v>3.5751603E7</v>
      </c>
    </row>
    <row r="39" ht="12.75" customHeight="1">
      <c r="A39" s="27">
        <v>275.0</v>
      </c>
      <c r="B39" s="28" t="s">
        <v>46844</v>
      </c>
      <c r="C39" s="29">
        <v>35.0</v>
      </c>
      <c r="D39" s="28" t="s">
        <v>46845</v>
      </c>
      <c r="E39" s="28" t="s">
        <v>46846</v>
      </c>
      <c r="F39" s="27">
        <v>169.0</v>
      </c>
      <c r="G39" s="30">
        <v>3.575169E7</v>
      </c>
    </row>
    <row r="40" ht="12.75" customHeight="1">
      <c r="A40" s="31">
        <v>275.0</v>
      </c>
      <c r="B40" s="32" t="s">
        <v>46847</v>
      </c>
      <c r="C40" s="33">
        <v>35.0</v>
      </c>
      <c r="D40" s="32" t="s">
        <v>46848</v>
      </c>
      <c r="E40" s="32" t="s">
        <v>46849</v>
      </c>
      <c r="F40" s="31">
        <v>193.0</v>
      </c>
      <c r="G40" s="34">
        <v>3.5751937E7</v>
      </c>
    </row>
    <row r="41" ht="12.75" customHeight="1">
      <c r="A41" s="27">
        <v>275.0</v>
      </c>
      <c r="B41" s="28" t="s">
        <v>46850</v>
      </c>
      <c r="C41" s="29">
        <v>35.0</v>
      </c>
      <c r="D41" s="28" t="s">
        <v>46851</v>
      </c>
      <c r="E41" s="28" t="s">
        <v>46852</v>
      </c>
      <c r="F41" s="27">
        <v>202.0</v>
      </c>
      <c r="G41" s="30">
        <v>3.5752028E7</v>
      </c>
    </row>
    <row r="42" ht="12.75" customHeight="1">
      <c r="A42" s="31">
        <v>275.0</v>
      </c>
      <c r="B42" s="32" t="s">
        <v>46853</v>
      </c>
      <c r="C42" s="33">
        <v>35.0</v>
      </c>
      <c r="D42" s="32" t="s">
        <v>46854</v>
      </c>
      <c r="E42" s="32" t="s">
        <v>46855</v>
      </c>
      <c r="F42" s="31">
        <v>208.0</v>
      </c>
      <c r="G42" s="34">
        <v>3.5752086E7</v>
      </c>
    </row>
    <row r="43" ht="12.75" customHeight="1">
      <c r="A43" s="27">
        <v>275.0</v>
      </c>
      <c r="B43" s="28" t="s">
        <v>46856</v>
      </c>
      <c r="C43" s="29">
        <v>35.0</v>
      </c>
      <c r="D43" s="28" t="s">
        <v>46857</v>
      </c>
      <c r="E43" s="28" t="s">
        <v>46858</v>
      </c>
      <c r="F43" s="27">
        <v>214.0</v>
      </c>
      <c r="G43" s="30">
        <v>3.5752149E7</v>
      </c>
    </row>
    <row r="44" ht="12.75" customHeight="1">
      <c r="A44" s="31">
        <v>275.0</v>
      </c>
      <c r="B44" s="32" t="s">
        <v>46859</v>
      </c>
      <c r="C44" s="33">
        <v>35.0</v>
      </c>
      <c r="D44" s="32" t="s">
        <v>46860</v>
      </c>
      <c r="E44" s="32" t="s">
        <v>46861</v>
      </c>
      <c r="F44" s="31">
        <v>226.0</v>
      </c>
      <c r="G44" s="34">
        <v>3.575226E7</v>
      </c>
    </row>
    <row r="45" ht="12.75" customHeight="1">
      <c r="A45" s="27">
        <v>378.0</v>
      </c>
      <c r="B45" s="28" t="s">
        <v>46862</v>
      </c>
      <c r="C45" s="29">
        <v>35.0</v>
      </c>
      <c r="D45" s="28" t="s">
        <v>46863</v>
      </c>
      <c r="E45" s="28" t="s">
        <v>46864</v>
      </c>
      <c r="F45" s="29">
        <v>4.0</v>
      </c>
      <c r="G45" s="30">
        <v>3.5780045E7</v>
      </c>
    </row>
    <row r="46" ht="12.75" customHeight="1">
      <c r="A46" s="31">
        <v>378.0</v>
      </c>
      <c r="B46" s="32" t="s">
        <v>46865</v>
      </c>
      <c r="C46" s="33">
        <v>35.0</v>
      </c>
      <c r="D46" s="32" t="s">
        <v>46866</v>
      </c>
      <c r="E46" s="32" t="s">
        <v>46867</v>
      </c>
      <c r="F46" s="33">
        <v>6.0</v>
      </c>
      <c r="G46" s="34">
        <v>3.5780061E7</v>
      </c>
    </row>
    <row r="47" ht="12.75" customHeight="1">
      <c r="A47" s="27">
        <v>378.0</v>
      </c>
      <c r="B47" s="28" t="s">
        <v>46868</v>
      </c>
      <c r="C47" s="29">
        <v>35.0</v>
      </c>
      <c r="D47" s="28" t="s">
        <v>46869</v>
      </c>
      <c r="E47" s="28" t="s">
        <v>46870</v>
      </c>
      <c r="F47" s="29">
        <v>8.0</v>
      </c>
      <c r="G47" s="30">
        <v>3.5780087E7</v>
      </c>
    </row>
    <row r="48" ht="12.75" customHeight="1">
      <c r="A48" s="31">
        <v>378.0</v>
      </c>
      <c r="B48" s="32" t="s">
        <v>46871</v>
      </c>
      <c r="C48" s="33">
        <v>35.0</v>
      </c>
      <c r="D48" s="32" t="s">
        <v>46872</v>
      </c>
      <c r="E48" s="32" t="s">
        <v>46873</v>
      </c>
      <c r="F48" s="33">
        <v>13.0</v>
      </c>
      <c r="G48" s="34">
        <v>3.5780137E7</v>
      </c>
    </row>
    <row r="49" ht="12.75" customHeight="1">
      <c r="A49" s="27">
        <v>378.0</v>
      </c>
      <c r="B49" s="28" t="s">
        <v>46874</v>
      </c>
      <c r="C49" s="29">
        <v>35.0</v>
      </c>
      <c r="D49" s="28" t="s">
        <v>46875</v>
      </c>
      <c r="E49" s="28" t="s">
        <v>46876</v>
      </c>
      <c r="F49" s="29">
        <v>19.0</v>
      </c>
      <c r="G49" s="30">
        <v>3.5780195E7</v>
      </c>
    </row>
    <row r="50" ht="12.75" customHeight="1">
      <c r="A50" s="31">
        <v>378.0</v>
      </c>
      <c r="B50" s="32" t="s">
        <v>46877</v>
      </c>
      <c r="C50" s="33">
        <v>35.0</v>
      </c>
      <c r="D50" s="32" t="s">
        <v>46878</v>
      </c>
      <c r="E50" s="32" t="s">
        <v>46879</v>
      </c>
      <c r="F50" s="33">
        <v>22.0</v>
      </c>
      <c r="G50" s="34">
        <v>3.5780229E7</v>
      </c>
    </row>
    <row r="51" ht="12.75" customHeight="1">
      <c r="A51" s="27">
        <v>378.0</v>
      </c>
      <c r="B51" s="28" t="s">
        <v>46880</v>
      </c>
      <c r="C51" s="29">
        <v>35.0</v>
      </c>
      <c r="D51" s="28" t="s">
        <v>46881</v>
      </c>
      <c r="E51" s="28" t="s">
        <v>46882</v>
      </c>
      <c r="F51" s="29">
        <v>25.0</v>
      </c>
      <c r="G51" s="30">
        <v>3.5780258E7</v>
      </c>
    </row>
    <row r="52" ht="12.75" customHeight="1">
      <c r="A52" s="31">
        <v>378.0</v>
      </c>
      <c r="B52" s="32" t="s">
        <v>46883</v>
      </c>
      <c r="C52" s="33">
        <v>35.0</v>
      </c>
      <c r="D52" s="32" t="s">
        <v>46884</v>
      </c>
      <c r="E52" s="32" t="s">
        <v>46885</v>
      </c>
      <c r="F52" s="33">
        <v>28.0</v>
      </c>
      <c r="G52" s="34">
        <v>3.5780287E7</v>
      </c>
    </row>
    <row r="53" ht="12.75" customHeight="1">
      <c r="A53" s="27">
        <v>378.0</v>
      </c>
      <c r="B53" s="28" t="s">
        <v>46886</v>
      </c>
      <c r="C53" s="29">
        <v>35.0</v>
      </c>
      <c r="D53" s="28" t="s">
        <v>46887</v>
      </c>
      <c r="E53" s="28" t="s">
        <v>46888</v>
      </c>
      <c r="F53" s="29">
        <v>31.0</v>
      </c>
      <c r="G53" s="30">
        <v>3.5780311E7</v>
      </c>
    </row>
    <row r="54" ht="12.75" customHeight="1">
      <c r="A54" s="31">
        <v>378.0</v>
      </c>
      <c r="B54" s="32" t="s">
        <v>46889</v>
      </c>
      <c r="C54" s="33">
        <v>35.0</v>
      </c>
      <c r="D54" s="32" t="s">
        <v>46890</v>
      </c>
      <c r="E54" s="32" t="s">
        <v>46891</v>
      </c>
      <c r="F54" s="33">
        <v>34.0</v>
      </c>
      <c r="G54" s="34">
        <v>3.578034E7</v>
      </c>
    </row>
    <row r="55" ht="12.75" customHeight="1">
      <c r="A55" s="27">
        <v>378.0</v>
      </c>
      <c r="B55" s="28" t="s">
        <v>46892</v>
      </c>
      <c r="C55" s="29">
        <v>35.0</v>
      </c>
      <c r="D55" s="28" t="s">
        <v>46893</v>
      </c>
      <c r="E55" s="28" t="s">
        <v>46894</v>
      </c>
      <c r="F55" s="29">
        <v>43.0</v>
      </c>
      <c r="G55" s="30">
        <v>3.5780432E7</v>
      </c>
    </row>
    <row r="56" ht="12.75" customHeight="1">
      <c r="A56" s="31">
        <v>378.0</v>
      </c>
      <c r="B56" s="32" t="s">
        <v>46895</v>
      </c>
      <c r="C56" s="33">
        <v>35.0</v>
      </c>
      <c r="D56" s="32" t="s">
        <v>46896</v>
      </c>
      <c r="E56" s="32" t="s">
        <v>46897</v>
      </c>
      <c r="F56" s="33">
        <v>46.0</v>
      </c>
      <c r="G56" s="34">
        <v>3.5780461E7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378.0</v>
      </c>
      <c r="B1" s="28" t="s">
        <v>46898</v>
      </c>
      <c r="C1" s="29">
        <v>35.0</v>
      </c>
      <c r="D1" s="28" t="s">
        <v>46899</v>
      </c>
      <c r="E1" s="28" t="s">
        <v>46900</v>
      </c>
      <c r="F1" s="29">
        <v>49.0</v>
      </c>
      <c r="G1" s="30">
        <v>3.578049E7</v>
      </c>
    </row>
    <row r="2" ht="12.75" customHeight="1">
      <c r="A2" s="31">
        <v>378.0</v>
      </c>
      <c r="B2" s="32" t="s">
        <v>46901</v>
      </c>
      <c r="C2" s="33">
        <v>35.0</v>
      </c>
      <c r="D2" s="32" t="s">
        <v>46902</v>
      </c>
      <c r="E2" s="32" t="s">
        <v>46903</v>
      </c>
      <c r="F2" s="33">
        <v>52.0</v>
      </c>
      <c r="G2" s="34">
        <v>3.5780524E7</v>
      </c>
    </row>
    <row r="3" ht="12.75" customHeight="1">
      <c r="A3" s="27">
        <v>378.0</v>
      </c>
      <c r="B3" s="28" t="s">
        <v>46904</v>
      </c>
      <c r="C3" s="29">
        <v>35.0</v>
      </c>
      <c r="D3" s="28" t="s">
        <v>46905</v>
      </c>
      <c r="E3" s="28" t="s">
        <v>46906</v>
      </c>
      <c r="F3" s="29">
        <v>58.0</v>
      </c>
      <c r="G3" s="30">
        <v>3.5780582E7</v>
      </c>
    </row>
    <row r="4" ht="12.75" customHeight="1">
      <c r="A4" s="31">
        <v>378.0</v>
      </c>
      <c r="B4" s="32" t="s">
        <v>46907</v>
      </c>
      <c r="C4" s="33">
        <v>35.0</v>
      </c>
      <c r="D4" s="32" t="s">
        <v>46908</v>
      </c>
      <c r="E4" s="32" t="s">
        <v>46909</v>
      </c>
      <c r="F4" s="33">
        <v>67.0</v>
      </c>
      <c r="G4" s="34">
        <v>3.5780674E7</v>
      </c>
    </row>
    <row r="5" ht="12.75" customHeight="1">
      <c r="A5" s="27">
        <v>378.0</v>
      </c>
      <c r="B5" s="28" t="s">
        <v>46910</v>
      </c>
      <c r="C5" s="29">
        <v>35.0</v>
      </c>
      <c r="D5" s="28" t="s">
        <v>46911</v>
      </c>
      <c r="E5" s="28" t="s">
        <v>46912</v>
      </c>
      <c r="F5" s="29">
        <v>70.0</v>
      </c>
      <c r="G5" s="30">
        <v>3.5780708E7</v>
      </c>
    </row>
    <row r="6" ht="12.75" customHeight="1">
      <c r="A6" s="31">
        <v>378.0</v>
      </c>
      <c r="B6" s="32" t="s">
        <v>46913</v>
      </c>
      <c r="C6" s="33">
        <v>35.0</v>
      </c>
      <c r="D6" s="32" t="s">
        <v>46914</v>
      </c>
      <c r="E6" s="32" t="s">
        <v>46915</v>
      </c>
      <c r="F6" s="33">
        <v>79.0</v>
      </c>
      <c r="G6" s="34">
        <v>3.5780795E7</v>
      </c>
    </row>
    <row r="7" ht="12.75" customHeight="1">
      <c r="A7" s="27">
        <v>378.0</v>
      </c>
      <c r="B7" s="28" t="s">
        <v>46916</v>
      </c>
      <c r="C7" s="29">
        <v>35.0</v>
      </c>
      <c r="D7" s="28" t="s">
        <v>46917</v>
      </c>
      <c r="E7" s="28" t="s">
        <v>46918</v>
      </c>
      <c r="F7" s="29">
        <v>85.0</v>
      </c>
      <c r="G7" s="30">
        <v>3.5780858E7</v>
      </c>
    </row>
    <row r="8" ht="12.75" customHeight="1">
      <c r="A8" s="31">
        <v>378.0</v>
      </c>
      <c r="B8" s="32" t="s">
        <v>46919</v>
      </c>
      <c r="C8" s="33">
        <v>35.0</v>
      </c>
      <c r="D8" s="32" t="s">
        <v>46920</v>
      </c>
      <c r="E8" s="32" t="s">
        <v>46921</v>
      </c>
      <c r="F8" s="33">
        <v>91.0</v>
      </c>
      <c r="G8" s="34">
        <v>3.5780911E7</v>
      </c>
    </row>
    <row r="9" ht="12.75" customHeight="1">
      <c r="A9" s="27">
        <v>378.0</v>
      </c>
      <c r="B9" s="28" t="s">
        <v>46922</v>
      </c>
      <c r="C9" s="29">
        <v>35.0</v>
      </c>
      <c r="D9" s="28" t="s">
        <v>46923</v>
      </c>
      <c r="E9" s="28" t="s">
        <v>46924</v>
      </c>
      <c r="F9" s="29">
        <v>94.0</v>
      </c>
      <c r="G9" s="30">
        <v>3.578094E7</v>
      </c>
    </row>
    <row r="10" ht="12.75" customHeight="1">
      <c r="A10" s="31">
        <v>378.0</v>
      </c>
      <c r="B10" s="32" t="s">
        <v>46925</v>
      </c>
      <c r="C10" s="33">
        <v>35.0</v>
      </c>
      <c r="D10" s="32" t="s">
        <v>46926</v>
      </c>
      <c r="E10" s="32" t="s">
        <v>46927</v>
      </c>
      <c r="F10" s="31">
        <v>106.0</v>
      </c>
      <c r="G10" s="34">
        <v>3.578106E7</v>
      </c>
    </row>
    <row r="11" ht="12.75" customHeight="1">
      <c r="A11" s="27">
        <v>378.0</v>
      </c>
      <c r="B11" s="28" t="s">
        <v>46928</v>
      </c>
      <c r="C11" s="29">
        <v>35.0</v>
      </c>
      <c r="D11" s="28" t="s">
        <v>46929</v>
      </c>
      <c r="E11" s="28" t="s">
        <v>46930</v>
      </c>
      <c r="F11" s="27">
        <v>109.0</v>
      </c>
      <c r="G11" s="30">
        <v>3.5781099E7</v>
      </c>
    </row>
    <row r="12" ht="12.75" customHeight="1">
      <c r="A12" s="31">
        <v>378.0</v>
      </c>
      <c r="B12" s="32" t="s">
        <v>46931</v>
      </c>
      <c r="C12" s="33">
        <v>35.0</v>
      </c>
      <c r="D12" s="32" t="s">
        <v>46932</v>
      </c>
      <c r="E12" s="32" t="s">
        <v>46933</v>
      </c>
      <c r="F12" s="31">
        <v>121.0</v>
      </c>
      <c r="G12" s="34">
        <v>3.5781215E7</v>
      </c>
    </row>
    <row r="13" ht="12.75" customHeight="1">
      <c r="A13" s="27">
        <v>378.0</v>
      </c>
      <c r="B13" s="28" t="s">
        <v>46934</v>
      </c>
      <c r="C13" s="29">
        <v>35.0</v>
      </c>
      <c r="D13" s="28" t="s">
        <v>46935</v>
      </c>
      <c r="E13" s="28" t="s">
        <v>46936</v>
      </c>
      <c r="F13" s="27">
        <v>127.0</v>
      </c>
      <c r="G13" s="30">
        <v>3.5781273E7</v>
      </c>
    </row>
    <row r="14" ht="12.75" customHeight="1">
      <c r="A14" s="31">
        <v>379.0</v>
      </c>
      <c r="B14" s="32" t="s">
        <v>46937</v>
      </c>
      <c r="C14" s="33">
        <v>35.0</v>
      </c>
      <c r="D14" s="32" t="s">
        <v>46938</v>
      </c>
      <c r="E14" s="32" t="s">
        <v>46939</v>
      </c>
      <c r="F14" s="33">
        <v>4.0</v>
      </c>
      <c r="G14" s="34">
        <v>3.5790048E7</v>
      </c>
    </row>
    <row r="15" ht="12.75" customHeight="1">
      <c r="A15" s="27">
        <v>379.0</v>
      </c>
      <c r="B15" s="28" t="s">
        <v>46940</v>
      </c>
      <c r="C15" s="29">
        <v>35.0</v>
      </c>
      <c r="D15" s="28" t="s">
        <v>46941</v>
      </c>
      <c r="E15" s="28" t="s">
        <v>46942</v>
      </c>
      <c r="F15" s="29">
        <v>7.0</v>
      </c>
      <c r="G15" s="30">
        <v>3.5790077E7</v>
      </c>
    </row>
    <row r="16" ht="12.75" customHeight="1">
      <c r="A16" s="31">
        <v>379.0</v>
      </c>
      <c r="B16" s="32" t="s">
        <v>46943</v>
      </c>
      <c r="C16" s="33">
        <v>35.0</v>
      </c>
      <c r="D16" s="32" t="s">
        <v>46944</v>
      </c>
      <c r="E16" s="32" t="s">
        <v>46945</v>
      </c>
      <c r="F16" s="33">
        <v>10.0</v>
      </c>
      <c r="G16" s="34">
        <v>3.5790101E7</v>
      </c>
    </row>
    <row r="17" ht="12.75" customHeight="1">
      <c r="A17" s="27">
        <v>379.0</v>
      </c>
      <c r="B17" s="28" t="s">
        <v>46946</v>
      </c>
      <c r="C17" s="29">
        <v>35.0</v>
      </c>
      <c r="D17" s="28" t="s">
        <v>46947</v>
      </c>
      <c r="E17" s="28" t="s">
        <v>46948</v>
      </c>
      <c r="F17" s="29">
        <v>13.0</v>
      </c>
      <c r="G17" s="30">
        <v>3.579013E7</v>
      </c>
    </row>
    <row r="18" ht="12.75" customHeight="1">
      <c r="A18" s="31">
        <v>379.0</v>
      </c>
      <c r="B18" s="32" t="s">
        <v>46949</v>
      </c>
      <c r="C18" s="33">
        <v>35.0</v>
      </c>
      <c r="D18" s="32" t="s">
        <v>46950</v>
      </c>
      <c r="E18" s="32" t="s">
        <v>46951</v>
      </c>
      <c r="F18" s="33">
        <v>16.0</v>
      </c>
      <c r="G18" s="34">
        <v>3.5790169E7</v>
      </c>
    </row>
    <row r="19" ht="12.75" customHeight="1">
      <c r="A19" s="27">
        <v>379.0</v>
      </c>
      <c r="B19" s="28" t="s">
        <v>46952</v>
      </c>
      <c r="C19" s="29">
        <v>35.0</v>
      </c>
      <c r="D19" s="28" t="s">
        <v>46953</v>
      </c>
      <c r="E19" s="28" t="s">
        <v>46954</v>
      </c>
      <c r="F19" s="29">
        <v>19.0</v>
      </c>
      <c r="G19" s="30">
        <v>3.5790198E7</v>
      </c>
    </row>
    <row r="20" ht="12.75" customHeight="1">
      <c r="A20" s="31">
        <v>379.0</v>
      </c>
      <c r="B20" s="32" t="s">
        <v>46955</v>
      </c>
      <c r="C20" s="33">
        <v>35.0</v>
      </c>
      <c r="D20" s="32" t="s">
        <v>46956</v>
      </c>
      <c r="E20" s="32" t="s">
        <v>46957</v>
      </c>
      <c r="F20" s="33">
        <v>22.0</v>
      </c>
      <c r="G20" s="34">
        <v>3.5790222E7</v>
      </c>
    </row>
    <row r="21" ht="12.75" customHeight="1">
      <c r="A21" s="27">
        <v>379.0</v>
      </c>
      <c r="B21" s="28" t="s">
        <v>46958</v>
      </c>
      <c r="C21" s="29">
        <v>35.0</v>
      </c>
      <c r="D21" s="28" t="s">
        <v>46959</v>
      </c>
      <c r="E21" s="28" t="s">
        <v>46960</v>
      </c>
      <c r="F21" s="29">
        <v>25.0</v>
      </c>
      <c r="G21" s="30">
        <v>3.5790251E7</v>
      </c>
    </row>
    <row r="22" ht="12.75" customHeight="1">
      <c r="A22" s="31">
        <v>379.0</v>
      </c>
      <c r="B22" s="32" t="s">
        <v>46961</v>
      </c>
      <c r="C22" s="33">
        <v>35.0</v>
      </c>
      <c r="D22" s="32" t="s">
        <v>46962</v>
      </c>
      <c r="E22" s="32" t="s">
        <v>46963</v>
      </c>
      <c r="F22" s="33">
        <v>28.0</v>
      </c>
      <c r="G22" s="34">
        <v>3.579028E7</v>
      </c>
    </row>
    <row r="23" ht="12.75" customHeight="1">
      <c r="A23" s="27">
        <v>379.0</v>
      </c>
      <c r="B23" s="28" t="s">
        <v>46964</v>
      </c>
      <c r="C23" s="29">
        <v>35.0</v>
      </c>
      <c r="D23" s="28" t="s">
        <v>46965</v>
      </c>
      <c r="E23" s="28" t="s">
        <v>46966</v>
      </c>
      <c r="F23" s="29">
        <v>31.0</v>
      </c>
      <c r="G23" s="30">
        <v>3.5790314E7</v>
      </c>
    </row>
    <row r="24" ht="12.75" customHeight="1">
      <c r="A24" s="31">
        <v>379.0</v>
      </c>
      <c r="B24" s="32" t="s">
        <v>46967</v>
      </c>
      <c r="C24" s="33">
        <v>35.0</v>
      </c>
      <c r="D24" s="32" t="s">
        <v>46968</v>
      </c>
      <c r="E24" s="32" t="s">
        <v>46969</v>
      </c>
      <c r="F24" s="33">
        <v>40.0</v>
      </c>
      <c r="G24" s="34">
        <v>3.5790406E7</v>
      </c>
    </row>
    <row r="25" ht="12.75" customHeight="1">
      <c r="A25" s="27">
        <v>379.0</v>
      </c>
      <c r="B25" s="28" t="s">
        <v>46970</v>
      </c>
      <c r="C25" s="29">
        <v>35.0</v>
      </c>
      <c r="D25" s="28" t="s">
        <v>46971</v>
      </c>
      <c r="E25" s="28" t="s">
        <v>46972</v>
      </c>
      <c r="F25" s="29">
        <v>43.0</v>
      </c>
      <c r="G25" s="30">
        <v>3.5790435E7</v>
      </c>
    </row>
    <row r="26" ht="12.75" customHeight="1">
      <c r="A26" s="31">
        <v>379.0</v>
      </c>
      <c r="B26" s="32" t="s">
        <v>46973</v>
      </c>
      <c r="C26" s="33">
        <v>35.0</v>
      </c>
      <c r="D26" s="32" t="s">
        <v>46974</v>
      </c>
      <c r="E26" s="32" t="s">
        <v>46975</v>
      </c>
      <c r="F26" s="33">
        <v>46.0</v>
      </c>
      <c r="G26" s="34">
        <v>3.5790464E7</v>
      </c>
    </row>
    <row r="27" ht="12.75" customHeight="1">
      <c r="A27" s="27">
        <v>379.0</v>
      </c>
      <c r="B27" s="28" t="s">
        <v>46976</v>
      </c>
      <c r="C27" s="29">
        <v>35.0</v>
      </c>
      <c r="D27" s="28" t="s">
        <v>46977</v>
      </c>
      <c r="E27" s="28" t="s">
        <v>46978</v>
      </c>
      <c r="F27" s="29">
        <v>49.0</v>
      </c>
      <c r="G27" s="30">
        <v>3.5790493E7</v>
      </c>
    </row>
    <row r="28" ht="12.75" customHeight="1">
      <c r="A28" s="31">
        <v>379.0</v>
      </c>
      <c r="B28" s="32" t="s">
        <v>46979</v>
      </c>
      <c r="C28" s="33">
        <v>35.0</v>
      </c>
      <c r="D28" s="32" t="s">
        <v>46980</v>
      </c>
      <c r="E28" s="32" t="s">
        <v>46981</v>
      </c>
      <c r="F28" s="33">
        <v>52.0</v>
      </c>
      <c r="G28" s="34">
        <v>3.5790527E7</v>
      </c>
    </row>
    <row r="29" ht="12.75" customHeight="1">
      <c r="A29" s="27">
        <v>379.0</v>
      </c>
      <c r="B29" s="28" t="s">
        <v>46982</v>
      </c>
      <c r="C29" s="29">
        <v>35.0</v>
      </c>
      <c r="D29" s="28" t="s">
        <v>46983</v>
      </c>
      <c r="E29" s="28" t="s">
        <v>46984</v>
      </c>
      <c r="F29" s="29">
        <v>55.0</v>
      </c>
      <c r="G29" s="30">
        <v>3.5790556E7</v>
      </c>
    </row>
    <row r="30" ht="12.75" customHeight="1">
      <c r="A30" s="31">
        <v>379.0</v>
      </c>
      <c r="B30" s="32" t="s">
        <v>46985</v>
      </c>
      <c r="C30" s="33">
        <v>35.0</v>
      </c>
      <c r="D30" s="32" t="s">
        <v>46986</v>
      </c>
      <c r="E30" s="32" t="s">
        <v>46987</v>
      </c>
      <c r="F30" s="33">
        <v>67.0</v>
      </c>
      <c r="G30" s="34">
        <v>3.5790677E7</v>
      </c>
    </row>
    <row r="31" ht="12.75" customHeight="1">
      <c r="A31" s="27">
        <v>379.0</v>
      </c>
      <c r="B31" s="28" t="s">
        <v>46988</v>
      </c>
      <c r="C31" s="29">
        <v>35.0</v>
      </c>
      <c r="D31" s="28" t="s">
        <v>46989</v>
      </c>
      <c r="E31" s="28" t="s">
        <v>46990</v>
      </c>
      <c r="F31" s="29">
        <v>70.0</v>
      </c>
      <c r="G31" s="30">
        <v>3.5790701E7</v>
      </c>
    </row>
    <row r="32" ht="12.75" customHeight="1">
      <c r="A32" s="31">
        <v>379.0</v>
      </c>
      <c r="B32" s="32" t="s">
        <v>46991</v>
      </c>
      <c r="C32" s="33">
        <v>35.0</v>
      </c>
      <c r="D32" s="32" t="s">
        <v>46992</v>
      </c>
      <c r="E32" s="32" t="s">
        <v>46993</v>
      </c>
      <c r="F32" s="33">
        <v>76.0</v>
      </c>
      <c r="G32" s="34">
        <v>3.5790769E7</v>
      </c>
    </row>
    <row r="33" ht="12.75" customHeight="1">
      <c r="A33" s="27">
        <v>379.0</v>
      </c>
      <c r="B33" s="28" t="s">
        <v>46994</v>
      </c>
      <c r="C33" s="29">
        <v>35.0</v>
      </c>
      <c r="D33" s="28" t="s">
        <v>46995</v>
      </c>
      <c r="E33" s="28" t="s">
        <v>46996</v>
      </c>
      <c r="F33" s="29">
        <v>88.0</v>
      </c>
      <c r="G33" s="30">
        <v>3.579088E7</v>
      </c>
    </row>
    <row r="34" ht="12.75" customHeight="1">
      <c r="A34" s="31">
        <v>379.0</v>
      </c>
      <c r="B34" s="32" t="s">
        <v>46997</v>
      </c>
      <c r="C34" s="33">
        <v>35.0</v>
      </c>
      <c r="D34" s="32" t="s">
        <v>46998</v>
      </c>
      <c r="E34" s="32" t="s">
        <v>46999</v>
      </c>
      <c r="F34" s="33">
        <v>91.0</v>
      </c>
      <c r="G34" s="34">
        <v>3.5790914E7</v>
      </c>
    </row>
    <row r="35" ht="12.75" customHeight="1">
      <c r="A35" s="27">
        <v>379.0</v>
      </c>
      <c r="B35" s="28" t="s">
        <v>47000</v>
      </c>
      <c r="C35" s="29">
        <v>35.0</v>
      </c>
      <c r="D35" s="28" t="s">
        <v>47001</v>
      </c>
      <c r="E35" s="28" t="s">
        <v>47002</v>
      </c>
      <c r="F35" s="29">
        <v>97.0</v>
      </c>
      <c r="G35" s="30">
        <v>3.5790972E7</v>
      </c>
    </row>
    <row r="36" ht="12.75" customHeight="1">
      <c r="A36" s="31">
        <v>379.0</v>
      </c>
      <c r="B36" s="32" t="s">
        <v>47003</v>
      </c>
      <c r="C36" s="33">
        <v>35.0</v>
      </c>
      <c r="D36" s="32" t="s">
        <v>47004</v>
      </c>
      <c r="E36" s="32" t="s">
        <v>47005</v>
      </c>
      <c r="F36" s="31">
        <v>100.0</v>
      </c>
      <c r="G36" s="34">
        <v>3.5791005E7</v>
      </c>
    </row>
    <row r="37" ht="12.75" customHeight="1">
      <c r="A37" s="27">
        <v>379.0</v>
      </c>
      <c r="B37" s="28" t="s">
        <v>47006</v>
      </c>
      <c r="C37" s="29">
        <v>35.0</v>
      </c>
      <c r="D37" s="28" t="s">
        <v>47007</v>
      </c>
      <c r="E37" s="28" t="s">
        <v>47008</v>
      </c>
      <c r="F37" s="27">
        <v>106.0</v>
      </c>
      <c r="G37" s="30">
        <v>3.5791063E7</v>
      </c>
    </row>
    <row r="38" ht="12.75" customHeight="1">
      <c r="A38" s="31">
        <v>382.0</v>
      </c>
      <c r="B38" s="32" t="s">
        <v>47009</v>
      </c>
      <c r="C38" s="33">
        <v>35.0</v>
      </c>
      <c r="D38" s="32" t="s">
        <v>47010</v>
      </c>
      <c r="E38" s="32" t="s">
        <v>47011</v>
      </c>
      <c r="F38" s="33">
        <v>7.0</v>
      </c>
      <c r="G38" s="34">
        <v>3.5820071E7</v>
      </c>
    </row>
    <row r="39" ht="12.75" customHeight="1">
      <c r="A39" s="27">
        <v>382.0</v>
      </c>
      <c r="B39" s="28" t="s">
        <v>47012</v>
      </c>
      <c r="C39" s="29">
        <v>35.0</v>
      </c>
      <c r="D39" s="28" t="s">
        <v>47013</v>
      </c>
      <c r="E39" s="28" t="s">
        <v>47014</v>
      </c>
      <c r="F39" s="29">
        <v>10.0</v>
      </c>
      <c r="G39" s="30">
        <v>3.5820105E7</v>
      </c>
    </row>
    <row r="40" ht="12.75" customHeight="1">
      <c r="A40" s="31">
        <v>382.0</v>
      </c>
      <c r="B40" s="32" t="s">
        <v>47015</v>
      </c>
      <c r="C40" s="33">
        <v>35.0</v>
      </c>
      <c r="D40" s="32" t="s">
        <v>47016</v>
      </c>
      <c r="E40" s="32" t="s">
        <v>47017</v>
      </c>
      <c r="F40" s="33">
        <v>16.0</v>
      </c>
      <c r="G40" s="34">
        <v>3.5820163E7</v>
      </c>
    </row>
    <row r="41" ht="12.75" customHeight="1">
      <c r="A41" s="27">
        <v>382.0</v>
      </c>
      <c r="B41" s="28" t="s">
        <v>47018</v>
      </c>
      <c r="C41" s="29">
        <v>35.0</v>
      </c>
      <c r="D41" s="28" t="s">
        <v>47019</v>
      </c>
      <c r="E41" s="28" t="s">
        <v>47020</v>
      </c>
      <c r="F41" s="29">
        <v>28.0</v>
      </c>
      <c r="G41" s="30">
        <v>3.5820284E7</v>
      </c>
    </row>
    <row r="42" ht="12.75" customHeight="1">
      <c r="A42" s="31">
        <v>382.0</v>
      </c>
      <c r="B42" s="32" t="s">
        <v>47021</v>
      </c>
      <c r="C42" s="33">
        <v>35.0</v>
      </c>
      <c r="D42" s="32" t="s">
        <v>47022</v>
      </c>
      <c r="E42" s="32" t="s">
        <v>47023</v>
      </c>
      <c r="F42" s="33">
        <v>34.0</v>
      </c>
      <c r="G42" s="34">
        <v>3.5820347E7</v>
      </c>
    </row>
    <row r="43" ht="12.75" customHeight="1">
      <c r="A43" s="27">
        <v>382.0</v>
      </c>
      <c r="B43" s="28" t="s">
        <v>47024</v>
      </c>
      <c r="C43" s="29">
        <v>35.0</v>
      </c>
      <c r="D43" s="28" t="s">
        <v>47025</v>
      </c>
      <c r="E43" s="28" t="s">
        <v>47026</v>
      </c>
      <c r="F43" s="29">
        <v>49.0</v>
      </c>
      <c r="G43" s="30">
        <v>3.5820497E7</v>
      </c>
    </row>
    <row r="44" ht="12.75" customHeight="1">
      <c r="A44" s="31">
        <v>382.0</v>
      </c>
      <c r="B44" s="32" t="s">
        <v>47027</v>
      </c>
      <c r="C44" s="33">
        <v>35.0</v>
      </c>
      <c r="D44" s="32" t="s">
        <v>47028</v>
      </c>
      <c r="E44" s="32" t="s">
        <v>47029</v>
      </c>
      <c r="F44" s="33">
        <v>52.0</v>
      </c>
      <c r="G44" s="34">
        <v>3.5820521E7</v>
      </c>
    </row>
    <row r="45" ht="12.75" customHeight="1">
      <c r="A45" s="27">
        <v>382.0</v>
      </c>
      <c r="B45" s="28" t="s">
        <v>47030</v>
      </c>
      <c r="C45" s="29">
        <v>35.0</v>
      </c>
      <c r="D45" s="28" t="s">
        <v>47031</v>
      </c>
      <c r="E45" s="28" t="s">
        <v>47032</v>
      </c>
      <c r="F45" s="29">
        <v>61.0</v>
      </c>
      <c r="G45" s="30">
        <v>3.5820613E7</v>
      </c>
    </row>
    <row r="46" ht="12.75" customHeight="1">
      <c r="A46" s="31">
        <v>382.0</v>
      </c>
      <c r="B46" s="32" t="s">
        <v>47033</v>
      </c>
      <c r="C46" s="33">
        <v>35.0</v>
      </c>
      <c r="D46" s="32" t="s">
        <v>47034</v>
      </c>
      <c r="E46" s="32" t="s">
        <v>47035</v>
      </c>
      <c r="F46" s="33">
        <v>67.0</v>
      </c>
      <c r="G46" s="34">
        <v>3.5820671E7</v>
      </c>
    </row>
    <row r="47" ht="12.75" customHeight="1">
      <c r="A47" s="27">
        <v>382.0</v>
      </c>
      <c r="B47" s="28" t="s">
        <v>47036</v>
      </c>
      <c r="C47" s="29">
        <v>35.0</v>
      </c>
      <c r="D47" s="28" t="s">
        <v>47037</v>
      </c>
      <c r="E47" s="28" t="s">
        <v>47038</v>
      </c>
      <c r="F47" s="29">
        <v>73.0</v>
      </c>
      <c r="G47" s="30">
        <v>3.5820734E7</v>
      </c>
    </row>
    <row r="48" ht="12.75" customHeight="1">
      <c r="A48" s="31">
        <v>382.0</v>
      </c>
      <c r="B48" s="32" t="s">
        <v>47039</v>
      </c>
      <c r="C48" s="33">
        <v>35.0</v>
      </c>
      <c r="D48" s="32" t="s">
        <v>47040</v>
      </c>
      <c r="E48" s="32" t="s">
        <v>47041</v>
      </c>
      <c r="F48" s="33">
        <v>82.0</v>
      </c>
      <c r="G48" s="34">
        <v>3.5820826E7</v>
      </c>
    </row>
    <row r="49" ht="12.75" customHeight="1">
      <c r="A49" s="27">
        <v>382.0</v>
      </c>
      <c r="B49" s="28" t="s">
        <v>47042</v>
      </c>
      <c r="C49" s="29">
        <v>35.0</v>
      </c>
      <c r="D49" s="28" t="s">
        <v>47043</v>
      </c>
      <c r="E49" s="28" t="s">
        <v>47044</v>
      </c>
      <c r="F49" s="29">
        <v>85.0</v>
      </c>
      <c r="G49" s="30">
        <v>3.5820855E7</v>
      </c>
    </row>
    <row r="50" ht="12.75" customHeight="1">
      <c r="A50" s="31">
        <v>382.0</v>
      </c>
      <c r="B50" s="32" t="s">
        <v>47045</v>
      </c>
      <c r="C50" s="33">
        <v>35.0</v>
      </c>
      <c r="D50" s="32" t="s">
        <v>47046</v>
      </c>
      <c r="E50" s="32" t="s">
        <v>47047</v>
      </c>
      <c r="F50" s="33">
        <v>88.0</v>
      </c>
      <c r="G50" s="34">
        <v>3.5820884E7</v>
      </c>
    </row>
    <row r="51" ht="12.75" customHeight="1">
      <c r="A51" s="27">
        <v>284.0</v>
      </c>
      <c r="B51" s="28" t="s">
        <v>47048</v>
      </c>
      <c r="C51" s="29">
        <v>35.0</v>
      </c>
      <c r="D51" s="28" t="s">
        <v>47049</v>
      </c>
      <c r="E51" s="28" t="s">
        <v>47050</v>
      </c>
      <c r="F51" s="29">
        <v>4.0</v>
      </c>
      <c r="G51" s="30">
        <v>3.5840048E7</v>
      </c>
    </row>
    <row r="52" ht="12.75" customHeight="1">
      <c r="A52" s="31">
        <v>284.0</v>
      </c>
      <c r="B52" s="32" t="s">
        <v>47051</v>
      </c>
      <c r="C52" s="33">
        <v>35.0</v>
      </c>
      <c r="D52" s="32" t="s">
        <v>47052</v>
      </c>
      <c r="E52" s="32" t="s">
        <v>47053</v>
      </c>
      <c r="F52" s="33">
        <v>13.0</v>
      </c>
      <c r="G52" s="34">
        <v>3.584013E7</v>
      </c>
    </row>
    <row r="53" ht="12.75" customHeight="1">
      <c r="A53" s="27">
        <v>284.0</v>
      </c>
      <c r="B53" s="28" t="s">
        <v>47054</v>
      </c>
      <c r="C53" s="29">
        <v>35.0</v>
      </c>
      <c r="D53" s="28" t="s">
        <v>47055</v>
      </c>
      <c r="E53" s="28" t="s">
        <v>47056</v>
      </c>
      <c r="F53" s="29">
        <v>16.0</v>
      </c>
      <c r="G53" s="30">
        <v>3.5840169E7</v>
      </c>
    </row>
    <row r="54" ht="12.75" customHeight="1">
      <c r="A54" s="31">
        <v>284.0</v>
      </c>
      <c r="B54" s="32" t="s">
        <v>47057</v>
      </c>
      <c r="C54" s="33">
        <v>35.0</v>
      </c>
      <c r="D54" s="32" t="s">
        <v>47058</v>
      </c>
      <c r="E54" s="32" t="s">
        <v>47059</v>
      </c>
      <c r="F54" s="33">
        <v>25.0</v>
      </c>
      <c r="G54" s="34">
        <v>3.5840251E7</v>
      </c>
    </row>
    <row r="55" ht="12.75" customHeight="1">
      <c r="A55" s="27">
        <v>284.0</v>
      </c>
      <c r="B55" s="28" t="s">
        <v>47060</v>
      </c>
      <c r="C55" s="29">
        <v>35.0</v>
      </c>
      <c r="D55" s="28" t="s">
        <v>47061</v>
      </c>
      <c r="E55" s="28" t="s">
        <v>47062</v>
      </c>
      <c r="F55" s="29">
        <v>28.0</v>
      </c>
      <c r="G55" s="30">
        <v>3.584028E7</v>
      </c>
    </row>
    <row r="56" ht="12.75" customHeight="1">
      <c r="A56" s="31">
        <v>284.0</v>
      </c>
      <c r="B56" s="32" t="s">
        <v>47063</v>
      </c>
      <c r="C56" s="33">
        <v>35.0</v>
      </c>
      <c r="D56" s="32" t="s">
        <v>47064</v>
      </c>
      <c r="E56" s="32" t="s">
        <v>47065</v>
      </c>
      <c r="F56" s="33">
        <v>34.0</v>
      </c>
      <c r="G56" s="34">
        <v>3.5840343E7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284.0</v>
      </c>
      <c r="B1" s="28" t="s">
        <v>47066</v>
      </c>
      <c r="C1" s="29">
        <v>35.0</v>
      </c>
      <c r="D1" s="28" t="s">
        <v>47067</v>
      </c>
      <c r="E1" s="28" t="s">
        <v>47068</v>
      </c>
      <c r="F1" s="29">
        <v>37.0</v>
      </c>
      <c r="G1" s="30">
        <v>3.5840372E7</v>
      </c>
    </row>
    <row r="2" ht="12.75" customHeight="1">
      <c r="A2" s="31">
        <v>284.0</v>
      </c>
      <c r="B2" s="32" t="s">
        <v>47069</v>
      </c>
      <c r="C2" s="33">
        <v>35.0</v>
      </c>
      <c r="D2" s="32" t="s">
        <v>47070</v>
      </c>
      <c r="E2" s="32" t="s">
        <v>47071</v>
      </c>
      <c r="F2" s="33">
        <v>40.0</v>
      </c>
      <c r="G2" s="34">
        <v>3.5840406E7</v>
      </c>
    </row>
    <row r="3" ht="12.75" customHeight="1">
      <c r="A3" s="27">
        <v>284.0</v>
      </c>
      <c r="B3" s="28" t="s">
        <v>47072</v>
      </c>
      <c r="C3" s="29">
        <v>35.0</v>
      </c>
      <c r="D3" s="28" t="s">
        <v>47073</v>
      </c>
      <c r="E3" s="28" t="s">
        <v>47074</v>
      </c>
      <c r="F3" s="29">
        <v>46.0</v>
      </c>
      <c r="G3" s="30">
        <v>3.5840464E7</v>
      </c>
    </row>
    <row r="4" ht="12.75" customHeight="1">
      <c r="A4" s="31">
        <v>284.0</v>
      </c>
      <c r="B4" s="32" t="s">
        <v>47075</v>
      </c>
      <c r="C4" s="33">
        <v>35.0</v>
      </c>
      <c r="D4" s="32" t="s">
        <v>47076</v>
      </c>
      <c r="E4" s="32" t="s">
        <v>47077</v>
      </c>
      <c r="F4" s="33">
        <v>49.0</v>
      </c>
      <c r="G4" s="34">
        <v>3.5840493E7</v>
      </c>
    </row>
    <row r="5" ht="12.75" customHeight="1">
      <c r="A5" s="27">
        <v>284.0</v>
      </c>
      <c r="B5" s="28" t="s">
        <v>47078</v>
      </c>
      <c r="C5" s="29">
        <v>35.0</v>
      </c>
      <c r="D5" s="28" t="s">
        <v>47079</v>
      </c>
      <c r="E5" s="28" t="s">
        <v>47080</v>
      </c>
      <c r="F5" s="29">
        <v>52.0</v>
      </c>
      <c r="G5" s="30">
        <v>3.5840527E7</v>
      </c>
    </row>
    <row r="6" ht="12.75" customHeight="1">
      <c r="A6" s="31">
        <v>386.0</v>
      </c>
      <c r="B6" s="32" t="s">
        <v>47081</v>
      </c>
      <c r="C6" s="33">
        <v>35.0</v>
      </c>
      <c r="D6" s="32" t="s">
        <v>47082</v>
      </c>
      <c r="E6" s="32" t="s">
        <v>47083</v>
      </c>
      <c r="F6" s="33">
        <v>7.0</v>
      </c>
      <c r="G6" s="34">
        <v>3.5860073E7</v>
      </c>
    </row>
    <row r="7" ht="12.75" customHeight="1">
      <c r="A7" s="27">
        <v>386.0</v>
      </c>
      <c r="B7" s="28" t="s">
        <v>47084</v>
      </c>
      <c r="C7" s="29">
        <v>35.0</v>
      </c>
      <c r="D7" s="28" t="s">
        <v>47085</v>
      </c>
      <c r="E7" s="28" t="s">
        <v>47086</v>
      </c>
      <c r="F7" s="29">
        <v>10.0</v>
      </c>
      <c r="G7" s="30">
        <v>3.5860107E7</v>
      </c>
    </row>
    <row r="8" ht="12.75" customHeight="1">
      <c r="A8" s="31">
        <v>386.0</v>
      </c>
      <c r="B8" s="32" t="s">
        <v>47087</v>
      </c>
      <c r="C8" s="33">
        <v>35.0</v>
      </c>
      <c r="D8" s="32" t="s">
        <v>47088</v>
      </c>
      <c r="E8" s="32" t="s">
        <v>47089</v>
      </c>
      <c r="F8" s="33">
        <v>16.0</v>
      </c>
      <c r="G8" s="34">
        <v>3.5860165E7</v>
      </c>
    </row>
    <row r="9" ht="12.75" customHeight="1">
      <c r="A9" s="27">
        <v>386.0</v>
      </c>
      <c r="B9" s="28" t="s">
        <v>47090</v>
      </c>
      <c r="C9" s="29">
        <v>35.0</v>
      </c>
      <c r="D9" s="28" t="s">
        <v>47091</v>
      </c>
      <c r="E9" s="28" t="s">
        <v>47092</v>
      </c>
      <c r="F9" s="29">
        <v>19.0</v>
      </c>
      <c r="G9" s="30">
        <v>3.5860194E7</v>
      </c>
    </row>
    <row r="10" ht="12.75" customHeight="1">
      <c r="A10" s="31">
        <v>386.0</v>
      </c>
      <c r="B10" s="32" t="s">
        <v>47093</v>
      </c>
      <c r="C10" s="33">
        <v>35.0</v>
      </c>
      <c r="D10" s="32" t="s">
        <v>47094</v>
      </c>
      <c r="E10" s="32" t="s">
        <v>47095</v>
      </c>
      <c r="F10" s="33">
        <v>20.0</v>
      </c>
      <c r="G10" s="34">
        <v>3.5860202E7</v>
      </c>
    </row>
    <row r="11" ht="12.75" customHeight="1">
      <c r="A11" s="27">
        <v>386.0</v>
      </c>
      <c r="B11" s="28" t="s">
        <v>47096</v>
      </c>
      <c r="C11" s="29">
        <v>35.0</v>
      </c>
      <c r="D11" s="28" t="s">
        <v>47097</v>
      </c>
      <c r="E11" s="28" t="s">
        <v>47098</v>
      </c>
      <c r="F11" s="29">
        <v>22.0</v>
      </c>
      <c r="G11" s="30">
        <v>3.5860228E7</v>
      </c>
    </row>
    <row r="12" ht="12.75" customHeight="1">
      <c r="A12" s="31">
        <v>386.0</v>
      </c>
      <c r="B12" s="32" t="s">
        <v>47099</v>
      </c>
      <c r="C12" s="33">
        <v>35.0</v>
      </c>
      <c r="D12" s="32" t="s">
        <v>47100</v>
      </c>
      <c r="E12" s="32" t="s">
        <v>47101</v>
      </c>
      <c r="F12" s="33">
        <v>25.0</v>
      </c>
      <c r="G12" s="34">
        <v>3.5860257E7</v>
      </c>
    </row>
    <row r="13" ht="12.75" customHeight="1">
      <c r="A13" s="27">
        <v>386.0</v>
      </c>
      <c r="B13" s="28" t="s">
        <v>47102</v>
      </c>
      <c r="C13" s="29">
        <v>35.0</v>
      </c>
      <c r="D13" s="28" t="s">
        <v>47103</v>
      </c>
      <c r="E13" s="28" t="s">
        <v>47104</v>
      </c>
      <c r="F13" s="29">
        <v>31.0</v>
      </c>
      <c r="G13" s="30">
        <v>3.586031E7</v>
      </c>
    </row>
    <row r="14" ht="12.75" customHeight="1">
      <c r="A14" s="31">
        <v>386.0</v>
      </c>
      <c r="B14" s="32" t="s">
        <v>47105</v>
      </c>
      <c r="C14" s="33">
        <v>35.0</v>
      </c>
      <c r="D14" s="32" t="s">
        <v>47106</v>
      </c>
      <c r="E14" s="32" t="s">
        <v>47107</v>
      </c>
      <c r="F14" s="33">
        <v>37.0</v>
      </c>
      <c r="G14" s="34">
        <v>3.5860378E7</v>
      </c>
    </row>
    <row r="15" ht="12.75" customHeight="1">
      <c r="A15" s="27">
        <v>386.0</v>
      </c>
      <c r="B15" s="28" t="s">
        <v>47108</v>
      </c>
      <c r="C15" s="29">
        <v>35.0</v>
      </c>
      <c r="D15" s="28" t="s">
        <v>47109</v>
      </c>
      <c r="E15" s="28" t="s">
        <v>47110</v>
      </c>
      <c r="F15" s="29">
        <v>40.0</v>
      </c>
      <c r="G15" s="30">
        <v>3.5860402E7</v>
      </c>
    </row>
    <row r="16" ht="12.75" customHeight="1">
      <c r="A16" s="31">
        <v>386.0</v>
      </c>
      <c r="B16" s="32" t="s">
        <v>47111</v>
      </c>
      <c r="C16" s="33">
        <v>35.0</v>
      </c>
      <c r="D16" s="32" t="s">
        <v>47112</v>
      </c>
      <c r="E16" s="32" t="s">
        <v>47113</v>
      </c>
      <c r="F16" s="33">
        <v>43.0</v>
      </c>
      <c r="G16" s="34">
        <v>3.5860431E7</v>
      </c>
    </row>
    <row r="17" ht="12.75" customHeight="1">
      <c r="A17" s="27">
        <v>386.0</v>
      </c>
      <c r="B17" s="28" t="s">
        <v>47114</v>
      </c>
      <c r="C17" s="29">
        <v>35.0</v>
      </c>
      <c r="D17" s="28" t="s">
        <v>47115</v>
      </c>
      <c r="E17" s="28" t="s">
        <v>47116</v>
      </c>
      <c r="F17" s="29">
        <v>46.0</v>
      </c>
      <c r="G17" s="30">
        <v>3.586046E7</v>
      </c>
    </row>
    <row r="18" ht="12.75" customHeight="1">
      <c r="A18" s="31">
        <v>386.0</v>
      </c>
      <c r="B18" s="32" t="s">
        <v>47117</v>
      </c>
      <c r="C18" s="33">
        <v>35.0</v>
      </c>
      <c r="D18" s="32" t="s">
        <v>47118</v>
      </c>
      <c r="E18" s="32" t="s">
        <v>47119</v>
      </c>
      <c r="F18" s="33">
        <v>49.0</v>
      </c>
      <c r="G18" s="34">
        <v>3.5860499E7</v>
      </c>
    </row>
    <row r="19" ht="12.75" customHeight="1">
      <c r="A19" s="27">
        <v>386.0</v>
      </c>
      <c r="B19" s="28" t="s">
        <v>47120</v>
      </c>
      <c r="C19" s="29">
        <v>35.0</v>
      </c>
      <c r="D19" s="28" t="s">
        <v>47121</v>
      </c>
      <c r="E19" s="28" t="s">
        <v>47122</v>
      </c>
      <c r="F19" s="29">
        <v>55.0</v>
      </c>
      <c r="G19" s="30">
        <v>3.5860552E7</v>
      </c>
    </row>
    <row r="20" ht="12.75" customHeight="1">
      <c r="A20" s="31">
        <v>386.0</v>
      </c>
      <c r="B20" s="32" t="s">
        <v>47123</v>
      </c>
      <c r="C20" s="33">
        <v>35.0</v>
      </c>
      <c r="D20" s="32" t="s">
        <v>47124</v>
      </c>
      <c r="E20" s="32" t="s">
        <v>47125</v>
      </c>
      <c r="F20" s="33">
        <v>58.0</v>
      </c>
      <c r="G20" s="34">
        <v>3.5860581E7</v>
      </c>
    </row>
    <row r="21" ht="12.75" customHeight="1">
      <c r="A21" s="27">
        <v>386.0</v>
      </c>
      <c r="B21" s="28" t="s">
        <v>47126</v>
      </c>
      <c r="C21" s="29">
        <v>35.0</v>
      </c>
      <c r="D21" s="28" t="s">
        <v>47127</v>
      </c>
      <c r="E21" s="28" t="s">
        <v>47128</v>
      </c>
      <c r="F21" s="29">
        <v>64.0</v>
      </c>
      <c r="G21" s="30">
        <v>3.5860644E7</v>
      </c>
    </row>
    <row r="22" ht="12.75" customHeight="1">
      <c r="A22" s="31">
        <v>386.0</v>
      </c>
      <c r="B22" s="32" t="s">
        <v>47129</v>
      </c>
      <c r="C22" s="33">
        <v>35.0</v>
      </c>
      <c r="D22" s="32" t="s">
        <v>47130</v>
      </c>
      <c r="E22" s="32" t="s">
        <v>47131</v>
      </c>
      <c r="F22" s="33">
        <v>67.0</v>
      </c>
      <c r="G22" s="34">
        <v>3.5860673E7</v>
      </c>
    </row>
    <row r="23" ht="12.75" customHeight="1">
      <c r="A23" s="27">
        <v>386.0</v>
      </c>
      <c r="B23" s="28" t="s">
        <v>47132</v>
      </c>
      <c r="C23" s="29">
        <v>35.0</v>
      </c>
      <c r="D23" s="28" t="s">
        <v>47133</v>
      </c>
      <c r="E23" s="28" t="s">
        <v>47134</v>
      </c>
      <c r="F23" s="29">
        <v>70.0</v>
      </c>
      <c r="G23" s="30">
        <v>3.5860707E7</v>
      </c>
    </row>
    <row r="24" ht="12.75" customHeight="1">
      <c r="A24" s="31">
        <v>487.0</v>
      </c>
      <c r="B24" s="32" t="s">
        <v>47135</v>
      </c>
      <c r="C24" s="33">
        <v>35.0</v>
      </c>
      <c r="D24" s="32" t="s">
        <v>47136</v>
      </c>
      <c r="E24" s="32" t="s">
        <v>47137</v>
      </c>
      <c r="F24" s="33">
        <v>7.0</v>
      </c>
      <c r="G24" s="34">
        <v>3.5870076E7</v>
      </c>
    </row>
    <row r="25" ht="12.75" customHeight="1">
      <c r="A25" s="27">
        <v>487.0</v>
      </c>
      <c r="B25" s="28" t="s">
        <v>47138</v>
      </c>
      <c r="C25" s="29">
        <v>35.0</v>
      </c>
      <c r="D25" s="28" t="s">
        <v>47139</v>
      </c>
      <c r="E25" s="28" t="s">
        <v>47140</v>
      </c>
      <c r="F25" s="29">
        <v>13.0</v>
      </c>
      <c r="G25" s="30">
        <v>3.5870139E7</v>
      </c>
    </row>
    <row r="26" ht="12.75" customHeight="1">
      <c r="A26" s="31">
        <v>487.0</v>
      </c>
      <c r="B26" s="32" t="s">
        <v>47141</v>
      </c>
      <c r="C26" s="33">
        <v>35.0</v>
      </c>
      <c r="D26" s="32" t="s">
        <v>47142</v>
      </c>
      <c r="E26" s="32" t="s">
        <v>47143</v>
      </c>
      <c r="F26" s="33">
        <v>28.0</v>
      </c>
      <c r="G26" s="34">
        <v>3.5870289E7</v>
      </c>
    </row>
    <row r="27" ht="12.75" customHeight="1">
      <c r="A27" s="27">
        <v>487.0</v>
      </c>
      <c r="B27" s="28" t="s">
        <v>47144</v>
      </c>
      <c r="C27" s="29">
        <v>35.0</v>
      </c>
      <c r="D27" s="28" t="s">
        <v>47145</v>
      </c>
      <c r="E27" s="28" t="s">
        <v>47146</v>
      </c>
      <c r="F27" s="29">
        <v>37.0</v>
      </c>
      <c r="G27" s="30">
        <v>3.5870371E7</v>
      </c>
    </row>
    <row r="28" ht="12.75" customHeight="1">
      <c r="A28" s="31">
        <v>487.0</v>
      </c>
      <c r="B28" s="32" t="s">
        <v>47147</v>
      </c>
      <c r="C28" s="33">
        <v>35.0</v>
      </c>
      <c r="D28" s="32" t="s">
        <v>47148</v>
      </c>
      <c r="E28" s="32" t="s">
        <v>47149</v>
      </c>
      <c r="F28" s="33">
        <v>40.0</v>
      </c>
      <c r="G28" s="34">
        <v>3.5870405E7</v>
      </c>
    </row>
    <row r="29" ht="12.75" customHeight="1">
      <c r="A29" s="27">
        <v>487.0</v>
      </c>
      <c r="B29" s="28" t="s">
        <v>47150</v>
      </c>
      <c r="C29" s="29">
        <v>35.0</v>
      </c>
      <c r="D29" s="28" t="s">
        <v>47151</v>
      </c>
      <c r="E29" s="28" t="s">
        <v>47152</v>
      </c>
      <c r="F29" s="29">
        <v>46.0</v>
      </c>
      <c r="G29" s="30">
        <v>3.5870463E7</v>
      </c>
    </row>
    <row r="30" ht="12.75" customHeight="1">
      <c r="A30" s="31">
        <v>487.0</v>
      </c>
      <c r="B30" s="32" t="s">
        <v>47153</v>
      </c>
      <c r="C30" s="33">
        <v>35.0</v>
      </c>
      <c r="D30" s="32" t="s">
        <v>47154</v>
      </c>
      <c r="E30" s="32" t="s">
        <v>47155</v>
      </c>
      <c r="F30" s="33">
        <v>52.0</v>
      </c>
      <c r="G30" s="34">
        <v>3.5870526E7</v>
      </c>
    </row>
    <row r="31" ht="12.75" customHeight="1">
      <c r="A31" s="27">
        <v>487.0</v>
      </c>
      <c r="B31" s="28" t="s">
        <v>47156</v>
      </c>
      <c r="C31" s="29">
        <v>35.0</v>
      </c>
      <c r="D31" s="28" t="s">
        <v>47157</v>
      </c>
      <c r="E31" s="28" t="s">
        <v>47158</v>
      </c>
      <c r="F31" s="29">
        <v>58.0</v>
      </c>
      <c r="G31" s="30">
        <v>3.5870584E7</v>
      </c>
    </row>
    <row r="32" ht="12.75" customHeight="1">
      <c r="A32" s="31">
        <v>487.0</v>
      </c>
      <c r="B32" s="32" t="s">
        <v>47159</v>
      </c>
      <c r="C32" s="33">
        <v>35.0</v>
      </c>
      <c r="D32" s="32" t="s">
        <v>47160</v>
      </c>
      <c r="E32" s="32" t="s">
        <v>47161</v>
      </c>
      <c r="F32" s="33">
        <v>61.0</v>
      </c>
      <c r="G32" s="34">
        <v>3.5870618E7</v>
      </c>
    </row>
    <row r="33" ht="12.75" customHeight="1">
      <c r="A33" s="27">
        <v>487.0</v>
      </c>
      <c r="B33" s="28" t="s">
        <v>47162</v>
      </c>
      <c r="C33" s="29">
        <v>35.0</v>
      </c>
      <c r="D33" s="28" t="s">
        <v>47163</v>
      </c>
      <c r="E33" s="28" t="s">
        <v>47164</v>
      </c>
      <c r="F33" s="29">
        <v>70.0</v>
      </c>
      <c r="G33" s="30">
        <v>3.58707E7</v>
      </c>
    </row>
    <row r="34" ht="12.75" customHeight="1">
      <c r="A34" s="31">
        <v>487.0</v>
      </c>
      <c r="B34" s="32" t="s">
        <v>47165</v>
      </c>
      <c r="C34" s="33">
        <v>35.0</v>
      </c>
      <c r="D34" s="32" t="s">
        <v>47166</v>
      </c>
      <c r="E34" s="32" t="s">
        <v>47167</v>
      </c>
      <c r="F34" s="33">
        <v>73.0</v>
      </c>
      <c r="G34" s="34">
        <v>3.5870739E7</v>
      </c>
    </row>
    <row r="35" ht="12.75" customHeight="1">
      <c r="A35" s="27">
        <v>487.0</v>
      </c>
      <c r="B35" s="28" t="s">
        <v>47168</v>
      </c>
      <c r="C35" s="29">
        <v>35.0</v>
      </c>
      <c r="D35" s="28" t="s">
        <v>47169</v>
      </c>
      <c r="E35" s="28" t="s">
        <v>47170</v>
      </c>
      <c r="F35" s="27">
        <v>106.0</v>
      </c>
      <c r="G35" s="30">
        <v>3.5871062E7</v>
      </c>
    </row>
    <row r="36" ht="12.75" customHeight="1">
      <c r="A36" s="31">
        <v>487.0</v>
      </c>
      <c r="B36" s="32" t="s">
        <v>47171</v>
      </c>
      <c r="C36" s="33">
        <v>35.0</v>
      </c>
      <c r="D36" s="32" t="s">
        <v>47172</v>
      </c>
      <c r="E36" s="32" t="s">
        <v>47173</v>
      </c>
      <c r="F36" s="31">
        <v>109.0</v>
      </c>
      <c r="G36" s="34">
        <v>3.5871091E7</v>
      </c>
    </row>
    <row r="37" ht="12.75" customHeight="1">
      <c r="A37" s="27">
        <v>487.0</v>
      </c>
      <c r="B37" s="28" t="s">
        <v>47174</v>
      </c>
      <c r="C37" s="29">
        <v>35.0</v>
      </c>
      <c r="D37" s="28" t="s">
        <v>47175</v>
      </c>
      <c r="E37" s="28" t="s">
        <v>47176</v>
      </c>
      <c r="F37" s="27">
        <v>118.0</v>
      </c>
      <c r="G37" s="30">
        <v>3.5871183E7</v>
      </c>
    </row>
    <row r="38" ht="12.75" customHeight="1">
      <c r="A38" s="31">
        <v>487.0</v>
      </c>
      <c r="B38" s="32" t="s">
        <v>47177</v>
      </c>
      <c r="C38" s="33">
        <v>35.0</v>
      </c>
      <c r="D38" s="32" t="s">
        <v>47178</v>
      </c>
      <c r="E38" s="32" t="s">
        <v>47179</v>
      </c>
      <c r="F38" s="31">
        <v>121.0</v>
      </c>
      <c r="G38" s="34">
        <v>3.5871217E7</v>
      </c>
    </row>
    <row r="39" ht="12.75" customHeight="1">
      <c r="A39" s="27">
        <v>487.0</v>
      </c>
      <c r="B39" s="28" t="s">
        <v>47180</v>
      </c>
      <c r="C39" s="29">
        <v>35.0</v>
      </c>
      <c r="D39" s="28" t="s">
        <v>47181</v>
      </c>
      <c r="E39" s="28" t="s">
        <v>47182</v>
      </c>
      <c r="F39" s="27">
        <v>124.0</v>
      </c>
      <c r="G39" s="30">
        <v>3.5871246E7</v>
      </c>
    </row>
    <row r="40" ht="12.75" customHeight="1">
      <c r="A40" s="31">
        <v>487.0</v>
      </c>
      <c r="B40" s="32" t="s">
        <v>47183</v>
      </c>
      <c r="C40" s="33">
        <v>35.0</v>
      </c>
      <c r="D40" s="32" t="s">
        <v>47184</v>
      </c>
      <c r="E40" s="32" t="s">
        <v>47185</v>
      </c>
      <c r="F40" s="31">
        <v>130.0</v>
      </c>
      <c r="G40" s="34">
        <v>3.5871309E7</v>
      </c>
    </row>
    <row r="41" ht="12.75" customHeight="1">
      <c r="A41" s="27">
        <v>189.0</v>
      </c>
      <c r="B41" s="28" t="s">
        <v>47186</v>
      </c>
      <c r="C41" s="29">
        <v>35.0</v>
      </c>
      <c r="D41" s="28" t="s">
        <v>47187</v>
      </c>
      <c r="E41" s="28" t="s">
        <v>47188</v>
      </c>
      <c r="F41" s="29">
        <v>4.0</v>
      </c>
      <c r="G41" s="30">
        <v>3.5890043E7</v>
      </c>
    </row>
    <row r="42" ht="12.75" customHeight="1">
      <c r="A42" s="31">
        <v>189.0</v>
      </c>
      <c r="B42" s="32" t="s">
        <v>47189</v>
      </c>
      <c r="C42" s="33">
        <v>35.0</v>
      </c>
      <c r="D42" s="32" t="s">
        <v>47190</v>
      </c>
      <c r="E42" s="32" t="s">
        <v>47191</v>
      </c>
      <c r="F42" s="33">
        <v>7.0</v>
      </c>
      <c r="G42" s="34">
        <v>3.5890072E7</v>
      </c>
    </row>
    <row r="43" ht="12.75" customHeight="1">
      <c r="A43" s="27">
        <v>189.0</v>
      </c>
      <c r="B43" s="28" t="s">
        <v>47192</v>
      </c>
      <c r="C43" s="29">
        <v>35.0</v>
      </c>
      <c r="D43" s="28" t="s">
        <v>47193</v>
      </c>
      <c r="E43" s="28" t="s">
        <v>47194</v>
      </c>
      <c r="F43" s="29">
        <v>13.0</v>
      </c>
      <c r="G43" s="30">
        <v>3.5890135E7</v>
      </c>
    </row>
    <row r="44" ht="12.75" customHeight="1">
      <c r="A44" s="31">
        <v>189.0</v>
      </c>
      <c r="B44" s="32" t="s">
        <v>47195</v>
      </c>
      <c r="C44" s="33">
        <v>35.0</v>
      </c>
      <c r="D44" s="32" t="s">
        <v>47196</v>
      </c>
      <c r="E44" s="32" t="s">
        <v>47197</v>
      </c>
      <c r="F44" s="33">
        <v>16.0</v>
      </c>
      <c r="G44" s="34">
        <v>3.5890164E7</v>
      </c>
    </row>
    <row r="45" ht="12.75" customHeight="1">
      <c r="A45" s="27">
        <v>189.0</v>
      </c>
      <c r="B45" s="28" t="s">
        <v>47198</v>
      </c>
      <c r="C45" s="29">
        <v>35.0</v>
      </c>
      <c r="D45" s="28" t="s">
        <v>47199</v>
      </c>
      <c r="E45" s="28" t="s">
        <v>47200</v>
      </c>
      <c r="F45" s="29">
        <v>18.0</v>
      </c>
      <c r="G45" s="30">
        <v>3.589018E7</v>
      </c>
    </row>
    <row r="46" ht="12.75" customHeight="1">
      <c r="A46" s="31">
        <v>189.0</v>
      </c>
      <c r="B46" s="32" t="s">
        <v>47201</v>
      </c>
      <c r="C46" s="33">
        <v>35.0</v>
      </c>
      <c r="D46" s="32" t="s">
        <v>47202</v>
      </c>
      <c r="E46" s="32" t="s">
        <v>47203</v>
      </c>
      <c r="F46" s="33">
        <v>25.0</v>
      </c>
      <c r="G46" s="34">
        <v>3.5890256E7</v>
      </c>
    </row>
    <row r="47" ht="12.75" customHeight="1">
      <c r="A47" s="27">
        <v>189.0</v>
      </c>
      <c r="B47" s="28" t="s">
        <v>47204</v>
      </c>
      <c r="C47" s="29">
        <v>35.0</v>
      </c>
      <c r="D47" s="28" t="s">
        <v>47205</v>
      </c>
      <c r="E47" s="28" t="s">
        <v>47206</v>
      </c>
      <c r="F47" s="29">
        <v>28.0</v>
      </c>
      <c r="G47" s="30">
        <v>3.5890285E7</v>
      </c>
    </row>
    <row r="48" ht="12.75" customHeight="1">
      <c r="A48" s="31">
        <v>189.0</v>
      </c>
      <c r="B48" s="32" t="s">
        <v>47207</v>
      </c>
      <c r="C48" s="33">
        <v>35.0</v>
      </c>
      <c r="D48" s="32" t="s">
        <v>47208</v>
      </c>
      <c r="E48" s="32" t="s">
        <v>47209</v>
      </c>
      <c r="F48" s="33">
        <v>31.0</v>
      </c>
      <c r="G48" s="34">
        <v>3.5890319E7</v>
      </c>
    </row>
    <row r="49" ht="12.75" customHeight="1">
      <c r="A49" s="27">
        <v>189.0</v>
      </c>
      <c r="B49" s="28" t="s">
        <v>47210</v>
      </c>
      <c r="C49" s="29">
        <v>35.0</v>
      </c>
      <c r="D49" s="28" t="s">
        <v>47211</v>
      </c>
      <c r="E49" s="28" t="s">
        <v>47212</v>
      </c>
      <c r="F49" s="29">
        <v>34.0</v>
      </c>
      <c r="G49" s="30">
        <v>3.5890348E7</v>
      </c>
    </row>
    <row r="50" ht="12.75" customHeight="1">
      <c r="A50" s="31">
        <v>189.0</v>
      </c>
      <c r="B50" s="32" t="s">
        <v>47213</v>
      </c>
      <c r="C50" s="33">
        <v>35.0</v>
      </c>
      <c r="D50" s="32" t="s">
        <v>47214</v>
      </c>
      <c r="E50" s="32" t="s">
        <v>47215</v>
      </c>
      <c r="F50" s="33">
        <v>37.0</v>
      </c>
      <c r="G50" s="34">
        <v>3.5890377E7</v>
      </c>
    </row>
    <row r="51" ht="12.75" customHeight="1">
      <c r="A51" s="27">
        <v>189.0</v>
      </c>
      <c r="B51" s="28" t="s">
        <v>47216</v>
      </c>
      <c r="C51" s="29">
        <v>35.0</v>
      </c>
      <c r="D51" s="28" t="s">
        <v>47217</v>
      </c>
      <c r="E51" s="28" t="s">
        <v>47218</v>
      </c>
      <c r="F51" s="29">
        <v>49.0</v>
      </c>
      <c r="G51" s="30">
        <v>3.5890498E7</v>
      </c>
    </row>
    <row r="52" ht="12.75" customHeight="1">
      <c r="A52" s="31">
        <v>189.0</v>
      </c>
      <c r="B52" s="32" t="s">
        <v>47219</v>
      </c>
      <c r="C52" s="33">
        <v>35.0</v>
      </c>
      <c r="D52" s="32" t="s">
        <v>47220</v>
      </c>
      <c r="E52" s="32" t="s">
        <v>47221</v>
      </c>
      <c r="F52" s="33">
        <v>52.0</v>
      </c>
      <c r="G52" s="34">
        <v>3.5890522E7</v>
      </c>
    </row>
    <row r="53" ht="12.75" customHeight="1">
      <c r="A53" s="27">
        <v>189.0</v>
      </c>
      <c r="B53" s="28" t="s">
        <v>47222</v>
      </c>
      <c r="C53" s="29">
        <v>35.0</v>
      </c>
      <c r="D53" s="28" t="s">
        <v>47223</v>
      </c>
      <c r="E53" s="28" t="s">
        <v>47224</v>
      </c>
      <c r="F53" s="29">
        <v>55.0</v>
      </c>
      <c r="G53" s="30">
        <v>3.5890551E7</v>
      </c>
    </row>
    <row r="54" ht="12.75" customHeight="1">
      <c r="A54" s="31">
        <v>189.0</v>
      </c>
      <c r="B54" s="32" t="s">
        <v>47225</v>
      </c>
      <c r="C54" s="33">
        <v>35.0</v>
      </c>
      <c r="D54" s="32" t="s">
        <v>47226</v>
      </c>
      <c r="E54" s="32" t="s">
        <v>47227</v>
      </c>
      <c r="F54" s="33">
        <v>64.0</v>
      </c>
      <c r="G54" s="34">
        <v>3.5890643E7</v>
      </c>
    </row>
    <row r="55" ht="12.75" customHeight="1">
      <c r="A55" s="27">
        <v>890.0</v>
      </c>
      <c r="B55" s="28" t="s">
        <v>47228</v>
      </c>
      <c r="C55" s="29">
        <v>35.0</v>
      </c>
      <c r="D55" s="28" t="s">
        <v>47229</v>
      </c>
      <c r="E55" s="28" t="s">
        <v>47230</v>
      </c>
      <c r="F55" s="29">
        <v>5.0</v>
      </c>
      <c r="G55" s="30">
        <v>3.5900054E7</v>
      </c>
    </row>
    <row r="56" ht="12.75" customHeight="1">
      <c r="A56" s="31">
        <v>890.0</v>
      </c>
      <c r="B56" s="32" t="s">
        <v>47231</v>
      </c>
      <c r="C56" s="33">
        <v>35.0</v>
      </c>
      <c r="D56" s="32" t="s">
        <v>47232</v>
      </c>
      <c r="E56" s="32" t="s">
        <v>47233</v>
      </c>
      <c r="F56" s="33">
        <v>7.0</v>
      </c>
      <c r="G56" s="34">
        <v>3.590007E7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890.0</v>
      </c>
      <c r="B1" s="28" t="s">
        <v>47234</v>
      </c>
      <c r="C1" s="29">
        <v>35.0</v>
      </c>
      <c r="D1" s="28" t="s">
        <v>47235</v>
      </c>
      <c r="E1" s="28" t="s">
        <v>47236</v>
      </c>
      <c r="F1" s="29">
        <v>8.0</v>
      </c>
      <c r="G1" s="30">
        <v>3.5900083E7</v>
      </c>
    </row>
    <row r="2" ht="12.75" customHeight="1">
      <c r="A2" s="31">
        <v>890.0</v>
      </c>
      <c r="B2" s="32" t="s">
        <v>47237</v>
      </c>
      <c r="C2" s="33">
        <v>35.0</v>
      </c>
      <c r="D2" s="32" t="s">
        <v>47238</v>
      </c>
      <c r="E2" s="32" t="s">
        <v>47239</v>
      </c>
      <c r="F2" s="33">
        <v>9.0</v>
      </c>
      <c r="G2" s="34">
        <v>3.5900096E7</v>
      </c>
    </row>
    <row r="3" ht="12.75" customHeight="1">
      <c r="A3" s="27">
        <v>890.0</v>
      </c>
      <c r="B3" s="28" t="s">
        <v>47240</v>
      </c>
      <c r="C3" s="29">
        <v>35.0</v>
      </c>
      <c r="D3" s="28" t="s">
        <v>47241</v>
      </c>
      <c r="E3" s="28" t="s">
        <v>47242</v>
      </c>
      <c r="F3" s="29">
        <v>10.0</v>
      </c>
      <c r="G3" s="30">
        <v>3.5900104E7</v>
      </c>
    </row>
    <row r="4" ht="12.75" customHeight="1">
      <c r="A4" s="31">
        <v>890.0</v>
      </c>
      <c r="B4" s="32" t="s">
        <v>47243</v>
      </c>
      <c r="C4" s="33">
        <v>35.0</v>
      </c>
      <c r="D4" s="32" t="s">
        <v>47244</v>
      </c>
      <c r="E4" s="32" t="s">
        <v>47245</v>
      </c>
      <c r="F4" s="33">
        <v>19.0</v>
      </c>
      <c r="G4" s="34">
        <v>3.5900191E7</v>
      </c>
    </row>
    <row r="5" ht="12.75" customHeight="1">
      <c r="A5" s="27">
        <v>890.0</v>
      </c>
      <c r="B5" s="28" t="s">
        <v>47246</v>
      </c>
      <c r="C5" s="29">
        <v>35.0</v>
      </c>
      <c r="D5" s="28" t="s">
        <v>47247</v>
      </c>
      <c r="E5" s="28" t="s">
        <v>47248</v>
      </c>
      <c r="F5" s="29">
        <v>22.0</v>
      </c>
      <c r="G5" s="30">
        <v>3.5900225E7</v>
      </c>
    </row>
    <row r="6" ht="12.75" customHeight="1">
      <c r="A6" s="31">
        <v>890.0</v>
      </c>
      <c r="B6" s="32" t="s">
        <v>47249</v>
      </c>
      <c r="C6" s="33">
        <v>35.0</v>
      </c>
      <c r="D6" s="32" t="s">
        <v>47250</v>
      </c>
      <c r="E6" s="32" t="s">
        <v>47251</v>
      </c>
      <c r="F6" s="33">
        <v>25.0</v>
      </c>
      <c r="G6" s="34">
        <v>3.5900254E7</v>
      </c>
    </row>
    <row r="7" ht="12.75" customHeight="1">
      <c r="A7" s="27">
        <v>890.0</v>
      </c>
      <c r="B7" s="28" t="s">
        <v>47252</v>
      </c>
      <c r="C7" s="29">
        <v>35.0</v>
      </c>
      <c r="D7" s="28" t="s">
        <v>47253</v>
      </c>
      <c r="E7" s="28" t="s">
        <v>47254</v>
      </c>
      <c r="F7" s="29">
        <v>28.0</v>
      </c>
      <c r="G7" s="30">
        <v>3.5900283E7</v>
      </c>
    </row>
    <row r="8" ht="12.75" customHeight="1">
      <c r="A8" s="31">
        <v>890.0</v>
      </c>
      <c r="B8" s="32" t="s">
        <v>47255</v>
      </c>
      <c r="C8" s="33">
        <v>35.0</v>
      </c>
      <c r="D8" s="32" t="s">
        <v>47256</v>
      </c>
      <c r="E8" s="32" t="s">
        <v>47257</v>
      </c>
      <c r="F8" s="33">
        <v>34.0</v>
      </c>
      <c r="G8" s="34">
        <v>3.5900346E7</v>
      </c>
    </row>
    <row r="9" ht="12.75" customHeight="1">
      <c r="A9" s="27">
        <v>890.0</v>
      </c>
      <c r="B9" s="28" t="s">
        <v>47258</v>
      </c>
      <c r="C9" s="29">
        <v>35.0</v>
      </c>
      <c r="D9" s="28" t="s">
        <v>47259</v>
      </c>
      <c r="E9" s="28" t="s">
        <v>47260</v>
      </c>
      <c r="F9" s="29">
        <v>37.0</v>
      </c>
      <c r="G9" s="30">
        <v>3.5900375E7</v>
      </c>
    </row>
    <row r="10" ht="12.75" customHeight="1">
      <c r="A10" s="31">
        <v>890.0</v>
      </c>
      <c r="B10" s="32" t="s">
        <v>47261</v>
      </c>
      <c r="C10" s="33">
        <v>35.0</v>
      </c>
      <c r="D10" s="32" t="s">
        <v>47262</v>
      </c>
      <c r="E10" s="32" t="s">
        <v>47263</v>
      </c>
      <c r="F10" s="33">
        <v>43.0</v>
      </c>
      <c r="G10" s="34">
        <v>3.5900438E7</v>
      </c>
    </row>
    <row r="11" ht="12.75" customHeight="1">
      <c r="A11" s="27">
        <v>890.0</v>
      </c>
      <c r="B11" s="28" t="s">
        <v>47264</v>
      </c>
      <c r="C11" s="29">
        <v>35.0</v>
      </c>
      <c r="D11" s="28" t="s">
        <v>47265</v>
      </c>
      <c r="E11" s="28" t="s">
        <v>47266</v>
      </c>
      <c r="F11" s="29">
        <v>46.0</v>
      </c>
      <c r="G11" s="30">
        <v>3.5900467E7</v>
      </c>
    </row>
    <row r="12" ht="12.75" customHeight="1">
      <c r="A12" s="31">
        <v>890.0</v>
      </c>
      <c r="B12" s="32" t="s">
        <v>47267</v>
      </c>
      <c r="C12" s="33">
        <v>35.0</v>
      </c>
      <c r="D12" s="32" t="s">
        <v>47268</v>
      </c>
      <c r="E12" s="32" t="s">
        <v>47269</v>
      </c>
      <c r="F12" s="33">
        <v>49.0</v>
      </c>
      <c r="G12" s="34">
        <v>3.5900496E7</v>
      </c>
    </row>
    <row r="13" ht="12.75" customHeight="1">
      <c r="A13" s="27">
        <v>890.0</v>
      </c>
      <c r="B13" s="28" t="s">
        <v>47270</v>
      </c>
      <c r="C13" s="29">
        <v>35.0</v>
      </c>
      <c r="D13" s="28" t="s">
        <v>47271</v>
      </c>
      <c r="E13" s="28" t="s">
        <v>47272</v>
      </c>
      <c r="F13" s="29">
        <v>55.0</v>
      </c>
      <c r="G13" s="30">
        <v>3.5900559E7</v>
      </c>
    </row>
    <row r="14" ht="12.75" customHeight="1">
      <c r="A14" s="31">
        <v>890.0</v>
      </c>
      <c r="B14" s="32" t="s">
        <v>47273</v>
      </c>
      <c r="C14" s="33">
        <v>35.0</v>
      </c>
      <c r="D14" s="32" t="s">
        <v>47274</v>
      </c>
      <c r="E14" s="32" t="s">
        <v>47275</v>
      </c>
      <c r="F14" s="33">
        <v>58.0</v>
      </c>
      <c r="G14" s="34">
        <v>3.5900588E7</v>
      </c>
    </row>
    <row r="15" ht="12.75" customHeight="1">
      <c r="A15" s="27">
        <v>890.0</v>
      </c>
      <c r="B15" s="28" t="s">
        <v>47276</v>
      </c>
      <c r="C15" s="29">
        <v>35.0</v>
      </c>
      <c r="D15" s="28" t="s">
        <v>47277</v>
      </c>
      <c r="E15" s="28" t="s">
        <v>47278</v>
      </c>
      <c r="F15" s="29">
        <v>64.0</v>
      </c>
      <c r="G15" s="30">
        <v>3.5900641E7</v>
      </c>
    </row>
    <row r="16" ht="12.75" customHeight="1">
      <c r="A16" s="31">
        <v>890.0</v>
      </c>
      <c r="B16" s="32" t="s">
        <v>47279</v>
      </c>
      <c r="C16" s="33">
        <v>35.0</v>
      </c>
      <c r="D16" s="32" t="s">
        <v>47280</v>
      </c>
      <c r="E16" s="32" t="s">
        <v>47281</v>
      </c>
      <c r="F16" s="33">
        <v>67.0</v>
      </c>
      <c r="G16" s="34">
        <v>3.590067E7</v>
      </c>
    </row>
    <row r="17" ht="12.75" customHeight="1">
      <c r="A17" s="27">
        <v>890.0</v>
      </c>
      <c r="B17" s="28" t="s">
        <v>47282</v>
      </c>
      <c r="C17" s="29">
        <v>35.0</v>
      </c>
      <c r="D17" s="28" t="s">
        <v>47283</v>
      </c>
      <c r="E17" s="28" t="s">
        <v>47284</v>
      </c>
      <c r="F17" s="29">
        <v>70.0</v>
      </c>
      <c r="G17" s="30">
        <v>3.5900704E7</v>
      </c>
    </row>
    <row r="18" ht="12.75" customHeight="1">
      <c r="A18" s="31">
        <v>890.0</v>
      </c>
      <c r="B18" s="32" t="s">
        <v>47285</v>
      </c>
      <c r="C18" s="33">
        <v>35.0</v>
      </c>
      <c r="D18" s="32" t="s">
        <v>47286</v>
      </c>
      <c r="E18" s="32" t="s">
        <v>47287</v>
      </c>
      <c r="F18" s="33">
        <v>71.0</v>
      </c>
      <c r="G18" s="34">
        <v>3.5900717E7</v>
      </c>
    </row>
    <row r="19" ht="12.75" customHeight="1">
      <c r="A19" s="27">
        <v>890.0</v>
      </c>
      <c r="B19" s="28" t="s">
        <v>47288</v>
      </c>
      <c r="C19" s="29">
        <v>35.0</v>
      </c>
      <c r="D19" s="28" t="s">
        <v>47289</v>
      </c>
      <c r="E19" s="28" t="s">
        <v>47290</v>
      </c>
      <c r="F19" s="29">
        <v>76.0</v>
      </c>
      <c r="G19" s="30">
        <v>3.5900762E7</v>
      </c>
    </row>
    <row r="20" ht="12.75" customHeight="1">
      <c r="A20" s="31">
        <v>890.0</v>
      </c>
      <c r="B20" s="32" t="s">
        <v>47291</v>
      </c>
      <c r="C20" s="33">
        <v>35.0</v>
      </c>
      <c r="D20" s="32" t="s">
        <v>47292</v>
      </c>
      <c r="E20" s="32" t="s">
        <v>47293</v>
      </c>
      <c r="F20" s="33">
        <v>88.0</v>
      </c>
      <c r="G20" s="34">
        <v>3.5900883E7</v>
      </c>
    </row>
    <row r="21" ht="12.75" customHeight="1">
      <c r="A21" s="27">
        <v>890.0</v>
      </c>
      <c r="B21" s="28" t="s">
        <v>47294</v>
      </c>
      <c r="C21" s="29">
        <v>35.0</v>
      </c>
      <c r="D21" s="28" t="s">
        <v>47295</v>
      </c>
      <c r="E21" s="28" t="s">
        <v>47296</v>
      </c>
      <c r="F21" s="29">
        <v>91.0</v>
      </c>
      <c r="G21" s="30">
        <v>3.5900917E7</v>
      </c>
    </row>
    <row r="22" ht="12.75" customHeight="1">
      <c r="A22" s="31">
        <v>890.0</v>
      </c>
      <c r="B22" s="32" t="s">
        <v>47297</v>
      </c>
      <c r="C22" s="33">
        <v>35.0</v>
      </c>
      <c r="D22" s="32" t="s">
        <v>47298</v>
      </c>
      <c r="E22" s="32" t="s">
        <v>47299</v>
      </c>
      <c r="F22" s="33">
        <v>94.0</v>
      </c>
      <c r="G22" s="34">
        <v>3.5900946E7</v>
      </c>
    </row>
    <row r="23" ht="12.75" customHeight="1">
      <c r="A23" s="27">
        <v>890.0</v>
      </c>
      <c r="B23" s="28" t="s">
        <v>47300</v>
      </c>
      <c r="C23" s="29">
        <v>35.0</v>
      </c>
      <c r="D23" s="28" t="s">
        <v>47301</v>
      </c>
      <c r="E23" s="28" t="s">
        <v>47302</v>
      </c>
      <c r="F23" s="27">
        <v>100.0</v>
      </c>
      <c r="G23" s="30">
        <v>3.5901008E7</v>
      </c>
    </row>
    <row r="24" ht="12.75" customHeight="1">
      <c r="A24" s="31">
        <v>890.0</v>
      </c>
      <c r="B24" s="32" t="s">
        <v>47303</v>
      </c>
      <c r="C24" s="33">
        <v>35.0</v>
      </c>
      <c r="D24" s="32" t="s">
        <v>47304</v>
      </c>
      <c r="E24" s="32" t="s">
        <v>47305</v>
      </c>
      <c r="F24" s="31">
        <v>103.0</v>
      </c>
      <c r="G24" s="34">
        <v>3.5901037E7</v>
      </c>
    </row>
    <row r="25" ht="12.75" customHeight="1">
      <c r="A25" s="27">
        <v>890.0</v>
      </c>
      <c r="B25" s="28" t="s">
        <v>47306</v>
      </c>
      <c r="C25" s="29">
        <v>35.0</v>
      </c>
      <c r="D25" s="28" t="s">
        <v>47307</v>
      </c>
      <c r="E25" s="28" t="s">
        <v>47308</v>
      </c>
      <c r="F25" s="27">
        <v>106.0</v>
      </c>
      <c r="G25" s="30">
        <v>3.5901066E7</v>
      </c>
    </row>
    <row r="26" ht="12.75" customHeight="1">
      <c r="A26" s="31">
        <v>890.0</v>
      </c>
      <c r="B26" s="32" t="s">
        <v>47309</v>
      </c>
      <c r="C26" s="33">
        <v>35.0</v>
      </c>
      <c r="D26" s="32" t="s">
        <v>47310</v>
      </c>
      <c r="E26" s="32" t="s">
        <v>47311</v>
      </c>
      <c r="F26" s="31">
        <v>112.0</v>
      </c>
      <c r="G26" s="34">
        <v>3.5901129E7</v>
      </c>
    </row>
    <row r="27" ht="12.75" customHeight="1">
      <c r="A27" s="27">
        <v>890.0</v>
      </c>
      <c r="B27" s="28" t="s">
        <v>47312</v>
      </c>
      <c r="C27" s="29">
        <v>35.0</v>
      </c>
      <c r="D27" s="28" t="s">
        <v>47313</v>
      </c>
      <c r="E27" s="28" t="s">
        <v>47314</v>
      </c>
      <c r="F27" s="27">
        <v>121.0</v>
      </c>
      <c r="G27" s="30">
        <v>3.5901211E7</v>
      </c>
    </row>
    <row r="28" ht="12.75" customHeight="1">
      <c r="A28" s="31">
        <v>891.0</v>
      </c>
      <c r="B28" s="32" t="s">
        <v>47315</v>
      </c>
      <c r="C28" s="33">
        <v>35.0</v>
      </c>
      <c r="D28" s="32" t="s">
        <v>47316</v>
      </c>
      <c r="E28" s="32" t="s">
        <v>47317</v>
      </c>
      <c r="F28" s="33">
        <v>4.0</v>
      </c>
      <c r="G28" s="34">
        <v>3.5910044E7</v>
      </c>
    </row>
    <row r="29" ht="12.75" customHeight="1">
      <c r="A29" s="27">
        <v>891.0</v>
      </c>
      <c r="B29" s="28" t="s">
        <v>47318</v>
      </c>
      <c r="C29" s="29">
        <v>35.0</v>
      </c>
      <c r="D29" s="28" t="s">
        <v>47319</v>
      </c>
      <c r="E29" s="28" t="s">
        <v>47320</v>
      </c>
      <c r="F29" s="29">
        <v>16.0</v>
      </c>
      <c r="G29" s="30">
        <v>3.5910165E7</v>
      </c>
    </row>
    <row r="30" ht="12.75" customHeight="1">
      <c r="A30" s="31">
        <v>891.0</v>
      </c>
      <c r="B30" s="32" t="s">
        <v>47321</v>
      </c>
      <c r="C30" s="33">
        <v>35.0</v>
      </c>
      <c r="D30" s="32" t="s">
        <v>47322</v>
      </c>
      <c r="E30" s="32" t="s">
        <v>47323</v>
      </c>
      <c r="F30" s="33">
        <v>19.0</v>
      </c>
      <c r="G30" s="34">
        <v>3.5910194E7</v>
      </c>
    </row>
    <row r="31" ht="12.75" customHeight="1">
      <c r="A31" s="27">
        <v>891.0</v>
      </c>
      <c r="B31" s="28" t="s">
        <v>47324</v>
      </c>
      <c r="C31" s="29">
        <v>35.0</v>
      </c>
      <c r="D31" s="28" t="s">
        <v>47325</v>
      </c>
      <c r="E31" s="28" t="s">
        <v>47326</v>
      </c>
      <c r="F31" s="29">
        <v>31.0</v>
      </c>
      <c r="G31" s="30">
        <v>3.591031E7</v>
      </c>
    </row>
    <row r="32" ht="12.75" customHeight="1">
      <c r="A32" s="31">
        <v>891.0</v>
      </c>
      <c r="B32" s="32" t="s">
        <v>47327</v>
      </c>
      <c r="C32" s="33">
        <v>35.0</v>
      </c>
      <c r="D32" s="32" t="s">
        <v>47328</v>
      </c>
      <c r="E32" s="32" t="s">
        <v>47329</v>
      </c>
      <c r="F32" s="33">
        <v>34.0</v>
      </c>
      <c r="G32" s="34">
        <v>3.5910349E7</v>
      </c>
    </row>
    <row r="33" ht="12.75" customHeight="1">
      <c r="A33" s="27">
        <v>891.0</v>
      </c>
      <c r="B33" s="28" t="s">
        <v>47330</v>
      </c>
      <c r="C33" s="29">
        <v>35.0</v>
      </c>
      <c r="D33" s="28" t="s">
        <v>47331</v>
      </c>
      <c r="E33" s="28" t="s">
        <v>47332</v>
      </c>
      <c r="F33" s="29">
        <v>43.0</v>
      </c>
      <c r="G33" s="30">
        <v>3.5910431E7</v>
      </c>
    </row>
    <row r="34" ht="12.75" customHeight="1">
      <c r="A34" s="31">
        <v>891.0</v>
      </c>
      <c r="B34" s="32" t="s">
        <v>47333</v>
      </c>
      <c r="C34" s="33">
        <v>35.0</v>
      </c>
      <c r="D34" s="32" t="s">
        <v>47334</v>
      </c>
      <c r="E34" s="32" t="s">
        <v>47335</v>
      </c>
      <c r="F34" s="33">
        <v>70.0</v>
      </c>
      <c r="G34" s="34">
        <v>3.5910707E7</v>
      </c>
    </row>
    <row r="35" ht="12.75" customHeight="1">
      <c r="A35" s="27">
        <v>891.0</v>
      </c>
      <c r="B35" s="28" t="s">
        <v>47336</v>
      </c>
      <c r="C35" s="29">
        <v>35.0</v>
      </c>
      <c r="D35" s="28" t="s">
        <v>47337</v>
      </c>
      <c r="E35" s="28" t="s">
        <v>47338</v>
      </c>
      <c r="F35" s="29">
        <v>76.0</v>
      </c>
      <c r="G35" s="30">
        <v>3.5910765E7</v>
      </c>
    </row>
    <row r="36" ht="12.75" customHeight="1">
      <c r="A36" s="31">
        <v>891.0</v>
      </c>
      <c r="B36" s="32" t="s">
        <v>47339</v>
      </c>
      <c r="C36" s="33">
        <v>35.0</v>
      </c>
      <c r="D36" s="32" t="s">
        <v>47340</v>
      </c>
      <c r="E36" s="32" t="s">
        <v>47341</v>
      </c>
      <c r="F36" s="33">
        <v>91.0</v>
      </c>
      <c r="G36" s="34">
        <v>3.591091E7</v>
      </c>
    </row>
    <row r="37" ht="12.75" customHeight="1">
      <c r="A37" s="27">
        <v>891.0</v>
      </c>
      <c r="B37" s="28" t="s">
        <v>47342</v>
      </c>
      <c r="C37" s="29">
        <v>35.0</v>
      </c>
      <c r="D37" s="28" t="s">
        <v>47343</v>
      </c>
      <c r="E37" s="28" t="s">
        <v>47344</v>
      </c>
      <c r="F37" s="27">
        <v>112.0</v>
      </c>
      <c r="G37" s="30">
        <v>3.5911122E7</v>
      </c>
    </row>
    <row r="38" ht="12.75" customHeight="1">
      <c r="A38" s="31">
        <v>891.0</v>
      </c>
      <c r="B38" s="32" t="s">
        <v>47345</v>
      </c>
      <c r="C38" s="33">
        <v>35.0</v>
      </c>
      <c r="D38" s="32" t="s">
        <v>47346</v>
      </c>
      <c r="E38" s="32" t="s">
        <v>47347</v>
      </c>
      <c r="F38" s="31">
        <v>127.0</v>
      </c>
      <c r="G38" s="34">
        <v>3.5911272E7</v>
      </c>
    </row>
    <row r="39" ht="12.75" customHeight="1">
      <c r="A39" s="27">
        <v>891.0</v>
      </c>
      <c r="B39" s="28" t="s">
        <v>47348</v>
      </c>
      <c r="C39" s="29">
        <v>35.0</v>
      </c>
      <c r="D39" s="28" t="s">
        <v>47349</v>
      </c>
      <c r="E39" s="28" t="s">
        <v>47350</v>
      </c>
      <c r="F39" s="27">
        <v>131.0</v>
      </c>
      <c r="G39" s="30">
        <v>3.5911319E7</v>
      </c>
    </row>
    <row r="40" ht="12.75" customHeight="1">
      <c r="A40" s="31">
        <v>891.0</v>
      </c>
      <c r="B40" s="32" t="s">
        <v>47351</v>
      </c>
      <c r="C40" s="33">
        <v>35.0</v>
      </c>
      <c r="D40" s="32" t="s">
        <v>47352</v>
      </c>
      <c r="E40" s="32" t="s">
        <v>47353</v>
      </c>
      <c r="F40" s="31">
        <v>133.0</v>
      </c>
      <c r="G40" s="34">
        <v>3.5911335E7</v>
      </c>
    </row>
    <row r="41" ht="12.75" customHeight="1">
      <c r="A41" s="27">
        <v>891.0</v>
      </c>
      <c r="B41" s="28" t="s">
        <v>47354</v>
      </c>
      <c r="C41" s="29">
        <v>35.0</v>
      </c>
      <c r="D41" s="28" t="s">
        <v>47355</v>
      </c>
      <c r="E41" s="28" t="s">
        <v>47356</v>
      </c>
      <c r="F41" s="27">
        <v>136.0</v>
      </c>
      <c r="G41" s="30">
        <v>3.5911364E7</v>
      </c>
    </row>
    <row r="42" ht="12.75" customHeight="1">
      <c r="A42" s="31">
        <v>891.0</v>
      </c>
      <c r="B42" s="32" t="s">
        <v>47357</v>
      </c>
      <c r="C42" s="33">
        <v>35.0</v>
      </c>
      <c r="D42" s="32" t="s">
        <v>47358</v>
      </c>
      <c r="E42" s="32" t="s">
        <v>47359</v>
      </c>
      <c r="F42" s="31">
        <v>160.0</v>
      </c>
      <c r="G42" s="34">
        <v>3.5911601E7</v>
      </c>
    </row>
    <row r="43" ht="12.75" customHeight="1">
      <c r="A43" s="27">
        <v>891.0</v>
      </c>
      <c r="B43" s="28" t="s">
        <v>47360</v>
      </c>
      <c r="C43" s="29">
        <v>35.0</v>
      </c>
      <c r="D43" s="28" t="s">
        <v>47361</v>
      </c>
      <c r="E43" s="28" t="s">
        <v>47362</v>
      </c>
      <c r="F43" s="27">
        <v>166.0</v>
      </c>
      <c r="G43" s="30">
        <v>3.5911669E7</v>
      </c>
    </row>
    <row r="44" ht="12.75" customHeight="1">
      <c r="A44" s="31">
        <v>891.0</v>
      </c>
      <c r="B44" s="32" t="s">
        <v>47363</v>
      </c>
      <c r="C44" s="33">
        <v>35.0</v>
      </c>
      <c r="D44" s="32" t="s">
        <v>47364</v>
      </c>
      <c r="E44" s="32" t="s">
        <v>47365</v>
      </c>
      <c r="F44" s="31">
        <v>170.0</v>
      </c>
      <c r="G44" s="34">
        <v>3.5911706E7</v>
      </c>
    </row>
    <row r="45" ht="12.75" customHeight="1">
      <c r="A45" s="27">
        <v>891.0</v>
      </c>
      <c r="B45" s="28" t="s">
        <v>47366</v>
      </c>
      <c r="C45" s="29">
        <v>35.0</v>
      </c>
      <c r="D45" s="28" t="s">
        <v>47367</v>
      </c>
      <c r="E45" s="28" t="s">
        <v>47368</v>
      </c>
      <c r="F45" s="27">
        <v>181.0</v>
      </c>
      <c r="G45" s="30">
        <v>3.5911814E7</v>
      </c>
    </row>
    <row r="46" ht="12.75" customHeight="1">
      <c r="A46" s="31">
        <v>891.0</v>
      </c>
      <c r="B46" s="32" t="s">
        <v>47369</v>
      </c>
      <c r="C46" s="33">
        <v>35.0</v>
      </c>
      <c r="D46" s="32" t="s">
        <v>47370</v>
      </c>
      <c r="E46" s="32" t="s">
        <v>47371</v>
      </c>
      <c r="F46" s="31">
        <v>208.0</v>
      </c>
      <c r="G46" s="34">
        <v>3.5912084E7</v>
      </c>
    </row>
    <row r="47" ht="12.75" customHeight="1">
      <c r="A47" s="27">
        <v>891.0</v>
      </c>
      <c r="B47" s="28" t="s">
        <v>47372</v>
      </c>
      <c r="C47" s="29">
        <v>35.0</v>
      </c>
      <c r="D47" s="28" t="s">
        <v>47373</v>
      </c>
      <c r="E47" s="28" t="s">
        <v>47374</v>
      </c>
      <c r="F47" s="27">
        <v>226.0</v>
      </c>
      <c r="G47" s="30">
        <v>3.5912268E7</v>
      </c>
    </row>
    <row r="48" ht="12.75" customHeight="1">
      <c r="A48" s="31">
        <v>891.0</v>
      </c>
      <c r="B48" s="32" t="s">
        <v>47375</v>
      </c>
      <c r="C48" s="33">
        <v>35.0</v>
      </c>
      <c r="D48" s="32" t="s">
        <v>47376</v>
      </c>
      <c r="E48" s="32" t="s">
        <v>47377</v>
      </c>
      <c r="F48" s="31">
        <v>268.0</v>
      </c>
      <c r="G48" s="34">
        <v>3.5912684E7</v>
      </c>
    </row>
    <row r="49" ht="12.75" customHeight="1">
      <c r="A49" s="27">
        <v>891.0</v>
      </c>
      <c r="B49" s="28" t="s">
        <v>47378</v>
      </c>
      <c r="C49" s="29">
        <v>35.0</v>
      </c>
      <c r="D49" s="28" t="s">
        <v>47379</v>
      </c>
      <c r="E49" s="28" t="s">
        <v>47380</v>
      </c>
      <c r="F49" s="27">
        <v>301.0</v>
      </c>
      <c r="G49" s="30">
        <v>3.5913012E7</v>
      </c>
    </row>
    <row r="50" ht="12.75" customHeight="1">
      <c r="A50" s="31">
        <v>891.0</v>
      </c>
      <c r="B50" s="32" t="s">
        <v>47381</v>
      </c>
      <c r="C50" s="33">
        <v>35.0</v>
      </c>
      <c r="D50" s="32" t="s">
        <v>47382</v>
      </c>
      <c r="E50" s="32" t="s">
        <v>47383</v>
      </c>
      <c r="F50" s="31">
        <v>310.0</v>
      </c>
      <c r="G50" s="34">
        <v>3.5913104E7</v>
      </c>
    </row>
    <row r="51" ht="12.75" customHeight="1">
      <c r="A51" s="27">
        <v>891.0</v>
      </c>
      <c r="B51" s="28" t="s">
        <v>47384</v>
      </c>
      <c r="C51" s="29">
        <v>35.0</v>
      </c>
      <c r="D51" s="28" t="s">
        <v>47385</v>
      </c>
      <c r="E51" s="28" t="s">
        <v>47386</v>
      </c>
      <c r="F51" s="27">
        <v>337.0</v>
      </c>
      <c r="G51" s="30">
        <v>3.5913375E7</v>
      </c>
    </row>
    <row r="52" ht="12.75" customHeight="1">
      <c r="A52" s="31">
        <v>891.0</v>
      </c>
      <c r="B52" s="32" t="s">
        <v>47387</v>
      </c>
      <c r="C52" s="33">
        <v>35.0</v>
      </c>
      <c r="D52" s="32" t="s">
        <v>47388</v>
      </c>
      <c r="E52" s="32" t="s">
        <v>47389</v>
      </c>
      <c r="F52" s="31">
        <v>355.0</v>
      </c>
      <c r="G52" s="34">
        <v>3.5913559E7</v>
      </c>
    </row>
    <row r="53" ht="12.75" customHeight="1">
      <c r="A53" s="27">
        <v>891.0</v>
      </c>
      <c r="B53" s="28" t="s">
        <v>47390</v>
      </c>
      <c r="C53" s="29">
        <v>35.0</v>
      </c>
      <c r="D53" s="28" t="s">
        <v>47391</v>
      </c>
      <c r="E53" s="28" t="s">
        <v>47392</v>
      </c>
      <c r="F53" s="27">
        <v>384.0</v>
      </c>
      <c r="G53" s="30">
        <v>3.5913841E7</v>
      </c>
    </row>
    <row r="54" ht="12.75" customHeight="1">
      <c r="A54" s="31">
        <v>891.0</v>
      </c>
      <c r="B54" s="32" t="s">
        <v>47393</v>
      </c>
      <c r="C54" s="33">
        <v>35.0</v>
      </c>
      <c r="D54" s="32" t="s">
        <v>47394</v>
      </c>
      <c r="E54" s="32" t="s">
        <v>47395</v>
      </c>
      <c r="F54" s="31">
        <v>412.0</v>
      </c>
      <c r="G54" s="34">
        <v>3.5914129E7</v>
      </c>
    </row>
    <row r="55" ht="12.75" customHeight="1">
      <c r="A55" s="27">
        <v>193.0</v>
      </c>
      <c r="B55" s="28" t="s">
        <v>47396</v>
      </c>
      <c r="C55" s="29">
        <v>35.0</v>
      </c>
      <c r="D55" s="28" t="s">
        <v>47397</v>
      </c>
      <c r="E55" s="28" t="s">
        <v>47398</v>
      </c>
      <c r="F55" s="29">
        <v>8.0</v>
      </c>
      <c r="G55" s="30">
        <v>3.5930082E7</v>
      </c>
    </row>
    <row r="56" ht="12.75" customHeight="1">
      <c r="A56" s="31">
        <v>193.0</v>
      </c>
      <c r="B56" s="32" t="s">
        <v>47399</v>
      </c>
      <c r="C56" s="33">
        <v>35.0</v>
      </c>
      <c r="D56" s="32" t="s">
        <v>47400</v>
      </c>
      <c r="E56" s="32" t="s">
        <v>47401</v>
      </c>
      <c r="F56" s="33">
        <v>9.0</v>
      </c>
      <c r="G56" s="34">
        <v>3.5930095E7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193.0</v>
      </c>
      <c r="B1" s="28" t="s">
        <v>47402</v>
      </c>
      <c r="C1" s="29">
        <v>35.0</v>
      </c>
      <c r="D1" s="28" t="s">
        <v>47403</v>
      </c>
      <c r="E1" s="28" t="s">
        <v>47404</v>
      </c>
      <c r="F1" s="29">
        <v>12.0</v>
      </c>
      <c r="G1" s="30">
        <v>3.5930129E7</v>
      </c>
    </row>
    <row r="2" ht="12.75" customHeight="1">
      <c r="A2" s="31">
        <v>193.0</v>
      </c>
      <c r="B2" s="32" t="s">
        <v>47405</v>
      </c>
      <c r="C2" s="33">
        <v>35.0</v>
      </c>
      <c r="D2" s="32" t="s">
        <v>47406</v>
      </c>
      <c r="E2" s="32" t="s">
        <v>47407</v>
      </c>
      <c r="F2" s="33">
        <v>13.0</v>
      </c>
      <c r="G2" s="34">
        <v>3.5930132E7</v>
      </c>
    </row>
    <row r="3" ht="12.75" customHeight="1">
      <c r="A3" s="27">
        <v>193.0</v>
      </c>
      <c r="B3" s="28" t="s">
        <v>47408</v>
      </c>
      <c r="C3" s="29">
        <v>35.0</v>
      </c>
      <c r="D3" s="28" t="s">
        <v>47409</v>
      </c>
      <c r="E3" s="28" t="s">
        <v>47410</v>
      </c>
      <c r="F3" s="29">
        <v>14.0</v>
      </c>
      <c r="G3" s="30">
        <v>3.5930145E7</v>
      </c>
    </row>
    <row r="4" ht="12.75" customHeight="1">
      <c r="A4" s="31">
        <v>193.0</v>
      </c>
      <c r="B4" s="32" t="s">
        <v>47411</v>
      </c>
      <c r="C4" s="33">
        <v>35.0</v>
      </c>
      <c r="D4" s="32" t="s">
        <v>47412</v>
      </c>
      <c r="E4" s="32" t="s">
        <v>47413</v>
      </c>
      <c r="F4" s="33">
        <v>19.0</v>
      </c>
      <c r="G4" s="34">
        <v>3.593019E7</v>
      </c>
    </row>
    <row r="5" ht="12.75" customHeight="1">
      <c r="A5" s="27">
        <v>193.0</v>
      </c>
      <c r="B5" s="28" t="s">
        <v>47414</v>
      </c>
      <c r="C5" s="29">
        <v>35.0</v>
      </c>
      <c r="D5" s="28" t="s">
        <v>47415</v>
      </c>
      <c r="E5" s="28" t="s">
        <v>47416</v>
      </c>
      <c r="F5" s="29">
        <v>28.0</v>
      </c>
      <c r="G5" s="30">
        <v>3.5930282E7</v>
      </c>
    </row>
    <row r="6" ht="12.75" customHeight="1">
      <c r="A6" s="31">
        <v>193.0</v>
      </c>
      <c r="B6" s="32" t="s">
        <v>47417</v>
      </c>
      <c r="C6" s="33">
        <v>35.0</v>
      </c>
      <c r="D6" s="32" t="s">
        <v>47418</v>
      </c>
      <c r="E6" s="32" t="s">
        <v>47419</v>
      </c>
      <c r="F6" s="33">
        <v>31.0</v>
      </c>
      <c r="G6" s="34">
        <v>3.5930316E7</v>
      </c>
    </row>
    <row r="7" ht="12.75" customHeight="1">
      <c r="A7" s="27">
        <v>193.0</v>
      </c>
      <c r="B7" s="28" t="s">
        <v>47420</v>
      </c>
      <c r="C7" s="29">
        <v>35.0</v>
      </c>
      <c r="D7" s="28" t="s">
        <v>47421</v>
      </c>
      <c r="E7" s="28" t="s">
        <v>47422</v>
      </c>
      <c r="F7" s="29">
        <v>34.0</v>
      </c>
      <c r="G7" s="30">
        <v>3.5930345E7</v>
      </c>
    </row>
    <row r="8" ht="12.75" customHeight="1">
      <c r="A8" s="31">
        <v>193.0</v>
      </c>
      <c r="B8" s="32" t="s">
        <v>47423</v>
      </c>
      <c r="C8" s="33">
        <v>35.0</v>
      </c>
      <c r="D8" s="32" t="s">
        <v>47424</v>
      </c>
      <c r="E8" s="32" t="s">
        <v>47425</v>
      </c>
      <c r="F8" s="33">
        <v>37.0</v>
      </c>
      <c r="G8" s="34">
        <v>3.5930374E7</v>
      </c>
    </row>
    <row r="9" ht="12.75" customHeight="1">
      <c r="A9" s="27">
        <v>193.0</v>
      </c>
      <c r="B9" s="28" t="s">
        <v>47426</v>
      </c>
      <c r="C9" s="29">
        <v>35.0</v>
      </c>
      <c r="D9" s="28" t="s">
        <v>47427</v>
      </c>
      <c r="E9" s="28" t="s">
        <v>47428</v>
      </c>
      <c r="F9" s="29">
        <v>40.0</v>
      </c>
      <c r="G9" s="30">
        <v>3.5930408E7</v>
      </c>
    </row>
    <row r="10" ht="12.75" customHeight="1">
      <c r="A10" s="31">
        <v>193.0</v>
      </c>
      <c r="B10" s="32" t="s">
        <v>47429</v>
      </c>
      <c r="C10" s="33">
        <v>35.0</v>
      </c>
      <c r="D10" s="32" t="s">
        <v>47430</v>
      </c>
      <c r="E10" s="32" t="s">
        <v>47431</v>
      </c>
      <c r="F10" s="33">
        <v>43.0</v>
      </c>
      <c r="G10" s="34">
        <v>3.5930437E7</v>
      </c>
    </row>
    <row r="11" ht="12.75" customHeight="1">
      <c r="A11" s="27">
        <v>193.0</v>
      </c>
      <c r="B11" s="28" t="s">
        <v>47432</v>
      </c>
      <c r="C11" s="29">
        <v>35.0</v>
      </c>
      <c r="D11" s="28" t="s">
        <v>47433</v>
      </c>
      <c r="E11" s="28" t="s">
        <v>47434</v>
      </c>
      <c r="F11" s="29">
        <v>46.0</v>
      </c>
      <c r="G11" s="30">
        <v>3.5930466E7</v>
      </c>
    </row>
    <row r="12" ht="12.75" customHeight="1">
      <c r="A12" s="31">
        <v>193.0</v>
      </c>
      <c r="B12" s="32" t="s">
        <v>47435</v>
      </c>
      <c r="C12" s="33">
        <v>35.0</v>
      </c>
      <c r="D12" s="32" t="s">
        <v>47436</v>
      </c>
      <c r="E12" s="32" t="s">
        <v>47437</v>
      </c>
      <c r="F12" s="33">
        <v>52.0</v>
      </c>
      <c r="G12" s="34">
        <v>3.5930529E7</v>
      </c>
    </row>
    <row r="13" ht="12.75" customHeight="1">
      <c r="A13" s="27">
        <v>193.0</v>
      </c>
      <c r="B13" s="28" t="s">
        <v>47438</v>
      </c>
      <c r="C13" s="29">
        <v>35.0</v>
      </c>
      <c r="D13" s="28" t="s">
        <v>47439</v>
      </c>
      <c r="E13" s="28" t="s">
        <v>47440</v>
      </c>
      <c r="F13" s="29">
        <v>58.0</v>
      </c>
      <c r="G13" s="30">
        <v>3.5930587E7</v>
      </c>
    </row>
    <row r="14" ht="12.75" customHeight="1">
      <c r="A14" s="31">
        <v>193.0</v>
      </c>
      <c r="B14" s="32" t="s">
        <v>47441</v>
      </c>
      <c r="C14" s="33">
        <v>35.0</v>
      </c>
      <c r="D14" s="32" t="s">
        <v>47442</v>
      </c>
      <c r="E14" s="32" t="s">
        <v>47443</v>
      </c>
      <c r="F14" s="33">
        <v>67.0</v>
      </c>
      <c r="G14" s="34">
        <v>3.5930679E7</v>
      </c>
    </row>
    <row r="15" ht="12.75" customHeight="1">
      <c r="A15" s="27">
        <v>193.0</v>
      </c>
      <c r="B15" s="28" t="s">
        <v>47444</v>
      </c>
      <c r="C15" s="29">
        <v>35.0</v>
      </c>
      <c r="D15" s="28" t="s">
        <v>47445</v>
      </c>
      <c r="E15" s="28" t="s">
        <v>47446</v>
      </c>
      <c r="F15" s="29">
        <v>82.0</v>
      </c>
      <c r="G15" s="30">
        <v>3.5930824E7</v>
      </c>
    </row>
    <row r="16" ht="12.75" customHeight="1">
      <c r="A16" s="31">
        <v>193.0</v>
      </c>
      <c r="B16" s="32" t="s">
        <v>47447</v>
      </c>
      <c r="C16" s="33">
        <v>35.0</v>
      </c>
      <c r="D16" s="32" t="s">
        <v>47448</v>
      </c>
      <c r="E16" s="32" t="s">
        <v>47449</v>
      </c>
      <c r="F16" s="33">
        <v>91.0</v>
      </c>
      <c r="G16" s="34">
        <v>3.5930916E7</v>
      </c>
    </row>
    <row r="17" ht="12.75" customHeight="1">
      <c r="A17" s="27">
        <v>193.0</v>
      </c>
      <c r="B17" s="28" t="s">
        <v>47450</v>
      </c>
      <c r="C17" s="29">
        <v>35.0</v>
      </c>
      <c r="D17" s="28" t="s">
        <v>47451</v>
      </c>
      <c r="E17" s="28" t="s">
        <v>47452</v>
      </c>
      <c r="F17" s="27">
        <v>100.0</v>
      </c>
      <c r="G17" s="30">
        <v>3.5931007E7</v>
      </c>
    </row>
    <row r="18" ht="12.75" customHeight="1">
      <c r="A18" s="31">
        <v>193.0</v>
      </c>
      <c r="B18" s="32" t="s">
        <v>47453</v>
      </c>
      <c r="C18" s="33">
        <v>35.0</v>
      </c>
      <c r="D18" s="32" t="s">
        <v>47454</v>
      </c>
      <c r="E18" s="32" t="s">
        <v>47455</v>
      </c>
      <c r="F18" s="31">
        <v>106.0</v>
      </c>
      <c r="G18" s="34">
        <v>3.5931065E7</v>
      </c>
    </row>
    <row r="19" ht="12.75" customHeight="1">
      <c r="A19" s="27">
        <v>193.0</v>
      </c>
      <c r="B19" s="28" t="s">
        <v>47456</v>
      </c>
      <c r="C19" s="29">
        <v>35.0</v>
      </c>
      <c r="D19" s="28" t="s">
        <v>47457</v>
      </c>
      <c r="E19" s="28" t="s">
        <v>47458</v>
      </c>
      <c r="F19" s="27">
        <v>112.0</v>
      </c>
      <c r="G19" s="30">
        <v>3.5931128E7</v>
      </c>
    </row>
    <row r="20" ht="12.75" customHeight="1">
      <c r="A20" s="31">
        <v>193.0</v>
      </c>
      <c r="B20" s="32" t="s">
        <v>47459</v>
      </c>
      <c r="C20" s="33">
        <v>35.0</v>
      </c>
      <c r="D20" s="32" t="s">
        <v>47460</v>
      </c>
      <c r="E20" s="32" t="s">
        <v>47461</v>
      </c>
      <c r="F20" s="31">
        <v>121.0</v>
      </c>
      <c r="G20" s="34">
        <v>3.593121E7</v>
      </c>
    </row>
    <row r="21" ht="12.75" customHeight="1">
      <c r="A21" s="27">
        <v>193.0</v>
      </c>
      <c r="B21" s="28" t="s">
        <v>47462</v>
      </c>
      <c r="C21" s="29">
        <v>35.0</v>
      </c>
      <c r="D21" s="28" t="s">
        <v>47463</v>
      </c>
      <c r="E21" s="28" t="s">
        <v>47464</v>
      </c>
      <c r="F21" s="27">
        <v>124.0</v>
      </c>
      <c r="G21" s="30">
        <v>3.5931249E7</v>
      </c>
    </row>
    <row r="22" ht="12.75" customHeight="1">
      <c r="A22" s="31">
        <v>193.0</v>
      </c>
      <c r="B22" s="32" t="s">
        <v>47465</v>
      </c>
      <c r="C22" s="33">
        <v>35.0</v>
      </c>
      <c r="D22" s="32" t="s">
        <v>47466</v>
      </c>
      <c r="E22" s="32" t="s">
        <v>47467</v>
      </c>
      <c r="F22" s="31">
        <v>127.0</v>
      </c>
      <c r="G22" s="34">
        <v>3.5931278E7</v>
      </c>
    </row>
    <row r="23" ht="12.75" customHeight="1">
      <c r="A23" s="27">
        <v>193.0</v>
      </c>
      <c r="B23" s="28" t="s">
        <v>47468</v>
      </c>
      <c r="C23" s="29">
        <v>35.0</v>
      </c>
      <c r="D23" s="28" t="s">
        <v>47469</v>
      </c>
      <c r="E23" s="28" t="s">
        <v>47470</v>
      </c>
      <c r="F23" s="27">
        <v>130.0</v>
      </c>
      <c r="G23" s="30">
        <v>3.5931302E7</v>
      </c>
    </row>
    <row r="24" ht="12.75" customHeight="1">
      <c r="A24" s="31">
        <v>193.0</v>
      </c>
      <c r="B24" s="32" t="s">
        <v>47471</v>
      </c>
      <c r="C24" s="33">
        <v>35.0</v>
      </c>
      <c r="D24" s="32" t="s">
        <v>47472</v>
      </c>
      <c r="E24" s="32" t="s">
        <v>47473</v>
      </c>
      <c r="F24" s="31">
        <v>136.0</v>
      </c>
      <c r="G24" s="34">
        <v>3.593136E7</v>
      </c>
    </row>
    <row r="25" ht="12.75" customHeight="1">
      <c r="A25" s="27">
        <v>193.0</v>
      </c>
      <c r="B25" s="28" t="s">
        <v>47474</v>
      </c>
      <c r="C25" s="29">
        <v>35.0</v>
      </c>
      <c r="D25" s="28" t="s">
        <v>47475</v>
      </c>
      <c r="E25" s="28" t="s">
        <v>47476</v>
      </c>
      <c r="F25" s="27">
        <v>148.0</v>
      </c>
      <c r="G25" s="30">
        <v>3.5931481E7</v>
      </c>
    </row>
    <row r="26" ht="12.75" customHeight="1">
      <c r="A26" s="31">
        <v>193.0</v>
      </c>
      <c r="B26" s="32" t="s">
        <v>47477</v>
      </c>
      <c r="C26" s="33">
        <v>35.0</v>
      </c>
      <c r="D26" s="32" t="s">
        <v>47478</v>
      </c>
      <c r="E26" s="32" t="s">
        <v>47479</v>
      </c>
      <c r="F26" s="31">
        <v>151.0</v>
      </c>
      <c r="G26" s="34">
        <v>3.5931515E7</v>
      </c>
    </row>
    <row r="27" ht="12.75" customHeight="1">
      <c r="A27" s="27">
        <v>193.0</v>
      </c>
      <c r="B27" s="28" t="s">
        <v>47480</v>
      </c>
      <c r="C27" s="29">
        <v>35.0</v>
      </c>
      <c r="D27" s="28" t="s">
        <v>47481</v>
      </c>
      <c r="E27" s="28" t="s">
        <v>47482</v>
      </c>
      <c r="F27" s="27">
        <v>169.0</v>
      </c>
      <c r="G27" s="30">
        <v>3.5931694E7</v>
      </c>
    </row>
    <row r="28" ht="12.75" customHeight="1">
      <c r="A28" s="31">
        <v>193.0</v>
      </c>
      <c r="B28" s="32" t="s">
        <v>47483</v>
      </c>
      <c r="C28" s="33">
        <v>35.0</v>
      </c>
      <c r="D28" s="32" t="s">
        <v>47484</v>
      </c>
      <c r="E28" s="32" t="s">
        <v>47485</v>
      </c>
      <c r="F28" s="31">
        <v>172.0</v>
      </c>
      <c r="G28" s="34">
        <v>3.5931728E7</v>
      </c>
    </row>
    <row r="29" ht="12.75" customHeight="1">
      <c r="A29" s="27">
        <v>193.0</v>
      </c>
      <c r="B29" s="28" t="s">
        <v>47486</v>
      </c>
      <c r="C29" s="29">
        <v>35.0</v>
      </c>
      <c r="D29" s="28" t="s">
        <v>47487</v>
      </c>
      <c r="E29" s="28" t="s">
        <v>47488</v>
      </c>
      <c r="F29" s="27">
        <v>199.0</v>
      </c>
      <c r="G29" s="30">
        <v>3.5931999E7</v>
      </c>
    </row>
    <row r="30" ht="12.75" customHeight="1">
      <c r="A30" s="31">
        <v>193.0</v>
      </c>
      <c r="B30" s="32" t="s">
        <v>47489</v>
      </c>
      <c r="C30" s="33">
        <v>35.0</v>
      </c>
      <c r="D30" s="32" t="s">
        <v>47490</v>
      </c>
      <c r="E30" s="32" t="s">
        <v>47491</v>
      </c>
      <c r="F30" s="31">
        <v>208.0</v>
      </c>
      <c r="G30" s="34">
        <v>3.593208E7</v>
      </c>
    </row>
    <row r="31" ht="12.75" customHeight="1">
      <c r="A31" s="27">
        <v>193.0</v>
      </c>
      <c r="B31" s="28" t="s">
        <v>47492</v>
      </c>
      <c r="C31" s="29">
        <v>35.0</v>
      </c>
      <c r="D31" s="28" t="s">
        <v>47493</v>
      </c>
      <c r="E31" s="28" t="s">
        <v>47494</v>
      </c>
      <c r="F31" s="27">
        <v>211.0</v>
      </c>
      <c r="G31" s="30">
        <v>3.5932114E7</v>
      </c>
    </row>
    <row r="32" ht="12.75" customHeight="1">
      <c r="A32" s="31">
        <v>193.0</v>
      </c>
      <c r="B32" s="32" t="s">
        <v>47495</v>
      </c>
      <c r="C32" s="33">
        <v>35.0</v>
      </c>
      <c r="D32" s="32" t="s">
        <v>47496</v>
      </c>
      <c r="E32" s="32" t="s">
        <v>47497</v>
      </c>
      <c r="F32" s="31">
        <v>220.0</v>
      </c>
      <c r="G32" s="34">
        <v>3.5932206E7</v>
      </c>
    </row>
    <row r="33" ht="12.75" customHeight="1">
      <c r="A33" s="27">
        <v>193.0</v>
      </c>
      <c r="B33" s="28" t="s">
        <v>47498</v>
      </c>
      <c r="C33" s="29">
        <v>35.0</v>
      </c>
      <c r="D33" s="28" t="s">
        <v>47499</v>
      </c>
      <c r="E33" s="28" t="s">
        <v>47500</v>
      </c>
      <c r="F33" s="27">
        <v>223.0</v>
      </c>
      <c r="G33" s="30">
        <v>3.5932235E7</v>
      </c>
    </row>
    <row r="34" ht="12.75" customHeight="1">
      <c r="A34" s="31">
        <v>193.0</v>
      </c>
      <c r="B34" s="32" t="s">
        <v>47501</v>
      </c>
      <c r="C34" s="33">
        <v>35.0</v>
      </c>
      <c r="D34" s="32" t="s">
        <v>47502</v>
      </c>
      <c r="E34" s="32" t="s">
        <v>47503</v>
      </c>
      <c r="F34" s="31">
        <v>229.0</v>
      </c>
      <c r="G34" s="34">
        <v>3.5932293E7</v>
      </c>
    </row>
    <row r="35" ht="12.75" customHeight="1">
      <c r="A35" s="27">
        <v>127.0</v>
      </c>
      <c r="B35" s="28" t="s">
        <v>47504</v>
      </c>
      <c r="C35" s="29">
        <v>40.0</v>
      </c>
      <c r="D35" s="28" t="s">
        <v>47505</v>
      </c>
      <c r="E35" s="28" t="s">
        <v>47506</v>
      </c>
      <c r="F35" s="29">
        <v>0.0</v>
      </c>
      <c r="G35" s="30">
        <v>4.0270003E7</v>
      </c>
    </row>
    <row r="36" ht="12.75" customHeight="1">
      <c r="A36" s="31">
        <v>127.0</v>
      </c>
      <c r="B36" s="32" t="s">
        <v>47507</v>
      </c>
      <c r="C36" s="33">
        <v>40.0</v>
      </c>
      <c r="D36" s="32" t="s">
        <v>47508</v>
      </c>
      <c r="E36" s="32" t="s">
        <v>47509</v>
      </c>
      <c r="F36" s="31">
        <v>151.0</v>
      </c>
      <c r="G36" s="34">
        <v>4.027151E7</v>
      </c>
    </row>
    <row r="37" ht="12.75" customHeight="1">
      <c r="A37" s="27">
        <v>306.0</v>
      </c>
      <c r="B37" s="28" t="s">
        <v>47510</v>
      </c>
      <c r="C37" s="29">
        <v>47.0</v>
      </c>
      <c r="D37" s="28" t="s">
        <v>47511</v>
      </c>
      <c r="E37" s="28" t="s">
        <v>47512</v>
      </c>
      <c r="F37" s="29">
        <v>28.0</v>
      </c>
      <c r="G37" s="30">
        <v>4.7060287E7</v>
      </c>
    </row>
    <row r="38" ht="12.75" customHeight="1">
      <c r="A38" s="31">
        <v>610.0</v>
      </c>
      <c r="B38" s="32" t="s">
        <v>47513</v>
      </c>
      <c r="C38" s="33">
        <v>47.0</v>
      </c>
      <c r="D38" s="32" t="s">
        <v>47514</v>
      </c>
      <c r="E38" s="32" t="s">
        <v>47515</v>
      </c>
      <c r="F38" s="33">
        <v>37.0</v>
      </c>
      <c r="G38" s="34">
        <v>4.7100376E7</v>
      </c>
    </row>
    <row r="39" ht="12.75" customHeight="1">
      <c r="A39" s="27">
        <v>610.0</v>
      </c>
      <c r="B39" s="28" t="s">
        <v>47516</v>
      </c>
      <c r="C39" s="29">
        <v>47.0</v>
      </c>
      <c r="D39" s="28" t="s">
        <v>47517</v>
      </c>
      <c r="E39" s="28" t="s">
        <v>47518</v>
      </c>
      <c r="F39" s="27">
        <v>193.0</v>
      </c>
      <c r="G39" s="30">
        <v>4.7101933E7</v>
      </c>
    </row>
    <row r="40" ht="12.75" customHeight="1">
      <c r="A40" s="31">
        <v>112.0</v>
      </c>
      <c r="B40" s="32" t="s">
        <v>47519</v>
      </c>
      <c r="C40" s="33">
        <v>47.0</v>
      </c>
      <c r="D40" s="32" t="s">
        <v>47520</v>
      </c>
      <c r="E40" s="32" t="s">
        <v>47521</v>
      </c>
      <c r="F40" s="33">
        <v>10.0</v>
      </c>
      <c r="G40" s="34">
        <v>4.7120101E7</v>
      </c>
    </row>
    <row r="41" ht="12.75" customHeight="1">
      <c r="A41" s="27">
        <v>112.0</v>
      </c>
      <c r="B41" s="28" t="s">
        <v>47522</v>
      </c>
      <c r="C41" s="29">
        <v>47.0</v>
      </c>
      <c r="D41" s="28" t="s">
        <v>47523</v>
      </c>
      <c r="E41" s="28" t="s">
        <v>47524</v>
      </c>
      <c r="F41" s="29">
        <v>43.0</v>
      </c>
      <c r="G41" s="30">
        <v>4.7120435E7</v>
      </c>
    </row>
    <row r="42" ht="12.75" customHeight="1">
      <c r="A42" s="31">
        <v>112.0</v>
      </c>
      <c r="B42" s="32" t="s">
        <v>47525</v>
      </c>
      <c r="C42" s="33">
        <v>47.0</v>
      </c>
      <c r="D42" s="32" t="s">
        <v>47526</v>
      </c>
      <c r="E42" s="32" t="s">
        <v>47527</v>
      </c>
      <c r="F42" s="31">
        <v>136.0</v>
      </c>
      <c r="G42" s="34">
        <v>4.7121368E7</v>
      </c>
    </row>
    <row r="43" ht="12.75" customHeight="1">
      <c r="A43" s="27">
        <v>215.0</v>
      </c>
      <c r="B43" s="28" t="s">
        <v>47528</v>
      </c>
      <c r="C43" s="29">
        <v>47.0</v>
      </c>
      <c r="D43" s="28" t="s">
        <v>47529</v>
      </c>
      <c r="E43" s="28" t="s">
        <v>47530</v>
      </c>
      <c r="F43" s="27">
        <v>196.0</v>
      </c>
      <c r="G43" s="30">
        <v>4.7151967E7</v>
      </c>
    </row>
    <row r="44" ht="12.75" customHeight="1">
      <c r="A44" s="31">
        <v>215.0</v>
      </c>
      <c r="B44" s="32" t="s">
        <v>47531</v>
      </c>
      <c r="C44" s="33">
        <v>47.0</v>
      </c>
      <c r="D44" s="32" t="s">
        <v>47532</v>
      </c>
      <c r="E44" s="32" t="s">
        <v>47533</v>
      </c>
      <c r="F44" s="31">
        <v>427.0</v>
      </c>
      <c r="G44" s="34">
        <v>4.7154272E7</v>
      </c>
    </row>
    <row r="45" ht="12.75" customHeight="1">
      <c r="A45" s="27">
        <v>119.0</v>
      </c>
      <c r="B45" s="28" t="s">
        <v>47534</v>
      </c>
      <c r="C45" s="29">
        <v>47.0</v>
      </c>
      <c r="D45" s="28" t="s">
        <v>47535</v>
      </c>
      <c r="E45" s="28" t="s">
        <v>47536</v>
      </c>
      <c r="F45" s="27">
        <v>115.0</v>
      </c>
      <c r="G45" s="30">
        <v>4.7191156E7</v>
      </c>
    </row>
    <row r="46" ht="12.75" customHeight="1">
      <c r="A46" s="31">
        <v>222.0</v>
      </c>
      <c r="B46" s="32" t="s">
        <v>47537</v>
      </c>
      <c r="C46" s="33">
        <v>47.0</v>
      </c>
      <c r="D46" s="32" t="s">
        <v>47538</v>
      </c>
      <c r="E46" s="32" t="s">
        <v>47539</v>
      </c>
      <c r="F46" s="33">
        <v>25.0</v>
      </c>
      <c r="G46" s="34">
        <v>4.7220256E7</v>
      </c>
    </row>
    <row r="47" ht="12.75" customHeight="1">
      <c r="A47" s="27">
        <v>126.0</v>
      </c>
      <c r="B47" s="28" t="s">
        <v>47540</v>
      </c>
      <c r="C47" s="29">
        <v>47.0</v>
      </c>
      <c r="D47" s="28" t="s">
        <v>47541</v>
      </c>
      <c r="E47" s="28" t="s">
        <v>47542</v>
      </c>
      <c r="F47" s="29">
        <v>22.0</v>
      </c>
      <c r="G47" s="30">
        <v>4.7260229E7</v>
      </c>
    </row>
    <row r="48" ht="12.75" customHeight="1">
      <c r="A48" s="31">
        <v>126.0</v>
      </c>
      <c r="B48" s="32" t="s">
        <v>47543</v>
      </c>
      <c r="C48" s="33">
        <v>47.0</v>
      </c>
      <c r="D48" s="32" t="s">
        <v>47544</v>
      </c>
      <c r="E48" s="32" t="s">
        <v>47545</v>
      </c>
      <c r="F48" s="33">
        <v>50.0</v>
      </c>
      <c r="G48" s="34">
        <v>4.7260508E7</v>
      </c>
    </row>
    <row r="49" ht="12.75" customHeight="1">
      <c r="A49" s="27">
        <v>126.0</v>
      </c>
      <c r="B49" s="28" t="s">
        <v>47546</v>
      </c>
      <c r="C49" s="29">
        <v>47.0</v>
      </c>
      <c r="D49" s="28" t="s">
        <v>47547</v>
      </c>
      <c r="E49" s="28" t="s">
        <v>47548</v>
      </c>
      <c r="F49" s="27">
        <v>133.0</v>
      </c>
      <c r="G49" s="30">
        <v>4.7261336E7</v>
      </c>
    </row>
    <row r="50" ht="12.75" customHeight="1">
      <c r="A50" s="31">
        <v>126.0</v>
      </c>
      <c r="B50" s="32" t="s">
        <v>47549</v>
      </c>
      <c r="C50" s="33">
        <v>47.0</v>
      </c>
      <c r="D50" s="32" t="s">
        <v>47550</v>
      </c>
      <c r="E50" s="32" t="s">
        <v>47551</v>
      </c>
      <c r="F50" s="31">
        <v>256.0</v>
      </c>
      <c r="G50" s="34">
        <v>4.7262564E7</v>
      </c>
    </row>
    <row r="51" ht="12.75" customHeight="1">
      <c r="A51" s="27">
        <v>127.0</v>
      </c>
      <c r="B51" s="28" t="s">
        <v>47552</v>
      </c>
      <c r="C51" s="29">
        <v>47.0</v>
      </c>
      <c r="D51" s="28" t="s">
        <v>47553</v>
      </c>
      <c r="E51" s="28" t="s">
        <v>47554</v>
      </c>
      <c r="F51" s="29">
        <v>0.0</v>
      </c>
      <c r="G51" s="30">
        <v>4.7270006E7</v>
      </c>
    </row>
    <row r="52" ht="12.75" customHeight="1">
      <c r="A52" s="31">
        <v>127.0</v>
      </c>
      <c r="B52" s="32" t="s">
        <v>47555</v>
      </c>
      <c r="C52" s="33">
        <v>47.0</v>
      </c>
      <c r="D52" s="32" t="s">
        <v>47556</v>
      </c>
      <c r="E52" s="32" t="s">
        <v>47557</v>
      </c>
      <c r="F52" s="33">
        <v>9.0</v>
      </c>
      <c r="G52" s="34">
        <v>4.7270093E7</v>
      </c>
    </row>
    <row r="53" ht="12.75" customHeight="1">
      <c r="A53" s="27">
        <v>127.0</v>
      </c>
      <c r="B53" s="28" t="s">
        <v>47558</v>
      </c>
      <c r="C53" s="29">
        <v>47.0</v>
      </c>
      <c r="D53" s="28" t="s">
        <v>47559</v>
      </c>
      <c r="E53" s="28" t="s">
        <v>47560</v>
      </c>
      <c r="F53" s="27">
        <v>157.0</v>
      </c>
      <c r="G53" s="30">
        <v>4.7271571E7</v>
      </c>
    </row>
    <row r="54" ht="12.75" customHeight="1">
      <c r="A54" s="31">
        <v>127.0</v>
      </c>
      <c r="B54" s="32" t="s">
        <v>47561</v>
      </c>
      <c r="C54" s="33">
        <v>47.0</v>
      </c>
      <c r="D54" s="32" t="s">
        <v>47562</v>
      </c>
      <c r="E54" s="32" t="s">
        <v>47563</v>
      </c>
      <c r="F54" s="31">
        <v>424.0</v>
      </c>
      <c r="G54" s="34">
        <v>4.7274244E7</v>
      </c>
    </row>
    <row r="55" ht="12.75" customHeight="1">
      <c r="A55" s="27">
        <v>728.0</v>
      </c>
      <c r="B55" s="28" t="s">
        <v>47564</v>
      </c>
      <c r="C55" s="29">
        <v>47.0</v>
      </c>
      <c r="D55" s="28" t="s">
        <v>47565</v>
      </c>
      <c r="E55" s="28" t="s">
        <v>47566</v>
      </c>
      <c r="F55" s="29">
        <v>67.0</v>
      </c>
      <c r="G55" s="30">
        <v>4.728067E7</v>
      </c>
    </row>
    <row r="56" ht="12.75" customHeight="1">
      <c r="A56" s="31">
        <v>329.0</v>
      </c>
      <c r="B56" s="32" t="s">
        <v>47567</v>
      </c>
      <c r="C56" s="33">
        <v>47.0</v>
      </c>
      <c r="D56" s="32" t="s">
        <v>47568</v>
      </c>
      <c r="E56" s="32" t="s">
        <v>47569</v>
      </c>
      <c r="F56" s="33">
        <v>52.0</v>
      </c>
      <c r="G56" s="34">
        <v>4.7290523E7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133.0</v>
      </c>
      <c r="B1" s="28" t="s">
        <v>47570</v>
      </c>
      <c r="C1" s="29">
        <v>47.0</v>
      </c>
      <c r="D1" s="28" t="s">
        <v>47571</v>
      </c>
      <c r="E1" s="28" t="s">
        <v>47572</v>
      </c>
      <c r="F1" s="29">
        <v>67.0</v>
      </c>
      <c r="G1" s="30">
        <v>4.733067E7</v>
      </c>
    </row>
    <row r="2" ht="12.75" customHeight="1">
      <c r="A2" s="31">
        <v>836.0</v>
      </c>
      <c r="B2" s="32" t="s">
        <v>47573</v>
      </c>
      <c r="C2" s="33">
        <v>47.0</v>
      </c>
      <c r="D2" s="32" t="s">
        <v>47574</v>
      </c>
      <c r="E2" s="32" t="s">
        <v>47575</v>
      </c>
      <c r="F2" s="33">
        <v>61.0</v>
      </c>
      <c r="G2" s="34">
        <v>4.7360611E7</v>
      </c>
    </row>
    <row r="3" ht="12.75" customHeight="1">
      <c r="A3" s="27">
        <v>441.0</v>
      </c>
      <c r="B3" s="28" t="s">
        <v>47576</v>
      </c>
      <c r="C3" s="29">
        <v>47.0</v>
      </c>
      <c r="D3" s="28" t="s">
        <v>47577</v>
      </c>
      <c r="E3" s="28" t="s">
        <v>47578</v>
      </c>
      <c r="F3" s="29">
        <v>94.0</v>
      </c>
      <c r="G3" s="30">
        <v>4.7410945E7</v>
      </c>
    </row>
    <row r="4" ht="12.75" customHeight="1">
      <c r="A4" s="31">
        <v>444.0</v>
      </c>
      <c r="B4" s="32" t="s">
        <v>47579</v>
      </c>
      <c r="C4" s="33">
        <v>47.0</v>
      </c>
      <c r="D4" s="32" t="s">
        <v>47580</v>
      </c>
      <c r="E4" s="32" t="s">
        <v>47581</v>
      </c>
      <c r="F4" s="33">
        <v>64.0</v>
      </c>
      <c r="G4" s="34">
        <v>4.7440649E7</v>
      </c>
    </row>
    <row r="5" ht="12.75" customHeight="1">
      <c r="A5" s="27">
        <v>447.0</v>
      </c>
      <c r="B5" s="28" t="s">
        <v>47582</v>
      </c>
      <c r="C5" s="29">
        <v>47.0</v>
      </c>
      <c r="D5" s="28" t="s">
        <v>47583</v>
      </c>
      <c r="E5" s="28" t="s">
        <v>47584</v>
      </c>
      <c r="F5" s="27">
        <v>154.0</v>
      </c>
      <c r="G5" s="30">
        <v>4.7471542E7</v>
      </c>
    </row>
    <row r="6" ht="12.75" customHeight="1">
      <c r="A6" s="31">
        <v>148.0</v>
      </c>
      <c r="B6" s="32" t="s">
        <v>47585</v>
      </c>
      <c r="C6" s="33">
        <v>47.0</v>
      </c>
      <c r="D6" s="32" t="s">
        <v>47586</v>
      </c>
      <c r="E6" s="32" t="s">
        <v>47587</v>
      </c>
      <c r="F6" s="33">
        <v>40.0</v>
      </c>
      <c r="G6" s="34">
        <v>4.7480409E7</v>
      </c>
    </row>
    <row r="7" ht="12.75" customHeight="1">
      <c r="A7" s="27">
        <v>156.0</v>
      </c>
      <c r="B7" s="28" t="s">
        <v>47588</v>
      </c>
      <c r="C7" s="29">
        <v>47.0</v>
      </c>
      <c r="D7" s="28" t="s">
        <v>47589</v>
      </c>
      <c r="E7" s="28" t="s">
        <v>47590</v>
      </c>
      <c r="F7" s="29">
        <v>70.0</v>
      </c>
      <c r="G7" s="30">
        <v>4.7560703E7</v>
      </c>
    </row>
    <row r="8" ht="12.75" customHeight="1">
      <c r="A8" s="31">
        <v>156.0</v>
      </c>
      <c r="B8" s="32" t="s">
        <v>47591</v>
      </c>
      <c r="C8" s="33">
        <v>47.0</v>
      </c>
      <c r="D8" s="32" t="s">
        <v>47592</v>
      </c>
      <c r="E8" s="32" t="s">
        <v>47593</v>
      </c>
      <c r="F8" s="33">
        <v>76.0</v>
      </c>
      <c r="G8" s="34">
        <v>4.7560761E7</v>
      </c>
    </row>
    <row r="9" ht="12.75" customHeight="1">
      <c r="A9" s="27">
        <v>858.0</v>
      </c>
      <c r="B9" s="28" t="s">
        <v>47594</v>
      </c>
      <c r="C9" s="29">
        <v>47.0</v>
      </c>
      <c r="D9" s="28" t="s">
        <v>47595</v>
      </c>
      <c r="E9" s="28" t="s">
        <v>47596</v>
      </c>
      <c r="F9" s="27">
        <v>118.0</v>
      </c>
      <c r="G9" s="30">
        <v>4.7581182E7</v>
      </c>
    </row>
    <row r="10" ht="12.75" customHeight="1">
      <c r="A10" s="31">
        <v>159.0</v>
      </c>
      <c r="B10" s="32" t="s">
        <v>47597</v>
      </c>
      <c r="C10" s="33">
        <v>47.0</v>
      </c>
      <c r="D10" s="32" t="s">
        <v>47598</v>
      </c>
      <c r="E10" s="32" t="s">
        <v>47599</v>
      </c>
      <c r="F10" s="31">
        <v>142.0</v>
      </c>
      <c r="G10" s="34">
        <v>4.7591422E7</v>
      </c>
    </row>
    <row r="11" ht="12.75" customHeight="1">
      <c r="A11" s="27">
        <v>161.0</v>
      </c>
      <c r="B11" s="28" t="s">
        <v>47600</v>
      </c>
      <c r="C11" s="29">
        <v>47.0</v>
      </c>
      <c r="D11" s="28" t="s">
        <v>47601</v>
      </c>
      <c r="E11" s="28" t="s">
        <v>47602</v>
      </c>
      <c r="F11" s="27">
        <v>175.0</v>
      </c>
      <c r="G11" s="30">
        <v>4.7611757E7</v>
      </c>
    </row>
    <row r="12" ht="12.75" customHeight="1">
      <c r="A12" s="31">
        <v>564.0</v>
      </c>
      <c r="B12" s="32" t="s">
        <v>47603</v>
      </c>
      <c r="C12" s="33">
        <v>47.0</v>
      </c>
      <c r="D12" s="32" t="s">
        <v>47604</v>
      </c>
      <c r="E12" s="32" t="s">
        <v>47605</v>
      </c>
      <c r="F12" s="31">
        <v>118.0</v>
      </c>
      <c r="G12" s="34">
        <v>4.7641185E7</v>
      </c>
    </row>
    <row r="13" ht="12.75" customHeight="1">
      <c r="A13" s="27">
        <v>167.0</v>
      </c>
      <c r="B13" s="28" t="s">
        <v>47606</v>
      </c>
      <c r="C13" s="29">
        <v>47.0</v>
      </c>
      <c r="D13" s="28" t="s">
        <v>47607</v>
      </c>
      <c r="E13" s="28" t="s">
        <v>47608</v>
      </c>
      <c r="F13" s="29">
        <v>12.0</v>
      </c>
      <c r="G13" s="30">
        <v>4.7670127E7</v>
      </c>
    </row>
    <row r="14" ht="12.75" customHeight="1">
      <c r="A14" s="31">
        <v>167.0</v>
      </c>
      <c r="B14" s="32" t="s">
        <v>47609</v>
      </c>
      <c r="C14" s="33">
        <v>47.0</v>
      </c>
      <c r="D14" s="32" t="s">
        <v>47610</v>
      </c>
      <c r="E14" s="32" t="s">
        <v>47611</v>
      </c>
      <c r="F14" s="31">
        <v>118.0</v>
      </c>
      <c r="G14" s="34">
        <v>4.7671184E7</v>
      </c>
    </row>
    <row r="15" ht="12.75" customHeight="1">
      <c r="A15" s="27">
        <v>168.0</v>
      </c>
      <c r="B15" s="28" t="s">
        <v>47612</v>
      </c>
      <c r="C15" s="29">
        <v>47.0</v>
      </c>
      <c r="D15" s="28" t="s">
        <v>47613</v>
      </c>
      <c r="E15" s="28" t="s">
        <v>47614</v>
      </c>
      <c r="F15" s="29">
        <v>67.0</v>
      </c>
      <c r="G15" s="30">
        <v>4.768067E7</v>
      </c>
    </row>
    <row r="16" ht="12.75" customHeight="1">
      <c r="A16" s="31">
        <v>773.0</v>
      </c>
      <c r="B16" s="32" t="s">
        <v>47615</v>
      </c>
      <c r="C16" s="33">
        <v>47.0</v>
      </c>
      <c r="D16" s="32" t="s">
        <v>47616</v>
      </c>
      <c r="E16" s="32" t="s">
        <v>47617</v>
      </c>
      <c r="F16" s="33">
        <v>55.0</v>
      </c>
      <c r="G16" s="34">
        <v>4.7730559E7</v>
      </c>
    </row>
    <row r="17" ht="12.75" customHeight="1">
      <c r="A17" s="27">
        <v>275.0</v>
      </c>
      <c r="B17" s="28" t="s">
        <v>47618</v>
      </c>
      <c r="C17" s="29">
        <v>47.0</v>
      </c>
      <c r="D17" s="28" t="s">
        <v>47619</v>
      </c>
      <c r="E17" s="28" t="s">
        <v>47620</v>
      </c>
      <c r="F17" s="27">
        <v>172.0</v>
      </c>
      <c r="G17" s="30">
        <v>4.7751725E7</v>
      </c>
    </row>
    <row r="18" ht="12.75" customHeight="1">
      <c r="A18" s="31">
        <v>576.0</v>
      </c>
      <c r="B18" s="32" t="s">
        <v>47621</v>
      </c>
      <c r="C18" s="33">
        <v>47.0</v>
      </c>
      <c r="D18" s="32" t="s">
        <v>47622</v>
      </c>
      <c r="E18" s="32" t="s">
        <v>47623</v>
      </c>
      <c r="F18" s="31">
        <v>178.0</v>
      </c>
      <c r="G18" s="34">
        <v>4.7761786E7</v>
      </c>
    </row>
    <row r="19" ht="12.75" customHeight="1">
      <c r="A19" s="27">
        <v>581.0</v>
      </c>
      <c r="B19" s="28" t="s">
        <v>47624</v>
      </c>
      <c r="C19" s="29">
        <v>47.0</v>
      </c>
      <c r="D19" s="28" t="s">
        <v>47625</v>
      </c>
      <c r="E19" s="28" t="s">
        <v>47626</v>
      </c>
      <c r="F19" s="27">
        <v>193.0</v>
      </c>
      <c r="G19" s="30">
        <v>4.7811931E7</v>
      </c>
    </row>
    <row r="20" ht="12.75" customHeight="1">
      <c r="A20" s="31">
        <v>785.0</v>
      </c>
      <c r="B20" s="32" t="s">
        <v>47627</v>
      </c>
      <c r="C20" s="33">
        <v>47.0</v>
      </c>
      <c r="D20" s="32" t="s">
        <v>47628</v>
      </c>
      <c r="E20" s="32" t="s">
        <v>47629</v>
      </c>
      <c r="F20" s="31">
        <v>145.0</v>
      </c>
      <c r="G20" s="34">
        <v>4.7851454E7</v>
      </c>
    </row>
    <row r="21" ht="12.75" customHeight="1">
      <c r="A21" s="27">
        <v>891.0</v>
      </c>
      <c r="B21" s="28" t="s">
        <v>47630</v>
      </c>
      <c r="C21" s="29">
        <v>47.0</v>
      </c>
      <c r="D21" s="28" t="s">
        <v>47631</v>
      </c>
      <c r="E21" s="28" t="s">
        <v>47632</v>
      </c>
      <c r="F21" s="29">
        <v>14.0</v>
      </c>
      <c r="G21" s="30">
        <v>4.791014E7</v>
      </c>
    </row>
    <row r="22" ht="12.75" customHeight="1">
      <c r="A22" s="31">
        <v>891.0</v>
      </c>
      <c r="B22" s="32" t="s">
        <v>47633</v>
      </c>
      <c r="C22" s="33">
        <v>47.0</v>
      </c>
      <c r="D22" s="32" t="s">
        <v>47634</v>
      </c>
      <c r="E22" s="32" t="s">
        <v>47635</v>
      </c>
      <c r="F22" s="31">
        <v>355.0</v>
      </c>
      <c r="G22" s="34">
        <v>4.791355E7</v>
      </c>
    </row>
    <row r="23" ht="12.75" customHeight="1">
      <c r="A23" s="27">
        <v>193.0</v>
      </c>
      <c r="B23" s="28" t="s">
        <v>47636</v>
      </c>
      <c r="C23" s="29">
        <v>47.0</v>
      </c>
      <c r="D23" s="28" t="s">
        <v>47637</v>
      </c>
      <c r="E23" s="28" t="s">
        <v>47638</v>
      </c>
      <c r="F23" s="27">
        <v>229.0</v>
      </c>
      <c r="G23" s="30">
        <v>4.7932294E7</v>
      </c>
    </row>
    <row r="24" ht="12.75" customHeight="1">
      <c r="A24" s="31">
        <v>401.0</v>
      </c>
      <c r="B24" s="32" t="s">
        <v>47639</v>
      </c>
      <c r="C24" s="33">
        <v>55.0</v>
      </c>
      <c r="D24" s="32" t="s">
        <v>47640</v>
      </c>
      <c r="E24" s="32" t="s">
        <v>47641</v>
      </c>
      <c r="F24" s="33">
        <v>22.0</v>
      </c>
      <c r="G24" s="34">
        <v>5.5010229E7</v>
      </c>
    </row>
    <row r="25" ht="12.75" customHeight="1">
      <c r="A25" s="27">
        <v>401.0</v>
      </c>
      <c r="B25" s="28" t="s">
        <v>47642</v>
      </c>
      <c r="C25" s="29">
        <v>55.0</v>
      </c>
      <c r="D25" s="28" t="s">
        <v>47643</v>
      </c>
      <c r="E25" s="28" t="s">
        <v>47644</v>
      </c>
      <c r="F25" s="29">
        <v>46.0</v>
      </c>
      <c r="G25" s="30">
        <v>5.5010461E7</v>
      </c>
    </row>
    <row r="26" ht="12.75" customHeight="1">
      <c r="A26" s="31">
        <v>306.0</v>
      </c>
      <c r="B26" s="32" t="s">
        <v>47645</v>
      </c>
      <c r="C26" s="33">
        <v>55.0</v>
      </c>
      <c r="D26" s="32" t="s">
        <v>47646</v>
      </c>
      <c r="E26" s="32" t="s">
        <v>47647</v>
      </c>
      <c r="F26" s="33">
        <v>28.0</v>
      </c>
      <c r="G26" s="34">
        <v>5.5060282E7</v>
      </c>
    </row>
    <row r="27" ht="12.75" customHeight="1">
      <c r="A27" s="27">
        <v>610.0</v>
      </c>
      <c r="B27" s="28" t="s">
        <v>47648</v>
      </c>
      <c r="C27" s="29">
        <v>55.0</v>
      </c>
      <c r="D27" s="28" t="s">
        <v>47649</v>
      </c>
      <c r="E27" s="28" t="s">
        <v>47650</v>
      </c>
      <c r="F27" s="29">
        <v>37.0</v>
      </c>
      <c r="G27" s="30">
        <v>5.5100371E7</v>
      </c>
    </row>
    <row r="28" ht="12.75" customHeight="1">
      <c r="A28" s="31">
        <v>610.0</v>
      </c>
      <c r="B28" s="32" t="s">
        <v>47651</v>
      </c>
      <c r="C28" s="33">
        <v>55.0</v>
      </c>
      <c r="D28" s="32" t="s">
        <v>47652</v>
      </c>
      <c r="E28" s="32" t="s">
        <v>47653</v>
      </c>
      <c r="F28" s="31">
        <v>289.0</v>
      </c>
      <c r="G28" s="34">
        <v>5.510289E7</v>
      </c>
    </row>
    <row r="29" ht="12.75" customHeight="1">
      <c r="A29" s="27">
        <v>113.0</v>
      </c>
      <c r="B29" s="28" t="s">
        <v>47654</v>
      </c>
      <c r="C29" s="29">
        <v>55.0</v>
      </c>
      <c r="D29" s="28" t="s">
        <v>47655</v>
      </c>
      <c r="E29" s="28" t="s">
        <v>47656</v>
      </c>
      <c r="F29" s="29">
        <v>31.0</v>
      </c>
      <c r="G29" s="30">
        <v>5.5130312E7</v>
      </c>
    </row>
    <row r="30" ht="12.75" customHeight="1">
      <c r="A30" s="31">
        <v>215.0</v>
      </c>
      <c r="B30" s="32" t="s">
        <v>47657</v>
      </c>
      <c r="C30" s="33">
        <v>55.0</v>
      </c>
      <c r="D30" s="32" t="s">
        <v>47658</v>
      </c>
      <c r="E30" s="32" t="s">
        <v>47659</v>
      </c>
      <c r="F30" s="33">
        <v>13.0</v>
      </c>
      <c r="G30" s="34">
        <v>5.5150134E7</v>
      </c>
    </row>
    <row r="31" ht="12.75" customHeight="1">
      <c r="A31" s="27">
        <v>215.0</v>
      </c>
      <c r="B31" s="28" t="s">
        <v>47660</v>
      </c>
      <c r="C31" s="29">
        <v>55.0</v>
      </c>
      <c r="D31" s="28" t="s">
        <v>47661</v>
      </c>
      <c r="E31" s="28" t="s">
        <v>47662</v>
      </c>
      <c r="F31" s="29">
        <v>58.0</v>
      </c>
      <c r="G31" s="30">
        <v>5.5150589E7</v>
      </c>
    </row>
    <row r="32" ht="12.75" customHeight="1">
      <c r="A32" s="31">
        <v>215.0</v>
      </c>
      <c r="B32" s="32" t="s">
        <v>47663</v>
      </c>
      <c r="C32" s="33">
        <v>55.0</v>
      </c>
      <c r="D32" s="32" t="s">
        <v>47664</v>
      </c>
      <c r="E32" s="32" t="s">
        <v>47665</v>
      </c>
      <c r="F32" s="31">
        <v>157.0</v>
      </c>
      <c r="G32" s="34">
        <v>5.5151575E7</v>
      </c>
    </row>
    <row r="33" ht="12.75" customHeight="1">
      <c r="A33" s="27">
        <v>215.0</v>
      </c>
      <c r="B33" s="28" t="s">
        <v>47666</v>
      </c>
      <c r="C33" s="29">
        <v>55.0</v>
      </c>
      <c r="D33" s="28" t="s">
        <v>47667</v>
      </c>
      <c r="E33" s="28" t="s">
        <v>47668</v>
      </c>
      <c r="F33" s="27">
        <v>244.0</v>
      </c>
      <c r="G33" s="30">
        <v>5.515244E7</v>
      </c>
    </row>
    <row r="34" ht="12.75" customHeight="1">
      <c r="A34" s="31">
        <v>215.0</v>
      </c>
      <c r="B34" s="32" t="s">
        <v>47669</v>
      </c>
      <c r="C34" s="33">
        <v>55.0</v>
      </c>
      <c r="D34" s="32" t="s">
        <v>47670</v>
      </c>
      <c r="E34" s="32" t="s">
        <v>47671</v>
      </c>
      <c r="F34" s="31">
        <v>256.0</v>
      </c>
      <c r="G34" s="34">
        <v>5.5152561E7</v>
      </c>
    </row>
    <row r="35" ht="12.75" customHeight="1">
      <c r="A35" s="27">
        <v>215.0</v>
      </c>
      <c r="B35" s="28" t="s">
        <v>47672</v>
      </c>
      <c r="C35" s="29">
        <v>55.0</v>
      </c>
      <c r="D35" s="28" t="s">
        <v>47673</v>
      </c>
      <c r="E35" s="28" t="s">
        <v>47674</v>
      </c>
      <c r="F35" s="27">
        <v>361.0</v>
      </c>
      <c r="G35" s="30">
        <v>5.515361E7</v>
      </c>
    </row>
    <row r="36" ht="12.75" customHeight="1">
      <c r="A36" s="31">
        <v>215.0</v>
      </c>
      <c r="B36" s="32" t="s">
        <v>47675</v>
      </c>
      <c r="C36" s="33">
        <v>55.0</v>
      </c>
      <c r="D36" s="32" t="s">
        <v>47676</v>
      </c>
      <c r="E36" s="32" t="s">
        <v>47677</v>
      </c>
      <c r="F36" s="31">
        <v>364.0</v>
      </c>
      <c r="G36" s="34">
        <v>5.5153649E7</v>
      </c>
    </row>
    <row r="37" ht="12.75" customHeight="1">
      <c r="A37" s="27">
        <v>215.0</v>
      </c>
      <c r="B37" s="28" t="s">
        <v>47678</v>
      </c>
      <c r="C37" s="29">
        <v>55.0</v>
      </c>
      <c r="D37" s="28" t="s">
        <v>47679</v>
      </c>
      <c r="E37" s="28" t="s">
        <v>47680</v>
      </c>
      <c r="F37" s="27">
        <v>427.0</v>
      </c>
      <c r="G37" s="30">
        <v>5.5154277E7</v>
      </c>
    </row>
    <row r="38" ht="12.75" customHeight="1">
      <c r="A38" s="31">
        <v>215.0</v>
      </c>
      <c r="B38" s="32" t="s">
        <v>47681</v>
      </c>
      <c r="C38" s="33">
        <v>55.0</v>
      </c>
      <c r="D38" s="32" t="s">
        <v>47682</v>
      </c>
      <c r="E38" s="32" t="s">
        <v>47683</v>
      </c>
      <c r="F38" s="31">
        <v>592.0</v>
      </c>
      <c r="G38" s="34">
        <v>5.5155926E7</v>
      </c>
    </row>
    <row r="39" ht="12.75" customHeight="1">
      <c r="A39" s="27">
        <v>215.0</v>
      </c>
      <c r="B39" s="28" t="s">
        <v>47684</v>
      </c>
      <c r="C39" s="29">
        <v>55.0</v>
      </c>
      <c r="D39" s="28" t="s">
        <v>47685</v>
      </c>
      <c r="E39" s="28" t="s">
        <v>47686</v>
      </c>
      <c r="F39" s="27">
        <v>613.0</v>
      </c>
      <c r="G39" s="30">
        <v>5.5156138E7</v>
      </c>
    </row>
    <row r="40" ht="12.75" customHeight="1">
      <c r="A40" s="31">
        <v>215.0</v>
      </c>
      <c r="B40" s="32" t="s">
        <v>47687</v>
      </c>
      <c r="C40" s="33">
        <v>55.0</v>
      </c>
      <c r="D40" s="32" t="s">
        <v>47688</v>
      </c>
      <c r="E40" s="32" t="s">
        <v>47689</v>
      </c>
      <c r="F40" s="31">
        <v>733.0</v>
      </c>
      <c r="G40" s="34">
        <v>5.5157337E7</v>
      </c>
    </row>
    <row r="41" ht="12.75" customHeight="1">
      <c r="A41" s="27">
        <v>119.0</v>
      </c>
      <c r="B41" s="28" t="s">
        <v>47690</v>
      </c>
      <c r="C41" s="29">
        <v>55.0</v>
      </c>
      <c r="D41" s="28" t="s">
        <v>47691</v>
      </c>
      <c r="E41" s="28" t="s">
        <v>47692</v>
      </c>
      <c r="F41" s="27">
        <v>115.0</v>
      </c>
      <c r="G41" s="30">
        <v>5.5191151E7</v>
      </c>
    </row>
    <row r="42" ht="12.75" customHeight="1">
      <c r="A42" s="31">
        <v>222.0</v>
      </c>
      <c r="B42" s="32" t="s">
        <v>47693</v>
      </c>
      <c r="C42" s="33">
        <v>55.0</v>
      </c>
      <c r="D42" s="32" t="s">
        <v>47694</v>
      </c>
      <c r="E42" s="32" t="s">
        <v>47695</v>
      </c>
      <c r="F42" s="33">
        <v>25.0</v>
      </c>
      <c r="G42" s="34">
        <v>5.5220251E7</v>
      </c>
    </row>
    <row r="43" ht="12.75" customHeight="1">
      <c r="A43" s="27">
        <v>126.0</v>
      </c>
      <c r="B43" s="28" t="s">
        <v>47696</v>
      </c>
      <c r="C43" s="29">
        <v>55.0</v>
      </c>
      <c r="D43" s="28" t="s">
        <v>47697</v>
      </c>
      <c r="E43" s="28" t="s">
        <v>47698</v>
      </c>
      <c r="F43" s="29">
        <v>43.0</v>
      </c>
      <c r="G43" s="30">
        <v>5.5260437E7</v>
      </c>
    </row>
    <row r="44" ht="12.75" customHeight="1">
      <c r="A44" s="31">
        <v>126.0</v>
      </c>
      <c r="B44" s="32" t="s">
        <v>47699</v>
      </c>
      <c r="C44" s="33">
        <v>55.0</v>
      </c>
      <c r="D44" s="32" t="s">
        <v>47700</v>
      </c>
      <c r="E44" s="32" t="s">
        <v>47701</v>
      </c>
      <c r="F44" s="33">
        <v>55.0</v>
      </c>
      <c r="G44" s="34">
        <v>5.5260558E7</v>
      </c>
    </row>
    <row r="45" ht="12.75" customHeight="1">
      <c r="A45" s="27">
        <v>126.0</v>
      </c>
      <c r="B45" s="28" t="s">
        <v>47702</v>
      </c>
      <c r="C45" s="29">
        <v>55.0</v>
      </c>
      <c r="D45" s="28" t="s">
        <v>47703</v>
      </c>
      <c r="E45" s="28" t="s">
        <v>47704</v>
      </c>
      <c r="F45" s="29">
        <v>73.0</v>
      </c>
      <c r="G45" s="30">
        <v>5.5260732E7</v>
      </c>
    </row>
    <row r="46" ht="12.75" customHeight="1">
      <c r="A46" s="31">
        <v>126.0</v>
      </c>
      <c r="B46" s="32" t="s">
        <v>47705</v>
      </c>
      <c r="C46" s="33">
        <v>55.0</v>
      </c>
      <c r="D46" s="32" t="s">
        <v>47706</v>
      </c>
      <c r="E46" s="32" t="s">
        <v>47707</v>
      </c>
      <c r="F46" s="31">
        <v>118.0</v>
      </c>
      <c r="G46" s="34">
        <v>5.5261186E7</v>
      </c>
    </row>
    <row r="47" ht="12.75" customHeight="1">
      <c r="A47" s="27">
        <v>126.0</v>
      </c>
      <c r="B47" s="28" t="s">
        <v>47708</v>
      </c>
      <c r="C47" s="29">
        <v>55.0</v>
      </c>
      <c r="D47" s="28" t="s">
        <v>47709</v>
      </c>
      <c r="E47" s="28" t="s">
        <v>47710</v>
      </c>
      <c r="F47" s="27">
        <v>172.0</v>
      </c>
      <c r="G47" s="30">
        <v>5.5261728E7</v>
      </c>
    </row>
    <row r="48" ht="12.75" customHeight="1">
      <c r="A48" s="31">
        <v>126.0</v>
      </c>
      <c r="B48" s="32" t="s">
        <v>47711</v>
      </c>
      <c r="C48" s="33">
        <v>55.0</v>
      </c>
      <c r="D48" s="32" t="s">
        <v>47712</v>
      </c>
      <c r="E48" s="32" t="s">
        <v>47713</v>
      </c>
      <c r="F48" s="31">
        <v>253.0</v>
      </c>
      <c r="G48" s="34">
        <v>5.526253E7</v>
      </c>
    </row>
    <row r="49" ht="12.75" customHeight="1">
      <c r="A49" s="27">
        <v>126.0</v>
      </c>
      <c r="B49" s="28" t="s">
        <v>47714</v>
      </c>
      <c r="C49" s="29">
        <v>55.0</v>
      </c>
      <c r="D49" s="28" t="s">
        <v>47715</v>
      </c>
      <c r="E49" s="28" t="s">
        <v>47716</v>
      </c>
      <c r="F49" s="27">
        <v>298.0</v>
      </c>
      <c r="G49" s="30">
        <v>5.5262985E7</v>
      </c>
    </row>
    <row r="50" ht="12.75" customHeight="1">
      <c r="A50" s="31">
        <v>126.0</v>
      </c>
      <c r="B50" s="32" t="s">
        <v>47717</v>
      </c>
      <c r="C50" s="33">
        <v>55.0</v>
      </c>
      <c r="D50" s="32" t="s">
        <v>47718</v>
      </c>
      <c r="E50" s="32" t="s">
        <v>47719</v>
      </c>
      <c r="F50" s="31">
        <v>409.0</v>
      </c>
      <c r="G50" s="34">
        <v>5.5264091E7</v>
      </c>
    </row>
    <row r="51" ht="12.75" customHeight="1">
      <c r="A51" s="27">
        <v>126.0</v>
      </c>
      <c r="B51" s="28" t="s">
        <v>47720</v>
      </c>
      <c r="C51" s="29">
        <v>55.0</v>
      </c>
      <c r="D51" s="28" t="s">
        <v>47721</v>
      </c>
      <c r="E51" s="28" t="s">
        <v>47722</v>
      </c>
      <c r="F51" s="27">
        <v>430.0</v>
      </c>
      <c r="G51" s="30">
        <v>5.5264309E7</v>
      </c>
    </row>
    <row r="52" ht="12.75" customHeight="1">
      <c r="A52" s="31">
        <v>126.0</v>
      </c>
      <c r="B52" s="32" t="s">
        <v>47723</v>
      </c>
      <c r="C52" s="33">
        <v>55.0</v>
      </c>
      <c r="D52" s="32" t="s">
        <v>47724</v>
      </c>
      <c r="E52" s="32" t="s">
        <v>47725</v>
      </c>
      <c r="F52" s="31">
        <v>463.0</v>
      </c>
      <c r="G52" s="34">
        <v>5.5264633E7</v>
      </c>
    </row>
    <row r="53" ht="12.75" customHeight="1">
      <c r="A53" s="27">
        <v>127.0</v>
      </c>
      <c r="B53" s="28" t="s">
        <v>47726</v>
      </c>
      <c r="C53" s="29">
        <v>55.0</v>
      </c>
      <c r="D53" s="28" t="s">
        <v>47727</v>
      </c>
      <c r="E53" s="28" t="s">
        <v>47728</v>
      </c>
      <c r="F53" s="29">
        <v>0.0</v>
      </c>
      <c r="G53" s="30">
        <v>5.5270001E7</v>
      </c>
    </row>
    <row r="54" ht="12.75" customHeight="1">
      <c r="A54" s="31">
        <v>127.0</v>
      </c>
      <c r="B54" s="32" t="s">
        <v>47729</v>
      </c>
      <c r="C54" s="33">
        <v>55.0</v>
      </c>
      <c r="D54" s="32" t="s">
        <v>47730</v>
      </c>
      <c r="E54" s="32" t="s">
        <v>47731</v>
      </c>
      <c r="F54" s="33">
        <v>55.0</v>
      </c>
      <c r="G54" s="34">
        <v>5.5270551E7</v>
      </c>
    </row>
    <row r="55" ht="12.75" customHeight="1">
      <c r="A55" s="27">
        <v>127.0</v>
      </c>
      <c r="B55" s="28" t="s">
        <v>47732</v>
      </c>
      <c r="C55" s="29">
        <v>55.0</v>
      </c>
      <c r="D55" s="28" t="s">
        <v>47733</v>
      </c>
      <c r="E55" s="28" t="s">
        <v>47734</v>
      </c>
      <c r="F55" s="29">
        <v>88.0</v>
      </c>
      <c r="G55" s="30">
        <v>5.5270885E7</v>
      </c>
    </row>
    <row r="56" ht="12.75" customHeight="1">
      <c r="A56" s="31">
        <v>127.0</v>
      </c>
      <c r="B56" s="32" t="s">
        <v>47735</v>
      </c>
      <c r="C56" s="33">
        <v>55.0</v>
      </c>
      <c r="D56" s="32" t="s">
        <v>47736</v>
      </c>
      <c r="E56" s="32" t="s">
        <v>47737</v>
      </c>
      <c r="F56" s="31">
        <v>178.0</v>
      </c>
      <c r="G56" s="34">
        <v>5.5271789E7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47738</v>
      </c>
      <c r="C1" s="29">
        <v>55.0</v>
      </c>
      <c r="D1" s="28" t="s">
        <v>47739</v>
      </c>
      <c r="E1" s="28" t="s">
        <v>47740</v>
      </c>
      <c r="F1" s="27">
        <v>190.0</v>
      </c>
      <c r="G1" s="30">
        <v>5.5271905E7</v>
      </c>
    </row>
    <row r="2" ht="12.75" customHeight="1">
      <c r="A2" s="31">
        <v>127.0</v>
      </c>
      <c r="B2" s="32" t="s">
        <v>47741</v>
      </c>
      <c r="C2" s="33">
        <v>55.0</v>
      </c>
      <c r="D2" s="32" t="s">
        <v>47742</v>
      </c>
      <c r="E2" s="32" t="s">
        <v>47743</v>
      </c>
      <c r="F2" s="31">
        <v>268.0</v>
      </c>
      <c r="G2" s="34">
        <v>5.5272683E7</v>
      </c>
    </row>
    <row r="3" ht="12.75" customHeight="1">
      <c r="A3" s="27">
        <v>127.0</v>
      </c>
      <c r="B3" s="28" t="s">
        <v>47744</v>
      </c>
      <c r="C3" s="29">
        <v>55.0</v>
      </c>
      <c r="D3" s="28" t="s">
        <v>47745</v>
      </c>
      <c r="E3" s="28" t="s">
        <v>47746</v>
      </c>
      <c r="F3" s="27">
        <v>298.0</v>
      </c>
      <c r="G3" s="30">
        <v>5.5272988E7</v>
      </c>
    </row>
    <row r="4" ht="12.75" customHeight="1">
      <c r="A4" s="31">
        <v>127.0</v>
      </c>
      <c r="B4" s="32" t="s">
        <v>47747</v>
      </c>
      <c r="C4" s="33">
        <v>55.0</v>
      </c>
      <c r="D4" s="32" t="s">
        <v>47748</v>
      </c>
      <c r="E4" s="32" t="s">
        <v>47749</v>
      </c>
      <c r="F4" s="31">
        <v>364.0</v>
      </c>
      <c r="G4" s="34">
        <v>5.527364E7</v>
      </c>
    </row>
    <row r="5" ht="12.75" customHeight="1">
      <c r="A5" s="27">
        <v>127.0</v>
      </c>
      <c r="B5" s="28" t="s">
        <v>47750</v>
      </c>
      <c r="C5" s="29">
        <v>55.0</v>
      </c>
      <c r="D5" s="28" t="s">
        <v>47751</v>
      </c>
      <c r="E5" s="28" t="s">
        <v>47752</v>
      </c>
      <c r="F5" s="27">
        <v>400.0</v>
      </c>
      <c r="G5" s="30">
        <v>5.5274007E7</v>
      </c>
    </row>
    <row r="6" ht="12.75" customHeight="1">
      <c r="A6" s="31">
        <v>127.0</v>
      </c>
      <c r="B6" s="32" t="s">
        <v>47753</v>
      </c>
      <c r="C6" s="33">
        <v>55.0</v>
      </c>
      <c r="D6" s="32" t="s">
        <v>47754</v>
      </c>
      <c r="E6" s="32" t="s">
        <v>47755</v>
      </c>
      <c r="F6" s="31">
        <v>442.0</v>
      </c>
      <c r="G6" s="34">
        <v>5.5274423E7</v>
      </c>
    </row>
    <row r="7" ht="12.75" customHeight="1">
      <c r="A7" s="27">
        <v>127.0</v>
      </c>
      <c r="B7" s="28" t="s">
        <v>47756</v>
      </c>
      <c r="C7" s="29">
        <v>55.0</v>
      </c>
      <c r="D7" s="28" t="s">
        <v>47757</v>
      </c>
      <c r="E7" s="28" t="s">
        <v>47758</v>
      </c>
      <c r="F7" s="27">
        <v>634.0</v>
      </c>
      <c r="G7" s="30">
        <v>5.5276342E7</v>
      </c>
    </row>
    <row r="8" ht="12.75" customHeight="1">
      <c r="A8" s="31">
        <v>329.0</v>
      </c>
      <c r="B8" s="32" t="s">
        <v>47759</v>
      </c>
      <c r="C8" s="33">
        <v>55.0</v>
      </c>
      <c r="D8" s="32" t="s">
        <v>47760</v>
      </c>
      <c r="E8" s="32" t="s">
        <v>47761</v>
      </c>
      <c r="F8" s="33">
        <v>52.0</v>
      </c>
      <c r="G8" s="34">
        <v>5.5290528E7</v>
      </c>
    </row>
    <row r="9" ht="12.75" customHeight="1">
      <c r="A9" s="27">
        <v>133.0</v>
      </c>
      <c r="B9" s="28" t="s">
        <v>47762</v>
      </c>
      <c r="C9" s="29">
        <v>55.0</v>
      </c>
      <c r="D9" s="28" t="s">
        <v>47763</v>
      </c>
      <c r="E9" s="28" t="s">
        <v>47764</v>
      </c>
      <c r="F9" s="29">
        <v>55.0</v>
      </c>
      <c r="G9" s="30">
        <v>5.5330554E7</v>
      </c>
    </row>
    <row r="10" ht="12.75" customHeight="1">
      <c r="A10" s="31">
        <v>133.0</v>
      </c>
      <c r="B10" s="32" t="s">
        <v>47765</v>
      </c>
      <c r="C10" s="33">
        <v>55.0</v>
      </c>
      <c r="D10" s="32" t="s">
        <v>47766</v>
      </c>
      <c r="E10" s="32" t="s">
        <v>47767</v>
      </c>
      <c r="F10" s="31">
        <v>100.0</v>
      </c>
      <c r="G10" s="34">
        <v>5.5331003E7</v>
      </c>
    </row>
    <row r="11" ht="12.75" customHeight="1">
      <c r="A11" s="27">
        <v>435.0</v>
      </c>
      <c r="B11" s="28" t="s">
        <v>47768</v>
      </c>
      <c r="C11" s="29">
        <v>55.0</v>
      </c>
      <c r="D11" s="28" t="s">
        <v>47769</v>
      </c>
      <c r="E11" s="28" t="s">
        <v>47770</v>
      </c>
      <c r="F11" s="29">
        <v>67.0</v>
      </c>
      <c r="G11" s="30">
        <v>5.5350671E7</v>
      </c>
    </row>
    <row r="12" ht="12.75" customHeight="1">
      <c r="A12" s="31">
        <v>435.0</v>
      </c>
      <c r="B12" s="32" t="s">
        <v>47771</v>
      </c>
      <c r="C12" s="33">
        <v>55.0</v>
      </c>
      <c r="D12" s="32" t="s">
        <v>47772</v>
      </c>
      <c r="E12" s="32" t="s">
        <v>47773</v>
      </c>
      <c r="F12" s="31">
        <v>109.0</v>
      </c>
      <c r="G12" s="34">
        <v>5.5351096E7</v>
      </c>
    </row>
    <row r="13" ht="12.75" customHeight="1">
      <c r="A13" s="27">
        <v>836.0</v>
      </c>
      <c r="B13" s="28" t="s">
        <v>47774</v>
      </c>
      <c r="C13" s="29">
        <v>55.0</v>
      </c>
      <c r="D13" s="28" t="s">
        <v>47775</v>
      </c>
      <c r="E13" s="28" t="s">
        <v>47776</v>
      </c>
      <c r="F13" s="29">
        <v>13.0</v>
      </c>
      <c r="G13" s="30">
        <v>5.5360137E7</v>
      </c>
    </row>
    <row r="14" ht="12.75" customHeight="1">
      <c r="A14" s="31">
        <v>441.0</v>
      </c>
      <c r="B14" s="32" t="s">
        <v>47777</v>
      </c>
      <c r="C14" s="33">
        <v>55.0</v>
      </c>
      <c r="D14" s="32" t="s">
        <v>47778</v>
      </c>
      <c r="E14" s="32" t="s">
        <v>47779</v>
      </c>
      <c r="F14" s="33">
        <v>94.0</v>
      </c>
      <c r="G14" s="34">
        <v>5.541094E7</v>
      </c>
    </row>
    <row r="15" ht="12.75" customHeight="1">
      <c r="A15" s="27">
        <v>441.0</v>
      </c>
      <c r="B15" s="28" t="s">
        <v>47780</v>
      </c>
      <c r="C15" s="29">
        <v>55.0</v>
      </c>
      <c r="D15" s="28" t="s">
        <v>47781</v>
      </c>
      <c r="E15" s="28" t="s">
        <v>47782</v>
      </c>
      <c r="F15" s="27">
        <v>109.0</v>
      </c>
      <c r="G15" s="30">
        <v>5.5411099E7</v>
      </c>
    </row>
    <row r="16" ht="12.75" customHeight="1">
      <c r="A16" s="31">
        <v>444.0</v>
      </c>
      <c r="B16" s="32" t="s">
        <v>47783</v>
      </c>
      <c r="C16" s="33">
        <v>55.0</v>
      </c>
      <c r="D16" s="32" t="s">
        <v>47784</v>
      </c>
      <c r="E16" s="32" t="s">
        <v>47785</v>
      </c>
      <c r="F16" s="33">
        <v>64.0</v>
      </c>
      <c r="G16" s="34">
        <v>5.5440644E7</v>
      </c>
    </row>
    <row r="17" ht="12.75" customHeight="1">
      <c r="A17" s="27">
        <v>447.0</v>
      </c>
      <c r="B17" s="28" t="s">
        <v>47786</v>
      </c>
      <c r="C17" s="29">
        <v>55.0</v>
      </c>
      <c r="D17" s="28" t="s">
        <v>47787</v>
      </c>
      <c r="E17" s="28" t="s">
        <v>47788</v>
      </c>
      <c r="F17" s="27">
        <v>140.0</v>
      </c>
      <c r="G17" s="30">
        <v>5.54714E7</v>
      </c>
    </row>
    <row r="18" ht="12.75" customHeight="1">
      <c r="A18" s="31">
        <v>447.0</v>
      </c>
      <c r="B18" s="32" t="s">
        <v>47789</v>
      </c>
      <c r="C18" s="33">
        <v>55.0</v>
      </c>
      <c r="D18" s="32" t="s">
        <v>47790</v>
      </c>
      <c r="E18" s="32" t="s">
        <v>47791</v>
      </c>
      <c r="F18" s="31">
        <v>154.0</v>
      </c>
      <c r="G18" s="34">
        <v>5.5471547E7</v>
      </c>
    </row>
    <row r="19" ht="12.75" customHeight="1">
      <c r="A19" s="27">
        <v>450.0</v>
      </c>
      <c r="B19" s="28" t="s">
        <v>47792</v>
      </c>
      <c r="C19" s="29">
        <v>55.0</v>
      </c>
      <c r="D19" s="28" t="s">
        <v>47793</v>
      </c>
      <c r="E19" s="28" t="s">
        <v>47794</v>
      </c>
      <c r="F19" s="29">
        <v>94.0</v>
      </c>
      <c r="G19" s="30">
        <v>5.5500942E7</v>
      </c>
    </row>
    <row r="20" ht="12.75" customHeight="1">
      <c r="A20" s="31">
        <v>858.0</v>
      </c>
      <c r="B20" s="32" t="s">
        <v>47795</v>
      </c>
      <c r="C20" s="33">
        <v>55.0</v>
      </c>
      <c r="D20" s="32" t="s">
        <v>47796</v>
      </c>
      <c r="E20" s="32" t="s">
        <v>47797</v>
      </c>
      <c r="F20" s="33">
        <v>37.0</v>
      </c>
      <c r="G20" s="34">
        <v>5.5580375E7</v>
      </c>
    </row>
    <row r="21" ht="12.75" customHeight="1">
      <c r="A21" s="27">
        <v>161.0</v>
      </c>
      <c r="B21" s="28" t="s">
        <v>47798</v>
      </c>
      <c r="C21" s="29">
        <v>55.0</v>
      </c>
      <c r="D21" s="28" t="s">
        <v>47799</v>
      </c>
      <c r="E21" s="28" t="s">
        <v>47800</v>
      </c>
      <c r="F21" s="27">
        <v>118.0</v>
      </c>
      <c r="G21" s="30">
        <v>5.5611181E7</v>
      </c>
    </row>
    <row r="22" ht="12.75" customHeight="1">
      <c r="A22" s="31">
        <v>161.0</v>
      </c>
      <c r="B22" s="32" t="s">
        <v>47801</v>
      </c>
      <c r="C22" s="33">
        <v>55.0</v>
      </c>
      <c r="D22" s="32" t="s">
        <v>47802</v>
      </c>
      <c r="E22" s="32" t="s">
        <v>47803</v>
      </c>
      <c r="F22" s="31">
        <v>175.0</v>
      </c>
      <c r="G22" s="34">
        <v>5.5611752E7</v>
      </c>
    </row>
    <row r="23" ht="12.75" customHeight="1">
      <c r="A23" s="27">
        <v>167.0</v>
      </c>
      <c r="B23" s="28" t="s">
        <v>47804</v>
      </c>
      <c r="C23" s="29">
        <v>55.0</v>
      </c>
      <c r="D23" s="28" t="s">
        <v>47805</v>
      </c>
      <c r="E23" s="28" t="s">
        <v>47806</v>
      </c>
      <c r="F23" s="27">
        <v>178.0</v>
      </c>
      <c r="G23" s="30">
        <v>5.5671789E7</v>
      </c>
    </row>
    <row r="24" ht="12.75" customHeight="1">
      <c r="A24" s="31">
        <v>168.0</v>
      </c>
      <c r="B24" s="32" t="s">
        <v>47807</v>
      </c>
      <c r="C24" s="33">
        <v>55.0</v>
      </c>
      <c r="D24" s="32" t="s">
        <v>47808</v>
      </c>
      <c r="E24" s="32" t="s">
        <v>47809</v>
      </c>
      <c r="F24" s="33">
        <v>68.0</v>
      </c>
      <c r="G24" s="34">
        <v>5.5680688E7</v>
      </c>
    </row>
    <row r="25" ht="12.75" customHeight="1">
      <c r="A25" s="27">
        <v>168.0</v>
      </c>
      <c r="B25" s="28" t="s">
        <v>47810</v>
      </c>
      <c r="C25" s="29">
        <v>55.0</v>
      </c>
      <c r="D25" s="28" t="s">
        <v>47811</v>
      </c>
      <c r="E25" s="28" t="s">
        <v>47812</v>
      </c>
      <c r="F25" s="29">
        <v>85.0</v>
      </c>
      <c r="G25" s="30">
        <v>5.5680859E7</v>
      </c>
    </row>
    <row r="26" ht="12.75" customHeight="1">
      <c r="A26" s="31">
        <v>569.0</v>
      </c>
      <c r="B26" s="32" t="s">
        <v>47813</v>
      </c>
      <c r="C26" s="33">
        <v>55.0</v>
      </c>
      <c r="D26" s="32" t="s">
        <v>47814</v>
      </c>
      <c r="E26" s="32" t="s">
        <v>47815</v>
      </c>
      <c r="F26" s="31">
        <v>109.0</v>
      </c>
      <c r="G26" s="34">
        <v>5.5691093E7</v>
      </c>
    </row>
    <row r="27" ht="12.75" customHeight="1">
      <c r="A27" s="27">
        <v>570.0</v>
      </c>
      <c r="B27" s="28" t="s">
        <v>47816</v>
      </c>
      <c r="C27" s="29">
        <v>55.0</v>
      </c>
      <c r="D27" s="28" t="s">
        <v>47817</v>
      </c>
      <c r="E27" s="28" t="s">
        <v>47818</v>
      </c>
      <c r="F27" s="29">
        <v>25.0</v>
      </c>
      <c r="G27" s="30">
        <v>5.570025E7</v>
      </c>
    </row>
    <row r="28" ht="12.75" customHeight="1">
      <c r="A28" s="31">
        <v>773.0</v>
      </c>
      <c r="B28" s="32" t="s">
        <v>47819</v>
      </c>
      <c r="C28" s="33">
        <v>55.0</v>
      </c>
      <c r="D28" s="32" t="s">
        <v>47820</v>
      </c>
      <c r="E28" s="32" t="s">
        <v>47821</v>
      </c>
      <c r="F28" s="33">
        <v>79.0</v>
      </c>
      <c r="G28" s="34">
        <v>5.5730796E7</v>
      </c>
    </row>
    <row r="29" ht="12.75" customHeight="1">
      <c r="A29" s="27">
        <v>378.0</v>
      </c>
      <c r="B29" s="28" t="s">
        <v>47822</v>
      </c>
      <c r="C29" s="29">
        <v>55.0</v>
      </c>
      <c r="D29" s="28" t="s">
        <v>47823</v>
      </c>
      <c r="E29" s="28" t="s">
        <v>47824</v>
      </c>
      <c r="F29" s="29">
        <v>85.0</v>
      </c>
      <c r="G29" s="30">
        <v>5.5780854E7</v>
      </c>
    </row>
    <row r="30" ht="12.75" customHeight="1">
      <c r="A30" s="31">
        <v>379.0</v>
      </c>
      <c r="B30" s="32" t="s">
        <v>47825</v>
      </c>
      <c r="C30" s="33">
        <v>55.0</v>
      </c>
      <c r="D30" s="32" t="s">
        <v>47826</v>
      </c>
      <c r="E30" s="32" t="s">
        <v>47827</v>
      </c>
      <c r="F30" s="33">
        <v>52.0</v>
      </c>
      <c r="G30" s="34">
        <v>5.5790523E7</v>
      </c>
    </row>
    <row r="31" ht="12.75" customHeight="1">
      <c r="A31" s="27">
        <v>581.0</v>
      </c>
      <c r="B31" s="28" t="s">
        <v>47828</v>
      </c>
      <c r="C31" s="29">
        <v>55.0</v>
      </c>
      <c r="D31" s="28" t="s">
        <v>47829</v>
      </c>
      <c r="E31" s="28" t="s">
        <v>47830</v>
      </c>
      <c r="F31" s="27">
        <v>193.0</v>
      </c>
      <c r="G31" s="30">
        <v>5.5811936E7</v>
      </c>
    </row>
    <row r="32" ht="12.75" customHeight="1">
      <c r="A32" s="31">
        <v>785.0</v>
      </c>
      <c r="B32" s="32" t="s">
        <v>47831</v>
      </c>
      <c r="C32" s="33">
        <v>55.0</v>
      </c>
      <c r="D32" s="32" t="s">
        <v>47832</v>
      </c>
      <c r="E32" s="32" t="s">
        <v>47833</v>
      </c>
      <c r="F32" s="31">
        <v>145.0</v>
      </c>
      <c r="G32" s="34">
        <v>5.5851459E7</v>
      </c>
    </row>
    <row r="33" ht="12.75" customHeight="1">
      <c r="A33" s="27">
        <v>487.0</v>
      </c>
      <c r="B33" s="28" t="s">
        <v>47834</v>
      </c>
      <c r="C33" s="29">
        <v>55.0</v>
      </c>
      <c r="D33" s="28" t="s">
        <v>47835</v>
      </c>
      <c r="E33" s="28" t="s">
        <v>47836</v>
      </c>
      <c r="F33" s="27">
        <v>109.0</v>
      </c>
      <c r="G33" s="30">
        <v>5.5871097E7</v>
      </c>
    </row>
    <row r="34" ht="12.75" customHeight="1">
      <c r="A34" s="31">
        <v>688.0</v>
      </c>
      <c r="B34" s="32" t="s">
        <v>47837</v>
      </c>
      <c r="C34" s="33">
        <v>55.0</v>
      </c>
      <c r="D34" s="32" t="s">
        <v>47838</v>
      </c>
      <c r="E34" s="32" t="s">
        <v>47839</v>
      </c>
      <c r="F34" s="33">
        <v>22.0</v>
      </c>
      <c r="G34" s="34">
        <v>5.588022E7</v>
      </c>
    </row>
    <row r="35" ht="12.75" customHeight="1">
      <c r="A35" s="27">
        <v>891.0</v>
      </c>
      <c r="B35" s="28" t="s">
        <v>47840</v>
      </c>
      <c r="C35" s="29">
        <v>55.0</v>
      </c>
      <c r="D35" s="28" t="s">
        <v>47841</v>
      </c>
      <c r="E35" s="28" t="s">
        <v>47842</v>
      </c>
      <c r="F35" s="27">
        <v>345.0</v>
      </c>
      <c r="G35" s="30">
        <v>5.591345E7</v>
      </c>
    </row>
    <row r="36" ht="12.75" customHeight="1">
      <c r="A36" s="31">
        <v>891.0</v>
      </c>
      <c r="B36" s="32" t="s">
        <v>47843</v>
      </c>
      <c r="C36" s="33">
        <v>55.0</v>
      </c>
      <c r="D36" s="32" t="s">
        <v>47844</v>
      </c>
      <c r="E36" s="32" t="s">
        <v>47845</v>
      </c>
      <c r="F36" s="31">
        <v>415.0</v>
      </c>
      <c r="G36" s="34">
        <v>5.5914154E7</v>
      </c>
    </row>
    <row r="37" ht="12.75" customHeight="1">
      <c r="A37" s="27">
        <v>193.0</v>
      </c>
      <c r="B37" s="28" t="s">
        <v>47846</v>
      </c>
      <c r="C37" s="29">
        <v>55.0</v>
      </c>
      <c r="D37" s="28" t="s">
        <v>47847</v>
      </c>
      <c r="E37" s="28" t="s">
        <v>47848</v>
      </c>
      <c r="F37" s="29">
        <v>82.0</v>
      </c>
      <c r="G37" s="30">
        <v>5.593082E7</v>
      </c>
    </row>
    <row r="38" ht="12.75" customHeight="1">
      <c r="A38" s="31">
        <v>401.0</v>
      </c>
      <c r="B38" s="32" t="s">
        <v>47849</v>
      </c>
      <c r="C38" s="33">
        <v>60.0</v>
      </c>
      <c r="D38" s="32" t="s">
        <v>47850</v>
      </c>
      <c r="E38" s="32" t="s">
        <v>47851</v>
      </c>
      <c r="F38" s="33">
        <v>8.0</v>
      </c>
      <c r="G38" s="34">
        <v>6.0010085E7</v>
      </c>
    </row>
    <row r="39" ht="12.75" customHeight="1">
      <c r="A39" s="27">
        <v>306.0</v>
      </c>
      <c r="B39" s="28" t="s">
        <v>47852</v>
      </c>
      <c r="C39" s="29">
        <v>60.0</v>
      </c>
      <c r="D39" s="28" t="s">
        <v>47853</v>
      </c>
      <c r="E39" s="28" t="s">
        <v>47854</v>
      </c>
      <c r="F39" s="29">
        <v>28.0</v>
      </c>
      <c r="G39" s="30">
        <v>6.006028E7</v>
      </c>
    </row>
    <row r="40" ht="12.75" customHeight="1">
      <c r="A40" s="31">
        <v>309.0</v>
      </c>
      <c r="B40" s="32" t="s">
        <v>47855</v>
      </c>
      <c r="C40" s="33">
        <v>60.0</v>
      </c>
      <c r="D40" s="32" t="s">
        <v>47856</v>
      </c>
      <c r="E40" s="32" t="s">
        <v>47857</v>
      </c>
      <c r="F40" s="33">
        <v>10.0</v>
      </c>
      <c r="G40" s="34">
        <v>6.00901E7</v>
      </c>
    </row>
    <row r="41" ht="12.75" customHeight="1">
      <c r="A41" s="27">
        <v>610.0</v>
      </c>
      <c r="B41" s="28" t="s">
        <v>47858</v>
      </c>
      <c r="C41" s="29">
        <v>60.0</v>
      </c>
      <c r="D41" s="28" t="s">
        <v>47859</v>
      </c>
      <c r="E41" s="28" t="s">
        <v>47860</v>
      </c>
      <c r="F41" s="29">
        <v>8.0</v>
      </c>
      <c r="G41" s="30">
        <v>6.0100087E7</v>
      </c>
    </row>
    <row r="42" ht="12.75" customHeight="1">
      <c r="A42" s="31">
        <v>610.0</v>
      </c>
      <c r="B42" s="32" t="s">
        <v>47861</v>
      </c>
      <c r="C42" s="33">
        <v>60.0</v>
      </c>
      <c r="D42" s="32" t="s">
        <v>47862</v>
      </c>
      <c r="E42" s="32" t="s">
        <v>47863</v>
      </c>
      <c r="F42" s="33">
        <v>37.0</v>
      </c>
      <c r="G42" s="34">
        <v>6.0100379E7</v>
      </c>
    </row>
    <row r="43" ht="12.75" customHeight="1">
      <c r="A43" s="27">
        <v>610.0</v>
      </c>
      <c r="B43" s="28" t="s">
        <v>47864</v>
      </c>
      <c r="C43" s="29">
        <v>60.0</v>
      </c>
      <c r="D43" s="28" t="s">
        <v>47865</v>
      </c>
      <c r="E43" s="28" t="s">
        <v>47866</v>
      </c>
      <c r="F43" s="27">
        <v>274.0</v>
      </c>
      <c r="G43" s="30">
        <v>6.0102748E7</v>
      </c>
    </row>
    <row r="44" ht="12.75" customHeight="1">
      <c r="A44" s="31">
        <v>112.0</v>
      </c>
      <c r="B44" s="32" t="s">
        <v>47867</v>
      </c>
      <c r="C44" s="33">
        <v>60.0</v>
      </c>
      <c r="D44" s="32" t="s">
        <v>47868</v>
      </c>
      <c r="E44" s="32" t="s">
        <v>47869</v>
      </c>
      <c r="F44" s="33">
        <v>43.0</v>
      </c>
      <c r="G44" s="34">
        <v>6.0120438E7</v>
      </c>
    </row>
    <row r="45" ht="12.75" customHeight="1">
      <c r="A45" s="27">
        <v>112.0</v>
      </c>
      <c r="B45" s="28" t="s">
        <v>47870</v>
      </c>
      <c r="C45" s="29">
        <v>60.0</v>
      </c>
      <c r="D45" s="28" t="s">
        <v>47871</v>
      </c>
      <c r="E45" s="28" t="s">
        <v>47872</v>
      </c>
      <c r="F45" s="27">
        <v>103.0</v>
      </c>
      <c r="G45" s="30">
        <v>6.0121037E7</v>
      </c>
    </row>
    <row r="46" ht="12.75" customHeight="1">
      <c r="A46" s="31">
        <v>113.0</v>
      </c>
      <c r="B46" s="32" t="s">
        <v>47873</v>
      </c>
      <c r="C46" s="33">
        <v>60.0</v>
      </c>
      <c r="D46" s="32" t="s">
        <v>47874</v>
      </c>
      <c r="E46" s="32" t="s">
        <v>47875</v>
      </c>
      <c r="F46" s="33">
        <v>31.0</v>
      </c>
      <c r="G46" s="34">
        <v>6.013031E7</v>
      </c>
    </row>
    <row r="47" ht="12.75" customHeight="1">
      <c r="A47" s="27">
        <v>113.0</v>
      </c>
      <c r="B47" s="28" t="s">
        <v>47876</v>
      </c>
      <c r="C47" s="29">
        <v>60.0</v>
      </c>
      <c r="D47" s="28" t="s">
        <v>47877</v>
      </c>
      <c r="E47" s="28" t="s">
        <v>47878</v>
      </c>
      <c r="F47" s="29">
        <v>88.0</v>
      </c>
      <c r="G47" s="30">
        <v>6.0130886E7</v>
      </c>
    </row>
    <row r="48" ht="12.75" customHeight="1">
      <c r="A48" s="31">
        <v>215.0</v>
      </c>
      <c r="B48" s="32" t="s">
        <v>47879</v>
      </c>
      <c r="C48" s="33">
        <v>60.0</v>
      </c>
      <c r="D48" s="32" t="s">
        <v>47880</v>
      </c>
      <c r="E48" s="32" t="s">
        <v>47881</v>
      </c>
      <c r="F48" s="33">
        <v>13.0</v>
      </c>
      <c r="G48" s="34">
        <v>6.0150132E7</v>
      </c>
    </row>
    <row r="49" ht="12.75" customHeight="1">
      <c r="A49" s="27">
        <v>215.0</v>
      </c>
      <c r="B49" s="28" t="s">
        <v>47882</v>
      </c>
      <c r="C49" s="29">
        <v>60.0</v>
      </c>
      <c r="D49" s="28" t="s">
        <v>47883</v>
      </c>
      <c r="E49" s="28" t="s">
        <v>47884</v>
      </c>
      <c r="F49" s="29">
        <v>58.0</v>
      </c>
      <c r="G49" s="30">
        <v>6.0150587E7</v>
      </c>
    </row>
    <row r="50" ht="12.75" customHeight="1">
      <c r="A50" s="31">
        <v>215.0</v>
      </c>
      <c r="B50" s="32" t="s">
        <v>47885</v>
      </c>
      <c r="C50" s="33">
        <v>60.0</v>
      </c>
      <c r="D50" s="32" t="s">
        <v>47886</v>
      </c>
      <c r="E50" s="32" t="s">
        <v>47887</v>
      </c>
      <c r="F50" s="33">
        <v>80.0</v>
      </c>
      <c r="G50" s="34">
        <v>6.0150808E7</v>
      </c>
    </row>
    <row r="51" ht="12.75" customHeight="1">
      <c r="A51" s="27">
        <v>215.0</v>
      </c>
      <c r="B51" s="28" t="s">
        <v>47888</v>
      </c>
      <c r="C51" s="29">
        <v>60.0</v>
      </c>
      <c r="D51" s="28" t="s">
        <v>47889</v>
      </c>
      <c r="E51" s="28" t="s">
        <v>47890</v>
      </c>
      <c r="F51" s="29">
        <v>94.0</v>
      </c>
      <c r="G51" s="30">
        <v>6.0150945E7</v>
      </c>
    </row>
    <row r="52" ht="12.75" customHeight="1">
      <c r="A52" s="31">
        <v>215.0</v>
      </c>
      <c r="B52" s="32" t="s">
        <v>47891</v>
      </c>
      <c r="C52" s="33">
        <v>60.0</v>
      </c>
      <c r="D52" s="32" t="s">
        <v>47892</v>
      </c>
      <c r="E52" s="32" t="s">
        <v>47893</v>
      </c>
      <c r="F52" s="31">
        <v>148.0</v>
      </c>
      <c r="G52" s="34">
        <v>6.0151481E7</v>
      </c>
    </row>
    <row r="53" ht="12.75" customHeight="1">
      <c r="A53" s="27">
        <v>215.0</v>
      </c>
      <c r="B53" s="28" t="s">
        <v>47894</v>
      </c>
      <c r="C53" s="29">
        <v>60.0</v>
      </c>
      <c r="D53" s="28" t="s">
        <v>47895</v>
      </c>
      <c r="E53" s="28" t="s">
        <v>47896</v>
      </c>
      <c r="F53" s="27">
        <v>193.0</v>
      </c>
      <c r="G53" s="30">
        <v>6.0151931E7</v>
      </c>
    </row>
    <row r="54" ht="12.75" customHeight="1">
      <c r="A54" s="31">
        <v>215.0</v>
      </c>
      <c r="B54" s="32" t="s">
        <v>47897</v>
      </c>
      <c r="C54" s="33">
        <v>60.0</v>
      </c>
      <c r="D54" s="32" t="s">
        <v>47898</v>
      </c>
      <c r="E54" s="32" t="s">
        <v>47899</v>
      </c>
      <c r="F54" s="31">
        <v>316.0</v>
      </c>
      <c r="G54" s="34">
        <v>6.0153168E7</v>
      </c>
    </row>
    <row r="55" ht="12.75" customHeight="1">
      <c r="A55" s="27">
        <v>215.0</v>
      </c>
      <c r="B55" s="28" t="s">
        <v>47900</v>
      </c>
      <c r="C55" s="29">
        <v>60.0</v>
      </c>
      <c r="D55" s="28" t="s">
        <v>47901</v>
      </c>
      <c r="E55" s="28" t="s">
        <v>47902</v>
      </c>
      <c r="F55" s="27">
        <v>323.0</v>
      </c>
      <c r="G55" s="30">
        <v>6.0153234E7</v>
      </c>
    </row>
    <row r="56" ht="12.75" customHeight="1">
      <c r="A56" s="31">
        <v>215.0</v>
      </c>
      <c r="B56" s="32" t="s">
        <v>47903</v>
      </c>
      <c r="C56" s="33">
        <v>60.0</v>
      </c>
      <c r="D56" s="32" t="s">
        <v>47904</v>
      </c>
      <c r="E56" s="32" t="s">
        <v>47905</v>
      </c>
      <c r="F56" s="31">
        <v>374.0</v>
      </c>
      <c r="G56" s="34">
        <v>6.0153742E7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47906</v>
      </c>
      <c r="C1" s="29">
        <v>60.0</v>
      </c>
      <c r="D1" s="28" t="s">
        <v>47907</v>
      </c>
      <c r="E1" s="28" t="s">
        <v>47908</v>
      </c>
      <c r="F1" s="27">
        <v>415.0</v>
      </c>
      <c r="G1" s="30">
        <v>6.0154154E7</v>
      </c>
    </row>
    <row r="2" ht="12.75" customHeight="1">
      <c r="A2" s="31">
        <v>215.0</v>
      </c>
      <c r="B2" s="32" t="s">
        <v>47909</v>
      </c>
      <c r="C2" s="33">
        <v>60.0</v>
      </c>
      <c r="D2" s="32" t="s">
        <v>47910</v>
      </c>
      <c r="E2" s="32" t="s">
        <v>47911</v>
      </c>
      <c r="F2" s="31">
        <v>467.0</v>
      </c>
      <c r="G2" s="34">
        <v>6.0154675E7</v>
      </c>
    </row>
    <row r="3" ht="12.75" customHeight="1">
      <c r="A3" s="27">
        <v>215.0</v>
      </c>
      <c r="B3" s="28" t="s">
        <v>47912</v>
      </c>
      <c r="C3" s="29">
        <v>60.0</v>
      </c>
      <c r="D3" s="28" t="s">
        <v>47913</v>
      </c>
      <c r="E3" s="28" t="s">
        <v>47914</v>
      </c>
      <c r="F3" s="27">
        <v>469.0</v>
      </c>
      <c r="G3" s="30">
        <v>6.0154691E7</v>
      </c>
    </row>
    <row r="4" ht="12.75" customHeight="1">
      <c r="A4" s="31">
        <v>215.0</v>
      </c>
      <c r="B4" s="32" t="s">
        <v>47915</v>
      </c>
      <c r="C4" s="33">
        <v>60.0</v>
      </c>
      <c r="D4" s="32" t="s">
        <v>47916</v>
      </c>
      <c r="E4" s="32" t="s">
        <v>47917</v>
      </c>
      <c r="F4" s="31">
        <v>526.0</v>
      </c>
      <c r="G4" s="34">
        <v>6.0155261E7</v>
      </c>
    </row>
    <row r="5" ht="12.75" customHeight="1">
      <c r="A5" s="27">
        <v>215.0</v>
      </c>
      <c r="B5" s="28" t="s">
        <v>47918</v>
      </c>
      <c r="C5" s="29">
        <v>60.0</v>
      </c>
      <c r="D5" s="28" t="s">
        <v>47919</v>
      </c>
      <c r="E5" s="28" t="s">
        <v>47920</v>
      </c>
      <c r="F5" s="27">
        <v>532.0</v>
      </c>
      <c r="G5" s="30">
        <v>6.0155324E7</v>
      </c>
    </row>
    <row r="6" ht="12.75" customHeight="1">
      <c r="A6" s="31">
        <v>215.0</v>
      </c>
      <c r="B6" s="32" t="s">
        <v>47921</v>
      </c>
      <c r="C6" s="33">
        <v>60.0</v>
      </c>
      <c r="D6" s="32" t="s">
        <v>47922</v>
      </c>
      <c r="E6" s="32" t="s">
        <v>47923</v>
      </c>
      <c r="F6" s="31">
        <v>565.0</v>
      </c>
      <c r="G6" s="34">
        <v>6.0155658E7</v>
      </c>
    </row>
    <row r="7" ht="12.75" customHeight="1">
      <c r="A7" s="27">
        <v>215.0</v>
      </c>
      <c r="B7" s="28" t="s">
        <v>47924</v>
      </c>
      <c r="C7" s="29">
        <v>60.0</v>
      </c>
      <c r="D7" s="28" t="s">
        <v>47925</v>
      </c>
      <c r="E7" s="28" t="s">
        <v>47926</v>
      </c>
      <c r="F7" s="27">
        <v>567.0</v>
      </c>
      <c r="G7" s="30">
        <v>6.0155674E7</v>
      </c>
    </row>
    <row r="8" ht="12.75" customHeight="1">
      <c r="A8" s="31">
        <v>215.0</v>
      </c>
      <c r="B8" s="32" t="s">
        <v>47927</v>
      </c>
      <c r="C8" s="33">
        <v>60.0</v>
      </c>
      <c r="D8" s="32" t="s">
        <v>47928</v>
      </c>
      <c r="E8" s="32" t="s">
        <v>47929</v>
      </c>
      <c r="F8" s="31">
        <v>593.0</v>
      </c>
      <c r="G8" s="34">
        <v>6.0155937E7</v>
      </c>
    </row>
    <row r="9" ht="12.75" customHeight="1">
      <c r="A9" s="27">
        <v>215.0</v>
      </c>
      <c r="B9" s="28" t="s">
        <v>47930</v>
      </c>
      <c r="C9" s="29">
        <v>60.0</v>
      </c>
      <c r="D9" s="28" t="s">
        <v>47931</v>
      </c>
      <c r="E9" s="28" t="s">
        <v>47932</v>
      </c>
      <c r="F9" s="27">
        <v>616.0</v>
      </c>
      <c r="G9" s="30">
        <v>6.0156165E7</v>
      </c>
    </row>
    <row r="10" ht="12.75" customHeight="1">
      <c r="A10" s="31">
        <v>215.0</v>
      </c>
      <c r="B10" s="32" t="s">
        <v>47933</v>
      </c>
      <c r="C10" s="33">
        <v>60.0</v>
      </c>
      <c r="D10" s="32" t="s">
        <v>47934</v>
      </c>
      <c r="E10" s="32" t="s">
        <v>47935</v>
      </c>
      <c r="F10" s="31">
        <v>650.0</v>
      </c>
      <c r="G10" s="34">
        <v>6.0156507E7</v>
      </c>
    </row>
    <row r="11" ht="12.75" customHeight="1">
      <c r="A11" s="27">
        <v>215.0</v>
      </c>
      <c r="B11" s="28" t="s">
        <v>47936</v>
      </c>
      <c r="C11" s="29">
        <v>60.0</v>
      </c>
      <c r="D11" s="28" t="s">
        <v>47937</v>
      </c>
      <c r="E11" s="28" t="s">
        <v>47938</v>
      </c>
      <c r="F11" s="27">
        <v>739.0</v>
      </c>
      <c r="G11" s="30">
        <v>6.0157393E7</v>
      </c>
    </row>
    <row r="12" ht="12.75" customHeight="1">
      <c r="A12" s="31">
        <v>215.0</v>
      </c>
      <c r="B12" s="32" t="s">
        <v>47939</v>
      </c>
      <c r="C12" s="33">
        <v>60.0</v>
      </c>
      <c r="D12" s="32" t="s">
        <v>47940</v>
      </c>
      <c r="E12" s="32" t="s">
        <v>47941</v>
      </c>
      <c r="F12" s="31">
        <v>742.0</v>
      </c>
      <c r="G12" s="34">
        <v>6.0157427E7</v>
      </c>
    </row>
    <row r="13" ht="12.75" customHeight="1">
      <c r="A13" s="27">
        <v>418.0</v>
      </c>
      <c r="B13" s="28" t="s">
        <v>47942</v>
      </c>
      <c r="C13" s="29">
        <v>60.0</v>
      </c>
      <c r="D13" s="28" t="s">
        <v>47943</v>
      </c>
      <c r="E13" s="28" t="s">
        <v>47944</v>
      </c>
      <c r="F13" s="29">
        <v>6.0</v>
      </c>
      <c r="G13" s="30">
        <v>6.0180065E7</v>
      </c>
    </row>
    <row r="14" ht="12.75" customHeight="1">
      <c r="A14" s="31">
        <v>418.0</v>
      </c>
      <c r="B14" s="32" t="s">
        <v>47945</v>
      </c>
      <c r="C14" s="33">
        <v>60.0</v>
      </c>
      <c r="D14" s="32" t="s">
        <v>47946</v>
      </c>
      <c r="E14" s="32" t="s">
        <v>47947</v>
      </c>
      <c r="F14" s="33">
        <v>19.0</v>
      </c>
      <c r="G14" s="34">
        <v>6.0180199E7</v>
      </c>
    </row>
    <row r="15" ht="12.75" customHeight="1">
      <c r="A15" s="27">
        <v>119.0</v>
      </c>
      <c r="B15" s="28" t="s">
        <v>47948</v>
      </c>
      <c r="C15" s="29">
        <v>60.0</v>
      </c>
      <c r="D15" s="28" t="s">
        <v>47949</v>
      </c>
      <c r="E15" s="28" t="s">
        <v>47950</v>
      </c>
      <c r="F15" s="29">
        <v>49.0</v>
      </c>
      <c r="G15" s="30">
        <v>6.0190497E7</v>
      </c>
    </row>
    <row r="16" ht="12.75" customHeight="1">
      <c r="A16" s="31">
        <v>119.0</v>
      </c>
      <c r="B16" s="32" t="s">
        <v>47951</v>
      </c>
      <c r="C16" s="33">
        <v>60.0</v>
      </c>
      <c r="D16" s="32" t="s">
        <v>47952</v>
      </c>
      <c r="E16" s="32" t="s">
        <v>47953</v>
      </c>
      <c r="F16" s="33">
        <v>88.0</v>
      </c>
      <c r="G16" s="34">
        <v>6.0190884E7</v>
      </c>
    </row>
    <row r="17" ht="12.75" customHeight="1">
      <c r="A17" s="27">
        <v>119.0</v>
      </c>
      <c r="B17" s="28" t="s">
        <v>47954</v>
      </c>
      <c r="C17" s="29">
        <v>60.0</v>
      </c>
      <c r="D17" s="28" t="s">
        <v>47955</v>
      </c>
      <c r="E17" s="28" t="s">
        <v>47956</v>
      </c>
      <c r="F17" s="27">
        <v>115.0</v>
      </c>
      <c r="G17" s="30">
        <v>6.0191159E7</v>
      </c>
    </row>
    <row r="18" ht="12.75" customHeight="1">
      <c r="A18" s="31">
        <v>119.0</v>
      </c>
      <c r="B18" s="32" t="s">
        <v>47957</v>
      </c>
      <c r="C18" s="33">
        <v>60.0</v>
      </c>
      <c r="D18" s="32" t="s">
        <v>47958</v>
      </c>
      <c r="E18" s="32" t="s">
        <v>47959</v>
      </c>
      <c r="F18" s="31">
        <v>116.0</v>
      </c>
      <c r="G18" s="34">
        <v>6.0191162E7</v>
      </c>
    </row>
    <row r="19" ht="12.75" customHeight="1">
      <c r="A19" s="27">
        <v>119.0</v>
      </c>
      <c r="B19" s="28" t="s">
        <v>47960</v>
      </c>
      <c r="C19" s="29">
        <v>60.0</v>
      </c>
      <c r="D19" s="28" t="s">
        <v>47961</v>
      </c>
      <c r="E19" s="28" t="s">
        <v>47962</v>
      </c>
      <c r="F19" s="27">
        <v>212.0</v>
      </c>
      <c r="G19" s="30">
        <v>6.0192129E7</v>
      </c>
    </row>
    <row r="20" ht="12.75" customHeight="1">
      <c r="A20" s="31">
        <v>119.0</v>
      </c>
      <c r="B20" s="32" t="s">
        <v>47963</v>
      </c>
      <c r="C20" s="33">
        <v>60.0</v>
      </c>
      <c r="D20" s="32" t="s">
        <v>47964</v>
      </c>
      <c r="E20" s="32" t="s">
        <v>47965</v>
      </c>
      <c r="F20" s="31">
        <v>271.0</v>
      </c>
      <c r="G20" s="34">
        <v>6.0192716E7</v>
      </c>
    </row>
    <row r="21" ht="12.75" customHeight="1">
      <c r="A21" s="27">
        <v>222.0</v>
      </c>
      <c r="B21" s="28" t="s">
        <v>47966</v>
      </c>
      <c r="C21" s="29">
        <v>60.0</v>
      </c>
      <c r="D21" s="28" t="s">
        <v>47967</v>
      </c>
      <c r="E21" s="28" t="s">
        <v>47968</v>
      </c>
      <c r="F21" s="29">
        <v>16.0</v>
      </c>
      <c r="G21" s="30">
        <v>6.0220167E7</v>
      </c>
    </row>
    <row r="22" ht="12.75" customHeight="1">
      <c r="A22" s="31">
        <v>222.0</v>
      </c>
      <c r="B22" s="32" t="s">
        <v>47969</v>
      </c>
      <c r="C22" s="33">
        <v>60.0</v>
      </c>
      <c r="D22" s="32" t="s">
        <v>47970</v>
      </c>
      <c r="E22" s="32" t="s">
        <v>47971</v>
      </c>
      <c r="F22" s="33">
        <v>25.0</v>
      </c>
      <c r="G22" s="34">
        <v>6.0220259E7</v>
      </c>
    </row>
    <row r="23" ht="12.75" customHeight="1">
      <c r="A23" s="27">
        <v>126.0</v>
      </c>
      <c r="B23" s="28" t="s">
        <v>47972</v>
      </c>
      <c r="C23" s="29">
        <v>60.0</v>
      </c>
      <c r="D23" s="28" t="s">
        <v>47973</v>
      </c>
      <c r="E23" s="28" t="s">
        <v>47974</v>
      </c>
      <c r="F23" s="29">
        <v>20.0</v>
      </c>
      <c r="G23" s="30">
        <v>6.0260206E7</v>
      </c>
    </row>
    <row r="24" ht="12.75" customHeight="1">
      <c r="A24" s="31">
        <v>126.0</v>
      </c>
      <c r="B24" s="32" t="s">
        <v>47975</v>
      </c>
      <c r="C24" s="33">
        <v>60.0</v>
      </c>
      <c r="D24" s="32" t="s">
        <v>47976</v>
      </c>
      <c r="E24" s="32" t="s">
        <v>47977</v>
      </c>
      <c r="F24" s="33">
        <v>22.0</v>
      </c>
      <c r="G24" s="34">
        <v>6.0260222E7</v>
      </c>
    </row>
    <row r="25" ht="12.75" customHeight="1">
      <c r="A25" s="27">
        <v>126.0</v>
      </c>
      <c r="B25" s="28" t="s">
        <v>47978</v>
      </c>
      <c r="C25" s="29">
        <v>60.0</v>
      </c>
      <c r="D25" s="28" t="s">
        <v>47979</v>
      </c>
      <c r="E25" s="28" t="s">
        <v>47980</v>
      </c>
      <c r="F25" s="29">
        <v>35.0</v>
      </c>
      <c r="G25" s="30">
        <v>6.0260356E7</v>
      </c>
    </row>
    <row r="26" ht="12.75" customHeight="1">
      <c r="A26" s="31">
        <v>126.0</v>
      </c>
      <c r="B26" s="32" t="s">
        <v>47981</v>
      </c>
      <c r="C26" s="33">
        <v>60.0</v>
      </c>
      <c r="D26" s="32" t="s">
        <v>47982</v>
      </c>
      <c r="E26" s="32" t="s">
        <v>47983</v>
      </c>
      <c r="F26" s="33">
        <v>38.0</v>
      </c>
      <c r="G26" s="34">
        <v>6.0260385E7</v>
      </c>
    </row>
    <row r="27" ht="12.75" customHeight="1">
      <c r="A27" s="27">
        <v>126.0</v>
      </c>
      <c r="B27" s="28" t="s">
        <v>47984</v>
      </c>
      <c r="C27" s="29">
        <v>60.0</v>
      </c>
      <c r="D27" s="28" t="s">
        <v>47985</v>
      </c>
      <c r="E27" s="28" t="s">
        <v>47986</v>
      </c>
      <c r="F27" s="29">
        <v>43.0</v>
      </c>
      <c r="G27" s="30">
        <v>6.0260435E7</v>
      </c>
    </row>
    <row r="28" ht="12.75" customHeight="1">
      <c r="A28" s="31">
        <v>126.0</v>
      </c>
      <c r="B28" s="32" t="s">
        <v>47987</v>
      </c>
      <c r="C28" s="33">
        <v>60.0</v>
      </c>
      <c r="D28" s="32" t="s">
        <v>47988</v>
      </c>
      <c r="E28" s="32" t="s">
        <v>47989</v>
      </c>
      <c r="F28" s="33">
        <v>50.0</v>
      </c>
      <c r="G28" s="34">
        <v>6.0260501E7</v>
      </c>
    </row>
    <row r="29" ht="12.75" customHeight="1">
      <c r="A29" s="27">
        <v>126.0</v>
      </c>
      <c r="B29" s="28" t="s">
        <v>47990</v>
      </c>
      <c r="C29" s="29">
        <v>60.0</v>
      </c>
      <c r="D29" s="28" t="s">
        <v>47991</v>
      </c>
      <c r="E29" s="28" t="s">
        <v>47992</v>
      </c>
      <c r="F29" s="29">
        <v>55.0</v>
      </c>
      <c r="G29" s="30">
        <v>6.0260556E7</v>
      </c>
    </row>
    <row r="30" ht="12.75" customHeight="1">
      <c r="A30" s="31">
        <v>126.0</v>
      </c>
      <c r="B30" s="32" t="s">
        <v>47993</v>
      </c>
      <c r="C30" s="33">
        <v>60.0</v>
      </c>
      <c r="D30" s="32" t="s">
        <v>47994</v>
      </c>
      <c r="E30" s="32" t="s">
        <v>47995</v>
      </c>
      <c r="F30" s="33">
        <v>67.0</v>
      </c>
      <c r="G30" s="34">
        <v>6.0260677E7</v>
      </c>
    </row>
    <row r="31" ht="12.75" customHeight="1">
      <c r="A31" s="27">
        <v>126.0</v>
      </c>
      <c r="B31" s="28" t="s">
        <v>47996</v>
      </c>
      <c r="C31" s="29">
        <v>60.0</v>
      </c>
      <c r="D31" s="28" t="s">
        <v>47997</v>
      </c>
      <c r="E31" s="28" t="s">
        <v>47998</v>
      </c>
      <c r="F31" s="29">
        <v>68.0</v>
      </c>
      <c r="G31" s="30">
        <v>6.026068E7</v>
      </c>
    </row>
    <row r="32" ht="12.75" customHeight="1">
      <c r="A32" s="31">
        <v>126.0</v>
      </c>
      <c r="B32" s="32" t="s">
        <v>47999</v>
      </c>
      <c r="C32" s="33">
        <v>60.0</v>
      </c>
      <c r="D32" s="32" t="s">
        <v>48000</v>
      </c>
      <c r="E32" s="32" t="s">
        <v>48001</v>
      </c>
      <c r="F32" s="33">
        <v>72.0</v>
      </c>
      <c r="G32" s="34">
        <v>6.0260727E7</v>
      </c>
    </row>
    <row r="33" ht="12.75" customHeight="1">
      <c r="A33" s="27">
        <v>126.0</v>
      </c>
      <c r="B33" s="28" t="s">
        <v>48002</v>
      </c>
      <c r="C33" s="29">
        <v>60.0</v>
      </c>
      <c r="D33" s="28" t="s">
        <v>48003</v>
      </c>
      <c r="E33" s="28" t="s">
        <v>48004</v>
      </c>
      <c r="F33" s="29">
        <v>91.0</v>
      </c>
      <c r="G33" s="30">
        <v>6.0260914E7</v>
      </c>
    </row>
    <row r="34" ht="12.75" customHeight="1">
      <c r="A34" s="31">
        <v>126.0</v>
      </c>
      <c r="B34" s="32" t="s">
        <v>48005</v>
      </c>
      <c r="C34" s="33">
        <v>60.0</v>
      </c>
      <c r="D34" s="32" t="s">
        <v>48006</v>
      </c>
      <c r="E34" s="32" t="s">
        <v>48007</v>
      </c>
      <c r="F34" s="31">
        <v>118.0</v>
      </c>
      <c r="G34" s="34">
        <v>6.0261184E7</v>
      </c>
    </row>
    <row r="35" ht="12.75" customHeight="1">
      <c r="A35" s="27">
        <v>126.0</v>
      </c>
      <c r="B35" s="28" t="s">
        <v>48008</v>
      </c>
      <c r="C35" s="29">
        <v>60.0</v>
      </c>
      <c r="D35" s="28" t="s">
        <v>48009</v>
      </c>
      <c r="E35" s="28" t="s">
        <v>48010</v>
      </c>
      <c r="F35" s="27">
        <v>120.0</v>
      </c>
      <c r="G35" s="30">
        <v>6.0261205E7</v>
      </c>
    </row>
    <row r="36" ht="12.75" customHeight="1">
      <c r="A36" s="31">
        <v>126.0</v>
      </c>
      <c r="B36" s="32" t="s">
        <v>48011</v>
      </c>
      <c r="C36" s="33">
        <v>60.0</v>
      </c>
      <c r="D36" s="32" t="s">
        <v>48012</v>
      </c>
      <c r="E36" s="32" t="s">
        <v>48013</v>
      </c>
      <c r="F36" s="31">
        <v>133.0</v>
      </c>
      <c r="G36" s="34">
        <v>6.0261339E7</v>
      </c>
    </row>
    <row r="37" ht="12.75" customHeight="1">
      <c r="A37" s="27">
        <v>126.0</v>
      </c>
      <c r="B37" s="28" t="s">
        <v>48014</v>
      </c>
      <c r="C37" s="29">
        <v>60.0</v>
      </c>
      <c r="D37" s="28" t="s">
        <v>48015</v>
      </c>
      <c r="E37" s="28" t="s">
        <v>48016</v>
      </c>
      <c r="F37" s="27">
        <v>135.0</v>
      </c>
      <c r="G37" s="30">
        <v>6.0261355E7</v>
      </c>
    </row>
    <row r="38" ht="12.75" customHeight="1">
      <c r="A38" s="31">
        <v>126.0</v>
      </c>
      <c r="B38" s="32" t="s">
        <v>48017</v>
      </c>
      <c r="C38" s="33">
        <v>60.0</v>
      </c>
      <c r="D38" s="32" t="s">
        <v>48018</v>
      </c>
      <c r="E38" s="32" t="s">
        <v>48019</v>
      </c>
      <c r="F38" s="31">
        <v>139.0</v>
      </c>
      <c r="G38" s="34">
        <v>6.0261397E7</v>
      </c>
    </row>
    <row r="39" ht="12.75" customHeight="1">
      <c r="A39" s="27">
        <v>126.0</v>
      </c>
      <c r="B39" s="28" t="s">
        <v>48020</v>
      </c>
      <c r="C39" s="29">
        <v>60.0</v>
      </c>
      <c r="D39" s="28" t="s">
        <v>48021</v>
      </c>
      <c r="E39" s="28" t="s">
        <v>48022</v>
      </c>
      <c r="F39" s="27">
        <v>172.0</v>
      </c>
      <c r="G39" s="30">
        <v>6.0261726E7</v>
      </c>
    </row>
    <row r="40" ht="12.75" customHeight="1">
      <c r="A40" s="31">
        <v>126.0</v>
      </c>
      <c r="B40" s="32" t="s">
        <v>48023</v>
      </c>
      <c r="C40" s="33">
        <v>60.0</v>
      </c>
      <c r="D40" s="32" t="s">
        <v>48024</v>
      </c>
      <c r="E40" s="32" t="s">
        <v>48025</v>
      </c>
      <c r="F40" s="31">
        <v>187.0</v>
      </c>
      <c r="G40" s="34">
        <v>6.0261876E7</v>
      </c>
    </row>
    <row r="41" ht="12.75" customHeight="1">
      <c r="A41" s="27">
        <v>126.0</v>
      </c>
      <c r="B41" s="28" t="s">
        <v>48026</v>
      </c>
      <c r="C41" s="29">
        <v>60.0</v>
      </c>
      <c r="D41" s="28" t="s">
        <v>48027</v>
      </c>
      <c r="E41" s="28" t="s">
        <v>48028</v>
      </c>
      <c r="F41" s="27">
        <v>197.0</v>
      </c>
      <c r="G41" s="30">
        <v>6.0261971E7</v>
      </c>
    </row>
    <row r="42" ht="12.75" customHeight="1">
      <c r="A42" s="31">
        <v>126.0</v>
      </c>
      <c r="B42" s="32" t="s">
        <v>48029</v>
      </c>
      <c r="C42" s="33">
        <v>60.0</v>
      </c>
      <c r="D42" s="32" t="s">
        <v>48030</v>
      </c>
      <c r="E42" s="32" t="s">
        <v>48031</v>
      </c>
      <c r="F42" s="31">
        <v>199.0</v>
      </c>
      <c r="G42" s="34">
        <v>6.0261997E7</v>
      </c>
    </row>
    <row r="43" ht="12.75" customHeight="1">
      <c r="A43" s="27">
        <v>126.0</v>
      </c>
      <c r="B43" s="28" t="s">
        <v>48032</v>
      </c>
      <c r="C43" s="29">
        <v>60.0</v>
      </c>
      <c r="D43" s="28" t="s">
        <v>48033</v>
      </c>
      <c r="E43" s="28" t="s">
        <v>48034</v>
      </c>
      <c r="F43" s="27">
        <v>254.0</v>
      </c>
      <c r="G43" s="30">
        <v>6.0262541E7</v>
      </c>
    </row>
    <row r="44" ht="12.75" customHeight="1">
      <c r="A44" s="31">
        <v>126.0</v>
      </c>
      <c r="B44" s="32" t="s">
        <v>48035</v>
      </c>
      <c r="C44" s="33">
        <v>60.0</v>
      </c>
      <c r="D44" s="32" t="s">
        <v>48036</v>
      </c>
      <c r="E44" s="32" t="s">
        <v>48037</v>
      </c>
      <c r="F44" s="31">
        <v>287.0</v>
      </c>
      <c r="G44" s="34">
        <v>6.0262875E7</v>
      </c>
    </row>
    <row r="45" ht="12.75" customHeight="1">
      <c r="A45" s="27">
        <v>126.0</v>
      </c>
      <c r="B45" s="28" t="s">
        <v>48038</v>
      </c>
      <c r="C45" s="29">
        <v>60.0</v>
      </c>
      <c r="D45" s="28" t="s">
        <v>48039</v>
      </c>
      <c r="E45" s="28" t="s">
        <v>48040</v>
      </c>
      <c r="F45" s="27">
        <v>298.0</v>
      </c>
      <c r="G45" s="30">
        <v>6.0262983E7</v>
      </c>
    </row>
    <row r="46" ht="12.75" customHeight="1">
      <c r="A46" s="31">
        <v>126.0</v>
      </c>
      <c r="B46" s="32" t="s">
        <v>48041</v>
      </c>
      <c r="C46" s="33">
        <v>60.0</v>
      </c>
      <c r="D46" s="32" t="s">
        <v>48042</v>
      </c>
      <c r="E46" s="32" t="s">
        <v>48043</v>
      </c>
      <c r="F46" s="31">
        <v>329.0</v>
      </c>
      <c r="G46" s="34">
        <v>6.026329E7</v>
      </c>
    </row>
    <row r="47" ht="12.75" customHeight="1">
      <c r="A47" s="27">
        <v>126.0</v>
      </c>
      <c r="B47" s="28" t="s">
        <v>48044</v>
      </c>
      <c r="C47" s="29">
        <v>60.0</v>
      </c>
      <c r="D47" s="28" t="s">
        <v>48045</v>
      </c>
      <c r="E47" s="28" t="s">
        <v>48046</v>
      </c>
      <c r="F47" s="27">
        <v>342.0</v>
      </c>
      <c r="G47" s="30">
        <v>6.0263429E7</v>
      </c>
    </row>
    <row r="48" ht="12.75" customHeight="1">
      <c r="A48" s="31">
        <v>126.0</v>
      </c>
      <c r="B48" s="32" t="s">
        <v>48047</v>
      </c>
      <c r="C48" s="33">
        <v>60.0</v>
      </c>
      <c r="D48" s="32" t="s">
        <v>48048</v>
      </c>
      <c r="E48" s="32" t="s">
        <v>48049</v>
      </c>
      <c r="F48" s="31">
        <v>362.0</v>
      </c>
      <c r="G48" s="34">
        <v>6.0263629E7</v>
      </c>
    </row>
    <row r="49" ht="12.75" customHeight="1">
      <c r="A49" s="27">
        <v>126.0</v>
      </c>
      <c r="B49" s="28" t="s">
        <v>48050</v>
      </c>
      <c r="C49" s="29">
        <v>60.0</v>
      </c>
      <c r="D49" s="28" t="s">
        <v>48051</v>
      </c>
      <c r="E49" s="28" t="s">
        <v>48052</v>
      </c>
      <c r="F49" s="27">
        <v>409.0</v>
      </c>
      <c r="G49" s="30">
        <v>6.0264099E7</v>
      </c>
    </row>
    <row r="50" ht="12.75" customHeight="1">
      <c r="A50" s="31">
        <v>126.0</v>
      </c>
      <c r="B50" s="32" t="s">
        <v>48053</v>
      </c>
      <c r="C50" s="33">
        <v>60.0</v>
      </c>
      <c r="D50" s="32" t="s">
        <v>48054</v>
      </c>
      <c r="E50" s="32" t="s">
        <v>48055</v>
      </c>
      <c r="F50" s="31">
        <v>430.0</v>
      </c>
      <c r="G50" s="34">
        <v>6.0264307E7</v>
      </c>
    </row>
    <row r="51" ht="12.75" customHeight="1">
      <c r="A51" s="27">
        <v>126.0</v>
      </c>
      <c r="B51" s="28" t="s">
        <v>48056</v>
      </c>
      <c r="C51" s="29">
        <v>60.0</v>
      </c>
      <c r="D51" s="28" t="s">
        <v>48057</v>
      </c>
      <c r="E51" s="28" t="s">
        <v>48058</v>
      </c>
      <c r="F51" s="27">
        <v>463.0</v>
      </c>
      <c r="G51" s="30">
        <v>6.0264631E7</v>
      </c>
    </row>
    <row r="52" ht="12.75" customHeight="1">
      <c r="A52" s="31">
        <v>126.0</v>
      </c>
      <c r="B52" s="32" t="s">
        <v>48059</v>
      </c>
      <c r="C52" s="33">
        <v>60.0</v>
      </c>
      <c r="D52" s="32" t="s">
        <v>48060</v>
      </c>
      <c r="E52" s="32" t="s">
        <v>48061</v>
      </c>
      <c r="F52" s="31">
        <v>464.0</v>
      </c>
      <c r="G52" s="34">
        <v>6.0264644E7</v>
      </c>
    </row>
    <row r="53" ht="12.75" customHeight="1">
      <c r="A53" s="27">
        <v>127.0</v>
      </c>
      <c r="B53" s="28" t="s">
        <v>48062</v>
      </c>
      <c r="C53" s="29">
        <v>60.0</v>
      </c>
      <c r="D53" s="28" t="s">
        <v>48063</v>
      </c>
      <c r="E53" s="28" t="s">
        <v>48064</v>
      </c>
      <c r="F53" s="29">
        <v>0.0</v>
      </c>
      <c r="G53" s="30">
        <v>6.0270009E7</v>
      </c>
    </row>
    <row r="54" ht="12.75" customHeight="1">
      <c r="A54" s="31">
        <v>127.0</v>
      </c>
      <c r="B54" s="32" t="s">
        <v>48065</v>
      </c>
      <c r="C54" s="33">
        <v>60.0</v>
      </c>
      <c r="D54" s="32" t="s">
        <v>48066</v>
      </c>
      <c r="E54" s="32" t="s">
        <v>48067</v>
      </c>
      <c r="F54" s="33">
        <v>34.0</v>
      </c>
      <c r="G54" s="34">
        <v>6.0270346E7</v>
      </c>
    </row>
    <row r="55" ht="12.75" customHeight="1">
      <c r="A55" s="27">
        <v>127.0</v>
      </c>
      <c r="B55" s="28" t="s">
        <v>48068</v>
      </c>
      <c r="C55" s="29">
        <v>60.0</v>
      </c>
      <c r="D55" s="28" t="s">
        <v>48069</v>
      </c>
      <c r="E55" s="28" t="s">
        <v>48070</v>
      </c>
      <c r="F55" s="29">
        <v>98.0</v>
      </c>
      <c r="G55" s="30">
        <v>6.0270988E7</v>
      </c>
    </row>
    <row r="56" ht="12.75" customHeight="1">
      <c r="A56" s="31">
        <v>127.0</v>
      </c>
      <c r="B56" s="32" t="s">
        <v>48071</v>
      </c>
      <c r="C56" s="33">
        <v>60.0</v>
      </c>
      <c r="D56" s="32" t="s">
        <v>48072</v>
      </c>
      <c r="E56" s="32" t="s">
        <v>48073</v>
      </c>
      <c r="F56" s="31">
        <v>110.0</v>
      </c>
      <c r="G56" s="34">
        <v>6.0271103E7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48074</v>
      </c>
      <c r="C1" s="29">
        <v>60.0</v>
      </c>
      <c r="D1" s="28" t="s">
        <v>48075</v>
      </c>
      <c r="E1" s="28" t="s">
        <v>48076</v>
      </c>
      <c r="F1" s="27">
        <v>142.0</v>
      </c>
      <c r="G1" s="30">
        <v>6.0271424E7</v>
      </c>
    </row>
    <row r="2" ht="12.75" customHeight="1">
      <c r="A2" s="31">
        <v>127.0</v>
      </c>
      <c r="B2" s="32" t="s">
        <v>48077</v>
      </c>
      <c r="C2" s="33">
        <v>60.0</v>
      </c>
      <c r="D2" s="32" t="s">
        <v>48078</v>
      </c>
      <c r="E2" s="32" t="s">
        <v>48079</v>
      </c>
      <c r="F2" s="31">
        <v>149.0</v>
      </c>
      <c r="G2" s="34">
        <v>6.0271495E7</v>
      </c>
    </row>
    <row r="3" ht="12.75" customHeight="1">
      <c r="A3" s="27">
        <v>127.0</v>
      </c>
      <c r="B3" s="28" t="s">
        <v>48080</v>
      </c>
      <c r="C3" s="29">
        <v>60.0</v>
      </c>
      <c r="D3" s="28" t="s">
        <v>48081</v>
      </c>
      <c r="E3" s="28" t="s">
        <v>48082</v>
      </c>
      <c r="F3" s="27">
        <v>184.0</v>
      </c>
      <c r="G3" s="30">
        <v>6.027184E7</v>
      </c>
    </row>
    <row r="4" ht="12.75" customHeight="1">
      <c r="A4" s="31">
        <v>127.0</v>
      </c>
      <c r="B4" s="32" t="s">
        <v>48083</v>
      </c>
      <c r="C4" s="33">
        <v>60.0</v>
      </c>
      <c r="D4" s="32" t="s">
        <v>48084</v>
      </c>
      <c r="E4" s="32" t="s">
        <v>48085</v>
      </c>
      <c r="F4" s="31">
        <v>205.0</v>
      </c>
      <c r="G4" s="34">
        <v>6.0272052E7</v>
      </c>
    </row>
    <row r="5" ht="12.75" customHeight="1">
      <c r="A5" s="27">
        <v>127.0</v>
      </c>
      <c r="B5" s="28" t="s">
        <v>48086</v>
      </c>
      <c r="C5" s="29">
        <v>60.0</v>
      </c>
      <c r="D5" s="28" t="s">
        <v>48087</v>
      </c>
      <c r="E5" s="28" t="s">
        <v>48088</v>
      </c>
      <c r="F5" s="27">
        <v>241.0</v>
      </c>
      <c r="G5" s="30">
        <v>6.027241E7</v>
      </c>
    </row>
    <row r="6" ht="12.75" customHeight="1">
      <c r="A6" s="31">
        <v>127.0</v>
      </c>
      <c r="B6" s="32" t="s">
        <v>48089</v>
      </c>
      <c r="C6" s="33">
        <v>60.0</v>
      </c>
      <c r="D6" s="32" t="s">
        <v>48090</v>
      </c>
      <c r="E6" s="32" t="s">
        <v>48091</v>
      </c>
      <c r="F6" s="31">
        <v>244.0</v>
      </c>
      <c r="G6" s="34">
        <v>6.0272449E7</v>
      </c>
    </row>
    <row r="7" ht="12.75" customHeight="1">
      <c r="A7" s="27">
        <v>127.0</v>
      </c>
      <c r="B7" s="28" t="s">
        <v>48092</v>
      </c>
      <c r="C7" s="29">
        <v>60.0</v>
      </c>
      <c r="D7" s="28" t="s">
        <v>48093</v>
      </c>
      <c r="E7" s="28" t="s">
        <v>48094</v>
      </c>
      <c r="F7" s="27">
        <v>253.0</v>
      </c>
      <c r="G7" s="30">
        <v>6.0272531E7</v>
      </c>
    </row>
    <row r="8" ht="12.75" customHeight="1">
      <c r="A8" s="31">
        <v>127.0</v>
      </c>
      <c r="B8" s="32" t="s">
        <v>48095</v>
      </c>
      <c r="C8" s="33">
        <v>60.0</v>
      </c>
      <c r="D8" s="32" t="s">
        <v>48096</v>
      </c>
      <c r="E8" s="32" t="s">
        <v>48097</v>
      </c>
      <c r="F8" s="31">
        <v>254.0</v>
      </c>
      <c r="G8" s="34">
        <v>6.0272544E7</v>
      </c>
    </row>
    <row r="9" ht="12.75" customHeight="1">
      <c r="A9" s="27">
        <v>127.0</v>
      </c>
      <c r="B9" s="28" t="s">
        <v>48098</v>
      </c>
      <c r="C9" s="29">
        <v>60.0</v>
      </c>
      <c r="D9" s="28" t="s">
        <v>48099</v>
      </c>
      <c r="E9" s="28" t="s">
        <v>48100</v>
      </c>
      <c r="F9" s="27">
        <v>268.0</v>
      </c>
      <c r="G9" s="30">
        <v>6.0272681E7</v>
      </c>
    </row>
    <row r="10" ht="12.75" customHeight="1">
      <c r="A10" s="31">
        <v>127.0</v>
      </c>
      <c r="B10" s="32" t="s">
        <v>48101</v>
      </c>
      <c r="C10" s="33">
        <v>60.0</v>
      </c>
      <c r="D10" s="32" t="s">
        <v>48102</v>
      </c>
      <c r="E10" s="32" t="s">
        <v>48103</v>
      </c>
      <c r="F10" s="31">
        <v>280.0</v>
      </c>
      <c r="G10" s="34">
        <v>6.0272807E7</v>
      </c>
    </row>
    <row r="11" ht="12.75" customHeight="1">
      <c r="A11" s="27">
        <v>127.0</v>
      </c>
      <c r="B11" s="28" t="s">
        <v>48104</v>
      </c>
      <c r="C11" s="29">
        <v>60.0</v>
      </c>
      <c r="D11" s="28" t="s">
        <v>48105</v>
      </c>
      <c r="E11" s="28" t="s">
        <v>48106</v>
      </c>
      <c r="F11" s="27">
        <v>298.0</v>
      </c>
      <c r="G11" s="30">
        <v>6.0272986E7</v>
      </c>
    </row>
    <row r="12" ht="12.75" customHeight="1">
      <c r="A12" s="31">
        <v>127.0</v>
      </c>
      <c r="B12" s="32" t="s">
        <v>48107</v>
      </c>
      <c r="C12" s="33">
        <v>60.0</v>
      </c>
      <c r="D12" s="32" t="s">
        <v>48108</v>
      </c>
      <c r="E12" s="32" t="s">
        <v>48109</v>
      </c>
      <c r="F12" s="31">
        <v>323.0</v>
      </c>
      <c r="G12" s="34">
        <v>6.0273235E7</v>
      </c>
    </row>
    <row r="13" ht="12.75" customHeight="1">
      <c r="A13" s="27">
        <v>127.0</v>
      </c>
      <c r="B13" s="28" t="s">
        <v>48110</v>
      </c>
      <c r="C13" s="29">
        <v>60.0</v>
      </c>
      <c r="D13" s="28" t="s">
        <v>48111</v>
      </c>
      <c r="E13" s="28" t="s">
        <v>48112</v>
      </c>
      <c r="F13" s="27">
        <v>364.0</v>
      </c>
      <c r="G13" s="30">
        <v>6.0273648E7</v>
      </c>
    </row>
    <row r="14" ht="12.75" customHeight="1">
      <c r="A14" s="31">
        <v>127.0</v>
      </c>
      <c r="B14" s="32" t="s">
        <v>48113</v>
      </c>
      <c r="C14" s="33">
        <v>60.0</v>
      </c>
      <c r="D14" s="32" t="s">
        <v>48114</v>
      </c>
      <c r="E14" s="32" t="s">
        <v>48115</v>
      </c>
      <c r="F14" s="31">
        <v>406.0</v>
      </c>
      <c r="G14" s="34">
        <v>6.0274063E7</v>
      </c>
    </row>
    <row r="15" ht="12.75" customHeight="1">
      <c r="A15" s="27">
        <v>127.0</v>
      </c>
      <c r="B15" s="28" t="s">
        <v>48116</v>
      </c>
      <c r="C15" s="29">
        <v>60.0</v>
      </c>
      <c r="D15" s="28" t="s">
        <v>48117</v>
      </c>
      <c r="E15" s="28" t="s">
        <v>48118</v>
      </c>
      <c r="F15" s="27">
        <v>418.0</v>
      </c>
      <c r="G15" s="30">
        <v>6.0274184E7</v>
      </c>
    </row>
    <row r="16" ht="12.75" customHeight="1">
      <c r="A16" s="31">
        <v>127.0</v>
      </c>
      <c r="B16" s="32" t="s">
        <v>48119</v>
      </c>
      <c r="C16" s="33">
        <v>60.0</v>
      </c>
      <c r="D16" s="32" t="s">
        <v>48120</v>
      </c>
      <c r="E16" s="32" t="s">
        <v>48121</v>
      </c>
      <c r="F16" s="31">
        <v>424.0</v>
      </c>
      <c r="G16" s="34">
        <v>6.0274247E7</v>
      </c>
    </row>
    <row r="17" ht="12.75" customHeight="1">
      <c r="A17" s="27">
        <v>127.0</v>
      </c>
      <c r="B17" s="28" t="s">
        <v>48122</v>
      </c>
      <c r="C17" s="29">
        <v>60.0</v>
      </c>
      <c r="D17" s="28" t="s">
        <v>48123</v>
      </c>
      <c r="E17" s="28" t="s">
        <v>48124</v>
      </c>
      <c r="F17" s="27">
        <v>428.0</v>
      </c>
      <c r="G17" s="30">
        <v>6.0274289E7</v>
      </c>
    </row>
    <row r="18" ht="12.75" customHeight="1">
      <c r="A18" s="31">
        <v>127.0</v>
      </c>
      <c r="B18" s="32" t="s">
        <v>48125</v>
      </c>
      <c r="C18" s="33">
        <v>60.0</v>
      </c>
      <c r="D18" s="32" t="s">
        <v>48126</v>
      </c>
      <c r="E18" s="32" t="s">
        <v>48127</v>
      </c>
      <c r="F18" s="31">
        <v>469.0</v>
      </c>
      <c r="G18" s="34">
        <v>6.0274692E7</v>
      </c>
    </row>
    <row r="19" ht="12.75" customHeight="1">
      <c r="A19" s="27">
        <v>127.0</v>
      </c>
      <c r="B19" s="28" t="s">
        <v>48128</v>
      </c>
      <c r="C19" s="29">
        <v>60.0</v>
      </c>
      <c r="D19" s="28" t="s">
        <v>48129</v>
      </c>
      <c r="E19" s="28" t="s">
        <v>48130</v>
      </c>
      <c r="F19" s="27">
        <v>472.0</v>
      </c>
      <c r="G19" s="30">
        <v>6.0274726E7</v>
      </c>
    </row>
    <row r="20" ht="12.75" customHeight="1">
      <c r="A20" s="31">
        <v>127.0</v>
      </c>
      <c r="B20" s="32" t="s">
        <v>48131</v>
      </c>
      <c r="C20" s="33">
        <v>60.0</v>
      </c>
      <c r="D20" s="32" t="s">
        <v>48132</v>
      </c>
      <c r="E20" s="32" t="s">
        <v>48133</v>
      </c>
      <c r="F20" s="31">
        <v>574.0</v>
      </c>
      <c r="G20" s="34">
        <v>6.0275741E7</v>
      </c>
    </row>
    <row r="21" ht="12.75" customHeight="1">
      <c r="A21" s="27">
        <v>127.0</v>
      </c>
      <c r="B21" s="28" t="s">
        <v>48134</v>
      </c>
      <c r="C21" s="29">
        <v>60.0</v>
      </c>
      <c r="D21" s="28" t="s">
        <v>48135</v>
      </c>
      <c r="E21" s="28" t="s">
        <v>48136</v>
      </c>
      <c r="F21" s="27">
        <v>607.0</v>
      </c>
      <c r="G21" s="30">
        <v>6.0276074E7</v>
      </c>
    </row>
    <row r="22" ht="12.75" customHeight="1">
      <c r="A22" s="31">
        <v>127.0</v>
      </c>
      <c r="B22" s="32" t="s">
        <v>48137</v>
      </c>
      <c r="C22" s="33">
        <v>60.0</v>
      </c>
      <c r="D22" s="32" t="s">
        <v>48138</v>
      </c>
      <c r="E22" s="32" t="s">
        <v>48139</v>
      </c>
      <c r="F22" s="31">
        <v>628.0</v>
      </c>
      <c r="G22" s="34">
        <v>6.0276287E7</v>
      </c>
    </row>
    <row r="23" ht="12.75" customHeight="1">
      <c r="A23" s="27">
        <v>127.0</v>
      </c>
      <c r="B23" s="28" t="s">
        <v>48140</v>
      </c>
      <c r="C23" s="29">
        <v>60.0</v>
      </c>
      <c r="D23" s="28" t="s">
        <v>48141</v>
      </c>
      <c r="E23" s="28" t="s">
        <v>48142</v>
      </c>
      <c r="F23" s="27">
        <v>653.0</v>
      </c>
      <c r="G23" s="30">
        <v>6.0276537E7</v>
      </c>
    </row>
    <row r="24" ht="12.75" customHeight="1">
      <c r="A24" s="31">
        <v>127.0</v>
      </c>
      <c r="B24" s="32" t="s">
        <v>48143</v>
      </c>
      <c r="C24" s="33">
        <v>60.0</v>
      </c>
      <c r="D24" s="32" t="s">
        <v>48144</v>
      </c>
      <c r="E24" s="32" t="s">
        <v>48145</v>
      </c>
      <c r="F24" s="31">
        <v>709.0</v>
      </c>
      <c r="G24" s="34">
        <v>6.0277099E7</v>
      </c>
    </row>
    <row r="25" ht="12.75" customHeight="1">
      <c r="A25" s="27">
        <v>728.0</v>
      </c>
      <c r="B25" s="28" t="s">
        <v>48146</v>
      </c>
      <c r="C25" s="29">
        <v>60.0</v>
      </c>
      <c r="D25" s="28" t="s">
        <v>48147</v>
      </c>
      <c r="E25" s="28" t="s">
        <v>48148</v>
      </c>
      <c r="F25" s="29">
        <v>67.0</v>
      </c>
      <c r="G25" s="30">
        <v>6.0280673E7</v>
      </c>
    </row>
    <row r="26" ht="12.75" customHeight="1">
      <c r="A26" s="31">
        <v>329.0</v>
      </c>
      <c r="B26" s="32" t="s">
        <v>48149</v>
      </c>
      <c r="C26" s="33">
        <v>60.0</v>
      </c>
      <c r="D26" s="32" t="s">
        <v>48150</v>
      </c>
      <c r="E26" s="32" t="s">
        <v>48151</v>
      </c>
      <c r="F26" s="33">
        <v>28.0</v>
      </c>
      <c r="G26" s="34">
        <v>6.0290289E7</v>
      </c>
    </row>
    <row r="27" ht="12.75" customHeight="1">
      <c r="A27" s="27">
        <v>329.0</v>
      </c>
      <c r="B27" s="28" t="s">
        <v>48152</v>
      </c>
      <c r="C27" s="29">
        <v>60.0</v>
      </c>
      <c r="D27" s="28" t="s">
        <v>48153</v>
      </c>
      <c r="E27" s="28" t="s">
        <v>48154</v>
      </c>
      <c r="F27" s="29">
        <v>52.0</v>
      </c>
      <c r="G27" s="30">
        <v>6.0290526E7</v>
      </c>
    </row>
    <row r="28" ht="12.75" customHeight="1">
      <c r="A28" s="31">
        <v>230.0</v>
      </c>
      <c r="B28" s="32" t="s">
        <v>48155</v>
      </c>
      <c r="C28" s="33">
        <v>60.0</v>
      </c>
      <c r="D28" s="32" t="s">
        <v>48156</v>
      </c>
      <c r="E28" s="32" t="s">
        <v>48157</v>
      </c>
      <c r="F28" s="33">
        <v>52.0</v>
      </c>
      <c r="G28" s="34">
        <v>6.0300524E7</v>
      </c>
    </row>
    <row r="29" ht="12.75" customHeight="1">
      <c r="A29" s="27">
        <v>230.0</v>
      </c>
      <c r="B29" s="28" t="s">
        <v>48158</v>
      </c>
      <c r="C29" s="29">
        <v>60.0</v>
      </c>
      <c r="D29" s="28" t="s">
        <v>48159</v>
      </c>
      <c r="E29" s="28" t="s">
        <v>48160</v>
      </c>
      <c r="F29" s="27">
        <v>148.0</v>
      </c>
      <c r="G29" s="30">
        <v>6.0301486E7</v>
      </c>
    </row>
    <row r="30" ht="12.75" customHeight="1">
      <c r="A30" s="31">
        <v>632.0</v>
      </c>
      <c r="B30" s="32" t="s">
        <v>48161</v>
      </c>
      <c r="C30" s="33">
        <v>60.0</v>
      </c>
      <c r="D30" s="32" t="s">
        <v>48162</v>
      </c>
      <c r="E30" s="32" t="s">
        <v>48163</v>
      </c>
      <c r="F30" s="33">
        <v>58.0</v>
      </c>
      <c r="G30" s="34">
        <v>6.0320588E7</v>
      </c>
    </row>
    <row r="31" ht="12.75" customHeight="1">
      <c r="A31" s="27">
        <v>133.0</v>
      </c>
      <c r="B31" s="28" t="s">
        <v>48164</v>
      </c>
      <c r="C31" s="29">
        <v>60.0</v>
      </c>
      <c r="D31" s="28" t="s">
        <v>48165</v>
      </c>
      <c r="E31" s="28" t="s">
        <v>48166</v>
      </c>
      <c r="F31" s="29">
        <v>22.0</v>
      </c>
      <c r="G31" s="30">
        <v>6.0330228E7</v>
      </c>
    </row>
    <row r="32" ht="12.75" customHeight="1">
      <c r="A32" s="31">
        <v>133.0</v>
      </c>
      <c r="B32" s="32" t="s">
        <v>48167</v>
      </c>
      <c r="C32" s="33">
        <v>60.0</v>
      </c>
      <c r="D32" s="32" t="s">
        <v>48168</v>
      </c>
      <c r="E32" s="32" t="s">
        <v>48169</v>
      </c>
      <c r="F32" s="33">
        <v>52.0</v>
      </c>
      <c r="G32" s="34">
        <v>6.0330523E7</v>
      </c>
    </row>
    <row r="33" ht="12.75" customHeight="1">
      <c r="A33" s="27">
        <v>133.0</v>
      </c>
      <c r="B33" s="28" t="s">
        <v>48170</v>
      </c>
      <c r="C33" s="29">
        <v>60.0</v>
      </c>
      <c r="D33" s="28" t="s">
        <v>48171</v>
      </c>
      <c r="E33" s="28" t="s">
        <v>48172</v>
      </c>
      <c r="F33" s="29">
        <v>73.0</v>
      </c>
      <c r="G33" s="30">
        <v>6.0330736E7</v>
      </c>
    </row>
    <row r="34" ht="12.75" customHeight="1">
      <c r="A34" s="31">
        <v>133.0</v>
      </c>
      <c r="B34" s="32" t="s">
        <v>48173</v>
      </c>
      <c r="C34" s="33">
        <v>60.0</v>
      </c>
      <c r="D34" s="32" t="s">
        <v>48174</v>
      </c>
      <c r="E34" s="32" t="s">
        <v>48175</v>
      </c>
      <c r="F34" s="33">
        <v>88.0</v>
      </c>
      <c r="G34" s="34">
        <v>6.0330886E7</v>
      </c>
    </row>
    <row r="35" ht="12.75" customHeight="1">
      <c r="A35" s="27">
        <v>133.0</v>
      </c>
      <c r="B35" s="28" t="s">
        <v>48176</v>
      </c>
      <c r="C35" s="29">
        <v>60.0</v>
      </c>
      <c r="D35" s="28" t="s">
        <v>48177</v>
      </c>
      <c r="E35" s="28" t="s">
        <v>48178</v>
      </c>
      <c r="F35" s="29">
        <v>95.0</v>
      </c>
      <c r="G35" s="30">
        <v>6.0330952E7</v>
      </c>
    </row>
    <row r="36" ht="12.75" customHeight="1">
      <c r="A36" s="31">
        <v>133.0</v>
      </c>
      <c r="B36" s="32" t="s">
        <v>48179</v>
      </c>
      <c r="C36" s="33">
        <v>60.0</v>
      </c>
      <c r="D36" s="32" t="s">
        <v>48180</v>
      </c>
      <c r="E36" s="32" t="s">
        <v>48181</v>
      </c>
      <c r="F36" s="31">
        <v>100.0</v>
      </c>
      <c r="G36" s="34">
        <v>6.0331001E7</v>
      </c>
    </row>
    <row r="37" ht="12.75" customHeight="1">
      <c r="A37" s="27">
        <v>133.0</v>
      </c>
      <c r="B37" s="28" t="s">
        <v>48182</v>
      </c>
      <c r="C37" s="29">
        <v>60.0</v>
      </c>
      <c r="D37" s="28" t="s">
        <v>48183</v>
      </c>
      <c r="E37" s="28" t="s">
        <v>48184</v>
      </c>
      <c r="F37" s="27">
        <v>163.0</v>
      </c>
      <c r="G37" s="30">
        <v>6.033163E7</v>
      </c>
    </row>
    <row r="38" ht="12.75" customHeight="1">
      <c r="A38" s="31">
        <v>435.0</v>
      </c>
      <c r="B38" s="32" t="s">
        <v>48185</v>
      </c>
      <c r="C38" s="33">
        <v>60.0</v>
      </c>
      <c r="D38" s="32" t="s">
        <v>48186</v>
      </c>
      <c r="E38" s="32" t="s">
        <v>48187</v>
      </c>
      <c r="F38" s="33">
        <v>37.0</v>
      </c>
      <c r="G38" s="34">
        <v>6.0350374E7</v>
      </c>
    </row>
    <row r="39" ht="12.75" customHeight="1">
      <c r="A39" s="27">
        <v>836.0</v>
      </c>
      <c r="B39" s="28" t="s">
        <v>48188</v>
      </c>
      <c r="C39" s="29">
        <v>60.0</v>
      </c>
      <c r="D39" s="28" t="s">
        <v>48189</v>
      </c>
      <c r="E39" s="28" t="s">
        <v>48190</v>
      </c>
      <c r="F39" s="29">
        <v>16.0</v>
      </c>
      <c r="G39" s="30">
        <v>6.0360164E7</v>
      </c>
    </row>
    <row r="40" ht="12.75" customHeight="1">
      <c r="A40" s="31">
        <v>836.0</v>
      </c>
      <c r="B40" s="32" t="s">
        <v>48191</v>
      </c>
      <c r="C40" s="33">
        <v>60.0</v>
      </c>
      <c r="D40" s="32" t="s">
        <v>48192</v>
      </c>
      <c r="E40" s="32" t="s">
        <v>48193</v>
      </c>
      <c r="F40" s="33">
        <v>61.0</v>
      </c>
      <c r="G40" s="34">
        <v>6.0360614E7</v>
      </c>
    </row>
    <row r="41" ht="12.75" customHeight="1">
      <c r="A41" s="27">
        <v>836.0</v>
      </c>
      <c r="B41" s="28" t="s">
        <v>48194</v>
      </c>
      <c r="C41" s="29">
        <v>60.0</v>
      </c>
      <c r="D41" s="28" t="s">
        <v>48195</v>
      </c>
      <c r="E41" s="28" t="s">
        <v>48196</v>
      </c>
      <c r="F41" s="27">
        <v>109.0</v>
      </c>
      <c r="G41" s="30">
        <v>6.0361097E7</v>
      </c>
    </row>
    <row r="42" ht="12.75" customHeight="1">
      <c r="A42" s="31">
        <v>638.0</v>
      </c>
      <c r="B42" s="32" t="s">
        <v>48197</v>
      </c>
      <c r="C42" s="33">
        <v>60.0</v>
      </c>
      <c r="D42" s="32" t="s">
        <v>48198</v>
      </c>
      <c r="E42" s="32" t="s">
        <v>48199</v>
      </c>
      <c r="F42" s="33">
        <v>40.0</v>
      </c>
      <c r="G42" s="34">
        <v>6.0380407E7</v>
      </c>
    </row>
    <row r="43" ht="12.75" customHeight="1">
      <c r="A43" s="27">
        <v>139.0</v>
      </c>
      <c r="B43" s="28" t="s">
        <v>48200</v>
      </c>
      <c r="C43" s="29">
        <v>60.0</v>
      </c>
      <c r="D43" s="28" t="s">
        <v>48201</v>
      </c>
      <c r="E43" s="28" t="s">
        <v>48202</v>
      </c>
      <c r="F43" s="29">
        <v>85.0</v>
      </c>
      <c r="G43" s="30">
        <v>6.0390855E7</v>
      </c>
    </row>
    <row r="44" ht="12.75" customHeight="1">
      <c r="A44" s="31">
        <v>441.0</v>
      </c>
      <c r="B44" s="32" t="s">
        <v>48203</v>
      </c>
      <c r="C44" s="33">
        <v>60.0</v>
      </c>
      <c r="D44" s="32" t="s">
        <v>48204</v>
      </c>
      <c r="E44" s="32" t="s">
        <v>48205</v>
      </c>
      <c r="F44" s="33">
        <v>29.0</v>
      </c>
      <c r="G44" s="34">
        <v>6.0410298E7</v>
      </c>
    </row>
    <row r="45" ht="12.75" customHeight="1">
      <c r="A45" s="27">
        <v>441.0</v>
      </c>
      <c r="B45" s="28" t="s">
        <v>48206</v>
      </c>
      <c r="C45" s="29">
        <v>60.0</v>
      </c>
      <c r="D45" s="28" t="s">
        <v>48207</v>
      </c>
      <c r="E45" s="28" t="s">
        <v>48208</v>
      </c>
      <c r="F45" s="29">
        <v>94.0</v>
      </c>
      <c r="G45" s="30">
        <v>6.0410948E7</v>
      </c>
    </row>
    <row r="46" ht="12.75" customHeight="1">
      <c r="A46" s="31">
        <v>441.0</v>
      </c>
      <c r="B46" s="32" t="s">
        <v>48209</v>
      </c>
      <c r="C46" s="33">
        <v>60.0</v>
      </c>
      <c r="D46" s="32" t="s">
        <v>48210</v>
      </c>
      <c r="E46" s="32" t="s">
        <v>48211</v>
      </c>
      <c r="F46" s="31">
        <v>163.0</v>
      </c>
      <c r="G46" s="34">
        <v>6.0411639E7</v>
      </c>
    </row>
    <row r="47" ht="12.75" customHeight="1">
      <c r="A47" s="27">
        <v>342.0</v>
      </c>
      <c r="B47" s="28" t="s">
        <v>48212</v>
      </c>
      <c r="C47" s="29">
        <v>60.0</v>
      </c>
      <c r="D47" s="28" t="s">
        <v>48213</v>
      </c>
      <c r="E47" s="28" t="s">
        <v>48214</v>
      </c>
      <c r="F47" s="29">
        <v>32.0</v>
      </c>
      <c r="G47" s="30">
        <v>6.0420325E7</v>
      </c>
    </row>
    <row r="48" ht="12.75" customHeight="1">
      <c r="A48" s="31">
        <v>444.0</v>
      </c>
      <c r="B48" s="32" t="s">
        <v>48215</v>
      </c>
      <c r="C48" s="33">
        <v>60.0</v>
      </c>
      <c r="D48" s="32" t="s">
        <v>48216</v>
      </c>
      <c r="E48" s="32" t="s">
        <v>48217</v>
      </c>
      <c r="F48" s="33">
        <v>64.0</v>
      </c>
      <c r="G48" s="34">
        <v>6.0440642E7</v>
      </c>
    </row>
    <row r="49" ht="12.75" customHeight="1">
      <c r="A49" s="27">
        <v>447.0</v>
      </c>
      <c r="B49" s="28" t="s">
        <v>48218</v>
      </c>
      <c r="C49" s="29">
        <v>60.0</v>
      </c>
      <c r="D49" s="28" t="s">
        <v>48219</v>
      </c>
      <c r="E49" s="28" t="s">
        <v>48220</v>
      </c>
      <c r="F49" s="29">
        <v>37.0</v>
      </c>
      <c r="G49" s="30">
        <v>6.0470375E7</v>
      </c>
    </row>
    <row r="50" ht="12.75" customHeight="1">
      <c r="A50" s="31">
        <v>447.0</v>
      </c>
      <c r="B50" s="32" t="s">
        <v>48221</v>
      </c>
      <c r="C50" s="33">
        <v>60.0</v>
      </c>
      <c r="D50" s="32" t="s">
        <v>48222</v>
      </c>
      <c r="E50" s="32" t="s">
        <v>48223</v>
      </c>
      <c r="F50" s="33">
        <v>70.0</v>
      </c>
      <c r="G50" s="34">
        <v>6.0470704E7</v>
      </c>
    </row>
    <row r="51" ht="12.75" customHeight="1">
      <c r="A51" s="27">
        <v>447.0</v>
      </c>
      <c r="B51" s="28" t="s">
        <v>48224</v>
      </c>
      <c r="C51" s="29">
        <v>60.0</v>
      </c>
      <c r="D51" s="28" t="s">
        <v>48225</v>
      </c>
      <c r="E51" s="28" t="s">
        <v>48226</v>
      </c>
      <c r="F51" s="27">
        <v>154.0</v>
      </c>
      <c r="G51" s="30">
        <v>6.0471545E7</v>
      </c>
    </row>
    <row r="52" ht="12.75" customHeight="1">
      <c r="A52" s="31">
        <v>148.0</v>
      </c>
      <c r="B52" s="32" t="s">
        <v>48227</v>
      </c>
      <c r="C52" s="33">
        <v>60.0</v>
      </c>
      <c r="D52" s="32" t="s">
        <v>48228</v>
      </c>
      <c r="E52" s="32" t="s">
        <v>48229</v>
      </c>
      <c r="F52" s="33">
        <v>19.0</v>
      </c>
      <c r="G52" s="34">
        <v>6.0480194E7</v>
      </c>
    </row>
    <row r="53" ht="12.75" customHeight="1">
      <c r="A53" s="27">
        <v>148.0</v>
      </c>
      <c r="B53" s="28" t="s">
        <v>48230</v>
      </c>
      <c r="C53" s="29">
        <v>60.0</v>
      </c>
      <c r="D53" s="28" t="s">
        <v>48231</v>
      </c>
      <c r="E53" s="28" t="s">
        <v>48232</v>
      </c>
      <c r="F53" s="29">
        <v>67.0</v>
      </c>
      <c r="G53" s="30">
        <v>6.0480673E7</v>
      </c>
    </row>
    <row r="54" ht="12.75" customHeight="1">
      <c r="A54" s="31">
        <v>450.0</v>
      </c>
      <c r="B54" s="32" t="s">
        <v>48233</v>
      </c>
      <c r="C54" s="33">
        <v>60.0</v>
      </c>
      <c r="D54" s="32" t="s">
        <v>48234</v>
      </c>
      <c r="E54" s="32" t="s">
        <v>48235</v>
      </c>
      <c r="F54" s="33">
        <v>28.0</v>
      </c>
      <c r="G54" s="34">
        <v>6.0500287E7</v>
      </c>
    </row>
    <row r="55" ht="12.75" customHeight="1">
      <c r="A55" s="27">
        <v>450.0</v>
      </c>
      <c r="B55" s="28" t="s">
        <v>48236</v>
      </c>
      <c r="C55" s="29">
        <v>60.0</v>
      </c>
      <c r="D55" s="28" t="s">
        <v>48237</v>
      </c>
      <c r="E55" s="28" t="s">
        <v>48238</v>
      </c>
      <c r="F55" s="29">
        <v>94.0</v>
      </c>
      <c r="G55" s="30">
        <v>6.050094E7</v>
      </c>
    </row>
    <row r="56" ht="12.75" customHeight="1">
      <c r="A56" s="31">
        <v>450.0</v>
      </c>
      <c r="B56" s="32" t="s">
        <v>48239</v>
      </c>
      <c r="C56" s="33">
        <v>60.0</v>
      </c>
      <c r="D56" s="32" t="s">
        <v>48240</v>
      </c>
      <c r="E56" s="32" t="s">
        <v>48241</v>
      </c>
      <c r="F56" s="31">
        <v>136.0</v>
      </c>
      <c r="G56" s="34">
        <v>6.0501365E7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251.0</v>
      </c>
      <c r="B1" s="28" t="s">
        <v>48242</v>
      </c>
      <c r="C1" s="29">
        <v>60.0</v>
      </c>
      <c r="D1" s="28" t="s">
        <v>48243</v>
      </c>
      <c r="E1" s="28" t="s">
        <v>48244</v>
      </c>
      <c r="F1" s="29">
        <v>73.0</v>
      </c>
      <c r="G1" s="30">
        <v>6.051073E7</v>
      </c>
    </row>
    <row r="2" ht="12.75" customHeight="1">
      <c r="A2" s="31">
        <v>251.0</v>
      </c>
      <c r="B2" s="32" t="s">
        <v>48245</v>
      </c>
      <c r="C2" s="33">
        <v>60.0</v>
      </c>
      <c r="D2" s="32" t="s">
        <v>48246</v>
      </c>
      <c r="E2" s="32" t="s">
        <v>48247</v>
      </c>
      <c r="F2" s="33">
        <v>97.0</v>
      </c>
      <c r="G2" s="34">
        <v>6.0510972E7</v>
      </c>
    </row>
    <row r="3" ht="12.75" customHeight="1">
      <c r="A3" s="27">
        <v>354.0</v>
      </c>
      <c r="B3" s="28" t="s">
        <v>48248</v>
      </c>
      <c r="C3" s="29">
        <v>60.0</v>
      </c>
      <c r="D3" s="28" t="s">
        <v>48249</v>
      </c>
      <c r="E3" s="28" t="s">
        <v>48250</v>
      </c>
      <c r="F3" s="29">
        <v>40.0</v>
      </c>
      <c r="G3" s="30">
        <v>6.0540405E7</v>
      </c>
    </row>
    <row r="4" ht="12.75" customHeight="1">
      <c r="A4" s="31">
        <v>354.0</v>
      </c>
      <c r="B4" s="32" t="s">
        <v>48251</v>
      </c>
      <c r="C4" s="33">
        <v>60.0</v>
      </c>
      <c r="D4" s="32" t="s">
        <v>48252</v>
      </c>
      <c r="E4" s="32" t="s">
        <v>48253</v>
      </c>
      <c r="F4" s="33">
        <v>70.0</v>
      </c>
      <c r="G4" s="34">
        <v>6.05407E7</v>
      </c>
    </row>
    <row r="5" ht="12.75" customHeight="1">
      <c r="A5" s="27">
        <v>455.0</v>
      </c>
      <c r="B5" s="28" t="s">
        <v>48254</v>
      </c>
      <c r="C5" s="29">
        <v>60.0</v>
      </c>
      <c r="D5" s="28" t="s">
        <v>48255</v>
      </c>
      <c r="E5" s="28" t="s">
        <v>48256</v>
      </c>
      <c r="F5" s="29">
        <v>56.0</v>
      </c>
      <c r="G5" s="30">
        <v>6.0550561E7</v>
      </c>
    </row>
    <row r="6" ht="12.75" customHeight="1">
      <c r="A6" s="31">
        <v>156.0</v>
      </c>
      <c r="B6" s="32" t="s">
        <v>48257</v>
      </c>
      <c r="C6" s="33">
        <v>60.0</v>
      </c>
      <c r="D6" s="32" t="s">
        <v>48258</v>
      </c>
      <c r="E6" s="32" t="s">
        <v>48259</v>
      </c>
      <c r="F6" s="33">
        <v>61.0</v>
      </c>
      <c r="G6" s="34">
        <v>6.0560614E7</v>
      </c>
    </row>
    <row r="7" ht="12.75" customHeight="1">
      <c r="A7" s="27">
        <v>275.0</v>
      </c>
      <c r="B7" s="28" t="s">
        <v>48260</v>
      </c>
      <c r="C7" s="29">
        <v>60.0</v>
      </c>
      <c r="D7" s="28" t="s">
        <v>48261</v>
      </c>
      <c r="E7" s="28" t="s">
        <v>48262</v>
      </c>
      <c r="F7" s="27">
        <v>157.0</v>
      </c>
      <c r="G7" s="30">
        <v>6.0571579E7</v>
      </c>
    </row>
    <row r="8" ht="12.75" customHeight="1">
      <c r="A8" s="31">
        <v>858.0</v>
      </c>
      <c r="B8" s="32" t="s">
        <v>48263</v>
      </c>
      <c r="C8" s="33">
        <v>60.0</v>
      </c>
      <c r="D8" s="32" t="s">
        <v>48264</v>
      </c>
      <c r="E8" s="32" t="s">
        <v>48265</v>
      </c>
      <c r="F8" s="31">
        <v>118.0</v>
      </c>
      <c r="G8" s="34">
        <v>6.0581185E7</v>
      </c>
    </row>
    <row r="9" ht="12.75" customHeight="1">
      <c r="A9" s="27">
        <v>159.0</v>
      </c>
      <c r="B9" s="28" t="s">
        <v>48266</v>
      </c>
      <c r="C9" s="29">
        <v>60.0</v>
      </c>
      <c r="D9" s="28" t="s">
        <v>48267</v>
      </c>
      <c r="E9" s="28" t="s">
        <v>48268</v>
      </c>
      <c r="F9" s="27">
        <v>103.0</v>
      </c>
      <c r="G9" s="30">
        <v>6.0591038E7</v>
      </c>
    </row>
    <row r="10" ht="12.75" customHeight="1">
      <c r="A10" s="31">
        <v>159.0</v>
      </c>
      <c r="B10" s="32" t="s">
        <v>48269</v>
      </c>
      <c r="C10" s="33">
        <v>60.0</v>
      </c>
      <c r="D10" s="32" t="s">
        <v>48270</v>
      </c>
      <c r="E10" s="32" t="s">
        <v>48271</v>
      </c>
      <c r="F10" s="31">
        <v>142.0</v>
      </c>
      <c r="G10" s="34">
        <v>6.0591425E7</v>
      </c>
    </row>
    <row r="11" ht="12.75" customHeight="1">
      <c r="A11" s="27">
        <v>161.0</v>
      </c>
      <c r="B11" s="28" t="s">
        <v>48272</v>
      </c>
      <c r="C11" s="29">
        <v>60.0</v>
      </c>
      <c r="D11" s="28" t="s">
        <v>48273</v>
      </c>
      <c r="E11" s="28" t="s">
        <v>48274</v>
      </c>
      <c r="F11" s="27">
        <v>169.0</v>
      </c>
      <c r="G11" s="30">
        <v>6.0611697E7</v>
      </c>
    </row>
    <row r="12" ht="12.75" customHeight="1">
      <c r="A12" s="31">
        <v>161.0</v>
      </c>
      <c r="B12" s="32" t="s">
        <v>48275</v>
      </c>
      <c r="C12" s="33">
        <v>60.0</v>
      </c>
      <c r="D12" s="32" t="s">
        <v>48276</v>
      </c>
      <c r="E12" s="32" t="s">
        <v>48277</v>
      </c>
      <c r="F12" s="31">
        <v>175.0</v>
      </c>
      <c r="G12" s="34">
        <v>6.061175E7</v>
      </c>
    </row>
    <row r="13" ht="12.75" customHeight="1">
      <c r="A13" s="27">
        <v>564.0</v>
      </c>
      <c r="B13" s="28" t="s">
        <v>48278</v>
      </c>
      <c r="C13" s="29">
        <v>60.0</v>
      </c>
      <c r="D13" s="28" t="s">
        <v>48279</v>
      </c>
      <c r="E13" s="28" t="s">
        <v>48280</v>
      </c>
      <c r="F13" s="27">
        <v>109.0</v>
      </c>
      <c r="G13" s="30">
        <v>6.0641096E7</v>
      </c>
    </row>
    <row r="14" ht="12.75" customHeight="1">
      <c r="A14" s="31">
        <v>564.0</v>
      </c>
      <c r="B14" s="32" t="s">
        <v>48281</v>
      </c>
      <c r="C14" s="33">
        <v>60.0</v>
      </c>
      <c r="D14" s="32" t="s">
        <v>48282</v>
      </c>
      <c r="E14" s="32" t="s">
        <v>48283</v>
      </c>
      <c r="F14" s="31">
        <v>119.0</v>
      </c>
      <c r="G14" s="34">
        <v>6.0641191E7</v>
      </c>
    </row>
    <row r="15" ht="12.75" customHeight="1">
      <c r="A15" s="27">
        <v>167.0</v>
      </c>
      <c r="B15" s="28" t="s">
        <v>48284</v>
      </c>
      <c r="C15" s="29">
        <v>60.0</v>
      </c>
      <c r="D15" s="28" t="s">
        <v>48285</v>
      </c>
      <c r="E15" s="28" t="s">
        <v>48286</v>
      </c>
      <c r="F15" s="29">
        <v>5.0</v>
      </c>
      <c r="G15" s="30">
        <v>6.0670054E7</v>
      </c>
    </row>
    <row r="16" ht="12.75" customHeight="1">
      <c r="A16" s="31">
        <v>167.0</v>
      </c>
      <c r="B16" s="32" t="s">
        <v>48287</v>
      </c>
      <c r="C16" s="33">
        <v>60.0</v>
      </c>
      <c r="D16" s="32" t="s">
        <v>48288</v>
      </c>
      <c r="E16" s="32" t="s">
        <v>48289</v>
      </c>
      <c r="F16" s="33">
        <v>23.0</v>
      </c>
      <c r="G16" s="34">
        <v>6.0670238E7</v>
      </c>
    </row>
    <row r="17" ht="12.75" customHeight="1">
      <c r="A17" s="27">
        <v>167.0</v>
      </c>
      <c r="B17" s="28" t="s">
        <v>48290</v>
      </c>
      <c r="C17" s="29">
        <v>60.0</v>
      </c>
      <c r="D17" s="28" t="s">
        <v>48291</v>
      </c>
      <c r="E17" s="28" t="s">
        <v>48292</v>
      </c>
      <c r="F17" s="27">
        <v>118.0</v>
      </c>
      <c r="G17" s="30">
        <v>6.0671187E7</v>
      </c>
    </row>
    <row r="18" ht="12.75" customHeight="1">
      <c r="A18" s="31">
        <v>167.0</v>
      </c>
      <c r="B18" s="32" t="s">
        <v>48293</v>
      </c>
      <c r="C18" s="33">
        <v>60.0</v>
      </c>
      <c r="D18" s="32" t="s">
        <v>48294</v>
      </c>
      <c r="E18" s="32" t="s">
        <v>48295</v>
      </c>
      <c r="F18" s="31">
        <v>160.0</v>
      </c>
      <c r="G18" s="34">
        <v>6.0671608E7</v>
      </c>
    </row>
    <row r="19" ht="12.75" customHeight="1">
      <c r="A19" s="27">
        <v>167.0</v>
      </c>
      <c r="B19" s="28" t="s">
        <v>48296</v>
      </c>
      <c r="C19" s="29">
        <v>60.0</v>
      </c>
      <c r="D19" s="28" t="s">
        <v>48297</v>
      </c>
      <c r="E19" s="28" t="s">
        <v>48298</v>
      </c>
      <c r="F19" s="27">
        <v>169.0</v>
      </c>
      <c r="G19" s="30">
        <v>6.0671695E7</v>
      </c>
    </row>
    <row r="20" ht="12.75" customHeight="1">
      <c r="A20" s="31">
        <v>167.0</v>
      </c>
      <c r="B20" s="32" t="s">
        <v>48299</v>
      </c>
      <c r="C20" s="33">
        <v>60.0</v>
      </c>
      <c r="D20" s="32" t="s">
        <v>48300</v>
      </c>
      <c r="E20" s="32" t="s">
        <v>48301</v>
      </c>
      <c r="F20" s="31">
        <v>545.0</v>
      </c>
      <c r="G20" s="34">
        <v>6.0675459E7</v>
      </c>
    </row>
    <row r="21" ht="12.75" customHeight="1">
      <c r="A21" s="27">
        <v>168.0</v>
      </c>
      <c r="B21" s="28" t="s">
        <v>48302</v>
      </c>
      <c r="C21" s="29">
        <v>60.0</v>
      </c>
      <c r="D21" s="28" t="s">
        <v>48303</v>
      </c>
      <c r="E21" s="28" t="s">
        <v>48304</v>
      </c>
      <c r="F21" s="29">
        <v>49.0</v>
      </c>
      <c r="G21" s="30">
        <v>6.0680499E7</v>
      </c>
    </row>
    <row r="22" ht="12.75" customHeight="1">
      <c r="A22" s="31">
        <v>168.0</v>
      </c>
      <c r="B22" s="32" t="s">
        <v>48305</v>
      </c>
      <c r="C22" s="33">
        <v>60.0</v>
      </c>
      <c r="D22" s="32" t="s">
        <v>48306</v>
      </c>
      <c r="E22" s="32" t="s">
        <v>48307</v>
      </c>
      <c r="F22" s="33">
        <v>67.0</v>
      </c>
      <c r="G22" s="34">
        <v>6.0680673E7</v>
      </c>
    </row>
    <row r="23" ht="12.75" customHeight="1">
      <c r="A23" s="27">
        <v>168.0</v>
      </c>
      <c r="B23" s="28" t="s">
        <v>48308</v>
      </c>
      <c r="C23" s="29">
        <v>60.0</v>
      </c>
      <c r="D23" s="28" t="s">
        <v>48309</v>
      </c>
      <c r="E23" s="28" t="s">
        <v>48310</v>
      </c>
      <c r="F23" s="29">
        <v>73.0</v>
      </c>
      <c r="G23" s="30">
        <v>6.0680736E7</v>
      </c>
    </row>
    <row r="24" ht="12.75" customHeight="1">
      <c r="A24" s="31">
        <v>168.0</v>
      </c>
      <c r="B24" s="32" t="s">
        <v>48311</v>
      </c>
      <c r="C24" s="33">
        <v>60.0</v>
      </c>
      <c r="D24" s="32" t="s">
        <v>48312</v>
      </c>
      <c r="E24" s="32" t="s">
        <v>48313</v>
      </c>
      <c r="F24" s="33">
        <v>85.0</v>
      </c>
      <c r="G24" s="34">
        <v>6.0680857E7</v>
      </c>
    </row>
    <row r="25" ht="12.75" customHeight="1">
      <c r="A25" s="27">
        <v>569.0</v>
      </c>
      <c r="B25" s="28" t="s">
        <v>48314</v>
      </c>
      <c r="C25" s="29">
        <v>60.0</v>
      </c>
      <c r="D25" s="28" t="s">
        <v>48315</v>
      </c>
      <c r="E25" s="28" t="s">
        <v>48316</v>
      </c>
      <c r="F25" s="27">
        <v>109.0</v>
      </c>
      <c r="G25" s="30">
        <v>6.0691091E7</v>
      </c>
    </row>
    <row r="26" ht="12.75" customHeight="1">
      <c r="A26" s="31">
        <v>570.0</v>
      </c>
      <c r="B26" s="32" t="s">
        <v>48317</v>
      </c>
      <c r="C26" s="33">
        <v>60.0</v>
      </c>
      <c r="D26" s="32" t="s">
        <v>48318</v>
      </c>
      <c r="E26" s="32" t="s">
        <v>48319</v>
      </c>
      <c r="F26" s="33">
        <v>26.0</v>
      </c>
      <c r="G26" s="34">
        <v>6.0700261E7</v>
      </c>
    </row>
    <row r="27" ht="12.75" customHeight="1">
      <c r="A27" s="27">
        <v>172.0</v>
      </c>
      <c r="B27" s="28" t="s">
        <v>48320</v>
      </c>
      <c r="C27" s="29">
        <v>60.0</v>
      </c>
      <c r="D27" s="28" t="s">
        <v>48321</v>
      </c>
      <c r="E27" s="28" t="s">
        <v>48322</v>
      </c>
      <c r="F27" s="29">
        <v>74.0</v>
      </c>
      <c r="G27" s="30">
        <v>6.0720746E7</v>
      </c>
    </row>
    <row r="28" ht="12.75" customHeight="1">
      <c r="A28" s="31">
        <v>773.0</v>
      </c>
      <c r="B28" s="32" t="s">
        <v>48323</v>
      </c>
      <c r="C28" s="33">
        <v>60.0</v>
      </c>
      <c r="D28" s="32" t="s">
        <v>48324</v>
      </c>
      <c r="E28" s="32" t="s">
        <v>48325</v>
      </c>
      <c r="F28" s="33">
        <v>73.0</v>
      </c>
      <c r="G28" s="34">
        <v>6.0730736E7</v>
      </c>
    </row>
    <row r="29" ht="12.75" customHeight="1">
      <c r="A29" s="27">
        <v>773.0</v>
      </c>
      <c r="B29" s="28" t="s">
        <v>48326</v>
      </c>
      <c r="C29" s="29">
        <v>60.0</v>
      </c>
      <c r="D29" s="28" t="s">
        <v>48327</v>
      </c>
      <c r="E29" s="28" t="s">
        <v>48328</v>
      </c>
      <c r="F29" s="29">
        <v>79.0</v>
      </c>
      <c r="G29" s="30">
        <v>6.0730794E7</v>
      </c>
    </row>
    <row r="30" ht="12.75" customHeight="1">
      <c r="A30" s="31">
        <v>275.0</v>
      </c>
      <c r="B30" s="32" t="s">
        <v>48329</v>
      </c>
      <c r="C30" s="33">
        <v>60.0</v>
      </c>
      <c r="D30" s="32" t="s">
        <v>48330</v>
      </c>
      <c r="E30" s="32" t="s">
        <v>48331</v>
      </c>
      <c r="F30" s="33">
        <v>15.0</v>
      </c>
      <c r="G30" s="34">
        <v>6.0750158E7</v>
      </c>
    </row>
    <row r="31" ht="12.75" customHeight="1">
      <c r="A31" s="27">
        <v>275.0</v>
      </c>
      <c r="B31" s="28" t="s">
        <v>48332</v>
      </c>
      <c r="C31" s="29">
        <v>60.0</v>
      </c>
      <c r="D31" s="28" t="s">
        <v>48333</v>
      </c>
      <c r="E31" s="28" t="s">
        <v>48334</v>
      </c>
      <c r="F31" s="29">
        <v>67.0</v>
      </c>
      <c r="G31" s="30">
        <v>6.0750679E7</v>
      </c>
    </row>
    <row r="32" ht="12.75" customHeight="1">
      <c r="A32" s="31">
        <v>576.0</v>
      </c>
      <c r="B32" s="32" t="s">
        <v>48335</v>
      </c>
      <c r="C32" s="33">
        <v>60.0</v>
      </c>
      <c r="D32" s="32" t="s">
        <v>48336</v>
      </c>
      <c r="E32" s="32" t="s">
        <v>48337</v>
      </c>
      <c r="F32" s="31">
        <v>121.0</v>
      </c>
      <c r="G32" s="34">
        <v>6.0761213E7</v>
      </c>
    </row>
    <row r="33" ht="12.75" customHeight="1">
      <c r="A33" s="27">
        <v>576.0</v>
      </c>
      <c r="B33" s="28" t="s">
        <v>48338</v>
      </c>
      <c r="C33" s="29">
        <v>60.0</v>
      </c>
      <c r="D33" s="28" t="s">
        <v>48339</v>
      </c>
      <c r="E33" s="28" t="s">
        <v>48340</v>
      </c>
      <c r="F33" s="27">
        <v>178.0</v>
      </c>
      <c r="G33" s="30">
        <v>6.0761789E7</v>
      </c>
    </row>
    <row r="34" ht="12.75" customHeight="1">
      <c r="A34" s="31">
        <v>777.0</v>
      </c>
      <c r="B34" s="32" t="s">
        <v>48341</v>
      </c>
      <c r="C34" s="33">
        <v>60.0</v>
      </c>
      <c r="D34" s="32" t="s">
        <v>48342</v>
      </c>
      <c r="E34" s="32" t="s">
        <v>48343</v>
      </c>
      <c r="F34" s="33">
        <v>56.0</v>
      </c>
      <c r="G34" s="34">
        <v>6.0770567E7</v>
      </c>
    </row>
    <row r="35" ht="12.75" customHeight="1">
      <c r="A35" s="27">
        <v>378.0</v>
      </c>
      <c r="B35" s="28" t="s">
        <v>48344</v>
      </c>
      <c r="C35" s="29">
        <v>60.0</v>
      </c>
      <c r="D35" s="28" t="s">
        <v>48345</v>
      </c>
      <c r="E35" s="28" t="s">
        <v>48346</v>
      </c>
      <c r="F35" s="27">
        <v>109.0</v>
      </c>
      <c r="G35" s="30">
        <v>6.0781093E7</v>
      </c>
    </row>
    <row r="36" ht="12.75" customHeight="1">
      <c r="A36" s="31">
        <v>379.0</v>
      </c>
      <c r="B36" s="32" t="s">
        <v>48347</v>
      </c>
      <c r="C36" s="33">
        <v>60.0</v>
      </c>
      <c r="D36" s="32" t="s">
        <v>48348</v>
      </c>
      <c r="E36" s="32" t="s">
        <v>48349</v>
      </c>
      <c r="F36" s="33">
        <v>77.0</v>
      </c>
      <c r="G36" s="34">
        <v>6.0790776E7</v>
      </c>
    </row>
    <row r="37" ht="12.75" customHeight="1">
      <c r="A37" s="27">
        <v>379.0</v>
      </c>
      <c r="B37" s="28" t="s">
        <v>48350</v>
      </c>
      <c r="C37" s="29">
        <v>60.0</v>
      </c>
      <c r="D37" s="28" t="s">
        <v>48351</v>
      </c>
      <c r="E37" s="28" t="s">
        <v>48352</v>
      </c>
      <c r="F37" s="29">
        <v>98.0</v>
      </c>
      <c r="G37" s="30">
        <v>6.0790989E7</v>
      </c>
    </row>
    <row r="38" ht="12.75" customHeight="1">
      <c r="A38" s="31">
        <v>581.0</v>
      </c>
      <c r="B38" s="32" t="s">
        <v>48353</v>
      </c>
      <c r="C38" s="33">
        <v>60.0</v>
      </c>
      <c r="D38" s="32" t="s">
        <v>48354</v>
      </c>
      <c r="E38" s="32" t="s">
        <v>48355</v>
      </c>
      <c r="F38" s="31">
        <v>193.0</v>
      </c>
      <c r="G38" s="34">
        <v>6.0811934E7</v>
      </c>
    </row>
    <row r="39" ht="12.75" customHeight="1">
      <c r="A39" s="27">
        <v>382.0</v>
      </c>
      <c r="B39" s="28" t="s">
        <v>48356</v>
      </c>
      <c r="C39" s="29">
        <v>60.0</v>
      </c>
      <c r="D39" s="28" t="s">
        <v>48357</v>
      </c>
      <c r="E39" s="28" t="s">
        <v>48358</v>
      </c>
      <c r="F39" s="29">
        <v>73.0</v>
      </c>
      <c r="G39" s="30">
        <v>6.0820738E7</v>
      </c>
    </row>
    <row r="40" ht="12.75" customHeight="1">
      <c r="A40" s="31">
        <v>785.0</v>
      </c>
      <c r="B40" s="32" t="s">
        <v>48359</v>
      </c>
      <c r="C40" s="33">
        <v>60.0</v>
      </c>
      <c r="D40" s="32" t="s">
        <v>48360</v>
      </c>
      <c r="E40" s="32" t="s">
        <v>48361</v>
      </c>
      <c r="F40" s="31">
        <v>145.0</v>
      </c>
      <c r="G40" s="34">
        <v>6.0851457E7</v>
      </c>
    </row>
    <row r="41" ht="12.75" customHeight="1">
      <c r="A41" s="27">
        <v>386.0</v>
      </c>
      <c r="B41" s="28" t="s">
        <v>48362</v>
      </c>
      <c r="C41" s="29">
        <v>60.0</v>
      </c>
      <c r="D41" s="28" t="s">
        <v>48363</v>
      </c>
      <c r="E41" s="28" t="s">
        <v>48364</v>
      </c>
      <c r="F41" s="29">
        <v>10.0</v>
      </c>
      <c r="G41" s="30">
        <v>6.0860101E7</v>
      </c>
    </row>
    <row r="42" ht="12.75" customHeight="1">
      <c r="A42" s="31">
        <v>487.0</v>
      </c>
      <c r="B42" s="32" t="s">
        <v>48365</v>
      </c>
      <c r="C42" s="33">
        <v>60.0</v>
      </c>
      <c r="D42" s="32" t="s">
        <v>48366</v>
      </c>
      <c r="E42" s="32" t="s">
        <v>48367</v>
      </c>
      <c r="F42" s="31">
        <v>109.0</v>
      </c>
      <c r="G42" s="34">
        <v>6.0871095E7</v>
      </c>
    </row>
    <row r="43" ht="12.75" customHeight="1">
      <c r="A43" s="27">
        <v>688.0</v>
      </c>
      <c r="B43" s="28" t="s">
        <v>48368</v>
      </c>
      <c r="C43" s="29">
        <v>60.0</v>
      </c>
      <c r="D43" s="28" t="s">
        <v>48369</v>
      </c>
      <c r="E43" s="28" t="s">
        <v>48370</v>
      </c>
      <c r="F43" s="29">
        <v>22.0</v>
      </c>
      <c r="G43" s="30">
        <v>6.0880228E7</v>
      </c>
    </row>
    <row r="44" ht="12.75" customHeight="1">
      <c r="A44" s="31">
        <v>688.0</v>
      </c>
      <c r="B44" s="32" t="s">
        <v>48371</v>
      </c>
      <c r="C44" s="33">
        <v>60.0</v>
      </c>
      <c r="D44" s="32" t="s">
        <v>48372</v>
      </c>
      <c r="E44" s="32" t="s">
        <v>48373</v>
      </c>
      <c r="F44" s="31">
        <v>188.0</v>
      </c>
      <c r="G44" s="34">
        <v>6.0881885E7</v>
      </c>
    </row>
    <row r="45" ht="12.75" customHeight="1">
      <c r="A45" s="27">
        <v>688.0</v>
      </c>
      <c r="B45" s="28" t="s">
        <v>48374</v>
      </c>
      <c r="C45" s="29">
        <v>60.0</v>
      </c>
      <c r="D45" s="28" t="s">
        <v>48375</v>
      </c>
      <c r="E45" s="28" t="s">
        <v>48376</v>
      </c>
      <c r="F45" s="27">
        <v>190.0</v>
      </c>
      <c r="G45" s="30">
        <v>6.0881906E7</v>
      </c>
    </row>
    <row r="46" ht="12.75" customHeight="1">
      <c r="A46" s="31">
        <v>189.0</v>
      </c>
      <c r="B46" s="32" t="s">
        <v>48377</v>
      </c>
      <c r="C46" s="33">
        <v>60.0</v>
      </c>
      <c r="D46" s="32" t="s">
        <v>48378</v>
      </c>
      <c r="E46" s="32" t="s">
        <v>48379</v>
      </c>
      <c r="F46" s="33">
        <v>55.0</v>
      </c>
      <c r="G46" s="34">
        <v>6.0890555E7</v>
      </c>
    </row>
    <row r="47" ht="12.75" customHeight="1">
      <c r="A47" s="27">
        <v>890.0</v>
      </c>
      <c r="B47" s="28" t="s">
        <v>48380</v>
      </c>
      <c r="C47" s="29">
        <v>60.0</v>
      </c>
      <c r="D47" s="28" t="s">
        <v>48381</v>
      </c>
      <c r="E47" s="28" t="s">
        <v>48382</v>
      </c>
      <c r="F47" s="27">
        <v>112.0</v>
      </c>
      <c r="G47" s="30">
        <v>6.0901123E7</v>
      </c>
    </row>
    <row r="48" ht="12.75" customHeight="1">
      <c r="A48" s="31">
        <v>891.0</v>
      </c>
      <c r="B48" s="32" t="s">
        <v>48383</v>
      </c>
      <c r="C48" s="33">
        <v>60.0</v>
      </c>
      <c r="D48" s="32" t="s">
        <v>48384</v>
      </c>
      <c r="E48" s="32" t="s">
        <v>48385</v>
      </c>
      <c r="F48" s="33">
        <v>31.0</v>
      </c>
      <c r="G48" s="34">
        <v>6.0910314E7</v>
      </c>
    </row>
    <row r="49" ht="12.75" customHeight="1">
      <c r="A49" s="27">
        <v>891.0</v>
      </c>
      <c r="B49" s="28" t="s">
        <v>48386</v>
      </c>
      <c r="C49" s="29">
        <v>60.0</v>
      </c>
      <c r="D49" s="28" t="s">
        <v>48387</v>
      </c>
      <c r="E49" s="28" t="s">
        <v>48388</v>
      </c>
      <c r="F49" s="29">
        <v>43.0</v>
      </c>
      <c r="G49" s="30">
        <v>6.0910435E7</v>
      </c>
    </row>
    <row r="50" ht="12.75" customHeight="1">
      <c r="A50" s="31">
        <v>891.0</v>
      </c>
      <c r="B50" s="32" t="s">
        <v>48389</v>
      </c>
      <c r="C50" s="33">
        <v>60.0</v>
      </c>
      <c r="D50" s="32" t="s">
        <v>48390</v>
      </c>
      <c r="E50" s="32" t="s">
        <v>48391</v>
      </c>
      <c r="F50" s="31">
        <v>154.0</v>
      </c>
      <c r="G50" s="34">
        <v>6.0911542E7</v>
      </c>
    </row>
    <row r="51" ht="12.75" customHeight="1">
      <c r="A51" s="27">
        <v>891.0</v>
      </c>
      <c r="B51" s="28" t="s">
        <v>48392</v>
      </c>
      <c r="C51" s="29">
        <v>60.0</v>
      </c>
      <c r="D51" s="28" t="s">
        <v>48393</v>
      </c>
      <c r="E51" s="28" t="s">
        <v>48394</v>
      </c>
      <c r="F51" s="27">
        <v>350.0</v>
      </c>
      <c r="G51" s="30">
        <v>6.0913508E7</v>
      </c>
    </row>
    <row r="52" ht="12.75" customHeight="1">
      <c r="A52" s="31">
        <v>891.0</v>
      </c>
      <c r="B52" s="32" t="s">
        <v>48395</v>
      </c>
      <c r="C52" s="33">
        <v>60.0</v>
      </c>
      <c r="D52" s="32" t="s">
        <v>48396</v>
      </c>
      <c r="E52" s="32" t="s">
        <v>48397</v>
      </c>
      <c r="F52" s="31">
        <v>355.0</v>
      </c>
      <c r="G52" s="34">
        <v>6.0913553E7</v>
      </c>
    </row>
    <row r="53" ht="12.75" customHeight="1">
      <c r="A53" s="27">
        <v>891.0</v>
      </c>
      <c r="B53" s="28" t="s">
        <v>48398</v>
      </c>
      <c r="C53" s="29">
        <v>60.0</v>
      </c>
      <c r="D53" s="28" t="s">
        <v>48399</v>
      </c>
      <c r="E53" s="28" t="s">
        <v>48400</v>
      </c>
      <c r="F53" s="27">
        <v>356.0</v>
      </c>
      <c r="G53" s="30">
        <v>6.0913566E7</v>
      </c>
    </row>
    <row r="54" ht="12.75" customHeight="1">
      <c r="A54" s="31">
        <v>891.0</v>
      </c>
      <c r="B54" s="32" t="s">
        <v>48401</v>
      </c>
      <c r="C54" s="33">
        <v>60.0</v>
      </c>
      <c r="D54" s="32" t="s">
        <v>48402</v>
      </c>
      <c r="E54" s="32" t="s">
        <v>48403</v>
      </c>
      <c r="F54" s="31">
        <v>373.0</v>
      </c>
      <c r="G54" s="34">
        <v>6.0913737E7</v>
      </c>
    </row>
    <row r="55" ht="12.75" customHeight="1">
      <c r="A55" s="27">
        <v>891.0</v>
      </c>
      <c r="B55" s="28" t="s">
        <v>48404</v>
      </c>
      <c r="C55" s="29">
        <v>60.0</v>
      </c>
      <c r="D55" s="28" t="s">
        <v>48405</v>
      </c>
      <c r="E55" s="28" t="s">
        <v>48406</v>
      </c>
      <c r="F55" s="27">
        <v>415.0</v>
      </c>
      <c r="G55" s="30">
        <v>6.0914152E7</v>
      </c>
    </row>
    <row r="56" ht="12.75" customHeight="1">
      <c r="A56" s="31">
        <v>193.0</v>
      </c>
      <c r="B56" s="32" t="s">
        <v>48407</v>
      </c>
      <c r="C56" s="33">
        <v>60.0</v>
      </c>
      <c r="D56" s="32" t="s">
        <v>48408</v>
      </c>
      <c r="E56" s="32" t="s">
        <v>48409</v>
      </c>
      <c r="F56" s="31">
        <v>220.0</v>
      </c>
      <c r="G56" s="34">
        <v>6.09322E7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193.0</v>
      </c>
      <c r="B1" s="28" t="s">
        <v>48410</v>
      </c>
      <c r="C1" s="29">
        <v>60.0</v>
      </c>
      <c r="D1" s="28" t="s">
        <v>48411</v>
      </c>
      <c r="E1" s="28" t="s">
        <v>48412</v>
      </c>
      <c r="F1" s="27">
        <v>229.0</v>
      </c>
      <c r="G1" s="30">
        <v>6.0932297E7</v>
      </c>
    </row>
    <row r="2" ht="12.75" customHeight="1">
      <c r="A2" s="31">
        <v>193.0</v>
      </c>
      <c r="B2" s="32" t="s">
        <v>48413</v>
      </c>
      <c r="C2" s="33">
        <v>60.0</v>
      </c>
      <c r="D2" s="32" t="s">
        <v>48414</v>
      </c>
      <c r="E2" s="32" t="s">
        <v>48415</v>
      </c>
      <c r="F2" s="31">
        <v>230.0</v>
      </c>
      <c r="G2" s="34">
        <v>6.0932305E7</v>
      </c>
    </row>
    <row r="3" ht="12.75" customHeight="1">
      <c r="A3" s="27">
        <v>794.0</v>
      </c>
      <c r="B3" s="28" t="s">
        <v>48416</v>
      </c>
      <c r="C3" s="29">
        <v>60.0</v>
      </c>
      <c r="D3" s="28" t="s">
        <v>48417</v>
      </c>
      <c r="E3" s="28" t="s">
        <v>48418</v>
      </c>
      <c r="F3" s="29">
        <v>99.0</v>
      </c>
      <c r="G3" s="30">
        <v>6.0940997E7</v>
      </c>
    </row>
    <row r="4" ht="12.75" customHeight="1">
      <c r="A4" s="31">
        <v>215.0</v>
      </c>
      <c r="B4" s="32" t="s">
        <v>48419</v>
      </c>
      <c r="C4" s="33">
        <v>65.0</v>
      </c>
      <c r="D4" s="32" t="s">
        <v>48420</v>
      </c>
      <c r="E4" s="32" t="s">
        <v>48421</v>
      </c>
      <c r="F4" s="33">
        <v>13.0</v>
      </c>
      <c r="G4" s="34">
        <v>6.5150137E7</v>
      </c>
    </row>
    <row r="5" ht="12.75" customHeight="1">
      <c r="A5" s="27">
        <v>126.0</v>
      </c>
      <c r="B5" s="28" t="s">
        <v>48422</v>
      </c>
      <c r="C5" s="29">
        <v>65.0</v>
      </c>
      <c r="D5" s="28" t="s">
        <v>48423</v>
      </c>
      <c r="E5" s="28" t="s">
        <v>48424</v>
      </c>
      <c r="F5" s="27">
        <v>118.0</v>
      </c>
      <c r="G5" s="30">
        <v>6.5261189E7</v>
      </c>
    </row>
    <row r="6" ht="12.75" customHeight="1">
      <c r="A6" s="31">
        <v>126.0</v>
      </c>
      <c r="B6" s="32" t="s">
        <v>48425</v>
      </c>
      <c r="C6" s="33">
        <v>65.0</v>
      </c>
      <c r="D6" s="32" t="s">
        <v>48426</v>
      </c>
      <c r="E6" s="32" t="s">
        <v>48427</v>
      </c>
      <c r="F6" s="31">
        <v>172.0</v>
      </c>
      <c r="G6" s="34">
        <v>6.5261721E7</v>
      </c>
    </row>
    <row r="7" ht="12.75" customHeight="1">
      <c r="A7" s="27">
        <v>126.0</v>
      </c>
      <c r="B7" s="28" t="s">
        <v>48428</v>
      </c>
      <c r="C7" s="29">
        <v>65.0</v>
      </c>
      <c r="D7" s="28" t="s">
        <v>48429</v>
      </c>
      <c r="E7" s="28" t="s">
        <v>48430</v>
      </c>
      <c r="F7" s="27">
        <v>298.0</v>
      </c>
      <c r="G7" s="30">
        <v>6.5262988E7</v>
      </c>
    </row>
    <row r="8" ht="12.75" customHeight="1">
      <c r="A8" s="31">
        <v>126.0</v>
      </c>
      <c r="B8" s="32" t="s">
        <v>48431</v>
      </c>
      <c r="C8" s="33">
        <v>65.0</v>
      </c>
      <c r="D8" s="32" t="s">
        <v>48432</v>
      </c>
      <c r="E8" s="32" t="s">
        <v>48433</v>
      </c>
      <c r="F8" s="31">
        <v>463.0</v>
      </c>
      <c r="G8" s="34">
        <v>6.5264636E7</v>
      </c>
    </row>
    <row r="9" ht="12.75" customHeight="1">
      <c r="A9" s="27">
        <v>127.0</v>
      </c>
      <c r="B9" s="28" t="s">
        <v>48434</v>
      </c>
      <c r="C9" s="29">
        <v>65.0</v>
      </c>
      <c r="D9" s="28" t="s">
        <v>48435</v>
      </c>
      <c r="E9" s="28" t="s">
        <v>48436</v>
      </c>
      <c r="F9" s="29">
        <v>0.0</v>
      </c>
      <c r="G9" s="30">
        <v>6.5270004E7</v>
      </c>
    </row>
    <row r="10" ht="12.75" customHeight="1">
      <c r="A10" s="31">
        <v>127.0</v>
      </c>
      <c r="B10" s="32" t="s">
        <v>48437</v>
      </c>
      <c r="C10" s="33">
        <v>65.0</v>
      </c>
      <c r="D10" s="32" t="s">
        <v>48438</v>
      </c>
      <c r="E10" s="32" t="s">
        <v>48439</v>
      </c>
      <c r="F10" s="31">
        <v>178.0</v>
      </c>
      <c r="G10" s="34">
        <v>6.5271782E7</v>
      </c>
    </row>
    <row r="11" ht="12.75" customHeight="1">
      <c r="A11" s="27">
        <v>891.0</v>
      </c>
      <c r="B11" s="28" t="s">
        <v>48440</v>
      </c>
      <c r="C11" s="29">
        <v>65.0</v>
      </c>
      <c r="D11" s="28" t="s">
        <v>48441</v>
      </c>
      <c r="E11" s="28" t="s">
        <v>48442</v>
      </c>
      <c r="F11" s="27">
        <v>355.0</v>
      </c>
      <c r="G11" s="30">
        <v>6.5913558E7</v>
      </c>
    </row>
    <row r="12" ht="12.75" customHeight="1">
      <c r="A12" s="31">
        <v>306.0</v>
      </c>
      <c r="B12" s="32" t="s">
        <v>48443</v>
      </c>
      <c r="C12" s="33">
        <v>70.0</v>
      </c>
      <c r="D12" s="32" t="s">
        <v>48444</v>
      </c>
      <c r="E12" s="32" t="s">
        <v>48445</v>
      </c>
      <c r="F12" s="33">
        <v>28.0</v>
      </c>
      <c r="G12" s="34">
        <v>7.0060283E7</v>
      </c>
    </row>
    <row r="13" ht="12.75" customHeight="1">
      <c r="A13" s="27">
        <v>309.0</v>
      </c>
      <c r="B13" s="28" t="s">
        <v>48446</v>
      </c>
      <c r="C13" s="29">
        <v>70.0</v>
      </c>
      <c r="D13" s="28" t="s">
        <v>48447</v>
      </c>
      <c r="E13" s="28" t="s">
        <v>48448</v>
      </c>
      <c r="F13" s="29">
        <v>10.0</v>
      </c>
      <c r="G13" s="30">
        <v>7.0090103E7</v>
      </c>
    </row>
    <row r="14" ht="12.75" customHeight="1">
      <c r="A14" s="31">
        <v>610.0</v>
      </c>
      <c r="B14" s="32" t="s">
        <v>48449</v>
      </c>
      <c r="C14" s="33">
        <v>70.0</v>
      </c>
      <c r="D14" s="32" t="s">
        <v>48450</v>
      </c>
      <c r="E14" s="32" t="s">
        <v>48451</v>
      </c>
      <c r="F14" s="33">
        <v>37.0</v>
      </c>
      <c r="G14" s="34">
        <v>7.0100372E7</v>
      </c>
    </row>
    <row r="15" ht="12.75" customHeight="1">
      <c r="A15" s="27">
        <v>112.0</v>
      </c>
      <c r="B15" s="28" t="s">
        <v>48452</v>
      </c>
      <c r="C15" s="29">
        <v>70.0</v>
      </c>
      <c r="D15" s="28" t="s">
        <v>48453</v>
      </c>
      <c r="E15" s="28" t="s">
        <v>48454</v>
      </c>
      <c r="F15" s="29">
        <v>43.0</v>
      </c>
      <c r="G15" s="30">
        <v>7.0120431E7</v>
      </c>
    </row>
    <row r="16" ht="12.75" customHeight="1">
      <c r="A16" s="31">
        <v>112.0</v>
      </c>
      <c r="B16" s="32" t="s">
        <v>48455</v>
      </c>
      <c r="C16" s="33">
        <v>70.0</v>
      </c>
      <c r="D16" s="32" t="s">
        <v>48456</v>
      </c>
      <c r="E16" s="32" t="s">
        <v>48457</v>
      </c>
      <c r="F16" s="31">
        <v>103.0</v>
      </c>
      <c r="G16" s="34">
        <v>7.012103E7</v>
      </c>
    </row>
    <row r="17" ht="12.75" customHeight="1">
      <c r="A17" s="27">
        <v>113.0</v>
      </c>
      <c r="B17" s="28" t="s">
        <v>48458</v>
      </c>
      <c r="C17" s="29">
        <v>70.0</v>
      </c>
      <c r="D17" s="28" t="s">
        <v>48459</v>
      </c>
      <c r="E17" s="28" t="s">
        <v>48460</v>
      </c>
      <c r="F17" s="29">
        <v>15.0</v>
      </c>
      <c r="G17" s="30">
        <v>7.0130155E7</v>
      </c>
    </row>
    <row r="18" ht="12.75" customHeight="1">
      <c r="A18" s="31">
        <v>113.0</v>
      </c>
      <c r="B18" s="32" t="s">
        <v>48461</v>
      </c>
      <c r="C18" s="33">
        <v>70.0</v>
      </c>
      <c r="D18" s="32" t="s">
        <v>48462</v>
      </c>
      <c r="E18" s="32" t="s">
        <v>48463</v>
      </c>
      <c r="F18" s="33">
        <v>31.0</v>
      </c>
      <c r="G18" s="34">
        <v>7.0130313E7</v>
      </c>
    </row>
    <row r="19" ht="12.75" customHeight="1">
      <c r="A19" s="27">
        <v>230.0</v>
      </c>
      <c r="B19" s="28" t="s">
        <v>48464</v>
      </c>
      <c r="C19" s="29">
        <v>70.0</v>
      </c>
      <c r="D19" s="28" t="s">
        <v>48465</v>
      </c>
      <c r="E19" s="28" t="s">
        <v>48466</v>
      </c>
      <c r="F19" s="29">
        <v>52.0</v>
      </c>
      <c r="G19" s="30">
        <v>7.0130526E7</v>
      </c>
    </row>
    <row r="20" ht="12.75" customHeight="1">
      <c r="A20" s="31">
        <v>113.0</v>
      </c>
      <c r="B20" s="32" t="s">
        <v>48467</v>
      </c>
      <c r="C20" s="33">
        <v>70.0</v>
      </c>
      <c r="D20" s="32" t="s">
        <v>48468</v>
      </c>
      <c r="E20" s="32" t="s">
        <v>48469</v>
      </c>
      <c r="F20" s="33">
        <v>67.0</v>
      </c>
      <c r="G20" s="34">
        <v>7.0130676E7</v>
      </c>
    </row>
    <row r="21" ht="12.75" customHeight="1">
      <c r="A21" s="27">
        <v>113.0</v>
      </c>
      <c r="B21" s="28" t="s">
        <v>48470</v>
      </c>
      <c r="C21" s="29">
        <v>70.0</v>
      </c>
      <c r="D21" s="28" t="s">
        <v>48471</v>
      </c>
      <c r="E21" s="28" t="s">
        <v>48472</v>
      </c>
      <c r="F21" s="29">
        <v>88.0</v>
      </c>
      <c r="G21" s="30">
        <v>7.0130889E7</v>
      </c>
    </row>
    <row r="22" ht="12.75" customHeight="1">
      <c r="A22" s="31">
        <v>215.0</v>
      </c>
      <c r="B22" s="32" t="s">
        <v>48473</v>
      </c>
      <c r="C22" s="33">
        <v>70.0</v>
      </c>
      <c r="D22" s="32" t="s">
        <v>48474</v>
      </c>
      <c r="E22" s="32" t="s">
        <v>48475</v>
      </c>
      <c r="F22" s="33">
        <v>13.0</v>
      </c>
      <c r="G22" s="34">
        <v>7.0150135E7</v>
      </c>
    </row>
    <row r="23" ht="12.75" customHeight="1">
      <c r="A23" s="27">
        <v>215.0</v>
      </c>
      <c r="B23" s="28" t="s">
        <v>48476</v>
      </c>
      <c r="C23" s="29">
        <v>70.0</v>
      </c>
      <c r="D23" s="28" t="s">
        <v>48477</v>
      </c>
      <c r="E23" s="28" t="s">
        <v>48478</v>
      </c>
      <c r="F23" s="29">
        <v>26.0</v>
      </c>
      <c r="G23" s="30">
        <v>7.0150269E7</v>
      </c>
    </row>
    <row r="24" ht="12.75" customHeight="1">
      <c r="A24" s="31">
        <v>215.0</v>
      </c>
      <c r="B24" s="32" t="s">
        <v>48479</v>
      </c>
      <c r="C24" s="33">
        <v>70.0</v>
      </c>
      <c r="D24" s="32" t="s">
        <v>48480</v>
      </c>
      <c r="E24" s="32" t="s">
        <v>48481</v>
      </c>
      <c r="F24" s="33">
        <v>46.0</v>
      </c>
      <c r="G24" s="34">
        <v>7.0150469E7</v>
      </c>
    </row>
    <row r="25" ht="12.75" customHeight="1">
      <c r="A25" s="27">
        <v>215.0</v>
      </c>
      <c r="B25" s="28" t="s">
        <v>48482</v>
      </c>
      <c r="C25" s="29">
        <v>70.0</v>
      </c>
      <c r="D25" s="28" t="s">
        <v>48483</v>
      </c>
      <c r="E25" s="28" t="s">
        <v>48484</v>
      </c>
      <c r="F25" s="29">
        <v>79.0</v>
      </c>
      <c r="G25" s="30">
        <v>7.0150793E7</v>
      </c>
    </row>
    <row r="26" ht="12.75" customHeight="1">
      <c r="A26" s="31">
        <v>215.0</v>
      </c>
      <c r="B26" s="32" t="s">
        <v>48485</v>
      </c>
      <c r="C26" s="33">
        <v>70.0</v>
      </c>
      <c r="D26" s="32" t="s">
        <v>48486</v>
      </c>
      <c r="E26" s="32" t="s">
        <v>48487</v>
      </c>
      <c r="F26" s="31">
        <v>121.0</v>
      </c>
      <c r="G26" s="34">
        <v>7.0151213E7</v>
      </c>
    </row>
    <row r="27" ht="12.75" customHeight="1">
      <c r="A27" s="27">
        <v>215.0</v>
      </c>
      <c r="B27" s="28" t="s">
        <v>48488</v>
      </c>
      <c r="C27" s="29">
        <v>70.0</v>
      </c>
      <c r="D27" s="28" t="s">
        <v>48489</v>
      </c>
      <c r="E27" s="28" t="s">
        <v>48490</v>
      </c>
      <c r="F27" s="27">
        <v>148.0</v>
      </c>
      <c r="G27" s="30">
        <v>7.0151484E7</v>
      </c>
    </row>
    <row r="28" ht="12.75" customHeight="1">
      <c r="A28" s="31">
        <v>215.0</v>
      </c>
      <c r="B28" s="32" t="s">
        <v>48491</v>
      </c>
      <c r="C28" s="33">
        <v>70.0</v>
      </c>
      <c r="D28" s="32" t="s">
        <v>48492</v>
      </c>
      <c r="E28" s="32" t="s">
        <v>48493</v>
      </c>
      <c r="F28" s="31">
        <v>157.0</v>
      </c>
      <c r="G28" s="34">
        <v>7.0151576E7</v>
      </c>
    </row>
    <row r="29" ht="12.75" customHeight="1">
      <c r="A29" s="27">
        <v>215.0</v>
      </c>
      <c r="B29" s="28" t="s">
        <v>48494</v>
      </c>
      <c r="C29" s="29">
        <v>70.0</v>
      </c>
      <c r="D29" s="28" t="s">
        <v>48495</v>
      </c>
      <c r="E29" s="28" t="s">
        <v>48496</v>
      </c>
      <c r="F29" s="27">
        <v>176.0</v>
      </c>
      <c r="G29" s="30">
        <v>7.0151763E7</v>
      </c>
    </row>
    <row r="30" ht="12.75" customHeight="1">
      <c r="A30" s="31">
        <v>215.0</v>
      </c>
      <c r="B30" s="32" t="s">
        <v>48497</v>
      </c>
      <c r="C30" s="33">
        <v>70.0</v>
      </c>
      <c r="D30" s="32" t="s">
        <v>48498</v>
      </c>
      <c r="E30" s="32" t="s">
        <v>48499</v>
      </c>
      <c r="F30" s="31">
        <v>256.0</v>
      </c>
      <c r="G30" s="34">
        <v>7.0152562E7</v>
      </c>
    </row>
    <row r="31" ht="12.75" customHeight="1">
      <c r="A31" s="27">
        <v>215.0</v>
      </c>
      <c r="B31" s="28" t="s">
        <v>48500</v>
      </c>
      <c r="C31" s="29">
        <v>70.0</v>
      </c>
      <c r="D31" s="28" t="s">
        <v>48501</v>
      </c>
      <c r="E31" s="28" t="s">
        <v>48502</v>
      </c>
      <c r="F31" s="27">
        <v>397.0</v>
      </c>
      <c r="G31" s="30">
        <v>7.0153974E7</v>
      </c>
    </row>
    <row r="32" ht="12.75" customHeight="1">
      <c r="A32" s="31">
        <v>215.0</v>
      </c>
      <c r="B32" s="32" t="s">
        <v>48503</v>
      </c>
      <c r="C32" s="33">
        <v>70.0</v>
      </c>
      <c r="D32" s="32" t="s">
        <v>48504</v>
      </c>
      <c r="E32" s="32" t="s">
        <v>48505</v>
      </c>
      <c r="F32" s="31">
        <v>407.0</v>
      </c>
      <c r="G32" s="34">
        <v>7.0154078E7</v>
      </c>
    </row>
    <row r="33" ht="12.75" customHeight="1">
      <c r="A33" s="27">
        <v>215.0</v>
      </c>
      <c r="B33" s="28" t="s">
        <v>48506</v>
      </c>
      <c r="C33" s="29">
        <v>70.0</v>
      </c>
      <c r="D33" s="28" t="s">
        <v>48507</v>
      </c>
      <c r="E33" s="28" t="s">
        <v>48508</v>
      </c>
      <c r="F33" s="27">
        <v>427.0</v>
      </c>
      <c r="G33" s="30">
        <v>7.0154278E7</v>
      </c>
    </row>
    <row r="34" ht="12.75" customHeight="1">
      <c r="A34" s="31">
        <v>215.0</v>
      </c>
      <c r="B34" s="32" t="s">
        <v>48509</v>
      </c>
      <c r="C34" s="33">
        <v>70.0</v>
      </c>
      <c r="D34" s="32" t="s">
        <v>48510</v>
      </c>
      <c r="E34" s="32" t="s">
        <v>48511</v>
      </c>
      <c r="F34" s="31">
        <v>463.0</v>
      </c>
      <c r="G34" s="34">
        <v>7.0154636E7</v>
      </c>
    </row>
    <row r="35" ht="12.75" customHeight="1">
      <c r="A35" s="27">
        <v>215.0</v>
      </c>
      <c r="B35" s="28" t="s">
        <v>48512</v>
      </c>
      <c r="C35" s="29">
        <v>70.0</v>
      </c>
      <c r="D35" s="28" t="s">
        <v>48513</v>
      </c>
      <c r="E35" s="28" t="s">
        <v>48514</v>
      </c>
      <c r="F35" s="27">
        <v>466.0</v>
      </c>
      <c r="G35" s="30">
        <v>7.0154665E7</v>
      </c>
    </row>
    <row r="36" ht="12.75" customHeight="1">
      <c r="A36" s="31">
        <v>215.0</v>
      </c>
      <c r="B36" s="32" t="s">
        <v>48515</v>
      </c>
      <c r="C36" s="33">
        <v>70.0</v>
      </c>
      <c r="D36" s="32" t="s">
        <v>48516</v>
      </c>
      <c r="E36" s="32" t="s">
        <v>48517</v>
      </c>
      <c r="F36" s="31">
        <v>490.0</v>
      </c>
      <c r="G36" s="34">
        <v>7.0154902E7</v>
      </c>
    </row>
    <row r="37" ht="12.75" customHeight="1">
      <c r="A37" s="27">
        <v>215.0</v>
      </c>
      <c r="B37" s="28" t="s">
        <v>48518</v>
      </c>
      <c r="C37" s="29">
        <v>70.0</v>
      </c>
      <c r="D37" s="28" t="s">
        <v>48519</v>
      </c>
      <c r="E37" s="28" t="s">
        <v>48520</v>
      </c>
      <c r="F37" s="27">
        <v>588.0</v>
      </c>
      <c r="G37" s="30">
        <v>7.015588E7</v>
      </c>
    </row>
    <row r="38" ht="12.75" customHeight="1">
      <c r="A38" s="31">
        <v>215.0</v>
      </c>
      <c r="B38" s="32" t="s">
        <v>48521</v>
      </c>
      <c r="C38" s="33">
        <v>70.0</v>
      </c>
      <c r="D38" s="32" t="s">
        <v>48522</v>
      </c>
      <c r="E38" s="32" t="s">
        <v>48523</v>
      </c>
      <c r="F38" s="31">
        <v>751.0</v>
      </c>
      <c r="G38" s="34">
        <v>7.0157512E7</v>
      </c>
    </row>
    <row r="39" ht="12.75" customHeight="1">
      <c r="A39" s="27">
        <v>215.0</v>
      </c>
      <c r="B39" s="28" t="s">
        <v>48524</v>
      </c>
      <c r="C39" s="29">
        <v>70.0</v>
      </c>
      <c r="D39" s="28" t="s">
        <v>48525</v>
      </c>
      <c r="E39" s="28" t="s">
        <v>48526</v>
      </c>
      <c r="F39" s="27">
        <v>757.0</v>
      </c>
      <c r="G39" s="30">
        <v>7.015757E7</v>
      </c>
    </row>
    <row r="40" ht="12.75" customHeight="1">
      <c r="A40" s="31">
        <v>215.0</v>
      </c>
      <c r="B40" s="32" t="s">
        <v>48527</v>
      </c>
      <c r="C40" s="33">
        <v>70.0</v>
      </c>
      <c r="D40" s="32" t="s">
        <v>48528</v>
      </c>
      <c r="E40" s="32" t="s">
        <v>48529</v>
      </c>
      <c r="F40" s="31">
        <v>814.0</v>
      </c>
      <c r="G40" s="34">
        <v>7.015814E7</v>
      </c>
    </row>
    <row r="41" ht="12.75" customHeight="1">
      <c r="A41" s="27">
        <v>119.0</v>
      </c>
      <c r="B41" s="28" t="s">
        <v>48530</v>
      </c>
      <c r="C41" s="29">
        <v>70.0</v>
      </c>
      <c r="D41" s="28" t="s">
        <v>48531</v>
      </c>
      <c r="E41" s="28" t="s">
        <v>48532</v>
      </c>
      <c r="F41" s="27">
        <v>115.0</v>
      </c>
      <c r="G41" s="30">
        <v>7.0191152E7</v>
      </c>
    </row>
    <row r="42" ht="12.75" customHeight="1">
      <c r="A42" s="31">
        <v>119.0</v>
      </c>
      <c r="B42" s="32" t="s">
        <v>48533</v>
      </c>
      <c r="C42" s="33">
        <v>70.0</v>
      </c>
      <c r="D42" s="32" t="s">
        <v>48534</v>
      </c>
      <c r="E42" s="32" t="s">
        <v>48535</v>
      </c>
      <c r="F42" s="31">
        <v>142.0</v>
      </c>
      <c r="G42" s="34">
        <v>7.0191428E7</v>
      </c>
    </row>
    <row r="43" ht="12.75" customHeight="1">
      <c r="A43" s="27">
        <v>119.0</v>
      </c>
      <c r="B43" s="28" t="s">
        <v>48536</v>
      </c>
      <c r="C43" s="29">
        <v>70.0</v>
      </c>
      <c r="D43" s="28" t="s">
        <v>48537</v>
      </c>
      <c r="E43" s="28" t="s">
        <v>48538</v>
      </c>
      <c r="F43" s="27">
        <v>211.0</v>
      </c>
      <c r="G43" s="30">
        <v>7.0192119E7</v>
      </c>
    </row>
    <row r="44" ht="12.75" customHeight="1">
      <c r="A44" s="31">
        <v>119.0</v>
      </c>
      <c r="B44" s="32" t="s">
        <v>48539</v>
      </c>
      <c r="C44" s="33">
        <v>70.0</v>
      </c>
      <c r="D44" s="32" t="s">
        <v>48540</v>
      </c>
      <c r="E44" s="32" t="s">
        <v>48541</v>
      </c>
      <c r="F44" s="31">
        <v>325.0</v>
      </c>
      <c r="G44" s="34">
        <v>7.0193255E7</v>
      </c>
    </row>
    <row r="45" ht="12.75" customHeight="1">
      <c r="A45" s="27">
        <v>222.0</v>
      </c>
      <c r="B45" s="28" t="s">
        <v>48542</v>
      </c>
      <c r="C45" s="29">
        <v>70.0</v>
      </c>
      <c r="D45" s="28" t="s">
        <v>48543</v>
      </c>
      <c r="E45" s="28" t="s">
        <v>48544</v>
      </c>
      <c r="F45" s="29">
        <v>25.0</v>
      </c>
      <c r="G45" s="30">
        <v>7.0220252E7</v>
      </c>
    </row>
    <row r="46" ht="12.75" customHeight="1">
      <c r="A46" s="31">
        <v>126.0</v>
      </c>
      <c r="B46" s="32" t="s">
        <v>48545</v>
      </c>
      <c r="C46" s="33">
        <v>70.0</v>
      </c>
      <c r="D46" s="32" t="s">
        <v>48546</v>
      </c>
      <c r="E46" s="32" t="s">
        <v>48547</v>
      </c>
      <c r="F46" s="33">
        <v>8.0</v>
      </c>
      <c r="G46" s="34">
        <v>7.0260083E7</v>
      </c>
    </row>
    <row r="47" ht="12.75" customHeight="1">
      <c r="A47" s="27">
        <v>126.0</v>
      </c>
      <c r="B47" s="28" t="s">
        <v>48548</v>
      </c>
      <c r="C47" s="29">
        <v>70.0</v>
      </c>
      <c r="D47" s="28" t="s">
        <v>48549</v>
      </c>
      <c r="E47" s="28" t="s">
        <v>48550</v>
      </c>
      <c r="F47" s="29">
        <v>22.0</v>
      </c>
      <c r="G47" s="30">
        <v>7.0260225E7</v>
      </c>
    </row>
    <row r="48" ht="12.75" customHeight="1">
      <c r="A48" s="31">
        <v>126.0</v>
      </c>
      <c r="B48" s="32" t="s">
        <v>48551</v>
      </c>
      <c r="C48" s="33">
        <v>70.0</v>
      </c>
      <c r="D48" s="32" t="s">
        <v>48552</v>
      </c>
      <c r="E48" s="32" t="s">
        <v>48553</v>
      </c>
      <c r="F48" s="33">
        <v>23.0</v>
      </c>
      <c r="G48" s="34">
        <v>7.0260238E7</v>
      </c>
    </row>
    <row r="49" ht="12.75" customHeight="1">
      <c r="A49" s="27">
        <v>126.0</v>
      </c>
      <c r="B49" s="28" t="s">
        <v>48554</v>
      </c>
      <c r="C49" s="29">
        <v>70.0</v>
      </c>
      <c r="D49" s="28" t="s">
        <v>48555</v>
      </c>
      <c r="E49" s="28" t="s">
        <v>48556</v>
      </c>
      <c r="F49" s="29">
        <v>55.0</v>
      </c>
      <c r="G49" s="30">
        <v>7.0260559E7</v>
      </c>
    </row>
    <row r="50" ht="12.75" customHeight="1">
      <c r="A50" s="31">
        <v>126.0</v>
      </c>
      <c r="B50" s="32" t="s">
        <v>48557</v>
      </c>
      <c r="C50" s="33">
        <v>70.0</v>
      </c>
      <c r="D50" s="32" t="s">
        <v>48558</v>
      </c>
      <c r="E50" s="32" t="s">
        <v>48559</v>
      </c>
      <c r="F50" s="33">
        <v>69.0</v>
      </c>
      <c r="G50" s="34">
        <v>7.0260696E7</v>
      </c>
    </row>
    <row r="51" ht="12.75" customHeight="1">
      <c r="A51" s="27">
        <v>126.0</v>
      </c>
      <c r="B51" s="28" t="s">
        <v>48560</v>
      </c>
      <c r="C51" s="29">
        <v>70.0</v>
      </c>
      <c r="D51" s="28" t="s">
        <v>48561</v>
      </c>
      <c r="E51" s="28" t="s">
        <v>48562</v>
      </c>
      <c r="F51" s="29">
        <v>83.0</v>
      </c>
      <c r="G51" s="30">
        <v>7.0260838E7</v>
      </c>
    </row>
    <row r="52" ht="12.75" customHeight="1">
      <c r="A52" s="31">
        <v>126.0</v>
      </c>
      <c r="B52" s="32" t="s">
        <v>48563</v>
      </c>
      <c r="C52" s="33">
        <v>70.0</v>
      </c>
      <c r="D52" s="32" t="s">
        <v>48564</v>
      </c>
      <c r="E52" s="32" t="s">
        <v>48565</v>
      </c>
      <c r="F52" s="33">
        <v>85.0</v>
      </c>
      <c r="G52" s="34">
        <v>7.0260854E7</v>
      </c>
    </row>
    <row r="53" ht="12.75" customHeight="1">
      <c r="A53" s="27">
        <v>126.0</v>
      </c>
      <c r="B53" s="28" t="s">
        <v>48566</v>
      </c>
      <c r="C53" s="29">
        <v>70.0</v>
      </c>
      <c r="D53" s="28" t="s">
        <v>48567</v>
      </c>
      <c r="E53" s="28" t="s">
        <v>48568</v>
      </c>
      <c r="F53" s="29">
        <v>91.0</v>
      </c>
      <c r="G53" s="30">
        <v>7.0260917E7</v>
      </c>
    </row>
    <row r="54" ht="12.75" customHeight="1">
      <c r="A54" s="31">
        <v>126.0</v>
      </c>
      <c r="B54" s="32" t="s">
        <v>48569</v>
      </c>
      <c r="C54" s="33">
        <v>70.0</v>
      </c>
      <c r="D54" s="32" t="s">
        <v>48570</v>
      </c>
      <c r="E54" s="32" t="s">
        <v>48571</v>
      </c>
      <c r="F54" s="31">
        <v>118.0</v>
      </c>
      <c r="G54" s="34">
        <v>7.0261187E7</v>
      </c>
    </row>
    <row r="55" ht="12.75" customHeight="1">
      <c r="A55" s="27">
        <v>126.0</v>
      </c>
      <c r="B55" s="28" t="s">
        <v>48572</v>
      </c>
      <c r="C55" s="29">
        <v>70.0</v>
      </c>
      <c r="D55" s="28" t="s">
        <v>48573</v>
      </c>
      <c r="E55" s="28" t="s">
        <v>48574</v>
      </c>
      <c r="F55" s="27">
        <v>133.0</v>
      </c>
      <c r="G55" s="30">
        <v>7.0261332E7</v>
      </c>
    </row>
    <row r="56" ht="12.75" customHeight="1">
      <c r="A56" s="31">
        <v>126.0</v>
      </c>
      <c r="B56" s="32" t="s">
        <v>48575</v>
      </c>
      <c r="C56" s="33">
        <v>70.0</v>
      </c>
      <c r="D56" s="32" t="s">
        <v>48576</v>
      </c>
      <c r="E56" s="32" t="s">
        <v>48577</v>
      </c>
      <c r="F56" s="31">
        <v>172.0</v>
      </c>
      <c r="G56" s="34">
        <v>7.0261729E7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48578</v>
      </c>
      <c r="C1" s="29">
        <v>70.0</v>
      </c>
      <c r="D1" s="28" t="s">
        <v>48579</v>
      </c>
      <c r="E1" s="28" t="s">
        <v>48580</v>
      </c>
      <c r="F1" s="27">
        <v>205.0</v>
      </c>
      <c r="G1" s="30">
        <v>7.0262052E7</v>
      </c>
    </row>
    <row r="2" ht="12.75" customHeight="1">
      <c r="A2" s="31">
        <v>126.0</v>
      </c>
      <c r="B2" s="32" t="s">
        <v>48581</v>
      </c>
      <c r="C2" s="33">
        <v>70.0</v>
      </c>
      <c r="D2" s="32" t="s">
        <v>48582</v>
      </c>
      <c r="E2" s="32" t="s">
        <v>48583</v>
      </c>
      <c r="F2" s="31">
        <v>283.0</v>
      </c>
      <c r="G2" s="34">
        <v>7.0262836E7</v>
      </c>
    </row>
    <row r="3" ht="12.75" customHeight="1">
      <c r="A3" s="27">
        <v>126.0</v>
      </c>
      <c r="B3" s="28" t="s">
        <v>48584</v>
      </c>
      <c r="C3" s="29">
        <v>70.0</v>
      </c>
      <c r="D3" s="28" t="s">
        <v>48585</v>
      </c>
      <c r="E3" s="28" t="s">
        <v>48586</v>
      </c>
      <c r="F3" s="27">
        <v>292.0</v>
      </c>
      <c r="G3" s="30">
        <v>7.0262928E7</v>
      </c>
    </row>
    <row r="4" ht="12.75" customHeight="1">
      <c r="A4" s="31">
        <v>126.0</v>
      </c>
      <c r="B4" s="32" t="s">
        <v>48587</v>
      </c>
      <c r="C4" s="33">
        <v>70.0</v>
      </c>
      <c r="D4" s="32" t="s">
        <v>48588</v>
      </c>
      <c r="E4" s="32" t="s">
        <v>48589</v>
      </c>
      <c r="F4" s="31">
        <v>298.0</v>
      </c>
      <c r="G4" s="34">
        <v>7.0262986E7</v>
      </c>
    </row>
    <row r="5" ht="12.75" customHeight="1">
      <c r="A5" s="27">
        <v>126.0</v>
      </c>
      <c r="B5" s="28" t="s">
        <v>48590</v>
      </c>
      <c r="C5" s="29">
        <v>70.0</v>
      </c>
      <c r="D5" s="28" t="s">
        <v>48591</v>
      </c>
      <c r="E5" s="28" t="s">
        <v>48592</v>
      </c>
      <c r="F5" s="27">
        <v>310.0</v>
      </c>
      <c r="G5" s="30">
        <v>7.0263101E7</v>
      </c>
    </row>
    <row r="6" ht="12.75" customHeight="1">
      <c r="A6" s="31">
        <v>126.0</v>
      </c>
      <c r="B6" s="32" t="s">
        <v>48593</v>
      </c>
      <c r="C6" s="33">
        <v>70.0</v>
      </c>
      <c r="D6" s="32" t="s">
        <v>48594</v>
      </c>
      <c r="E6" s="32" t="s">
        <v>48595</v>
      </c>
      <c r="F6" s="31">
        <v>319.0</v>
      </c>
      <c r="G6" s="34">
        <v>7.0263198E7</v>
      </c>
    </row>
    <row r="7" ht="12.75" customHeight="1">
      <c r="A7" s="27">
        <v>126.0</v>
      </c>
      <c r="B7" s="28" t="s">
        <v>48596</v>
      </c>
      <c r="C7" s="29">
        <v>70.0</v>
      </c>
      <c r="D7" s="28" t="s">
        <v>48597</v>
      </c>
      <c r="E7" s="28" t="s">
        <v>48598</v>
      </c>
      <c r="F7" s="27">
        <v>355.0</v>
      </c>
      <c r="G7" s="30">
        <v>7.0263556E7</v>
      </c>
    </row>
    <row r="8" ht="12.75" customHeight="1">
      <c r="A8" s="31">
        <v>126.0</v>
      </c>
      <c r="B8" s="32" t="s">
        <v>48599</v>
      </c>
      <c r="C8" s="33">
        <v>70.0</v>
      </c>
      <c r="D8" s="32" t="s">
        <v>48600</v>
      </c>
      <c r="E8" s="32" t="s">
        <v>48601</v>
      </c>
      <c r="F8" s="31">
        <v>370.0</v>
      </c>
      <c r="G8" s="34">
        <v>7.0263701E7</v>
      </c>
    </row>
    <row r="9" ht="12.75" customHeight="1">
      <c r="A9" s="27">
        <v>126.0</v>
      </c>
      <c r="B9" s="28" t="s">
        <v>48602</v>
      </c>
      <c r="C9" s="29">
        <v>70.0</v>
      </c>
      <c r="D9" s="28" t="s">
        <v>48603</v>
      </c>
      <c r="E9" s="28" t="s">
        <v>48604</v>
      </c>
      <c r="F9" s="27">
        <v>397.0</v>
      </c>
      <c r="G9" s="30">
        <v>7.0263972E7</v>
      </c>
    </row>
    <row r="10" ht="12.75" customHeight="1">
      <c r="A10" s="31">
        <v>126.0</v>
      </c>
      <c r="B10" s="32" t="s">
        <v>48605</v>
      </c>
      <c r="C10" s="33">
        <v>70.0</v>
      </c>
      <c r="D10" s="32" t="s">
        <v>48606</v>
      </c>
      <c r="E10" s="32" t="s">
        <v>48607</v>
      </c>
      <c r="F10" s="31">
        <v>401.0</v>
      </c>
      <c r="G10" s="34">
        <v>7.0264018E7</v>
      </c>
    </row>
    <row r="11" ht="12.75" customHeight="1">
      <c r="A11" s="27">
        <v>126.0</v>
      </c>
      <c r="B11" s="28" t="s">
        <v>48608</v>
      </c>
      <c r="C11" s="29">
        <v>70.0</v>
      </c>
      <c r="D11" s="28" t="s">
        <v>48609</v>
      </c>
      <c r="E11" s="28" t="s">
        <v>48610</v>
      </c>
      <c r="F11" s="27">
        <v>403.0</v>
      </c>
      <c r="G11" s="30">
        <v>7.0264034E7</v>
      </c>
    </row>
    <row r="12" ht="12.75" customHeight="1">
      <c r="A12" s="31">
        <v>126.0</v>
      </c>
      <c r="B12" s="32" t="s">
        <v>48611</v>
      </c>
      <c r="C12" s="33">
        <v>70.0</v>
      </c>
      <c r="D12" s="32" t="s">
        <v>48612</v>
      </c>
      <c r="E12" s="32" t="s">
        <v>48613</v>
      </c>
      <c r="F12" s="31">
        <v>409.0</v>
      </c>
      <c r="G12" s="34">
        <v>7.0264092E7</v>
      </c>
    </row>
    <row r="13" ht="12.75" customHeight="1">
      <c r="A13" s="27">
        <v>126.0</v>
      </c>
      <c r="B13" s="28" t="s">
        <v>48614</v>
      </c>
      <c r="C13" s="29">
        <v>70.0</v>
      </c>
      <c r="D13" s="28" t="s">
        <v>48615</v>
      </c>
      <c r="E13" s="28" t="s">
        <v>48616</v>
      </c>
      <c r="F13" s="27">
        <v>430.0</v>
      </c>
      <c r="G13" s="30">
        <v>7.02643E7</v>
      </c>
    </row>
    <row r="14" ht="12.75" customHeight="1">
      <c r="A14" s="31">
        <v>126.0</v>
      </c>
      <c r="B14" s="32" t="s">
        <v>48617</v>
      </c>
      <c r="C14" s="33">
        <v>70.0</v>
      </c>
      <c r="D14" s="32" t="s">
        <v>48618</v>
      </c>
      <c r="E14" s="32" t="s">
        <v>48619</v>
      </c>
      <c r="F14" s="31">
        <v>452.0</v>
      </c>
      <c r="G14" s="34">
        <v>7.0264526E7</v>
      </c>
    </row>
    <row r="15" ht="12.75" customHeight="1">
      <c r="A15" s="27">
        <v>126.0</v>
      </c>
      <c r="B15" s="28" t="s">
        <v>48620</v>
      </c>
      <c r="C15" s="29">
        <v>70.0</v>
      </c>
      <c r="D15" s="28" t="s">
        <v>48621</v>
      </c>
      <c r="E15" s="28" t="s">
        <v>48622</v>
      </c>
      <c r="F15" s="27">
        <v>463.0</v>
      </c>
      <c r="G15" s="30">
        <v>7.0264634E7</v>
      </c>
    </row>
    <row r="16" ht="12.75" customHeight="1">
      <c r="A16" s="31">
        <v>127.0</v>
      </c>
      <c r="B16" s="32" t="s">
        <v>48623</v>
      </c>
      <c r="C16" s="33">
        <v>70.0</v>
      </c>
      <c r="D16" s="32" t="s">
        <v>48624</v>
      </c>
      <c r="E16" s="32" t="s">
        <v>48625</v>
      </c>
      <c r="F16" s="33">
        <v>0.0</v>
      </c>
      <c r="G16" s="34">
        <v>7.0270002E7</v>
      </c>
    </row>
    <row r="17" ht="12.75" customHeight="1">
      <c r="A17" s="27">
        <v>127.0</v>
      </c>
      <c r="B17" s="28" t="s">
        <v>48626</v>
      </c>
      <c r="C17" s="29">
        <v>70.0</v>
      </c>
      <c r="D17" s="28" t="s">
        <v>48627</v>
      </c>
      <c r="E17" s="28" t="s">
        <v>48628</v>
      </c>
      <c r="F17" s="29">
        <v>13.0</v>
      </c>
      <c r="G17" s="30">
        <v>7.0270136E7</v>
      </c>
    </row>
    <row r="18" ht="12.75" customHeight="1">
      <c r="A18" s="31">
        <v>127.0</v>
      </c>
      <c r="B18" s="32" t="s">
        <v>48629</v>
      </c>
      <c r="C18" s="33">
        <v>70.0</v>
      </c>
      <c r="D18" s="32" t="s">
        <v>48630</v>
      </c>
      <c r="E18" s="32" t="s">
        <v>48631</v>
      </c>
      <c r="F18" s="33">
        <v>15.0</v>
      </c>
      <c r="G18" s="34">
        <v>7.0270152E7</v>
      </c>
    </row>
    <row r="19" ht="12.75" customHeight="1">
      <c r="A19" s="27">
        <v>127.0</v>
      </c>
      <c r="B19" s="28" t="s">
        <v>48632</v>
      </c>
      <c r="C19" s="29">
        <v>70.0</v>
      </c>
      <c r="D19" s="28" t="s">
        <v>48633</v>
      </c>
      <c r="E19" s="28" t="s">
        <v>48634</v>
      </c>
      <c r="F19" s="29">
        <v>16.0</v>
      </c>
      <c r="G19" s="30">
        <v>7.0270165E7</v>
      </c>
    </row>
    <row r="20" ht="12.75" customHeight="1">
      <c r="A20" s="31">
        <v>127.0</v>
      </c>
      <c r="B20" s="32" t="s">
        <v>48635</v>
      </c>
      <c r="C20" s="33">
        <v>70.0</v>
      </c>
      <c r="D20" s="32" t="s">
        <v>48636</v>
      </c>
      <c r="E20" s="32" t="s">
        <v>48637</v>
      </c>
      <c r="F20" s="33">
        <v>20.0</v>
      </c>
      <c r="G20" s="34">
        <v>7.0270202E7</v>
      </c>
    </row>
    <row r="21" ht="12.75" customHeight="1">
      <c r="A21" s="27">
        <v>127.0</v>
      </c>
      <c r="B21" s="28" t="s">
        <v>48638</v>
      </c>
      <c r="C21" s="29">
        <v>70.0</v>
      </c>
      <c r="D21" s="28" t="s">
        <v>48639</v>
      </c>
      <c r="E21" s="28" t="s">
        <v>48640</v>
      </c>
      <c r="F21" s="29">
        <v>21.0</v>
      </c>
      <c r="G21" s="30">
        <v>7.0270215E7</v>
      </c>
    </row>
    <row r="22" ht="12.75" customHeight="1">
      <c r="A22" s="31">
        <v>127.0</v>
      </c>
      <c r="B22" s="32" t="s">
        <v>48641</v>
      </c>
      <c r="C22" s="33">
        <v>70.0</v>
      </c>
      <c r="D22" s="32" t="s">
        <v>48642</v>
      </c>
      <c r="E22" s="32" t="s">
        <v>48643</v>
      </c>
      <c r="F22" s="33">
        <v>98.0</v>
      </c>
      <c r="G22" s="34">
        <v>7.0270981E7</v>
      </c>
    </row>
    <row r="23" ht="12.75" customHeight="1">
      <c r="A23" s="27">
        <v>127.0</v>
      </c>
      <c r="B23" s="28" t="s">
        <v>48644</v>
      </c>
      <c r="C23" s="29">
        <v>70.0</v>
      </c>
      <c r="D23" s="28" t="s">
        <v>48645</v>
      </c>
      <c r="E23" s="28" t="s">
        <v>48646</v>
      </c>
      <c r="F23" s="27">
        <v>142.0</v>
      </c>
      <c r="G23" s="30">
        <v>7.0271427E7</v>
      </c>
    </row>
    <row r="24" ht="12.75" customHeight="1">
      <c r="A24" s="31">
        <v>127.0</v>
      </c>
      <c r="B24" s="32" t="s">
        <v>48647</v>
      </c>
      <c r="C24" s="33">
        <v>70.0</v>
      </c>
      <c r="D24" s="32" t="s">
        <v>48648</v>
      </c>
      <c r="E24" s="32" t="s">
        <v>48649</v>
      </c>
      <c r="F24" s="31">
        <v>268.0</v>
      </c>
      <c r="G24" s="34">
        <v>7.0272684E7</v>
      </c>
    </row>
    <row r="25" ht="12.75" customHeight="1">
      <c r="A25" s="27">
        <v>127.0</v>
      </c>
      <c r="B25" s="28" t="s">
        <v>48650</v>
      </c>
      <c r="C25" s="29">
        <v>70.0</v>
      </c>
      <c r="D25" s="28" t="s">
        <v>48651</v>
      </c>
      <c r="E25" s="28" t="s">
        <v>48652</v>
      </c>
      <c r="F25" s="27">
        <v>323.0</v>
      </c>
      <c r="G25" s="30">
        <v>7.0273238E7</v>
      </c>
    </row>
    <row r="26" ht="12.75" customHeight="1">
      <c r="A26" s="31">
        <v>127.0</v>
      </c>
      <c r="B26" s="32" t="s">
        <v>48653</v>
      </c>
      <c r="C26" s="33">
        <v>70.0</v>
      </c>
      <c r="D26" s="32" t="s">
        <v>48654</v>
      </c>
      <c r="E26" s="32" t="s">
        <v>48655</v>
      </c>
      <c r="F26" s="31">
        <v>332.0</v>
      </c>
      <c r="G26" s="34">
        <v>7.027332E7</v>
      </c>
    </row>
    <row r="27" ht="12.75" customHeight="1">
      <c r="A27" s="27">
        <v>127.0</v>
      </c>
      <c r="B27" s="28" t="s">
        <v>48656</v>
      </c>
      <c r="C27" s="29">
        <v>70.0</v>
      </c>
      <c r="D27" s="28" t="s">
        <v>48657</v>
      </c>
      <c r="E27" s="28" t="s">
        <v>48658</v>
      </c>
      <c r="F27" s="27">
        <v>343.0</v>
      </c>
      <c r="G27" s="30">
        <v>7.0273438E7</v>
      </c>
    </row>
    <row r="28" ht="12.75" customHeight="1">
      <c r="A28" s="31">
        <v>127.0</v>
      </c>
      <c r="B28" s="32" t="s">
        <v>48659</v>
      </c>
      <c r="C28" s="33">
        <v>70.0</v>
      </c>
      <c r="D28" s="32" t="s">
        <v>48660</v>
      </c>
      <c r="E28" s="32" t="s">
        <v>48661</v>
      </c>
      <c r="F28" s="31">
        <v>403.0</v>
      </c>
      <c r="G28" s="34">
        <v>7.0274037E7</v>
      </c>
    </row>
    <row r="29" ht="12.75" customHeight="1">
      <c r="A29" s="27">
        <v>127.0</v>
      </c>
      <c r="B29" s="28" t="s">
        <v>48662</v>
      </c>
      <c r="C29" s="29">
        <v>70.0</v>
      </c>
      <c r="D29" s="28" t="s">
        <v>48663</v>
      </c>
      <c r="E29" s="28" t="s">
        <v>48664</v>
      </c>
      <c r="F29" s="27">
        <v>406.0</v>
      </c>
      <c r="G29" s="30">
        <v>7.0274066E7</v>
      </c>
    </row>
    <row r="30" ht="12.75" customHeight="1">
      <c r="A30" s="31">
        <v>127.0</v>
      </c>
      <c r="B30" s="32" t="s">
        <v>48665</v>
      </c>
      <c r="C30" s="33">
        <v>70.0</v>
      </c>
      <c r="D30" s="32" t="s">
        <v>48666</v>
      </c>
      <c r="E30" s="32" t="s">
        <v>48667</v>
      </c>
      <c r="F30" s="31">
        <v>418.0</v>
      </c>
      <c r="G30" s="34">
        <v>7.0274187E7</v>
      </c>
    </row>
    <row r="31" ht="12.75" customHeight="1">
      <c r="A31" s="27">
        <v>127.0</v>
      </c>
      <c r="B31" s="28" t="s">
        <v>48668</v>
      </c>
      <c r="C31" s="29">
        <v>70.0</v>
      </c>
      <c r="D31" s="28" t="s">
        <v>48669</v>
      </c>
      <c r="E31" s="28" t="s">
        <v>48670</v>
      </c>
      <c r="F31" s="27">
        <v>520.0</v>
      </c>
      <c r="G31" s="30">
        <v>7.0275207E7</v>
      </c>
    </row>
    <row r="32" ht="12.75" customHeight="1">
      <c r="A32" s="31">
        <v>127.0</v>
      </c>
      <c r="B32" s="32" t="s">
        <v>48671</v>
      </c>
      <c r="C32" s="33">
        <v>70.0</v>
      </c>
      <c r="D32" s="32" t="s">
        <v>48672</v>
      </c>
      <c r="E32" s="32" t="s">
        <v>48673</v>
      </c>
      <c r="F32" s="31">
        <v>535.0</v>
      </c>
      <c r="G32" s="34">
        <v>7.0275357E7</v>
      </c>
    </row>
    <row r="33" ht="12.75" customHeight="1">
      <c r="A33" s="27">
        <v>127.0</v>
      </c>
      <c r="B33" s="28" t="s">
        <v>48674</v>
      </c>
      <c r="C33" s="29">
        <v>70.0</v>
      </c>
      <c r="D33" s="28" t="s">
        <v>48675</v>
      </c>
      <c r="E33" s="28" t="s">
        <v>48676</v>
      </c>
      <c r="F33" s="27">
        <v>583.0</v>
      </c>
      <c r="G33" s="30">
        <v>7.0275836E7</v>
      </c>
    </row>
    <row r="34" ht="12.75" customHeight="1">
      <c r="A34" s="31">
        <v>127.0</v>
      </c>
      <c r="B34" s="32" t="s">
        <v>48677</v>
      </c>
      <c r="C34" s="33">
        <v>70.0</v>
      </c>
      <c r="D34" s="32" t="s">
        <v>48678</v>
      </c>
      <c r="E34" s="32" t="s">
        <v>48679</v>
      </c>
      <c r="F34" s="31">
        <v>613.0</v>
      </c>
      <c r="G34" s="34">
        <v>7.027613E7</v>
      </c>
    </row>
    <row r="35" ht="12.75" customHeight="1">
      <c r="A35" s="27">
        <v>127.0</v>
      </c>
      <c r="B35" s="28" t="s">
        <v>48680</v>
      </c>
      <c r="C35" s="29">
        <v>70.0</v>
      </c>
      <c r="D35" s="28" t="s">
        <v>48681</v>
      </c>
      <c r="E35" s="28" t="s">
        <v>48682</v>
      </c>
      <c r="F35" s="27">
        <v>634.0</v>
      </c>
      <c r="G35" s="30">
        <v>7.0276343E7</v>
      </c>
    </row>
    <row r="36" ht="12.75" customHeight="1">
      <c r="A36" s="31">
        <v>728.0</v>
      </c>
      <c r="B36" s="32" t="s">
        <v>48683</v>
      </c>
      <c r="C36" s="33">
        <v>70.0</v>
      </c>
      <c r="D36" s="32" t="s">
        <v>48684</v>
      </c>
      <c r="E36" s="32" t="s">
        <v>48685</v>
      </c>
      <c r="F36" s="33">
        <v>67.0</v>
      </c>
      <c r="G36" s="34">
        <v>7.0280676E7</v>
      </c>
    </row>
    <row r="37" ht="12.75" customHeight="1">
      <c r="A37" s="27">
        <v>329.0</v>
      </c>
      <c r="B37" s="28" t="s">
        <v>48686</v>
      </c>
      <c r="C37" s="29">
        <v>70.0</v>
      </c>
      <c r="D37" s="28" t="s">
        <v>48687</v>
      </c>
      <c r="E37" s="28" t="s">
        <v>48688</v>
      </c>
      <c r="F37" s="29">
        <v>52.0</v>
      </c>
      <c r="G37" s="30">
        <v>7.0290529E7</v>
      </c>
    </row>
    <row r="38" ht="12.75" customHeight="1">
      <c r="A38" s="31">
        <v>133.0</v>
      </c>
      <c r="B38" s="32" t="s">
        <v>48689</v>
      </c>
      <c r="C38" s="33">
        <v>70.0</v>
      </c>
      <c r="D38" s="32" t="s">
        <v>48690</v>
      </c>
      <c r="E38" s="32" t="s">
        <v>48691</v>
      </c>
      <c r="F38" s="33">
        <v>52.0</v>
      </c>
      <c r="G38" s="34">
        <v>7.0330526E7</v>
      </c>
    </row>
    <row r="39" ht="12.75" customHeight="1">
      <c r="A39" s="27">
        <v>133.0</v>
      </c>
      <c r="B39" s="28" t="s">
        <v>48692</v>
      </c>
      <c r="C39" s="29">
        <v>70.0</v>
      </c>
      <c r="D39" s="28" t="s">
        <v>48693</v>
      </c>
      <c r="E39" s="28" t="s">
        <v>48694</v>
      </c>
      <c r="F39" s="29">
        <v>79.0</v>
      </c>
      <c r="G39" s="30">
        <v>7.0330797E7</v>
      </c>
    </row>
    <row r="40" ht="12.75" customHeight="1">
      <c r="A40" s="31">
        <v>133.0</v>
      </c>
      <c r="B40" s="32" t="s">
        <v>48695</v>
      </c>
      <c r="C40" s="33">
        <v>70.0</v>
      </c>
      <c r="D40" s="32" t="s">
        <v>48696</v>
      </c>
      <c r="E40" s="32" t="s">
        <v>48697</v>
      </c>
      <c r="F40" s="33">
        <v>94.0</v>
      </c>
      <c r="G40" s="34">
        <v>7.0330942E7</v>
      </c>
    </row>
    <row r="41" ht="12.75" customHeight="1">
      <c r="A41" s="27">
        <v>133.0</v>
      </c>
      <c r="B41" s="28" t="s">
        <v>48698</v>
      </c>
      <c r="C41" s="29">
        <v>70.0</v>
      </c>
      <c r="D41" s="28" t="s">
        <v>48699</v>
      </c>
      <c r="E41" s="28" t="s">
        <v>48700</v>
      </c>
      <c r="F41" s="27">
        <v>163.0</v>
      </c>
      <c r="G41" s="30">
        <v>7.0331633E7</v>
      </c>
    </row>
    <row r="42" ht="12.75" customHeight="1">
      <c r="A42" s="31">
        <v>435.0</v>
      </c>
      <c r="B42" s="32" t="s">
        <v>48701</v>
      </c>
      <c r="C42" s="33">
        <v>70.0</v>
      </c>
      <c r="D42" s="32" t="s">
        <v>48702</v>
      </c>
      <c r="E42" s="32" t="s">
        <v>48703</v>
      </c>
      <c r="F42" s="33">
        <v>37.0</v>
      </c>
      <c r="G42" s="34">
        <v>7.0350377E7</v>
      </c>
    </row>
    <row r="43" ht="12.75" customHeight="1">
      <c r="A43" s="27">
        <v>435.0</v>
      </c>
      <c r="B43" s="28" t="s">
        <v>48704</v>
      </c>
      <c r="C43" s="29">
        <v>70.0</v>
      </c>
      <c r="D43" s="28" t="s">
        <v>48705</v>
      </c>
      <c r="E43" s="28" t="s">
        <v>48706</v>
      </c>
      <c r="F43" s="29">
        <v>73.0</v>
      </c>
      <c r="G43" s="30">
        <v>7.0350735E7</v>
      </c>
    </row>
    <row r="44" ht="12.75" customHeight="1">
      <c r="A44" s="31">
        <v>441.0</v>
      </c>
      <c r="B44" s="32" t="s">
        <v>48707</v>
      </c>
      <c r="C44" s="33">
        <v>70.0</v>
      </c>
      <c r="D44" s="32" t="s">
        <v>48708</v>
      </c>
      <c r="E44" s="32" t="s">
        <v>48709</v>
      </c>
      <c r="F44" s="33">
        <v>94.0</v>
      </c>
      <c r="G44" s="34">
        <v>7.0410941E7</v>
      </c>
    </row>
    <row r="45" ht="12.75" customHeight="1">
      <c r="A45" s="27">
        <v>447.0</v>
      </c>
      <c r="B45" s="28" t="s">
        <v>48710</v>
      </c>
      <c r="C45" s="29">
        <v>70.0</v>
      </c>
      <c r="D45" s="28" t="s">
        <v>48711</v>
      </c>
      <c r="E45" s="28" t="s">
        <v>48712</v>
      </c>
      <c r="F45" s="27">
        <v>154.0</v>
      </c>
      <c r="G45" s="30">
        <v>7.0471548E7</v>
      </c>
    </row>
    <row r="46" ht="12.75" customHeight="1">
      <c r="A46" s="31">
        <v>447.0</v>
      </c>
      <c r="B46" s="32" t="s">
        <v>48713</v>
      </c>
      <c r="C46" s="33">
        <v>70.0</v>
      </c>
      <c r="D46" s="32" t="s">
        <v>48714</v>
      </c>
      <c r="E46" s="32" t="s">
        <v>48715</v>
      </c>
      <c r="F46" s="31">
        <v>216.0</v>
      </c>
      <c r="G46" s="34">
        <v>7.0472163E7</v>
      </c>
    </row>
    <row r="47" ht="12.75" customHeight="1">
      <c r="A47" s="27">
        <v>148.0</v>
      </c>
      <c r="B47" s="28" t="s">
        <v>48716</v>
      </c>
      <c r="C47" s="29">
        <v>70.0</v>
      </c>
      <c r="D47" s="28" t="s">
        <v>48717</v>
      </c>
      <c r="E47" s="28" t="s">
        <v>48718</v>
      </c>
      <c r="F47" s="29">
        <v>19.0</v>
      </c>
      <c r="G47" s="30">
        <v>7.0480197E7</v>
      </c>
    </row>
    <row r="48" ht="12.75" customHeight="1">
      <c r="A48" s="31">
        <v>148.0</v>
      </c>
      <c r="B48" s="32" t="s">
        <v>48719</v>
      </c>
      <c r="C48" s="33">
        <v>70.0</v>
      </c>
      <c r="D48" s="32" t="s">
        <v>48720</v>
      </c>
      <c r="E48" s="32" t="s">
        <v>48721</v>
      </c>
      <c r="F48" s="31">
        <v>115.0</v>
      </c>
      <c r="G48" s="34">
        <v>7.0481154E7</v>
      </c>
    </row>
    <row r="49" ht="12.75" customHeight="1">
      <c r="A49" s="27">
        <v>450.0</v>
      </c>
      <c r="B49" s="28" t="s">
        <v>48722</v>
      </c>
      <c r="C49" s="29">
        <v>70.0</v>
      </c>
      <c r="D49" s="28" t="s">
        <v>48723</v>
      </c>
      <c r="E49" s="28" t="s">
        <v>48724</v>
      </c>
      <c r="F49" s="29">
        <v>94.0</v>
      </c>
      <c r="G49" s="30">
        <v>7.0500943E7</v>
      </c>
    </row>
    <row r="50" ht="12.75" customHeight="1">
      <c r="A50" s="31">
        <v>251.0</v>
      </c>
      <c r="B50" s="32" t="s">
        <v>48725</v>
      </c>
      <c r="C50" s="33">
        <v>70.0</v>
      </c>
      <c r="D50" s="32" t="s">
        <v>48726</v>
      </c>
      <c r="E50" s="32" t="s">
        <v>48727</v>
      </c>
      <c r="F50" s="33">
        <v>19.0</v>
      </c>
      <c r="G50" s="34">
        <v>7.0510191E7</v>
      </c>
    </row>
    <row r="51" ht="12.75" customHeight="1">
      <c r="A51" s="27">
        <v>251.0</v>
      </c>
      <c r="B51" s="28" t="s">
        <v>48728</v>
      </c>
      <c r="C51" s="29">
        <v>70.0</v>
      </c>
      <c r="D51" s="28" t="s">
        <v>48729</v>
      </c>
      <c r="E51" s="28" t="s">
        <v>48730</v>
      </c>
      <c r="F51" s="27">
        <v>103.0</v>
      </c>
      <c r="G51" s="30">
        <v>7.0511037E7</v>
      </c>
    </row>
    <row r="52" ht="12.75" customHeight="1">
      <c r="A52" s="31">
        <v>858.0</v>
      </c>
      <c r="B52" s="32" t="s">
        <v>48731</v>
      </c>
      <c r="C52" s="33">
        <v>70.0</v>
      </c>
      <c r="D52" s="32" t="s">
        <v>48732</v>
      </c>
      <c r="E52" s="32" t="s">
        <v>48733</v>
      </c>
      <c r="F52" s="31">
        <v>118.0</v>
      </c>
      <c r="G52" s="34">
        <v>7.0581188E7</v>
      </c>
    </row>
    <row r="53" ht="12.75" customHeight="1">
      <c r="A53" s="27">
        <v>159.0</v>
      </c>
      <c r="B53" s="28" t="s">
        <v>48734</v>
      </c>
      <c r="C53" s="29">
        <v>70.0</v>
      </c>
      <c r="D53" s="28" t="s">
        <v>48735</v>
      </c>
      <c r="E53" s="28" t="s">
        <v>48736</v>
      </c>
      <c r="F53" s="29">
        <v>15.0</v>
      </c>
      <c r="G53" s="30">
        <v>7.0590153E7</v>
      </c>
    </row>
    <row r="54" ht="12.75" customHeight="1">
      <c r="A54" s="31">
        <v>159.0</v>
      </c>
      <c r="B54" s="32" t="s">
        <v>48737</v>
      </c>
      <c r="C54" s="33">
        <v>70.0</v>
      </c>
      <c r="D54" s="32" t="s">
        <v>48738</v>
      </c>
      <c r="E54" s="32" t="s">
        <v>48739</v>
      </c>
      <c r="F54" s="33">
        <v>88.0</v>
      </c>
      <c r="G54" s="34">
        <v>7.0590887E7</v>
      </c>
    </row>
    <row r="55" ht="12.75" customHeight="1">
      <c r="A55" s="27">
        <v>159.0</v>
      </c>
      <c r="B55" s="28" t="s">
        <v>48740</v>
      </c>
      <c r="C55" s="29">
        <v>70.0</v>
      </c>
      <c r="D55" s="28" t="s">
        <v>48741</v>
      </c>
      <c r="E55" s="28" t="s">
        <v>48742</v>
      </c>
      <c r="F55" s="27">
        <v>128.0</v>
      </c>
      <c r="G55" s="30">
        <v>7.0591286E7</v>
      </c>
    </row>
    <row r="56" ht="12.75" customHeight="1">
      <c r="A56" s="31">
        <v>159.0</v>
      </c>
      <c r="B56" s="32" t="s">
        <v>48743</v>
      </c>
      <c r="C56" s="33">
        <v>70.0</v>
      </c>
      <c r="D56" s="32" t="s">
        <v>48744</v>
      </c>
      <c r="E56" s="32" t="s">
        <v>48745</v>
      </c>
      <c r="F56" s="31">
        <v>166.0</v>
      </c>
      <c r="G56" s="34">
        <v>7.059166E7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161.0</v>
      </c>
      <c r="B1" s="28" t="s">
        <v>48746</v>
      </c>
      <c r="C1" s="29">
        <v>70.0</v>
      </c>
      <c r="D1" s="28" t="s">
        <v>48747</v>
      </c>
      <c r="E1" s="28" t="s">
        <v>48748</v>
      </c>
      <c r="F1" s="27">
        <v>175.0</v>
      </c>
      <c r="G1" s="30">
        <v>7.0611753E7</v>
      </c>
    </row>
    <row r="2" ht="12.75" customHeight="1">
      <c r="A2" s="31">
        <v>564.0</v>
      </c>
      <c r="B2" s="32" t="s">
        <v>48749</v>
      </c>
      <c r="C2" s="33">
        <v>70.0</v>
      </c>
      <c r="D2" s="32" t="s">
        <v>48750</v>
      </c>
      <c r="E2" s="32" t="s">
        <v>48751</v>
      </c>
      <c r="F2" s="31">
        <v>109.0</v>
      </c>
      <c r="G2" s="34">
        <v>7.0641099E7</v>
      </c>
    </row>
    <row r="3" ht="12.75" customHeight="1">
      <c r="A3" s="27">
        <v>167.0</v>
      </c>
      <c r="B3" s="28" t="s">
        <v>48752</v>
      </c>
      <c r="C3" s="29">
        <v>70.0</v>
      </c>
      <c r="D3" s="28" t="s">
        <v>48753</v>
      </c>
      <c r="E3" s="28" t="s">
        <v>48754</v>
      </c>
      <c r="F3" s="29">
        <v>52.0</v>
      </c>
      <c r="G3" s="30">
        <v>7.0670523E7</v>
      </c>
    </row>
    <row r="4" ht="12.75" customHeight="1">
      <c r="A4" s="31">
        <v>167.0</v>
      </c>
      <c r="B4" s="32" t="s">
        <v>48755</v>
      </c>
      <c r="C4" s="33">
        <v>70.0</v>
      </c>
      <c r="D4" s="32" t="s">
        <v>48756</v>
      </c>
      <c r="E4" s="32" t="s">
        <v>48757</v>
      </c>
      <c r="F4" s="31">
        <v>118.0</v>
      </c>
      <c r="G4" s="34">
        <v>7.067118E7</v>
      </c>
    </row>
    <row r="5" ht="12.75" customHeight="1">
      <c r="A5" s="27">
        <v>168.0</v>
      </c>
      <c r="B5" s="28" t="s">
        <v>48758</v>
      </c>
      <c r="C5" s="29">
        <v>70.0</v>
      </c>
      <c r="D5" s="28" t="s">
        <v>48759</v>
      </c>
      <c r="E5" s="28" t="s">
        <v>48760</v>
      </c>
      <c r="F5" s="29">
        <v>55.0</v>
      </c>
      <c r="G5" s="30">
        <v>7.0680555E7</v>
      </c>
    </row>
    <row r="6" ht="12.75" customHeight="1">
      <c r="A6" s="31">
        <v>168.0</v>
      </c>
      <c r="B6" s="32" t="s">
        <v>48761</v>
      </c>
      <c r="C6" s="33">
        <v>70.0</v>
      </c>
      <c r="D6" s="32" t="s">
        <v>48762</v>
      </c>
      <c r="E6" s="32" t="s">
        <v>48763</v>
      </c>
      <c r="F6" s="33">
        <v>67.0</v>
      </c>
      <c r="G6" s="34">
        <v>7.0680676E7</v>
      </c>
    </row>
    <row r="7" ht="12.75" customHeight="1">
      <c r="A7" s="27">
        <v>275.0</v>
      </c>
      <c r="B7" s="28" t="s">
        <v>48764</v>
      </c>
      <c r="C7" s="29">
        <v>70.0</v>
      </c>
      <c r="D7" s="28" t="s">
        <v>48765</v>
      </c>
      <c r="E7" s="28" t="s">
        <v>48766</v>
      </c>
      <c r="F7" s="29">
        <v>21.0</v>
      </c>
      <c r="G7" s="30">
        <v>7.0750214E7</v>
      </c>
    </row>
    <row r="8" ht="12.75" customHeight="1">
      <c r="A8" s="31">
        <v>275.0</v>
      </c>
      <c r="B8" s="32" t="s">
        <v>48767</v>
      </c>
      <c r="C8" s="33">
        <v>70.0</v>
      </c>
      <c r="D8" s="32" t="s">
        <v>48768</v>
      </c>
      <c r="E8" s="32" t="s">
        <v>48769</v>
      </c>
      <c r="F8" s="33">
        <v>58.0</v>
      </c>
      <c r="G8" s="34">
        <v>7.075058E7</v>
      </c>
    </row>
    <row r="9" ht="12.75" customHeight="1">
      <c r="A9" s="27">
        <v>275.0</v>
      </c>
      <c r="B9" s="28" t="s">
        <v>48770</v>
      </c>
      <c r="C9" s="29">
        <v>70.0</v>
      </c>
      <c r="D9" s="28" t="s">
        <v>48771</v>
      </c>
      <c r="E9" s="28" t="s">
        <v>48772</v>
      </c>
      <c r="F9" s="27">
        <v>223.0</v>
      </c>
      <c r="G9" s="30">
        <v>7.0752238E7</v>
      </c>
    </row>
    <row r="10" ht="12.75" customHeight="1">
      <c r="A10" s="31">
        <v>576.0</v>
      </c>
      <c r="B10" s="32" t="s">
        <v>48773</v>
      </c>
      <c r="C10" s="33">
        <v>70.0</v>
      </c>
      <c r="D10" s="32" t="s">
        <v>48774</v>
      </c>
      <c r="E10" s="32" t="s">
        <v>48775</v>
      </c>
      <c r="F10" s="31">
        <v>121.0</v>
      </c>
      <c r="G10" s="34">
        <v>7.0761216E7</v>
      </c>
    </row>
    <row r="11" ht="12.75" customHeight="1">
      <c r="A11" s="27">
        <v>777.0</v>
      </c>
      <c r="B11" s="28" t="s">
        <v>48776</v>
      </c>
      <c r="C11" s="29">
        <v>70.0</v>
      </c>
      <c r="D11" s="28" t="s">
        <v>48777</v>
      </c>
      <c r="E11" s="28" t="s">
        <v>48778</v>
      </c>
      <c r="F11" s="29">
        <v>55.0</v>
      </c>
      <c r="G11" s="30">
        <v>7.0770557E7</v>
      </c>
    </row>
    <row r="12" ht="12.75" customHeight="1">
      <c r="A12" s="31">
        <v>581.0</v>
      </c>
      <c r="B12" s="32" t="s">
        <v>48779</v>
      </c>
      <c r="C12" s="33">
        <v>70.0</v>
      </c>
      <c r="D12" s="32" t="s">
        <v>48780</v>
      </c>
      <c r="E12" s="32" t="s">
        <v>48781</v>
      </c>
      <c r="F12" s="31">
        <v>193.0</v>
      </c>
      <c r="G12" s="34">
        <v>7.0811937E7</v>
      </c>
    </row>
    <row r="13" ht="12.75" customHeight="1">
      <c r="A13" s="27">
        <v>382.0</v>
      </c>
      <c r="B13" s="28" t="s">
        <v>48782</v>
      </c>
      <c r="C13" s="29">
        <v>70.0</v>
      </c>
      <c r="D13" s="28" t="s">
        <v>48783</v>
      </c>
      <c r="E13" s="28" t="s">
        <v>48784</v>
      </c>
      <c r="F13" s="29">
        <v>67.0</v>
      </c>
      <c r="G13" s="30">
        <v>7.0820678E7</v>
      </c>
    </row>
    <row r="14" ht="12.75" customHeight="1">
      <c r="A14" s="31">
        <v>785.0</v>
      </c>
      <c r="B14" s="32" t="s">
        <v>48785</v>
      </c>
      <c r="C14" s="33">
        <v>70.0</v>
      </c>
      <c r="D14" s="32" t="s">
        <v>48786</v>
      </c>
      <c r="E14" s="32" t="s">
        <v>48787</v>
      </c>
      <c r="F14" s="31">
        <v>145.0</v>
      </c>
      <c r="G14" s="34">
        <v>7.085145E7</v>
      </c>
    </row>
    <row r="15" ht="12.75" customHeight="1">
      <c r="A15" s="27">
        <v>688.0</v>
      </c>
      <c r="B15" s="28" t="s">
        <v>48788</v>
      </c>
      <c r="C15" s="29">
        <v>70.0</v>
      </c>
      <c r="D15" s="28" t="s">
        <v>48789</v>
      </c>
      <c r="E15" s="28" t="s">
        <v>48790</v>
      </c>
      <c r="F15" s="29">
        <v>5.0</v>
      </c>
      <c r="G15" s="30">
        <v>7.088005E7</v>
      </c>
    </row>
    <row r="16" ht="12.75" customHeight="1">
      <c r="A16" s="31">
        <v>890.0</v>
      </c>
      <c r="B16" s="32" t="s">
        <v>48791</v>
      </c>
      <c r="C16" s="33">
        <v>70.0</v>
      </c>
      <c r="D16" s="32" t="s">
        <v>48792</v>
      </c>
      <c r="E16" s="32" t="s">
        <v>48793</v>
      </c>
      <c r="F16" s="33">
        <v>49.0</v>
      </c>
      <c r="G16" s="34">
        <v>7.0900493E7</v>
      </c>
    </row>
    <row r="17" ht="12.75" customHeight="1">
      <c r="A17" s="27">
        <v>891.0</v>
      </c>
      <c r="B17" s="28" t="s">
        <v>48794</v>
      </c>
      <c r="C17" s="29">
        <v>70.0</v>
      </c>
      <c r="D17" s="28" t="s">
        <v>48795</v>
      </c>
      <c r="E17" s="28" t="s">
        <v>48796</v>
      </c>
      <c r="F17" s="29">
        <v>31.0</v>
      </c>
      <c r="G17" s="30">
        <v>7.0910317E7</v>
      </c>
    </row>
    <row r="18" ht="12.75" customHeight="1">
      <c r="A18" s="31">
        <v>891.0</v>
      </c>
      <c r="B18" s="32" t="s">
        <v>48797</v>
      </c>
      <c r="C18" s="33">
        <v>70.0</v>
      </c>
      <c r="D18" s="32" t="s">
        <v>48798</v>
      </c>
      <c r="E18" s="32" t="s">
        <v>48799</v>
      </c>
      <c r="F18" s="31">
        <v>250.0</v>
      </c>
      <c r="G18" s="34">
        <v>7.0912502E7</v>
      </c>
    </row>
    <row r="19" ht="12.75" customHeight="1">
      <c r="A19" s="27">
        <v>891.0</v>
      </c>
      <c r="B19" s="28" t="s">
        <v>48800</v>
      </c>
      <c r="C19" s="29">
        <v>70.0</v>
      </c>
      <c r="D19" s="28" t="s">
        <v>48801</v>
      </c>
      <c r="E19" s="28" t="s">
        <v>48802</v>
      </c>
      <c r="F19" s="27">
        <v>303.0</v>
      </c>
      <c r="G19" s="30">
        <v>7.0913035E7</v>
      </c>
    </row>
    <row r="20" ht="12.75" customHeight="1">
      <c r="A20" s="31">
        <v>891.0</v>
      </c>
      <c r="B20" s="32" t="s">
        <v>48803</v>
      </c>
      <c r="C20" s="33">
        <v>70.0</v>
      </c>
      <c r="D20" s="32" t="s">
        <v>48804</v>
      </c>
      <c r="E20" s="32" t="s">
        <v>48805</v>
      </c>
      <c r="F20" s="31">
        <v>373.0</v>
      </c>
      <c r="G20" s="34">
        <v>7.091373E7</v>
      </c>
    </row>
    <row r="21" ht="12.75" customHeight="1">
      <c r="A21" s="27">
        <v>891.0</v>
      </c>
      <c r="B21" s="28" t="s">
        <v>48806</v>
      </c>
      <c r="C21" s="29">
        <v>70.0</v>
      </c>
      <c r="D21" s="28" t="s">
        <v>48807</v>
      </c>
      <c r="E21" s="28" t="s">
        <v>48808</v>
      </c>
      <c r="F21" s="27">
        <v>379.0</v>
      </c>
      <c r="G21" s="30">
        <v>7.0913798E7</v>
      </c>
    </row>
    <row r="22" ht="12.75" customHeight="1">
      <c r="A22" s="31">
        <v>193.0</v>
      </c>
      <c r="B22" s="32" t="s">
        <v>48809</v>
      </c>
      <c r="C22" s="33">
        <v>70.0</v>
      </c>
      <c r="D22" s="32" t="s">
        <v>48810</v>
      </c>
      <c r="E22" s="32" t="s">
        <v>48811</v>
      </c>
      <c r="F22" s="31">
        <v>229.0</v>
      </c>
      <c r="G22" s="34">
        <v>7.093229E7</v>
      </c>
    </row>
    <row r="23" ht="12.75" customHeight="1">
      <c r="A23" s="27">
        <v>215.0</v>
      </c>
      <c r="B23" s="28" t="s">
        <v>48812</v>
      </c>
      <c r="C23" s="29">
        <v>75.0</v>
      </c>
      <c r="D23" s="28" t="s">
        <v>48813</v>
      </c>
      <c r="E23" s="28" t="s">
        <v>48814</v>
      </c>
      <c r="F23" s="27">
        <v>196.0</v>
      </c>
      <c r="G23" s="30">
        <v>7.5151968E7</v>
      </c>
    </row>
    <row r="24" ht="12.75" customHeight="1">
      <c r="A24" s="31">
        <v>126.0</v>
      </c>
      <c r="B24" s="32" t="s">
        <v>48815</v>
      </c>
      <c r="C24" s="33">
        <v>75.0</v>
      </c>
      <c r="D24" s="32" t="s">
        <v>48816</v>
      </c>
      <c r="E24" s="32" t="s">
        <v>48817</v>
      </c>
      <c r="F24" s="31">
        <v>118.0</v>
      </c>
      <c r="G24" s="34">
        <v>7.5261182E7</v>
      </c>
    </row>
    <row r="25" ht="12.75" customHeight="1">
      <c r="A25" s="27">
        <v>126.0</v>
      </c>
      <c r="B25" s="28" t="s">
        <v>48818</v>
      </c>
      <c r="C25" s="29">
        <v>75.0</v>
      </c>
      <c r="D25" s="28" t="s">
        <v>48819</v>
      </c>
      <c r="E25" s="28" t="s">
        <v>48820</v>
      </c>
      <c r="F25" s="27">
        <v>172.0</v>
      </c>
      <c r="G25" s="30">
        <v>7.5261724E7</v>
      </c>
    </row>
    <row r="26" ht="12.75" customHeight="1">
      <c r="A26" s="31">
        <v>127.0</v>
      </c>
      <c r="B26" s="32" t="s">
        <v>48821</v>
      </c>
      <c r="C26" s="33">
        <v>75.0</v>
      </c>
      <c r="D26" s="32" t="s">
        <v>48822</v>
      </c>
      <c r="E26" s="32" t="s">
        <v>48823</v>
      </c>
      <c r="F26" s="33">
        <v>0.0</v>
      </c>
      <c r="G26" s="34">
        <v>7.5270007E7</v>
      </c>
    </row>
    <row r="27" ht="12.75" customHeight="1">
      <c r="A27" s="27">
        <v>127.0</v>
      </c>
      <c r="B27" s="28" t="s">
        <v>48824</v>
      </c>
      <c r="C27" s="29">
        <v>75.0</v>
      </c>
      <c r="D27" s="28" t="s">
        <v>48825</v>
      </c>
      <c r="E27" s="28" t="s">
        <v>48826</v>
      </c>
      <c r="F27" s="27">
        <v>424.0</v>
      </c>
      <c r="G27" s="30">
        <v>7.5274245E7</v>
      </c>
    </row>
    <row r="28" ht="12.75" customHeight="1">
      <c r="A28" s="31">
        <v>215.0</v>
      </c>
      <c r="B28" s="32" t="s">
        <v>48827</v>
      </c>
      <c r="C28" s="33">
        <v>80.0</v>
      </c>
      <c r="D28" s="32" t="s">
        <v>48828</v>
      </c>
      <c r="E28" s="32" t="s">
        <v>48829</v>
      </c>
      <c r="F28" s="31">
        <v>196.0</v>
      </c>
      <c r="G28" s="34">
        <v>8.0151966E7</v>
      </c>
    </row>
    <row r="29" ht="12.75" customHeight="1">
      <c r="A29" s="27">
        <v>126.0</v>
      </c>
      <c r="B29" s="28" t="s">
        <v>48830</v>
      </c>
      <c r="C29" s="29">
        <v>80.0</v>
      </c>
      <c r="D29" s="28" t="s">
        <v>48831</v>
      </c>
      <c r="E29" s="28" t="s">
        <v>48832</v>
      </c>
      <c r="F29" s="29">
        <v>85.0</v>
      </c>
      <c r="G29" s="30">
        <v>8.0260857E7</v>
      </c>
    </row>
    <row r="30" ht="12.75" customHeight="1">
      <c r="A30" s="31">
        <v>126.0</v>
      </c>
      <c r="B30" s="32" t="s">
        <v>48833</v>
      </c>
      <c r="C30" s="33">
        <v>80.0</v>
      </c>
      <c r="D30" s="32" t="s">
        <v>48834</v>
      </c>
      <c r="E30" s="32" t="s">
        <v>48835</v>
      </c>
      <c r="F30" s="31">
        <v>118.0</v>
      </c>
      <c r="G30" s="34">
        <v>8.026118E7</v>
      </c>
    </row>
    <row r="31" ht="12.75" customHeight="1">
      <c r="A31" s="27">
        <v>126.0</v>
      </c>
      <c r="B31" s="28" t="s">
        <v>48836</v>
      </c>
      <c r="C31" s="29">
        <v>80.0</v>
      </c>
      <c r="D31" s="28" t="s">
        <v>48837</v>
      </c>
      <c r="E31" s="28" t="s">
        <v>48838</v>
      </c>
      <c r="F31" s="27">
        <v>172.0</v>
      </c>
      <c r="G31" s="30">
        <v>8.0261722E7</v>
      </c>
    </row>
    <row r="32" ht="12.75" customHeight="1">
      <c r="A32" s="31">
        <v>126.0</v>
      </c>
      <c r="B32" s="32" t="s">
        <v>48839</v>
      </c>
      <c r="C32" s="33">
        <v>80.0</v>
      </c>
      <c r="D32" s="32" t="s">
        <v>48840</v>
      </c>
      <c r="E32" s="32" t="s">
        <v>48841</v>
      </c>
      <c r="F32" s="31">
        <v>298.0</v>
      </c>
      <c r="G32" s="34">
        <v>8.0262989E7</v>
      </c>
    </row>
    <row r="33" ht="12.75" customHeight="1">
      <c r="A33" s="27">
        <v>126.0</v>
      </c>
      <c r="B33" s="28" t="s">
        <v>48842</v>
      </c>
      <c r="C33" s="29">
        <v>80.0</v>
      </c>
      <c r="D33" s="28" t="s">
        <v>48843</v>
      </c>
      <c r="E33" s="28" t="s">
        <v>48844</v>
      </c>
      <c r="F33" s="27">
        <v>361.0</v>
      </c>
      <c r="G33" s="30">
        <v>8.0263612E7</v>
      </c>
    </row>
    <row r="34" ht="12.75" customHeight="1">
      <c r="A34" s="31">
        <v>126.0</v>
      </c>
      <c r="B34" s="32" t="s">
        <v>48845</v>
      </c>
      <c r="C34" s="33">
        <v>80.0</v>
      </c>
      <c r="D34" s="32" t="s">
        <v>48846</v>
      </c>
      <c r="E34" s="32" t="s">
        <v>48847</v>
      </c>
      <c r="F34" s="31">
        <v>448.0</v>
      </c>
      <c r="G34" s="34">
        <v>8.0264482E7</v>
      </c>
    </row>
    <row r="35" ht="12.75" customHeight="1">
      <c r="A35" s="27">
        <v>126.0</v>
      </c>
      <c r="B35" s="28" t="s">
        <v>48848</v>
      </c>
      <c r="C35" s="29">
        <v>80.0</v>
      </c>
      <c r="D35" s="28" t="s">
        <v>48849</v>
      </c>
      <c r="E35" s="28" t="s">
        <v>48850</v>
      </c>
      <c r="F35" s="27">
        <v>463.0</v>
      </c>
      <c r="G35" s="30">
        <v>8.0264637E7</v>
      </c>
    </row>
    <row r="36" ht="12.75" customHeight="1">
      <c r="A36" s="31">
        <v>127.0</v>
      </c>
      <c r="B36" s="32" t="s">
        <v>48851</v>
      </c>
      <c r="C36" s="33">
        <v>80.0</v>
      </c>
      <c r="D36" s="32" t="s">
        <v>48852</v>
      </c>
      <c r="E36" s="32" t="s">
        <v>48853</v>
      </c>
      <c r="F36" s="33">
        <v>0.0</v>
      </c>
      <c r="G36" s="34">
        <v>8.0270005E7</v>
      </c>
    </row>
    <row r="37" ht="12.75" customHeight="1">
      <c r="A37" s="27">
        <v>127.0</v>
      </c>
      <c r="B37" s="28" t="s">
        <v>48854</v>
      </c>
      <c r="C37" s="29">
        <v>80.0</v>
      </c>
      <c r="D37" s="28" t="s">
        <v>48855</v>
      </c>
      <c r="E37" s="28" t="s">
        <v>48856</v>
      </c>
      <c r="F37" s="27">
        <v>151.0</v>
      </c>
      <c r="G37" s="30">
        <v>8.0271512E7</v>
      </c>
    </row>
    <row r="38" ht="12.75" customHeight="1">
      <c r="A38" s="31">
        <v>167.0</v>
      </c>
      <c r="B38" s="32" t="s">
        <v>48857</v>
      </c>
      <c r="C38" s="33">
        <v>80.0</v>
      </c>
      <c r="D38" s="32" t="s">
        <v>48858</v>
      </c>
      <c r="E38" s="32" t="s">
        <v>48859</v>
      </c>
      <c r="F38" s="31">
        <v>118.0</v>
      </c>
      <c r="G38" s="34">
        <v>8.0671183E7</v>
      </c>
    </row>
    <row r="39" ht="12.75" customHeight="1">
      <c r="A39" s="27">
        <v>891.0</v>
      </c>
      <c r="B39" s="28" t="s">
        <v>48860</v>
      </c>
      <c r="C39" s="29">
        <v>80.0</v>
      </c>
      <c r="D39" s="28" t="s">
        <v>48861</v>
      </c>
      <c r="E39" s="28" t="s">
        <v>48862</v>
      </c>
      <c r="F39" s="27">
        <v>367.0</v>
      </c>
      <c r="G39" s="30">
        <v>8.091367E7</v>
      </c>
    </row>
    <row r="40" ht="12.75" customHeight="1">
      <c r="A40" s="31">
        <v>306.0</v>
      </c>
      <c r="B40" s="32" t="s">
        <v>48863</v>
      </c>
      <c r="C40" s="33">
        <v>85.0</v>
      </c>
      <c r="D40" s="32" t="s">
        <v>48864</v>
      </c>
      <c r="E40" s="32" t="s">
        <v>48865</v>
      </c>
      <c r="F40" s="33">
        <v>28.0</v>
      </c>
      <c r="G40" s="34">
        <v>8.5060281E7</v>
      </c>
    </row>
    <row r="41" ht="12.75" customHeight="1">
      <c r="A41" s="27">
        <v>610.0</v>
      </c>
      <c r="B41" s="28" t="s">
        <v>48866</v>
      </c>
      <c r="C41" s="29">
        <v>85.0</v>
      </c>
      <c r="D41" s="28" t="s">
        <v>48867</v>
      </c>
      <c r="E41" s="28" t="s">
        <v>48868</v>
      </c>
      <c r="F41" s="29">
        <v>37.0</v>
      </c>
      <c r="G41" s="30">
        <v>8.510037E7</v>
      </c>
    </row>
    <row r="42" ht="12.75" customHeight="1">
      <c r="A42" s="31">
        <v>610.0</v>
      </c>
      <c r="B42" s="32" t="s">
        <v>48869</v>
      </c>
      <c r="C42" s="33">
        <v>85.0</v>
      </c>
      <c r="D42" s="32" t="s">
        <v>48870</v>
      </c>
      <c r="E42" s="32" t="s">
        <v>48871</v>
      </c>
      <c r="F42" s="31">
        <v>274.0</v>
      </c>
      <c r="G42" s="34">
        <v>8.5102749E7</v>
      </c>
    </row>
    <row r="43" ht="12.75" customHeight="1">
      <c r="A43" s="27">
        <v>112.0</v>
      </c>
      <c r="B43" s="28" t="s">
        <v>48872</v>
      </c>
      <c r="C43" s="29">
        <v>85.0</v>
      </c>
      <c r="D43" s="28" t="s">
        <v>48873</v>
      </c>
      <c r="E43" s="28" t="s">
        <v>48874</v>
      </c>
      <c r="F43" s="29">
        <v>10.0</v>
      </c>
      <c r="G43" s="30">
        <v>8.5120105E7</v>
      </c>
    </row>
    <row r="44" ht="12.75" customHeight="1">
      <c r="A44" s="31">
        <v>215.0</v>
      </c>
      <c r="B44" s="32" t="s">
        <v>48875</v>
      </c>
      <c r="C44" s="33">
        <v>85.0</v>
      </c>
      <c r="D44" s="32" t="s">
        <v>48876</v>
      </c>
      <c r="E44" s="32" t="s">
        <v>48877</v>
      </c>
      <c r="F44" s="33">
        <v>13.0</v>
      </c>
      <c r="G44" s="34">
        <v>8.5150133E7</v>
      </c>
    </row>
    <row r="45" ht="12.75" customHeight="1">
      <c r="A45" s="27">
        <v>215.0</v>
      </c>
      <c r="B45" s="28" t="s">
        <v>48878</v>
      </c>
      <c r="C45" s="29">
        <v>85.0</v>
      </c>
      <c r="D45" s="28" t="s">
        <v>48879</v>
      </c>
      <c r="E45" s="28" t="s">
        <v>48880</v>
      </c>
      <c r="F45" s="29">
        <v>46.0</v>
      </c>
      <c r="G45" s="30">
        <v>8.5150467E7</v>
      </c>
    </row>
    <row r="46" ht="12.75" customHeight="1">
      <c r="A46" s="31">
        <v>215.0</v>
      </c>
      <c r="B46" s="32" t="s">
        <v>48881</v>
      </c>
      <c r="C46" s="33">
        <v>85.0</v>
      </c>
      <c r="D46" s="32" t="s">
        <v>48882</v>
      </c>
      <c r="E46" s="32" t="s">
        <v>48883</v>
      </c>
      <c r="F46" s="31">
        <v>148.0</v>
      </c>
      <c r="G46" s="34">
        <v>8.5151482E7</v>
      </c>
    </row>
    <row r="47" ht="12.75" customHeight="1">
      <c r="A47" s="27">
        <v>215.0</v>
      </c>
      <c r="B47" s="28" t="s">
        <v>48884</v>
      </c>
      <c r="C47" s="29">
        <v>85.0</v>
      </c>
      <c r="D47" s="28" t="s">
        <v>48885</v>
      </c>
      <c r="E47" s="28" t="s">
        <v>48886</v>
      </c>
      <c r="F47" s="27">
        <v>274.0</v>
      </c>
      <c r="G47" s="30">
        <v>8.5152744E7</v>
      </c>
    </row>
    <row r="48" ht="12.75" customHeight="1">
      <c r="A48" s="31">
        <v>215.0</v>
      </c>
      <c r="B48" s="32" t="s">
        <v>48887</v>
      </c>
      <c r="C48" s="33">
        <v>85.0</v>
      </c>
      <c r="D48" s="32" t="s">
        <v>48888</v>
      </c>
      <c r="E48" s="32" t="s">
        <v>48889</v>
      </c>
      <c r="F48" s="31">
        <v>301.0</v>
      </c>
      <c r="G48" s="34">
        <v>8.5153019E7</v>
      </c>
    </row>
    <row r="49" ht="12.75" customHeight="1">
      <c r="A49" s="27">
        <v>215.0</v>
      </c>
      <c r="B49" s="28" t="s">
        <v>48890</v>
      </c>
      <c r="C49" s="29">
        <v>85.0</v>
      </c>
      <c r="D49" s="28" t="s">
        <v>48891</v>
      </c>
      <c r="E49" s="28" t="s">
        <v>48892</v>
      </c>
      <c r="F49" s="27">
        <v>316.0</v>
      </c>
      <c r="G49" s="30">
        <v>8.5153169E7</v>
      </c>
    </row>
    <row r="50" ht="12.75" customHeight="1">
      <c r="A50" s="31">
        <v>215.0</v>
      </c>
      <c r="B50" s="32" t="s">
        <v>48893</v>
      </c>
      <c r="C50" s="33">
        <v>85.0</v>
      </c>
      <c r="D50" s="32" t="s">
        <v>48894</v>
      </c>
      <c r="E50" s="32" t="s">
        <v>48895</v>
      </c>
      <c r="F50" s="31">
        <v>322.0</v>
      </c>
      <c r="G50" s="34">
        <v>8.5153222E7</v>
      </c>
    </row>
    <row r="51" ht="12.75" customHeight="1">
      <c r="A51" s="27">
        <v>215.0</v>
      </c>
      <c r="B51" s="28" t="s">
        <v>48896</v>
      </c>
      <c r="C51" s="29">
        <v>85.0</v>
      </c>
      <c r="D51" s="28" t="s">
        <v>48897</v>
      </c>
      <c r="E51" s="28" t="s">
        <v>48898</v>
      </c>
      <c r="F51" s="27">
        <v>346.0</v>
      </c>
      <c r="G51" s="30">
        <v>8.5153464E7</v>
      </c>
    </row>
    <row r="52" ht="12.75" customHeight="1">
      <c r="A52" s="31">
        <v>215.0</v>
      </c>
      <c r="B52" s="32" t="s">
        <v>48899</v>
      </c>
      <c r="C52" s="33">
        <v>85.0</v>
      </c>
      <c r="D52" s="32" t="s">
        <v>48900</v>
      </c>
      <c r="E52" s="32" t="s">
        <v>48901</v>
      </c>
      <c r="F52" s="31">
        <v>364.0</v>
      </c>
      <c r="G52" s="34">
        <v>8.5153648E7</v>
      </c>
    </row>
    <row r="53" ht="12.75" customHeight="1">
      <c r="A53" s="27">
        <v>215.0</v>
      </c>
      <c r="B53" s="28" t="s">
        <v>48902</v>
      </c>
      <c r="C53" s="29">
        <v>85.0</v>
      </c>
      <c r="D53" s="28" t="s">
        <v>48903</v>
      </c>
      <c r="E53" s="28" t="s">
        <v>48904</v>
      </c>
      <c r="F53" s="27">
        <v>427.0</v>
      </c>
      <c r="G53" s="30">
        <v>8.5154276E7</v>
      </c>
    </row>
    <row r="54" ht="12.75" customHeight="1">
      <c r="A54" s="31">
        <v>215.0</v>
      </c>
      <c r="B54" s="32" t="s">
        <v>48905</v>
      </c>
      <c r="C54" s="33">
        <v>85.0</v>
      </c>
      <c r="D54" s="32" t="s">
        <v>48906</v>
      </c>
      <c r="E54" s="32" t="s">
        <v>48907</v>
      </c>
      <c r="F54" s="31">
        <v>565.0</v>
      </c>
      <c r="G54" s="34">
        <v>8.5155659E7</v>
      </c>
    </row>
    <row r="55" ht="12.75" customHeight="1">
      <c r="A55" s="27">
        <v>215.0</v>
      </c>
      <c r="B55" s="28" t="s">
        <v>48908</v>
      </c>
      <c r="C55" s="29">
        <v>85.0</v>
      </c>
      <c r="D55" s="28" t="s">
        <v>48909</v>
      </c>
      <c r="E55" s="28" t="s">
        <v>48910</v>
      </c>
      <c r="F55" s="27">
        <v>616.0</v>
      </c>
      <c r="G55" s="30">
        <v>8.5156166E7</v>
      </c>
    </row>
    <row r="56" ht="12.75" customHeight="1">
      <c r="A56" s="31">
        <v>119.0</v>
      </c>
      <c r="B56" s="32" t="s">
        <v>48911</v>
      </c>
      <c r="C56" s="33">
        <v>85.0</v>
      </c>
      <c r="D56" s="32" t="s">
        <v>48912</v>
      </c>
      <c r="E56" s="32" t="s">
        <v>48913</v>
      </c>
      <c r="F56" s="31">
        <v>115.0</v>
      </c>
      <c r="G56" s="34">
        <v>8.519115E7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222.0</v>
      </c>
      <c r="B1" s="28" t="s">
        <v>48914</v>
      </c>
      <c r="C1" s="29">
        <v>85.0</v>
      </c>
      <c r="D1" s="28" t="s">
        <v>48915</v>
      </c>
      <c r="E1" s="28" t="s">
        <v>48916</v>
      </c>
      <c r="F1" s="29">
        <v>16.0</v>
      </c>
      <c r="G1" s="30">
        <v>8.5220168E7</v>
      </c>
    </row>
    <row r="2" ht="12.75" customHeight="1">
      <c r="A2" s="31">
        <v>222.0</v>
      </c>
      <c r="B2" s="32" t="s">
        <v>48917</v>
      </c>
      <c r="C2" s="33">
        <v>85.0</v>
      </c>
      <c r="D2" s="32" t="s">
        <v>48918</v>
      </c>
      <c r="E2" s="32" t="s">
        <v>48919</v>
      </c>
      <c r="F2" s="33">
        <v>25.0</v>
      </c>
      <c r="G2" s="34">
        <v>8.522025E7</v>
      </c>
    </row>
    <row r="3" ht="12.75" customHeight="1">
      <c r="A3" s="27">
        <v>222.0</v>
      </c>
      <c r="B3" s="28" t="s">
        <v>48920</v>
      </c>
      <c r="C3" s="29">
        <v>85.0</v>
      </c>
      <c r="D3" s="28" t="s">
        <v>48921</v>
      </c>
      <c r="E3" s="28" t="s">
        <v>48922</v>
      </c>
      <c r="F3" s="29">
        <v>91.0</v>
      </c>
      <c r="G3" s="30">
        <v>8.5220913E7</v>
      </c>
    </row>
    <row r="4" ht="12.75" customHeight="1">
      <c r="A4" s="31">
        <v>126.0</v>
      </c>
      <c r="B4" s="32" t="s">
        <v>48923</v>
      </c>
      <c r="C4" s="33">
        <v>85.0</v>
      </c>
      <c r="D4" s="32" t="s">
        <v>48924</v>
      </c>
      <c r="E4" s="32" t="s">
        <v>48925</v>
      </c>
      <c r="F4" s="33">
        <v>13.0</v>
      </c>
      <c r="G4" s="34">
        <v>8.5260131E7</v>
      </c>
    </row>
    <row r="5" ht="12.75" customHeight="1">
      <c r="A5" s="27">
        <v>126.0</v>
      </c>
      <c r="B5" s="28" t="s">
        <v>48926</v>
      </c>
      <c r="C5" s="29">
        <v>85.0</v>
      </c>
      <c r="D5" s="28" t="s">
        <v>48927</v>
      </c>
      <c r="E5" s="28" t="s">
        <v>48928</v>
      </c>
      <c r="F5" s="29">
        <v>34.0</v>
      </c>
      <c r="G5" s="30">
        <v>8.5260344E7</v>
      </c>
    </row>
    <row r="6" ht="12.75" customHeight="1">
      <c r="A6" s="31">
        <v>126.0</v>
      </c>
      <c r="B6" s="32" t="s">
        <v>48929</v>
      </c>
      <c r="C6" s="33">
        <v>85.0</v>
      </c>
      <c r="D6" s="32" t="s">
        <v>48930</v>
      </c>
      <c r="E6" s="32" t="s">
        <v>48931</v>
      </c>
      <c r="F6" s="33">
        <v>43.0</v>
      </c>
      <c r="G6" s="34">
        <v>8.5260436E7</v>
      </c>
    </row>
    <row r="7" ht="12.75" customHeight="1">
      <c r="A7" s="27">
        <v>126.0</v>
      </c>
      <c r="B7" s="28" t="s">
        <v>48932</v>
      </c>
      <c r="C7" s="29">
        <v>85.0</v>
      </c>
      <c r="D7" s="28" t="s">
        <v>48933</v>
      </c>
      <c r="E7" s="28" t="s">
        <v>48934</v>
      </c>
      <c r="F7" s="29">
        <v>52.0</v>
      </c>
      <c r="G7" s="30">
        <v>8.5260528E7</v>
      </c>
    </row>
    <row r="8" ht="12.75" customHeight="1">
      <c r="A8" s="31">
        <v>126.0</v>
      </c>
      <c r="B8" s="32" t="s">
        <v>48935</v>
      </c>
      <c r="C8" s="33">
        <v>85.0</v>
      </c>
      <c r="D8" s="32" t="s">
        <v>48936</v>
      </c>
      <c r="E8" s="32" t="s">
        <v>48937</v>
      </c>
      <c r="F8" s="33">
        <v>72.0</v>
      </c>
      <c r="G8" s="34">
        <v>8.5260728E7</v>
      </c>
    </row>
    <row r="9" ht="12.75" customHeight="1">
      <c r="A9" s="27">
        <v>126.0</v>
      </c>
      <c r="B9" s="28" t="s">
        <v>48938</v>
      </c>
      <c r="C9" s="29">
        <v>85.0</v>
      </c>
      <c r="D9" s="28" t="s">
        <v>48939</v>
      </c>
      <c r="E9" s="28" t="s">
        <v>48940</v>
      </c>
      <c r="F9" s="27">
        <v>109.0</v>
      </c>
      <c r="G9" s="30">
        <v>8.5261093E7</v>
      </c>
    </row>
    <row r="10" ht="12.75" customHeight="1">
      <c r="A10" s="31">
        <v>126.0</v>
      </c>
      <c r="B10" s="32" t="s">
        <v>48941</v>
      </c>
      <c r="C10" s="33">
        <v>85.0</v>
      </c>
      <c r="D10" s="32" t="s">
        <v>48942</v>
      </c>
      <c r="E10" s="32" t="s">
        <v>48943</v>
      </c>
      <c r="F10" s="31">
        <v>118.0</v>
      </c>
      <c r="G10" s="34">
        <v>8.5261185E7</v>
      </c>
    </row>
    <row r="11" ht="12.75" customHeight="1">
      <c r="A11" s="27">
        <v>126.0</v>
      </c>
      <c r="B11" s="28" t="s">
        <v>48944</v>
      </c>
      <c r="C11" s="29">
        <v>85.0</v>
      </c>
      <c r="D11" s="28" t="s">
        <v>48945</v>
      </c>
      <c r="E11" s="28" t="s">
        <v>48946</v>
      </c>
      <c r="F11" s="27">
        <v>119.0</v>
      </c>
      <c r="G11" s="30">
        <v>8.5261198E7</v>
      </c>
    </row>
    <row r="12" ht="12.75" customHeight="1">
      <c r="A12" s="31">
        <v>126.0</v>
      </c>
      <c r="B12" s="32" t="s">
        <v>48947</v>
      </c>
      <c r="C12" s="33">
        <v>85.0</v>
      </c>
      <c r="D12" s="32" t="s">
        <v>48948</v>
      </c>
      <c r="E12" s="32" t="s">
        <v>48949</v>
      </c>
      <c r="F12" s="31">
        <v>142.0</v>
      </c>
      <c r="G12" s="34">
        <v>8.5261422E7</v>
      </c>
    </row>
    <row r="13" ht="12.75" customHeight="1">
      <c r="A13" s="27">
        <v>126.0</v>
      </c>
      <c r="B13" s="28" t="s">
        <v>48950</v>
      </c>
      <c r="C13" s="29">
        <v>85.0</v>
      </c>
      <c r="D13" s="28" t="s">
        <v>48951</v>
      </c>
      <c r="E13" s="28" t="s">
        <v>48952</v>
      </c>
      <c r="F13" s="27">
        <v>151.0</v>
      </c>
      <c r="G13" s="30">
        <v>8.5261514E7</v>
      </c>
    </row>
    <row r="14" ht="12.75" customHeight="1">
      <c r="A14" s="31">
        <v>126.0</v>
      </c>
      <c r="B14" s="32" t="s">
        <v>48953</v>
      </c>
      <c r="C14" s="33">
        <v>85.0</v>
      </c>
      <c r="D14" s="32" t="s">
        <v>48954</v>
      </c>
      <c r="E14" s="32" t="s">
        <v>48955</v>
      </c>
      <c r="F14" s="31">
        <v>172.0</v>
      </c>
      <c r="G14" s="34">
        <v>8.5261727E7</v>
      </c>
    </row>
    <row r="15" ht="12.75" customHeight="1">
      <c r="A15" s="27">
        <v>126.0</v>
      </c>
      <c r="B15" s="28" t="s">
        <v>48956</v>
      </c>
      <c r="C15" s="29">
        <v>85.0</v>
      </c>
      <c r="D15" s="28" t="s">
        <v>48957</v>
      </c>
      <c r="E15" s="28" t="s">
        <v>48958</v>
      </c>
      <c r="F15" s="27">
        <v>177.0</v>
      </c>
      <c r="G15" s="30">
        <v>8.5261772E7</v>
      </c>
    </row>
    <row r="16" ht="12.75" customHeight="1">
      <c r="A16" s="31">
        <v>126.0</v>
      </c>
      <c r="B16" s="32" t="s">
        <v>48959</v>
      </c>
      <c r="C16" s="33">
        <v>85.0</v>
      </c>
      <c r="D16" s="32" t="s">
        <v>48960</v>
      </c>
      <c r="E16" s="32" t="s">
        <v>48961</v>
      </c>
      <c r="F16" s="31">
        <v>253.0</v>
      </c>
      <c r="G16" s="34">
        <v>8.5262539E7</v>
      </c>
    </row>
    <row r="17" ht="12.75" customHeight="1">
      <c r="A17" s="27">
        <v>126.0</v>
      </c>
      <c r="B17" s="28" t="s">
        <v>48962</v>
      </c>
      <c r="C17" s="29">
        <v>85.0</v>
      </c>
      <c r="D17" s="28" t="s">
        <v>48963</v>
      </c>
      <c r="E17" s="28" t="s">
        <v>48964</v>
      </c>
      <c r="F17" s="27">
        <v>298.0</v>
      </c>
      <c r="G17" s="30">
        <v>8.5262984E7</v>
      </c>
    </row>
    <row r="18" ht="12.75" customHeight="1">
      <c r="A18" s="31">
        <v>126.0</v>
      </c>
      <c r="B18" s="32" t="s">
        <v>48965</v>
      </c>
      <c r="C18" s="33">
        <v>85.0</v>
      </c>
      <c r="D18" s="32" t="s">
        <v>48966</v>
      </c>
      <c r="E18" s="32" t="s">
        <v>48967</v>
      </c>
      <c r="F18" s="31">
        <v>319.0</v>
      </c>
      <c r="G18" s="34">
        <v>8.5263196E7</v>
      </c>
    </row>
    <row r="19" ht="12.75" customHeight="1">
      <c r="A19" s="27">
        <v>126.0</v>
      </c>
      <c r="B19" s="28" t="s">
        <v>48968</v>
      </c>
      <c r="C19" s="29">
        <v>85.0</v>
      </c>
      <c r="D19" s="28" t="s">
        <v>48969</v>
      </c>
      <c r="E19" s="28" t="s">
        <v>48970</v>
      </c>
      <c r="F19" s="27">
        <v>412.0</v>
      </c>
      <c r="G19" s="30">
        <v>8.5264124E7</v>
      </c>
    </row>
    <row r="20" ht="12.75" customHeight="1">
      <c r="A20" s="31">
        <v>126.0</v>
      </c>
      <c r="B20" s="32" t="s">
        <v>48971</v>
      </c>
      <c r="C20" s="33">
        <v>85.0</v>
      </c>
      <c r="D20" s="32" t="s">
        <v>48972</v>
      </c>
      <c r="E20" s="32" t="s">
        <v>48973</v>
      </c>
      <c r="F20" s="31">
        <v>463.0</v>
      </c>
      <c r="G20" s="34">
        <v>8.5264632E7</v>
      </c>
    </row>
    <row r="21" ht="12.75" customHeight="1">
      <c r="A21" s="27">
        <v>127.0</v>
      </c>
      <c r="B21" s="28" t="s">
        <v>48974</v>
      </c>
      <c r="C21" s="29">
        <v>85.0</v>
      </c>
      <c r="D21" s="28" t="s">
        <v>48975</v>
      </c>
      <c r="E21" s="28" t="s">
        <v>48976</v>
      </c>
      <c r="F21" s="29">
        <v>0.0</v>
      </c>
      <c r="G21" s="30">
        <v>8.527E7</v>
      </c>
    </row>
    <row r="22" ht="12.75" customHeight="1">
      <c r="A22" s="31">
        <v>127.0</v>
      </c>
      <c r="B22" s="32" t="s">
        <v>48977</v>
      </c>
      <c r="C22" s="33">
        <v>85.0</v>
      </c>
      <c r="D22" s="32" t="s">
        <v>48978</v>
      </c>
      <c r="E22" s="32" t="s">
        <v>48979</v>
      </c>
      <c r="F22" s="33">
        <v>88.0</v>
      </c>
      <c r="G22" s="34">
        <v>8.5270884E7</v>
      </c>
    </row>
    <row r="23" ht="12.75" customHeight="1">
      <c r="A23" s="27">
        <v>127.0</v>
      </c>
      <c r="B23" s="28" t="s">
        <v>48980</v>
      </c>
      <c r="C23" s="29">
        <v>85.0</v>
      </c>
      <c r="D23" s="28" t="s">
        <v>48981</v>
      </c>
      <c r="E23" s="28" t="s">
        <v>48982</v>
      </c>
      <c r="F23" s="27">
        <v>232.0</v>
      </c>
      <c r="G23" s="30">
        <v>8.5272329E7</v>
      </c>
    </row>
    <row r="24" ht="12.75" customHeight="1">
      <c r="A24" s="31">
        <v>127.0</v>
      </c>
      <c r="B24" s="32" t="s">
        <v>48983</v>
      </c>
      <c r="C24" s="33">
        <v>85.0</v>
      </c>
      <c r="D24" s="32" t="s">
        <v>48984</v>
      </c>
      <c r="E24" s="32" t="s">
        <v>48985</v>
      </c>
      <c r="F24" s="31">
        <v>268.0</v>
      </c>
      <c r="G24" s="34">
        <v>8.5272682E7</v>
      </c>
    </row>
    <row r="25" ht="12.75" customHeight="1">
      <c r="A25" s="27">
        <v>127.0</v>
      </c>
      <c r="B25" s="28" t="s">
        <v>48986</v>
      </c>
      <c r="C25" s="29">
        <v>85.0</v>
      </c>
      <c r="D25" s="28" t="s">
        <v>48987</v>
      </c>
      <c r="E25" s="28" t="s">
        <v>48988</v>
      </c>
      <c r="F25" s="27">
        <v>280.0</v>
      </c>
      <c r="G25" s="30">
        <v>8.5272808E7</v>
      </c>
    </row>
    <row r="26" ht="12.75" customHeight="1">
      <c r="A26" s="31">
        <v>127.0</v>
      </c>
      <c r="B26" s="32" t="s">
        <v>48989</v>
      </c>
      <c r="C26" s="33">
        <v>85.0</v>
      </c>
      <c r="D26" s="32" t="s">
        <v>48990</v>
      </c>
      <c r="E26" s="32" t="s">
        <v>48991</v>
      </c>
      <c r="F26" s="31">
        <v>295.0</v>
      </c>
      <c r="G26" s="34">
        <v>8.5272958E7</v>
      </c>
    </row>
    <row r="27" ht="12.75" customHeight="1">
      <c r="A27" s="27">
        <v>127.0</v>
      </c>
      <c r="B27" s="28" t="s">
        <v>48992</v>
      </c>
      <c r="C27" s="29">
        <v>85.0</v>
      </c>
      <c r="D27" s="28" t="s">
        <v>48993</v>
      </c>
      <c r="E27" s="28" t="s">
        <v>48994</v>
      </c>
      <c r="F27" s="27">
        <v>298.0</v>
      </c>
      <c r="G27" s="30">
        <v>8.5272987E7</v>
      </c>
    </row>
    <row r="28" ht="12.75" customHeight="1">
      <c r="A28" s="31">
        <v>127.0</v>
      </c>
      <c r="B28" s="32" t="s">
        <v>48995</v>
      </c>
      <c r="C28" s="33">
        <v>85.0</v>
      </c>
      <c r="D28" s="32" t="s">
        <v>48996</v>
      </c>
      <c r="E28" s="32" t="s">
        <v>48997</v>
      </c>
      <c r="F28" s="31">
        <v>322.0</v>
      </c>
      <c r="G28" s="34">
        <v>8.5273223E7</v>
      </c>
    </row>
    <row r="29" ht="12.75" customHeight="1">
      <c r="A29" s="27">
        <v>127.0</v>
      </c>
      <c r="B29" s="28" t="s">
        <v>48998</v>
      </c>
      <c r="C29" s="29">
        <v>85.0</v>
      </c>
      <c r="D29" s="28" t="s">
        <v>48999</v>
      </c>
      <c r="E29" s="28" t="s">
        <v>49000</v>
      </c>
      <c r="F29" s="27">
        <v>328.0</v>
      </c>
      <c r="G29" s="30">
        <v>8.5273281E7</v>
      </c>
    </row>
    <row r="30" ht="12.75" customHeight="1">
      <c r="A30" s="31">
        <v>127.0</v>
      </c>
      <c r="B30" s="32" t="s">
        <v>49001</v>
      </c>
      <c r="C30" s="33">
        <v>85.0</v>
      </c>
      <c r="D30" s="32" t="s">
        <v>49002</v>
      </c>
      <c r="E30" s="32" t="s">
        <v>49003</v>
      </c>
      <c r="F30" s="31">
        <v>337.0</v>
      </c>
      <c r="G30" s="34">
        <v>8.5273373E7</v>
      </c>
    </row>
    <row r="31" ht="12.75" customHeight="1">
      <c r="A31" s="27">
        <v>127.0</v>
      </c>
      <c r="B31" s="28" t="s">
        <v>49004</v>
      </c>
      <c r="C31" s="29">
        <v>85.0</v>
      </c>
      <c r="D31" s="28" t="s">
        <v>49005</v>
      </c>
      <c r="E31" s="28" t="s">
        <v>49006</v>
      </c>
      <c r="F31" s="27">
        <v>343.0</v>
      </c>
      <c r="G31" s="30">
        <v>8.5273436E7</v>
      </c>
    </row>
    <row r="32" ht="12.75" customHeight="1">
      <c r="A32" s="31">
        <v>127.0</v>
      </c>
      <c r="B32" s="32" t="s">
        <v>49007</v>
      </c>
      <c r="C32" s="33">
        <v>85.0</v>
      </c>
      <c r="D32" s="32" t="s">
        <v>49008</v>
      </c>
      <c r="E32" s="32" t="s">
        <v>49009</v>
      </c>
      <c r="F32" s="31">
        <v>364.0</v>
      </c>
      <c r="G32" s="34">
        <v>8.5273649E7</v>
      </c>
    </row>
    <row r="33" ht="12.75" customHeight="1">
      <c r="A33" s="27">
        <v>127.0</v>
      </c>
      <c r="B33" s="28" t="s">
        <v>49010</v>
      </c>
      <c r="C33" s="29">
        <v>85.0</v>
      </c>
      <c r="D33" s="28" t="s">
        <v>49011</v>
      </c>
      <c r="E33" s="28" t="s">
        <v>49012</v>
      </c>
      <c r="F33" s="27">
        <v>367.0</v>
      </c>
      <c r="G33" s="30">
        <v>8.5273678E7</v>
      </c>
    </row>
    <row r="34" ht="12.75" customHeight="1">
      <c r="A34" s="31">
        <v>127.0</v>
      </c>
      <c r="B34" s="32" t="s">
        <v>49013</v>
      </c>
      <c r="C34" s="33">
        <v>85.0</v>
      </c>
      <c r="D34" s="32" t="s">
        <v>49014</v>
      </c>
      <c r="E34" s="32" t="s">
        <v>49015</v>
      </c>
      <c r="F34" s="31">
        <v>388.0</v>
      </c>
      <c r="G34" s="34">
        <v>8.5273881E7</v>
      </c>
    </row>
    <row r="35" ht="12.75" customHeight="1">
      <c r="A35" s="27">
        <v>127.0</v>
      </c>
      <c r="B35" s="28" t="s">
        <v>49016</v>
      </c>
      <c r="C35" s="29">
        <v>85.0</v>
      </c>
      <c r="D35" s="28" t="s">
        <v>49017</v>
      </c>
      <c r="E35" s="28" t="s">
        <v>49018</v>
      </c>
      <c r="F35" s="27">
        <v>418.0</v>
      </c>
      <c r="G35" s="30">
        <v>8.5274185E7</v>
      </c>
    </row>
    <row r="36" ht="12.75" customHeight="1">
      <c r="A36" s="31">
        <v>127.0</v>
      </c>
      <c r="B36" s="32" t="s">
        <v>49019</v>
      </c>
      <c r="C36" s="33">
        <v>85.0</v>
      </c>
      <c r="D36" s="32" t="s">
        <v>49020</v>
      </c>
      <c r="E36" s="32" t="s">
        <v>49021</v>
      </c>
      <c r="F36" s="31">
        <v>424.0</v>
      </c>
      <c r="G36" s="34">
        <v>8.5274248E7</v>
      </c>
    </row>
    <row r="37" ht="12.75" customHeight="1">
      <c r="A37" s="27">
        <v>127.0</v>
      </c>
      <c r="B37" s="28" t="s">
        <v>49022</v>
      </c>
      <c r="C37" s="29">
        <v>85.0</v>
      </c>
      <c r="D37" s="28" t="s">
        <v>49023</v>
      </c>
      <c r="E37" s="28" t="s">
        <v>49024</v>
      </c>
      <c r="F37" s="27">
        <v>460.0</v>
      </c>
      <c r="G37" s="30">
        <v>8.5274606E7</v>
      </c>
    </row>
    <row r="38" ht="12.75" customHeight="1">
      <c r="A38" s="31">
        <v>728.0</v>
      </c>
      <c r="B38" s="32" t="s">
        <v>49025</v>
      </c>
      <c r="C38" s="33">
        <v>85.0</v>
      </c>
      <c r="D38" s="32" t="s">
        <v>49026</v>
      </c>
      <c r="E38" s="32" t="s">
        <v>49027</v>
      </c>
      <c r="F38" s="33">
        <v>67.0</v>
      </c>
      <c r="G38" s="34">
        <v>8.5280674E7</v>
      </c>
    </row>
    <row r="39" ht="12.75" customHeight="1">
      <c r="A39" s="27">
        <v>329.0</v>
      </c>
      <c r="B39" s="28" t="s">
        <v>49028</v>
      </c>
      <c r="C39" s="29">
        <v>85.0</v>
      </c>
      <c r="D39" s="28" t="s">
        <v>49029</v>
      </c>
      <c r="E39" s="28" t="s">
        <v>49030</v>
      </c>
      <c r="F39" s="29">
        <v>52.0</v>
      </c>
      <c r="G39" s="30">
        <v>8.5290527E7</v>
      </c>
    </row>
    <row r="40" ht="12.75" customHeight="1">
      <c r="A40" s="31">
        <v>230.0</v>
      </c>
      <c r="B40" s="32" t="s">
        <v>49031</v>
      </c>
      <c r="C40" s="33">
        <v>85.0</v>
      </c>
      <c r="D40" s="32" t="s">
        <v>49032</v>
      </c>
      <c r="E40" s="32" t="s">
        <v>49033</v>
      </c>
      <c r="F40" s="33">
        <v>31.0</v>
      </c>
      <c r="G40" s="34">
        <v>8.5300312E7</v>
      </c>
    </row>
    <row r="41" ht="12.75" customHeight="1">
      <c r="A41" s="27">
        <v>230.0</v>
      </c>
      <c r="B41" s="28" t="s">
        <v>49034</v>
      </c>
      <c r="C41" s="29">
        <v>85.0</v>
      </c>
      <c r="D41" s="28" t="s">
        <v>49035</v>
      </c>
      <c r="E41" s="28" t="s">
        <v>49036</v>
      </c>
      <c r="F41" s="29">
        <v>52.0</v>
      </c>
      <c r="G41" s="30">
        <v>8.5300525E7</v>
      </c>
    </row>
    <row r="42" ht="12.75" customHeight="1">
      <c r="A42" s="31">
        <v>133.0</v>
      </c>
      <c r="B42" s="32" t="s">
        <v>49037</v>
      </c>
      <c r="C42" s="33">
        <v>85.0</v>
      </c>
      <c r="D42" s="32" t="s">
        <v>49038</v>
      </c>
      <c r="E42" s="32" t="s">
        <v>49039</v>
      </c>
      <c r="F42" s="33">
        <v>22.0</v>
      </c>
      <c r="G42" s="34">
        <v>8.5330229E7</v>
      </c>
    </row>
    <row r="43" ht="12.75" customHeight="1">
      <c r="A43" s="27">
        <v>133.0</v>
      </c>
      <c r="B43" s="28" t="s">
        <v>49040</v>
      </c>
      <c r="C43" s="29">
        <v>85.0</v>
      </c>
      <c r="D43" s="28" t="s">
        <v>49041</v>
      </c>
      <c r="E43" s="28" t="s">
        <v>49042</v>
      </c>
      <c r="F43" s="29">
        <v>94.0</v>
      </c>
      <c r="G43" s="30">
        <v>8.533094E7</v>
      </c>
    </row>
    <row r="44" ht="12.75" customHeight="1">
      <c r="A44" s="31">
        <v>133.0</v>
      </c>
      <c r="B44" s="32" t="s">
        <v>49043</v>
      </c>
      <c r="C44" s="33">
        <v>85.0</v>
      </c>
      <c r="D44" s="32" t="s">
        <v>49044</v>
      </c>
      <c r="E44" s="32" t="s">
        <v>49045</v>
      </c>
      <c r="F44" s="31">
        <v>100.0</v>
      </c>
      <c r="G44" s="34">
        <v>8.5331002E7</v>
      </c>
    </row>
    <row r="45" ht="12.75" customHeight="1">
      <c r="A45" s="27">
        <v>836.0</v>
      </c>
      <c r="B45" s="28" t="s">
        <v>49046</v>
      </c>
      <c r="C45" s="29">
        <v>85.0</v>
      </c>
      <c r="D45" s="28" t="s">
        <v>49047</v>
      </c>
      <c r="E45" s="28" t="s">
        <v>49048</v>
      </c>
      <c r="F45" s="29">
        <v>61.0</v>
      </c>
      <c r="G45" s="30">
        <v>8.5360615E7</v>
      </c>
    </row>
    <row r="46" ht="12.75" customHeight="1">
      <c r="A46" s="31">
        <v>441.0</v>
      </c>
      <c r="B46" s="32" t="s">
        <v>49049</v>
      </c>
      <c r="C46" s="33">
        <v>85.0</v>
      </c>
      <c r="D46" s="32" t="s">
        <v>49050</v>
      </c>
      <c r="E46" s="32" t="s">
        <v>49051</v>
      </c>
      <c r="F46" s="33">
        <v>94.0</v>
      </c>
      <c r="G46" s="34">
        <v>8.5410949E7</v>
      </c>
    </row>
    <row r="47" ht="12.75" customHeight="1">
      <c r="A47" s="27">
        <v>447.0</v>
      </c>
      <c r="B47" s="28" t="s">
        <v>49052</v>
      </c>
      <c r="C47" s="29">
        <v>85.0</v>
      </c>
      <c r="D47" s="28" t="s">
        <v>49053</v>
      </c>
      <c r="E47" s="28" t="s">
        <v>49054</v>
      </c>
      <c r="F47" s="27">
        <v>117.0</v>
      </c>
      <c r="G47" s="30">
        <v>8.5471175E7</v>
      </c>
    </row>
    <row r="48" ht="12.75" customHeight="1">
      <c r="A48" s="31">
        <v>148.0</v>
      </c>
      <c r="B48" s="32" t="s">
        <v>49055</v>
      </c>
      <c r="C48" s="33">
        <v>85.0</v>
      </c>
      <c r="D48" s="32" t="s">
        <v>49056</v>
      </c>
      <c r="E48" s="32" t="s">
        <v>49057</v>
      </c>
      <c r="F48" s="33">
        <v>22.0</v>
      </c>
      <c r="G48" s="34">
        <v>8.5480229E7</v>
      </c>
    </row>
    <row r="49" ht="12.75" customHeight="1">
      <c r="A49" s="27">
        <v>148.0</v>
      </c>
      <c r="B49" s="28" t="s">
        <v>49058</v>
      </c>
      <c r="C49" s="29">
        <v>85.0</v>
      </c>
      <c r="D49" s="28" t="s">
        <v>49059</v>
      </c>
      <c r="E49" s="28" t="s">
        <v>49060</v>
      </c>
      <c r="F49" s="29">
        <v>67.0</v>
      </c>
      <c r="G49" s="30">
        <v>8.5480674E7</v>
      </c>
    </row>
    <row r="50" ht="12.75" customHeight="1">
      <c r="A50" s="31">
        <v>251.0</v>
      </c>
      <c r="B50" s="32" t="s">
        <v>49061</v>
      </c>
      <c r="C50" s="33">
        <v>85.0</v>
      </c>
      <c r="D50" s="32" t="s">
        <v>49062</v>
      </c>
      <c r="E50" s="32" t="s">
        <v>49063</v>
      </c>
      <c r="F50" s="33">
        <v>73.0</v>
      </c>
      <c r="G50" s="34">
        <v>8.5510731E7</v>
      </c>
    </row>
    <row r="51" ht="12.75" customHeight="1">
      <c r="A51" s="27">
        <v>858.0</v>
      </c>
      <c r="B51" s="28" t="s">
        <v>49064</v>
      </c>
      <c r="C51" s="29">
        <v>85.0</v>
      </c>
      <c r="D51" s="28" t="s">
        <v>49065</v>
      </c>
      <c r="E51" s="28" t="s">
        <v>49066</v>
      </c>
      <c r="F51" s="27">
        <v>118.0</v>
      </c>
      <c r="G51" s="30">
        <v>8.5581186E7</v>
      </c>
    </row>
    <row r="52" ht="12.75" customHeight="1">
      <c r="A52" s="31">
        <v>159.0</v>
      </c>
      <c r="B52" s="32" t="s">
        <v>49067</v>
      </c>
      <c r="C52" s="33">
        <v>85.0</v>
      </c>
      <c r="D52" s="32" t="s">
        <v>49068</v>
      </c>
      <c r="E52" s="32" t="s">
        <v>49069</v>
      </c>
      <c r="F52" s="31">
        <v>119.0</v>
      </c>
      <c r="G52" s="34">
        <v>8.5591192E7</v>
      </c>
    </row>
    <row r="53" ht="12.75" customHeight="1">
      <c r="A53" s="27">
        <v>161.0</v>
      </c>
      <c r="B53" s="28" t="s">
        <v>49070</v>
      </c>
      <c r="C53" s="29">
        <v>85.0</v>
      </c>
      <c r="D53" s="28" t="s">
        <v>49071</v>
      </c>
      <c r="E53" s="28" t="s">
        <v>49072</v>
      </c>
      <c r="F53" s="27">
        <v>175.0</v>
      </c>
      <c r="G53" s="30">
        <v>8.5611751E7</v>
      </c>
    </row>
    <row r="54" ht="12.75" customHeight="1">
      <c r="A54" s="31">
        <v>167.0</v>
      </c>
      <c r="B54" s="32" t="s">
        <v>49073</v>
      </c>
      <c r="C54" s="33">
        <v>85.0</v>
      </c>
      <c r="D54" s="32" t="s">
        <v>49074</v>
      </c>
      <c r="E54" s="32" t="s">
        <v>49075</v>
      </c>
      <c r="F54" s="33">
        <v>4.0</v>
      </c>
      <c r="G54" s="34">
        <v>8.5670042E7</v>
      </c>
    </row>
    <row r="55" ht="12.75" customHeight="1">
      <c r="A55" s="27">
        <v>167.0</v>
      </c>
      <c r="B55" s="28" t="s">
        <v>49076</v>
      </c>
      <c r="C55" s="29">
        <v>85.0</v>
      </c>
      <c r="D55" s="28" t="s">
        <v>49077</v>
      </c>
      <c r="E55" s="28" t="s">
        <v>49078</v>
      </c>
      <c r="F55" s="29">
        <v>7.0</v>
      </c>
      <c r="G55" s="30">
        <v>8.5670071E7</v>
      </c>
    </row>
    <row r="56" ht="12.75" customHeight="1">
      <c r="A56" s="31">
        <v>167.0</v>
      </c>
      <c r="B56" s="32" t="s">
        <v>49079</v>
      </c>
      <c r="C56" s="33">
        <v>85.0</v>
      </c>
      <c r="D56" s="32" t="s">
        <v>49080</v>
      </c>
      <c r="E56" s="32" t="s">
        <v>49081</v>
      </c>
      <c r="F56" s="33">
        <v>11.0</v>
      </c>
      <c r="G56" s="34">
        <v>8.5670118E7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167.0</v>
      </c>
      <c r="B1" s="28" t="s">
        <v>49082</v>
      </c>
      <c r="C1" s="29">
        <v>85.0</v>
      </c>
      <c r="D1" s="28" t="s">
        <v>49083</v>
      </c>
      <c r="E1" s="28" t="s">
        <v>49084</v>
      </c>
      <c r="F1" s="29">
        <v>22.0</v>
      </c>
      <c r="G1" s="30">
        <v>8.5670226E7</v>
      </c>
    </row>
    <row r="2" ht="12.75" customHeight="1">
      <c r="A2" s="31">
        <v>167.0</v>
      </c>
      <c r="B2" s="32" t="s">
        <v>49085</v>
      </c>
      <c r="C2" s="33">
        <v>85.0</v>
      </c>
      <c r="D2" s="32" t="s">
        <v>49086</v>
      </c>
      <c r="E2" s="32" t="s">
        <v>49087</v>
      </c>
      <c r="F2" s="33">
        <v>60.0</v>
      </c>
      <c r="G2" s="34">
        <v>8.56706E7</v>
      </c>
    </row>
    <row r="3" ht="12.75" customHeight="1">
      <c r="A3" s="27">
        <v>167.0</v>
      </c>
      <c r="B3" s="28" t="s">
        <v>49088</v>
      </c>
      <c r="C3" s="29">
        <v>85.0</v>
      </c>
      <c r="D3" s="28" t="s">
        <v>49089</v>
      </c>
      <c r="E3" s="28" t="s">
        <v>49090</v>
      </c>
      <c r="F3" s="27">
        <v>112.0</v>
      </c>
      <c r="G3" s="30">
        <v>8.567112E7</v>
      </c>
    </row>
    <row r="4" ht="12.75" customHeight="1">
      <c r="A4" s="31">
        <v>167.0</v>
      </c>
      <c r="B4" s="32" t="s">
        <v>49091</v>
      </c>
      <c r="C4" s="33">
        <v>85.0</v>
      </c>
      <c r="D4" s="32" t="s">
        <v>49092</v>
      </c>
      <c r="E4" s="32" t="s">
        <v>49093</v>
      </c>
      <c r="F4" s="31">
        <v>118.0</v>
      </c>
      <c r="G4" s="34">
        <v>8.5671188E7</v>
      </c>
    </row>
    <row r="5" ht="12.75" customHeight="1">
      <c r="A5" s="27">
        <v>167.0</v>
      </c>
      <c r="B5" s="28" t="s">
        <v>49094</v>
      </c>
      <c r="C5" s="29">
        <v>85.0</v>
      </c>
      <c r="D5" s="28" t="s">
        <v>49095</v>
      </c>
      <c r="E5" s="28" t="s">
        <v>49096</v>
      </c>
      <c r="F5" s="27">
        <v>133.0</v>
      </c>
      <c r="G5" s="30">
        <v>8.5671333E7</v>
      </c>
    </row>
    <row r="6" ht="12.75" customHeight="1">
      <c r="A6" s="31">
        <v>168.0</v>
      </c>
      <c r="B6" s="32" t="s">
        <v>49097</v>
      </c>
      <c r="C6" s="33">
        <v>85.0</v>
      </c>
      <c r="D6" s="32" t="s">
        <v>49098</v>
      </c>
      <c r="E6" s="32" t="s">
        <v>49099</v>
      </c>
      <c r="F6" s="33">
        <v>67.0</v>
      </c>
      <c r="G6" s="34">
        <v>8.5680674E7</v>
      </c>
    </row>
    <row r="7" ht="12.75" customHeight="1">
      <c r="A7" s="27">
        <v>168.0</v>
      </c>
      <c r="B7" s="28" t="s">
        <v>49100</v>
      </c>
      <c r="C7" s="29">
        <v>85.0</v>
      </c>
      <c r="D7" s="28" t="s">
        <v>49101</v>
      </c>
      <c r="E7" s="28" t="s">
        <v>49102</v>
      </c>
      <c r="F7" s="29">
        <v>97.0</v>
      </c>
      <c r="G7" s="30">
        <v>8.5680979E7</v>
      </c>
    </row>
    <row r="8" ht="12.75" customHeight="1">
      <c r="A8" s="31">
        <v>570.0</v>
      </c>
      <c r="B8" s="32" t="s">
        <v>49103</v>
      </c>
      <c r="C8" s="33">
        <v>85.0</v>
      </c>
      <c r="D8" s="32" t="s">
        <v>49104</v>
      </c>
      <c r="E8" s="32" t="s">
        <v>49105</v>
      </c>
      <c r="F8" s="33">
        <v>25.0</v>
      </c>
      <c r="G8" s="34">
        <v>8.5700259E7</v>
      </c>
    </row>
    <row r="9" ht="12.75" customHeight="1">
      <c r="A9" s="27">
        <v>773.0</v>
      </c>
      <c r="B9" s="28" t="s">
        <v>49106</v>
      </c>
      <c r="C9" s="29">
        <v>85.0</v>
      </c>
      <c r="D9" s="28" t="s">
        <v>49107</v>
      </c>
      <c r="E9" s="28" t="s">
        <v>49108</v>
      </c>
      <c r="F9" s="29">
        <v>79.0</v>
      </c>
      <c r="G9" s="30">
        <v>8.5730795E7</v>
      </c>
    </row>
    <row r="10" ht="12.75" customHeight="1">
      <c r="A10" s="31">
        <v>275.0</v>
      </c>
      <c r="B10" s="32" t="s">
        <v>49109</v>
      </c>
      <c r="C10" s="33">
        <v>85.0</v>
      </c>
      <c r="D10" s="32" t="s">
        <v>49110</v>
      </c>
      <c r="E10" s="32" t="s">
        <v>49111</v>
      </c>
      <c r="F10" s="33">
        <v>6.0</v>
      </c>
      <c r="G10" s="34">
        <v>8.5750067E7</v>
      </c>
    </row>
    <row r="11" ht="12.75" customHeight="1">
      <c r="A11" s="27">
        <v>275.0</v>
      </c>
      <c r="B11" s="28" t="s">
        <v>49112</v>
      </c>
      <c r="C11" s="29">
        <v>85.0</v>
      </c>
      <c r="D11" s="28" t="s">
        <v>49113</v>
      </c>
      <c r="E11" s="28" t="s">
        <v>49114</v>
      </c>
      <c r="F11" s="29">
        <v>23.0</v>
      </c>
      <c r="G11" s="30">
        <v>8.5750238E7</v>
      </c>
    </row>
    <row r="12" ht="12.75" customHeight="1">
      <c r="A12" s="31">
        <v>275.0</v>
      </c>
      <c r="B12" s="32" t="s">
        <v>49115</v>
      </c>
      <c r="C12" s="33">
        <v>85.0</v>
      </c>
      <c r="D12" s="32" t="s">
        <v>49116</v>
      </c>
      <c r="E12" s="32" t="s">
        <v>49117</v>
      </c>
      <c r="F12" s="31">
        <v>223.0</v>
      </c>
      <c r="G12" s="34">
        <v>8.5752236E7</v>
      </c>
    </row>
    <row r="13" ht="12.75" customHeight="1">
      <c r="A13" s="27">
        <v>576.0</v>
      </c>
      <c r="B13" s="28" t="s">
        <v>49118</v>
      </c>
      <c r="C13" s="29">
        <v>85.0</v>
      </c>
      <c r="D13" s="28" t="s">
        <v>49119</v>
      </c>
      <c r="E13" s="28" t="s">
        <v>49120</v>
      </c>
      <c r="F13" s="29">
        <v>64.0</v>
      </c>
      <c r="G13" s="30">
        <v>8.5760644E7</v>
      </c>
    </row>
    <row r="14" ht="12.75" customHeight="1">
      <c r="A14" s="31">
        <v>576.0</v>
      </c>
      <c r="B14" s="32" t="s">
        <v>49121</v>
      </c>
      <c r="C14" s="33">
        <v>85.0</v>
      </c>
      <c r="D14" s="32" t="s">
        <v>49122</v>
      </c>
      <c r="E14" s="32" t="s">
        <v>49123</v>
      </c>
      <c r="F14" s="31">
        <v>178.0</v>
      </c>
      <c r="G14" s="34">
        <v>8.576178E7</v>
      </c>
    </row>
    <row r="15" ht="12.75" customHeight="1">
      <c r="A15" s="27">
        <v>581.0</v>
      </c>
      <c r="B15" s="28" t="s">
        <v>49124</v>
      </c>
      <c r="C15" s="29">
        <v>85.0</v>
      </c>
      <c r="D15" s="28" t="s">
        <v>49125</v>
      </c>
      <c r="E15" s="28" t="s">
        <v>49126</v>
      </c>
      <c r="F15" s="27">
        <v>193.0</v>
      </c>
      <c r="G15" s="30">
        <v>8.5811935E7</v>
      </c>
    </row>
    <row r="16" ht="12.75" customHeight="1">
      <c r="A16" s="31">
        <v>785.0</v>
      </c>
      <c r="B16" s="32" t="s">
        <v>49127</v>
      </c>
      <c r="C16" s="33">
        <v>85.0</v>
      </c>
      <c r="D16" s="32" t="s">
        <v>49128</v>
      </c>
      <c r="E16" s="32" t="s">
        <v>49129</v>
      </c>
      <c r="F16" s="31">
        <v>145.0</v>
      </c>
      <c r="G16" s="34">
        <v>8.5851458E7</v>
      </c>
    </row>
    <row r="17" ht="12.75" customHeight="1">
      <c r="A17" s="27">
        <v>487.0</v>
      </c>
      <c r="B17" s="28" t="s">
        <v>49130</v>
      </c>
      <c r="C17" s="29">
        <v>85.0</v>
      </c>
      <c r="D17" s="28" t="s">
        <v>49131</v>
      </c>
      <c r="E17" s="28" t="s">
        <v>49132</v>
      </c>
      <c r="F17" s="27">
        <v>109.0</v>
      </c>
      <c r="G17" s="30">
        <v>8.5871096E7</v>
      </c>
    </row>
    <row r="18" ht="12.75" customHeight="1">
      <c r="A18" s="31">
        <v>688.0</v>
      </c>
      <c r="B18" s="32" t="s">
        <v>49133</v>
      </c>
      <c r="C18" s="33">
        <v>85.0</v>
      </c>
      <c r="D18" s="32" t="s">
        <v>49134</v>
      </c>
      <c r="E18" s="32" t="s">
        <v>49135</v>
      </c>
      <c r="F18" s="33">
        <v>22.0</v>
      </c>
      <c r="G18" s="34">
        <v>8.5880229E7</v>
      </c>
    </row>
    <row r="19" ht="12.75" customHeight="1">
      <c r="A19" s="27">
        <v>688.0</v>
      </c>
      <c r="B19" s="28" t="s">
        <v>49136</v>
      </c>
      <c r="C19" s="29">
        <v>85.0</v>
      </c>
      <c r="D19" s="28" t="s">
        <v>49137</v>
      </c>
      <c r="E19" s="28" t="s">
        <v>49138</v>
      </c>
      <c r="F19" s="29">
        <v>43.0</v>
      </c>
      <c r="G19" s="30">
        <v>8.5880432E7</v>
      </c>
    </row>
    <row r="20" ht="12.75" customHeight="1">
      <c r="A20" s="31">
        <v>688.0</v>
      </c>
      <c r="B20" s="32" t="s">
        <v>49139</v>
      </c>
      <c r="C20" s="33">
        <v>85.0</v>
      </c>
      <c r="D20" s="32" t="s">
        <v>49140</v>
      </c>
      <c r="E20" s="32" t="s">
        <v>49141</v>
      </c>
      <c r="F20" s="31">
        <v>187.0</v>
      </c>
      <c r="G20" s="34">
        <v>8.5881873E7</v>
      </c>
    </row>
    <row r="21" ht="12.75" customHeight="1">
      <c r="A21" s="27">
        <v>688.0</v>
      </c>
      <c r="B21" s="28" t="s">
        <v>49142</v>
      </c>
      <c r="C21" s="29">
        <v>85.0</v>
      </c>
      <c r="D21" s="28" t="s">
        <v>49143</v>
      </c>
      <c r="E21" s="28" t="s">
        <v>49144</v>
      </c>
      <c r="F21" s="27">
        <v>190.0</v>
      </c>
      <c r="G21" s="30">
        <v>8.5881907E7</v>
      </c>
    </row>
    <row r="22" ht="12.75" customHeight="1">
      <c r="A22" s="31">
        <v>891.0</v>
      </c>
      <c r="B22" s="32" t="s">
        <v>49145</v>
      </c>
      <c r="C22" s="33">
        <v>85.0</v>
      </c>
      <c r="D22" s="32" t="s">
        <v>49146</v>
      </c>
      <c r="E22" s="32" t="s">
        <v>49147</v>
      </c>
      <c r="F22" s="31">
        <v>154.0</v>
      </c>
      <c r="G22" s="34">
        <v>8.5911543E7</v>
      </c>
    </row>
    <row r="23" ht="12.75" customHeight="1">
      <c r="A23" s="27">
        <v>891.0</v>
      </c>
      <c r="B23" s="28" t="s">
        <v>49148</v>
      </c>
      <c r="C23" s="29">
        <v>85.0</v>
      </c>
      <c r="D23" s="28" t="s">
        <v>49149</v>
      </c>
      <c r="E23" s="28" t="s">
        <v>49150</v>
      </c>
      <c r="F23" s="27">
        <v>250.0</v>
      </c>
      <c r="G23" s="30">
        <v>8.59125E7</v>
      </c>
    </row>
    <row r="24" ht="12.75" customHeight="1">
      <c r="A24" s="31">
        <v>891.0</v>
      </c>
      <c r="B24" s="32" t="s">
        <v>49151</v>
      </c>
      <c r="C24" s="33">
        <v>85.0</v>
      </c>
      <c r="D24" s="32" t="s">
        <v>49152</v>
      </c>
      <c r="E24" s="32" t="s">
        <v>49153</v>
      </c>
      <c r="F24" s="31">
        <v>254.0</v>
      </c>
      <c r="G24" s="34">
        <v>8.5912542E7</v>
      </c>
    </row>
    <row r="25" ht="12.75" customHeight="1">
      <c r="A25" s="27">
        <v>891.0</v>
      </c>
      <c r="B25" s="28" t="s">
        <v>49154</v>
      </c>
      <c r="C25" s="29">
        <v>85.0</v>
      </c>
      <c r="D25" s="28" t="s">
        <v>49155</v>
      </c>
      <c r="E25" s="28" t="s">
        <v>49156</v>
      </c>
      <c r="F25" s="27">
        <v>403.0</v>
      </c>
      <c r="G25" s="30">
        <v>8.5914032E7</v>
      </c>
    </row>
    <row r="26" ht="12.75" customHeight="1">
      <c r="A26" s="31">
        <v>193.0</v>
      </c>
      <c r="B26" s="32" t="s">
        <v>49157</v>
      </c>
      <c r="C26" s="33">
        <v>85.0</v>
      </c>
      <c r="D26" s="32" t="s">
        <v>49158</v>
      </c>
      <c r="E26" s="32" t="s">
        <v>49159</v>
      </c>
      <c r="F26" s="31">
        <v>229.0</v>
      </c>
      <c r="G26" s="34">
        <v>8.5932298E7</v>
      </c>
    </row>
    <row r="27" ht="12.75" customHeight="1">
      <c r="A27" s="27">
        <v>306.0</v>
      </c>
      <c r="B27" s="28" t="s">
        <v>49160</v>
      </c>
      <c r="C27" s="29">
        <v>90.0</v>
      </c>
      <c r="D27" s="28" t="s">
        <v>49161</v>
      </c>
      <c r="E27" s="28" t="s">
        <v>49162</v>
      </c>
      <c r="F27" s="29">
        <v>28.0</v>
      </c>
      <c r="G27" s="30">
        <v>9.0060289E7</v>
      </c>
    </row>
    <row r="28" ht="12.75" customHeight="1">
      <c r="A28" s="31">
        <v>610.0</v>
      </c>
      <c r="B28" s="32" t="s">
        <v>49163</v>
      </c>
      <c r="C28" s="33">
        <v>90.0</v>
      </c>
      <c r="D28" s="32" t="s">
        <v>49164</v>
      </c>
      <c r="E28" s="32" t="s">
        <v>49165</v>
      </c>
      <c r="F28" s="33">
        <v>37.0</v>
      </c>
      <c r="G28" s="34">
        <v>9.0100378E7</v>
      </c>
    </row>
    <row r="29" ht="12.75" customHeight="1">
      <c r="A29" s="27">
        <v>112.0</v>
      </c>
      <c r="B29" s="28" t="s">
        <v>49166</v>
      </c>
      <c r="C29" s="29">
        <v>90.0</v>
      </c>
      <c r="D29" s="28" t="s">
        <v>49167</v>
      </c>
      <c r="E29" s="28" t="s">
        <v>49168</v>
      </c>
      <c r="F29" s="29">
        <v>10.0</v>
      </c>
      <c r="G29" s="30">
        <v>9.0120103E7</v>
      </c>
    </row>
    <row r="30" ht="12.75" customHeight="1">
      <c r="A30" s="31">
        <v>112.0</v>
      </c>
      <c r="B30" s="32" t="s">
        <v>49169</v>
      </c>
      <c r="C30" s="33">
        <v>90.0</v>
      </c>
      <c r="D30" s="32" t="s">
        <v>49170</v>
      </c>
      <c r="E30" s="32" t="s">
        <v>49171</v>
      </c>
      <c r="F30" s="33">
        <v>43.0</v>
      </c>
      <c r="G30" s="34">
        <v>9.0120437E7</v>
      </c>
    </row>
    <row r="31" ht="12.75" customHeight="1">
      <c r="A31" s="27">
        <v>113.0</v>
      </c>
      <c r="B31" s="28" t="s">
        <v>49172</v>
      </c>
      <c r="C31" s="29">
        <v>90.0</v>
      </c>
      <c r="D31" s="28" t="s">
        <v>49173</v>
      </c>
      <c r="E31" s="28" t="s">
        <v>49174</v>
      </c>
      <c r="F31" s="29">
        <v>31.0</v>
      </c>
      <c r="G31" s="30">
        <v>9.0130319E7</v>
      </c>
    </row>
    <row r="32" ht="12.75" customHeight="1">
      <c r="A32" s="31">
        <v>215.0</v>
      </c>
      <c r="B32" s="32" t="s">
        <v>49175</v>
      </c>
      <c r="C32" s="33">
        <v>90.0</v>
      </c>
      <c r="D32" s="32" t="s">
        <v>49176</v>
      </c>
      <c r="E32" s="32" t="s">
        <v>49177</v>
      </c>
      <c r="F32" s="33">
        <v>13.0</v>
      </c>
      <c r="G32" s="34">
        <v>9.0150131E7</v>
      </c>
    </row>
    <row r="33" ht="12.75" customHeight="1">
      <c r="A33" s="27">
        <v>215.0</v>
      </c>
      <c r="B33" s="28" t="s">
        <v>49178</v>
      </c>
      <c r="C33" s="29">
        <v>90.0</v>
      </c>
      <c r="D33" s="28" t="s">
        <v>49179</v>
      </c>
      <c r="E33" s="28" t="s">
        <v>49180</v>
      </c>
      <c r="F33" s="27">
        <v>148.0</v>
      </c>
      <c r="G33" s="30">
        <v>9.015148E7</v>
      </c>
    </row>
    <row r="34" ht="12.75" customHeight="1">
      <c r="A34" s="31">
        <v>215.0</v>
      </c>
      <c r="B34" s="32" t="s">
        <v>49181</v>
      </c>
      <c r="C34" s="33">
        <v>90.0</v>
      </c>
      <c r="D34" s="32" t="s">
        <v>49182</v>
      </c>
      <c r="E34" s="32" t="s">
        <v>49183</v>
      </c>
      <c r="F34" s="31">
        <v>200.0</v>
      </c>
      <c r="G34" s="34">
        <v>9.0152005E7</v>
      </c>
    </row>
    <row r="35" ht="12.75" customHeight="1">
      <c r="A35" s="27">
        <v>215.0</v>
      </c>
      <c r="B35" s="28" t="s">
        <v>49184</v>
      </c>
      <c r="C35" s="29">
        <v>90.0</v>
      </c>
      <c r="D35" s="28" t="s">
        <v>49185</v>
      </c>
      <c r="E35" s="28" t="s">
        <v>49186</v>
      </c>
      <c r="F35" s="27">
        <v>274.0</v>
      </c>
      <c r="G35" s="30">
        <v>9.0152742E7</v>
      </c>
    </row>
    <row r="36" ht="12.75" customHeight="1">
      <c r="A36" s="31">
        <v>215.0</v>
      </c>
      <c r="B36" s="32" t="s">
        <v>49187</v>
      </c>
      <c r="C36" s="33">
        <v>90.0</v>
      </c>
      <c r="D36" s="32" t="s">
        <v>49188</v>
      </c>
      <c r="E36" s="32" t="s">
        <v>49189</v>
      </c>
      <c r="F36" s="31">
        <v>316.0</v>
      </c>
      <c r="G36" s="34">
        <v>9.0153167E7</v>
      </c>
    </row>
    <row r="37" ht="12.75" customHeight="1">
      <c r="A37" s="27">
        <v>215.0</v>
      </c>
      <c r="B37" s="28" t="s">
        <v>49190</v>
      </c>
      <c r="C37" s="29">
        <v>90.0</v>
      </c>
      <c r="D37" s="28" t="s">
        <v>49191</v>
      </c>
      <c r="E37" s="28" t="s">
        <v>49192</v>
      </c>
      <c r="F37" s="27">
        <v>322.0</v>
      </c>
      <c r="G37" s="30">
        <v>9.015322E7</v>
      </c>
    </row>
    <row r="38" ht="12.75" customHeight="1">
      <c r="A38" s="31">
        <v>215.0</v>
      </c>
      <c r="B38" s="32" t="s">
        <v>49193</v>
      </c>
      <c r="C38" s="33">
        <v>90.0</v>
      </c>
      <c r="D38" s="32" t="s">
        <v>49194</v>
      </c>
      <c r="E38" s="32" t="s">
        <v>49195</v>
      </c>
      <c r="F38" s="31">
        <v>364.0</v>
      </c>
      <c r="G38" s="34">
        <v>9.0153646E7</v>
      </c>
    </row>
    <row r="39" ht="12.75" customHeight="1">
      <c r="A39" s="27">
        <v>215.0</v>
      </c>
      <c r="B39" s="28" t="s">
        <v>49196</v>
      </c>
      <c r="C39" s="29">
        <v>90.0</v>
      </c>
      <c r="D39" s="28" t="s">
        <v>49197</v>
      </c>
      <c r="E39" s="28" t="s">
        <v>49198</v>
      </c>
      <c r="F39" s="27">
        <v>373.0</v>
      </c>
      <c r="G39" s="30">
        <v>9.0153738E7</v>
      </c>
    </row>
    <row r="40" ht="12.75" customHeight="1">
      <c r="A40" s="31">
        <v>215.0</v>
      </c>
      <c r="B40" s="32" t="s">
        <v>49199</v>
      </c>
      <c r="C40" s="33">
        <v>90.0</v>
      </c>
      <c r="D40" s="32" t="s">
        <v>49200</v>
      </c>
      <c r="E40" s="32" t="s">
        <v>49201</v>
      </c>
      <c r="F40" s="31">
        <v>427.0</v>
      </c>
      <c r="G40" s="34">
        <v>9.0154274E7</v>
      </c>
    </row>
    <row r="41" ht="12.75" customHeight="1">
      <c r="A41" s="27">
        <v>215.0</v>
      </c>
      <c r="B41" s="28" t="s">
        <v>49202</v>
      </c>
      <c r="C41" s="29">
        <v>90.0</v>
      </c>
      <c r="D41" s="28" t="s">
        <v>49203</v>
      </c>
      <c r="E41" s="28" t="s">
        <v>49204</v>
      </c>
      <c r="F41" s="27">
        <v>466.0</v>
      </c>
      <c r="G41" s="30">
        <v>9.0154661E7</v>
      </c>
    </row>
    <row r="42" ht="12.75" customHeight="1">
      <c r="A42" s="31">
        <v>215.0</v>
      </c>
      <c r="B42" s="32" t="s">
        <v>49205</v>
      </c>
      <c r="C42" s="33">
        <v>90.0</v>
      </c>
      <c r="D42" s="32" t="s">
        <v>49206</v>
      </c>
      <c r="E42" s="32" t="s">
        <v>49207</v>
      </c>
      <c r="F42" s="31">
        <v>532.0</v>
      </c>
      <c r="G42" s="34">
        <v>9.0155323E7</v>
      </c>
    </row>
    <row r="43" ht="12.75" customHeight="1">
      <c r="A43" s="27">
        <v>215.0</v>
      </c>
      <c r="B43" s="28" t="s">
        <v>49208</v>
      </c>
      <c r="C43" s="29">
        <v>90.0</v>
      </c>
      <c r="D43" s="28" t="s">
        <v>49209</v>
      </c>
      <c r="E43" s="28" t="s">
        <v>49210</v>
      </c>
      <c r="F43" s="27">
        <v>613.0</v>
      </c>
      <c r="G43" s="30">
        <v>9.0156135E7</v>
      </c>
    </row>
    <row r="44" ht="12.75" customHeight="1">
      <c r="A44" s="31">
        <v>215.0</v>
      </c>
      <c r="B44" s="32" t="s">
        <v>49211</v>
      </c>
      <c r="C44" s="33">
        <v>90.0</v>
      </c>
      <c r="D44" s="32" t="s">
        <v>49212</v>
      </c>
      <c r="E44" s="32" t="s">
        <v>49213</v>
      </c>
      <c r="F44" s="31">
        <v>650.0</v>
      </c>
      <c r="G44" s="34">
        <v>9.0156506E7</v>
      </c>
    </row>
    <row r="45" ht="12.75" customHeight="1">
      <c r="A45" s="27">
        <v>418.0</v>
      </c>
      <c r="B45" s="28" t="s">
        <v>49214</v>
      </c>
      <c r="C45" s="29">
        <v>90.0</v>
      </c>
      <c r="D45" s="28" t="s">
        <v>49215</v>
      </c>
      <c r="E45" s="28" t="s">
        <v>49216</v>
      </c>
      <c r="F45" s="29">
        <v>19.0</v>
      </c>
      <c r="G45" s="30">
        <v>9.0180198E7</v>
      </c>
    </row>
    <row r="46" ht="12.75" customHeight="1">
      <c r="A46" s="31">
        <v>119.0</v>
      </c>
      <c r="B46" s="32" t="s">
        <v>49217</v>
      </c>
      <c r="C46" s="33">
        <v>90.0</v>
      </c>
      <c r="D46" s="32" t="s">
        <v>49218</v>
      </c>
      <c r="E46" s="32" t="s">
        <v>49219</v>
      </c>
      <c r="F46" s="31">
        <v>115.0</v>
      </c>
      <c r="G46" s="34">
        <v>9.0191158E7</v>
      </c>
    </row>
    <row r="47" ht="12.75" customHeight="1">
      <c r="A47" s="27">
        <v>119.0</v>
      </c>
      <c r="B47" s="28" t="s">
        <v>49220</v>
      </c>
      <c r="C47" s="29">
        <v>90.0</v>
      </c>
      <c r="D47" s="28" t="s">
        <v>49221</v>
      </c>
      <c r="E47" s="28" t="s">
        <v>49222</v>
      </c>
      <c r="F47" s="27">
        <v>116.0</v>
      </c>
      <c r="G47" s="30">
        <v>9.0191161E7</v>
      </c>
    </row>
    <row r="48" ht="12.75" customHeight="1">
      <c r="A48" s="31">
        <v>119.0</v>
      </c>
      <c r="B48" s="32" t="s">
        <v>49223</v>
      </c>
      <c r="C48" s="33">
        <v>90.0</v>
      </c>
      <c r="D48" s="32" t="s">
        <v>49224</v>
      </c>
      <c r="E48" s="32" t="s">
        <v>49225</v>
      </c>
      <c r="F48" s="31">
        <v>142.0</v>
      </c>
      <c r="G48" s="34">
        <v>9.0191424E7</v>
      </c>
    </row>
    <row r="49" ht="12.75" customHeight="1">
      <c r="A49" s="27">
        <v>119.0</v>
      </c>
      <c r="B49" s="28" t="s">
        <v>49226</v>
      </c>
      <c r="C49" s="29">
        <v>90.0</v>
      </c>
      <c r="D49" s="28" t="s">
        <v>49227</v>
      </c>
      <c r="E49" s="28" t="s">
        <v>49228</v>
      </c>
      <c r="F49" s="27">
        <v>211.0</v>
      </c>
      <c r="G49" s="30">
        <v>9.0192115E7</v>
      </c>
    </row>
    <row r="50" ht="12.75" customHeight="1">
      <c r="A50" s="31">
        <v>119.0</v>
      </c>
      <c r="B50" s="32" t="s">
        <v>49229</v>
      </c>
      <c r="C50" s="33">
        <v>90.0</v>
      </c>
      <c r="D50" s="32" t="s">
        <v>49230</v>
      </c>
      <c r="E50" s="32" t="s">
        <v>49231</v>
      </c>
      <c r="F50" s="31">
        <v>271.0</v>
      </c>
      <c r="G50" s="34">
        <v>9.0192715E7</v>
      </c>
    </row>
    <row r="51" ht="12.75" customHeight="1">
      <c r="A51" s="27">
        <v>222.0</v>
      </c>
      <c r="B51" s="28" t="s">
        <v>49232</v>
      </c>
      <c r="C51" s="29">
        <v>90.0</v>
      </c>
      <c r="D51" s="28" t="s">
        <v>49233</v>
      </c>
      <c r="E51" s="28" t="s">
        <v>49234</v>
      </c>
      <c r="F51" s="29">
        <v>16.0</v>
      </c>
      <c r="G51" s="30">
        <v>9.0220166E7</v>
      </c>
    </row>
    <row r="52" ht="12.75" customHeight="1">
      <c r="A52" s="31">
        <v>222.0</v>
      </c>
      <c r="B52" s="32" t="s">
        <v>49235</v>
      </c>
      <c r="C52" s="33">
        <v>90.0</v>
      </c>
      <c r="D52" s="32" t="s">
        <v>49236</v>
      </c>
      <c r="E52" s="32" t="s">
        <v>49237</v>
      </c>
      <c r="F52" s="33">
        <v>25.0</v>
      </c>
      <c r="G52" s="34">
        <v>9.0220258E7</v>
      </c>
    </row>
    <row r="53" ht="12.75" customHeight="1">
      <c r="A53" s="27">
        <v>126.0</v>
      </c>
      <c r="B53" s="28" t="s">
        <v>49238</v>
      </c>
      <c r="C53" s="29">
        <v>90.0</v>
      </c>
      <c r="D53" s="28" t="s">
        <v>49239</v>
      </c>
      <c r="E53" s="28" t="s">
        <v>49240</v>
      </c>
      <c r="F53" s="29">
        <v>20.0</v>
      </c>
      <c r="G53" s="30">
        <v>9.0260205E7</v>
      </c>
    </row>
    <row r="54" ht="12.75" customHeight="1">
      <c r="A54" s="31">
        <v>126.0</v>
      </c>
      <c r="B54" s="32" t="s">
        <v>49241</v>
      </c>
      <c r="C54" s="33">
        <v>90.0</v>
      </c>
      <c r="D54" s="32" t="s">
        <v>49242</v>
      </c>
      <c r="E54" s="32" t="s">
        <v>49243</v>
      </c>
      <c r="F54" s="33">
        <v>22.0</v>
      </c>
      <c r="G54" s="34">
        <v>9.0260221E7</v>
      </c>
    </row>
    <row r="55" ht="12.75" customHeight="1">
      <c r="A55" s="27">
        <v>126.0</v>
      </c>
      <c r="B55" s="28" t="s">
        <v>49244</v>
      </c>
      <c r="C55" s="29">
        <v>90.0</v>
      </c>
      <c r="D55" s="28" t="s">
        <v>49245</v>
      </c>
      <c r="E55" s="28" t="s">
        <v>49246</v>
      </c>
      <c r="F55" s="29">
        <v>36.0</v>
      </c>
      <c r="G55" s="30">
        <v>9.0260368E7</v>
      </c>
    </row>
    <row r="56" ht="12.75" customHeight="1">
      <c r="A56" s="31">
        <v>126.0</v>
      </c>
      <c r="B56" s="32" t="s">
        <v>49247</v>
      </c>
      <c r="C56" s="33">
        <v>90.0</v>
      </c>
      <c r="D56" s="32" t="s">
        <v>49248</v>
      </c>
      <c r="E56" s="32" t="s">
        <v>49249</v>
      </c>
      <c r="F56" s="33">
        <v>43.0</v>
      </c>
      <c r="G56" s="34">
        <v>9.0260434E7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49250</v>
      </c>
      <c r="C1" s="29">
        <v>90.0</v>
      </c>
      <c r="D1" s="28" t="s">
        <v>49251</v>
      </c>
      <c r="E1" s="28" t="s">
        <v>49252</v>
      </c>
      <c r="F1" s="29">
        <v>46.0</v>
      </c>
      <c r="G1" s="30">
        <v>9.0260463E7</v>
      </c>
    </row>
    <row r="2" ht="12.75" customHeight="1">
      <c r="A2" s="31">
        <v>126.0</v>
      </c>
      <c r="B2" s="32" t="s">
        <v>49253</v>
      </c>
      <c r="C2" s="33">
        <v>90.0</v>
      </c>
      <c r="D2" s="32" t="s">
        <v>49254</v>
      </c>
      <c r="E2" s="32" t="s">
        <v>49255</v>
      </c>
      <c r="F2" s="33">
        <v>50.0</v>
      </c>
      <c r="G2" s="34">
        <v>9.02605E7</v>
      </c>
    </row>
    <row r="3" ht="12.75" customHeight="1">
      <c r="A3" s="27">
        <v>126.0</v>
      </c>
      <c r="B3" s="28" t="s">
        <v>49256</v>
      </c>
      <c r="C3" s="29">
        <v>90.0</v>
      </c>
      <c r="D3" s="28" t="s">
        <v>49257</v>
      </c>
      <c r="E3" s="28" t="s">
        <v>49258</v>
      </c>
      <c r="F3" s="29">
        <v>55.0</v>
      </c>
      <c r="G3" s="30">
        <v>9.0260555E7</v>
      </c>
    </row>
    <row r="4" ht="12.75" customHeight="1">
      <c r="A4" s="31">
        <v>126.0</v>
      </c>
      <c r="B4" s="32" t="s">
        <v>49259</v>
      </c>
      <c r="C4" s="33">
        <v>90.0</v>
      </c>
      <c r="D4" s="32" t="s">
        <v>49260</v>
      </c>
      <c r="E4" s="32" t="s">
        <v>49261</v>
      </c>
      <c r="F4" s="33">
        <v>92.0</v>
      </c>
      <c r="G4" s="34">
        <v>9.0260926E7</v>
      </c>
    </row>
    <row r="5" ht="12.75" customHeight="1">
      <c r="A5" s="27">
        <v>126.0</v>
      </c>
      <c r="B5" s="28" t="s">
        <v>49262</v>
      </c>
      <c r="C5" s="29">
        <v>90.0</v>
      </c>
      <c r="D5" s="28" t="s">
        <v>49263</v>
      </c>
      <c r="E5" s="28" t="s">
        <v>49264</v>
      </c>
      <c r="F5" s="27">
        <v>109.0</v>
      </c>
      <c r="G5" s="30">
        <v>9.0261091E7</v>
      </c>
    </row>
    <row r="6" ht="12.75" customHeight="1">
      <c r="A6" s="31">
        <v>126.0</v>
      </c>
      <c r="B6" s="32" t="s">
        <v>49265</v>
      </c>
      <c r="C6" s="33">
        <v>90.0</v>
      </c>
      <c r="D6" s="32" t="s">
        <v>49266</v>
      </c>
      <c r="E6" s="32" t="s">
        <v>49267</v>
      </c>
      <c r="F6" s="31">
        <v>118.0</v>
      </c>
      <c r="G6" s="34">
        <v>9.0261183E7</v>
      </c>
    </row>
    <row r="7" ht="12.75" customHeight="1">
      <c r="A7" s="27">
        <v>126.0</v>
      </c>
      <c r="B7" s="28" t="s">
        <v>49268</v>
      </c>
      <c r="C7" s="29">
        <v>90.0</v>
      </c>
      <c r="D7" s="28" t="s">
        <v>49269</v>
      </c>
      <c r="E7" s="28" t="s">
        <v>49270</v>
      </c>
      <c r="F7" s="27">
        <v>133.0</v>
      </c>
      <c r="G7" s="30">
        <v>9.0261338E7</v>
      </c>
    </row>
    <row r="8" ht="12.75" customHeight="1">
      <c r="A8" s="31">
        <v>126.0</v>
      </c>
      <c r="B8" s="32" t="s">
        <v>49271</v>
      </c>
      <c r="C8" s="33">
        <v>90.0</v>
      </c>
      <c r="D8" s="32" t="s">
        <v>49272</v>
      </c>
      <c r="E8" s="32" t="s">
        <v>49273</v>
      </c>
      <c r="F8" s="31">
        <v>172.0</v>
      </c>
      <c r="G8" s="34">
        <v>9.0261725E7</v>
      </c>
    </row>
    <row r="9" ht="12.75" customHeight="1">
      <c r="A9" s="27">
        <v>126.0</v>
      </c>
      <c r="B9" s="28" t="s">
        <v>49274</v>
      </c>
      <c r="C9" s="29">
        <v>90.0</v>
      </c>
      <c r="D9" s="28" t="s">
        <v>49275</v>
      </c>
      <c r="E9" s="28" t="s">
        <v>49276</v>
      </c>
      <c r="F9" s="27">
        <v>180.0</v>
      </c>
      <c r="G9" s="30">
        <v>9.0261804E7</v>
      </c>
    </row>
    <row r="10" ht="12.75" customHeight="1">
      <c r="A10" s="31">
        <v>126.0</v>
      </c>
      <c r="B10" s="32" t="s">
        <v>49277</v>
      </c>
      <c r="C10" s="33">
        <v>90.0</v>
      </c>
      <c r="D10" s="32" t="s">
        <v>49278</v>
      </c>
      <c r="E10" s="32" t="s">
        <v>49279</v>
      </c>
      <c r="F10" s="31">
        <v>205.0</v>
      </c>
      <c r="G10" s="34">
        <v>9.0262058E7</v>
      </c>
    </row>
    <row r="11" ht="12.75" customHeight="1">
      <c r="A11" s="27">
        <v>126.0</v>
      </c>
      <c r="B11" s="28" t="s">
        <v>49280</v>
      </c>
      <c r="C11" s="29">
        <v>90.0</v>
      </c>
      <c r="D11" s="28" t="s">
        <v>49281</v>
      </c>
      <c r="E11" s="28" t="s">
        <v>49282</v>
      </c>
      <c r="F11" s="27">
        <v>244.0</v>
      </c>
      <c r="G11" s="30">
        <v>9.0262445E7</v>
      </c>
    </row>
    <row r="12" ht="12.75" customHeight="1">
      <c r="A12" s="31">
        <v>126.0</v>
      </c>
      <c r="B12" s="32" t="s">
        <v>49283</v>
      </c>
      <c r="C12" s="33">
        <v>90.0</v>
      </c>
      <c r="D12" s="32" t="s">
        <v>49284</v>
      </c>
      <c r="E12" s="32" t="s">
        <v>49285</v>
      </c>
      <c r="F12" s="31">
        <v>253.0</v>
      </c>
      <c r="G12" s="34">
        <v>9.0262537E7</v>
      </c>
    </row>
    <row r="13" ht="12.75" customHeight="1">
      <c r="A13" s="27">
        <v>126.0</v>
      </c>
      <c r="B13" s="28" t="s">
        <v>49286</v>
      </c>
      <c r="C13" s="29">
        <v>90.0</v>
      </c>
      <c r="D13" s="28" t="s">
        <v>49287</v>
      </c>
      <c r="E13" s="28" t="s">
        <v>49288</v>
      </c>
      <c r="F13" s="27">
        <v>287.0</v>
      </c>
      <c r="G13" s="30">
        <v>9.0262874E7</v>
      </c>
    </row>
    <row r="14" ht="12.75" customHeight="1">
      <c r="A14" s="31">
        <v>126.0</v>
      </c>
      <c r="B14" s="32" t="s">
        <v>49289</v>
      </c>
      <c r="C14" s="33">
        <v>90.0</v>
      </c>
      <c r="D14" s="32" t="s">
        <v>49290</v>
      </c>
      <c r="E14" s="32" t="s">
        <v>49291</v>
      </c>
      <c r="F14" s="31">
        <v>298.0</v>
      </c>
      <c r="G14" s="34">
        <v>9.0262982E7</v>
      </c>
    </row>
    <row r="15" ht="12.75" customHeight="1">
      <c r="A15" s="27">
        <v>126.0</v>
      </c>
      <c r="B15" s="28" t="s">
        <v>49292</v>
      </c>
      <c r="C15" s="29">
        <v>90.0</v>
      </c>
      <c r="D15" s="28" t="s">
        <v>49293</v>
      </c>
      <c r="E15" s="28" t="s">
        <v>49294</v>
      </c>
      <c r="F15" s="27">
        <v>313.0</v>
      </c>
      <c r="G15" s="30">
        <v>9.0263136E7</v>
      </c>
    </row>
    <row r="16" ht="12.75" customHeight="1">
      <c r="A16" s="31">
        <v>126.0</v>
      </c>
      <c r="B16" s="32" t="s">
        <v>49295</v>
      </c>
      <c r="C16" s="33">
        <v>90.0</v>
      </c>
      <c r="D16" s="32" t="s">
        <v>49296</v>
      </c>
      <c r="E16" s="32" t="s">
        <v>49297</v>
      </c>
      <c r="F16" s="31">
        <v>319.0</v>
      </c>
      <c r="G16" s="34">
        <v>9.0263194E7</v>
      </c>
    </row>
    <row r="17" ht="12.75" customHeight="1">
      <c r="A17" s="27">
        <v>126.0</v>
      </c>
      <c r="B17" s="28" t="s">
        <v>49298</v>
      </c>
      <c r="C17" s="29">
        <v>90.0</v>
      </c>
      <c r="D17" s="28" t="s">
        <v>49299</v>
      </c>
      <c r="E17" s="28" t="s">
        <v>49300</v>
      </c>
      <c r="F17" s="27">
        <v>328.0</v>
      </c>
      <c r="G17" s="30">
        <v>9.0263286E7</v>
      </c>
    </row>
    <row r="18" ht="12.75" customHeight="1">
      <c r="A18" s="31">
        <v>126.0</v>
      </c>
      <c r="B18" s="32" t="s">
        <v>49301</v>
      </c>
      <c r="C18" s="33">
        <v>90.0</v>
      </c>
      <c r="D18" s="32" t="s">
        <v>49302</v>
      </c>
      <c r="E18" s="32" t="s">
        <v>49303</v>
      </c>
      <c r="F18" s="31">
        <v>358.0</v>
      </c>
      <c r="G18" s="34">
        <v>9.0263581E7</v>
      </c>
    </row>
    <row r="19" ht="12.75" customHeight="1">
      <c r="A19" s="27">
        <v>126.0</v>
      </c>
      <c r="B19" s="28" t="s">
        <v>49304</v>
      </c>
      <c r="C19" s="29">
        <v>90.0</v>
      </c>
      <c r="D19" s="28" t="s">
        <v>49305</v>
      </c>
      <c r="E19" s="28" t="s">
        <v>49306</v>
      </c>
      <c r="F19" s="27">
        <v>370.0</v>
      </c>
      <c r="G19" s="30">
        <v>9.0263707E7</v>
      </c>
    </row>
    <row r="20" ht="12.75" customHeight="1">
      <c r="A20" s="31">
        <v>126.0</v>
      </c>
      <c r="B20" s="32" t="s">
        <v>49307</v>
      </c>
      <c r="C20" s="33">
        <v>90.0</v>
      </c>
      <c r="D20" s="32" t="s">
        <v>49308</v>
      </c>
      <c r="E20" s="32" t="s">
        <v>49309</v>
      </c>
      <c r="F20" s="31">
        <v>397.0</v>
      </c>
      <c r="G20" s="34">
        <v>9.0263978E7</v>
      </c>
    </row>
    <row r="21" ht="12.75" customHeight="1">
      <c r="A21" s="27">
        <v>126.0</v>
      </c>
      <c r="B21" s="28" t="s">
        <v>49310</v>
      </c>
      <c r="C21" s="29">
        <v>90.0</v>
      </c>
      <c r="D21" s="28" t="s">
        <v>49311</v>
      </c>
      <c r="E21" s="28" t="s">
        <v>49312</v>
      </c>
      <c r="F21" s="27">
        <v>403.0</v>
      </c>
      <c r="G21" s="30">
        <v>9.026403E7</v>
      </c>
    </row>
    <row r="22" ht="12.75" customHeight="1">
      <c r="A22" s="31">
        <v>126.0</v>
      </c>
      <c r="B22" s="32" t="s">
        <v>49313</v>
      </c>
      <c r="C22" s="33">
        <v>90.0</v>
      </c>
      <c r="D22" s="32" t="s">
        <v>49314</v>
      </c>
      <c r="E22" s="32" t="s">
        <v>49315</v>
      </c>
      <c r="F22" s="31">
        <v>412.0</v>
      </c>
      <c r="G22" s="34">
        <v>9.0264122E7</v>
      </c>
    </row>
    <row r="23" ht="12.75" customHeight="1">
      <c r="A23" s="27">
        <v>126.0</v>
      </c>
      <c r="B23" s="28" t="s">
        <v>49316</v>
      </c>
      <c r="C23" s="29">
        <v>90.0</v>
      </c>
      <c r="D23" s="28" t="s">
        <v>49317</v>
      </c>
      <c r="E23" s="28" t="s">
        <v>49318</v>
      </c>
      <c r="F23" s="27">
        <v>448.0</v>
      </c>
      <c r="G23" s="30">
        <v>9.0264485E7</v>
      </c>
    </row>
    <row r="24" ht="12.75" customHeight="1">
      <c r="A24" s="31">
        <v>126.0</v>
      </c>
      <c r="B24" s="32" t="s">
        <v>49319</v>
      </c>
      <c r="C24" s="33">
        <v>90.0</v>
      </c>
      <c r="D24" s="32" t="s">
        <v>49320</v>
      </c>
      <c r="E24" s="32" t="s">
        <v>49321</v>
      </c>
      <c r="F24" s="31">
        <v>460.0</v>
      </c>
      <c r="G24" s="34">
        <v>9.0264601E7</v>
      </c>
    </row>
    <row r="25" ht="12.75" customHeight="1">
      <c r="A25" s="27">
        <v>126.0</v>
      </c>
      <c r="B25" s="28" t="s">
        <v>49322</v>
      </c>
      <c r="C25" s="29">
        <v>90.0</v>
      </c>
      <c r="D25" s="28" t="s">
        <v>49323</v>
      </c>
      <c r="E25" s="28" t="s">
        <v>49324</v>
      </c>
      <c r="F25" s="27">
        <v>463.0</v>
      </c>
      <c r="G25" s="30">
        <v>9.026463E7</v>
      </c>
    </row>
    <row r="26" ht="12.75" customHeight="1">
      <c r="A26" s="31">
        <v>126.0</v>
      </c>
      <c r="B26" s="32" t="s">
        <v>49325</v>
      </c>
      <c r="C26" s="33">
        <v>90.0</v>
      </c>
      <c r="D26" s="32" t="s">
        <v>49326</v>
      </c>
      <c r="E26" s="32" t="s">
        <v>49327</v>
      </c>
      <c r="F26" s="31">
        <v>465.0</v>
      </c>
      <c r="G26" s="34">
        <v>9.0264656E7</v>
      </c>
    </row>
    <row r="27" ht="12.75" customHeight="1">
      <c r="A27" s="27">
        <v>126.0</v>
      </c>
      <c r="B27" s="28" t="s">
        <v>49328</v>
      </c>
      <c r="C27" s="29">
        <v>90.0</v>
      </c>
      <c r="D27" s="28" t="s">
        <v>49329</v>
      </c>
      <c r="E27" s="28" t="s">
        <v>49330</v>
      </c>
      <c r="F27" s="27">
        <v>481.0</v>
      </c>
      <c r="G27" s="30">
        <v>9.0264814E7</v>
      </c>
    </row>
    <row r="28" ht="12.75" customHeight="1">
      <c r="A28" s="31">
        <v>127.0</v>
      </c>
      <c r="B28" s="32" t="s">
        <v>49331</v>
      </c>
      <c r="C28" s="33">
        <v>90.0</v>
      </c>
      <c r="D28" s="32" t="s">
        <v>49332</v>
      </c>
      <c r="E28" s="32" t="s">
        <v>49333</v>
      </c>
      <c r="F28" s="33">
        <v>0.0</v>
      </c>
      <c r="G28" s="34">
        <v>9.0270008E7</v>
      </c>
    </row>
    <row r="29" ht="12.75" customHeight="1">
      <c r="A29" s="27">
        <v>127.0</v>
      </c>
      <c r="B29" s="28" t="s">
        <v>49334</v>
      </c>
      <c r="C29" s="29">
        <v>90.0</v>
      </c>
      <c r="D29" s="28" t="s">
        <v>49335</v>
      </c>
      <c r="E29" s="28" t="s">
        <v>49336</v>
      </c>
      <c r="F29" s="29">
        <v>12.0</v>
      </c>
      <c r="G29" s="30">
        <v>9.0270129E7</v>
      </c>
    </row>
    <row r="30" ht="12.75" customHeight="1">
      <c r="A30" s="31">
        <v>127.0</v>
      </c>
      <c r="B30" s="32" t="s">
        <v>49337</v>
      </c>
      <c r="C30" s="33">
        <v>90.0</v>
      </c>
      <c r="D30" s="32" t="s">
        <v>49338</v>
      </c>
      <c r="E30" s="32" t="s">
        <v>49339</v>
      </c>
      <c r="F30" s="33">
        <v>13.0</v>
      </c>
      <c r="G30" s="34">
        <v>9.0270132E7</v>
      </c>
    </row>
    <row r="31" ht="12.75" customHeight="1">
      <c r="A31" s="27">
        <v>127.0</v>
      </c>
      <c r="B31" s="28" t="s">
        <v>49340</v>
      </c>
      <c r="C31" s="29">
        <v>90.0</v>
      </c>
      <c r="D31" s="28" t="s">
        <v>49341</v>
      </c>
      <c r="E31" s="28" t="s">
        <v>49342</v>
      </c>
      <c r="F31" s="29">
        <v>34.0</v>
      </c>
      <c r="G31" s="30">
        <v>9.0270345E7</v>
      </c>
    </row>
    <row r="32" ht="12.75" customHeight="1">
      <c r="A32" s="31">
        <v>127.0</v>
      </c>
      <c r="B32" s="32" t="s">
        <v>49343</v>
      </c>
      <c r="C32" s="33">
        <v>90.0</v>
      </c>
      <c r="D32" s="32" t="s">
        <v>49344</v>
      </c>
      <c r="E32" s="32" t="s">
        <v>49345</v>
      </c>
      <c r="F32" s="33">
        <v>42.0</v>
      </c>
      <c r="G32" s="34">
        <v>9.0270424E7</v>
      </c>
    </row>
    <row r="33" ht="12.75" customHeight="1">
      <c r="A33" s="27">
        <v>127.0</v>
      </c>
      <c r="B33" s="28" t="s">
        <v>49346</v>
      </c>
      <c r="C33" s="29">
        <v>90.0</v>
      </c>
      <c r="D33" s="28" t="s">
        <v>49347</v>
      </c>
      <c r="E33" s="28" t="s">
        <v>49348</v>
      </c>
      <c r="F33" s="29">
        <v>64.0</v>
      </c>
      <c r="G33" s="30">
        <v>9.027064E7</v>
      </c>
    </row>
    <row r="34" ht="12.75" customHeight="1">
      <c r="A34" s="31">
        <v>127.0</v>
      </c>
      <c r="B34" s="32" t="s">
        <v>49349</v>
      </c>
      <c r="C34" s="33">
        <v>90.0</v>
      </c>
      <c r="D34" s="32" t="s">
        <v>49350</v>
      </c>
      <c r="E34" s="32" t="s">
        <v>49351</v>
      </c>
      <c r="F34" s="31">
        <v>109.0</v>
      </c>
      <c r="G34" s="34">
        <v>9.0271094E7</v>
      </c>
    </row>
    <row r="35" ht="12.75" customHeight="1">
      <c r="A35" s="27">
        <v>127.0</v>
      </c>
      <c r="B35" s="28" t="s">
        <v>49352</v>
      </c>
      <c r="C35" s="29">
        <v>90.0</v>
      </c>
      <c r="D35" s="28" t="s">
        <v>49353</v>
      </c>
      <c r="E35" s="28" t="s">
        <v>49354</v>
      </c>
      <c r="F35" s="27">
        <v>142.0</v>
      </c>
      <c r="G35" s="30">
        <v>9.0271423E7</v>
      </c>
    </row>
    <row r="36" ht="12.75" customHeight="1">
      <c r="A36" s="31">
        <v>127.0</v>
      </c>
      <c r="B36" s="32" t="s">
        <v>49355</v>
      </c>
      <c r="C36" s="33">
        <v>90.0</v>
      </c>
      <c r="D36" s="32" t="s">
        <v>49356</v>
      </c>
      <c r="E36" s="32" t="s">
        <v>49357</v>
      </c>
      <c r="F36" s="31">
        <v>256.0</v>
      </c>
      <c r="G36" s="34">
        <v>9.0272569E7</v>
      </c>
    </row>
    <row r="37" ht="12.75" customHeight="1">
      <c r="A37" s="27">
        <v>127.0</v>
      </c>
      <c r="B37" s="28" t="s">
        <v>49358</v>
      </c>
      <c r="C37" s="29">
        <v>90.0</v>
      </c>
      <c r="D37" s="28" t="s">
        <v>49359</v>
      </c>
      <c r="E37" s="28" t="s">
        <v>49360</v>
      </c>
      <c r="F37" s="27">
        <v>280.0</v>
      </c>
      <c r="G37" s="30">
        <v>9.0272806E7</v>
      </c>
    </row>
    <row r="38" ht="12.75" customHeight="1">
      <c r="A38" s="31">
        <v>127.0</v>
      </c>
      <c r="B38" s="32" t="s">
        <v>49361</v>
      </c>
      <c r="C38" s="33">
        <v>90.0</v>
      </c>
      <c r="D38" s="32" t="s">
        <v>49362</v>
      </c>
      <c r="E38" s="32" t="s">
        <v>49363</v>
      </c>
      <c r="F38" s="31">
        <v>298.0</v>
      </c>
      <c r="G38" s="34">
        <v>9.0272985E7</v>
      </c>
    </row>
    <row r="39" ht="12.75" customHeight="1">
      <c r="A39" s="27">
        <v>127.0</v>
      </c>
      <c r="B39" s="28" t="s">
        <v>49364</v>
      </c>
      <c r="C39" s="29">
        <v>90.0</v>
      </c>
      <c r="D39" s="28" t="s">
        <v>49365</v>
      </c>
      <c r="E39" s="28" t="s">
        <v>49366</v>
      </c>
      <c r="F39" s="27">
        <v>328.0</v>
      </c>
      <c r="G39" s="30">
        <v>9.0273289E7</v>
      </c>
    </row>
    <row r="40" ht="12.75" customHeight="1">
      <c r="A40" s="31">
        <v>127.0</v>
      </c>
      <c r="B40" s="32" t="s">
        <v>49367</v>
      </c>
      <c r="C40" s="33">
        <v>90.0</v>
      </c>
      <c r="D40" s="32" t="s">
        <v>49368</v>
      </c>
      <c r="E40" s="32" t="s">
        <v>49369</v>
      </c>
      <c r="F40" s="31">
        <v>364.0</v>
      </c>
      <c r="G40" s="34">
        <v>9.0273647E7</v>
      </c>
    </row>
    <row r="41" ht="12.75" customHeight="1">
      <c r="A41" s="27">
        <v>127.0</v>
      </c>
      <c r="B41" s="28" t="s">
        <v>49370</v>
      </c>
      <c r="C41" s="29">
        <v>90.0</v>
      </c>
      <c r="D41" s="28" t="s">
        <v>49371</v>
      </c>
      <c r="E41" s="28" t="s">
        <v>49372</v>
      </c>
      <c r="F41" s="27">
        <v>388.0</v>
      </c>
      <c r="G41" s="30">
        <v>9.0273889E7</v>
      </c>
    </row>
    <row r="42" ht="12.75" customHeight="1">
      <c r="A42" s="31">
        <v>127.0</v>
      </c>
      <c r="B42" s="32" t="s">
        <v>49373</v>
      </c>
      <c r="C42" s="33">
        <v>90.0</v>
      </c>
      <c r="D42" s="32" t="s">
        <v>49374</v>
      </c>
      <c r="E42" s="32" t="s">
        <v>49375</v>
      </c>
      <c r="F42" s="31">
        <v>400.0</v>
      </c>
      <c r="G42" s="34">
        <v>9.0274004E7</v>
      </c>
    </row>
    <row r="43" ht="12.75" customHeight="1">
      <c r="A43" s="27">
        <v>127.0</v>
      </c>
      <c r="B43" s="28" t="s">
        <v>49376</v>
      </c>
      <c r="C43" s="29">
        <v>90.0</v>
      </c>
      <c r="D43" s="28" t="s">
        <v>49377</v>
      </c>
      <c r="E43" s="28" t="s">
        <v>49378</v>
      </c>
      <c r="F43" s="27">
        <v>405.0</v>
      </c>
      <c r="G43" s="30">
        <v>9.0274059E7</v>
      </c>
    </row>
    <row r="44" ht="12.75" customHeight="1">
      <c r="A44" s="31">
        <v>127.0</v>
      </c>
      <c r="B44" s="32" t="s">
        <v>49379</v>
      </c>
      <c r="C44" s="33">
        <v>90.0</v>
      </c>
      <c r="D44" s="32" t="s">
        <v>49380</v>
      </c>
      <c r="E44" s="32" t="s">
        <v>49381</v>
      </c>
      <c r="F44" s="31">
        <v>430.0</v>
      </c>
      <c r="G44" s="34">
        <v>9.0274309E7</v>
      </c>
    </row>
    <row r="45" ht="12.75" customHeight="1">
      <c r="A45" s="27">
        <v>127.0</v>
      </c>
      <c r="B45" s="28" t="s">
        <v>49382</v>
      </c>
      <c r="C45" s="29">
        <v>90.0</v>
      </c>
      <c r="D45" s="28" t="s">
        <v>49383</v>
      </c>
      <c r="E45" s="28" t="s">
        <v>49384</v>
      </c>
      <c r="F45" s="27">
        <v>472.0</v>
      </c>
      <c r="G45" s="30">
        <v>9.0274725E7</v>
      </c>
    </row>
    <row r="46" ht="12.75" customHeight="1">
      <c r="A46" s="31">
        <v>127.0</v>
      </c>
      <c r="B46" s="32" t="s">
        <v>49385</v>
      </c>
      <c r="C46" s="33">
        <v>90.0</v>
      </c>
      <c r="D46" s="32" t="s">
        <v>49386</v>
      </c>
      <c r="E46" s="32" t="s">
        <v>49387</v>
      </c>
      <c r="F46" s="31">
        <v>481.0</v>
      </c>
      <c r="G46" s="34">
        <v>9.0274817E7</v>
      </c>
    </row>
    <row r="47" ht="12.75" customHeight="1">
      <c r="A47" s="27">
        <v>127.0</v>
      </c>
      <c r="B47" s="28" t="s">
        <v>49388</v>
      </c>
      <c r="C47" s="29">
        <v>90.0</v>
      </c>
      <c r="D47" s="28" t="s">
        <v>49389</v>
      </c>
      <c r="E47" s="28" t="s">
        <v>49390</v>
      </c>
      <c r="F47" s="27">
        <v>499.0</v>
      </c>
      <c r="G47" s="30">
        <v>9.0274996E7</v>
      </c>
    </row>
    <row r="48" ht="12.75" customHeight="1">
      <c r="A48" s="31">
        <v>127.0</v>
      </c>
      <c r="B48" s="32" t="s">
        <v>49391</v>
      </c>
      <c r="C48" s="33">
        <v>90.0</v>
      </c>
      <c r="D48" s="32" t="s">
        <v>49392</v>
      </c>
      <c r="E48" s="32" t="s">
        <v>49393</v>
      </c>
      <c r="F48" s="31">
        <v>574.0</v>
      </c>
      <c r="G48" s="34">
        <v>9.027574E7</v>
      </c>
    </row>
    <row r="49" ht="12.75" customHeight="1">
      <c r="A49" s="27">
        <v>127.0</v>
      </c>
      <c r="B49" s="28" t="s">
        <v>49394</v>
      </c>
      <c r="C49" s="29">
        <v>90.0</v>
      </c>
      <c r="D49" s="28" t="s">
        <v>49395</v>
      </c>
      <c r="E49" s="28" t="s">
        <v>49396</v>
      </c>
      <c r="F49" s="27">
        <v>583.0</v>
      </c>
      <c r="G49" s="30">
        <v>9.0275832E7</v>
      </c>
    </row>
    <row r="50" ht="12.75" customHeight="1">
      <c r="A50" s="31">
        <v>127.0</v>
      </c>
      <c r="B50" s="32" t="s">
        <v>49397</v>
      </c>
      <c r="C50" s="33">
        <v>90.0</v>
      </c>
      <c r="D50" s="32" t="s">
        <v>49398</v>
      </c>
      <c r="E50" s="32" t="s">
        <v>49399</v>
      </c>
      <c r="F50" s="31">
        <v>634.0</v>
      </c>
      <c r="G50" s="34">
        <v>9.0276349E7</v>
      </c>
    </row>
    <row r="51" ht="12.75" customHeight="1">
      <c r="A51" s="27">
        <v>127.0</v>
      </c>
      <c r="B51" s="28" t="s">
        <v>49400</v>
      </c>
      <c r="C51" s="29">
        <v>90.0</v>
      </c>
      <c r="D51" s="28" t="s">
        <v>49401</v>
      </c>
      <c r="E51" s="28" t="s">
        <v>49402</v>
      </c>
      <c r="F51" s="27">
        <v>700.0</v>
      </c>
      <c r="G51" s="30">
        <v>9.0277001E7</v>
      </c>
    </row>
    <row r="52" ht="12.75" customHeight="1">
      <c r="A52" s="31">
        <v>728.0</v>
      </c>
      <c r="B52" s="32" t="s">
        <v>49403</v>
      </c>
      <c r="C52" s="33">
        <v>90.0</v>
      </c>
      <c r="D52" s="32" t="s">
        <v>49404</v>
      </c>
      <c r="E52" s="32" t="s">
        <v>49405</v>
      </c>
      <c r="F52" s="33">
        <v>67.0</v>
      </c>
      <c r="G52" s="34">
        <v>9.0280672E7</v>
      </c>
    </row>
    <row r="53" ht="12.75" customHeight="1">
      <c r="A53" s="27">
        <v>329.0</v>
      </c>
      <c r="B53" s="28" t="s">
        <v>49406</v>
      </c>
      <c r="C53" s="29">
        <v>90.0</v>
      </c>
      <c r="D53" s="28" t="s">
        <v>49407</v>
      </c>
      <c r="E53" s="28" t="s">
        <v>49408</v>
      </c>
      <c r="F53" s="29">
        <v>52.0</v>
      </c>
      <c r="G53" s="30">
        <v>9.0290525E7</v>
      </c>
    </row>
    <row r="54" ht="12.75" customHeight="1">
      <c r="A54" s="31">
        <v>230.0</v>
      </c>
      <c r="B54" s="32" t="s">
        <v>49409</v>
      </c>
      <c r="C54" s="33">
        <v>90.0</v>
      </c>
      <c r="D54" s="32" t="s">
        <v>49410</v>
      </c>
      <c r="E54" s="32" t="s">
        <v>49411</v>
      </c>
      <c r="F54" s="33">
        <v>37.0</v>
      </c>
      <c r="G54" s="34">
        <v>9.0300378E7</v>
      </c>
    </row>
    <row r="55" ht="12.75" customHeight="1">
      <c r="A55" s="27">
        <v>230.0</v>
      </c>
      <c r="B55" s="28" t="s">
        <v>49412</v>
      </c>
      <c r="C55" s="29">
        <v>90.0</v>
      </c>
      <c r="D55" s="28" t="s">
        <v>49413</v>
      </c>
      <c r="E55" s="28" t="s">
        <v>49414</v>
      </c>
      <c r="F55" s="29">
        <v>52.0</v>
      </c>
      <c r="G55" s="30">
        <v>9.0300523E7</v>
      </c>
    </row>
    <row r="56" ht="12.75" customHeight="1">
      <c r="A56" s="31">
        <v>230.0</v>
      </c>
      <c r="B56" s="32" t="s">
        <v>49415</v>
      </c>
      <c r="C56" s="33">
        <v>90.0</v>
      </c>
      <c r="D56" s="32" t="s">
        <v>49416</v>
      </c>
      <c r="E56" s="32" t="s">
        <v>49417</v>
      </c>
      <c r="F56" s="31">
        <v>148.0</v>
      </c>
      <c r="G56" s="34">
        <v>9.0301485E7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632.0</v>
      </c>
      <c r="B1" s="28" t="s">
        <v>49418</v>
      </c>
      <c r="C1" s="29">
        <v>90.0</v>
      </c>
      <c r="D1" s="28" t="s">
        <v>49419</v>
      </c>
      <c r="E1" s="28" t="s">
        <v>49420</v>
      </c>
      <c r="F1" s="29">
        <v>58.0</v>
      </c>
      <c r="G1" s="30">
        <v>9.0320587E7</v>
      </c>
    </row>
    <row r="2" ht="12.75" customHeight="1">
      <c r="A2" s="31">
        <v>133.0</v>
      </c>
      <c r="B2" s="32" t="s">
        <v>49421</v>
      </c>
      <c r="C2" s="33">
        <v>90.0</v>
      </c>
      <c r="D2" s="32" t="s">
        <v>49422</v>
      </c>
      <c r="E2" s="32" t="s">
        <v>49423</v>
      </c>
      <c r="F2" s="33">
        <v>5.0</v>
      </c>
      <c r="G2" s="34">
        <v>9.0330056E7</v>
      </c>
    </row>
    <row r="3" ht="12.75" customHeight="1">
      <c r="A3" s="27">
        <v>133.0</v>
      </c>
      <c r="B3" s="28" t="s">
        <v>49424</v>
      </c>
      <c r="C3" s="29">
        <v>90.0</v>
      </c>
      <c r="D3" s="28" t="s">
        <v>49425</v>
      </c>
      <c r="E3" s="28" t="s">
        <v>49426</v>
      </c>
      <c r="F3" s="29">
        <v>22.0</v>
      </c>
      <c r="G3" s="30">
        <v>9.0330227E7</v>
      </c>
    </row>
    <row r="4" ht="12.75" customHeight="1">
      <c r="A4" s="31">
        <v>133.0</v>
      </c>
      <c r="B4" s="32" t="s">
        <v>49427</v>
      </c>
      <c r="C4" s="33">
        <v>90.0</v>
      </c>
      <c r="D4" s="32" t="s">
        <v>49428</v>
      </c>
      <c r="E4" s="32" t="s">
        <v>49429</v>
      </c>
      <c r="F4" s="33">
        <v>52.0</v>
      </c>
      <c r="G4" s="34">
        <v>9.0330522E7</v>
      </c>
    </row>
    <row r="5" ht="12.75" customHeight="1">
      <c r="A5" s="27">
        <v>133.0</v>
      </c>
      <c r="B5" s="28" t="s">
        <v>49430</v>
      </c>
      <c r="C5" s="29">
        <v>90.0</v>
      </c>
      <c r="D5" s="28" t="s">
        <v>49431</v>
      </c>
      <c r="E5" s="28" t="s">
        <v>49432</v>
      </c>
      <c r="F5" s="29">
        <v>55.0</v>
      </c>
      <c r="G5" s="30">
        <v>9.0330551E7</v>
      </c>
    </row>
    <row r="6" ht="12.75" customHeight="1">
      <c r="A6" s="31">
        <v>133.0</v>
      </c>
      <c r="B6" s="32" t="s">
        <v>49433</v>
      </c>
      <c r="C6" s="33">
        <v>90.0</v>
      </c>
      <c r="D6" s="32" t="s">
        <v>49434</v>
      </c>
      <c r="E6" s="32" t="s">
        <v>49435</v>
      </c>
      <c r="F6" s="33">
        <v>82.0</v>
      </c>
      <c r="G6" s="34">
        <v>9.0330827E7</v>
      </c>
    </row>
    <row r="7" ht="12.75" customHeight="1">
      <c r="A7" s="27">
        <v>133.0</v>
      </c>
      <c r="B7" s="28" t="s">
        <v>49436</v>
      </c>
      <c r="C7" s="29">
        <v>90.0</v>
      </c>
      <c r="D7" s="28" t="s">
        <v>49437</v>
      </c>
      <c r="E7" s="28" t="s">
        <v>49438</v>
      </c>
      <c r="F7" s="29">
        <v>88.0</v>
      </c>
      <c r="G7" s="30">
        <v>9.0330885E7</v>
      </c>
    </row>
    <row r="8" ht="12.75" customHeight="1">
      <c r="A8" s="31">
        <v>133.0</v>
      </c>
      <c r="B8" s="32" t="s">
        <v>49439</v>
      </c>
      <c r="C8" s="33">
        <v>90.0</v>
      </c>
      <c r="D8" s="32" t="s">
        <v>49440</v>
      </c>
      <c r="E8" s="32" t="s">
        <v>49441</v>
      </c>
      <c r="F8" s="33">
        <v>94.0</v>
      </c>
      <c r="G8" s="34">
        <v>9.0330948E7</v>
      </c>
    </row>
    <row r="9" ht="12.75" customHeight="1">
      <c r="A9" s="27">
        <v>133.0</v>
      </c>
      <c r="B9" s="28" t="s">
        <v>49442</v>
      </c>
      <c r="C9" s="29">
        <v>90.0</v>
      </c>
      <c r="D9" s="28" t="s">
        <v>49443</v>
      </c>
      <c r="E9" s="28" t="s">
        <v>49444</v>
      </c>
      <c r="F9" s="27">
        <v>100.0</v>
      </c>
      <c r="G9" s="30">
        <v>9.0331E7</v>
      </c>
    </row>
    <row r="10" ht="12.75" customHeight="1">
      <c r="A10" s="31">
        <v>133.0</v>
      </c>
      <c r="B10" s="32" t="s">
        <v>49445</v>
      </c>
      <c r="C10" s="33">
        <v>90.0</v>
      </c>
      <c r="D10" s="32" t="s">
        <v>49446</v>
      </c>
      <c r="E10" s="32" t="s">
        <v>49447</v>
      </c>
      <c r="F10" s="31">
        <v>146.0</v>
      </c>
      <c r="G10" s="34">
        <v>9.0331468E7</v>
      </c>
    </row>
    <row r="11" ht="12.75" customHeight="1">
      <c r="A11" s="27">
        <v>133.0</v>
      </c>
      <c r="B11" s="28" t="s">
        <v>49448</v>
      </c>
      <c r="C11" s="29">
        <v>90.0</v>
      </c>
      <c r="D11" s="28" t="s">
        <v>49449</v>
      </c>
      <c r="E11" s="28" t="s">
        <v>49450</v>
      </c>
      <c r="F11" s="27">
        <v>163.0</v>
      </c>
      <c r="G11" s="30">
        <v>9.0331639E7</v>
      </c>
    </row>
    <row r="12" ht="12.75" customHeight="1">
      <c r="A12" s="31">
        <v>435.0</v>
      </c>
      <c r="B12" s="32" t="s">
        <v>49451</v>
      </c>
      <c r="C12" s="33">
        <v>90.0</v>
      </c>
      <c r="D12" s="32" t="s">
        <v>49452</v>
      </c>
      <c r="E12" s="32" t="s">
        <v>49453</v>
      </c>
      <c r="F12" s="33">
        <v>37.0</v>
      </c>
      <c r="G12" s="34">
        <v>9.0350373E7</v>
      </c>
    </row>
    <row r="13" ht="12.75" customHeight="1">
      <c r="A13" s="27">
        <v>836.0</v>
      </c>
      <c r="B13" s="28" t="s">
        <v>49454</v>
      </c>
      <c r="C13" s="29">
        <v>90.0</v>
      </c>
      <c r="D13" s="28" t="s">
        <v>49455</v>
      </c>
      <c r="E13" s="28" t="s">
        <v>49456</v>
      </c>
      <c r="F13" s="29">
        <v>61.0</v>
      </c>
      <c r="G13" s="30">
        <v>9.0360613E7</v>
      </c>
    </row>
    <row r="14" ht="12.75" customHeight="1">
      <c r="A14" s="31">
        <v>638.0</v>
      </c>
      <c r="B14" s="32" t="s">
        <v>49457</v>
      </c>
      <c r="C14" s="33">
        <v>90.0</v>
      </c>
      <c r="D14" s="32" t="s">
        <v>49458</v>
      </c>
      <c r="E14" s="32" t="s">
        <v>49459</v>
      </c>
      <c r="F14" s="33">
        <v>40.0</v>
      </c>
      <c r="G14" s="34">
        <v>9.0380406E7</v>
      </c>
    </row>
    <row r="15" ht="12.75" customHeight="1">
      <c r="A15" s="27">
        <v>139.0</v>
      </c>
      <c r="B15" s="28" t="s">
        <v>49460</v>
      </c>
      <c r="C15" s="29">
        <v>90.0</v>
      </c>
      <c r="D15" s="28" t="s">
        <v>49461</v>
      </c>
      <c r="E15" s="28" t="s">
        <v>49462</v>
      </c>
      <c r="F15" s="29">
        <v>62.0</v>
      </c>
      <c r="G15" s="30">
        <v>9.0390625E7</v>
      </c>
    </row>
    <row r="16" ht="12.75" customHeight="1">
      <c r="A16" s="31">
        <v>139.0</v>
      </c>
      <c r="B16" s="32" t="s">
        <v>49463</v>
      </c>
      <c r="C16" s="33">
        <v>90.0</v>
      </c>
      <c r="D16" s="32" t="s">
        <v>49464</v>
      </c>
      <c r="E16" s="32" t="s">
        <v>49465</v>
      </c>
      <c r="F16" s="33">
        <v>85.0</v>
      </c>
      <c r="G16" s="34">
        <v>9.0390854E7</v>
      </c>
    </row>
    <row r="17" ht="12.75" customHeight="1">
      <c r="A17" s="27">
        <v>441.0</v>
      </c>
      <c r="B17" s="28" t="s">
        <v>49466</v>
      </c>
      <c r="C17" s="29">
        <v>90.0</v>
      </c>
      <c r="D17" s="28" t="s">
        <v>49467</v>
      </c>
      <c r="E17" s="28" t="s">
        <v>49468</v>
      </c>
      <c r="F17" s="29">
        <v>94.0</v>
      </c>
      <c r="G17" s="30">
        <v>9.0410947E7</v>
      </c>
    </row>
    <row r="18" ht="12.75" customHeight="1">
      <c r="A18" s="31">
        <v>444.0</v>
      </c>
      <c r="B18" s="32" t="s">
        <v>49469</v>
      </c>
      <c r="C18" s="33">
        <v>90.0</v>
      </c>
      <c r="D18" s="32" t="s">
        <v>49470</v>
      </c>
      <c r="E18" s="32" t="s">
        <v>49471</v>
      </c>
      <c r="F18" s="33">
        <v>64.0</v>
      </c>
      <c r="G18" s="34">
        <v>9.0440641E7</v>
      </c>
    </row>
    <row r="19" ht="12.75" customHeight="1">
      <c r="A19" s="27">
        <v>447.0</v>
      </c>
      <c r="B19" s="28" t="s">
        <v>49472</v>
      </c>
      <c r="C19" s="29">
        <v>90.0</v>
      </c>
      <c r="D19" s="28" t="s">
        <v>49473</v>
      </c>
      <c r="E19" s="28" t="s">
        <v>49474</v>
      </c>
      <c r="F19" s="27">
        <v>154.0</v>
      </c>
      <c r="G19" s="30">
        <v>9.0471544E7</v>
      </c>
    </row>
    <row r="20" ht="12.75" customHeight="1">
      <c r="A20" s="31">
        <v>148.0</v>
      </c>
      <c r="B20" s="32" t="s">
        <v>49475</v>
      </c>
      <c r="C20" s="33">
        <v>90.0</v>
      </c>
      <c r="D20" s="32" t="s">
        <v>49476</v>
      </c>
      <c r="E20" s="32" t="s">
        <v>49477</v>
      </c>
      <c r="F20" s="33">
        <v>19.0</v>
      </c>
      <c r="G20" s="34">
        <v>9.0480193E7</v>
      </c>
    </row>
    <row r="21" ht="12.75" customHeight="1">
      <c r="A21" s="27">
        <v>148.0</v>
      </c>
      <c r="B21" s="28" t="s">
        <v>49478</v>
      </c>
      <c r="C21" s="29">
        <v>90.0</v>
      </c>
      <c r="D21" s="28" t="s">
        <v>49479</v>
      </c>
      <c r="E21" s="28" t="s">
        <v>49480</v>
      </c>
      <c r="F21" s="29">
        <v>67.0</v>
      </c>
      <c r="G21" s="30">
        <v>9.0480672E7</v>
      </c>
    </row>
    <row r="22" ht="12.75" customHeight="1">
      <c r="A22" s="31">
        <v>749.0</v>
      </c>
      <c r="B22" s="32" t="s">
        <v>49481</v>
      </c>
      <c r="C22" s="33">
        <v>90.0</v>
      </c>
      <c r="D22" s="32" t="s">
        <v>49482</v>
      </c>
      <c r="E22" s="32" t="s">
        <v>49483</v>
      </c>
      <c r="F22" s="33">
        <v>40.0</v>
      </c>
      <c r="G22" s="34">
        <v>9.0490404E7</v>
      </c>
    </row>
    <row r="23" ht="12.75" customHeight="1">
      <c r="A23" s="27">
        <v>450.0</v>
      </c>
      <c r="B23" s="28" t="s">
        <v>49484</v>
      </c>
      <c r="C23" s="29">
        <v>90.0</v>
      </c>
      <c r="D23" s="28" t="s">
        <v>49485</v>
      </c>
      <c r="E23" s="28" t="s">
        <v>49486</v>
      </c>
      <c r="F23" s="29">
        <v>94.0</v>
      </c>
      <c r="G23" s="30">
        <v>9.0500949E7</v>
      </c>
    </row>
    <row r="24" ht="12.75" customHeight="1">
      <c r="A24" s="31">
        <v>251.0</v>
      </c>
      <c r="B24" s="32" t="s">
        <v>49487</v>
      </c>
      <c r="C24" s="33">
        <v>90.0</v>
      </c>
      <c r="D24" s="32" t="s">
        <v>49488</v>
      </c>
      <c r="E24" s="32" t="s">
        <v>49489</v>
      </c>
      <c r="F24" s="33">
        <v>73.0</v>
      </c>
      <c r="G24" s="34">
        <v>9.0510739E7</v>
      </c>
    </row>
    <row r="25" ht="12.75" customHeight="1">
      <c r="A25" s="27">
        <v>354.0</v>
      </c>
      <c r="B25" s="28" t="s">
        <v>49490</v>
      </c>
      <c r="C25" s="29">
        <v>90.0</v>
      </c>
      <c r="D25" s="28" t="s">
        <v>49491</v>
      </c>
      <c r="E25" s="28" t="s">
        <v>49492</v>
      </c>
      <c r="F25" s="29">
        <v>40.0</v>
      </c>
      <c r="G25" s="30">
        <v>9.0540404E7</v>
      </c>
    </row>
    <row r="26" ht="12.75" customHeight="1">
      <c r="A26" s="31">
        <v>455.0</v>
      </c>
      <c r="B26" s="32" t="s">
        <v>49493</v>
      </c>
      <c r="C26" s="33">
        <v>90.0</v>
      </c>
      <c r="D26" s="32" t="s">
        <v>49494</v>
      </c>
      <c r="E26" s="32" t="s">
        <v>49495</v>
      </c>
      <c r="F26" s="33">
        <v>55.0</v>
      </c>
      <c r="G26" s="34">
        <v>9.0550557E7</v>
      </c>
    </row>
    <row r="27" ht="12.75" customHeight="1">
      <c r="A27" s="27">
        <v>156.0</v>
      </c>
      <c r="B27" s="28" t="s">
        <v>49496</v>
      </c>
      <c r="C27" s="29">
        <v>90.0</v>
      </c>
      <c r="D27" s="28" t="s">
        <v>49497</v>
      </c>
      <c r="E27" s="28" t="s">
        <v>49498</v>
      </c>
      <c r="F27" s="29">
        <v>61.0</v>
      </c>
      <c r="G27" s="30">
        <v>9.0560613E7</v>
      </c>
    </row>
    <row r="28" ht="12.75" customHeight="1">
      <c r="A28" s="31">
        <v>156.0</v>
      </c>
      <c r="B28" s="32" t="s">
        <v>49499</v>
      </c>
      <c r="C28" s="33">
        <v>90.0</v>
      </c>
      <c r="D28" s="32" t="s">
        <v>49500</v>
      </c>
      <c r="E28" s="32" t="s">
        <v>49501</v>
      </c>
      <c r="F28" s="33">
        <v>82.0</v>
      </c>
      <c r="G28" s="34">
        <v>9.0560826E7</v>
      </c>
    </row>
    <row r="29" ht="12.75" customHeight="1">
      <c r="A29" s="27">
        <v>858.0</v>
      </c>
      <c r="B29" s="28" t="s">
        <v>49502</v>
      </c>
      <c r="C29" s="29">
        <v>90.0</v>
      </c>
      <c r="D29" s="28" t="s">
        <v>49503</v>
      </c>
      <c r="E29" s="28" t="s">
        <v>49504</v>
      </c>
      <c r="F29" s="29">
        <v>10.0</v>
      </c>
      <c r="G29" s="30">
        <v>9.0580101E7</v>
      </c>
    </row>
    <row r="30" ht="12.75" customHeight="1">
      <c r="A30" s="31">
        <v>858.0</v>
      </c>
      <c r="B30" s="32" t="s">
        <v>49505</v>
      </c>
      <c r="C30" s="33">
        <v>90.0</v>
      </c>
      <c r="D30" s="32" t="s">
        <v>49506</v>
      </c>
      <c r="E30" s="32" t="s">
        <v>49507</v>
      </c>
      <c r="F30" s="31">
        <v>118.0</v>
      </c>
      <c r="G30" s="34">
        <v>9.0581184E7</v>
      </c>
    </row>
    <row r="31" ht="12.75" customHeight="1">
      <c r="A31" s="27">
        <v>858.0</v>
      </c>
      <c r="B31" s="28" t="s">
        <v>49508</v>
      </c>
      <c r="C31" s="29">
        <v>90.0</v>
      </c>
      <c r="D31" s="28" t="s">
        <v>49509</v>
      </c>
      <c r="E31" s="28" t="s">
        <v>49510</v>
      </c>
      <c r="F31" s="27">
        <v>172.0</v>
      </c>
      <c r="G31" s="30">
        <v>9.0581726E7</v>
      </c>
    </row>
    <row r="32" ht="12.75" customHeight="1">
      <c r="A32" s="31">
        <v>159.0</v>
      </c>
      <c r="B32" s="32" t="s">
        <v>49511</v>
      </c>
      <c r="C32" s="33">
        <v>90.0</v>
      </c>
      <c r="D32" s="32" t="s">
        <v>49512</v>
      </c>
      <c r="E32" s="32" t="s">
        <v>49513</v>
      </c>
      <c r="F32" s="31">
        <v>103.0</v>
      </c>
      <c r="G32" s="34">
        <v>9.0591037E7</v>
      </c>
    </row>
    <row r="33" ht="12.75" customHeight="1">
      <c r="A33" s="27">
        <v>161.0</v>
      </c>
      <c r="B33" s="28" t="s">
        <v>49514</v>
      </c>
      <c r="C33" s="29">
        <v>90.0</v>
      </c>
      <c r="D33" s="28" t="s">
        <v>49515</v>
      </c>
      <c r="E33" s="28" t="s">
        <v>49516</v>
      </c>
      <c r="F33" s="29">
        <v>15.0</v>
      </c>
      <c r="G33" s="30">
        <v>9.061015E7</v>
      </c>
    </row>
    <row r="34" ht="12.75" customHeight="1">
      <c r="A34" s="31">
        <v>161.0</v>
      </c>
      <c r="B34" s="32" t="s">
        <v>49517</v>
      </c>
      <c r="C34" s="33">
        <v>90.0</v>
      </c>
      <c r="D34" s="32" t="s">
        <v>49518</v>
      </c>
      <c r="E34" s="32" t="s">
        <v>49519</v>
      </c>
      <c r="F34" s="31">
        <v>175.0</v>
      </c>
      <c r="G34" s="34">
        <v>9.0611759E7</v>
      </c>
    </row>
    <row r="35" ht="12.75" customHeight="1">
      <c r="A35" s="27">
        <v>564.0</v>
      </c>
      <c r="B35" s="28" t="s">
        <v>49520</v>
      </c>
      <c r="C35" s="29">
        <v>90.0</v>
      </c>
      <c r="D35" s="28" t="s">
        <v>49521</v>
      </c>
      <c r="E35" s="28" t="s">
        <v>49522</v>
      </c>
      <c r="F35" s="27">
        <v>118.0</v>
      </c>
      <c r="G35" s="30">
        <v>9.0641187E7</v>
      </c>
    </row>
    <row r="36" ht="12.75" customHeight="1">
      <c r="A36" s="31">
        <v>167.0</v>
      </c>
      <c r="B36" s="32" t="s">
        <v>49523</v>
      </c>
      <c r="C36" s="33">
        <v>90.0</v>
      </c>
      <c r="D36" s="32" t="s">
        <v>49524</v>
      </c>
      <c r="E36" s="32" t="s">
        <v>49525</v>
      </c>
      <c r="F36" s="33">
        <v>7.0</v>
      </c>
      <c r="G36" s="34">
        <v>9.0670079E7</v>
      </c>
    </row>
    <row r="37" ht="12.75" customHeight="1">
      <c r="A37" s="27">
        <v>167.0</v>
      </c>
      <c r="B37" s="28" t="s">
        <v>49526</v>
      </c>
      <c r="C37" s="29">
        <v>90.0</v>
      </c>
      <c r="D37" s="28" t="s">
        <v>49527</v>
      </c>
      <c r="E37" s="28" t="s">
        <v>49528</v>
      </c>
      <c r="F37" s="29">
        <v>12.0</v>
      </c>
      <c r="G37" s="30">
        <v>9.0670129E7</v>
      </c>
    </row>
    <row r="38" ht="12.75" customHeight="1">
      <c r="A38" s="31">
        <v>167.0</v>
      </c>
      <c r="B38" s="32" t="s">
        <v>49529</v>
      </c>
      <c r="C38" s="33">
        <v>90.0</v>
      </c>
      <c r="D38" s="32" t="s">
        <v>49530</v>
      </c>
      <c r="E38" s="32" t="s">
        <v>49531</v>
      </c>
      <c r="F38" s="33">
        <v>20.0</v>
      </c>
      <c r="G38" s="34">
        <v>9.0670208E7</v>
      </c>
    </row>
    <row r="39" ht="12.75" customHeight="1">
      <c r="A39" s="27">
        <v>167.0</v>
      </c>
      <c r="B39" s="28" t="s">
        <v>49532</v>
      </c>
      <c r="C39" s="29">
        <v>90.0</v>
      </c>
      <c r="D39" s="28" t="s">
        <v>49533</v>
      </c>
      <c r="E39" s="28" t="s">
        <v>49534</v>
      </c>
      <c r="F39" s="29">
        <v>22.0</v>
      </c>
      <c r="G39" s="30">
        <v>9.0670224E7</v>
      </c>
    </row>
    <row r="40" ht="12.75" customHeight="1">
      <c r="A40" s="31">
        <v>167.0</v>
      </c>
      <c r="B40" s="32" t="s">
        <v>49535</v>
      </c>
      <c r="C40" s="33">
        <v>90.0</v>
      </c>
      <c r="D40" s="32" t="s">
        <v>49536</v>
      </c>
      <c r="E40" s="32" t="s">
        <v>49537</v>
      </c>
      <c r="F40" s="33">
        <v>23.0</v>
      </c>
      <c r="G40" s="34">
        <v>9.0670237E7</v>
      </c>
    </row>
    <row r="41" ht="12.75" customHeight="1">
      <c r="A41" s="27">
        <v>167.0</v>
      </c>
      <c r="B41" s="28" t="s">
        <v>49538</v>
      </c>
      <c r="C41" s="29">
        <v>90.0</v>
      </c>
      <c r="D41" s="28" t="s">
        <v>49539</v>
      </c>
      <c r="E41" s="28" t="s">
        <v>49540</v>
      </c>
      <c r="F41" s="29">
        <v>60.0</v>
      </c>
      <c r="G41" s="30">
        <v>9.0670608E7</v>
      </c>
    </row>
    <row r="42" ht="12.75" customHeight="1">
      <c r="A42" s="31">
        <v>167.0</v>
      </c>
      <c r="B42" s="32" t="s">
        <v>49541</v>
      </c>
      <c r="C42" s="33">
        <v>90.0</v>
      </c>
      <c r="D42" s="32" t="s">
        <v>49542</v>
      </c>
      <c r="E42" s="32" t="s">
        <v>49543</v>
      </c>
      <c r="F42" s="33">
        <v>97.0</v>
      </c>
      <c r="G42" s="34">
        <v>9.0670974E7</v>
      </c>
    </row>
    <row r="43" ht="12.75" customHeight="1">
      <c r="A43" s="27">
        <v>167.0</v>
      </c>
      <c r="B43" s="28" t="s">
        <v>49544</v>
      </c>
      <c r="C43" s="29">
        <v>90.0</v>
      </c>
      <c r="D43" s="28" t="s">
        <v>49545</v>
      </c>
      <c r="E43" s="28" t="s">
        <v>49546</v>
      </c>
      <c r="F43" s="27">
        <v>118.0</v>
      </c>
      <c r="G43" s="30">
        <v>9.0671186E7</v>
      </c>
    </row>
    <row r="44" ht="12.75" customHeight="1">
      <c r="A44" s="31">
        <v>167.0</v>
      </c>
      <c r="B44" s="32" t="s">
        <v>49547</v>
      </c>
      <c r="C44" s="33">
        <v>90.0</v>
      </c>
      <c r="D44" s="32" t="s">
        <v>49548</v>
      </c>
      <c r="E44" s="32" t="s">
        <v>49549</v>
      </c>
      <c r="F44" s="31">
        <v>130.0</v>
      </c>
      <c r="G44" s="34">
        <v>9.0671302E7</v>
      </c>
    </row>
    <row r="45" ht="12.75" customHeight="1">
      <c r="A45" s="27">
        <v>167.0</v>
      </c>
      <c r="B45" s="28" t="s">
        <v>49550</v>
      </c>
      <c r="C45" s="29">
        <v>90.0</v>
      </c>
      <c r="D45" s="28" t="s">
        <v>49551</v>
      </c>
      <c r="E45" s="28" t="s">
        <v>49552</v>
      </c>
      <c r="F45" s="27">
        <v>157.0</v>
      </c>
      <c r="G45" s="30">
        <v>9.0671573E7</v>
      </c>
    </row>
    <row r="46" ht="12.75" customHeight="1">
      <c r="A46" s="31">
        <v>167.0</v>
      </c>
      <c r="B46" s="32" t="s">
        <v>49553</v>
      </c>
      <c r="C46" s="33">
        <v>90.0</v>
      </c>
      <c r="D46" s="32" t="s">
        <v>49554</v>
      </c>
      <c r="E46" s="32" t="s">
        <v>49555</v>
      </c>
      <c r="F46" s="31">
        <v>169.0</v>
      </c>
      <c r="G46" s="34">
        <v>9.0671694E7</v>
      </c>
    </row>
    <row r="47" ht="12.75" customHeight="1">
      <c r="A47" s="27">
        <v>168.0</v>
      </c>
      <c r="B47" s="28" t="s">
        <v>49556</v>
      </c>
      <c r="C47" s="29">
        <v>90.0</v>
      </c>
      <c r="D47" s="28" t="s">
        <v>49557</v>
      </c>
      <c r="E47" s="28" t="s">
        <v>49558</v>
      </c>
      <c r="F47" s="29">
        <v>10.0</v>
      </c>
      <c r="G47" s="30">
        <v>9.0680106E7</v>
      </c>
    </row>
    <row r="48" ht="12.75" customHeight="1">
      <c r="A48" s="31">
        <v>168.0</v>
      </c>
      <c r="B48" s="32" t="s">
        <v>49559</v>
      </c>
      <c r="C48" s="33">
        <v>90.0</v>
      </c>
      <c r="D48" s="32" t="s">
        <v>49560</v>
      </c>
      <c r="E48" s="32" t="s">
        <v>49561</v>
      </c>
      <c r="F48" s="33">
        <v>73.0</v>
      </c>
      <c r="G48" s="34">
        <v>9.0680735E7</v>
      </c>
    </row>
    <row r="49" ht="12.75" customHeight="1">
      <c r="A49" s="27">
        <v>168.0</v>
      </c>
      <c r="B49" s="28" t="s">
        <v>49562</v>
      </c>
      <c r="C49" s="29">
        <v>90.0</v>
      </c>
      <c r="D49" s="28" t="s">
        <v>49563</v>
      </c>
      <c r="E49" s="28" t="s">
        <v>49564</v>
      </c>
      <c r="F49" s="29">
        <v>88.0</v>
      </c>
      <c r="G49" s="30">
        <v>9.0680885E7</v>
      </c>
    </row>
    <row r="50" ht="12.75" customHeight="1">
      <c r="A50" s="31">
        <v>168.0</v>
      </c>
      <c r="B50" s="32" t="s">
        <v>49565</v>
      </c>
      <c r="C50" s="33">
        <v>90.0</v>
      </c>
      <c r="D50" s="32" t="s">
        <v>49566</v>
      </c>
      <c r="E50" s="32" t="s">
        <v>49567</v>
      </c>
      <c r="F50" s="31">
        <v>139.0</v>
      </c>
      <c r="G50" s="34">
        <v>9.0681392E7</v>
      </c>
    </row>
    <row r="51" ht="12.75" customHeight="1">
      <c r="A51" s="27">
        <v>569.0</v>
      </c>
      <c r="B51" s="28" t="s">
        <v>49568</v>
      </c>
      <c r="C51" s="29">
        <v>90.0</v>
      </c>
      <c r="D51" s="28" t="s">
        <v>49569</v>
      </c>
      <c r="E51" s="28" t="s">
        <v>49570</v>
      </c>
      <c r="F51" s="27">
        <v>109.0</v>
      </c>
      <c r="G51" s="30">
        <v>9.069109E7</v>
      </c>
    </row>
    <row r="52" ht="12.75" customHeight="1">
      <c r="A52" s="31">
        <v>570.0</v>
      </c>
      <c r="B52" s="32" t="s">
        <v>49571</v>
      </c>
      <c r="C52" s="33">
        <v>90.0</v>
      </c>
      <c r="D52" s="32" t="s">
        <v>49572</v>
      </c>
      <c r="E52" s="32" t="s">
        <v>49573</v>
      </c>
      <c r="F52" s="33">
        <v>25.0</v>
      </c>
      <c r="G52" s="34">
        <v>9.0700257E7</v>
      </c>
    </row>
    <row r="53" ht="12.75" customHeight="1">
      <c r="A53" s="27">
        <v>172.0</v>
      </c>
      <c r="B53" s="28" t="s">
        <v>49574</v>
      </c>
      <c r="C53" s="29">
        <v>90.0</v>
      </c>
      <c r="D53" s="28" t="s">
        <v>49575</v>
      </c>
      <c r="E53" s="28" t="s">
        <v>49576</v>
      </c>
      <c r="F53" s="29">
        <v>73.0</v>
      </c>
      <c r="G53" s="30">
        <v>9.0720732E7</v>
      </c>
    </row>
    <row r="54" ht="12.75" customHeight="1">
      <c r="A54" s="31">
        <v>773.0</v>
      </c>
      <c r="B54" s="32" t="s">
        <v>49577</v>
      </c>
      <c r="C54" s="33">
        <v>90.0</v>
      </c>
      <c r="D54" s="32" t="s">
        <v>49578</v>
      </c>
      <c r="E54" s="32" t="s">
        <v>49579</v>
      </c>
      <c r="F54" s="33">
        <v>79.0</v>
      </c>
      <c r="G54" s="34">
        <v>9.0730793E7</v>
      </c>
    </row>
    <row r="55" ht="12.75" customHeight="1">
      <c r="A55" s="27">
        <v>275.0</v>
      </c>
      <c r="B55" s="28" t="s">
        <v>49580</v>
      </c>
      <c r="C55" s="29">
        <v>90.0</v>
      </c>
      <c r="D55" s="28" t="s">
        <v>49581</v>
      </c>
      <c r="E55" s="28" t="s">
        <v>49582</v>
      </c>
      <c r="F55" s="29">
        <v>25.0</v>
      </c>
      <c r="G55" s="30">
        <v>9.0750252E7</v>
      </c>
    </row>
    <row r="56" ht="12.75" customHeight="1">
      <c r="A56" s="31">
        <v>275.0</v>
      </c>
      <c r="B56" s="32" t="s">
        <v>49583</v>
      </c>
      <c r="C56" s="33">
        <v>90.0</v>
      </c>
      <c r="D56" s="32" t="s">
        <v>49584</v>
      </c>
      <c r="E56" s="32" t="s">
        <v>49585</v>
      </c>
      <c r="F56" s="33">
        <v>67.0</v>
      </c>
      <c r="G56" s="34">
        <v>9.0750678E7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275.0</v>
      </c>
      <c r="B1" s="28" t="s">
        <v>49586</v>
      </c>
      <c r="C1" s="29">
        <v>90.0</v>
      </c>
      <c r="D1" s="28" t="s">
        <v>49587</v>
      </c>
      <c r="E1" s="28" t="s">
        <v>49588</v>
      </c>
      <c r="F1" s="27">
        <v>157.0</v>
      </c>
      <c r="G1" s="30">
        <v>9.0751572E7</v>
      </c>
    </row>
    <row r="2" ht="12.75" customHeight="1">
      <c r="A2" s="31">
        <v>576.0</v>
      </c>
      <c r="B2" s="32" t="s">
        <v>49589</v>
      </c>
      <c r="C2" s="33">
        <v>90.0</v>
      </c>
      <c r="D2" s="32" t="s">
        <v>49590</v>
      </c>
      <c r="E2" s="32" t="s">
        <v>49591</v>
      </c>
      <c r="F2" s="31">
        <v>133.0</v>
      </c>
      <c r="G2" s="34">
        <v>9.0761333E7</v>
      </c>
    </row>
    <row r="3" ht="12.75" customHeight="1">
      <c r="A3" s="27">
        <v>576.0</v>
      </c>
      <c r="B3" s="28" t="s">
        <v>49592</v>
      </c>
      <c r="C3" s="29">
        <v>90.0</v>
      </c>
      <c r="D3" s="28" t="s">
        <v>49593</v>
      </c>
      <c r="E3" s="28" t="s">
        <v>49594</v>
      </c>
      <c r="F3" s="27">
        <v>178.0</v>
      </c>
      <c r="G3" s="30">
        <v>9.0761788E7</v>
      </c>
    </row>
    <row r="4" ht="12.75" customHeight="1">
      <c r="A4" s="31">
        <v>777.0</v>
      </c>
      <c r="B4" s="32" t="s">
        <v>49595</v>
      </c>
      <c r="C4" s="33">
        <v>90.0</v>
      </c>
      <c r="D4" s="32" t="s">
        <v>49596</v>
      </c>
      <c r="E4" s="32" t="s">
        <v>49597</v>
      </c>
      <c r="F4" s="33">
        <v>55.0</v>
      </c>
      <c r="G4" s="34">
        <v>9.0770553E7</v>
      </c>
    </row>
    <row r="5" ht="12.75" customHeight="1">
      <c r="A5" s="27">
        <v>378.0</v>
      </c>
      <c r="B5" s="28" t="s">
        <v>49598</v>
      </c>
      <c r="C5" s="29">
        <v>90.0</v>
      </c>
      <c r="D5" s="28" t="s">
        <v>49599</v>
      </c>
      <c r="E5" s="28" t="s">
        <v>49600</v>
      </c>
      <c r="F5" s="27">
        <v>109.0</v>
      </c>
      <c r="G5" s="30">
        <v>9.0781092E7</v>
      </c>
    </row>
    <row r="6" ht="12.75" customHeight="1">
      <c r="A6" s="31">
        <v>379.0</v>
      </c>
      <c r="B6" s="32" t="s">
        <v>49601</v>
      </c>
      <c r="C6" s="33">
        <v>90.0</v>
      </c>
      <c r="D6" s="32" t="s">
        <v>49602</v>
      </c>
      <c r="E6" s="32" t="s">
        <v>49603</v>
      </c>
      <c r="F6" s="33">
        <v>76.0</v>
      </c>
      <c r="G6" s="34">
        <v>9.0790762E7</v>
      </c>
    </row>
    <row r="7" ht="12.75" customHeight="1">
      <c r="A7" s="27">
        <v>581.0</v>
      </c>
      <c r="B7" s="28" t="s">
        <v>49604</v>
      </c>
      <c r="C7" s="29">
        <v>90.0</v>
      </c>
      <c r="D7" s="28" t="s">
        <v>49605</v>
      </c>
      <c r="E7" s="28" t="s">
        <v>49606</v>
      </c>
      <c r="F7" s="27">
        <v>193.0</v>
      </c>
      <c r="G7" s="30">
        <v>9.0811933E7</v>
      </c>
    </row>
    <row r="8" ht="12.75" customHeight="1">
      <c r="A8" s="31">
        <v>382.0</v>
      </c>
      <c r="B8" s="32" t="s">
        <v>49607</v>
      </c>
      <c r="C8" s="33">
        <v>90.0</v>
      </c>
      <c r="D8" s="32" t="s">
        <v>49608</v>
      </c>
      <c r="E8" s="32" t="s">
        <v>49609</v>
      </c>
      <c r="F8" s="33">
        <v>73.0</v>
      </c>
      <c r="G8" s="34">
        <v>9.0820737E7</v>
      </c>
    </row>
    <row r="9" ht="12.75" customHeight="1">
      <c r="A9" s="27">
        <v>785.0</v>
      </c>
      <c r="B9" s="28" t="s">
        <v>49610</v>
      </c>
      <c r="C9" s="29">
        <v>90.0</v>
      </c>
      <c r="D9" s="28" t="s">
        <v>49611</v>
      </c>
      <c r="E9" s="28" t="s">
        <v>49612</v>
      </c>
      <c r="F9" s="27">
        <v>145.0</v>
      </c>
      <c r="G9" s="30">
        <v>9.0851456E7</v>
      </c>
    </row>
    <row r="10" ht="12.75" customHeight="1">
      <c r="A10" s="31">
        <v>487.0</v>
      </c>
      <c r="B10" s="32" t="s">
        <v>49613</v>
      </c>
      <c r="C10" s="33">
        <v>90.0</v>
      </c>
      <c r="D10" s="32" t="s">
        <v>49614</v>
      </c>
      <c r="E10" s="32" t="s">
        <v>49615</v>
      </c>
      <c r="F10" s="31">
        <v>109.0</v>
      </c>
      <c r="G10" s="34">
        <v>9.0871094E7</v>
      </c>
    </row>
    <row r="11" ht="12.75" customHeight="1">
      <c r="A11" s="27">
        <v>688.0</v>
      </c>
      <c r="B11" s="28" t="s">
        <v>49616</v>
      </c>
      <c r="C11" s="29">
        <v>90.0</v>
      </c>
      <c r="D11" s="28" t="s">
        <v>49617</v>
      </c>
      <c r="E11" s="28" t="s">
        <v>49618</v>
      </c>
      <c r="F11" s="27">
        <v>187.0</v>
      </c>
      <c r="G11" s="30">
        <v>9.0881871E7</v>
      </c>
    </row>
    <row r="12" ht="12.75" customHeight="1">
      <c r="A12" s="31">
        <v>688.0</v>
      </c>
      <c r="B12" s="32" t="s">
        <v>49619</v>
      </c>
      <c r="C12" s="33">
        <v>90.0</v>
      </c>
      <c r="D12" s="32" t="s">
        <v>49620</v>
      </c>
      <c r="E12" s="32" t="s">
        <v>49621</v>
      </c>
      <c r="F12" s="31">
        <v>190.0</v>
      </c>
      <c r="G12" s="34">
        <v>9.0881905E7</v>
      </c>
    </row>
    <row r="13" ht="12.75" customHeight="1">
      <c r="A13" s="27">
        <v>890.0</v>
      </c>
      <c r="B13" s="28" t="s">
        <v>49622</v>
      </c>
      <c r="C13" s="29">
        <v>90.0</v>
      </c>
      <c r="D13" s="28" t="s">
        <v>49623</v>
      </c>
      <c r="E13" s="28" t="s">
        <v>49624</v>
      </c>
      <c r="F13" s="29">
        <v>22.0</v>
      </c>
      <c r="G13" s="30">
        <v>9.0900228E7</v>
      </c>
    </row>
    <row r="14" ht="12.75" customHeight="1">
      <c r="A14" s="31">
        <v>890.0</v>
      </c>
      <c r="B14" s="32" t="s">
        <v>49625</v>
      </c>
      <c r="C14" s="33">
        <v>90.0</v>
      </c>
      <c r="D14" s="32" t="s">
        <v>49626</v>
      </c>
      <c r="E14" s="32" t="s">
        <v>49627</v>
      </c>
      <c r="F14" s="33">
        <v>44.0</v>
      </c>
      <c r="G14" s="34">
        <v>9.0900444E7</v>
      </c>
    </row>
    <row r="15" ht="12.75" customHeight="1">
      <c r="A15" s="27">
        <v>890.0</v>
      </c>
      <c r="B15" s="28" t="s">
        <v>49628</v>
      </c>
      <c r="C15" s="29">
        <v>90.0</v>
      </c>
      <c r="D15" s="28" t="s">
        <v>49629</v>
      </c>
      <c r="E15" s="28" t="s">
        <v>49630</v>
      </c>
      <c r="F15" s="27">
        <v>112.0</v>
      </c>
      <c r="G15" s="30">
        <v>9.0901122E7</v>
      </c>
    </row>
    <row r="16" ht="12.75" customHeight="1">
      <c r="A16" s="31">
        <v>891.0</v>
      </c>
      <c r="B16" s="32" t="s">
        <v>49631</v>
      </c>
      <c r="C16" s="33">
        <v>90.0</v>
      </c>
      <c r="D16" s="32" t="s">
        <v>49632</v>
      </c>
      <c r="E16" s="32" t="s">
        <v>49633</v>
      </c>
      <c r="F16" s="33">
        <v>4.0</v>
      </c>
      <c r="G16" s="34">
        <v>9.0910047E7</v>
      </c>
    </row>
    <row r="17" ht="12.75" customHeight="1">
      <c r="A17" s="27">
        <v>891.0</v>
      </c>
      <c r="B17" s="28" t="s">
        <v>49634</v>
      </c>
      <c r="C17" s="29">
        <v>90.0</v>
      </c>
      <c r="D17" s="28" t="s">
        <v>49635</v>
      </c>
      <c r="E17" s="28" t="s">
        <v>49636</v>
      </c>
      <c r="F17" s="29">
        <v>31.0</v>
      </c>
      <c r="G17" s="30">
        <v>9.0910313E7</v>
      </c>
    </row>
    <row r="18" ht="12.75" customHeight="1">
      <c r="A18" s="31">
        <v>891.0</v>
      </c>
      <c r="B18" s="32" t="s">
        <v>49637</v>
      </c>
      <c r="C18" s="33">
        <v>90.0</v>
      </c>
      <c r="D18" s="32" t="s">
        <v>49638</v>
      </c>
      <c r="E18" s="32" t="s">
        <v>49639</v>
      </c>
      <c r="F18" s="33">
        <v>43.0</v>
      </c>
      <c r="G18" s="34">
        <v>9.0910434E7</v>
      </c>
    </row>
    <row r="19" ht="12.75" customHeight="1">
      <c r="A19" s="27">
        <v>891.0</v>
      </c>
      <c r="B19" s="28" t="s">
        <v>49640</v>
      </c>
      <c r="C19" s="29">
        <v>90.0</v>
      </c>
      <c r="D19" s="28" t="s">
        <v>49641</v>
      </c>
      <c r="E19" s="28" t="s">
        <v>49642</v>
      </c>
      <c r="F19" s="27">
        <v>130.0</v>
      </c>
      <c r="G19" s="30">
        <v>9.0911309E7</v>
      </c>
    </row>
    <row r="20" ht="12.75" customHeight="1">
      <c r="A20" s="31">
        <v>891.0</v>
      </c>
      <c r="B20" s="32" t="s">
        <v>49643</v>
      </c>
      <c r="C20" s="33">
        <v>90.0</v>
      </c>
      <c r="D20" s="32" t="s">
        <v>49644</v>
      </c>
      <c r="E20" s="32" t="s">
        <v>49645</v>
      </c>
      <c r="F20" s="31">
        <v>154.0</v>
      </c>
      <c r="G20" s="34">
        <v>9.0911541E7</v>
      </c>
    </row>
    <row r="21" ht="12.75" customHeight="1">
      <c r="A21" s="27">
        <v>891.0</v>
      </c>
      <c r="B21" s="28" t="s">
        <v>49646</v>
      </c>
      <c r="C21" s="29">
        <v>90.0</v>
      </c>
      <c r="D21" s="28" t="s">
        <v>49647</v>
      </c>
      <c r="E21" s="28" t="s">
        <v>49648</v>
      </c>
      <c r="F21" s="27">
        <v>160.0</v>
      </c>
      <c r="G21" s="30">
        <v>9.0911604E7</v>
      </c>
    </row>
    <row r="22" ht="12.75" customHeight="1">
      <c r="A22" s="31">
        <v>891.0</v>
      </c>
      <c r="B22" s="32" t="s">
        <v>49649</v>
      </c>
      <c r="C22" s="33">
        <v>90.0</v>
      </c>
      <c r="D22" s="32" t="s">
        <v>49650</v>
      </c>
      <c r="E22" s="32" t="s">
        <v>49651</v>
      </c>
      <c r="F22" s="31">
        <v>325.0</v>
      </c>
      <c r="G22" s="34">
        <v>9.0913257E7</v>
      </c>
    </row>
    <row r="23" ht="12.75" customHeight="1">
      <c r="A23" s="27">
        <v>891.0</v>
      </c>
      <c r="B23" s="28" t="s">
        <v>49652</v>
      </c>
      <c r="C23" s="29">
        <v>90.0</v>
      </c>
      <c r="D23" s="28" t="s">
        <v>49653</v>
      </c>
      <c r="E23" s="28" t="s">
        <v>49654</v>
      </c>
      <c r="F23" s="27">
        <v>355.0</v>
      </c>
      <c r="G23" s="30">
        <v>9.0913552E7</v>
      </c>
    </row>
    <row r="24" ht="12.75" customHeight="1">
      <c r="A24" s="31">
        <v>193.0</v>
      </c>
      <c r="B24" s="32" t="s">
        <v>49655</v>
      </c>
      <c r="C24" s="33">
        <v>90.0</v>
      </c>
      <c r="D24" s="32" t="s">
        <v>49656</v>
      </c>
      <c r="E24" s="32" t="s">
        <v>49657</v>
      </c>
      <c r="F24" s="33">
        <v>82.0</v>
      </c>
      <c r="G24" s="34">
        <v>9.0930827E7</v>
      </c>
    </row>
    <row r="25" ht="12.75" customHeight="1">
      <c r="A25" s="27">
        <v>193.0</v>
      </c>
      <c r="B25" s="28" t="s">
        <v>49658</v>
      </c>
      <c r="C25" s="29">
        <v>90.0</v>
      </c>
      <c r="D25" s="28" t="s">
        <v>49659</v>
      </c>
      <c r="E25" s="28" t="s">
        <v>49660</v>
      </c>
      <c r="F25" s="27">
        <v>151.0</v>
      </c>
      <c r="G25" s="30">
        <v>9.0931518E7</v>
      </c>
    </row>
    <row r="26" ht="12.75" customHeight="1">
      <c r="A26" s="31">
        <v>193.0</v>
      </c>
      <c r="B26" s="32" t="s">
        <v>49661</v>
      </c>
      <c r="C26" s="33">
        <v>90.0</v>
      </c>
      <c r="D26" s="32" t="s">
        <v>49662</v>
      </c>
      <c r="E26" s="32" t="s">
        <v>49663</v>
      </c>
      <c r="F26" s="31">
        <v>229.0</v>
      </c>
      <c r="G26" s="34">
        <v>9.0932296E7</v>
      </c>
    </row>
    <row r="27" ht="12.75" customHeight="1">
      <c r="A27" s="27">
        <v>794.0</v>
      </c>
      <c r="B27" s="28" t="s">
        <v>49664</v>
      </c>
      <c r="C27" s="29">
        <v>90.0</v>
      </c>
      <c r="D27" s="28" t="s">
        <v>49665</v>
      </c>
      <c r="E27" s="28" t="s">
        <v>49666</v>
      </c>
      <c r="F27" s="29">
        <v>97.0</v>
      </c>
      <c r="G27" s="30">
        <v>9.094097E7</v>
      </c>
    </row>
    <row r="28" ht="12.75" customHeight="1">
      <c r="A28" s="31">
        <v>306.0</v>
      </c>
      <c r="B28" s="32" t="s">
        <v>49667</v>
      </c>
      <c r="C28" s="33">
        <v>95.0</v>
      </c>
      <c r="D28" s="32" t="s">
        <v>49668</v>
      </c>
      <c r="E28" s="32" t="s">
        <v>49669</v>
      </c>
      <c r="F28" s="33">
        <v>28.0</v>
      </c>
      <c r="G28" s="34">
        <v>9.5060284E7</v>
      </c>
    </row>
    <row r="29" ht="12.75" customHeight="1">
      <c r="A29" s="27">
        <v>610.0</v>
      </c>
      <c r="B29" s="28" t="s">
        <v>49670</v>
      </c>
      <c r="C29" s="29">
        <v>95.0</v>
      </c>
      <c r="D29" s="28" t="s">
        <v>49671</v>
      </c>
      <c r="E29" s="28" t="s">
        <v>49672</v>
      </c>
      <c r="F29" s="29">
        <v>37.0</v>
      </c>
      <c r="G29" s="30">
        <v>9.5100373E7</v>
      </c>
    </row>
    <row r="30" ht="12.75" customHeight="1">
      <c r="A30" s="31">
        <v>112.0</v>
      </c>
      <c r="B30" s="32" t="s">
        <v>49673</v>
      </c>
      <c r="C30" s="33">
        <v>95.0</v>
      </c>
      <c r="D30" s="32" t="s">
        <v>49674</v>
      </c>
      <c r="E30" s="32" t="s">
        <v>49675</v>
      </c>
      <c r="F30" s="33">
        <v>43.0</v>
      </c>
      <c r="G30" s="34">
        <v>9.5120432E7</v>
      </c>
    </row>
    <row r="31" ht="12.75" customHeight="1">
      <c r="A31" s="27">
        <v>215.0</v>
      </c>
      <c r="B31" s="28" t="s">
        <v>49676</v>
      </c>
      <c r="C31" s="29">
        <v>95.0</v>
      </c>
      <c r="D31" s="28" t="s">
        <v>49677</v>
      </c>
      <c r="E31" s="28" t="s">
        <v>49678</v>
      </c>
      <c r="F31" s="29">
        <v>13.0</v>
      </c>
      <c r="G31" s="30">
        <v>9.5150136E7</v>
      </c>
    </row>
    <row r="32" ht="12.75" customHeight="1">
      <c r="A32" s="31">
        <v>215.0</v>
      </c>
      <c r="B32" s="32" t="s">
        <v>49679</v>
      </c>
      <c r="C32" s="33">
        <v>95.0</v>
      </c>
      <c r="D32" s="32" t="s">
        <v>49680</v>
      </c>
      <c r="E32" s="32" t="s">
        <v>49681</v>
      </c>
      <c r="F32" s="33">
        <v>17.0</v>
      </c>
      <c r="G32" s="34">
        <v>9.5150178E7</v>
      </c>
    </row>
    <row r="33" ht="12.75" customHeight="1">
      <c r="A33" s="27">
        <v>215.0</v>
      </c>
      <c r="B33" s="28" t="s">
        <v>49682</v>
      </c>
      <c r="C33" s="29">
        <v>95.0</v>
      </c>
      <c r="D33" s="28" t="s">
        <v>49683</v>
      </c>
      <c r="E33" s="28" t="s">
        <v>49684</v>
      </c>
      <c r="F33" s="27">
        <v>121.0</v>
      </c>
      <c r="G33" s="30">
        <v>9.5151214E7</v>
      </c>
    </row>
    <row r="34" ht="12.75" customHeight="1">
      <c r="A34" s="31">
        <v>215.0</v>
      </c>
      <c r="B34" s="32" t="s">
        <v>49685</v>
      </c>
      <c r="C34" s="33">
        <v>95.0</v>
      </c>
      <c r="D34" s="32" t="s">
        <v>49686</v>
      </c>
      <c r="E34" s="32" t="s">
        <v>49687</v>
      </c>
      <c r="F34" s="31">
        <v>148.0</v>
      </c>
      <c r="G34" s="34">
        <v>9.5151485E7</v>
      </c>
    </row>
    <row r="35" ht="12.75" customHeight="1">
      <c r="A35" s="27">
        <v>215.0</v>
      </c>
      <c r="B35" s="28" t="s">
        <v>49688</v>
      </c>
      <c r="C35" s="29">
        <v>95.0</v>
      </c>
      <c r="D35" s="28" t="s">
        <v>49689</v>
      </c>
      <c r="E35" s="28" t="s">
        <v>49690</v>
      </c>
      <c r="F35" s="27">
        <v>157.0</v>
      </c>
      <c r="G35" s="30">
        <v>9.5151577E7</v>
      </c>
    </row>
    <row r="36" ht="12.75" customHeight="1">
      <c r="A36" s="31">
        <v>215.0</v>
      </c>
      <c r="B36" s="32" t="s">
        <v>49691</v>
      </c>
      <c r="C36" s="33">
        <v>95.0</v>
      </c>
      <c r="D36" s="32" t="s">
        <v>49692</v>
      </c>
      <c r="E36" s="32" t="s">
        <v>49693</v>
      </c>
      <c r="F36" s="31">
        <v>256.0</v>
      </c>
      <c r="G36" s="34">
        <v>9.5152563E7</v>
      </c>
    </row>
    <row r="37" ht="12.75" customHeight="1">
      <c r="A37" s="27">
        <v>215.0</v>
      </c>
      <c r="B37" s="28" t="s">
        <v>49694</v>
      </c>
      <c r="C37" s="29">
        <v>95.0</v>
      </c>
      <c r="D37" s="28" t="s">
        <v>49695</v>
      </c>
      <c r="E37" s="28" t="s">
        <v>49696</v>
      </c>
      <c r="F37" s="27">
        <v>316.0</v>
      </c>
      <c r="G37" s="30">
        <v>9.5153162E7</v>
      </c>
    </row>
    <row r="38" ht="12.75" customHeight="1">
      <c r="A38" s="31">
        <v>215.0</v>
      </c>
      <c r="B38" s="32" t="s">
        <v>49697</v>
      </c>
      <c r="C38" s="33">
        <v>95.0</v>
      </c>
      <c r="D38" s="32" t="s">
        <v>49698</v>
      </c>
      <c r="E38" s="32" t="s">
        <v>49699</v>
      </c>
      <c r="F38" s="31">
        <v>322.0</v>
      </c>
      <c r="G38" s="34">
        <v>9.5153225E7</v>
      </c>
    </row>
    <row r="39" ht="12.75" customHeight="1">
      <c r="A39" s="27">
        <v>215.0</v>
      </c>
      <c r="B39" s="28" t="s">
        <v>49700</v>
      </c>
      <c r="C39" s="29">
        <v>95.0</v>
      </c>
      <c r="D39" s="28" t="s">
        <v>49701</v>
      </c>
      <c r="E39" s="28" t="s">
        <v>49702</v>
      </c>
      <c r="F39" s="27">
        <v>364.0</v>
      </c>
      <c r="G39" s="30">
        <v>9.5153641E7</v>
      </c>
    </row>
    <row r="40" ht="12.75" customHeight="1">
      <c r="A40" s="31">
        <v>215.0</v>
      </c>
      <c r="B40" s="32" t="s">
        <v>49703</v>
      </c>
      <c r="C40" s="33">
        <v>95.0</v>
      </c>
      <c r="D40" s="32" t="s">
        <v>49704</v>
      </c>
      <c r="E40" s="32" t="s">
        <v>49705</v>
      </c>
      <c r="F40" s="31">
        <v>427.0</v>
      </c>
      <c r="G40" s="34">
        <v>9.5154279E7</v>
      </c>
    </row>
    <row r="41" ht="12.75" customHeight="1">
      <c r="A41" s="27">
        <v>215.0</v>
      </c>
      <c r="B41" s="28" t="s">
        <v>49706</v>
      </c>
      <c r="C41" s="29">
        <v>95.0</v>
      </c>
      <c r="D41" s="28" t="s">
        <v>49707</v>
      </c>
      <c r="E41" s="28" t="s">
        <v>49708</v>
      </c>
      <c r="F41" s="27">
        <v>436.0</v>
      </c>
      <c r="G41" s="30">
        <v>9.5154361E7</v>
      </c>
    </row>
    <row r="42" ht="12.75" customHeight="1">
      <c r="A42" s="31">
        <v>215.0</v>
      </c>
      <c r="B42" s="32" t="s">
        <v>49709</v>
      </c>
      <c r="C42" s="33">
        <v>95.0</v>
      </c>
      <c r="D42" s="32" t="s">
        <v>49710</v>
      </c>
      <c r="E42" s="32" t="s">
        <v>49711</v>
      </c>
      <c r="F42" s="31">
        <v>466.0</v>
      </c>
      <c r="G42" s="34">
        <v>9.5154666E7</v>
      </c>
    </row>
    <row r="43" ht="12.75" customHeight="1">
      <c r="A43" s="27">
        <v>215.0</v>
      </c>
      <c r="B43" s="28" t="s">
        <v>49712</v>
      </c>
      <c r="C43" s="29">
        <v>95.0</v>
      </c>
      <c r="D43" s="28" t="s">
        <v>49713</v>
      </c>
      <c r="E43" s="28" t="s">
        <v>49714</v>
      </c>
      <c r="F43" s="27">
        <v>496.0</v>
      </c>
      <c r="G43" s="30">
        <v>9.5154961E7</v>
      </c>
    </row>
    <row r="44" ht="12.75" customHeight="1">
      <c r="A44" s="31">
        <v>215.0</v>
      </c>
      <c r="B44" s="32" t="s">
        <v>49715</v>
      </c>
      <c r="C44" s="33">
        <v>95.0</v>
      </c>
      <c r="D44" s="32" t="s">
        <v>49716</v>
      </c>
      <c r="E44" s="32" t="s">
        <v>49717</v>
      </c>
      <c r="F44" s="31">
        <v>532.0</v>
      </c>
      <c r="G44" s="34">
        <v>9.5155328E7</v>
      </c>
    </row>
    <row r="45" ht="12.75" customHeight="1">
      <c r="A45" s="27">
        <v>215.0</v>
      </c>
      <c r="B45" s="28" t="s">
        <v>49718</v>
      </c>
      <c r="C45" s="29">
        <v>95.0</v>
      </c>
      <c r="D45" s="28" t="s">
        <v>49719</v>
      </c>
      <c r="E45" s="28" t="s">
        <v>49720</v>
      </c>
      <c r="F45" s="27">
        <v>559.0</v>
      </c>
      <c r="G45" s="30">
        <v>9.5155599E7</v>
      </c>
    </row>
    <row r="46" ht="12.75" customHeight="1">
      <c r="A46" s="31">
        <v>215.0</v>
      </c>
      <c r="B46" s="32" t="s">
        <v>49721</v>
      </c>
      <c r="C46" s="33">
        <v>95.0</v>
      </c>
      <c r="D46" s="32" t="s">
        <v>49722</v>
      </c>
      <c r="E46" s="32" t="s">
        <v>49723</v>
      </c>
      <c r="F46" s="31">
        <v>580.0</v>
      </c>
      <c r="G46" s="34">
        <v>9.5155807E7</v>
      </c>
    </row>
    <row r="47" ht="12.75" customHeight="1">
      <c r="A47" s="27">
        <v>215.0</v>
      </c>
      <c r="B47" s="28" t="s">
        <v>49724</v>
      </c>
      <c r="C47" s="29">
        <v>95.0</v>
      </c>
      <c r="D47" s="28" t="s">
        <v>49725</v>
      </c>
      <c r="E47" s="28" t="s">
        <v>49726</v>
      </c>
      <c r="F47" s="27">
        <v>604.0</v>
      </c>
      <c r="G47" s="30">
        <v>9.5156048E7</v>
      </c>
    </row>
    <row r="48" ht="12.75" customHeight="1">
      <c r="A48" s="31">
        <v>215.0</v>
      </c>
      <c r="B48" s="32" t="s">
        <v>49727</v>
      </c>
      <c r="C48" s="33">
        <v>95.0</v>
      </c>
      <c r="D48" s="32" t="s">
        <v>49728</v>
      </c>
      <c r="E48" s="32" t="s">
        <v>49729</v>
      </c>
      <c r="F48" s="31">
        <v>649.0</v>
      </c>
      <c r="G48" s="34">
        <v>9.5156493E7</v>
      </c>
    </row>
    <row r="49" ht="12.75" customHeight="1">
      <c r="A49" s="27">
        <v>215.0</v>
      </c>
      <c r="B49" s="28" t="s">
        <v>49730</v>
      </c>
      <c r="C49" s="29">
        <v>95.0</v>
      </c>
      <c r="D49" s="28" t="s">
        <v>49731</v>
      </c>
      <c r="E49" s="28" t="s">
        <v>49732</v>
      </c>
      <c r="F49" s="27">
        <v>736.0</v>
      </c>
      <c r="G49" s="30">
        <v>9.5157368E7</v>
      </c>
    </row>
    <row r="50" ht="12.75" customHeight="1">
      <c r="A50" s="31">
        <v>215.0</v>
      </c>
      <c r="B50" s="32" t="s">
        <v>49733</v>
      </c>
      <c r="C50" s="33">
        <v>95.0</v>
      </c>
      <c r="D50" s="32" t="s">
        <v>49734</v>
      </c>
      <c r="E50" s="32" t="s">
        <v>49735</v>
      </c>
      <c r="F50" s="31">
        <v>751.0</v>
      </c>
      <c r="G50" s="34">
        <v>9.5157513E7</v>
      </c>
    </row>
    <row r="51" ht="12.75" customHeight="1">
      <c r="A51" s="27">
        <v>119.0</v>
      </c>
      <c r="B51" s="28" t="s">
        <v>49736</v>
      </c>
      <c r="C51" s="29">
        <v>95.0</v>
      </c>
      <c r="D51" s="28" t="s">
        <v>49737</v>
      </c>
      <c r="E51" s="28" t="s">
        <v>49738</v>
      </c>
      <c r="F51" s="27">
        <v>116.0</v>
      </c>
      <c r="G51" s="30">
        <v>9.5191166E7</v>
      </c>
    </row>
    <row r="52" ht="12.75" customHeight="1">
      <c r="A52" s="31">
        <v>222.0</v>
      </c>
      <c r="B52" s="32" t="s">
        <v>49739</v>
      </c>
      <c r="C52" s="33">
        <v>95.0</v>
      </c>
      <c r="D52" s="32" t="s">
        <v>49740</v>
      </c>
      <c r="E52" s="32" t="s">
        <v>49741</v>
      </c>
      <c r="F52" s="33">
        <v>25.0</v>
      </c>
      <c r="G52" s="34">
        <v>9.5220253E7</v>
      </c>
    </row>
    <row r="53" ht="12.75" customHeight="1">
      <c r="A53" s="27">
        <v>126.0</v>
      </c>
      <c r="B53" s="28" t="s">
        <v>49742</v>
      </c>
      <c r="C53" s="29">
        <v>95.0</v>
      </c>
      <c r="D53" s="28" t="s">
        <v>49743</v>
      </c>
      <c r="E53" s="28" t="s">
        <v>49744</v>
      </c>
      <c r="F53" s="29">
        <v>22.0</v>
      </c>
      <c r="G53" s="30">
        <v>9.5260226E7</v>
      </c>
    </row>
    <row r="54" ht="12.75" customHeight="1">
      <c r="A54" s="31">
        <v>126.0</v>
      </c>
      <c r="B54" s="32" t="s">
        <v>49745</v>
      </c>
      <c r="C54" s="33">
        <v>95.0</v>
      </c>
      <c r="D54" s="32" t="s">
        <v>49746</v>
      </c>
      <c r="E54" s="32" t="s">
        <v>49747</v>
      </c>
      <c r="F54" s="33">
        <v>27.0</v>
      </c>
      <c r="G54" s="34">
        <v>9.5260271E7</v>
      </c>
    </row>
    <row r="55" ht="12.75" customHeight="1">
      <c r="A55" s="27">
        <v>126.0</v>
      </c>
      <c r="B55" s="28" t="s">
        <v>49748</v>
      </c>
      <c r="C55" s="29">
        <v>95.0</v>
      </c>
      <c r="D55" s="28" t="s">
        <v>49749</v>
      </c>
      <c r="E55" s="28" t="s">
        <v>49750</v>
      </c>
      <c r="F55" s="29">
        <v>43.0</v>
      </c>
      <c r="G55" s="30">
        <v>9.5260439E7</v>
      </c>
    </row>
    <row r="56" ht="12.75" customHeight="1">
      <c r="A56" s="31">
        <v>126.0</v>
      </c>
      <c r="B56" s="32" t="s">
        <v>49751</v>
      </c>
      <c r="C56" s="33">
        <v>95.0</v>
      </c>
      <c r="D56" s="32" t="s">
        <v>49752</v>
      </c>
      <c r="E56" s="32" t="s">
        <v>49753</v>
      </c>
      <c r="F56" s="33">
        <v>55.0</v>
      </c>
      <c r="G56" s="34">
        <v>9.526055E7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49754</v>
      </c>
      <c r="C1" s="29">
        <v>95.0</v>
      </c>
      <c r="D1" s="28" t="s">
        <v>49755</v>
      </c>
      <c r="E1" s="28" t="s">
        <v>49756</v>
      </c>
      <c r="F1" s="29">
        <v>72.0</v>
      </c>
      <c r="G1" s="30">
        <v>9.5260721E7</v>
      </c>
    </row>
    <row r="2" ht="12.75" customHeight="1">
      <c r="A2" s="31">
        <v>126.0</v>
      </c>
      <c r="B2" s="32" t="s">
        <v>49757</v>
      </c>
      <c r="C2" s="33">
        <v>95.0</v>
      </c>
      <c r="D2" s="32" t="s">
        <v>49758</v>
      </c>
      <c r="E2" s="32" t="s">
        <v>49759</v>
      </c>
      <c r="F2" s="33">
        <v>91.0</v>
      </c>
      <c r="G2" s="34">
        <v>9.5260918E7</v>
      </c>
    </row>
    <row r="3" ht="12.75" customHeight="1">
      <c r="A3" s="27">
        <v>126.0</v>
      </c>
      <c r="B3" s="28" t="s">
        <v>49760</v>
      </c>
      <c r="C3" s="29">
        <v>95.0</v>
      </c>
      <c r="D3" s="28" t="s">
        <v>49761</v>
      </c>
      <c r="E3" s="28" t="s">
        <v>49762</v>
      </c>
      <c r="F3" s="27">
        <v>109.0</v>
      </c>
      <c r="G3" s="30">
        <v>9.5261096E7</v>
      </c>
    </row>
    <row r="4" ht="12.75" customHeight="1">
      <c r="A4" s="31">
        <v>126.0</v>
      </c>
      <c r="B4" s="32" t="s">
        <v>49763</v>
      </c>
      <c r="C4" s="33">
        <v>95.0</v>
      </c>
      <c r="D4" s="32" t="s">
        <v>49764</v>
      </c>
      <c r="E4" s="32" t="s">
        <v>49765</v>
      </c>
      <c r="F4" s="31">
        <v>118.0</v>
      </c>
      <c r="G4" s="34">
        <v>9.5261188E7</v>
      </c>
    </row>
    <row r="5" ht="12.75" customHeight="1">
      <c r="A5" s="27">
        <v>126.0</v>
      </c>
      <c r="B5" s="28" t="s">
        <v>49766</v>
      </c>
      <c r="C5" s="29">
        <v>95.0</v>
      </c>
      <c r="D5" s="28" t="s">
        <v>49767</v>
      </c>
      <c r="E5" s="28" t="s">
        <v>49768</v>
      </c>
      <c r="F5" s="27">
        <v>172.0</v>
      </c>
      <c r="G5" s="30">
        <v>9.526172E7</v>
      </c>
    </row>
    <row r="6" ht="12.75" customHeight="1">
      <c r="A6" s="31">
        <v>126.0</v>
      </c>
      <c r="B6" s="32" t="s">
        <v>49769</v>
      </c>
      <c r="C6" s="33">
        <v>95.0</v>
      </c>
      <c r="D6" s="32" t="s">
        <v>49770</v>
      </c>
      <c r="E6" s="32" t="s">
        <v>49771</v>
      </c>
      <c r="F6" s="31">
        <v>173.0</v>
      </c>
      <c r="G6" s="34">
        <v>9.5261733E7</v>
      </c>
    </row>
    <row r="7" ht="12.75" customHeight="1">
      <c r="A7" s="27">
        <v>126.0</v>
      </c>
      <c r="B7" s="28" t="s">
        <v>49772</v>
      </c>
      <c r="C7" s="29">
        <v>95.0</v>
      </c>
      <c r="D7" s="28" t="s">
        <v>49773</v>
      </c>
      <c r="E7" s="28" t="s">
        <v>49774</v>
      </c>
      <c r="F7" s="27">
        <v>190.0</v>
      </c>
      <c r="G7" s="30">
        <v>9.5261904E7</v>
      </c>
    </row>
    <row r="8" ht="12.75" customHeight="1">
      <c r="A8" s="31">
        <v>126.0</v>
      </c>
      <c r="B8" s="32" t="s">
        <v>49775</v>
      </c>
      <c r="C8" s="33">
        <v>95.0</v>
      </c>
      <c r="D8" s="32" t="s">
        <v>49776</v>
      </c>
      <c r="E8" s="32" t="s">
        <v>49777</v>
      </c>
      <c r="F8" s="31">
        <v>298.0</v>
      </c>
      <c r="G8" s="34">
        <v>9.5262987E7</v>
      </c>
    </row>
    <row r="9" ht="12.75" customHeight="1">
      <c r="A9" s="27">
        <v>126.0</v>
      </c>
      <c r="B9" s="28" t="s">
        <v>49778</v>
      </c>
      <c r="C9" s="29">
        <v>95.0</v>
      </c>
      <c r="D9" s="28" t="s">
        <v>49779</v>
      </c>
      <c r="E9" s="28" t="s">
        <v>49780</v>
      </c>
      <c r="F9" s="27">
        <v>300.0</v>
      </c>
      <c r="G9" s="30">
        <v>9.5263007E7</v>
      </c>
    </row>
    <row r="10" ht="12.75" customHeight="1">
      <c r="A10" s="31">
        <v>126.0</v>
      </c>
      <c r="B10" s="32" t="s">
        <v>49781</v>
      </c>
      <c r="C10" s="33">
        <v>95.0</v>
      </c>
      <c r="D10" s="32" t="s">
        <v>49782</v>
      </c>
      <c r="E10" s="32" t="s">
        <v>49783</v>
      </c>
      <c r="F10" s="31">
        <v>370.0</v>
      </c>
      <c r="G10" s="34">
        <v>9.5263702E7</v>
      </c>
    </row>
    <row r="11" ht="12.75" customHeight="1">
      <c r="A11" s="27">
        <v>126.0</v>
      </c>
      <c r="B11" s="28" t="s">
        <v>49784</v>
      </c>
      <c r="C11" s="29">
        <v>95.0</v>
      </c>
      <c r="D11" s="28" t="s">
        <v>49785</v>
      </c>
      <c r="E11" s="28" t="s">
        <v>49786</v>
      </c>
      <c r="F11" s="27">
        <v>403.0</v>
      </c>
      <c r="G11" s="30">
        <v>9.5264035E7</v>
      </c>
    </row>
    <row r="12" ht="12.75" customHeight="1">
      <c r="A12" s="31">
        <v>126.0</v>
      </c>
      <c r="B12" s="32" t="s">
        <v>49787</v>
      </c>
      <c r="C12" s="33">
        <v>95.0</v>
      </c>
      <c r="D12" s="32" t="s">
        <v>49788</v>
      </c>
      <c r="E12" s="32" t="s">
        <v>49789</v>
      </c>
      <c r="F12" s="31">
        <v>409.0</v>
      </c>
      <c r="G12" s="34">
        <v>9.5264093E7</v>
      </c>
    </row>
    <row r="13" ht="12.75" customHeight="1">
      <c r="A13" s="27">
        <v>126.0</v>
      </c>
      <c r="B13" s="28" t="s">
        <v>49790</v>
      </c>
      <c r="C13" s="29">
        <v>95.0</v>
      </c>
      <c r="D13" s="28" t="s">
        <v>49791</v>
      </c>
      <c r="E13" s="28" t="s">
        <v>49792</v>
      </c>
      <c r="F13" s="27">
        <v>430.0</v>
      </c>
      <c r="G13" s="30">
        <v>9.5264301E7</v>
      </c>
    </row>
    <row r="14" ht="12.75" customHeight="1">
      <c r="A14" s="31">
        <v>126.0</v>
      </c>
      <c r="B14" s="32" t="s">
        <v>49793</v>
      </c>
      <c r="C14" s="33">
        <v>95.0</v>
      </c>
      <c r="D14" s="32" t="s">
        <v>49794</v>
      </c>
      <c r="E14" s="32" t="s">
        <v>49795</v>
      </c>
      <c r="F14" s="31">
        <v>463.0</v>
      </c>
      <c r="G14" s="34">
        <v>9.5264635E7</v>
      </c>
    </row>
    <row r="15" ht="12.75" customHeight="1">
      <c r="A15" s="27">
        <v>126.0</v>
      </c>
      <c r="B15" s="28" t="s">
        <v>49796</v>
      </c>
      <c r="C15" s="29">
        <v>95.0</v>
      </c>
      <c r="D15" s="28" t="s">
        <v>49797</v>
      </c>
      <c r="E15" s="28" t="s">
        <v>49798</v>
      </c>
      <c r="F15" s="27">
        <v>469.0</v>
      </c>
      <c r="G15" s="30">
        <v>9.5264693E7</v>
      </c>
    </row>
    <row r="16" ht="12.75" customHeight="1">
      <c r="A16" s="31">
        <v>127.0</v>
      </c>
      <c r="B16" s="32" t="s">
        <v>49799</v>
      </c>
      <c r="C16" s="33">
        <v>95.0</v>
      </c>
      <c r="D16" s="32" t="s">
        <v>49800</v>
      </c>
      <c r="E16" s="32" t="s">
        <v>49801</v>
      </c>
      <c r="F16" s="33">
        <v>0.0</v>
      </c>
      <c r="G16" s="34">
        <v>9.5270003E7</v>
      </c>
    </row>
    <row r="17" ht="12.75" customHeight="1">
      <c r="A17" s="27">
        <v>127.0</v>
      </c>
      <c r="B17" s="28" t="s">
        <v>49802</v>
      </c>
      <c r="C17" s="29">
        <v>95.0</v>
      </c>
      <c r="D17" s="28" t="s">
        <v>49803</v>
      </c>
      <c r="E17" s="28" t="s">
        <v>49804</v>
      </c>
      <c r="F17" s="29">
        <v>37.0</v>
      </c>
      <c r="G17" s="30">
        <v>9.5270379E7</v>
      </c>
    </row>
    <row r="18" ht="12.75" customHeight="1">
      <c r="A18" s="31">
        <v>127.0</v>
      </c>
      <c r="B18" s="32" t="s">
        <v>49805</v>
      </c>
      <c r="C18" s="33">
        <v>95.0</v>
      </c>
      <c r="D18" s="32" t="s">
        <v>49806</v>
      </c>
      <c r="E18" s="32" t="s">
        <v>49807</v>
      </c>
      <c r="F18" s="31">
        <v>130.0</v>
      </c>
      <c r="G18" s="34">
        <v>9.5271307E7</v>
      </c>
    </row>
    <row r="19" ht="12.75" customHeight="1">
      <c r="A19" s="27">
        <v>127.0</v>
      </c>
      <c r="B19" s="28" t="s">
        <v>49808</v>
      </c>
      <c r="C19" s="29">
        <v>95.0</v>
      </c>
      <c r="D19" s="28" t="s">
        <v>49809</v>
      </c>
      <c r="E19" s="28" t="s">
        <v>49810</v>
      </c>
      <c r="F19" s="27">
        <v>205.0</v>
      </c>
      <c r="G19" s="30">
        <v>9.5272056E7</v>
      </c>
    </row>
    <row r="20" ht="12.75" customHeight="1">
      <c r="A20" s="31">
        <v>127.0</v>
      </c>
      <c r="B20" s="32" t="s">
        <v>49811</v>
      </c>
      <c r="C20" s="33">
        <v>95.0</v>
      </c>
      <c r="D20" s="32" t="s">
        <v>49812</v>
      </c>
      <c r="E20" s="32" t="s">
        <v>49813</v>
      </c>
      <c r="F20" s="31">
        <v>214.0</v>
      </c>
      <c r="G20" s="34">
        <v>9.5272148E7</v>
      </c>
    </row>
    <row r="21" ht="12.75" customHeight="1">
      <c r="A21" s="27">
        <v>127.0</v>
      </c>
      <c r="B21" s="28" t="s">
        <v>49814</v>
      </c>
      <c r="C21" s="29">
        <v>95.0</v>
      </c>
      <c r="D21" s="28" t="s">
        <v>49815</v>
      </c>
      <c r="E21" s="28" t="s">
        <v>49816</v>
      </c>
      <c r="F21" s="27">
        <v>364.0</v>
      </c>
      <c r="G21" s="30">
        <v>9.5273642E7</v>
      </c>
    </row>
    <row r="22" ht="12.75" customHeight="1">
      <c r="A22" s="31">
        <v>127.0</v>
      </c>
      <c r="B22" s="32" t="s">
        <v>49817</v>
      </c>
      <c r="C22" s="33">
        <v>95.0</v>
      </c>
      <c r="D22" s="32" t="s">
        <v>49818</v>
      </c>
      <c r="E22" s="32" t="s">
        <v>49819</v>
      </c>
      <c r="F22" s="31">
        <v>365.0</v>
      </c>
      <c r="G22" s="34">
        <v>9.5273655E7</v>
      </c>
    </row>
    <row r="23" ht="12.75" customHeight="1">
      <c r="A23" s="27">
        <v>127.0</v>
      </c>
      <c r="B23" s="28" t="s">
        <v>49820</v>
      </c>
      <c r="C23" s="29">
        <v>95.0</v>
      </c>
      <c r="D23" s="28" t="s">
        <v>49821</v>
      </c>
      <c r="E23" s="28" t="s">
        <v>49822</v>
      </c>
      <c r="F23" s="27">
        <v>367.0</v>
      </c>
      <c r="G23" s="30">
        <v>9.5273671E7</v>
      </c>
    </row>
    <row r="24" ht="12.75" customHeight="1">
      <c r="A24" s="31">
        <v>127.0</v>
      </c>
      <c r="B24" s="32" t="s">
        <v>49823</v>
      </c>
      <c r="C24" s="33">
        <v>95.0</v>
      </c>
      <c r="D24" s="32" t="s">
        <v>49824</v>
      </c>
      <c r="E24" s="32" t="s">
        <v>49825</v>
      </c>
      <c r="F24" s="31">
        <v>418.0</v>
      </c>
      <c r="G24" s="34">
        <v>9.5274188E7</v>
      </c>
    </row>
    <row r="25" ht="12.75" customHeight="1">
      <c r="A25" s="27">
        <v>127.0</v>
      </c>
      <c r="B25" s="28" t="s">
        <v>49826</v>
      </c>
      <c r="C25" s="29">
        <v>95.0</v>
      </c>
      <c r="D25" s="28" t="s">
        <v>49827</v>
      </c>
      <c r="E25" s="28" t="s">
        <v>49828</v>
      </c>
      <c r="F25" s="27">
        <v>424.0</v>
      </c>
      <c r="G25" s="30">
        <v>9.5274241E7</v>
      </c>
    </row>
    <row r="26" ht="12.75" customHeight="1">
      <c r="A26" s="31">
        <v>127.0</v>
      </c>
      <c r="B26" s="32" t="s">
        <v>49829</v>
      </c>
      <c r="C26" s="33">
        <v>95.0</v>
      </c>
      <c r="D26" s="32" t="s">
        <v>49830</v>
      </c>
      <c r="E26" s="32" t="s">
        <v>49831</v>
      </c>
      <c r="F26" s="31">
        <v>469.0</v>
      </c>
      <c r="G26" s="34">
        <v>9.5274696E7</v>
      </c>
    </row>
    <row r="27" ht="12.75" customHeight="1">
      <c r="A27" s="27">
        <v>127.0</v>
      </c>
      <c r="B27" s="28" t="s">
        <v>49832</v>
      </c>
      <c r="C27" s="29">
        <v>95.0</v>
      </c>
      <c r="D27" s="28" t="s">
        <v>49833</v>
      </c>
      <c r="E27" s="28" t="s">
        <v>49834</v>
      </c>
      <c r="F27" s="27">
        <v>535.0</v>
      </c>
      <c r="G27" s="30">
        <v>9.5275358E7</v>
      </c>
    </row>
    <row r="28" ht="12.75" customHeight="1">
      <c r="A28" s="31">
        <v>127.0</v>
      </c>
      <c r="B28" s="32" t="s">
        <v>49835</v>
      </c>
      <c r="C28" s="33">
        <v>95.0</v>
      </c>
      <c r="D28" s="32" t="s">
        <v>49836</v>
      </c>
      <c r="E28" s="32" t="s">
        <v>49837</v>
      </c>
      <c r="F28" s="31">
        <v>634.0</v>
      </c>
      <c r="G28" s="34">
        <v>9.5276344E7</v>
      </c>
    </row>
    <row r="29" ht="12.75" customHeight="1">
      <c r="A29" s="27">
        <v>127.0</v>
      </c>
      <c r="B29" s="28" t="s">
        <v>49838</v>
      </c>
      <c r="C29" s="29">
        <v>95.0</v>
      </c>
      <c r="D29" s="28" t="s">
        <v>49839</v>
      </c>
      <c r="E29" s="28" t="s">
        <v>49840</v>
      </c>
      <c r="F29" s="27">
        <v>658.0</v>
      </c>
      <c r="G29" s="30">
        <v>9.5276586E7</v>
      </c>
    </row>
    <row r="30" ht="12.75" customHeight="1">
      <c r="A30" s="31">
        <v>127.0</v>
      </c>
      <c r="B30" s="32" t="s">
        <v>49841</v>
      </c>
      <c r="C30" s="33">
        <v>95.0</v>
      </c>
      <c r="D30" s="32" t="s">
        <v>49842</v>
      </c>
      <c r="E30" s="32" t="s">
        <v>49843</v>
      </c>
      <c r="F30" s="31">
        <v>700.0</v>
      </c>
      <c r="G30" s="34">
        <v>9.5277006E7</v>
      </c>
    </row>
    <row r="31" ht="12.75" customHeight="1">
      <c r="A31" s="27">
        <v>329.0</v>
      </c>
      <c r="B31" s="28" t="s">
        <v>49844</v>
      </c>
      <c r="C31" s="29">
        <v>95.0</v>
      </c>
      <c r="D31" s="28" t="s">
        <v>49845</v>
      </c>
      <c r="E31" s="28" t="s">
        <v>49846</v>
      </c>
      <c r="F31" s="29">
        <v>52.0</v>
      </c>
      <c r="G31" s="30">
        <v>9.529052E7</v>
      </c>
    </row>
    <row r="32" ht="12.75" customHeight="1">
      <c r="A32" s="31">
        <v>230.0</v>
      </c>
      <c r="B32" s="32" t="s">
        <v>49847</v>
      </c>
      <c r="C32" s="33">
        <v>95.0</v>
      </c>
      <c r="D32" s="32" t="s">
        <v>49848</v>
      </c>
      <c r="E32" s="32" t="s">
        <v>49849</v>
      </c>
      <c r="F32" s="33">
        <v>53.0</v>
      </c>
      <c r="G32" s="34">
        <v>9.5300531E7</v>
      </c>
    </row>
    <row r="33" ht="12.75" customHeight="1">
      <c r="A33" s="27">
        <v>133.0</v>
      </c>
      <c r="B33" s="28" t="s">
        <v>49850</v>
      </c>
      <c r="C33" s="29">
        <v>95.0</v>
      </c>
      <c r="D33" s="28" t="s">
        <v>49851</v>
      </c>
      <c r="E33" s="28" t="s">
        <v>49852</v>
      </c>
      <c r="F33" s="29">
        <v>22.0</v>
      </c>
      <c r="G33" s="30">
        <v>9.5330222E7</v>
      </c>
    </row>
    <row r="34" ht="12.75" customHeight="1">
      <c r="A34" s="31">
        <v>133.0</v>
      </c>
      <c r="B34" s="32" t="s">
        <v>49853</v>
      </c>
      <c r="C34" s="33">
        <v>95.0</v>
      </c>
      <c r="D34" s="32" t="s">
        <v>49854</v>
      </c>
      <c r="E34" s="32" t="s">
        <v>49855</v>
      </c>
      <c r="F34" s="31">
        <v>100.0</v>
      </c>
      <c r="G34" s="34">
        <v>9.5331005E7</v>
      </c>
    </row>
    <row r="35" ht="12.75" customHeight="1">
      <c r="A35" s="27">
        <v>441.0</v>
      </c>
      <c r="B35" s="28" t="s">
        <v>49856</v>
      </c>
      <c r="C35" s="29">
        <v>95.0</v>
      </c>
      <c r="D35" s="28" t="s">
        <v>49857</v>
      </c>
      <c r="E35" s="28" t="s">
        <v>49858</v>
      </c>
      <c r="F35" s="29">
        <v>94.0</v>
      </c>
      <c r="G35" s="30">
        <v>9.5410942E7</v>
      </c>
    </row>
    <row r="36" ht="12.75" customHeight="1">
      <c r="A36" s="31">
        <v>447.0</v>
      </c>
      <c r="B36" s="32" t="s">
        <v>49859</v>
      </c>
      <c r="C36" s="33">
        <v>95.0</v>
      </c>
      <c r="D36" s="32" t="s">
        <v>49860</v>
      </c>
      <c r="E36" s="32" t="s">
        <v>49861</v>
      </c>
      <c r="F36" s="33">
        <v>85.0</v>
      </c>
      <c r="G36" s="34">
        <v>9.5470858E7</v>
      </c>
    </row>
    <row r="37" ht="12.75" customHeight="1">
      <c r="A37" s="27">
        <v>447.0</v>
      </c>
      <c r="B37" s="28" t="s">
        <v>49862</v>
      </c>
      <c r="C37" s="29">
        <v>95.0</v>
      </c>
      <c r="D37" s="28" t="s">
        <v>49863</v>
      </c>
      <c r="E37" s="28" t="s">
        <v>49864</v>
      </c>
      <c r="F37" s="27">
        <v>154.0</v>
      </c>
      <c r="G37" s="30">
        <v>9.5471549E7</v>
      </c>
    </row>
    <row r="38" ht="12.75" customHeight="1">
      <c r="A38" s="31">
        <v>148.0</v>
      </c>
      <c r="B38" s="32" t="s">
        <v>49865</v>
      </c>
      <c r="C38" s="33">
        <v>95.0</v>
      </c>
      <c r="D38" s="32" t="s">
        <v>49866</v>
      </c>
      <c r="E38" s="32" t="s">
        <v>49867</v>
      </c>
      <c r="F38" s="33">
        <v>20.0</v>
      </c>
      <c r="G38" s="34">
        <v>9.5480206E7</v>
      </c>
    </row>
    <row r="39" ht="12.75" customHeight="1">
      <c r="A39" s="27">
        <v>858.0</v>
      </c>
      <c r="B39" s="28" t="s">
        <v>49868</v>
      </c>
      <c r="C39" s="29">
        <v>95.0</v>
      </c>
      <c r="D39" s="28" t="s">
        <v>49869</v>
      </c>
      <c r="E39" s="28" t="s">
        <v>49870</v>
      </c>
      <c r="F39" s="27">
        <v>118.0</v>
      </c>
      <c r="G39" s="30">
        <v>9.5581189E7</v>
      </c>
    </row>
    <row r="40" ht="12.75" customHeight="1">
      <c r="A40" s="31">
        <v>161.0</v>
      </c>
      <c r="B40" s="32" t="s">
        <v>49871</v>
      </c>
      <c r="C40" s="33">
        <v>95.0</v>
      </c>
      <c r="D40" s="32" t="s">
        <v>49872</v>
      </c>
      <c r="E40" s="32" t="s">
        <v>49873</v>
      </c>
      <c r="F40" s="31">
        <v>177.0</v>
      </c>
      <c r="G40" s="34">
        <v>9.561177E7</v>
      </c>
    </row>
    <row r="41" ht="12.75" customHeight="1">
      <c r="A41" s="27">
        <v>167.0</v>
      </c>
      <c r="B41" s="28" t="s">
        <v>49874</v>
      </c>
      <c r="C41" s="29">
        <v>95.0</v>
      </c>
      <c r="D41" s="28" t="s">
        <v>49875</v>
      </c>
      <c r="E41" s="28" t="s">
        <v>49876</v>
      </c>
      <c r="F41" s="29">
        <v>22.0</v>
      </c>
      <c r="G41" s="30">
        <v>9.5670229E7</v>
      </c>
    </row>
    <row r="42" ht="12.75" customHeight="1">
      <c r="A42" s="31">
        <v>167.0</v>
      </c>
      <c r="B42" s="32" t="s">
        <v>49877</v>
      </c>
      <c r="C42" s="33">
        <v>95.0</v>
      </c>
      <c r="D42" s="32" t="s">
        <v>49878</v>
      </c>
      <c r="E42" s="32" t="s">
        <v>49879</v>
      </c>
      <c r="F42" s="31">
        <v>118.0</v>
      </c>
      <c r="G42" s="34">
        <v>9.5671181E7</v>
      </c>
    </row>
    <row r="43" ht="12.75" customHeight="1">
      <c r="A43" s="27">
        <v>167.0</v>
      </c>
      <c r="B43" s="28" t="s">
        <v>49880</v>
      </c>
      <c r="C43" s="29">
        <v>95.0</v>
      </c>
      <c r="D43" s="28" t="s">
        <v>49881</v>
      </c>
      <c r="E43" s="28" t="s">
        <v>49882</v>
      </c>
      <c r="F43" s="27">
        <v>120.0</v>
      </c>
      <c r="G43" s="30">
        <v>9.5671202E7</v>
      </c>
    </row>
    <row r="44" ht="12.75" customHeight="1">
      <c r="A44" s="31">
        <v>167.0</v>
      </c>
      <c r="B44" s="32" t="s">
        <v>49883</v>
      </c>
      <c r="C44" s="33">
        <v>95.0</v>
      </c>
      <c r="D44" s="32" t="s">
        <v>49884</v>
      </c>
      <c r="E44" s="32" t="s">
        <v>49885</v>
      </c>
      <c r="F44" s="31">
        <v>138.0</v>
      </c>
      <c r="G44" s="34">
        <v>9.5671381E7</v>
      </c>
    </row>
    <row r="45" ht="12.75" customHeight="1">
      <c r="A45" s="27">
        <v>167.0</v>
      </c>
      <c r="B45" s="28" t="s">
        <v>49886</v>
      </c>
      <c r="C45" s="29">
        <v>95.0</v>
      </c>
      <c r="D45" s="28" t="s">
        <v>49887</v>
      </c>
      <c r="E45" s="28" t="s">
        <v>49888</v>
      </c>
      <c r="F45" s="27">
        <v>169.0</v>
      </c>
      <c r="G45" s="30">
        <v>9.5671699E7</v>
      </c>
    </row>
    <row r="46" ht="12.75" customHeight="1">
      <c r="A46" s="31">
        <v>168.0</v>
      </c>
      <c r="B46" s="32" t="s">
        <v>49889</v>
      </c>
      <c r="C46" s="33">
        <v>95.0</v>
      </c>
      <c r="D46" s="32" t="s">
        <v>49890</v>
      </c>
      <c r="E46" s="32" t="s">
        <v>49891</v>
      </c>
      <c r="F46" s="33">
        <v>68.0</v>
      </c>
      <c r="G46" s="34">
        <v>9.568068E7</v>
      </c>
    </row>
    <row r="47" ht="12.75" customHeight="1">
      <c r="A47" s="27">
        <v>275.0</v>
      </c>
      <c r="B47" s="28" t="s">
        <v>49892</v>
      </c>
      <c r="C47" s="29">
        <v>95.0</v>
      </c>
      <c r="D47" s="28" t="s">
        <v>49893</v>
      </c>
      <c r="E47" s="28" t="s">
        <v>49894</v>
      </c>
      <c r="F47" s="29">
        <v>6.0</v>
      </c>
      <c r="G47" s="30">
        <v>9.575006E7</v>
      </c>
    </row>
    <row r="48" ht="12.75" customHeight="1">
      <c r="A48" s="31">
        <v>275.0</v>
      </c>
      <c r="B48" s="32" t="s">
        <v>49895</v>
      </c>
      <c r="C48" s="33">
        <v>95.0</v>
      </c>
      <c r="D48" s="32" t="s">
        <v>49896</v>
      </c>
      <c r="E48" s="32" t="s">
        <v>49897</v>
      </c>
      <c r="F48" s="33">
        <v>67.0</v>
      </c>
      <c r="G48" s="34">
        <v>9.5750673E7</v>
      </c>
    </row>
    <row r="49" ht="12.75" customHeight="1">
      <c r="A49" s="27">
        <v>581.0</v>
      </c>
      <c r="B49" s="28" t="s">
        <v>49898</v>
      </c>
      <c r="C49" s="29">
        <v>95.0</v>
      </c>
      <c r="D49" s="28" t="s">
        <v>49899</v>
      </c>
      <c r="E49" s="28" t="s">
        <v>49900</v>
      </c>
      <c r="F49" s="27">
        <v>193.0</v>
      </c>
      <c r="G49" s="30">
        <v>9.5811938E7</v>
      </c>
    </row>
    <row r="50" ht="12.75" customHeight="1">
      <c r="A50" s="31">
        <v>785.0</v>
      </c>
      <c r="B50" s="32" t="s">
        <v>49901</v>
      </c>
      <c r="C50" s="33">
        <v>95.0</v>
      </c>
      <c r="D50" s="32" t="s">
        <v>49902</v>
      </c>
      <c r="E50" s="32" t="s">
        <v>49903</v>
      </c>
      <c r="F50" s="31">
        <v>145.0</v>
      </c>
      <c r="G50" s="34">
        <v>9.5851451E7</v>
      </c>
    </row>
    <row r="51" ht="12.75" customHeight="1">
      <c r="A51" s="27">
        <v>891.0</v>
      </c>
      <c r="B51" s="28" t="s">
        <v>49904</v>
      </c>
      <c r="C51" s="29">
        <v>95.0</v>
      </c>
      <c r="D51" s="28" t="s">
        <v>49905</v>
      </c>
      <c r="E51" s="28" t="s">
        <v>49906</v>
      </c>
      <c r="F51" s="29">
        <v>43.0</v>
      </c>
      <c r="G51" s="30">
        <v>9.5910439E7</v>
      </c>
    </row>
    <row r="52" ht="12.75" customHeight="1">
      <c r="A52" s="31">
        <v>891.0</v>
      </c>
      <c r="B52" s="32" t="s">
        <v>49907</v>
      </c>
      <c r="C52" s="33">
        <v>95.0</v>
      </c>
      <c r="D52" s="32" t="s">
        <v>49908</v>
      </c>
      <c r="E52" s="32" t="s">
        <v>49909</v>
      </c>
      <c r="F52" s="33">
        <v>85.0</v>
      </c>
      <c r="G52" s="34">
        <v>9.5910855E7</v>
      </c>
    </row>
    <row r="53" ht="12.75" customHeight="1">
      <c r="A53" s="27">
        <v>891.0</v>
      </c>
      <c r="B53" s="28" t="s">
        <v>49910</v>
      </c>
      <c r="C53" s="29">
        <v>95.0</v>
      </c>
      <c r="D53" s="28" t="s">
        <v>49911</v>
      </c>
      <c r="E53" s="28" t="s">
        <v>49912</v>
      </c>
      <c r="F53" s="27">
        <v>136.0</v>
      </c>
      <c r="G53" s="30">
        <v>9.5911362E7</v>
      </c>
    </row>
    <row r="54" ht="12.75" customHeight="1">
      <c r="A54" s="31">
        <v>891.0</v>
      </c>
      <c r="B54" s="32" t="s">
        <v>49913</v>
      </c>
      <c r="C54" s="33">
        <v>95.0</v>
      </c>
      <c r="D54" s="32" t="s">
        <v>49914</v>
      </c>
      <c r="E54" s="32" t="s">
        <v>49915</v>
      </c>
      <c r="F54" s="31">
        <v>373.0</v>
      </c>
      <c r="G54" s="34">
        <v>9.5913731E7</v>
      </c>
    </row>
    <row r="55" ht="12.75" customHeight="1">
      <c r="A55" s="27">
        <v>193.0</v>
      </c>
      <c r="B55" s="28" t="s">
        <v>49916</v>
      </c>
      <c r="C55" s="29">
        <v>95.0</v>
      </c>
      <c r="D55" s="28" t="s">
        <v>49917</v>
      </c>
      <c r="E55" s="28" t="s">
        <v>49918</v>
      </c>
      <c r="F55" s="27">
        <v>229.0</v>
      </c>
      <c r="G55" s="30">
        <v>9.5932291E7</v>
      </c>
    </row>
    <row r="56" ht="12.75" customHeight="1">
      <c r="A56" s="31">
        <v>306.0</v>
      </c>
      <c r="B56" s="32" t="s">
        <v>49919</v>
      </c>
      <c r="C56" s="31">
        <v>100.0</v>
      </c>
      <c r="D56" s="32" t="s">
        <v>49920</v>
      </c>
      <c r="E56" s="32" t="s">
        <v>49921</v>
      </c>
      <c r="F56" s="33">
        <v>28.0</v>
      </c>
      <c r="G56" s="31">
        <v>1.00060287E8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610.0</v>
      </c>
      <c r="B1" s="28" t="s">
        <v>49922</v>
      </c>
      <c r="C1" s="27">
        <v>100.0</v>
      </c>
      <c r="D1" s="28" t="s">
        <v>49923</v>
      </c>
      <c r="E1" s="28" t="s">
        <v>49924</v>
      </c>
      <c r="F1" s="29">
        <v>37.0</v>
      </c>
      <c r="G1" s="27">
        <v>1.00100376E8</v>
      </c>
    </row>
    <row r="2" ht="12.75" customHeight="1">
      <c r="A2" s="31">
        <v>610.0</v>
      </c>
      <c r="B2" s="32" t="s">
        <v>49925</v>
      </c>
      <c r="C2" s="31">
        <v>100.0</v>
      </c>
      <c r="D2" s="32" t="s">
        <v>49926</v>
      </c>
      <c r="E2" s="32" t="s">
        <v>49927</v>
      </c>
      <c r="F2" s="31">
        <v>247.0</v>
      </c>
      <c r="G2" s="31">
        <v>1.00102479E8</v>
      </c>
    </row>
    <row r="3" ht="12.75" customHeight="1">
      <c r="A3" s="27">
        <v>112.0</v>
      </c>
      <c r="B3" s="28" t="s">
        <v>49928</v>
      </c>
      <c r="C3" s="27">
        <v>100.0</v>
      </c>
      <c r="D3" s="28" t="s">
        <v>49929</v>
      </c>
      <c r="E3" s="28" t="s">
        <v>49930</v>
      </c>
      <c r="F3" s="29">
        <v>10.0</v>
      </c>
      <c r="G3" s="27">
        <v>1.00120101E8</v>
      </c>
    </row>
    <row r="4" ht="12.75" customHeight="1">
      <c r="A4" s="31">
        <v>113.0</v>
      </c>
      <c r="B4" s="32" t="s">
        <v>49931</v>
      </c>
      <c r="C4" s="31">
        <v>100.0</v>
      </c>
      <c r="D4" s="32" t="s">
        <v>49932</v>
      </c>
      <c r="E4" s="32" t="s">
        <v>49933</v>
      </c>
      <c r="F4" s="31">
        <v>145.0</v>
      </c>
      <c r="G4" s="31">
        <v>1.00131453E8</v>
      </c>
    </row>
    <row r="5" ht="12.75" customHeight="1">
      <c r="A5" s="27">
        <v>113.0</v>
      </c>
      <c r="B5" s="28" t="s">
        <v>49934</v>
      </c>
      <c r="C5" s="27">
        <v>100.0</v>
      </c>
      <c r="D5" s="28" t="s">
        <v>49935</v>
      </c>
      <c r="E5" s="28" t="s">
        <v>49936</v>
      </c>
      <c r="F5" s="27">
        <v>234.0</v>
      </c>
      <c r="G5" s="27">
        <v>1.00132344E8</v>
      </c>
    </row>
    <row r="6" ht="12.75" customHeight="1">
      <c r="A6" s="31">
        <v>215.0</v>
      </c>
      <c r="B6" s="32" t="s">
        <v>49937</v>
      </c>
      <c r="C6" s="31">
        <v>100.0</v>
      </c>
      <c r="D6" s="32" t="s">
        <v>49938</v>
      </c>
      <c r="E6" s="32" t="s">
        <v>49939</v>
      </c>
      <c r="F6" s="33">
        <v>13.0</v>
      </c>
      <c r="G6" s="31">
        <v>1.00150139E8</v>
      </c>
    </row>
    <row r="7" ht="12.75" customHeight="1">
      <c r="A7" s="27">
        <v>215.0</v>
      </c>
      <c r="B7" s="28" t="s">
        <v>49940</v>
      </c>
      <c r="C7" s="27">
        <v>100.0</v>
      </c>
      <c r="D7" s="28" t="s">
        <v>49941</v>
      </c>
      <c r="E7" s="28" t="s">
        <v>49942</v>
      </c>
      <c r="F7" s="29">
        <v>50.0</v>
      </c>
      <c r="G7" s="27">
        <v>1.001505E8</v>
      </c>
    </row>
    <row r="8" ht="12.75" customHeight="1">
      <c r="A8" s="31">
        <v>215.0</v>
      </c>
      <c r="B8" s="32" t="s">
        <v>49943</v>
      </c>
      <c r="C8" s="31">
        <v>100.0</v>
      </c>
      <c r="D8" s="32" t="s">
        <v>49944</v>
      </c>
      <c r="E8" s="32" t="s">
        <v>49945</v>
      </c>
      <c r="F8" s="33">
        <v>79.0</v>
      </c>
      <c r="G8" s="31">
        <v>1.00150797E8</v>
      </c>
    </row>
    <row r="9" ht="12.75" customHeight="1">
      <c r="A9" s="27">
        <v>215.0</v>
      </c>
      <c r="B9" s="28" t="s">
        <v>49946</v>
      </c>
      <c r="C9" s="27">
        <v>100.0</v>
      </c>
      <c r="D9" s="28" t="s">
        <v>49947</v>
      </c>
      <c r="E9" s="28" t="s">
        <v>49948</v>
      </c>
      <c r="F9" s="27">
        <v>148.0</v>
      </c>
      <c r="G9" s="27">
        <v>1.00151488E8</v>
      </c>
    </row>
    <row r="10" ht="12.75" customHeight="1">
      <c r="A10" s="31">
        <v>215.0</v>
      </c>
      <c r="B10" s="32" t="s">
        <v>49949</v>
      </c>
      <c r="C10" s="31">
        <v>100.0</v>
      </c>
      <c r="D10" s="32" t="s">
        <v>49950</v>
      </c>
      <c r="E10" s="32" t="s">
        <v>49951</v>
      </c>
      <c r="F10" s="31">
        <v>244.0</v>
      </c>
      <c r="G10" s="31">
        <v>1.00152445E8</v>
      </c>
    </row>
    <row r="11" ht="12.75" customHeight="1">
      <c r="A11" s="27">
        <v>215.0</v>
      </c>
      <c r="B11" s="28" t="s">
        <v>49952</v>
      </c>
      <c r="C11" s="27">
        <v>100.0</v>
      </c>
      <c r="D11" s="28" t="s">
        <v>49953</v>
      </c>
      <c r="E11" s="28" t="s">
        <v>49954</v>
      </c>
      <c r="F11" s="27">
        <v>256.0</v>
      </c>
      <c r="G11" s="27">
        <v>1.00152566E8</v>
      </c>
    </row>
    <row r="12" ht="12.75" customHeight="1">
      <c r="A12" s="31">
        <v>215.0</v>
      </c>
      <c r="B12" s="32" t="s">
        <v>49955</v>
      </c>
      <c r="C12" s="31">
        <v>100.0</v>
      </c>
      <c r="D12" s="32" t="s">
        <v>49956</v>
      </c>
      <c r="E12" s="32" t="s">
        <v>49957</v>
      </c>
      <c r="F12" s="31">
        <v>316.0</v>
      </c>
      <c r="G12" s="31">
        <v>1.00153165E8</v>
      </c>
    </row>
    <row r="13" ht="12.75" customHeight="1">
      <c r="A13" s="27">
        <v>215.0</v>
      </c>
      <c r="B13" s="28" t="s">
        <v>49958</v>
      </c>
      <c r="C13" s="27">
        <v>100.0</v>
      </c>
      <c r="D13" s="28" t="s">
        <v>49959</v>
      </c>
      <c r="E13" s="28" t="s">
        <v>49960</v>
      </c>
      <c r="F13" s="27">
        <v>364.0</v>
      </c>
      <c r="G13" s="27">
        <v>1.00153644E8</v>
      </c>
    </row>
    <row r="14" ht="12.75" customHeight="1">
      <c r="A14" s="31">
        <v>215.0</v>
      </c>
      <c r="B14" s="32" t="s">
        <v>49961</v>
      </c>
      <c r="C14" s="31">
        <v>100.0</v>
      </c>
      <c r="D14" s="32" t="s">
        <v>49962</v>
      </c>
      <c r="E14" s="32" t="s">
        <v>49963</v>
      </c>
      <c r="F14" s="31">
        <v>427.0</v>
      </c>
      <c r="G14" s="31">
        <v>1.00154272E8</v>
      </c>
    </row>
    <row r="15" ht="12.75" customHeight="1">
      <c r="A15" s="27">
        <v>215.0</v>
      </c>
      <c r="B15" s="28" t="s">
        <v>49964</v>
      </c>
      <c r="C15" s="27">
        <v>100.0</v>
      </c>
      <c r="D15" s="28" t="s">
        <v>49965</v>
      </c>
      <c r="E15" s="28" t="s">
        <v>49966</v>
      </c>
      <c r="F15" s="27">
        <v>436.0</v>
      </c>
      <c r="G15" s="27">
        <v>1.00154364E8</v>
      </c>
    </row>
    <row r="16" ht="12.75" customHeight="1">
      <c r="A16" s="31">
        <v>215.0</v>
      </c>
      <c r="B16" s="32" t="s">
        <v>49967</v>
      </c>
      <c r="C16" s="31">
        <v>100.0</v>
      </c>
      <c r="D16" s="32" t="s">
        <v>49968</v>
      </c>
      <c r="E16" s="32" t="s">
        <v>49969</v>
      </c>
      <c r="F16" s="31">
        <v>559.0</v>
      </c>
      <c r="G16" s="31">
        <v>1.00155592E8</v>
      </c>
    </row>
    <row r="17" ht="12.75" customHeight="1">
      <c r="A17" s="27">
        <v>215.0</v>
      </c>
      <c r="B17" s="28" t="s">
        <v>49970</v>
      </c>
      <c r="C17" s="27">
        <v>100.0</v>
      </c>
      <c r="D17" s="28" t="s">
        <v>49971</v>
      </c>
      <c r="E17" s="28" t="s">
        <v>49972</v>
      </c>
      <c r="F17" s="27">
        <v>592.0</v>
      </c>
      <c r="G17" s="27">
        <v>1.00155921E8</v>
      </c>
    </row>
    <row r="18" ht="12.75" customHeight="1">
      <c r="A18" s="31">
        <v>215.0</v>
      </c>
      <c r="B18" s="32" t="s">
        <v>49973</v>
      </c>
      <c r="C18" s="31">
        <v>100.0</v>
      </c>
      <c r="D18" s="32" t="s">
        <v>49974</v>
      </c>
      <c r="E18" s="32" t="s">
        <v>49975</v>
      </c>
      <c r="F18" s="31">
        <v>604.0</v>
      </c>
      <c r="G18" s="31">
        <v>1.00156041E8</v>
      </c>
    </row>
    <row r="19" ht="12.75" customHeight="1">
      <c r="A19" s="27">
        <v>215.0</v>
      </c>
      <c r="B19" s="28" t="s">
        <v>49976</v>
      </c>
      <c r="C19" s="27">
        <v>100.0</v>
      </c>
      <c r="D19" s="28" t="s">
        <v>49977</v>
      </c>
      <c r="E19" s="28" t="s">
        <v>49978</v>
      </c>
      <c r="F19" s="27">
        <v>691.0</v>
      </c>
      <c r="G19" s="27">
        <v>1.00156917E8</v>
      </c>
    </row>
    <row r="20" ht="12.75" customHeight="1">
      <c r="A20" s="31">
        <v>215.0</v>
      </c>
      <c r="B20" s="32" t="s">
        <v>49979</v>
      </c>
      <c r="C20" s="31">
        <v>100.0</v>
      </c>
      <c r="D20" s="32" t="s">
        <v>49980</v>
      </c>
      <c r="E20" s="32" t="s">
        <v>49981</v>
      </c>
      <c r="F20" s="31">
        <v>739.0</v>
      </c>
      <c r="G20" s="31">
        <v>1.0015739E8</v>
      </c>
    </row>
    <row r="21" ht="12.75" customHeight="1">
      <c r="A21" s="27">
        <v>119.0</v>
      </c>
      <c r="B21" s="28" t="s">
        <v>49982</v>
      </c>
      <c r="C21" s="27">
        <v>100.0</v>
      </c>
      <c r="D21" s="28" t="s">
        <v>49983</v>
      </c>
      <c r="E21" s="28" t="s">
        <v>49984</v>
      </c>
      <c r="F21" s="29">
        <v>17.0</v>
      </c>
      <c r="G21" s="27">
        <v>1.00190173E8</v>
      </c>
    </row>
    <row r="22" ht="12.75" customHeight="1">
      <c r="A22" s="31">
        <v>119.0</v>
      </c>
      <c r="B22" s="32" t="s">
        <v>49985</v>
      </c>
      <c r="C22" s="31">
        <v>100.0</v>
      </c>
      <c r="D22" s="32" t="s">
        <v>49986</v>
      </c>
      <c r="E22" s="32" t="s">
        <v>49987</v>
      </c>
      <c r="F22" s="33">
        <v>33.0</v>
      </c>
      <c r="G22" s="31">
        <v>1.00190331E8</v>
      </c>
    </row>
    <row r="23" ht="12.75" customHeight="1">
      <c r="A23" s="27">
        <v>119.0</v>
      </c>
      <c r="B23" s="28" t="s">
        <v>49988</v>
      </c>
      <c r="C23" s="27">
        <v>100.0</v>
      </c>
      <c r="D23" s="28" t="s">
        <v>49989</v>
      </c>
      <c r="E23" s="28" t="s">
        <v>49990</v>
      </c>
      <c r="F23" s="29">
        <v>44.0</v>
      </c>
      <c r="G23" s="27">
        <v>1.00190449E8</v>
      </c>
    </row>
    <row r="24" ht="12.75" customHeight="1">
      <c r="A24" s="31">
        <v>119.0</v>
      </c>
      <c r="B24" s="32" t="s">
        <v>49991</v>
      </c>
      <c r="C24" s="31">
        <v>100.0</v>
      </c>
      <c r="D24" s="32" t="s">
        <v>49992</v>
      </c>
      <c r="E24" s="32" t="s">
        <v>49993</v>
      </c>
      <c r="F24" s="31">
        <v>115.0</v>
      </c>
      <c r="G24" s="31">
        <v>1.00191156E8</v>
      </c>
    </row>
    <row r="25" ht="12.75" customHeight="1">
      <c r="A25" s="27">
        <v>119.0</v>
      </c>
      <c r="B25" s="28" t="s">
        <v>49994</v>
      </c>
      <c r="C25" s="27">
        <v>100.0</v>
      </c>
      <c r="D25" s="28" t="s">
        <v>49995</v>
      </c>
      <c r="E25" s="28" t="s">
        <v>49996</v>
      </c>
      <c r="F25" s="27">
        <v>211.0</v>
      </c>
      <c r="G25" s="27">
        <v>1.00192113E8</v>
      </c>
    </row>
    <row r="26" ht="12.75" customHeight="1">
      <c r="A26" s="31">
        <v>119.0</v>
      </c>
      <c r="B26" s="32" t="s">
        <v>49997</v>
      </c>
      <c r="C26" s="31">
        <v>100.0</v>
      </c>
      <c r="D26" s="32" t="s">
        <v>49998</v>
      </c>
      <c r="E26" s="32" t="s">
        <v>49999</v>
      </c>
      <c r="F26" s="31">
        <v>271.0</v>
      </c>
      <c r="G26" s="31">
        <v>1.00192713E8</v>
      </c>
    </row>
    <row r="27" ht="12.75" customHeight="1">
      <c r="A27" s="27">
        <v>119.0</v>
      </c>
      <c r="B27" s="28" t="s">
        <v>50000</v>
      </c>
      <c r="C27" s="27">
        <v>100.0</v>
      </c>
      <c r="D27" s="28" t="s">
        <v>50001</v>
      </c>
      <c r="E27" s="28" t="s">
        <v>50002</v>
      </c>
      <c r="F27" s="27">
        <v>313.0</v>
      </c>
      <c r="G27" s="27">
        <v>1.00193138E8</v>
      </c>
    </row>
    <row r="28" ht="12.75" customHeight="1">
      <c r="A28" s="31">
        <v>222.0</v>
      </c>
      <c r="B28" s="32" t="s">
        <v>50003</v>
      </c>
      <c r="C28" s="31">
        <v>100.0</v>
      </c>
      <c r="D28" s="32" t="s">
        <v>50004</v>
      </c>
      <c r="E28" s="32" t="s">
        <v>50005</v>
      </c>
      <c r="F28" s="33">
        <v>25.0</v>
      </c>
      <c r="G28" s="31">
        <v>1.00220256E8</v>
      </c>
    </row>
    <row r="29" ht="12.75" customHeight="1">
      <c r="A29" s="27">
        <v>126.0</v>
      </c>
      <c r="B29" s="28" t="s">
        <v>50006</v>
      </c>
      <c r="C29" s="27">
        <v>100.0</v>
      </c>
      <c r="D29" s="28" t="s">
        <v>50007</v>
      </c>
      <c r="E29" s="28" t="s">
        <v>50008</v>
      </c>
      <c r="F29" s="29">
        <v>11.0</v>
      </c>
      <c r="G29" s="27">
        <v>1.00260111E8</v>
      </c>
    </row>
    <row r="30" ht="12.75" customHeight="1">
      <c r="A30" s="31">
        <v>126.0</v>
      </c>
      <c r="B30" s="32" t="s">
        <v>50009</v>
      </c>
      <c r="C30" s="31">
        <v>100.0</v>
      </c>
      <c r="D30" s="32" t="s">
        <v>50010</v>
      </c>
      <c r="E30" s="32" t="s">
        <v>50011</v>
      </c>
      <c r="F30" s="33">
        <v>22.0</v>
      </c>
      <c r="G30" s="31">
        <v>1.00260229E8</v>
      </c>
    </row>
    <row r="31" ht="12.75" customHeight="1">
      <c r="A31" s="27">
        <v>126.0</v>
      </c>
      <c r="B31" s="28" t="s">
        <v>50012</v>
      </c>
      <c r="C31" s="27">
        <v>100.0</v>
      </c>
      <c r="D31" s="28" t="s">
        <v>50013</v>
      </c>
      <c r="E31" s="28" t="s">
        <v>50014</v>
      </c>
      <c r="F31" s="29">
        <v>43.0</v>
      </c>
      <c r="G31" s="27">
        <v>1.00260432E8</v>
      </c>
    </row>
    <row r="32" ht="12.75" customHeight="1">
      <c r="A32" s="31">
        <v>126.0</v>
      </c>
      <c r="B32" s="32" t="s">
        <v>50015</v>
      </c>
      <c r="C32" s="31">
        <v>100.0</v>
      </c>
      <c r="D32" s="32" t="s">
        <v>50016</v>
      </c>
      <c r="E32" s="32" t="s">
        <v>50017</v>
      </c>
      <c r="F32" s="33">
        <v>61.0</v>
      </c>
      <c r="G32" s="31">
        <v>1.00260616E8</v>
      </c>
    </row>
    <row r="33" ht="12.75" customHeight="1">
      <c r="A33" s="27">
        <v>126.0</v>
      </c>
      <c r="B33" s="28" t="s">
        <v>50018</v>
      </c>
      <c r="C33" s="27">
        <v>100.0</v>
      </c>
      <c r="D33" s="28" t="s">
        <v>50019</v>
      </c>
      <c r="E33" s="28" t="s">
        <v>50020</v>
      </c>
      <c r="F33" s="29">
        <v>66.0</v>
      </c>
      <c r="G33" s="27">
        <v>1.00260661E8</v>
      </c>
    </row>
    <row r="34" ht="12.75" customHeight="1">
      <c r="A34" s="31">
        <v>126.0</v>
      </c>
      <c r="B34" s="32" t="s">
        <v>50021</v>
      </c>
      <c r="C34" s="31">
        <v>100.0</v>
      </c>
      <c r="D34" s="32" t="s">
        <v>50022</v>
      </c>
      <c r="E34" s="32" t="s">
        <v>50023</v>
      </c>
      <c r="F34" s="31">
        <v>118.0</v>
      </c>
      <c r="G34" s="31">
        <v>1.00261181E8</v>
      </c>
    </row>
    <row r="35" ht="12.75" customHeight="1">
      <c r="A35" s="27">
        <v>126.0</v>
      </c>
      <c r="B35" s="28" t="s">
        <v>50024</v>
      </c>
      <c r="C35" s="27">
        <v>100.0</v>
      </c>
      <c r="D35" s="28" t="s">
        <v>50025</v>
      </c>
      <c r="E35" s="28" t="s">
        <v>50026</v>
      </c>
      <c r="F35" s="27">
        <v>133.0</v>
      </c>
      <c r="G35" s="27">
        <v>1.00261336E8</v>
      </c>
    </row>
    <row r="36" ht="12.75" customHeight="1">
      <c r="A36" s="31">
        <v>126.0</v>
      </c>
      <c r="B36" s="32" t="s">
        <v>50027</v>
      </c>
      <c r="C36" s="31">
        <v>100.0</v>
      </c>
      <c r="D36" s="32" t="s">
        <v>50028</v>
      </c>
      <c r="E36" s="32" t="s">
        <v>50029</v>
      </c>
      <c r="F36" s="31">
        <v>172.0</v>
      </c>
      <c r="G36" s="31">
        <v>1.00261723E8</v>
      </c>
    </row>
    <row r="37" ht="12.75" customHeight="1">
      <c r="A37" s="27">
        <v>126.0</v>
      </c>
      <c r="B37" s="28" t="s">
        <v>50030</v>
      </c>
      <c r="C37" s="27">
        <v>100.0</v>
      </c>
      <c r="D37" s="28" t="s">
        <v>50031</v>
      </c>
      <c r="E37" s="28" t="s">
        <v>50032</v>
      </c>
      <c r="F37" s="27">
        <v>205.0</v>
      </c>
      <c r="G37" s="27">
        <v>1.00262056E8</v>
      </c>
    </row>
    <row r="38" ht="12.75" customHeight="1">
      <c r="A38" s="31">
        <v>126.0</v>
      </c>
      <c r="B38" s="32" t="s">
        <v>50033</v>
      </c>
      <c r="C38" s="31">
        <v>100.0</v>
      </c>
      <c r="D38" s="32" t="s">
        <v>50034</v>
      </c>
      <c r="E38" s="32" t="s">
        <v>50035</v>
      </c>
      <c r="F38" s="31">
        <v>253.0</v>
      </c>
      <c r="G38" s="31">
        <v>1.00262535E8</v>
      </c>
    </row>
    <row r="39" ht="12.75" customHeight="1">
      <c r="A39" s="27">
        <v>126.0</v>
      </c>
      <c r="B39" s="28" t="s">
        <v>50036</v>
      </c>
      <c r="C39" s="27">
        <v>100.0</v>
      </c>
      <c r="D39" s="28" t="s">
        <v>50037</v>
      </c>
      <c r="E39" s="28" t="s">
        <v>50038</v>
      </c>
      <c r="F39" s="27">
        <v>298.0</v>
      </c>
      <c r="G39" s="27">
        <v>1.0026298E8</v>
      </c>
    </row>
    <row r="40" ht="12.75" customHeight="1">
      <c r="A40" s="31">
        <v>126.0</v>
      </c>
      <c r="B40" s="32" t="s">
        <v>50039</v>
      </c>
      <c r="C40" s="31">
        <v>100.0</v>
      </c>
      <c r="D40" s="32" t="s">
        <v>50040</v>
      </c>
      <c r="E40" s="32" t="s">
        <v>50041</v>
      </c>
      <c r="F40" s="31">
        <v>346.0</v>
      </c>
      <c r="G40" s="31">
        <v>1.00263468E8</v>
      </c>
    </row>
    <row r="41" ht="12.75" customHeight="1">
      <c r="A41" s="27">
        <v>126.0</v>
      </c>
      <c r="B41" s="28" t="s">
        <v>50042</v>
      </c>
      <c r="C41" s="27">
        <v>100.0</v>
      </c>
      <c r="D41" s="28" t="s">
        <v>50043</v>
      </c>
      <c r="E41" s="28" t="s">
        <v>50044</v>
      </c>
      <c r="F41" s="27">
        <v>361.0</v>
      </c>
      <c r="G41" s="27">
        <v>1.00263613E8</v>
      </c>
    </row>
    <row r="42" ht="12.75" customHeight="1">
      <c r="A42" s="31">
        <v>126.0</v>
      </c>
      <c r="B42" s="32" t="s">
        <v>50045</v>
      </c>
      <c r="C42" s="31">
        <v>100.0</v>
      </c>
      <c r="D42" s="32" t="s">
        <v>50046</v>
      </c>
      <c r="E42" s="32" t="s">
        <v>50047</v>
      </c>
      <c r="F42" s="31">
        <v>397.0</v>
      </c>
      <c r="G42" s="31">
        <v>1.00263976E8</v>
      </c>
    </row>
    <row r="43" ht="12.75" customHeight="1">
      <c r="A43" s="27">
        <v>126.0</v>
      </c>
      <c r="B43" s="28" t="s">
        <v>50048</v>
      </c>
      <c r="C43" s="27">
        <v>100.0</v>
      </c>
      <c r="D43" s="28" t="s">
        <v>50049</v>
      </c>
      <c r="E43" s="28" t="s">
        <v>50050</v>
      </c>
      <c r="F43" s="27">
        <v>402.0</v>
      </c>
      <c r="G43" s="27">
        <v>1.00264025E8</v>
      </c>
    </row>
    <row r="44" ht="12.75" customHeight="1">
      <c r="A44" s="31">
        <v>126.0</v>
      </c>
      <c r="B44" s="32" t="s">
        <v>50051</v>
      </c>
      <c r="C44" s="31">
        <v>100.0</v>
      </c>
      <c r="D44" s="32" t="s">
        <v>50052</v>
      </c>
      <c r="E44" s="32" t="s">
        <v>50053</v>
      </c>
      <c r="F44" s="31">
        <v>403.0</v>
      </c>
      <c r="G44" s="31">
        <v>1.00264038E8</v>
      </c>
    </row>
    <row r="45" ht="12.75" customHeight="1">
      <c r="A45" s="27">
        <v>126.0</v>
      </c>
      <c r="B45" s="28" t="s">
        <v>50054</v>
      </c>
      <c r="C45" s="27">
        <v>100.0</v>
      </c>
      <c r="D45" s="28" t="s">
        <v>50055</v>
      </c>
      <c r="E45" s="28" t="s">
        <v>50056</v>
      </c>
      <c r="F45" s="27">
        <v>409.0</v>
      </c>
      <c r="G45" s="27">
        <v>1.00264096E8</v>
      </c>
    </row>
    <row r="46" ht="12.75" customHeight="1">
      <c r="A46" s="31">
        <v>126.0</v>
      </c>
      <c r="B46" s="32" t="s">
        <v>50057</v>
      </c>
      <c r="C46" s="31">
        <v>100.0</v>
      </c>
      <c r="D46" s="32" t="s">
        <v>50058</v>
      </c>
      <c r="E46" s="32" t="s">
        <v>50059</v>
      </c>
      <c r="F46" s="31">
        <v>463.0</v>
      </c>
      <c r="G46" s="31">
        <v>1.00264638E8</v>
      </c>
    </row>
    <row r="47" ht="12.75" customHeight="1">
      <c r="A47" s="27">
        <v>127.0</v>
      </c>
      <c r="B47" s="28" t="s">
        <v>50060</v>
      </c>
      <c r="C47" s="27">
        <v>100.0</v>
      </c>
      <c r="D47" s="28" t="s">
        <v>50061</v>
      </c>
      <c r="E47" s="28" t="s">
        <v>50062</v>
      </c>
      <c r="F47" s="29">
        <v>0.0</v>
      </c>
      <c r="G47" s="27">
        <v>1.00270006E8</v>
      </c>
    </row>
    <row r="48" ht="12.75" customHeight="1">
      <c r="A48" s="31">
        <v>127.0</v>
      </c>
      <c r="B48" s="32" t="s">
        <v>50063</v>
      </c>
      <c r="C48" s="31">
        <v>100.0</v>
      </c>
      <c r="D48" s="32" t="s">
        <v>50064</v>
      </c>
      <c r="E48" s="32" t="s">
        <v>50065</v>
      </c>
      <c r="F48" s="33">
        <v>41.0</v>
      </c>
      <c r="G48" s="31">
        <v>1.00270419E8</v>
      </c>
    </row>
    <row r="49" ht="12.75" customHeight="1">
      <c r="A49" s="27">
        <v>127.0</v>
      </c>
      <c r="B49" s="28" t="s">
        <v>50066</v>
      </c>
      <c r="C49" s="27">
        <v>100.0</v>
      </c>
      <c r="D49" s="28" t="s">
        <v>50067</v>
      </c>
      <c r="E49" s="28" t="s">
        <v>50068</v>
      </c>
      <c r="F49" s="27">
        <v>142.0</v>
      </c>
      <c r="G49" s="27">
        <v>1.00271421E8</v>
      </c>
    </row>
    <row r="50" ht="12.75" customHeight="1">
      <c r="A50" s="31">
        <v>127.0</v>
      </c>
      <c r="B50" s="32" t="s">
        <v>50069</v>
      </c>
      <c r="C50" s="31">
        <v>100.0</v>
      </c>
      <c r="D50" s="32" t="s">
        <v>50070</v>
      </c>
      <c r="E50" s="32" t="s">
        <v>50071</v>
      </c>
      <c r="F50" s="31">
        <v>268.0</v>
      </c>
      <c r="G50" s="31">
        <v>1.00272688E8</v>
      </c>
    </row>
    <row r="51" ht="12.75" customHeight="1">
      <c r="A51" s="27">
        <v>127.0</v>
      </c>
      <c r="B51" s="28" t="s">
        <v>50072</v>
      </c>
      <c r="C51" s="27">
        <v>100.0</v>
      </c>
      <c r="D51" s="28" t="s">
        <v>50073</v>
      </c>
      <c r="E51" s="28" t="s">
        <v>50074</v>
      </c>
      <c r="F51" s="27">
        <v>269.0</v>
      </c>
      <c r="G51" s="27">
        <v>1.00272691E8</v>
      </c>
    </row>
    <row r="52" ht="12.75" customHeight="1">
      <c r="A52" s="31">
        <v>127.0</v>
      </c>
      <c r="B52" s="32" t="s">
        <v>50075</v>
      </c>
      <c r="C52" s="31">
        <v>100.0</v>
      </c>
      <c r="D52" s="32" t="s">
        <v>50076</v>
      </c>
      <c r="E52" s="32" t="s">
        <v>50077</v>
      </c>
      <c r="F52" s="31">
        <v>280.0</v>
      </c>
      <c r="G52" s="31">
        <v>1.00272804E8</v>
      </c>
    </row>
    <row r="53" ht="12.75" customHeight="1">
      <c r="A53" s="27">
        <v>127.0</v>
      </c>
      <c r="B53" s="28" t="s">
        <v>50078</v>
      </c>
      <c r="C53" s="27">
        <v>100.0</v>
      </c>
      <c r="D53" s="28" t="s">
        <v>50079</v>
      </c>
      <c r="E53" s="28" t="s">
        <v>50080</v>
      </c>
      <c r="F53" s="27">
        <v>298.0</v>
      </c>
      <c r="G53" s="27">
        <v>1.00272983E8</v>
      </c>
    </row>
    <row r="54" ht="12.75" customHeight="1">
      <c r="A54" s="31">
        <v>127.0</v>
      </c>
      <c r="B54" s="32" t="s">
        <v>50081</v>
      </c>
      <c r="C54" s="31">
        <v>100.0</v>
      </c>
      <c r="D54" s="32" t="s">
        <v>50082</v>
      </c>
      <c r="E54" s="32" t="s">
        <v>50083</v>
      </c>
      <c r="F54" s="31">
        <v>365.0</v>
      </c>
      <c r="G54" s="31">
        <v>1.00273658E8</v>
      </c>
    </row>
    <row r="55" ht="12.75" customHeight="1">
      <c r="A55" s="27">
        <v>127.0</v>
      </c>
      <c r="B55" s="28" t="s">
        <v>50084</v>
      </c>
      <c r="C55" s="27">
        <v>100.0</v>
      </c>
      <c r="D55" s="28" t="s">
        <v>50085</v>
      </c>
      <c r="E55" s="28" t="s">
        <v>50086</v>
      </c>
      <c r="F55" s="27">
        <v>394.0</v>
      </c>
      <c r="G55" s="27">
        <v>1.0027394E8</v>
      </c>
    </row>
    <row r="56" ht="12.75" customHeight="1">
      <c r="A56" s="31">
        <v>127.0</v>
      </c>
      <c r="B56" s="32" t="s">
        <v>50087</v>
      </c>
      <c r="C56" s="31">
        <v>100.0</v>
      </c>
      <c r="D56" s="32" t="s">
        <v>50088</v>
      </c>
      <c r="E56" s="32" t="s">
        <v>50089</v>
      </c>
      <c r="F56" s="31">
        <v>424.0</v>
      </c>
      <c r="G56" s="31">
        <v>1.00274244E8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50090</v>
      </c>
      <c r="C1" s="27">
        <v>100.0</v>
      </c>
      <c r="D1" s="28" t="s">
        <v>50091</v>
      </c>
      <c r="E1" s="28" t="s">
        <v>50092</v>
      </c>
      <c r="F1" s="27">
        <v>472.0</v>
      </c>
      <c r="G1" s="27">
        <v>1.00274723E8</v>
      </c>
    </row>
    <row r="2" ht="12.75" customHeight="1">
      <c r="A2" s="31">
        <v>127.0</v>
      </c>
      <c r="B2" s="32" t="s">
        <v>50093</v>
      </c>
      <c r="C2" s="31">
        <v>100.0</v>
      </c>
      <c r="D2" s="32" t="s">
        <v>50094</v>
      </c>
      <c r="E2" s="32" t="s">
        <v>50095</v>
      </c>
      <c r="F2" s="31">
        <v>502.0</v>
      </c>
      <c r="G2" s="31">
        <v>1.00275027E8</v>
      </c>
    </row>
    <row r="3" ht="12.75" customHeight="1">
      <c r="A3" s="27">
        <v>127.0</v>
      </c>
      <c r="B3" s="28" t="s">
        <v>50096</v>
      </c>
      <c r="C3" s="27">
        <v>100.0</v>
      </c>
      <c r="D3" s="28" t="s">
        <v>50097</v>
      </c>
      <c r="E3" s="28" t="s">
        <v>50098</v>
      </c>
      <c r="F3" s="27">
        <v>520.0</v>
      </c>
      <c r="G3" s="27">
        <v>1.00275201E8</v>
      </c>
    </row>
    <row r="4" ht="12.75" customHeight="1">
      <c r="A4" s="31">
        <v>127.0</v>
      </c>
      <c r="B4" s="32" t="s">
        <v>50099</v>
      </c>
      <c r="C4" s="31">
        <v>100.0</v>
      </c>
      <c r="D4" s="32" t="s">
        <v>50100</v>
      </c>
      <c r="E4" s="32" t="s">
        <v>50101</v>
      </c>
      <c r="F4" s="31">
        <v>559.0</v>
      </c>
      <c r="G4" s="31">
        <v>1.00275593E8</v>
      </c>
    </row>
    <row r="5" ht="12.75" customHeight="1">
      <c r="A5" s="27">
        <v>127.0</v>
      </c>
      <c r="B5" s="28" t="s">
        <v>50102</v>
      </c>
      <c r="C5" s="27">
        <v>100.0</v>
      </c>
      <c r="D5" s="28" t="s">
        <v>50103</v>
      </c>
      <c r="E5" s="28" t="s">
        <v>50104</v>
      </c>
      <c r="F5" s="27">
        <v>601.0</v>
      </c>
      <c r="G5" s="27">
        <v>1.00276013E8</v>
      </c>
    </row>
    <row r="6" ht="12.75" customHeight="1">
      <c r="A6" s="31">
        <v>728.0</v>
      </c>
      <c r="B6" s="32" t="s">
        <v>50105</v>
      </c>
      <c r="C6" s="31">
        <v>100.0</v>
      </c>
      <c r="D6" s="32" t="s">
        <v>50106</v>
      </c>
      <c r="E6" s="32" t="s">
        <v>50107</v>
      </c>
      <c r="F6" s="33">
        <v>67.0</v>
      </c>
      <c r="G6" s="31">
        <v>1.0028067E8</v>
      </c>
    </row>
    <row r="7" ht="12.75" customHeight="1">
      <c r="A7" s="27">
        <v>329.0</v>
      </c>
      <c r="B7" s="28" t="s">
        <v>50108</v>
      </c>
      <c r="C7" s="27">
        <v>100.0</v>
      </c>
      <c r="D7" s="28" t="s">
        <v>50109</v>
      </c>
      <c r="E7" s="28" t="s">
        <v>50110</v>
      </c>
      <c r="F7" s="29">
        <v>52.0</v>
      </c>
      <c r="G7" s="27">
        <v>1.00290523E8</v>
      </c>
    </row>
    <row r="8" ht="12.75" customHeight="1">
      <c r="A8" s="31">
        <v>230.0</v>
      </c>
      <c r="B8" s="32" t="s">
        <v>50111</v>
      </c>
      <c r="C8" s="31">
        <v>100.0</v>
      </c>
      <c r="D8" s="32" t="s">
        <v>50112</v>
      </c>
      <c r="E8" s="32" t="s">
        <v>50113</v>
      </c>
      <c r="F8" s="33">
        <v>31.0</v>
      </c>
      <c r="G8" s="31">
        <v>1.00300318E8</v>
      </c>
    </row>
    <row r="9" ht="12.75" customHeight="1">
      <c r="A9" s="27">
        <v>230.0</v>
      </c>
      <c r="B9" s="28" t="s">
        <v>50114</v>
      </c>
      <c r="C9" s="27">
        <v>100.0</v>
      </c>
      <c r="D9" s="28" t="s">
        <v>50115</v>
      </c>
      <c r="E9" s="28" t="s">
        <v>50116</v>
      </c>
      <c r="F9" s="29">
        <v>52.0</v>
      </c>
      <c r="G9" s="27">
        <v>1.00300521E8</v>
      </c>
    </row>
    <row r="10" ht="12.75" customHeight="1">
      <c r="A10" s="31">
        <v>133.0</v>
      </c>
      <c r="B10" s="32" t="s">
        <v>50117</v>
      </c>
      <c r="C10" s="31">
        <v>100.0</v>
      </c>
      <c r="D10" s="32" t="s">
        <v>50118</v>
      </c>
      <c r="E10" s="32" t="s">
        <v>50119</v>
      </c>
      <c r="F10" s="33">
        <v>12.0</v>
      </c>
      <c r="G10" s="31">
        <v>1.0033012E8</v>
      </c>
    </row>
    <row r="11" ht="12.75" customHeight="1">
      <c r="A11" s="27">
        <v>133.0</v>
      </c>
      <c r="B11" s="28" t="s">
        <v>50120</v>
      </c>
      <c r="C11" s="27">
        <v>100.0</v>
      </c>
      <c r="D11" s="28" t="s">
        <v>50121</v>
      </c>
      <c r="E11" s="28" t="s">
        <v>50122</v>
      </c>
      <c r="F11" s="29">
        <v>22.0</v>
      </c>
      <c r="G11" s="27">
        <v>1.00330225E8</v>
      </c>
    </row>
    <row r="12" ht="12.75" customHeight="1">
      <c r="A12" s="31">
        <v>133.0</v>
      </c>
      <c r="B12" s="32" t="s">
        <v>50123</v>
      </c>
      <c r="C12" s="31">
        <v>100.0</v>
      </c>
      <c r="D12" s="32" t="s">
        <v>50124</v>
      </c>
      <c r="E12" s="32" t="s">
        <v>50125</v>
      </c>
      <c r="F12" s="33">
        <v>55.0</v>
      </c>
      <c r="G12" s="31">
        <v>1.00330559E8</v>
      </c>
    </row>
    <row r="13" ht="12.75" customHeight="1">
      <c r="A13" s="27">
        <v>133.0</v>
      </c>
      <c r="B13" s="28" t="s">
        <v>50126</v>
      </c>
      <c r="C13" s="27">
        <v>100.0</v>
      </c>
      <c r="D13" s="28" t="s">
        <v>50127</v>
      </c>
      <c r="E13" s="28" t="s">
        <v>50128</v>
      </c>
      <c r="F13" s="29">
        <v>97.0</v>
      </c>
      <c r="G13" s="27">
        <v>1.00330975E8</v>
      </c>
    </row>
    <row r="14" ht="12.75" customHeight="1">
      <c r="A14" s="31">
        <v>435.0</v>
      </c>
      <c r="B14" s="32" t="s">
        <v>50129</v>
      </c>
      <c r="C14" s="31">
        <v>100.0</v>
      </c>
      <c r="D14" s="32" t="s">
        <v>50130</v>
      </c>
      <c r="E14" s="32" t="s">
        <v>50131</v>
      </c>
      <c r="F14" s="31">
        <v>109.0</v>
      </c>
      <c r="G14" s="31">
        <v>1.00351091E8</v>
      </c>
    </row>
    <row r="15" ht="12.75" customHeight="1">
      <c r="A15" s="27">
        <v>836.0</v>
      </c>
      <c r="B15" s="28" t="s">
        <v>50132</v>
      </c>
      <c r="C15" s="27">
        <v>100.0</v>
      </c>
      <c r="D15" s="28" t="s">
        <v>50133</v>
      </c>
      <c r="E15" s="28" t="s">
        <v>50134</v>
      </c>
      <c r="F15" s="27">
        <v>109.0</v>
      </c>
      <c r="G15" s="27">
        <v>1.00361094E8</v>
      </c>
    </row>
    <row r="16" ht="12.75" customHeight="1">
      <c r="A16" s="31">
        <v>441.0</v>
      </c>
      <c r="B16" s="32" t="s">
        <v>50135</v>
      </c>
      <c r="C16" s="31">
        <v>100.0</v>
      </c>
      <c r="D16" s="32" t="s">
        <v>50136</v>
      </c>
      <c r="E16" s="32" t="s">
        <v>50137</v>
      </c>
      <c r="F16" s="33">
        <v>94.0</v>
      </c>
      <c r="G16" s="31">
        <v>1.00410945E8</v>
      </c>
    </row>
    <row r="17" ht="12.75" customHeight="1">
      <c r="A17" s="27">
        <v>342.0</v>
      </c>
      <c r="B17" s="28" t="s">
        <v>50138</v>
      </c>
      <c r="C17" s="27">
        <v>100.0</v>
      </c>
      <c r="D17" s="28" t="s">
        <v>50139</v>
      </c>
      <c r="E17" s="28" t="s">
        <v>50140</v>
      </c>
      <c r="F17" s="29">
        <v>31.0</v>
      </c>
      <c r="G17" s="27">
        <v>1.00420319E8</v>
      </c>
    </row>
    <row r="18" ht="12.75" customHeight="1">
      <c r="A18" s="31">
        <v>447.0</v>
      </c>
      <c r="B18" s="32" t="s">
        <v>50141</v>
      </c>
      <c r="C18" s="31">
        <v>100.0</v>
      </c>
      <c r="D18" s="32" t="s">
        <v>50142</v>
      </c>
      <c r="E18" s="32" t="s">
        <v>50143</v>
      </c>
      <c r="F18" s="31">
        <v>154.0</v>
      </c>
      <c r="G18" s="31">
        <v>1.00471542E8</v>
      </c>
    </row>
    <row r="19" ht="12.75" customHeight="1">
      <c r="A19" s="27">
        <v>148.0</v>
      </c>
      <c r="B19" s="28" t="s">
        <v>50144</v>
      </c>
      <c r="C19" s="27">
        <v>100.0</v>
      </c>
      <c r="D19" s="28" t="s">
        <v>50145</v>
      </c>
      <c r="E19" s="28" t="s">
        <v>50146</v>
      </c>
      <c r="F19" s="29">
        <v>67.0</v>
      </c>
      <c r="G19" s="27">
        <v>1.0048067E8</v>
      </c>
    </row>
    <row r="20" ht="12.75" customHeight="1">
      <c r="A20" s="31">
        <v>148.0</v>
      </c>
      <c r="B20" s="32" t="s">
        <v>50147</v>
      </c>
      <c r="C20" s="31">
        <v>100.0</v>
      </c>
      <c r="D20" s="32" t="s">
        <v>50148</v>
      </c>
      <c r="E20" s="32" t="s">
        <v>50149</v>
      </c>
      <c r="F20" s="33">
        <v>94.0</v>
      </c>
      <c r="G20" s="31">
        <v>1.00480946E8</v>
      </c>
    </row>
    <row r="21" ht="12.75" customHeight="1">
      <c r="A21" s="27">
        <v>148.0</v>
      </c>
      <c r="B21" s="28" t="s">
        <v>50150</v>
      </c>
      <c r="C21" s="27">
        <v>100.0</v>
      </c>
      <c r="D21" s="28" t="s">
        <v>50151</v>
      </c>
      <c r="E21" s="28" t="s">
        <v>50152</v>
      </c>
      <c r="F21" s="27">
        <v>106.0</v>
      </c>
      <c r="G21" s="27">
        <v>1.00481066E8</v>
      </c>
    </row>
    <row r="22" ht="12.75" customHeight="1">
      <c r="A22" s="31">
        <v>450.0</v>
      </c>
      <c r="B22" s="32" t="s">
        <v>50153</v>
      </c>
      <c r="C22" s="31">
        <v>100.0</v>
      </c>
      <c r="D22" s="32" t="s">
        <v>50154</v>
      </c>
      <c r="E22" s="32" t="s">
        <v>50155</v>
      </c>
      <c r="F22" s="33">
        <v>94.0</v>
      </c>
      <c r="G22" s="31">
        <v>1.00500947E8</v>
      </c>
    </row>
    <row r="23" ht="12.75" customHeight="1">
      <c r="A23" s="27">
        <v>354.0</v>
      </c>
      <c r="B23" s="28" t="s">
        <v>50156</v>
      </c>
      <c r="C23" s="27">
        <v>100.0</v>
      </c>
      <c r="D23" s="28" t="s">
        <v>50157</v>
      </c>
      <c r="E23" s="28" t="s">
        <v>50158</v>
      </c>
      <c r="F23" s="29">
        <v>76.0</v>
      </c>
      <c r="G23" s="27">
        <v>1.00540765E8</v>
      </c>
    </row>
    <row r="24" ht="12.75" customHeight="1">
      <c r="A24" s="31">
        <v>455.0</v>
      </c>
      <c r="B24" s="32" t="s">
        <v>50159</v>
      </c>
      <c r="C24" s="31">
        <v>100.0</v>
      </c>
      <c r="D24" s="32" t="s">
        <v>50160</v>
      </c>
      <c r="E24" s="32" t="s">
        <v>50161</v>
      </c>
      <c r="F24" s="33">
        <v>55.0</v>
      </c>
      <c r="G24" s="31">
        <v>1.00550555E8</v>
      </c>
    </row>
    <row r="25" ht="12.75" customHeight="1">
      <c r="A25" s="27">
        <v>156.0</v>
      </c>
      <c r="B25" s="28" t="s">
        <v>50162</v>
      </c>
      <c r="C25" s="27">
        <v>100.0</v>
      </c>
      <c r="D25" s="28" t="s">
        <v>50163</v>
      </c>
      <c r="E25" s="28" t="s">
        <v>50164</v>
      </c>
      <c r="F25" s="29">
        <v>10.0</v>
      </c>
      <c r="G25" s="27">
        <v>1.00560103E8</v>
      </c>
    </row>
    <row r="26" ht="12.75" customHeight="1">
      <c r="A26" s="31">
        <v>156.0</v>
      </c>
      <c r="B26" s="32" t="s">
        <v>50165</v>
      </c>
      <c r="C26" s="31">
        <v>100.0</v>
      </c>
      <c r="D26" s="32" t="s">
        <v>50166</v>
      </c>
      <c r="E26" s="32" t="s">
        <v>50167</v>
      </c>
      <c r="F26" s="33">
        <v>61.0</v>
      </c>
      <c r="G26" s="31">
        <v>1.00560611E8</v>
      </c>
    </row>
    <row r="27" ht="12.75" customHeight="1">
      <c r="A27" s="27">
        <v>858.0</v>
      </c>
      <c r="B27" s="28" t="s">
        <v>50168</v>
      </c>
      <c r="C27" s="27">
        <v>100.0</v>
      </c>
      <c r="D27" s="28" t="s">
        <v>50169</v>
      </c>
      <c r="E27" s="28" t="s">
        <v>50170</v>
      </c>
      <c r="F27" s="27">
        <v>118.0</v>
      </c>
      <c r="G27" s="27">
        <v>1.00581182E8</v>
      </c>
    </row>
    <row r="28" ht="12.75" customHeight="1">
      <c r="A28" s="31">
        <v>159.0</v>
      </c>
      <c r="B28" s="32" t="s">
        <v>50171</v>
      </c>
      <c r="C28" s="31">
        <v>100.0</v>
      </c>
      <c r="D28" s="32" t="s">
        <v>50172</v>
      </c>
      <c r="E28" s="32" t="s">
        <v>50173</v>
      </c>
      <c r="F28" s="31">
        <v>100.0</v>
      </c>
      <c r="G28" s="31">
        <v>1.00591006E8</v>
      </c>
    </row>
    <row r="29" ht="12.75" customHeight="1">
      <c r="A29" s="27">
        <v>161.0</v>
      </c>
      <c r="B29" s="28" t="s">
        <v>50174</v>
      </c>
      <c r="C29" s="27">
        <v>100.0</v>
      </c>
      <c r="D29" s="28" t="s">
        <v>50175</v>
      </c>
      <c r="E29" s="28" t="s">
        <v>50176</v>
      </c>
      <c r="F29" s="27">
        <v>175.0</v>
      </c>
      <c r="G29" s="27">
        <v>1.00611757E8</v>
      </c>
    </row>
    <row r="30" ht="12.75" customHeight="1">
      <c r="A30" s="31">
        <v>161.0</v>
      </c>
      <c r="B30" s="32" t="s">
        <v>50177</v>
      </c>
      <c r="C30" s="31">
        <v>100.0</v>
      </c>
      <c r="D30" s="32" t="s">
        <v>50178</v>
      </c>
      <c r="E30" s="32" t="s">
        <v>50179</v>
      </c>
      <c r="F30" s="31">
        <v>209.0</v>
      </c>
      <c r="G30" s="31">
        <v>1.00612093E8</v>
      </c>
    </row>
    <row r="31" ht="12.75" customHeight="1">
      <c r="A31" s="27">
        <v>564.0</v>
      </c>
      <c r="B31" s="28" t="s">
        <v>50180</v>
      </c>
      <c r="C31" s="27">
        <v>100.0</v>
      </c>
      <c r="D31" s="28" t="s">
        <v>50181</v>
      </c>
      <c r="E31" s="28" t="s">
        <v>50182</v>
      </c>
      <c r="F31" s="27">
        <v>118.0</v>
      </c>
      <c r="G31" s="27">
        <v>1.00641185E8</v>
      </c>
    </row>
    <row r="32" ht="12.75" customHeight="1">
      <c r="A32" s="31">
        <v>167.0</v>
      </c>
      <c r="B32" s="32" t="s">
        <v>50183</v>
      </c>
      <c r="C32" s="31">
        <v>100.0</v>
      </c>
      <c r="D32" s="32" t="s">
        <v>50184</v>
      </c>
      <c r="E32" s="32" t="s">
        <v>50185</v>
      </c>
      <c r="F32" s="31">
        <v>118.0</v>
      </c>
      <c r="G32" s="31">
        <v>1.00671184E8</v>
      </c>
    </row>
    <row r="33" ht="12.75" customHeight="1">
      <c r="A33" s="27">
        <v>167.0</v>
      </c>
      <c r="B33" s="28" t="s">
        <v>50186</v>
      </c>
      <c r="C33" s="27">
        <v>100.0</v>
      </c>
      <c r="D33" s="28" t="s">
        <v>50187</v>
      </c>
      <c r="E33" s="28" t="s">
        <v>50188</v>
      </c>
      <c r="F33" s="27">
        <v>138.0</v>
      </c>
      <c r="G33" s="27">
        <v>1.00671384E8</v>
      </c>
    </row>
    <row r="34" ht="12.75" customHeight="1">
      <c r="A34" s="31">
        <v>167.0</v>
      </c>
      <c r="B34" s="32" t="s">
        <v>50189</v>
      </c>
      <c r="C34" s="31">
        <v>100.0</v>
      </c>
      <c r="D34" s="32" t="s">
        <v>50190</v>
      </c>
      <c r="E34" s="32" t="s">
        <v>50191</v>
      </c>
      <c r="F34" s="31">
        <v>157.0</v>
      </c>
      <c r="G34" s="31">
        <v>1.00671571E8</v>
      </c>
    </row>
    <row r="35" ht="12.75" customHeight="1">
      <c r="A35" s="27">
        <v>167.0</v>
      </c>
      <c r="B35" s="28" t="s">
        <v>50192</v>
      </c>
      <c r="C35" s="27">
        <v>100.0</v>
      </c>
      <c r="D35" s="28" t="s">
        <v>50193</v>
      </c>
      <c r="E35" s="28" t="s">
        <v>50194</v>
      </c>
      <c r="F35" s="27">
        <v>170.0</v>
      </c>
      <c r="G35" s="27">
        <v>1.006717E8</v>
      </c>
    </row>
    <row r="36" ht="12.75" customHeight="1">
      <c r="A36" s="31">
        <v>168.0</v>
      </c>
      <c r="B36" s="32" t="s">
        <v>50195</v>
      </c>
      <c r="C36" s="31">
        <v>100.0</v>
      </c>
      <c r="D36" s="32" t="s">
        <v>50196</v>
      </c>
      <c r="E36" s="32" t="s">
        <v>50197</v>
      </c>
      <c r="F36" s="33">
        <v>17.0</v>
      </c>
      <c r="G36" s="31">
        <v>1.00680175E8</v>
      </c>
    </row>
    <row r="37" ht="12.75" customHeight="1">
      <c r="A37" s="27">
        <v>168.0</v>
      </c>
      <c r="B37" s="28" t="s">
        <v>50198</v>
      </c>
      <c r="C37" s="27">
        <v>100.0</v>
      </c>
      <c r="D37" s="28" t="s">
        <v>50199</v>
      </c>
      <c r="E37" s="28" t="s">
        <v>50200</v>
      </c>
      <c r="F37" s="29">
        <v>67.0</v>
      </c>
      <c r="G37" s="27">
        <v>1.0068067E8</v>
      </c>
    </row>
    <row r="38" ht="12.75" customHeight="1">
      <c r="A38" s="31">
        <v>569.0</v>
      </c>
      <c r="B38" s="32" t="s">
        <v>50201</v>
      </c>
      <c r="C38" s="31">
        <v>100.0</v>
      </c>
      <c r="D38" s="32" t="s">
        <v>50202</v>
      </c>
      <c r="E38" s="32" t="s">
        <v>50203</v>
      </c>
      <c r="F38" s="33">
        <v>15.0</v>
      </c>
      <c r="G38" s="31">
        <v>1.00690152E8</v>
      </c>
    </row>
    <row r="39" ht="12.75" customHeight="1">
      <c r="A39" s="27">
        <v>569.0</v>
      </c>
      <c r="B39" s="28" t="s">
        <v>50204</v>
      </c>
      <c r="C39" s="27">
        <v>100.0</v>
      </c>
      <c r="D39" s="28" t="s">
        <v>50205</v>
      </c>
      <c r="E39" s="28" t="s">
        <v>50206</v>
      </c>
      <c r="F39" s="29">
        <v>91.0</v>
      </c>
      <c r="G39" s="27">
        <v>1.0069091E8</v>
      </c>
    </row>
    <row r="40" ht="12.75" customHeight="1">
      <c r="A40" s="31">
        <v>570.0</v>
      </c>
      <c r="B40" s="32" t="s">
        <v>50207</v>
      </c>
      <c r="C40" s="31">
        <v>100.0</v>
      </c>
      <c r="D40" s="32" t="s">
        <v>50208</v>
      </c>
      <c r="E40" s="32" t="s">
        <v>50209</v>
      </c>
      <c r="F40" s="33">
        <v>25.0</v>
      </c>
      <c r="G40" s="31">
        <v>1.00700255E8</v>
      </c>
    </row>
    <row r="41" ht="12.75" customHeight="1">
      <c r="A41" s="27">
        <v>172.0</v>
      </c>
      <c r="B41" s="28" t="s">
        <v>50210</v>
      </c>
      <c r="C41" s="27">
        <v>100.0</v>
      </c>
      <c r="D41" s="28" t="s">
        <v>50211</v>
      </c>
      <c r="E41" s="28" t="s">
        <v>50212</v>
      </c>
      <c r="F41" s="29">
        <v>73.0</v>
      </c>
      <c r="G41" s="27">
        <v>1.0072073E8</v>
      </c>
    </row>
    <row r="42" ht="12.75" customHeight="1">
      <c r="A42" s="31">
        <v>275.0</v>
      </c>
      <c r="B42" s="32" t="s">
        <v>50213</v>
      </c>
      <c r="C42" s="31">
        <v>100.0</v>
      </c>
      <c r="D42" s="32" t="s">
        <v>50214</v>
      </c>
      <c r="E42" s="32" t="s">
        <v>50215</v>
      </c>
      <c r="F42" s="33">
        <v>18.0</v>
      </c>
      <c r="G42" s="31">
        <v>1.00750184E8</v>
      </c>
    </row>
    <row r="43" ht="12.75" customHeight="1">
      <c r="A43" s="27">
        <v>275.0</v>
      </c>
      <c r="B43" s="28" t="s">
        <v>50216</v>
      </c>
      <c r="C43" s="27">
        <v>100.0</v>
      </c>
      <c r="D43" s="28" t="s">
        <v>50217</v>
      </c>
      <c r="E43" s="28" t="s">
        <v>50218</v>
      </c>
      <c r="F43" s="29">
        <v>25.0</v>
      </c>
      <c r="G43" s="27">
        <v>1.0075025E8</v>
      </c>
    </row>
    <row r="44" ht="12.75" customHeight="1">
      <c r="A44" s="31">
        <v>275.0</v>
      </c>
      <c r="B44" s="32" t="s">
        <v>50219</v>
      </c>
      <c r="C44" s="31">
        <v>100.0</v>
      </c>
      <c r="D44" s="32" t="s">
        <v>50220</v>
      </c>
      <c r="E44" s="32" t="s">
        <v>50221</v>
      </c>
      <c r="F44" s="33">
        <v>67.0</v>
      </c>
      <c r="G44" s="31">
        <v>1.00750676E8</v>
      </c>
    </row>
    <row r="45" ht="12.75" customHeight="1">
      <c r="A45" s="27">
        <v>275.0</v>
      </c>
      <c r="B45" s="28" t="s">
        <v>50222</v>
      </c>
      <c r="C45" s="27">
        <v>100.0</v>
      </c>
      <c r="D45" s="28" t="s">
        <v>50223</v>
      </c>
      <c r="E45" s="28" t="s">
        <v>50224</v>
      </c>
      <c r="F45" s="27">
        <v>223.0</v>
      </c>
      <c r="G45" s="27">
        <v>1.00752232E8</v>
      </c>
    </row>
    <row r="46" ht="12.75" customHeight="1">
      <c r="A46" s="31">
        <v>576.0</v>
      </c>
      <c r="B46" s="32" t="s">
        <v>50225</v>
      </c>
      <c r="C46" s="31">
        <v>100.0</v>
      </c>
      <c r="D46" s="32" t="s">
        <v>50226</v>
      </c>
      <c r="E46" s="32" t="s">
        <v>50227</v>
      </c>
      <c r="F46" s="31">
        <v>178.0</v>
      </c>
      <c r="G46" s="31">
        <v>1.00761786E8</v>
      </c>
    </row>
    <row r="47" ht="12.75" customHeight="1">
      <c r="A47" s="27">
        <v>581.0</v>
      </c>
      <c r="B47" s="28" t="s">
        <v>50228</v>
      </c>
      <c r="C47" s="27">
        <v>100.0</v>
      </c>
      <c r="D47" s="28" t="s">
        <v>50229</v>
      </c>
      <c r="E47" s="28" t="s">
        <v>50230</v>
      </c>
      <c r="F47" s="27">
        <v>193.0</v>
      </c>
      <c r="G47" s="27">
        <v>1.00811931E8</v>
      </c>
    </row>
    <row r="48" ht="12.75" customHeight="1">
      <c r="A48" s="31">
        <v>785.0</v>
      </c>
      <c r="B48" s="32" t="s">
        <v>50231</v>
      </c>
      <c r="C48" s="31">
        <v>100.0</v>
      </c>
      <c r="D48" s="32" t="s">
        <v>50232</v>
      </c>
      <c r="E48" s="32" t="s">
        <v>50233</v>
      </c>
      <c r="F48" s="31">
        <v>145.0</v>
      </c>
      <c r="G48" s="31">
        <v>1.00851454E8</v>
      </c>
    </row>
    <row r="49" ht="12.75" customHeight="1">
      <c r="A49" s="27">
        <v>386.0</v>
      </c>
      <c r="B49" s="28" t="s">
        <v>50234</v>
      </c>
      <c r="C49" s="27">
        <v>100.0</v>
      </c>
      <c r="D49" s="28" t="s">
        <v>50235</v>
      </c>
      <c r="E49" s="28" t="s">
        <v>50236</v>
      </c>
      <c r="F49" s="29">
        <v>58.0</v>
      </c>
      <c r="G49" s="27">
        <v>1.00860582E8</v>
      </c>
    </row>
    <row r="50" ht="12.75" customHeight="1">
      <c r="A50" s="31">
        <v>688.0</v>
      </c>
      <c r="B50" s="32" t="s">
        <v>50237</v>
      </c>
      <c r="C50" s="31">
        <v>100.0</v>
      </c>
      <c r="D50" s="32" t="s">
        <v>50238</v>
      </c>
      <c r="E50" s="32" t="s">
        <v>50239</v>
      </c>
      <c r="F50" s="33">
        <v>5.0</v>
      </c>
      <c r="G50" s="31">
        <v>1.00880054E8</v>
      </c>
    </row>
    <row r="51" ht="12.75" customHeight="1">
      <c r="A51" s="27">
        <v>891.0</v>
      </c>
      <c r="B51" s="28" t="s">
        <v>50240</v>
      </c>
      <c r="C51" s="27">
        <v>100.0</v>
      </c>
      <c r="D51" s="28" t="s">
        <v>50241</v>
      </c>
      <c r="E51" s="28" t="s">
        <v>50242</v>
      </c>
      <c r="F51" s="29">
        <v>5.0</v>
      </c>
      <c r="G51" s="27">
        <v>1.00910058E8</v>
      </c>
    </row>
    <row r="52" ht="12.75" customHeight="1">
      <c r="A52" s="31">
        <v>891.0</v>
      </c>
      <c r="B52" s="32" t="s">
        <v>50243</v>
      </c>
      <c r="C52" s="31">
        <v>100.0</v>
      </c>
      <c r="D52" s="32" t="s">
        <v>50244</v>
      </c>
      <c r="E52" s="32" t="s">
        <v>50245</v>
      </c>
      <c r="F52" s="33">
        <v>31.0</v>
      </c>
      <c r="G52" s="31">
        <v>1.00910311E8</v>
      </c>
    </row>
    <row r="53" ht="12.75" customHeight="1">
      <c r="A53" s="27">
        <v>891.0</v>
      </c>
      <c r="B53" s="28" t="s">
        <v>50246</v>
      </c>
      <c r="C53" s="27">
        <v>100.0</v>
      </c>
      <c r="D53" s="28" t="s">
        <v>50247</v>
      </c>
      <c r="E53" s="28" t="s">
        <v>50248</v>
      </c>
      <c r="F53" s="29">
        <v>43.0</v>
      </c>
      <c r="G53" s="27">
        <v>1.00910432E8</v>
      </c>
    </row>
    <row r="54" ht="12.75" customHeight="1">
      <c r="A54" s="31">
        <v>891.0</v>
      </c>
      <c r="B54" s="32" t="s">
        <v>50249</v>
      </c>
      <c r="C54" s="31">
        <v>100.0</v>
      </c>
      <c r="D54" s="32" t="s">
        <v>50250</v>
      </c>
      <c r="E54" s="32" t="s">
        <v>50251</v>
      </c>
      <c r="F54" s="31">
        <v>136.0</v>
      </c>
      <c r="G54" s="31">
        <v>1.00911365E8</v>
      </c>
    </row>
    <row r="55" ht="12.75" customHeight="1">
      <c r="A55" s="27">
        <v>891.0</v>
      </c>
      <c r="B55" s="28" t="s">
        <v>50252</v>
      </c>
      <c r="C55" s="27">
        <v>100.0</v>
      </c>
      <c r="D55" s="28" t="s">
        <v>50253</v>
      </c>
      <c r="E55" s="28" t="s">
        <v>50254</v>
      </c>
      <c r="F55" s="27">
        <v>154.0</v>
      </c>
      <c r="G55" s="27">
        <v>1.00911549E8</v>
      </c>
    </row>
    <row r="56" ht="12.75" customHeight="1">
      <c r="A56" s="31">
        <v>891.0</v>
      </c>
      <c r="B56" s="32" t="s">
        <v>50255</v>
      </c>
      <c r="C56" s="31">
        <v>100.0</v>
      </c>
      <c r="D56" s="32" t="s">
        <v>50256</v>
      </c>
      <c r="E56" s="32" t="s">
        <v>50257</v>
      </c>
      <c r="F56" s="31">
        <v>160.0</v>
      </c>
      <c r="G56" s="31">
        <v>1.00911602E8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891.0</v>
      </c>
      <c r="B1" s="28" t="s">
        <v>50258</v>
      </c>
      <c r="C1" s="27">
        <v>100.0</v>
      </c>
      <c r="D1" s="28" t="s">
        <v>50259</v>
      </c>
      <c r="E1" s="28" t="s">
        <v>50260</v>
      </c>
      <c r="F1" s="27">
        <v>355.0</v>
      </c>
      <c r="G1" s="27">
        <v>1.0091355E8</v>
      </c>
    </row>
    <row r="2" ht="12.75" customHeight="1">
      <c r="A2" s="31">
        <v>193.0</v>
      </c>
      <c r="B2" s="32" t="s">
        <v>50261</v>
      </c>
      <c r="C2" s="31">
        <v>100.0</v>
      </c>
      <c r="D2" s="32" t="s">
        <v>50262</v>
      </c>
      <c r="E2" s="32" t="s">
        <v>50263</v>
      </c>
      <c r="F2" s="31">
        <v>229.0</v>
      </c>
      <c r="G2" s="31">
        <v>1.00932294E8</v>
      </c>
    </row>
    <row r="3" ht="12.75" customHeight="1">
      <c r="A3" s="27">
        <v>401.0</v>
      </c>
      <c r="B3" s="28" t="s">
        <v>50264</v>
      </c>
      <c r="C3" s="27">
        <v>105.0</v>
      </c>
      <c r="D3" s="28" t="s">
        <v>50265</v>
      </c>
      <c r="E3" s="28" t="s">
        <v>50266</v>
      </c>
      <c r="F3" s="29">
        <v>7.0</v>
      </c>
      <c r="G3" s="27">
        <v>1.05010074E8</v>
      </c>
    </row>
    <row r="4" ht="12.75" customHeight="1">
      <c r="A4" s="31">
        <v>401.0</v>
      </c>
      <c r="B4" s="32" t="s">
        <v>50267</v>
      </c>
      <c r="C4" s="31">
        <v>105.0</v>
      </c>
      <c r="D4" s="32" t="s">
        <v>50268</v>
      </c>
      <c r="E4" s="32" t="s">
        <v>50269</v>
      </c>
      <c r="F4" s="33">
        <v>46.0</v>
      </c>
      <c r="G4" s="31">
        <v>1.05010461E8</v>
      </c>
    </row>
    <row r="5" ht="12.75" customHeight="1">
      <c r="A5" s="27">
        <v>401.0</v>
      </c>
      <c r="B5" s="28" t="s">
        <v>50270</v>
      </c>
      <c r="C5" s="27">
        <v>105.0</v>
      </c>
      <c r="D5" s="28" t="s">
        <v>50271</v>
      </c>
      <c r="E5" s="28" t="s">
        <v>50272</v>
      </c>
      <c r="F5" s="27">
        <v>103.0</v>
      </c>
      <c r="G5" s="27">
        <v>1.05011031E8</v>
      </c>
    </row>
    <row r="6" ht="12.75" customHeight="1">
      <c r="A6" s="31">
        <v>304.0</v>
      </c>
      <c r="B6" s="32" t="s">
        <v>50273</v>
      </c>
      <c r="C6" s="31">
        <v>105.0</v>
      </c>
      <c r="D6" s="32" t="s">
        <v>50274</v>
      </c>
      <c r="E6" s="32" t="s">
        <v>50275</v>
      </c>
      <c r="F6" s="33">
        <v>13.0</v>
      </c>
      <c r="G6" s="31">
        <v>1.05040136E8</v>
      </c>
    </row>
    <row r="7" ht="12.75" customHeight="1">
      <c r="A7" s="27">
        <v>306.0</v>
      </c>
      <c r="B7" s="28" t="s">
        <v>50276</v>
      </c>
      <c r="C7" s="27">
        <v>105.0</v>
      </c>
      <c r="D7" s="28" t="s">
        <v>50277</v>
      </c>
      <c r="E7" s="28" t="s">
        <v>50278</v>
      </c>
      <c r="F7" s="29">
        <v>28.0</v>
      </c>
      <c r="G7" s="27">
        <v>1.05060282E8</v>
      </c>
    </row>
    <row r="8" ht="12.75" customHeight="1">
      <c r="A8" s="31">
        <v>306.0</v>
      </c>
      <c r="B8" s="32" t="s">
        <v>50279</v>
      </c>
      <c r="C8" s="31">
        <v>105.0</v>
      </c>
      <c r="D8" s="32" t="s">
        <v>50280</v>
      </c>
      <c r="E8" s="32" t="s">
        <v>50281</v>
      </c>
      <c r="F8" s="31">
        <v>229.0</v>
      </c>
      <c r="G8" s="31">
        <v>1.05062293E8</v>
      </c>
    </row>
    <row r="9" ht="12.75" customHeight="1">
      <c r="A9" s="27">
        <v>309.0</v>
      </c>
      <c r="B9" s="28" t="s">
        <v>50282</v>
      </c>
      <c r="C9" s="27">
        <v>105.0</v>
      </c>
      <c r="D9" s="28" t="s">
        <v>50283</v>
      </c>
      <c r="E9" s="28" t="s">
        <v>50284</v>
      </c>
      <c r="F9" s="29">
        <v>10.0</v>
      </c>
      <c r="G9" s="27">
        <v>1.05090102E8</v>
      </c>
    </row>
    <row r="10" ht="12.75" customHeight="1">
      <c r="A10" s="31">
        <v>610.0</v>
      </c>
      <c r="B10" s="32" t="s">
        <v>50285</v>
      </c>
      <c r="C10" s="31">
        <v>105.0</v>
      </c>
      <c r="D10" s="32" t="s">
        <v>50286</v>
      </c>
      <c r="E10" s="32" t="s">
        <v>50287</v>
      </c>
      <c r="F10" s="33">
        <v>37.0</v>
      </c>
      <c r="G10" s="31">
        <v>1.05100371E8</v>
      </c>
    </row>
    <row r="11" ht="12.75" customHeight="1">
      <c r="A11" s="27">
        <v>112.0</v>
      </c>
      <c r="B11" s="28" t="s">
        <v>50288</v>
      </c>
      <c r="C11" s="27">
        <v>105.0</v>
      </c>
      <c r="D11" s="28" t="s">
        <v>50289</v>
      </c>
      <c r="E11" s="28" t="s">
        <v>50290</v>
      </c>
      <c r="F11" s="29">
        <v>12.0</v>
      </c>
      <c r="G11" s="27">
        <v>1.05120122E8</v>
      </c>
    </row>
    <row r="12" ht="12.75" customHeight="1">
      <c r="A12" s="31">
        <v>112.0</v>
      </c>
      <c r="B12" s="32" t="s">
        <v>50291</v>
      </c>
      <c r="C12" s="31">
        <v>105.0</v>
      </c>
      <c r="D12" s="32" t="s">
        <v>50292</v>
      </c>
      <c r="E12" s="32" t="s">
        <v>50293</v>
      </c>
      <c r="F12" s="33">
        <v>43.0</v>
      </c>
      <c r="G12" s="31">
        <v>1.0512043E8</v>
      </c>
    </row>
    <row r="13" ht="12.75" customHeight="1">
      <c r="A13" s="27">
        <v>113.0</v>
      </c>
      <c r="B13" s="28" t="s">
        <v>50294</v>
      </c>
      <c r="C13" s="27">
        <v>105.0</v>
      </c>
      <c r="D13" s="28" t="s">
        <v>50295</v>
      </c>
      <c r="E13" s="28" t="s">
        <v>50296</v>
      </c>
      <c r="F13" s="29">
        <v>31.0</v>
      </c>
      <c r="G13" s="27">
        <v>1.05130312E8</v>
      </c>
    </row>
    <row r="14" ht="12.75" customHeight="1">
      <c r="A14" s="31">
        <v>215.0</v>
      </c>
      <c r="B14" s="32" t="s">
        <v>50297</v>
      </c>
      <c r="C14" s="31">
        <v>105.0</v>
      </c>
      <c r="D14" s="32" t="s">
        <v>50298</v>
      </c>
      <c r="E14" s="32" t="s">
        <v>50299</v>
      </c>
      <c r="F14" s="33">
        <v>6.0</v>
      </c>
      <c r="G14" s="31">
        <v>1.05150068E8</v>
      </c>
    </row>
    <row r="15" ht="12.75" customHeight="1">
      <c r="A15" s="27">
        <v>215.0</v>
      </c>
      <c r="B15" s="28" t="s">
        <v>50300</v>
      </c>
      <c r="C15" s="27">
        <v>105.0</v>
      </c>
      <c r="D15" s="28" t="s">
        <v>50301</v>
      </c>
      <c r="E15" s="28" t="s">
        <v>50302</v>
      </c>
      <c r="F15" s="29">
        <v>13.0</v>
      </c>
      <c r="G15" s="27">
        <v>1.05150134E8</v>
      </c>
    </row>
    <row r="16" ht="12.75" customHeight="1">
      <c r="A16" s="31">
        <v>215.0</v>
      </c>
      <c r="B16" s="32" t="s">
        <v>50303</v>
      </c>
      <c r="C16" s="31">
        <v>105.0</v>
      </c>
      <c r="D16" s="32" t="s">
        <v>50304</v>
      </c>
      <c r="E16" s="32" t="s">
        <v>50305</v>
      </c>
      <c r="F16" s="33">
        <v>35.0</v>
      </c>
      <c r="G16" s="31">
        <v>1.0515035E8</v>
      </c>
    </row>
    <row r="17" ht="12.75" customHeight="1">
      <c r="A17" s="27">
        <v>215.0</v>
      </c>
      <c r="B17" s="28" t="s">
        <v>50306</v>
      </c>
      <c r="C17" s="27">
        <v>105.0</v>
      </c>
      <c r="D17" s="28" t="s">
        <v>50307</v>
      </c>
      <c r="E17" s="28" t="s">
        <v>50308</v>
      </c>
      <c r="F17" s="29">
        <v>44.0</v>
      </c>
      <c r="G17" s="27">
        <v>1.05150442E8</v>
      </c>
    </row>
    <row r="18" ht="12.75" customHeight="1">
      <c r="A18" s="31">
        <v>215.0</v>
      </c>
      <c r="B18" s="32" t="s">
        <v>50309</v>
      </c>
      <c r="C18" s="31">
        <v>105.0</v>
      </c>
      <c r="D18" s="32" t="s">
        <v>50310</v>
      </c>
      <c r="E18" s="32" t="s">
        <v>50311</v>
      </c>
      <c r="F18" s="33">
        <v>46.0</v>
      </c>
      <c r="G18" s="31">
        <v>1.05150468E8</v>
      </c>
    </row>
    <row r="19" ht="12.75" customHeight="1">
      <c r="A19" s="27">
        <v>215.0</v>
      </c>
      <c r="B19" s="28" t="s">
        <v>50312</v>
      </c>
      <c r="C19" s="27">
        <v>105.0</v>
      </c>
      <c r="D19" s="28" t="s">
        <v>50313</v>
      </c>
      <c r="E19" s="28" t="s">
        <v>50314</v>
      </c>
      <c r="F19" s="29">
        <v>48.0</v>
      </c>
      <c r="G19" s="27">
        <v>1.05150484E8</v>
      </c>
    </row>
    <row r="20" ht="12.75" customHeight="1">
      <c r="A20" s="31">
        <v>215.0</v>
      </c>
      <c r="B20" s="32" t="s">
        <v>50315</v>
      </c>
      <c r="C20" s="31">
        <v>105.0</v>
      </c>
      <c r="D20" s="32" t="s">
        <v>50316</v>
      </c>
      <c r="E20" s="32" t="s">
        <v>50317</v>
      </c>
      <c r="F20" s="33">
        <v>63.0</v>
      </c>
      <c r="G20" s="31">
        <v>1.05150639E8</v>
      </c>
    </row>
    <row r="21" ht="12.75" customHeight="1">
      <c r="A21" s="27">
        <v>215.0</v>
      </c>
      <c r="B21" s="28" t="s">
        <v>50318</v>
      </c>
      <c r="C21" s="27">
        <v>105.0</v>
      </c>
      <c r="D21" s="28" t="s">
        <v>50319</v>
      </c>
      <c r="E21" s="28" t="s">
        <v>50320</v>
      </c>
      <c r="F21" s="29">
        <v>79.0</v>
      </c>
      <c r="G21" s="27">
        <v>1.05150792E8</v>
      </c>
    </row>
    <row r="22" ht="12.75" customHeight="1">
      <c r="A22" s="31">
        <v>215.0</v>
      </c>
      <c r="B22" s="32" t="s">
        <v>50321</v>
      </c>
      <c r="C22" s="31">
        <v>105.0</v>
      </c>
      <c r="D22" s="32" t="s">
        <v>50322</v>
      </c>
      <c r="E22" s="32" t="s">
        <v>50323</v>
      </c>
      <c r="F22" s="33">
        <v>94.0</v>
      </c>
      <c r="G22" s="31">
        <v>1.05150947E8</v>
      </c>
    </row>
    <row r="23" ht="12.75" customHeight="1">
      <c r="A23" s="27">
        <v>215.0</v>
      </c>
      <c r="B23" s="28" t="s">
        <v>50324</v>
      </c>
      <c r="C23" s="27">
        <v>105.0</v>
      </c>
      <c r="D23" s="28" t="s">
        <v>50325</v>
      </c>
      <c r="E23" s="28" t="s">
        <v>50326</v>
      </c>
      <c r="F23" s="29">
        <v>97.0</v>
      </c>
      <c r="G23" s="27">
        <v>1.05150976E8</v>
      </c>
    </row>
    <row r="24" ht="12.75" customHeight="1">
      <c r="A24" s="31">
        <v>215.0</v>
      </c>
      <c r="B24" s="32" t="s">
        <v>50327</v>
      </c>
      <c r="C24" s="31">
        <v>105.0</v>
      </c>
      <c r="D24" s="32" t="s">
        <v>50328</v>
      </c>
      <c r="E24" s="32" t="s">
        <v>50329</v>
      </c>
      <c r="F24" s="31">
        <v>123.0</v>
      </c>
      <c r="G24" s="31">
        <v>1.05151238E8</v>
      </c>
    </row>
    <row r="25" ht="12.75" customHeight="1">
      <c r="A25" s="27">
        <v>215.0</v>
      </c>
      <c r="B25" s="28" t="s">
        <v>50330</v>
      </c>
      <c r="C25" s="27">
        <v>105.0</v>
      </c>
      <c r="D25" s="28" t="s">
        <v>50331</v>
      </c>
      <c r="E25" s="28" t="s">
        <v>50332</v>
      </c>
      <c r="F25" s="27">
        <v>139.0</v>
      </c>
      <c r="G25" s="27">
        <v>1.05151391E8</v>
      </c>
    </row>
    <row r="26" ht="12.75" customHeight="1">
      <c r="A26" s="31">
        <v>215.0</v>
      </c>
      <c r="B26" s="32" t="s">
        <v>50333</v>
      </c>
      <c r="C26" s="31">
        <v>105.0</v>
      </c>
      <c r="D26" s="32" t="s">
        <v>50334</v>
      </c>
      <c r="E26" s="32" t="s">
        <v>50335</v>
      </c>
      <c r="F26" s="31">
        <v>181.0</v>
      </c>
      <c r="G26" s="31">
        <v>1.05151812E8</v>
      </c>
    </row>
    <row r="27" ht="12.75" customHeight="1">
      <c r="A27" s="27">
        <v>215.0</v>
      </c>
      <c r="B27" s="28" t="s">
        <v>50336</v>
      </c>
      <c r="C27" s="27">
        <v>105.0</v>
      </c>
      <c r="D27" s="28" t="s">
        <v>50337</v>
      </c>
      <c r="E27" s="28" t="s">
        <v>50338</v>
      </c>
      <c r="F27" s="27">
        <v>195.0</v>
      </c>
      <c r="G27" s="27">
        <v>1.05151959E8</v>
      </c>
    </row>
    <row r="28" ht="12.75" customHeight="1">
      <c r="A28" s="31">
        <v>215.0</v>
      </c>
      <c r="B28" s="32" t="s">
        <v>50339</v>
      </c>
      <c r="C28" s="31">
        <v>105.0</v>
      </c>
      <c r="D28" s="32" t="s">
        <v>50340</v>
      </c>
      <c r="E28" s="32" t="s">
        <v>50341</v>
      </c>
      <c r="F28" s="31">
        <v>216.0</v>
      </c>
      <c r="G28" s="31">
        <v>1.05152161E8</v>
      </c>
    </row>
    <row r="29" ht="12.75" customHeight="1">
      <c r="A29" s="27">
        <v>215.0</v>
      </c>
      <c r="B29" s="28" t="s">
        <v>50342</v>
      </c>
      <c r="C29" s="27">
        <v>105.0</v>
      </c>
      <c r="D29" s="28" t="s">
        <v>50343</v>
      </c>
      <c r="E29" s="28" t="s">
        <v>50344</v>
      </c>
      <c r="F29" s="27">
        <v>257.0</v>
      </c>
      <c r="G29" s="27">
        <v>1.05152574E8</v>
      </c>
    </row>
    <row r="30" ht="12.75" customHeight="1">
      <c r="A30" s="31">
        <v>215.0</v>
      </c>
      <c r="B30" s="32" t="s">
        <v>50345</v>
      </c>
      <c r="C30" s="31">
        <v>105.0</v>
      </c>
      <c r="D30" s="32" t="s">
        <v>50346</v>
      </c>
      <c r="E30" s="32" t="s">
        <v>50347</v>
      </c>
      <c r="F30" s="31">
        <v>263.0</v>
      </c>
      <c r="G30" s="31">
        <v>1.05152637E8</v>
      </c>
    </row>
    <row r="31" ht="12.75" customHeight="1">
      <c r="A31" s="27">
        <v>215.0</v>
      </c>
      <c r="B31" s="28" t="s">
        <v>50348</v>
      </c>
      <c r="C31" s="27">
        <v>105.0</v>
      </c>
      <c r="D31" s="28" t="s">
        <v>50349</v>
      </c>
      <c r="E31" s="28" t="s">
        <v>50350</v>
      </c>
      <c r="F31" s="27">
        <v>316.0</v>
      </c>
      <c r="G31" s="27">
        <v>1.0515316E8</v>
      </c>
    </row>
    <row r="32" ht="12.75" customHeight="1">
      <c r="A32" s="31">
        <v>215.0</v>
      </c>
      <c r="B32" s="32" t="s">
        <v>50351</v>
      </c>
      <c r="C32" s="31">
        <v>105.0</v>
      </c>
      <c r="D32" s="32" t="s">
        <v>50352</v>
      </c>
      <c r="E32" s="32" t="s">
        <v>50353</v>
      </c>
      <c r="F32" s="31">
        <v>322.0</v>
      </c>
      <c r="G32" s="31">
        <v>1.05153223E8</v>
      </c>
    </row>
    <row r="33" ht="12.75" customHeight="1">
      <c r="A33" s="27">
        <v>215.0</v>
      </c>
      <c r="B33" s="28" t="s">
        <v>50354</v>
      </c>
      <c r="C33" s="27">
        <v>105.0</v>
      </c>
      <c r="D33" s="28" t="s">
        <v>50355</v>
      </c>
      <c r="E33" s="28" t="s">
        <v>50356</v>
      </c>
      <c r="F33" s="27">
        <v>364.0</v>
      </c>
      <c r="G33" s="27">
        <v>1.05153649E8</v>
      </c>
    </row>
    <row r="34" ht="12.75" customHeight="1">
      <c r="A34" s="31">
        <v>215.0</v>
      </c>
      <c r="B34" s="32" t="s">
        <v>50357</v>
      </c>
      <c r="C34" s="31">
        <v>105.0</v>
      </c>
      <c r="D34" s="32" t="s">
        <v>50358</v>
      </c>
      <c r="E34" s="32" t="s">
        <v>50359</v>
      </c>
      <c r="F34" s="31">
        <v>373.0</v>
      </c>
      <c r="G34" s="31">
        <v>1.05153731E8</v>
      </c>
    </row>
    <row r="35" ht="12.75" customHeight="1">
      <c r="A35" s="27">
        <v>215.0</v>
      </c>
      <c r="B35" s="28" t="s">
        <v>50360</v>
      </c>
      <c r="C35" s="27">
        <v>105.0</v>
      </c>
      <c r="D35" s="28" t="s">
        <v>50361</v>
      </c>
      <c r="E35" s="28" t="s">
        <v>50362</v>
      </c>
      <c r="F35" s="27">
        <v>412.0</v>
      </c>
      <c r="G35" s="27">
        <v>1.05154127E8</v>
      </c>
    </row>
    <row r="36" ht="12.75" customHeight="1">
      <c r="A36" s="31">
        <v>215.0</v>
      </c>
      <c r="B36" s="32" t="s">
        <v>50363</v>
      </c>
      <c r="C36" s="31">
        <v>105.0</v>
      </c>
      <c r="D36" s="32" t="s">
        <v>50364</v>
      </c>
      <c r="E36" s="32" t="s">
        <v>50365</v>
      </c>
      <c r="F36" s="31">
        <v>418.0</v>
      </c>
      <c r="G36" s="31">
        <v>1.05154185E8</v>
      </c>
    </row>
    <row r="37" ht="12.75" customHeight="1">
      <c r="A37" s="27">
        <v>215.0</v>
      </c>
      <c r="B37" s="28" t="s">
        <v>50366</v>
      </c>
      <c r="C37" s="27">
        <v>105.0</v>
      </c>
      <c r="D37" s="28" t="s">
        <v>50367</v>
      </c>
      <c r="E37" s="28" t="s">
        <v>50368</v>
      </c>
      <c r="F37" s="27">
        <v>427.0</v>
      </c>
      <c r="G37" s="27">
        <v>1.05154277E8</v>
      </c>
    </row>
    <row r="38" ht="12.75" customHeight="1">
      <c r="A38" s="31">
        <v>215.0</v>
      </c>
      <c r="B38" s="32" t="s">
        <v>50369</v>
      </c>
      <c r="C38" s="31">
        <v>105.0</v>
      </c>
      <c r="D38" s="32" t="s">
        <v>50370</v>
      </c>
      <c r="E38" s="32" t="s">
        <v>50371</v>
      </c>
      <c r="F38" s="31">
        <v>445.0</v>
      </c>
      <c r="G38" s="31">
        <v>1.05154451E8</v>
      </c>
    </row>
    <row r="39" ht="12.75" customHeight="1">
      <c r="A39" s="27">
        <v>215.0</v>
      </c>
      <c r="B39" s="28" t="s">
        <v>50372</v>
      </c>
      <c r="C39" s="27">
        <v>105.0</v>
      </c>
      <c r="D39" s="28" t="s">
        <v>50373</v>
      </c>
      <c r="E39" s="28" t="s">
        <v>50374</v>
      </c>
      <c r="F39" s="27">
        <v>466.0</v>
      </c>
      <c r="G39" s="27">
        <v>1.05154664E8</v>
      </c>
    </row>
    <row r="40" ht="12.75" customHeight="1">
      <c r="A40" s="31">
        <v>215.0</v>
      </c>
      <c r="B40" s="32" t="s">
        <v>50375</v>
      </c>
      <c r="C40" s="31">
        <v>105.0</v>
      </c>
      <c r="D40" s="32" t="s">
        <v>50376</v>
      </c>
      <c r="E40" s="32" t="s">
        <v>50377</v>
      </c>
      <c r="F40" s="31">
        <v>508.0</v>
      </c>
      <c r="G40" s="31">
        <v>1.05155089E8</v>
      </c>
    </row>
    <row r="41" ht="12.75" customHeight="1">
      <c r="A41" s="27">
        <v>215.0</v>
      </c>
      <c r="B41" s="28" t="s">
        <v>50378</v>
      </c>
      <c r="C41" s="27">
        <v>105.0</v>
      </c>
      <c r="D41" s="28" t="s">
        <v>50379</v>
      </c>
      <c r="E41" s="28" t="s">
        <v>50380</v>
      </c>
      <c r="F41" s="27">
        <v>524.0</v>
      </c>
      <c r="G41" s="27">
        <v>1.05155247E8</v>
      </c>
    </row>
    <row r="42" ht="12.75" customHeight="1">
      <c r="A42" s="31">
        <v>215.0</v>
      </c>
      <c r="B42" s="32" t="s">
        <v>50381</v>
      </c>
      <c r="C42" s="31">
        <v>105.0</v>
      </c>
      <c r="D42" s="32" t="s">
        <v>50382</v>
      </c>
      <c r="E42" s="32" t="s">
        <v>50383</v>
      </c>
      <c r="F42" s="31">
        <v>560.0</v>
      </c>
      <c r="G42" s="31">
        <v>1.05155605E8</v>
      </c>
    </row>
    <row r="43" ht="12.75" customHeight="1">
      <c r="A43" s="27">
        <v>215.0</v>
      </c>
      <c r="B43" s="28" t="s">
        <v>50384</v>
      </c>
      <c r="C43" s="27">
        <v>105.0</v>
      </c>
      <c r="D43" s="28" t="s">
        <v>50385</v>
      </c>
      <c r="E43" s="28" t="s">
        <v>50386</v>
      </c>
      <c r="F43" s="27">
        <v>562.0</v>
      </c>
      <c r="G43" s="27">
        <v>1.05155621E8</v>
      </c>
    </row>
    <row r="44" ht="12.75" customHeight="1">
      <c r="A44" s="31">
        <v>215.0</v>
      </c>
      <c r="B44" s="32" t="s">
        <v>50387</v>
      </c>
      <c r="C44" s="31">
        <v>105.0</v>
      </c>
      <c r="D44" s="32" t="s">
        <v>50388</v>
      </c>
      <c r="E44" s="32" t="s">
        <v>50389</v>
      </c>
      <c r="F44" s="31">
        <v>592.0</v>
      </c>
      <c r="G44" s="31">
        <v>1.05155926E8</v>
      </c>
    </row>
    <row r="45" ht="12.75" customHeight="1">
      <c r="A45" s="27">
        <v>215.0</v>
      </c>
      <c r="B45" s="28" t="s">
        <v>50390</v>
      </c>
      <c r="C45" s="27">
        <v>105.0</v>
      </c>
      <c r="D45" s="28" t="s">
        <v>50391</v>
      </c>
      <c r="E45" s="28" t="s">
        <v>50392</v>
      </c>
      <c r="F45" s="27">
        <v>604.0</v>
      </c>
      <c r="G45" s="27">
        <v>1.05156046E8</v>
      </c>
    </row>
    <row r="46" ht="12.75" customHeight="1">
      <c r="A46" s="31">
        <v>215.0</v>
      </c>
      <c r="B46" s="32" t="s">
        <v>50393</v>
      </c>
      <c r="C46" s="31">
        <v>105.0</v>
      </c>
      <c r="D46" s="32" t="s">
        <v>50394</v>
      </c>
      <c r="E46" s="32" t="s">
        <v>50395</v>
      </c>
      <c r="F46" s="31">
        <v>613.0</v>
      </c>
      <c r="G46" s="31">
        <v>1.05156138E8</v>
      </c>
    </row>
    <row r="47" ht="12.75" customHeight="1">
      <c r="A47" s="27">
        <v>215.0</v>
      </c>
      <c r="B47" s="28" t="s">
        <v>50396</v>
      </c>
      <c r="C47" s="27">
        <v>105.0</v>
      </c>
      <c r="D47" s="28" t="s">
        <v>50397</v>
      </c>
      <c r="E47" s="28" t="s">
        <v>50398</v>
      </c>
      <c r="F47" s="27">
        <v>616.0</v>
      </c>
      <c r="G47" s="27">
        <v>1.05156167E8</v>
      </c>
    </row>
    <row r="48" ht="12.75" customHeight="1">
      <c r="A48" s="31">
        <v>215.0</v>
      </c>
      <c r="B48" s="32" t="s">
        <v>50399</v>
      </c>
      <c r="C48" s="31">
        <v>105.0</v>
      </c>
      <c r="D48" s="32" t="s">
        <v>50400</v>
      </c>
      <c r="E48" s="32" t="s">
        <v>50401</v>
      </c>
      <c r="F48" s="31">
        <v>618.0</v>
      </c>
      <c r="G48" s="31">
        <v>1.05156183E8</v>
      </c>
    </row>
    <row r="49" ht="12.75" customHeight="1">
      <c r="A49" s="27">
        <v>215.0</v>
      </c>
      <c r="B49" s="28" t="s">
        <v>50402</v>
      </c>
      <c r="C49" s="27">
        <v>105.0</v>
      </c>
      <c r="D49" s="28" t="s">
        <v>50403</v>
      </c>
      <c r="E49" s="28" t="s">
        <v>50404</v>
      </c>
      <c r="F49" s="27">
        <v>647.0</v>
      </c>
      <c r="G49" s="27">
        <v>1.05156475E8</v>
      </c>
    </row>
    <row r="50" ht="12.75" customHeight="1">
      <c r="A50" s="31">
        <v>215.0</v>
      </c>
      <c r="B50" s="32" t="s">
        <v>50405</v>
      </c>
      <c r="C50" s="31">
        <v>105.0</v>
      </c>
      <c r="D50" s="32" t="s">
        <v>50406</v>
      </c>
      <c r="E50" s="32" t="s">
        <v>50407</v>
      </c>
      <c r="F50" s="31">
        <v>673.0</v>
      </c>
      <c r="G50" s="31">
        <v>1.05156738E8</v>
      </c>
    </row>
    <row r="51" ht="12.75" customHeight="1">
      <c r="A51" s="27">
        <v>215.0</v>
      </c>
      <c r="B51" s="28" t="s">
        <v>50408</v>
      </c>
      <c r="C51" s="27">
        <v>105.0</v>
      </c>
      <c r="D51" s="28" t="s">
        <v>50409</v>
      </c>
      <c r="E51" s="28" t="s">
        <v>50410</v>
      </c>
      <c r="F51" s="27">
        <v>751.0</v>
      </c>
      <c r="G51" s="27">
        <v>1.05157511E8</v>
      </c>
    </row>
    <row r="52" ht="12.75" customHeight="1">
      <c r="A52" s="31">
        <v>418.0</v>
      </c>
      <c r="B52" s="32" t="s">
        <v>50411</v>
      </c>
      <c r="C52" s="31">
        <v>105.0</v>
      </c>
      <c r="D52" s="32" t="s">
        <v>50412</v>
      </c>
      <c r="E52" s="32" t="s">
        <v>50413</v>
      </c>
      <c r="F52" s="33">
        <v>19.0</v>
      </c>
      <c r="G52" s="31">
        <v>1.05180191E8</v>
      </c>
    </row>
    <row r="53" ht="12.75" customHeight="1">
      <c r="A53" s="27">
        <v>119.0</v>
      </c>
      <c r="B53" s="28" t="s">
        <v>50414</v>
      </c>
      <c r="C53" s="27">
        <v>105.0</v>
      </c>
      <c r="D53" s="28" t="s">
        <v>50415</v>
      </c>
      <c r="E53" s="28" t="s">
        <v>50416</v>
      </c>
      <c r="F53" s="27">
        <v>115.0</v>
      </c>
      <c r="G53" s="27">
        <v>1.05191151E8</v>
      </c>
    </row>
    <row r="54" ht="12.75" customHeight="1">
      <c r="A54" s="31">
        <v>119.0</v>
      </c>
      <c r="B54" s="32" t="s">
        <v>50417</v>
      </c>
      <c r="C54" s="31">
        <v>105.0</v>
      </c>
      <c r="D54" s="32" t="s">
        <v>50418</v>
      </c>
      <c r="E54" s="32" t="s">
        <v>50419</v>
      </c>
      <c r="F54" s="31">
        <v>179.0</v>
      </c>
      <c r="G54" s="31">
        <v>1.05191793E8</v>
      </c>
    </row>
    <row r="55" ht="12.75" customHeight="1">
      <c r="A55" s="27">
        <v>119.0</v>
      </c>
      <c r="B55" s="28" t="s">
        <v>50420</v>
      </c>
      <c r="C55" s="27">
        <v>105.0</v>
      </c>
      <c r="D55" s="28" t="s">
        <v>50421</v>
      </c>
      <c r="E55" s="28" t="s">
        <v>50422</v>
      </c>
      <c r="F55" s="27">
        <v>223.0</v>
      </c>
      <c r="G55" s="27">
        <v>1.05192239E8</v>
      </c>
    </row>
    <row r="56" ht="12.75" customHeight="1">
      <c r="A56" s="31">
        <v>119.0</v>
      </c>
      <c r="B56" s="32" t="s">
        <v>50423</v>
      </c>
      <c r="C56" s="31">
        <v>105.0</v>
      </c>
      <c r="D56" s="32" t="s">
        <v>50424</v>
      </c>
      <c r="E56" s="32" t="s">
        <v>50425</v>
      </c>
      <c r="F56" s="31">
        <v>280.0</v>
      </c>
      <c r="G56" s="31">
        <v>1.051928E8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222.0</v>
      </c>
      <c r="B1" s="28" t="s">
        <v>50426</v>
      </c>
      <c r="C1" s="27">
        <v>105.0</v>
      </c>
      <c r="D1" s="28" t="s">
        <v>50427</v>
      </c>
      <c r="E1" s="28" t="s">
        <v>50428</v>
      </c>
      <c r="F1" s="29">
        <v>22.0</v>
      </c>
      <c r="G1" s="27">
        <v>1.05220222E8</v>
      </c>
    </row>
    <row r="2" ht="12.75" customHeight="1">
      <c r="A2" s="31">
        <v>222.0</v>
      </c>
      <c r="B2" s="32" t="s">
        <v>50429</v>
      </c>
      <c r="C2" s="31">
        <v>105.0</v>
      </c>
      <c r="D2" s="32" t="s">
        <v>50430</v>
      </c>
      <c r="E2" s="32" t="s">
        <v>50431</v>
      </c>
      <c r="F2" s="33">
        <v>25.0</v>
      </c>
      <c r="G2" s="31">
        <v>1.05220251E8</v>
      </c>
    </row>
    <row r="3" ht="12.75" customHeight="1">
      <c r="A3" s="27">
        <v>222.0</v>
      </c>
      <c r="B3" s="28" t="s">
        <v>50432</v>
      </c>
      <c r="C3" s="27">
        <v>105.0</v>
      </c>
      <c r="D3" s="28" t="s">
        <v>50433</v>
      </c>
      <c r="E3" s="28" t="s">
        <v>50434</v>
      </c>
      <c r="F3" s="29">
        <v>49.0</v>
      </c>
      <c r="G3" s="27">
        <v>1.05220493E8</v>
      </c>
    </row>
    <row r="4" ht="12.75" customHeight="1">
      <c r="A4" s="31">
        <v>222.0</v>
      </c>
      <c r="B4" s="32" t="s">
        <v>50435</v>
      </c>
      <c r="C4" s="31">
        <v>105.0</v>
      </c>
      <c r="D4" s="32" t="s">
        <v>50436</v>
      </c>
      <c r="E4" s="32" t="s">
        <v>50437</v>
      </c>
      <c r="F4" s="33">
        <v>82.0</v>
      </c>
      <c r="G4" s="31">
        <v>1.05220822E8</v>
      </c>
    </row>
    <row r="5" ht="12.75" customHeight="1">
      <c r="A5" s="27">
        <v>222.0</v>
      </c>
      <c r="B5" s="28" t="s">
        <v>50438</v>
      </c>
      <c r="C5" s="27">
        <v>105.0</v>
      </c>
      <c r="D5" s="28" t="s">
        <v>50439</v>
      </c>
      <c r="E5" s="28" t="s">
        <v>50440</v>
      </c>
      <c r="F5" s="29">
        <v>85.0</v>
      </c>
      <c r="G5" s="27">
        <v>1.05220851E8</v>
      </c>
    </row>
    <row r="6" ht="12.75" customHeight="1">
      <c r="A6" s="31">
        <v>126.0</v>
      </c>
      <c r="B6" s="32" t="s">
        <v>50441</v>
      </c>
      <c r="C6" s="31">
        <v>105.0</v>
      </c>
      <c r="D6" s="32" t="s">
        <v>50442</v>
      </c>
      <c r="E6" s="32" t="s">
        <v>50443</v>
      </c>
      <c r="F6" s="33">
        <v>43.0</v>
      </c>
      <c r="G6" s="31">
        <v>1.05260437E8</v>
      </c>
    </row>
    <row r="7" ht="12.75" customHeight="1">
      <c r="A7" s="27">
        <v>126.0</v>
      </c>
      <c r="B7" s="28" t="s">
        <v>50444</v>
      </c>
      <c r="C7" s="27">
        <v>105.0</v>
      </c>
      <c r="D7" s="28" t="s">
        <v>50445</v>
      </c>
      <c r="E7" s="28" t="s">
        <v>50446</v>
      </c>
      <c r="F7" s="29">
        <v>48.0</v>
      </c>
      <c r="G7" s="27">
        <v>1.05260482E8</v>
      </c>
    </row>
    <row r="8" ht="12.75" customHeight="1">
      <c r="A8" s="31">
        <v>126.0</v>
      </c>
      <c r="B8" s="32" t="s">
        <v>50447</v>
      </c>
      <c r="C8" s="31">
        <v>105.0</v>
      </c>
      <c r="D8" s="32" t="s">
        <v>50448</v>
      </c>
      <c r="E8" s="32" t="s">
        <v>50449</v>
      </c>
      <c r="F8" s="33">
        <v>53.0</v>
      </c>
      <c r="G8" s="31">
        <v>1.05260532E8</v>
      </c>
    </row>
    <row r="9" ht="12.75" customHeight="1">
      <c r="A9" s="27">
        <v>126.0</v>
      </c>
      <c r="B9" s="28" t="s">
        <v>50450</v>
      </c>
      <c r="C9" s="27">
        <v>105.0</v>
      </c>
      <c r="D9" s="28" t="s">
        <v>50451</v>
      </c>
      <c r="E9" s="28" t="s">
        <v>50452</v>
      </c>
      <c r="F9" s="29">
        <v>55.0</v>
      </c>
      <c r="G9" s="27">
        <v>1.05260558E8</v>
      </c>
    </row>
    <row r="10" ht="12.75" customHeight="1">
      <c r="A10" s="31">
        <v>126.0</v>
      </c>
      <c r="B10" s="32" t="s">
        <v>50453</v>
      </c>
      <c r="C10" s="31">
        <v>105.0</v>
      </c>
      <c r="D10" s="32" t="s">
        <v>50454</v>
      </c>
      <c r="E10" s="32" t="s">
        <v>50455</v>
      </c>
      <c r="F10" s="33">
        <v>72.0</v>
      </c>
      <c r="G10" s="31">
        <v>1.05260729E8</v>
      </c>
    </row>
    <row r="11" ht="12.75" customHeight="1">
      <c r="A11" s="27">
        <v>126.0</v>
      </c>
      <c r="B11" s="28" t="s">
        <v>50456</v>
      </c>
      <c r="C11" s="27">
        <v>105.0</v>
      </c>
      <c r="D11" s="28" t="s">
        <v>50457</v>
      </c>
      <c r="E11" s="28" t="s">
        <v>50458</v>
      </c>
      <c r="F11" s="29">
        <v>80.0</v>
      </c>
      <c r="G11" s="27">
        <v>1.05260808E8</v>
      </c>
    </row>
    <row r="12" ht="12.75" customHeight="1">
      <c r="A12" s="31">
        <v>126.0</v>
      </c>
      <c r="B12" s="32" t="s">
        <v>50459</v>
      </c>
      <c r="C12" s="31">
        <v>105.0</v>
      </c>
      <c r="D12" s="32" t="s">
        <v>50460</v>
      </c>
      <c r="E12" s="32" t="s">
        <v>50461</v>
      </c>
      <c r="F12" s="31">
        <v>118.0</v>
      </c>
      <c r="G12" s="31">
        <v>1.05261186E8</v>
      </c>
    </row>
    <row r="13" ht="12.75" customHeight="1">
      <c r="A13" s="27">
        <v>126.0</v>
      </c>
      <c r="B13" s="28" t="s">
        <v>50462</v>
      </c>
      <c r="C13" s="27">
        <v>105.0</v>
      </c>
      <c r="D13" s="28" t="s">
        <v>50463</v>
      </c>
      <c r="E13" s="28" t="s">
        <v>50464</v>
      </c>
      <c r="F13" s="27">
        <v>125.0</v>
      </c>
      <c r="G13" s="27">
        <v>1.05261252E8</v>
      </c>
    </row>
    <row r="14" ht="12.75" customHeight="1">
      <c r="A14" s="31">
        <v>126.0</v>
      </c>
      <c r="B14" s="32" t="s">
        <v>50465</v>
      </c>
      <c r="C14" s="31">
        <v>105.0</v>
      </c>
      <c r="D14" s="32" t="s">
        <v>50466</v>
      </c>
      <c r="E14" s="32" t="s">
        <v>50467</v>
      </c>
      <c r="F14" s="31">
        <v>172.0</v>
      </c>
      <c r="G14" s="31">
        <v>1.05261728E8</v>
      </c>
    </row>
    <row r="15" ht="12.75" customHeight="1">
      <c r="A15" s="27">
        <v>126.0</v>
      </c>
      <c r="B15" s="28" t="s">
        <v>50468</v>
      </c>
      <c r="C15" s="27">
        <v>105.0</v>
      </c>
      <c r="D15" s="28" t="s">
        <v>50469</v>
      </c>
      <c r="E15" s="28" t="s">
        <v>50470</v>
      </c>
      <c r="F15" s="27">
        <v>253.0</v>
      </c>
      <c r="G15" s="27">
        <v>1.0526253E8</v>
      </c>
    </row>
    <row r="16" ht="12.75" customHeight="1">
      <c r="A16" s="31">
        <v>126.0</v>
      </c>
      <c r="B16" s="32" t="s">
        <v>50471</v>
      </c>
      <c r="C16" s="31">
        <v>105.0</v>
      </c>
      <c r="D16" s="32" t="s">
        <v>50472</v>
      </c>
      <c r="E16" s="32" t="s">
        <v>50473</v>
      </c>
      <c r="F16" s="31">
        <v>263.0</v>
      </c>
      <c r="G16" s="31">
        <v>1.05262635E8</v>
      </c>
    </row>
    <row r="17" ht="12.75" customHeight="1">
      <c r="A17" s="27">
        <v>126.0</v>
      </c>
      <c r="B17" s="28" t="s">
        <v>50474</v>
      </c>
      <c r="C17" s="27">
        <v>105.0</v>
      </c>
      <c r="D17" s="28" t="s">
        <v>50475</v>
      </c>
      <c r="E17" s="28" t="s">
        <v>50476</v>
      </c>
      <c r="F17" s="27">
        <v>298.0</v>
      </c>
      <c r="G17" s="27">
        <v>1.05262985E8</v>
      </c>
    </row>
    <row r="18" ht="12.75" customHeight="1">
      <c r="A18" s="31">
        <v>126.0</v>
      </c>
      <c r="B18" s="32" t="s">
        <v>50477</v>
      </c>
      <c r="C18" s="31">
        <v>105.0</v>
      </c>
      <c r="D18" s="32" t="s">
        <v>50478</v>
      </c>
      <c r="E18" s="32" t="s">
        <v>50479</v>
      </c>
      <c r="F18" s="31">
        <v>319.0</v>
      </c>
      <c r="G18" s="31">
        <v>1.05263197E8</v>
      </c>
    </row>
    <row r="19" ht="12.75" customHeight="1">
      <c r="A19" s="27">
        <v>126.0</v>
      </c>
      <c r="B19" s="28" t="s">
        <v>50480</v>
      </c>
      <c r="C19" s="27">
        <v>105.0</v>
      </c>
      <c r="D19" s="28" t="s">
        <v>50481</v>
      </c>
      <c r="E19" s="28" t="s">
        <v>50482</v>
      </c>
      <c r="F19" s="27">
        <v>328.0</v>
      </c>
      <c r="G19" s="27">
        <v>1.05263289E8</v>
      </c>
    </row>
    <row r="20" ht="12.75" customHeight="1">
      <c r="A20" s="31">
        <v>126.0</v>
      </c>
      <c r="B20" s="32" t="s">
        <v>50483</v>
      </c>
      <c r="C20" s="31">
        <v>105.0</v>
      </c>
      <c r="D20" s="32" t="s">
        <v>50484</v>
      </c>
      <c r="E20" s="32" t="s">
        <v>50485</v>
      </c>
      <c r="F20" s="31">
        <v>394.0</v>
      </c>
      <c r="G20" s="31">
        <v>1.05263942E8</v>
      </c>
    </row>
    <row r="21" ht="12.75" customHeight="1">
      <c r="A21" s="27">
        <v>126.0</v>
      </c>
      <c r="B21" s="28" t="s">
        <v>50486</v>
      </c>
      <c r="C21" s="27">
        <v>105.0</v>
      </c>
      <c r="D21" s="28" t="s">
        <v>50487</v>
      </c>
      <c r="E21" s="28" t="s">
        <v>50488</v>
      </c>
      <c r="F21" s="27">
        <v>397.0</v>
      </c>
      <c r="G21" s="27">
        <v>1.05263971E8</v>
      </c>
    </row>
    <row r="22" ht="12.75" customHeight="1">
      <c r="A22" s="31">
        <v>126.0</v>
      </c>
      <c r="B22" s="32" t="s">
        <v>50489</v>
      </c>
      <c r="C22" s="31">
        <v>105.0</v>
      </c>
      <c r="D22" s="32" t="s">
        <v>50490</v>
      </c>
      <c r="E22" s="32" t="s">
        <v>50491</v>
      </c>
      <c r="F22" s="31">
        <v>401.0</v>
      </c>
      <c r="G22" s="31">
        <v>1.05264017E8</v>
      </c>
    </row>
    <row r="23" ht="12.75" customHeight="1">
      <c r="A23" s="27">
        <v>126.0</v>
      </c>
      <c r="B23" s="28" t="s">
        <v>50492</v>
      </c>
      <c r="C23" s="27">
        <v>105.0</v>
      </c>
      <c r="D23" s="28" t="s">
        <v>50493</v>
      </c>
      <c r="E23" s="28" t="s">
        <v>50494</v>
      </c>
      <c r="F23" s="27">
        <v>409.0</v>
      </c>
      <c r="G23" s="27">
        <v>1.05264091E8</v>
      </c>
    </row>
    <row r="24" ht="12.75" customHeight="1">
      <c r="A24" s="31">
        <v>126.0</v>
      </c>
      <c r="B24" s="32" t="s">
        <v>50495</v>
      </c>
      <c r="C24" s="31">
        <v>105.0</v>
      </c>
      <c r="D24" s="32" t="s">
        <v>50496</v>
      </c>
      <c r="E24" s="32" t="s">
        <v>50497</v>
      </c>
      <c r="F24" s="31">
        <v>419.0</v>
      </c>
      <c r="G24" s="31">
        <v>1.05264196E8</v>
      </c>
    </row>
    <row r="25" ht="12.75" customHeight="1">
      <c r="A25" s="27">
        <v>126.0</v>
      </c>
      <c r="B25" s="28" t="s">
        <v>50498</v>
      </c>
      <c r="C25" s="27">
        <v>105.0</v>
      </c>
      <c r="D25" s="28" t="s">
        <v>50499</v>
      </c>
      <c r="E25" s="28" t="s">
        <v>50500</v>
      </c>
      <c r="F25" s="27">
        <v>463.0</v>
      </c>
      <c r="G25" s="27">
        <v>1.05264633E8</v>
      </c>
    </row>
    <row r="26" ht="12.75" customHeight="1">
      <c r="A26" s="31">
        <v>126.0</v>
      </c>
      <c r="B26" s="32" t="s">
        <v>50501</v>
      </c>
      <c r="C26" s="31">
        <v>105.0</v>
      </c>
      <c r="D26" s="32" t="s">
        <v>50502</v>
      </c>
      <c r="E26" s="32" t="s">
        <v>50503</v>
      </c>
      <c r="F26" s="31">
        <v>481.0</v>
      </c>
      <c r="G26" s="31">
        <v>1.05264817E8</v>
      </c>
    </row>
    <row r="27" ht="12.75" customHeight="1">
      <c r="A27" s="27">
        <v>127.0</v>
      </c>
      <c r="B27" s="28" t="s">
        <v>50504</v>
      </c>
      <c r="C27" s="27">
        <v>105.0</v>
      </c>
      <c r="D27" s="28" t="s">
        <v>50505</v>
      </c>
      <c r="E27" s="28" t="s">
        <v>50506</v>
      </c>
      <c r="F27" s="29">
        <v>0.0</v>
      </c>
      <c r="G27" s="27">
        <v>1.05270001E8</v>
      </c>
    </row>
    <row r="28" ht="12.75" customHeight="1">
      <c r="A28" s="31">
        <v>127.0</v>
      </c>
      <c r="B28" s="32" t="s">
        <v>50507</v>
      </c>
      <c r="C28" s="31">
        <v>105.0</v>
      </c>
      <c r="D28" s="32" t="s">
        <v>50508</v>
      </c>
      <c r="E28" s="32" t="s">
        <v>50509</v>
      </c>
      <c r="F28" s="33">
        <v>9.0</v>
      </c>
      <c r="G28" s="31">
        <v>1.05270098E8</v>
      </c>
    </row>
    <row r="29" ht="12.75" customHeight="1">
      <c r="A29" s="27">
        <v>127.0</v>
      </c>
      <c r="B29" s="28" t="s">
        <v>50510</v>
      </c>
      <c r="C29" s="27">
        <v>105.0</v>
      </c>
      <c r="D29" s="28" t="s">
        <v>50511</v>
      </c>
      <c r="E29" s="28" t="s">
        <v>50512</v>
      </c>
      <c r="F29" s="29">
        <v>88.0</v>
      </c>
      <c r="G29" s="27">
        <v>1.05270885E8</v>
      </c>
    </row>
    <row r="30" ht="12.75" customHeight="1">
      <c r="A30" s="31">
        <v>127.0</v>
      </c>
      <c r="B30" s="32" t="s">
        <v>50513</v>
      </c>
      <c r="C30" s="31">
        <v>105.0</v>
      </c>
      <c r="D30" s="32" t="s">
        <v>50514</v>
      </c>
      <c r="E30" s="32" t="s">
        <v>50515</v>
      </c>
      <c r="F30" s="31">
        <v>112.0</v>
      </c>
      <c r="G30" s="31">
        <v>1.05271121E8</v>
      </c>
    </row>
    <row r="31" ht="12.75" customHeight="1">
      <c r="A31" s="27">
        <v>127.0</v>
      </c>
      <c r="B31" s="28" t="s">
        <v>50516</v>
      </c>
      <c r="C31" s="27">
        <v>105.0</v>
      </c>
      <c r="D31" s="28" t="s">
        <v>50517</v>
      </c>
      <c r="E31" s="28" t="s">
        <v>50518</v>
      </c>
      <c r="F31" s="27">
        <v>142.0</v>
      </c>
      <c r="G31" s="27">
        <v>1.05271426E8</v>
      </c>
    </row>
    <row r="32" ht="12.75" customHeight="1">
      <c r="A32" s="31">
        <v>127.0</v>
      </c>
      <c r="B32" s="32" t="s">
        <v>50519</v>
      </c>
      <c r="C32" s="31">
        <v>105.0</v>
      </c>
      <c r="D32" s="32" t="s">
        <v>50520</v>
      </c>
      <c r="E32" s="32" t="s">
        <v>50521</v>
      </c>
      <c r="F32" s="31">
        <v>190.0</v>
      </c>
      <c r="G32" s="31">
        <v>1.05271905E8</v>
      </c>
    </row>
    <row r="33" ht="12.75" customHeight="1">
      <c r="A33" s="27">
        <v>127.0</v>
      </c>
      <c r="B33" s="28" t="s">
        <v>50522</v>
      </c>
      <c r="C33" s="27">
        <v>105.0</v>
      </c>
      <c r="D33" s="28" t="s">
        <v>50523</v>
      </c>
      <c r="E33" s="28" t="s">
        <v>50524</v>
      </c>
      <c r="F33" s="27">
        <v>298.0</v>
      </c>
      <c r="G33" s="27">
        <v>1.05272988E8</v>
      </c>
    </row>
    <row r="34" ht="12.75" customHeight="1">
      <c r="A34" s="31">
        <v>127.0</v>
      </c>
      <c r="B34" s="32" t="s">
        <v>50525</v>
      </c>
      <c r="C34" s="31">
        <v>105.0</v>
      </c>
      <c r="D34" s="32" t="s">
        <v>50526</v>
      </c>
      <c r="E34" s="32" t="s">
        <v>50527</v>
      </c>
      <c r="F34" s="31">
        <v>337.0</v>
      </c>
      <c r="G34" s="31">
        <v>1.05273374E8</v>
      </c>
    </row>
    <row r="35" ht="12.75" customHeight="1">
      <c r="A35" s="27">
        <v>127.0</v>
      </c>
      <c r="B35" s="28" t="s">
        <v>50528</v>
      </c>
      <c r="C35" s="27">
        <v>105.0</v>
      </c>
      <c r="D35" s="28" t="s">
        <v>50529</v>
      </c>
      <c r="E35" s="28" t="s">
        <v>50530</v>
      </c>
      <c r="F35" s="27">
        <v>374.0</v>
      </c>
      <c r="G35" s="27">
        <v>1.05273745E8</v>
      </c>
    </row>
    <row r="36" ht="12.75" customHeight="1">
      <c r="A36" s="31">
        <v>127.0</v>
      </c>
      <c r="B36" s="32" t="s">
        <v>50531</v>
      </c>
      <c r="C36" s="31">
        <v>105.0</v>
      </c>
      <c r="D36" s="32" t="s">
        <v>50532</v>
      </c>
      <c r="E36" s="32" t="s">
        <v>50533</v>
      </c>
      <c r="F36" s="31">
        <v>394.0</v>
      </c>
      <c r="G36" s="31">
        <v>1.05273945E8</v>
      </c>
    </row>
    <row r="37" ht="12.75" customHeight="1">
      <c r="A37" s="27">
        <v>127.0</v>
      </c>
      <c r="B37" s="28" t="s">
        <v>50534</v>
      </c>
      <c r="C37" s="27">
        <v>105.0</v>
      </c>
      <c r="D37" s="28" t="s">
        <v>50535</v>
      </c>
      <c r="E37" s="28" t="s">
        <v>50536</v>
      </c>
      <c r="F37" s="27">
        <v>424.0</v>
      </c>
      <c r="G37" s="27">
        <v>1.05274249E8</v>
      </c>
    </row>
    <row r="38" ht="12.75" customHeight="1">
      <c r="A38" s="31">
        <v>127.0</v>
      </c>
      <c r="B38" s="32" t="s">
        <v>50537</v>
      </c>
      <c r="C38" s="31">
        <v>105.0</v>
      </c>
      <c r="D38" s="32" t="s">
        <v>50538</v>
      </c>
      <c r="E38" s="32" t="s">
        <v>50539</v>
      </c>
      <c r="F38" s="31">
        <v>448.0</v>
      </c>
      <c r="G38" s="31">
        <v>1.05274481E8</v>
      </c>
    </row>
    <row r="39" ht="12.75" customHeight="1">
      <c r="A39" s="27">
        <v>127.0</v>
      </c>
      <c r="B39" s="28" t="s">
        <v>50540</v>
      </c>
      <c r="C39" s="27">
        <v>105.0</v>
      </c>
      <c r="D39" s="28" t="s">
        <v>50541</v>
      </c>
      <c r="E39" s="28" t="s">
        <v>50542</v>
      </c>
      <c r="F39" s="27">
        <v>469.0</v>
      </c>
      <c r="G39" s="27">
        <v>1.05274694E8</v>
      </c>
    </row>
    <row r="40" ht="12.75" customHeight="1">
      <c r="A40" s="31">
        <v>127.0</v>
      </c>
      <c r="B40" s="32" t="s">
        <v>50543</v>
      </c>
      <c r="C40" s="31">
        <v>105.0</v>
      </c>
      <c r="D40" s="32" t="s">
        <v>50544</v>
      </c>
      <c r="E40" s="32" t="s">
        <v>50545</v>
      </c>
      <c r="F40" s="31">
        <v>532.0</v>
      </c>
      <c r="G40" s="31">
        <v>1.05275327E8</v>
      </c>
    </row>
    <row r="41" ht="12.75" customHeight="1">
      <c r="A41" s="27">
        <v>127.0</v>
      </c>
      <c r="B41" s="28" t="s">
        <v>50546</v>
      </c>
      <c r="C41" s="27">
        <v>105.0</v>
      </c>
      <c r="D41" s="28" t="s">
        <v>50547</v>
      </c>
      <c r="E41" s="28" t="s">
        <v>50548</v>
      </c>
      <c r="F41" s="27">
        <v>673.0</v>
      </c>
      <c r="G41" s="27">
        <v>1.05276739E8</v>
      </c>
    </row>
    <row r="42" ht="12.75" customHeight="1">
      <c r="A42" s="31">
        <v>728.0</v>
      </c>
      <c r="B42" s="32" t="s">
        <v>50549</v>
      </c>
      <c r="C42" s="31">
        <v>105.0</v>
      </c>
      <c r="D42" s="32" t="s">
        <v>50550</v>
      </c>
      <c r="E42" s="32" t="s">
        <v>50551</v>
      </c>
      <c r="F42" s="33">
        <v>67.0</v>
      </c>
      <c r="G42" s="31">
        <v>1.05280675E8</v>
      </c>
    </row>
    <row r="43" ht="12.75" customHeight="1">
      <c r="A43" s="27">
        <v>329.0</v>
      </c>
      <c r="B43" s="28" t="s">
        <v>50552</v>
      </c>
      <c r="C43" s="27">
        <v>105.0</v>
      </c>
      <c r="D43" s="28" t="s">
        <v>50553</v>
      </c>
      <c r="E43" s="28" t="s">
        <v>50554</v>
      </c>
      <c r="F43" s="29">
        <v>52.0</v>
      </c>
      <c r="G43" s="27">
        <v>1.05290528E8</v>
      </c>
    </row>
    <row r="44" ht="12.75" customHeight="1">
      <c r="A44" s="31">
        <v>230.0</v>
      </c>
      <c r="B44" s="32" t="s">
        <v>50555</v>
      </c>
      <c r="C44" s="31">
        <v>105.0</v>
      </c>
      <c r="D44" s="32" t="s">
        <v>50556</v>
      </c>
      <c r="E44" s="32" t="s">
        <v>50557</v>
      </c>
      <c r="F44" s="33">
        <v>9.0</v>
      </c>
      <c r="G44" s="31">
        <v>1.05300092E8</v>
      </c>
    </row>
    <row r="45" ht="12.75" customHeight="1">
      <c r="A45" s="27">
        <v>230.0</v>
      </c>
      <c r="B45" s="28" t="s">
        <v>50558</v>
      </c>
      <c r="C45" s="27">
        <v>105.0</v>
      </c>
      <c r="D45" s="28" t="s">
        <v>50559</v>
      </c>
      <c r="E45" s="28" t="s">
        <v>50560</v>
      </c>
      <c r="F45" s="29">
        <v>52.0</v>
      </c>
      <c r="G45" s="27">
        <v>1.05300526E8</v>
      </c>
    </row>
    <row r="46" ht="12.75" customHeight="1">
      <c r="A46" s="31">
        <v>230.0</v>
      </c>
      <c r="B46" s="32" t="s">
        <v>50561</v>
      </c>
      <c r="C46" s="31">
        <v>105.0</v>
      </c>
      <c r="D46" s="32" t="s">
        <v>50562</v>
      </c>
      <c r="E46" s="32" t="s">
        <v>50563</v>
      </c>
      <c r="F46" s="33">
        <v>61.0</v>
      </c>
      <c r="G46" s="31">
        <v>1.05300618E8</v>
      </c>
    </row>
    <row r="47" ht="12.75" customHeight="1">
      <c r="A47" s="27">
        <v>230.0</v>
      </c>
      <c r="B47" s="28" t="s">
        <v>50564</v>
      </c>
      <c r="C47" s="27">
        <v>105.0</v>
      </c>
      <c r="D47" s="28" t="s">
        <v>50565</v>
      </c>
      <c r="E47" s="28" t="s">
        <v>50566</v>
      </c>
      <c r="F47" s="29">
        <v>97.0</v>
      </c>
      <c r="G47" s="27">
        <v>1.05300971E8</v>
      </c>
    </row>
    <row r="48" ht="12.75" customHeight="1">
      <c r="A48" s="31">
        <v>133.0</v>
      </c>
      <c r="B48" s="32" t="s">
        <v>50567</v>
      </c>
      <c r="C48" s="31">
        <v>105.0</v>
      </c>
      <c r="D48" s="32" t="s">
        <v>50568</v>
      </c>
      <c r="E48" s="32" t="s">
        <v>50569</v>
      </c>
      <c r="F48" s="33">
        <v>41.0</v>
      </c>
      <c r="G48" s="31">
        <v>1.05330417E8</v>
      </c>
    </row>
    <row r="49" ht="12.75" customHeight="1">
      <c r="A49" s="27">
        <v>133.0</v>
      </c>
      <c r="B49" s="28" t="s">
        <v>50570</v>
      </c>
      <c r="C49" s="27">
        <v>105.0</v>
      </c>
      <c r="D49" s="28" t="s">
        <v>50571</v>
      </c>
      <c r="E49" s="28" t="s">
        <v>50572</v>
      </c>
      <c r="F49" s="29">
        <v>55.0</v>
      </c>
      <c r="G49" s="27">
        <v>1.05330554E8</v>
      </c>
    </row>
    <row r="50" ht="12.75" customHeight="1">
      <c r="A50" s="31">
        <v>133.0</v>
      </c>
      <c r="B50" s="32" t="s">
        <v>50573</v>
      </c>
      <c r="C50" s="31">
        <v>105.0</v>
      </c>
      <c r="D50" s="32" t="s">
        <v>50574</v>
      </c>
      <c r="E50" s="32" t="s">
        <v>50575</v>
      </c>
      <c r="F50" s="31">
        <v>142.0</v>
      </c>
      <c r="G50" s="31">
        <v>1.05331429E8</v>
      </c>
    </row>
    <row r="51" ht="12.75" customHeight="1">
      <c r="A51" s="27">
        <v>133.0</v>
      </c>
      <c r="B51" s="28" t="s">
        <v>50576</v>
      </c>
      <c r="C51" s="27">
        <v>105.0</v>
      </c>
      <c r="D51" s="28" t="s">
        <v>50577</v>
      </c>
      <c r="E51" s="28" t="s">
        <v>50578</v>
      </c>
      <c r="F51" s="27">
        <v>148.0</v>
      </c>
      <c r="G51" s="27">
        <v>1.05331487E8</v>
      </c>
    </row>
    <row r="52" ht="12.75" customHeight="1">
      <c r="A52" s="31">
        <v>435.0</v>
      </c>
      <c r="B52" s="32" t="s">
        <v>50579</v>
      </c>
      <c r="C52" s="31">
        <v>105.0</v>
      </c>
      <c r="D52" s="32" t="s">
        <v>50580</v>
      </c>
      <c r="E52" s="32" t="s">
        <v>50581</v>
      </c>
      <c r="F52" s="33">
        <v>37.0</v>
      </c>
      <c r="G52" s="31">
        <v>1.05350376E8</v>
      </c>
    </row>
    <row r="53" ht="12.75" customHeight="1">
      <c r="A53" s="27">
        <v>441.0</v>
      </c>
      <c r="B53" s="28" t="s">
        <v>50582</v>
      </c>
      <c r="C53" s="27">
        <v>105.0</v>
      </c>
      <c r="D53" s="28" t="s">
        <v>50583</v>
      </c>
      <c r="E53" s="28" t="s">
        <v>50584</v>
      </c>
      <c r="F53" s="29">
        <v>10.0</v>
      </c>
      <c r="G53" s="27">
        <v>1.05410108E8</v>
      </c>
    </row>
    <row r="54" ht="12.75" customHeight="1">
      <c r="A54" s="31">
        <v>441.0</v>
      </c>
      <c r="B54" s="32" t="s">
        <v>50585</v>
      </c>
      <c r="C54" s="31">
        <v>105.0</v>
      </c>
      <c r="D54" s="32" t="s">
        <v>50586</v>
      </c>
      <c r="E54" s="32" t="s">
        <v>50587</v>
      </c>
      <c r="F54" s="33">
        <v>94.0</v>
      </c>
      <c r="G54" s="31">
        <v>1.0541094E8</v>
      </c>
    </row>
    <row r="55" ht="12.75" customHeight="1">
      <c r="A55" s="27">
        <v>441.0</v>
      </c>
      <c r="B55" s="28" t="s">
        <v>50588</v>
      </c>
      <c r="C55" s="27">
        <v>105.0</v>
      </c>
      <c r="D55" s="28" t="s">
        <v>50589</v>
      </c>
      <c r="E55" s="28" t="s">
        <v>50590</v>
      </c>
      <c r="F55" s="27">
        <v>121.0</v>
      </c>
      <c r="G55" s="27">
        <v>1.05411215E8</v>
      </c>
    </row>
    <row r="56" ht="12.75" customHeight="1">
      <c r="A56" s="31">
        <v>441.0</v>
      </c>
      <c r="B56" s="32" t="s">
        <v>50591</v>
      </c>
      <c r="C56" s="31">
        <v>105.0</v>
      </c>
      <c r="D56" s="32" t="s">
        <v>50592</v>
      </c>
      <c r="E56" s="32" t="s">
        <v>50593</v>
      </c>
      <c r="F56" s="31">
        <v>125.0</v>
      </c>
      <c r="G56" s="31">
        <v>1.05411257E8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441.0</v>
      </c>
      <c r="B1" s="28" t="s">
        <v>50594</v>
      </c>
      <c r="C1" s="27">
        <v>105.0</v>
      </c>
      <c r="D1" s="28" t="s">
        <v>50595</v>
      </c>
      <c r="E1" s="28" t="s">
        <v>50596</v>
      </c>
      <c r="F1" s="27">
        <v>160.0</v>
      </c>
      <c r="G1" s="27">
        <v>1.05411602E8</v>
      </c>
    </row>
    <row r="2" ht="12.75" customHeight="1">
      <c r="A2" s="31">
        <v>444.0</v>
      </c>
      <c r="B2" s="32" t="s">
        <v>50597</v>
      </c>
      <c r="C2" s="31">
        <v>105.0</v>
      </c>
      <c r="D2" s="32" t="s">
        <v>50598</v>
      </c>
      <c r="E2" s="32" t="s">
        <v>50599</v>
      </c>
      <c r="F2" s="33">
        <v>7.0</v>
      </c>
      <c r="G2" s="31">
        <v>1.05440073E8</v>
      </c>
    </row>
    <row r="3" ht="12.75" customHeight="1">
      <c r="A3" s="27">
        <v>444.0</v>
      </c>
      <c r="B3" s="28" t="s">
        <v>50600</v>
      </c>
      <c r="C3" s="27">
        <v>105.0</v>
      </c>
      <c r="D3" s="28" t="s">
        <v>50601</v>
      </c>
      <c r="E3" s="28" t="s">
        <v>50602</v>
      </c>
      <c r="F3" s="29">
        <v>64.0</v>
      </c>
      <c r="G3" s="27">
        <v>1.05440644E8</v>
      </c>
    </row>
    <row r="4" ht="12.75" customHeight="1">
      <c r="A4" s="31">
        <v>447.0</v>
      </c>
      <c r="B4" s="32" t="s">
        <v>50603</v>
      </c>
      <c r="C4" s="31">
        <v>105.0</v>
      </c>
      <c r="D4" s="32" t="s">
        <v>50604</v>
      </c>
      <c r="E4" s="32" t="s">
        <v>50605</v>
      </c>
      <c r="F4" s="33">
        <v>87.0</v>
      </c>
      <c r="G4" s="31">
        <v>1.05470872E8</v>
      </c>
    </row>
    <row r="5" ht="12.75" customHeight="1">
      <c r="A5" s="27">
        <v>447.0</v>
      </c>
      <c r="B5" s="28" t="s">
        <v>50606</v>
      </c>
      <c r="C5" s="27">
        <v>105.0</v>
      </c>
      <c r="D5" s="28" t="s">
        <v>50607</v>
      </c>
      <c r="E5" s="28" t="s">
        <v>50608</v>
      </c>
      <c r="F5" s="27">
        <v>127.0</v>
      </c>
      <c r="G5" s="27">
        <v>1.05471271E8</v>
      </c>
    </row>
    <row r="6" ht="12.75" customHeight="1">
      <c r="A6" s="31">
        <v>447.0</v>
      </c>
      <c r="B6" s="32" t="s">
        <v>50609</v>
      </c>
      <c r="C6" s="31">
        <v>105.0</v>
      </c>
      <c r="D6" s="32" t="s">
        <v>50610</v>
      </c>
      <c r="E6" s="32" t="s">
        <v>50611</v>
      </c>
      <c r="F6" s="31">
        <v>154.0</v>
      </c>
      <c r="G6" s="31">
        <v>1.05471547E8</v>
      </c>
    </row>
    <row r="7" ht="12.75" customHeight="1">
      <c r="A7" s="27">
        <v>450.0</v>
      </c>
      <c r="B7" s="28" t="s">
        <v>50612</v>
      </c>
      <c r="C7" s="27">
        <v>105.0</v>
      </c>
      <c r="D7" s="28" t="s">
        <v>50613</v>
      </c>
      <c r="E7" s="28" t="s">
        <v>50614</v>
      </c>
      <c r="F7" s="29">
        <v>94.0</v>
      </c>
      <c r="G7" s="27">
        <v>1.05500942E8</v>
      </c>
    </row>
    <row r="8" ht="12.75" customHeight="1">
      <c r="A8" s="31">
        <v>251.0</v>
      </c>
      <c r="B8" s="32" t="s">
        <v>50615</v>
      </c>
      <c r="C8" s="31">
        <v>105.0</v>
      </c>
      <c r="D8" s="32" t="s">
        <v>50616</v>
      </c>
      <c r="E8" s="32" t="s">
        <v>50617</v>
      </c>
      <c r="F8" s="33">
        <v>73.0</v>
      </c>
      <c r="G8" s="31">
        <v>1.05510732E8</v>
      </c>
    </row>
    <row r="9" ht="12.75" customHeight="1">
      <c r="A9" s="27">
        <v>251.0</v>
      </c>
      <c r="B9" s="28" t="s">
        <v>50618</v>
      </c>
      <c r="C9" s="27">
        <v>105.0</v>
      </c>
      <c r="D9" s="28" t="s">
        <v>50619</v>
      </c>
      <c r="E9" s="28" t="s">
        <v>50620</v>
      </c>
      <c r="F9" s="27">
        <v>103.0</v>
      </c>
      <c r="G9" s="27">
        <v>1.05511036E8</v>
      </c>
    </row>
    <row r="10" ht="12.75" customHeight="1">
      <c r="A10" s="31">
        <v>354.0</v>
      </c>
      <c r="B10" s="32" t="s">
        <v>50621</v>
      </c>
      <c r="C10" s="31">
        <v>105.0</v>
      </c>
      <c r="D10" s="32" t="s">
        <v>50622</v>
      </c>
      <c r="E10" s="32" t="s">
        <v>50623</v>
      </c>
      <c r="F10" s="33">
        <v>5.0</v>
      </c>
      <c r="G10" s="31">
        <v>1.05540052E8</v>
      </c>
    </row>
    <row r="11" ht="12.75" customHeight="1">
      <c r="A11" s="27">
        <v>455.0</v>
      </c>
      <c r="B11" s="28" t="s">
        <v>50624</v>
      </c>
      <c r="C11" s="27">
        <v>105.0</v>
      </c>
      <c r="D11" s="28" t="s">
        <v>50625</v>
      </c>
      <c r="E11" s="28" t="s">
        <v>50626</v>
      </c>
      <c r="F11" s="29">
        <v>55.0</v>
      </c>
      <c r="G11" s="27">
        <v>1.0555055E8</v>
      </c>
    </row>
    <row r="12" ht="12.75" customHeight="1">
      <c r="A12" s="31">
        <v>156.0</v>
      </c>
      <c r="B12" s="32" t="s">
        <v>50627</v>
      </c>
      <c r="C12" s="31">
        <v>105.0</v>
      </c>
      <c r="D12" s="32" t="s">
        <v>50628</v>
      </c>
      <c r="E12" s="32" t="s">
        <v>50629</v>
      </c>
      <c r="F12" s="33">
        <v>61.0</v>
      </c>
      <c r="G12" s="31">
        <v>1.05560616E8</v>
      </c>
    </row>
    <row r="13" ht="12.75" customHeight="1">
      <c r="A13" s="27">
        <v>457.0</v>
      </c>
      <c r="B13" s="28" t="s">
        <v>50630</v>
      </c>
      <c r="C13" s="27">
        <v>105.0</v>
      </c>
      <c r="D13" s="28" t="s">
        <v>50631</v>
      </c>
      <c r="E13" s="28" t="s">
        <v>50632</v>
      </c>
      <c r="F13" s="29">
        <v>37.0</v>
      </c>
      <c r="G13" s="27">
        <v>1.05570372E8</v>
      </c>
    </row>
    <row r="14" ht="12.75" customHeight="1">
      <c r="A14" s="31">
        <v>858.0</v>
      </c>
      <c r="B14" s="32" t="s">
        <v>50633</v>
      </c>
      <c r="C14" s="31">
        <v>105.0</v>
      </c>
      <c r="D14" s="32" t="s">
        <v>50634</v>
      </c>
      <c r="E14" s="32" t="s">
        <v>50635</v>
      </c>
      <c r="F14" s="33">
        <v>67.0</v>
      </c>
      <c r="G14" s="31">
        <v>1.0558067E8</v>
      </c>
    </row>
    <row r="15" ht="12.75" customHeight="1">
      <c r="A15" s="27">
        <v>858.0</v>
      </c>
      <c r="B15" s="28" t="s">
        <v>50636</v>
      </c>
      <c r="C15" s="27">
        <v>105.0</v>
      </c>
      <c r="D15" s="28" t="s">
        <v>50637</v>
      </c>
      <c r="E15" s="28" t="s">
        <v>50638</v>
      </c>
      <c r="F15" s="27">
        <v>118.0</v>
      </c>
      <c r="G15" s="27">
        <v>1.05581187E8</v>
      </c>
    </row>
    <row r="16" ht="12.75" customHeight="1">
      <c r="A16" s="31">
        <v>159.0</v>
      </c>
      <c r="B16" s="32" t="s">
        <v>50639</v>
      </c>
      <c r="C16" s="31">
        <v>105.0</v>
      </c>
      <c r="D16" s="32" t="s">
        <v>50640</v>
      </c>
      <c r="E16" s="32" t="s">
        <v>50641</v>
      </c>
      <c r="F16" s="31">
        <v>154.0</v>
      </c>
      <c r="G16" s="31">
        <v>1.05591548E8</v>
      </c>
    </row>
    <row r="17" ht="12.75" customHeight="1">
      <c r="A17" s="27">
        <v>161.0</v>
      </c>
      <c r="B17" s="28" t="s">
        <v>50642</v>
      </c>
      <c r="C17" s="27">
        <v>105.0</v>
      </c>
      <c r="D17" s="28" t="s">
        <v>50643</v>
      </c>
      <c r="E17" s="28" t="s">
        <v>50644</v>
      </c>
      <c r="F17" s="29">
        <v>31.0</v>
      </c>
      <c r="G17" s="27">
        <v>1.05610311E8</v>
      </c>
    </row>
    <row r="18" ht="12.75" customHeight="1">
      <c r="A18" s="31">
        <v>161.0</v>
      </c>
      <c r="B18" s="32" t="s">
        <v>50645</v>
      </c>
      <c r="C18" s="31">
        <v>105.0</v>
      </c>
      <c r="D18" s="32" t="s">
        <v>50646</v>
      </c>
      <c r="E18" s="32" t="s">
        <v>50647</v>
      </c>
      <c r="F18" s="31">
        <v>146.0</v>
      </c>
      <c r="G18" s="31">
        <v>1.0561146E8</v>
      </c>
    </row>
    <row r="19" ht="12.75" customHeight="1">
      <c r="A19" s="27">
        <v>161.0</v>
      </c>
      <c r="B19" s="28" t="s">
        <v>50648</v>
      </c>
      <c r="C19" s="27">
        <v>105.0</v>
      </c>
      <c r="D19" s="28" t="s">
        <v>50649</v>
      </c>
      <c r="E19" s="28" t="s">
        <v>50650</v>
      </c>
      <c r="F19" s="27">
        <v>175.0</v>
      </c>
      <c r="G19" s="27">
        <v>1.05611752E8</v>
      </c>
    </row>
    <row r="20" ht="12.75" customHeight="1">
      <c r="A20" s="31">
        <v>564.0</v>
      </c>
      <c r="B20" s="32" t="s">
        <v>50651</v>
      </c>
      <c r="C20" s="31">
        <v>105.0</v>
      </c>
      <c r="D20" s="32" t="s">
        <v>50652</v>
      </c>
      <c r="E20" s="32" t="s">
        <v>50653</v>
      </c>
      <c r="F20" s="31">
        <v>118.0</v>
      </c>
      <c r="G20" s="31">
        <v>1.0564118E8</v>
      </c>
    </row>
    <row r="21" ht="12.75" customHeight="1">
      <c r="A21" s="27">
        <v>465.0</v>
      </c>
      <c r="B21" s="28" t="s">
        <v>50654</v>
      </c>
      <c r="C21" s="27">
        <v>105.0</v>
      </c>
      <c r="D21" s="28" t="s">
        <v>50655</v>
      </c>
      <c r="E21" s="28" t="s">
        <v>50656</v>
      </c>
      <c r="F21" s="29">
        <v>47.0</v>
      </c>
      <c r="G21" s="27">
        <v>1.05650476E8</v>
      </c>
    </row>
    <row r="22" ht="12.75" customHeight="1">
      <c r="A22" s="31">
        <v>465.0</v>
      </c>
      <c r="B22" s="32" t="s">
        <v>50657</v>
      </c>
      <c r="C22" s="31">
        <v>105.0</v>
      </c>
      <c r="D22" s="32" t="s">
        <v>50658</v>
      </c>
      <c r="E22" s="32" t="s">
        <v>50659</v>
      </c>
      <c r="F22" s="33">
        <v>64.0</v>
      </c>
      <c r="G22" s="31">
        <v>1.05650647E8</v>
      </c>
    </row>
    <row r="23" ht="12.75" customHeight="1">
      <c r="A23" s="27">
        <v>167.0</v>
      </c>
      <c r="B23" s="28" t="s">
        <v>50660</v>
      </c>
      <c r="C23" s="27">
        <v>105.0</v>
      </c>
      <c r="D23" s="28" t="s">
        <v>50661</v>
      </c>
      <c r="E23" s="28" t="s">
        <v>50662</v>
      </c>
      <c r="F23" s="27">
        <v>118.0</v>
      </c>
      <c r="G23" s="27">
        <v>1.05671189E8</v>
      </c>
    </row>
    <row r="24" ht="12.75" customHeight="1">
      <c r="A24" s="31">
        <v>168.0</v>
      </c>
      <c r="B24" s="32" t="s">
        <v>50663</v>
      </c>
      <c r="C24" s="31">
        <v>105.0</v>
      </c>
      <c r="D24" s="32" t="s">
        <v>50664</v>
      </c>
      <c r="E24" s="32" t="s">
        <v>50665</v>
      </c>
      <c r="F24" s="33">
        <v>68.0</v>
      </c>
      <c r="G24" s="31">
        <v>1.05680688E8</v>
      </c>
    </row>
    <row r="25" ht="12.75" customHeight="1">
      <c r="A25" s="27">
        <v>569.0</v>
      </c>
      <c r="B25" s="28" t="s">
        <v>50666</v>
      </c>
      <c r="C25" s="27">
        <v>105.0</v>
      </c>
      <c r="D25" s="28" t="s">
        <v>50667</v>
      </c>
      <c r="E25" s="28" t="s">
        <v>50668</v>
      </c>
      <c r="F25" s="29">
        <v>8.0</v>
      </c>
      <c r="G25" s="27">
        <v>1.05690081E8</v>
      </c>
    </row>
    <row r="26" ht="12.75" customHeight="1">
      <c r="A26" s="31">
        <v>569.0</v>
      </c>
      <c r="B26" s="32" t="s">
        <v>50669</v>
      </c>
      <c r="C26" s="31">
        <v>105.0</v>
      </c>
      <c r="D26" s="32" t="s">
        <v>50670</v>
      </c>
      <c r="E26" s="32" t="s">
        <v>50671</v>
      </c>
      <c r="F26" s="31">
        <v>109.0</v>
      </c>
      <c r="G26" s="31">
        <v>1.05691093E8</v>
      </c>
    </row>
    <row r="27" ht="12.75" customHeight="1">
      <c r="A27" s="27">
        <v>570.0</v>
      </c>
      <c r="B27" s="28" t="s">
        <v>50672</v>
      </c>
      <c r="C27" s="27">
        <v>105.0</v>
      </c>
      <c r="D27" s="28" t="s">
        <v>50673</v>
      </c>
      <c r="E27" s="28" t="s">
        <v>50674</v>
      </c>
      <c r="F27" s="29">
        <v>52.0</v>
      </c>
      <c r="G27" s="27">
        <v>1.05700526E8</v>
      </c>
    </row>
    <row r="28" ht="12.75" customHeight="1">
      <c r="A28" s="31">
        <v>773.0</v>
      </c>
      <c r="B28" s="32" t="s">
        <v>50675</v>
      </c>
      <c r="C28" s="31">
        <v>105.0</v>
      </c>
      <c r="D28" s="32" t="s">
        <v>50676</v>
      </c>
      <c r="E28" s="32" t="s">
        <v>50677</v>
      </c>
      <c r="F28" s="33">
        <v>79.0</v>
      </c>
      <c r="G28" s="31">
        <v>1.05730796E8</v>
      </c>
    </row>
    <row r="29" ht="12.75" customHeight="1">
      <c r="A29" s="27">
        <v>275.0</v>
      </c>
      <c r="B29" s="28" t="s">
        <v>50678</v>
      </c>
      <c r="C29" s="27">
        <v>105.0</v>
      </c>
      <c r="D29" s="28" t="s">
        <v>50679</v>
      </c>
      <c r="E29" s="28" t="s">
        <v>50680</v>
      </c>
      <c r="F29" s="29">
        <v>70.0</v>
      </c>
      <c r="G29" s="27">
        <v>1.05750705E8</v>
      </c>
    </row>
    <row r="30" ht="12.75" customHeight="1">
      <c r="A30" s="31">
        <v>576.0</v>
      </c>
      <c r="B30" s="32" t="s">
        <v>50681</v>
      </c>
      <c r="C30" s="31">
        <v>105.0</v>
      </c>
      <c r="D30" s="32" t="s">
        <v>50682</v>
      </c>
      <c r="E30" s="32" t="s">
        <v>50683</v>
      </c>
      <c r="F30" s="31">
        <v>178.0</v>
      </c>
      <c r="G30" s="31">
        <v>1.05761781E8</v>
      </c>
    </row>
    <row r="31" ht="12.75" customHeight="1">
      <c r="A31" s="27">
        <v>378.0</v>
      </c>
      <c r="B31" s="28" t="s">
        <v>50684</v>
      </c>
      <c r="C31" s="27">
        <v>105.0</v>
      </c>
      <c r="D31" s="28" t="s">
        <v>50685</v>
      </c>
      <c r="E31" s="28" t="s">
        <v>50686</v>
      </c>
      <c r="F31" s="29">
        <v>19.0</v>
      </c>
      <c r="G31" s="27">
        <v>1.05780191E8</v>
      </c>
    </row>
    <row r="32" ht="12.75" customHeight="1">
      <c r="A32" s="31">
        <v>378.0</v>
      </c>
      <c r="B32" s="32" t="s">
        <v>50687</v>
      </c>
      <c r="C32" s="31">
        <v>105.0</v>
      </c>
      <c r="D32" s="32" t="s">
        <v>50688</v>
      </c>
      <c r="E32" s="32" t="s">
        <v>50689</v>
      </c>
      <c r="F32" s="33">
        <v>49.0</v>
      </c>
      <c r="G32" s="31">
        <v>1.05780496E8</v>
      </c>
    </row>
    <row r="33" ht="12.75" customHeight="1">
      <c r="A33" s="27">
        <v>378.0</v>
      </c>
      <c r="B33" s="28" t="s">
        <v>50690</v>
      </c>
      <c r="C33" s="27">
        <v>105.0</v>
      </c>
      <c r="D33" s="28" t="s">
        <v>50691</v>
      </c>
      <c r="E33" s="28" t="s">
        <v>50692</v>
      </c>
      <c r="F33" s="27">
        <v>109.0</v>
      </c>
      <c r="G33" s="27">
        <v>1.05781095E8</v>
      </c>
    </row>
    <row r="34" ht="12.75" customHeight="1">
      <c r="A34" s="31">
        <v>379.0</v>
      </c>
      <c r="B34" s="32" t="s">
        <v>50693</v>
      </c>
      <c r="C34" s="31">
        <v>105.0</v>
      </c>
      <c r="D34" s="32" t="s">
        <v>50694</v>
      </c>
      <c r="E34" s="32" t="s">
        <v>50695</v>
      </c>
      <c r="F34" s="33">
        <v>97.0</v>
      </c>
      <c r="G34" s="31">
        <v>1.05790978E8</v>
      </c>
    </row>
    <row r="35" ht="12.75" customHeight="1">
      <c r="A35" s="27">
        <v>581.0</v>
      </c>
      <c r="B35" s="28" t="s">
        <v>50696</v>
      </c>
      <c r="C35" s="27">
        <v>105.0</v>
      </c>
      <c r="D35" s="28" t="s">
        <v>50697</v>
      </c>
      <c r="E35" s="28" t="s">
        <v>50698</v>
      </c>
      <c r="F35" s="27">
        <v>193.0</v>
      </c>
      <c r="G35" s="27">
        <v>1.05811936E8</v>
      </c>
    </row>
    <row r="36" ht="12.75" customHeight="1">
      <c r="A36" s="31">
        <v>284.0</v>
      </c>
      <c r="B36" s="32" t="s">
        <v>50699</v>
      </c>
      <c r="C36" s="31">
        <v>105.0</v>
      </c>
      <c r="D36" s="32" t="s">
        <v>50700</v>
      </c>
      <c r="E36" s="32" t="s">
        <v>50701</v>
      </c>
      <c r="F36" s="33">
        <v>52.0</v>
      </c>
      <c r="G36" s="31">
        <v>1.05840523E8</v>
      </c>
    </row>
    <row r="37" ht="12.75" customHeight="1">
      <c r="A37" s="27">
        <v>785.0</v>
      </c>
      <c r="B37" s="28" t="s">
        <v>50702</v>
      </c>
      <c r="C37" s="27">
        <v>105.0</v>
      </c>
      <c r="D37" s="28" t="s">
        <v>50703</v>
      </c>
      <c r="E37" s="28" t="s">
        <v>50704</v>
      </c>
      <c r="F37" s="27">
        <v>145.0</v>
      </c>
      <c r="G37" s="27">
        <v>1.05851459E8</v>
      </c>
    </row>
    <row r="38" ht="12.75" customHeight="1">
      <c r="A38" s="31">
        <v>386.0</v>
      </c>
      <c r="B38" s="32" t="s">
        <v>50705</v>
      </c>
      <c r="C38" s="31">
        <v>105.0</v>
      </c>
      <c r="D38" s="32" t="s">
        <v>50706</v>
      </c>
      <c r="E38" s="32" t="s">
        <v>50707</v>
      </c>
      <c r="F38" s="33">
        <v>19.0</v>
      </c>
      <c r="G38" s="31">
        <v>1.0586019E8</v>
      </c>
    </row>
    <row r="39" ht="12.75" customHeight="1">
      <c r="A39" s="27">
        <v>386.0</v>
      </c>
      <c r="B39" s="28" t="s">
        <v>50708</v>
      </c>
      <c r="C39" s="27">
        <v>105.0</v>
      </c>
      <c r="D39" s="28" t="s">
        <v>50709</v>
      </c>
      <c r="E39" s="28" t="s">
        <v>50710</v>
      </c>
      <c r="F39" s="29">
        <v>58.0</v>
      </c>
      <c r="G39" s="27">
        <v>1.05860587E8</v>
      </c>
    </row>
    <row r="40" ht="12.75" customHeight="1">
      <c r="A40" s="31">
        <v>487.0</v>
      </c>
      <c r="B40" s="32" t="s">
        <v>50711</v>
      </c>
      <c r="C40" s="31">
        <v>105.0</v>
      </c>
      <c r="D40" s="32" t="s">
        <v>50712</v>
      </c>
      <c r="E40" s="32" t="s">
        <v>50713</v>
      </c>
      <c r="F40" s="33">
        <v>61.0</v>
      </c>
      <c r="G40" s="31">
        <v>1.05870614E8</v>
      </c>
    </row>
    <row r="41" ht="12.75" customHeight="1">
      <c r="A41" s="27">
        <v>487.0</v>
      </c>
      <c r="B41" s="28" t="s">
        <v>50714</v>
      </c>
      <c r="C41" s="27">
        <v>105.0</v>
      </c>
      <c r="D41" s="28" t="s">
        <v>50715</v>
      </c>
      <c r="E41" s="28" t="s">
        <v>50716</v>
      </c>
      <c r="F41" s="27">
        <v>109.0</v>
      </c>
      <c r="G41" s="27">
        <v>1.05871097E8</v>
      </c>
    </row>
    <row r="42" ht="12.75" customHeight="1">
      <c r="A42" s="31">
        <v>487.0</v>
      </c>
      <c r="B42" s="32" t="s">
        <v>50717</v>
      </c>
      <c r="C42" s="31">
        <v>105.0</v>
      </c>
      <c r="D42" s="32" t="s">
        <v>50718</v>
      </c>
      <c r="E42" s="32" t="s">
        <v>50719</v>
      </c>
      <c r="F42" s="31">
        <v>121.0</v>
      </c>
      <c r="G42" s="31">
        <v>1.05871213E8</v>
      </c>
    </row>
    <row r="43" ht="12.75" customHeight="1">
      <c r="A43" s="27">
        <v>688.0</v>
      </c>
      <c r="B43" s="28" t="s">
        <v>50720</v>
      </c>
      <c r="C43" s="27">
        <v>105.0</v>
      </c>
      <c r="D43" s="28" t="s">
        <v>50721</v>
      </c>
      <c r="E43" s="28" t="s">
        <v>50722</v>
      </c>
      <c r="F43" s="29">
        <v>5.0</v>
      </c>
      <c r="G43" s="27">
        <v>1.05880059E8</v>
      </c>
    </row>
    <row r="44" ht="12.75" customHeight="1">
      <c r="A44" s="31">
        <v>890.0</v>
      </c>
      <c r="B44" s="32" t="s">
        <v>50723</v>
      </c>
      <c r="C44" s="31">
        <v>105.0</v>
      </c>
      <c r="D44" s="32" t="s">
        <v>50724</v>
      </c>
      <c r="E44" s="32" t="s">
        <v>50725</v>
      </c>
      <c r="F44" s="33">
        <v>22.0</v>
      </c>
      <c r="G44" s="31">
        <v>1.05900221E8</v>
      </c>
    </row>
    <row r="45" ht="12.75" customHeight="1">
      <c r="A45" s="27">
        <v>890.0</v>
      </c>
      <c r="B45" s="28" t="s">
        <v>50726</v>
      </c>
      <c r="C45" s="27">
        <v>105.0</v>
      </c>
      <c r="D45" s="28" t="s">
        <v>50727</v>
      </c>
      <c r="E45" s="28" t="s">
        <v>50728</v>
      </c>
      <c r="F45" s="29">
        <v>43.0</v>
      </c>
      <c r="G45" s="27">
        <v>1.05900434E8</v>
      </c>
    </row>
    <row r="46" ht="12.75" customHeight="1">
      <c r="A46" s="31">
        <v>891.0</v>
      </c>
      <c r="B46" s="32" t="s">
        <v>50729</v>
      </c>
      <c r="C46" s="31">
        <v>105.0</v>
      </c>
      <c r="D46" s="32" t="s">
        <v>50730</v>
      </c>
      <c r="E46" s="32" t="s">
        <v>50731</v>
      </c>
      <c r="F46" s="33">
        <v>7.0</v>
      </c>
      <c r="G46" s="31">
        <v>1.05910079E8</v>
      </c>
    </row>
    <row r="47" ht="12.75" customHeight="1">
      <c r="A47" s="27">
        <v>891.0</v>
      </c>
      <c r="B47" s="28" t="s">
        <v>50732</v>
      </c>
      <c r="C47" s="27">
        <v>105.0</v>
      </c>
      <c r="D47" s="28" t="s">
        <v>50733</v>
      </c>
      <c r="E47" s="28" t="s">
        <v>50734</v>
      </c>
      <c r="F47" s="29">
        <v>31.0</v>
      </c>
      <c r="G47" s="27">
        <v>1.05910316E8</v>
      </c>
    </row>
    <row r="48" ht="12.75" customHeight="1">
      <c r="A48" s="31">
        <v>891.0</v>
      </c>
      <c r="B48" s="32" t="s">
        <v>50735</v>
      </c>
      <c r="C48" s="31">
        <v>105.0</v>
      </c>
      <c r="D48" s="32" t="s">
        <v>50736</v>
      </c>
      <c r="E48" s="32" t="s">
        <v>50737</v>
      </c>
      <c r="F48" s="33">
        <v>43.0</v>
      </c>
      <c r="G48" s="31">
        <v>1.05910437E8</v>
      </c>
    </row>
    <row r="49" ht="12.75" customHeight="1">
      <c r="A49" s="27">
        <v>891.0</v>
      </c>
      <c r="B49" s="28" t="s">
        <v>50738</v>
      </c>
      <c r="C49" s="27">
        <v>105.0</v>
      </c>
      <c r="D49" s="28" t="s">
        <v>50739</v>
      </c>
      <c r="E49" s="28" t="s">
        <v>50740</v>
      </c>
      <c r="F49" s="27">
        <v>355.0</v>
      </c>
      <c r="G49" s="27">
        <v>1.05913555E8</v>
      </c>
    </row>
    <row r="50" ht="12.75" customHeight="1">
      <c r="A50" s="31">
        <v>891.0</v>
      </c>
      <c r="B50" s="32" t="s">
        <v>50741</v>
      </c>
      <c r="C50" s="31">
        <v>105.0</v>
      </c>
      <c r="D50" s="32" t="s">
        <v>50742</v>
      </c>
      <c r="E50" s="32" t="s">
        <v>50743</v>
      </c>
      <c r="F50" s="31">
        <v>385.0</v>
      </c>
      <c r="G50" s="31">
        <v>1.0591385E8</v>
      </c>
    </row>
    <row r="51" ht="12.75" customHeight="1">
      <c r="A51" s="27">
        <v>193.0</v>
      </c>
      <c r="B51" s="28" t="s">
        <v>50744</v>
      </c>
      <c r="C51" s="27">
        <v>105.0</v>
      </c>
      <c r="D51" s="28" t="s">
        <v>50745</v>
      </c>
      <c r="E51" s="28" t="s">
        <v>50746</v>
      </c>
      <c r="F51" s="29">
        <v>46.0</v>
      </c>
      <c r="G51" s="27">
        <v>1.05930462E8</v>
      </c>
    </row>
    <row r="52" ht="12.75" customHeight="1">
      <c r="A52" s="31">
        <v>193.0</v>
      </c>
      <c r="B52" s="32" t="s">
        <v>50747</v>
      </c>
      <c r="C52" s="31">
        <v>105.0</v>
      </c>
      <c r="D52" s="32" t="s">
        <v>50748</v>
      </c>
      <c r="E52" s="32" t="s">
        <v>50749</v>
      </c>
      <c r="F52" s="31">
        <v>109.0</v>
      </c>
      <c r="G52" s="31">
        <v>1.0593109E8</v>
      </c>
    </row>
    <row r="53" ht="12.75" customHeight="1">
      <c r="A53" s="27">
        <v>193.0</v>
      </c>
      <c r="B53" s="28" t="s">
        <v>50750</v>
      </c>
      <c r="C53" s="27">
        <v>105.0</v>
      </c>
      <c r="D53" s="28" t="s">
        <v>50751</v>
      </c>
      <c r="E53" s="28" t="s">
        <v>50752</v>
      </c>
      <c r="F53" s="27">
        <v>229.0</v>
      </c>
      <c r="G53" s="27">
        <v>1.05932299E8</v>
      </c>
    </row>
    <row r="54" ht="12.75" customHeight="1">
      <c r="A54" s="31">
        <v>215.0</v>
      </c>
      <c r="B54" s="32" t="s">
        <v>50753</v>
      </c>
      <c r="C54" s="31">
        <v>110.0</v>
      </c>
      <c r="D54" s="32" t="s">
        <v>50754</v>
      </c>
      <c r="E54" s="32" t="s">
        <v>50755</v>
      </c>
      <c r="F54" s="31">
        <v>454.0</v>
      </c>
      <c r="G54" s="31">
        <v>1.10154541E8</v>
      </c>
    </row>
    <row r="55" ht="12.75" customHeight="1">
      <c r="A55" s="27">
        <v>126.0</v>
      </c>
      <c r="B55" s="28" t="s">
        <v>50756</v>
      </c>
      <c r="C55" s="27">
        <v>110.0</v>
      </c>
      <c r="D55" s="28" t="s">
        <v>50757</v>
      </c>
      <c r="E55" s="28" t="s">
        <v>50758</v>
      </c>
      <c r="F55" s="27">
        <v>172.0</v>
      </c>
      <c r="G55" s="27">
        <v>1.10261726E8</v>
      </c>
    </row>
    <row r="56" ht="12.75" customHeight="1">
      <c r="A56" s="31">
        <v>126.0</v>
      </c>
      <c r="B56" s="32" t="s">
        <v>50759</v>
      </c>
      <c r="C56" s="31">
        <v>110.0</v>
      </c>
      <c r="D56" s="32" t="s">
        <v>50760</v>
      </c>
      <c r="E56" s="32" t="s">
        <v>50761</v>
      </c>
      <c r="F56" s="31">
        <v>253.0</v>
      </c>
      <c r="G56" s="31">
        <v>1.10262538E8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50762</v>
      </c>
      <c r="C1" s="27">
        <v>110.0</v>
      </c>
      <c r="D1" s="28" t="s">
        <v>50763</v>
      </c>
      <c r="E1" s="28" t="s">
        <v>50764</v>
      </c>
      <c r="F1" s="27">
        <v>463.0</v>
      </c>
      <c r="G1" s="27">
        <v>1.10264631E8</v>
      </c>
    </row>
    <row r="2" ht="12.75" customHeight="1">
      <c r="A2" s="31">
        <v>127.0</v>
      </c>
      <c r="B2" s="32" t="s">
        <v>50765</v>
      </c>
      <c r="C2" s="31">
        <v>110.0</v>
      </c>
      <c r="D2" s="32" t="s">
        <v>50766</v>
      </c>
      <c r="E2" s="32" t="s">
        <v>50767</v>
      </c>
      <c r="F2" s="33">
        <v>0.0</v>
      </c>
      <c r="G2" s="31">
        <v>1.10270009E8</v>
      </c>
    </row>
    <row r="3" ht="12.75" customHeight="1">
      <c r="A3" s="27">
        <v>127.0</v>
      </c>
      <c r="B3" s="28" t="s">
        <v>50768</v>
      </c>
      <c r="C3" s="27">
        <v>110.0</v>
      </c>
      <c r="D3" s="28" t="s">
        <v>50769</v>
      </c>
      <c r="E3" s="28" t="s">
        <v>50770</v>
      </c>
      <c r="F3" s="27">
        <v>424.0</v>
      </c>
      <c r="G3" s="27">
        <v>1.10274247E8</v>
      </c>
    </row>
    <row r="4" ht="12.75" customHeight="1">
      <c r="A4" s="31">
        <v>127.0</v>
      </c>
      <c r="B4" s="32" t="s">
        <v>50771</v>
      </c>
      <c r="C4" s="31">
        <v>110.0</v>
      </c>
      <c r="D4" s="32" t="s">
        <v>50772</v>
      </c>
      <c r="E4" s="32" t="s">
        <v>50773</v>
      </c>
      <c r="F4" s="31">
        <v>481.0</v>
      </c>
      <c r="G4" s="31">
        <v>1.10274818E8</v>
      </c>
    </row>
    <row r="5" ht="12.75" customHeight="1">
      <c r="A5" s="27">
        <v>891.0</v>
      </c>
      <c r="B5" s="28" t="s">
        <v>50774</v>
      </c>
      <c r="C5" s="27">
        <v>110.0</v>
      </c>
      <c r="D5" s="28" t="s">
        <v>50775</v>
      </c>
      <c r="E5" s="28" t="s">
        <v>50776</v>
      </c>
      <c r="F5" s="27">
        <v>355.0</v>
      </c>
      <c r="G5" s="27">
        <v>1.10913553E8</v>
      </c>
    </row>
    <row r="6" ht="12.75" customHeight="1">
      <c r="A6" s="31">
        <v>215.0</v>
      </c>
      <c r="B6" s="32" t="s">
        <v>50777</v>
      </c>
      <c r="C6" s="31">
        <v>115.0</v>
      </c>
      <c r="D6" s="32" t="s">
        <v>50778</v>
      </c>
      <c r="E6" s="32" t="s">
        <v>50779</v>
      </c>
      <c r="F6" s="33">
        <v>13.0</v>
      </c>
      <c r="G6" s="31">
        <v>1.15150137E8</v>
      </c>
    </row>
    <row r="7" ht="12.75" customHeight="1">
      <c r="A7" s="27">
        <v>215.0</v>
      </c>
      <c r="B7" s="28" t="s">
        <v>50780</v>
      </c>
      <c r="C7" s="27">
        <v>115.0</v>
      </c>
      <c r="D7" s="28" t="s">
        <v>50781</v>
      </c>
      <c r="E7" s="28" t="s">
        <v>50782</v>
      </c>
      <c r="F7" s="27">
        <v>196.0</v>
      </c>
      <c r="G7" s="27">
        <v>1.15151965E8</v>
      </c>
    </row>
    <row r="8" ht="12.75" customHeight="1">
      <c r="A8" s="31">
        <v>215.0</v>
      </c>
      <c r="B8" s="32" t="s">
        <v>50783</v>
      </c>
      <c r="C8" s="31">
        <v>115.0</v>
      </c>
      <c r="D8" s="32" t="s">
        <v>50784</v>
      </c>
      <c r="E8" s="32" t="s">
        <v>50785</v>
      </c>
      <c r="F8" s="31">
        <v>295.0</v>
      </c>
      <c r="G8" s="31">
        <v>1.15152951E8</v>
      </c>
    </row>
    <row r="9" ht="12.75" customHeight="1">
      <c r="A9" s="27">
        <v>126.0</v>
      </c>
      <c r="B9" s="28" t="s">
        <v>50786</v>
      </c>
      <c r="C9" s="27">
        <v>115.0</v>
      </c>
      <c r="D9" s="28" t="s">
        <v>50787</v>
      </c>
      <c r="E9" s="28" t="s">
        <v>50788</v>
      </c>
      <c r="F9" s="29">
        <v>10.0</v>
      </c>
      <c r="G9" s="27">
        <v>1.15260106E8</v>
      </c>
    </row>
    <row r="10" ht="12.75" customHeight="1">
      <c r="A10" s="31">
        <v>126.0</v>
      </c>
      <c r="B10" s="32" t="s">
        <v>50789</v>
      </c>
      <c r="C10" s="31">
        <v>115.0</v>
      </c>
      <c r="D10" s="32" t="s">
        <v>50790</v>
      </c>
      <c r="E10" s="32" t="s">
        <v>50791</v>
      </c>
      <c r="F10" s="33">
        <v>43.0</v>
      </c>
      <c r="G10" s="31">
        <v>1.1526043E8</v>
      </c>
    </row>
    <row r="11" ht="12.75" customHeight="1">
      <c r="A11" s="27">
        <v>126.0</v>
      </c>
      <c r="B11" s="28" t="s">
        <v>50792</v>
      </c>
      <c r="C11" s="27">
        <v>115.0</v>
      </c>
      <c r="D11" s="28" t="s">
        <v>50793</v>
      </c>
      <c r="E11" s="28" t="s">
        <v>50794</v>
      </c>
      <c r="F11" s="29">
        <v>52.0</v>
      </c>
      <c r="G11" s="27">
        <v>1.15260522E8</v>
      </c>
    </row>
    <row r="12" ht="12.75" customHeight="1">
      <c r="A12" s="31">
        <v>126.0</v>
      </c>
      <c r="B12" s="32" t="s">
        <v>50795</v>
      </c>
      <c r="C12" s="31">
        <v>115.0</v>
      </c>
      <c r="D12" s="32" t="s">
        <v>50796</v>
      </c>
      <c r="E12" s="32" t="s">
        <v>50797</v>
      </c>
      <c r="F12" s="31">
        <v>112.0</v>
      </c>
      <c r="G12" s="31">
        <v>1.15261121E8</v>
      </c>
    </row>
    <row r="13" ht="12.75" customHeight="1">
      <c r="A13" s="27">
        <v>126.0</v>
      </c>
      <c r="B13" s="28" t="s">
        <v>50798</v>
      </c>
      <c r="C13" s="27">
        <v>115.0</v>
      </c>
      <c r="D13" s="28" t="s">
        <v>50799</v>
      </c>
      <c r="E13" s="28" t="s">
        <v>50800</v>
      </c>
      <c r="F13" s="27">
        <v>118.0</v>
      </c>
      <c r="G13" s="27">
        <v>1.15261189E8</v>
      </c>
    </row>
    <row r="14" ht="12.75" customHeight="1">
      <c r="A14" s="31">
        <v>126.0</v>
      </c>
      <c r="B14" s="32" t="s">
        <v>50801</v>
      </c>
      <c r="C14" s="31">
        <v>115.0</v>
      </c>
      <c r="D14" s="32" t="s">
        <v>50802</v>
      </c>
      <c r="E14" s="32" t="s">
        <v>50803</v>
      </c>
      <c r="F14" s="31">
        <v>172.0</v>
      </c>
      <c r="G14" s="31">
        <v>1.15261721E8</v>
      </c>
    </row>
    <row r="15" ht="12.75" customHeight="1">
      <c r="A15" s="27">
        <v>126.0</v>
      </c>
      <c r="B15" s="28" t="s">
        <v>50804</v>
      </c>
      <c r="C15" s="27">
        <v>115.0</v>
      </c>
      <c r="D15" s="28" t="s">
        <v>50805</v>
      </c>
      <c r="E15" s="28" t="s">
        <v>50806</v>
      </c>
      <c r="F15" s="27">
        <v>298.0</v>
      </c>
      <c r="G15" s="27">
        <v>1.15262988E8</v>
      </c>
    </row>
    <row r="16" ht="12.75" customHeight="1">
      <c r="A16" s="31">
        <v>126.0</v>
      </c>
      <c r="B16" s="32" t="s">
        <v>50807</v>
      </c>
      <c r="C16" s="31">
        <v>115.0</v>
      </c>
      <c r="D16" s="32" t="s">
        <v>50808</v>
      </c>
      <c r="E16" s="32" t="s">
        <v>50809</v>
      </c>
      <c r="F16" s="31">
        <v>463.0</v>
      </c>
      <c r="G16" s="31">
        <v>1.15264636E8</v>
      </c>
    </row>
    <row r="17" ht="12.75" customHeight="1">
      <c r="A17" s="27">
        <v>127.0</v>
      </c>
      <c r="B17" s="28" t="s">
        <v>50810</v>
      </c>
      <c r="C17" s="27">
        <v>115.0</v>
      </c>
      <c r="D17" s="28" t="s">
        <v>50811</v>
      </c>
      <c r="E17" s="28" t="s">
        <v>50812</v>
      </c>
      <c r="F17" s="29">
        <v>0.0</v>
      </c>
      <c r="G17" s="27">
        <v>1.15270004E8</v>
      </c>
    </row>
    <row r="18" ht="12.75" customHeight="1">
      <c r="A18" s="31">
        <v>127.0</v>
      </c>
      <c r="B18" s="32" t="s">
        <v>50813</v>
      </c>
      <c r="C18" s="31">
        <v>115.0</v>
      </c>
      <c r="D18" s="32" t="s">
        <v>50814</v>
      </c>
      <c r="E18" s="32" t="s">
        <v>50815</v>
      </c>
      <c r="F18" s="31">
        <v>127.0</v>
      </c>
      <c r="G18" s="31">
        <v>1.15271274E8</v>
      </c>
    </row>
    <row r="19" ht="12.75" customHeight="1">
      <c r="A19" s="27">
        <v>127.0</v>
      </c>
      <c r="B19" s="28" t="s">
        <v>50816</v>
      </c>
      <c r="C19" s="27">
        <v>115.0</v>
      </c>
      <c r="D19" s="28" t="s">
        <v>50817</v>
      </c>
      <c r="E19" s="28" t="s">
        <v>50818</v>
      </c>
      <c r="F19" s="27">
        <v>424.0</v>
      </c>
      <c r="G19" s="27">
        <v>1.15274242E8</v>
      </c>
    </row>
    <row r="20" ht="12.75" customHeight="1">
      <c r="A20" s="31">
        <v>161.0</v>
      </c>
      <c r="B20" s="32" t="s">
        <v>50819</v>
      </c>
      <c r="C20" s="31">
        <v>115.0</v>
      </c>
      <c r="D20" s="32" t="s">
        <v>50820</v>
      </c>
      <c r="E20" s="32" t="s">
        <v>50821</v>
      </c>
      <c r="F20" s="31">
        <v>175.0</v>
      </c>
      <c r="G20" s="31">
        <v>1.15611755E8</v>
      </c>
    </row>
    <row r="21" ht="12.75" customHeight="1">
      <c r="A21" s="27">
        <v>167.0</v>
      </c>
      <c r="B21" s="28" t="s">
        <v>50822</v>
      </c>
      <c r="C21" s="27">
        <v>115.0</v>
      </c>
      <c r="D21" s="28" t="s">
        <v>50823</v>
      </c>
      <c r="E21" s="28" t="s">
        <v>50824</v>
      </c>
      <c r="F21" s="27">
        <v>188.0</v>
      </c>
      <c r="G21" s="27">
        <v>1.15671887E8</v>
      </c>
    </row>
    <row r="22" ht="12.75" customHeight="1">
      <c r="A22" s="31">
        <v>891.0</v>
      </c>
      <c r="B22" s="32" t="s">
        <v>50825</v>
      </c>
      <c r="C22" s="31">
        <v>115.0</v>
      </c>
      <c r="D22" s="32" t="s">
        <v>50826</v>
      </c>
      <c r="E22" s="32" t="s">
        <v>50827</v>
      </c>
      <c r="F22" s="31">
        <v>355.0</v>
      </c>
      <c r="G22" s="31">
        <v>1.15913558E8</v>
      </c>
    </row>
    <row r="23" ht="12.75" customHeight="1">
      <c r="A23" s="27">
        <v>401.0</v>
      </c>
      <c r="B23" s="28" t="s">
        <v>50828</v>
      </c>
      <c r="C23" s="27">
        <v>120.0</v>
      </c>
      <c r="D23" s="28" t="s">
        <v>50829</v>
      </c>
      <c r="E23" s="28" t="s">
        <v>50830</v>
      </c>
      <c r="F23" s="29">
        <v>7.0</v>
      </c>
      <c r="G23" s="27">
        <v>1.20010075E8</v>
      </c>
    </row>
    <row r="24" ht="12.75" customHeight="1">
      <c r="A24" s="31">
        <v>306.0</v>
      </c>
      <c r="B24" s="32" t="s">
        <v>50831</v>
      </c>
      <c r="C24" s="31">
        <v>120.0</v>
      </c>
      <c r="D24" s="32" t="s">
        <v>50832</v>
      </c>
      <c r="E24" s="32" t="s">
        <v>50833</v>
      </c>
      <c r="F24" s="33">
        <v>28.0</v>
      </c>
      <c r="G24" s="31">
        <v>1.20060283E8</v>
      </c>
    </row>
    <row r="25" ht="12.75" customHeight="1">
      <c r="A25" s="27">
        <v>309.0</v>
      </c>
      <c r="B25" s="28" t="s">
        <v>50834</v>
      </c>
      <c r="C25" s="27">
        <v>120.0</v>
      </c>
      <c r="D25" s="28" t="s">
        <v>50835</v>
      </c>
      <c r="E25" s="28" t="s">
        <v>50836</v>
      </c>
      <c r="F25" s="29">
        <v>10.0</v>
      </c>
      <c r="G25" s="27">
        <v>1.20090103E8</v>
      </c>
    </row>
    <row r="26" ht="12.75" customHeight="1">
      <c r="A26" s="31">
        <v>610.0</v>
      </c>
      <c r="B26" s="32" t="s">
        <v>50837</v>
      </c>
      <c r="C26" s="31">
        <v>120.0</v>
      </c>
      <c r="D26" s="32" t="s">
        <v>50838</v>
      </c>
      <c r="E26" s="32" t="s">
        <v>50839</v>
      </c>
      <c r="F26" s="33">
        <v>37.0</v>
      </c>
      <c r="G26" s="31">
        <v>1.20100372E8</v>
      </c>
    </row>
    <row r="27" ht="12.75" customHeight="1">
      <c r="A27" s="27">
        <v>112.0</v>
      </c>
      <c r="B27" s="28" t="s">
        <v>50840</v>
      </c>
      <c r="C27" s="27">
        <v>120.0</v>
      </c>
      <c r="D27" s="28" t="s">
        <v>50841</v>
      </c>
      <c r="E27" s="28" t="s">
        <v>50842</v>
      </c>
      <c r="F27" s="29">
        <v>10.0</v>
      </c>
      <c r="G27" s="27">
        <v>1.20120107E8</v>
      </c>
    </row>
    <row r="28" ht="12.75" customHeight="1">
      <c r="A28" s="31">
        <v>112.0</v>
      </c>
      <c r="B28" s="32" t="s">
        <v>50843</v>
      </c>
      <c r="C28" s="31">
        <v>120.0</v>
      </c>
      <c r="D28" s="32" t="s">
        <v>50844</v>
      </c>
      <c r="E28" s="32" t="s">
        <v>50845</v>
      </c>
      <c r="F28" s="33">
        <v>43.0</v>
      </c>
      <c r="G28" s="31">
        <v>1.20120431E8</v>
      </c>
    </row>
    <row r="29" ht="12.75" customHeight="1">
      <c r="A29" s="27">
        <v>215.0</v>
      </c>
      <c r="B29" s="28" t="s">
        <v>50846</v>
      </c>
      <c r="C29" s="27">
        <v>120.0</v>
      </c>
      <c r="D29" s="28" t="s">
        <v>50847</v>
      </c>
      <c r="E29" s="28" t="s">
        <v>50848</v>
      </c>
      <c r="F29" s="29">
        <v>13.0</v>
      </c>
      <c r="G29" s="27">
        <v>1.20150135E8</v>
      </c>
    </row>
    <row r="30" ht="12.75" customHeight="1">
      <c r="A30" s="31">
        <v>215.0</v>
      </c>
      <c r="B30" s="32" t="s">
        <v>50849</v>
      </c>
      <c r="C30" s="31">
        <v>120.0</v>
      </c>
      <c r="D30" s="32" t="s">
        <v>50850</v>
      </c>
      <c r="E30" s="32" t="s">
        <v>50851</v>
      </c>
      <c r="F30" s="33">
        <v>14.0</v>
      </c>
      <c r="G30" s="31">
        <v>1.20150148E8</v>
      </c>
    </row>
    <row r="31" ht="12.75" customHeight="1">
      <c r="A31" s="27">
        <v>215.0</v>
      </c>
      <c r="B31" s="28" t="s">
        <v>50852</v>
      </c>
      <c r="C31" s="27">
        <v>120.0</v>
      </c>
      <c r="D31" s="28" t="s">
        <v>50853</v>
      </c>
      <c r="E31" s="28" t="s">
        <v>50854</v>
      </c>
      <c r="F31" s="29">
        <v>36.0</v>
      </c>
      <c r="G31" s="27">
        <v>1.20150364E8</v>
      </c>
    </row>
    <row r="32" ht="12.75" customHeight="1">
      <c r="A32" s="31">
        <v>215.0</v>
      </c>
      <c r="B32" s="32" t="s">
        <v>50855</v>
      </c>
      <c r="C32" s="31">
        <v>120.0</v>
      </c>
      <c r="D32" s="32" t="s">
        <v>50856</v>
      </c>
      <c r="E32" s="32" t="s">
        <v>50857</v>
      </c>
      <c r="F32" s="33">
        <v>52.0</v>
      </c>
      <c r="G32" s="31">
        <v>1.20150522E8</v>
      </c>
    </row>
    <row r="33" ht="12.75" customHeight="1">
      <c r="A33" s="27">
        <v>215.0</v>
      </c>
      <c r="B33" s="28" t="s">
        <v>50858</v>
      </c>
      <c r="C33" s="27">
        <v>120.0</v>
      </c>
      <c r="D33" s="28" t="s">
        <v>50859</v>
      </c>
      <c r="E33" s="28" t="s">
        <v>50860</v>
      </c>
      <c r="F33" s="27">
        <v>148.0</v>
      </c>
      <c r="G33" s="27">
        <v>1.20151484E8</v>
      </c>
    </row>
    <row r="34" ht="12.75" customHeight="1">
      <c r="A34" s="31">
        <v>215.0</v>
      </c>
      <c r="B34" s="32" t="s">
        <v>50861</v>
      </c>
      <c r="C34" s="31">
        <v>120.0</v>
      </c>
      <c r="D34" s="32" t="s">
        <v>50862</v>
      </c>
      <c r="E34" s="32" t="s">
        <v>50863</v>
      </c>
      <c r="F34" s="31">
        <v>193.0</v>
      </c>
      <c r="G34" s="31">
        <v>1.20151934E8</v>
      </c>
    </row>
    <row r="35" ht="12.75" customHeight="1">
      <c r="A35" s="27">
        <v>215.0</v>
      </c>
      <c r="B35" s="28" t="s">
        <v>50864</v>
      </c>
      <c r="C35" s="27">
        <v>120.0</v>
      </c>
      <c r="D35" s="28" t="s">
        <v>50865</v>
      </c>
      <c r="E35" s="28" t="s">
        <v>50866</v>
      </c>
      <c r="F35" s="27">
        <v>274.0</v>
      </c>
      <c r="G35" s="27">
        <v>1.20152746E8</v>
      </c>
    </row>
    <row r="36" ht="12.75" customHeight="1">
      <c r="A36" s="31">
        <v>215.0</v>
      </c>
      <c r="B36" s="32" t="s">
        <v>50867</v>
      </c>
      <c r="C36" s="31">
        <v>120.0</v>
      </c>
      <c r="D36" s="32" t="s">
        <v>50868</v>
      </c>
      <c r="E36" s="32" t="s">
        <v>50869</v>
      </c>
      <c r="F36" s="31">
        <v>322.0</v>
      </c>
      <c r="G36" s="31">
        <v>1.20153224E8</v>
      </c>
    </row>
    <row r="37" ht="12.75" customHeight="1">
      <c r="A37" s="27">
        <v>215.0</v>
      </c>
      <c r="B37" s="28" t="s">
        <v>50870</v>
      </c>
      <c r="C37" s="27">
        <v>120.0</v>
      </c>
      <c r="D37" s="28" t="s">
        <v>50871</v>
      </c>
      <c r="E37" s="28" t="s">
        <v>50872</v>
      </c>
      <c r="F37" s="27">
        <v>427.0</v>
      </c>
      <c r="G37" s="27">
        <v>1.20154278E8</v>
      </c>
    </row>
    <row r="38" ht="12.75" customHeight="1">
      <c r="A38" s="31">
        <v>215.0</v>
      </c>
      <c r="B38" s="32" t="s">
        <v>50873</v>
      </c>
      <c r="C38" s="31">
        <v>120.0</v>
      </c>
      <c r="D38" s="32" t="s">
        <v>50874</v>
      </c>
      <c r="E38" s="32" t="s">
        <v>50875</v>
      </c>
      <c r="F38" s="31">
        <v>469.0</v>
      </c>
      <c r="G38" s="31">
        <v>1.20154694E8</v>
      </c>
    </row>
    <row r="39" ht="12.75" customHeight="1">
      <c r="A39" s="27">
        <v>215.0</v>
      </c>
      <c r="B39" s="28" t="s">
        <v>50876</v>
      </c>
      <c r="C39" s="27">
        <v>120.0</v>
      </c>
      <c r="D39" s="28" t="s">
        <v>50877</v>
      </c>
      <c r="E39" s="28" t="s">
        <v>50878</v>
      </c>
      <c r="F39" s="27">
        <v>604.0</v>
      </c>
      <c r="G39" s="27">
        <v>1.20156047E8</v>
      </c>
    </row>
    <row r="40" ht="12.75" customHeight="1">
      <c r="A40" s="31">
        <v>215.0</v>
      </c>
      <c r="B40" s="32" t="s">
        <v>50879</v>
      </c>
      <c r="C40" s="31">
        <v>120.0</v>
      </c>
      <c r="D40" s="32" t="s">
        <v>50880</v>
      </c>
      <c r="E40" s="32" t="s">
        <v>50881</v>
      </c>
      <c r="F40" s="31">
        <v>715.0</v>
      </c>
      <c r="G40" s="31">
        <v>1.20157154E8</v>
      </c>
    </row>
    <row r="41" ht="12.75" customHeight="1">
      <c r="A41" s="27">
        <v>215.0</v>
      </c>
      <c r="B41" s="28" t="s">
        <v>50882</v>
      </c>
      <c r="C41" s="27">
        <v>120.0</v>
      </c>
      <c r="D41" s="28" t="s">
        <v>50883</v>
      </c>
      <c r="E41" s="28" t="s">
        <v>50884</v>
      </c>
      <c r="F41" s="27">
        <v>727.0</v>
      </c>
      <c r="G41" s="27">
        <v>1.20157275E8</v>
      </c>
    </row>
    <row r="42" ht="12.75" customHeight="1">
      <c r="A42" s="31">
        <v>215.0</v>
      </c>
      <c r="B42" s="32" t="s">
        <v>50885</v>
      </c>
      <c r="C42" s="31">
        <v>120.0</v>
      </c>
      <c r="D42" s="32" t="s">
        <v>50886</v>
      </c>
      <c r="E42" s="32" t="s">
        <v>50887</v>
      </c>
      <c r="F42" s="31">
        <v>742.0</v>
      </c>
      <c r="G42" s="31">
        <v>1.2015742E8</v>
      </c>
    </row>
    <row r="43" ht="12.75" customHeight="1">
      <c r="A43" s="27">
        <v>215.0</v>
      </c>
      <c r="B43" s="28" t="s">
        <v>50888</v>
      </c>
      <c r="C43" s="27">
        <v>120.0</v>
      </c>
      <c r="D43" s="28" t="s">
        <v>50889</v>
      </c>
      <c r="E43" s="28" t="s">
        <v>50890</v>
      </c>
      <c r="F43" s="27">
        <v>763.0</v>
      </c>
      <c r="G43" s="27">
        <v>1.20157633E8</v>
      </c>
    </row>
    <row r="44" ht="12.75" customHeight="1">
      <c r="A44" s="31">
        <v>119.0</v>
      </c>
      <c r="B44" s="32" t="s">
        <v>50891</v>
      </c>
      <c r="C44" s="31">
        <v>120.0</v>
      </c>
      <c r="D44" s="32" t="s">
        <v>50892</v>
      </c>
      <c r="E44" s="32" t="s">
        <v>50893</v>
      </c>
      <c r="F44" s="33">
        <v>88.0</v>
      </c>
      <c r="G44" s="31">
        <v>1.20190887E8</v>
      </c>
    </row>
    <row r="45" ht="12.75" customHeight="1">
      <c r="A45" s="27">
        <v>119.0</v>
      </c>
      <c r="B45" s="28" t="s">
        <v>50894</v>
      </c>
      <c r="C45" s="27">
        <v>120.0</v>
      </c>
      <c r="D45" s="28" t="s">
        <v>50895</v>
      </c>
      <c r="E45" s="28" t="s">
        <v>50896</v>
      </c>
      <c r="F45" s="27">
        <v>115.0</v>
      </c>
      <c r="G45" s="27">
        <v>1.20191152E8</v>
      </c>
    </row>
    <row r="46" ht="12.75" customHeight="1">
      <c r="A46" s="31">
        <v>119.0</v>
      </c>
      <c r="B46" s="32" t="s">
        <v>50897</v>
      </c>
      <c r="C46" s="31">
        <v>120.0</v>
      </c>
      <c r="D46" s="32" t="s">
        <v>50898</v>
      </c>
      <c r="E46" s="32" t="s">
        <v>50899</v>
      </c>
      <c r="F46" s="31">
        <v>142.0</v>
      </c>
      <c r="G46" s="31">
        <v>1.20191428E8</v>
      </c>
    </row>
    <row r="47" ht="12.75" customHeight="1">
      <c r="A47" s="27">
        <v>119.0</v>
      </c>
      <c r="B47" s="28" t="s">
        <v>50900</v>
      </c>
      <c r="C47" s="27">
        <v>120.0</v>
      </c>
      <c r="D47" s="28" t="s">
        <v>50901</v>
      </c>
      <c r="E47" s="28" t="s">
        <v>50902</v>
      </c>
      <c r="F47" s="27">
        <v>214.0</v>
      </c>
      <c r="G47" s="27">
        <v>1.20192148E8</v>
      </c>
    </row>
    <row r="48" ht="12.75" customHeight="1">
      <c r="A48" s="31">
        <v>119.0</v>
      </c>
      <c r="B48" s="32" t="s">
        <v>50903</v>
      </c>
      <c r="C48" s="31">
        <v>120.0</v>
      </c>
      <c r="D48" s="32" t="s">
        <v>50904</v>
      </c>
      <c r="E48" s="32" t="s">
        <v>50905</v>
      </c>
      <c r="F48" s="31">
        <v>412.0</v>
      </c>
      <c r="G48" s="31">
        <v>1.2019412E8</v>
      </c>
    </row>
    <row r="49" ht="12.75" customHeight="1">
      <c r="A49" s="27">
        <v>222.0</v>
      </c>
      <c r="B49" s="28" t="s">
        <v>50906</v>
      </c>
      <c r="C49" s="27">
        <v>120.0</v>
      </c>
      <c r="D49" s="28" t="s">
        <v>50907</v>
      </c>
      <c r="E49" s="28" t="s">
        <v>50908</v>
      </c>
      <c r="F49" s="29">
        <v>25.0</v>
      </c>
      <c r="G49" s="27">
        <v>1.20220252E8</v>
      </c>
    </row>
    <row r="50" ht="12.75" customHeight="1">
      <c r="A50" s="31">
        <v>126.0</v>
      </c>
      <c r="B50" s="32" t="s">
        <v>50909</v>
      </c>
      <c r="C50" s="31">
        <v>120.0</v>
      </c>
      <c r="D50" s="32" t="s">
        <v>50910</v>
      </c>
      <c r="E50" s="32" t="s">
        <v>50911</v>
      </c>
      <c r="F50" s="33">
        <v>12.0</v>
      </c>
      <c r="G50" s="31">
        <v>1.2026012E8</v>
      </c>
    </row>
    <row r="51" ht="12.75" customHeight="1">
      <c r="A51" s="27">
        <v>126.0</v>
      </c>
      <c r="B51" s="28" t="s">
        <v>50912</v>
      </c>
      <c r="C51" s="27">
        <v>120.0</v>
      </c>
      <c r="D51" s="28" t="s">
        <v>50913</v>
      </c>
      <c r="E51" s="28" t="s">
        <v>50914</v>
      </c>
      <c r="F51" s="29">
        <v>22.0</v>
      </c>
      <c r="G51" s="27">
        <v>1.20260225E8</v>
      </c>
    </row>
    <row r="52" ht="12.75" customHeight="1">
      <c r="A52" s="31">
        <v>126.0</v>
      </c>
      <c r="B52" s="32" t="s">
        <v>50915</v>
      </c>
      <c r="C52" s="31">
        <v>120.0</v>
      </c>
      <c r="D52" s="32" t="s">
        <v>50916</v>
      </c>
      <c r="E52" s="32" t="s">
        <v>50917</v>
      </c>
      <c r="F52" s="33">
        <v>43.0</v>
      </c>
      <c r="G52" s="31">
        <v>1.20260438E8</v>
      </c>
    </row>
    <row r="53" ht="12.75" customHeight="1">
      <c r="A53" s="27">
        <v>126.0</v>
      </c>
      <c r="B53" s="28" t="s">
        <v>50918</v>
      </c>
      <c r="C53" s="27">
        <v>120.0</v>
      </c>
      <c r="D53" s="28" t="s">
        <v>50919</v>
      </c>
      <c r="E53" s="28" t="s">
        <v>50920</v>
      </c>
      <c r="F53" s="29">
        <v>55.0</v>
      </c>
      <c r="G53" s="27">
        <v>1.20260559E8</v>
      </c>
    </row>
    <row r="54" ht="12.75" customHeight="1">
      <c r="A54" s="31">
        <v>126.0</v>
      </c>
      <c r="B54" s="32" t="s">
        <v>50921</v>
      </c>
      <c r="C54" s="31">
        <v>120.0</v>
      </c>
      <c r="D54" s="32" t="s">
        <v>50922</v>
      </c>
      <c r="E54" s="32" t="s">
        <v>50923</v>
      </c>
      <c r="F54" s="33">
        <v>94.0</v>
      </c>
      <c r="G54" s="31">
        <v>1.20260946E8</v>
      </c>
    </row>
    <row r="55" ht="12.75" customHeight="1">
      <c r="A55" s="27">
        <v>126.0</v>
      </c>
      <c r="B55" s="28" t="s">
        <v>50924</v>
      </c>
      <c r="C55" s="27">
        <v>120.0</v>
      </c>
      <c r="D55" s="28" t="s">
        <v>50925</v>
      </c>
      <c r="E55" s="28" t="s">
        <v>50926</v>
      </c>
      <c r="F55" s="27">
        <v>115.0</v>
      </c>
      <c r="G55" s="27">
        <v>1.20261158E8</v>
      </c>
    </row>
    <row r="56" ht="12.75" customHeight="1">
      <c r="A56" s="31">
        <v>126.0</v>
      </c>
      <c r="B56" s="32" t="s">
        <v>50927</v>
      </c>
      <c r="C56" s="31">
        <v>120.0</v>
      </c>
      <c r="D56" s="32" t="s">
        <v>50928</v>
      </c>
      <c r="E56" s="32" t="s">
        <v>50929</v>
      </c>
      <c r="F56" s="31">
        <v>118.0</v>
      </c>
      <c r="G56" s="31">
        <v>1.20261187E8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50930</v>
      </c>
      <c r="C1" s="27">
        <v>120.0</v>
      </c>
      <c r="D1" s="28" t="s">
        <v>50931</v>
      </c>
      <c r="E1" s="28" t="s">
        <v>50932</v>
      </c>
      <c r="F1" s="27">
        <v>133.0</v>
      </c>
      <c r="G1" s="27">
        <v>1.20261332E8</v>
      </c>
    </row>
    <row r="2" ht="12.75" customHeight="1">
      <c r="A2" s="31">
        <v>126.0</v>
      </c>
      <c r="B2" s="32" t="s">
        <v>50933</v>
      </c>
      <c r="C2" s="31">
        <v>120.0</v>
      </c>
      <c r="D2" s="32" t="s">
        <v>50934</v>
      </c>
      <c r="E2" s="32" t="s">
        <v>50935</v>
      </c>
      <c r="F2" s="31">
        <v>164.0</v>
      </c>
      <c r="G2" s="31">
        <v>1.2026164E8</v>
      </c>
    </row>
    <row r="3" ht="12.75" customHeight="1">
      <c r="A3" s="27">
        <v>126.0</v>
      </c>
      <c r="B3" s="28" t="s">
        <v>50936</v>
      </c>
      <c r="C3" s="27">
        <v>120.0</v>
      </c>
      <c r="D3" s="28" t="s">
        <v>50937</v>
      </c>
      <c r="E3" s="28" t="s">
        <v>50938</v>
      </c>
      <c r="F3" s="27">
        <v>172.0</v>
      </c>
      <c r="G3" s="27">
        <v>1.20261729E8</v>
      </c>
    </row>
    <row r="4" ht="12.75" customHeight="1">
      <c r="A4" s="31">
        <v>126.0</v>
      </c>
      <c r="B4" s="32" t="s">
        <v>50939</v>
      </c>
      <c r="C4" s="31">
        <v>120.0</v>
      </c>
      <c r="D4" s="32" t="s">
        <v>50940</v>
      </c>
      <c r="E4" s="32" t="s">
        <v>50941</v>
      </c>
      <c r="F4" s="31">
        <v>192.0</v>
      </c>
      <c r="G4" s="31">
        <v>1.20261929E8</v>
      </c>
    </row>
    <row r="5" ht="12.75" customHeight="1">
      <c r="A5" s="27">
        <v>126.0</v>
      </c>
      <c r="B5" s="28" t="s">
        <v>50942</v>
      </c>
      <c r="C5" s="27">
        <v>120.0</v>
      </c>
      <c r="D5" s="28" t="s">
        <v>50943</v>
      </c>
      <c r="E5" s="28" t="s">
        <v>50944</v>
      </c>
      <c r="F5" s="27">
        <v>253.0</v>
      </c>
      <c r="G5" s="27">
        <v>1.20262531E8</v>
      </c>
    </row>
    <row r="6" ht="12.75" customHeight="1">
      <c r="A6" s="31">
        <v>126.0</v>
      </c>
      <c r="B6" s="32" t="s">
        <v>50945</v>
      </c>
      <c r="C6" s="31">
        <v>120.0</v>
      </c>
      <c r="D6" s="32" t="s">
        <v>50946</v>
      </c>
      <c r="E6" s="32" t="s">
        <v>50947</v>
      </c>
      <c r="F6" s="31">
        <v>283.0</v>
      </c>
      <c r="G6" s="31">
        <v>1.20262836E8</v>
      </c>
    </row>
    <row r="7" ht="12.75" customHeight="1">
      <c r="A7" s="27">
        <v>126.0</v>
      </c>
      <c r="B7" s="28" t="s">
        <v>50948</v>
      </c>
      <c r="C7" s="27">
        <v>120.0</v>
      </c>
      <c r="D7" s="28" t="s">
        <v>50949</v>
      </c>
      <c r="E7" s="28" t="s">
        <v>50950</v>
      </c>
      <c r="F7" s="27">
        <v>298.0</v>
      </c>
      <c r="G7" s="27">
        <v>1.20262986E8</v>
      </c>
    </row>
    <row r="8" ht="12.75" customHeight="1">
      <c r="A8" s="31">
        <v>126.0</v>
      </c>
      <c r="B8" s="32" t="s">
        <v>50951</v>
      </c>
      <c r="C8" s="31">
        <v>120.0</v>
      </c>
      <c r="D8" s="32" t="s">
        <v>50952</v>
      </c>
      <c r="E8" s="32" t="s">
        <v>50953</v>
      </c>
      <c r="F8" s="31">
        <v>319.0</v>
      </c>
      <c r="G8" s="31">
        <v>1.20263198E8</v>
      </c>
    </row>
    <row r="9" ht="12.75" customHeight="1">
      <c r="A9" s="27">
        <v>126.0</v>
      </c>
      <c r="B9" s="28" t="s">
        <v>50954</v>
      </c>
      <c r="C9" s="27">
        <v>120.0</v>
      </c>
      <c r="D9" s="28" t="s">
        <v>50955</v>
      </c>
      <c r="E9" s="28" t="s">
        <v>50956</v>
      </c>
      <c r="F9" s="27">
        <v>328.0</v>
      </c>
      <c r="G9" s="27">
        <v>1.2026328E8</v>
      </c>
    </row>
    <row r="10" ht="12.75" customHeight="1">
      <c r="A10" s="31">
        <v>126.0</v>
      </c>
      <c r="B10" s="32" t="s">
        <v>50957</v>
      </c>
      <c r="C10" s="31">
        <v>120.0</v>
      </c>
      <c r="D10" s="32" t="s">
        <v>50958</v>
      </c>
      <c r="E10" s="32" t="s">
        <v>50959</v>
      </c>
      <c r="F10" s="31">
        <v>358.0</v>
      </c>
      <c r="G10" s="31">
        <v>1.20263585E8</v>
      </c>
    </row>
    <row r="11" ht="12.75" customHeight="1">
      <c r="A11" s="27">
        <v>126.0</v>
      </c>
      <c r="B11" s="28" t="s">
        <v>50960</v>
      </c>
      <c r="C11" s="27">
        <v>120.0</v>
      </c>
      <c r="D11" s="28" t="s">
        <v>50961</v>
      </c>
      <c r="E11" s="28" t="s">
        <v>50962</v>
      </c>
      <c r="F11" s="27">
        <v>370.0</v>
      </c>
      <c r="G11" s="27">
        <v>1.20263701E8</v>
      </c>
    </row>
    <row r="12" ht="12.75" customHeight="1">
      <c r="A12" s="31">
        <v>126.0</v>
      </c>
      <c r="B12" s="32" t="s">
        <v>50963</v>
      </c>
      <c r="C12" s="31">
        <v>120.0</v>
      </c>
      <c r="D12" s="32" t="s">
        <v>50964</v>
      </c>
      <c r="E12" s="32" t="s">
        <v>50965</v>
      </c>
      <c r="F12" s="31">
        <v>412.0</v>
      </c>
      <c r="G12" s="31">
        <v>1.20264126E8</v>
      </c>
    </row>
    <row r="13" ht="12.75" customHeight="1">
      <c r="A13" s="27">
        <v>126.0</v>
      </c>
      <c r="B13" s="28" t="s">
        <v>50966</v>
      </c>
      <c r="C13" s="27">
        <v>120.0</v>
      </c>
      <c r="D13" s="28" t="s">
        <v>50967</v>
      </c>
      <c r="E13" s="28" t="s">
        <v>50968</v>
      </c>
      <c r="F13" s="27">
        <v>463.0</v>
      </c>
      <c r="G13" s="27">
        <v>1.20264634E8</v>
      </c>
    </row>
    <row r="14" ht="12.75" customHeight="1">
      <c r="A14" s="31">
        <v>127.0</v>
      </c>
      <c r="B14" s="32" t="s">
        <v>50969</v>
      </c>
      <c r="C14" s="31">
        <v>120.0</v>
      </c>
      <c r="D14" s="32" t="s">
        <v>50970</v>
      </c>
      <c r="E14" s="32" t="s">
        <v>50971</v>
      </c>
      <c r="F14" s="33">
        <v>0.0</v>
      </c>
      <c r="G14" s="31">
        <v>1.20270002E8</v>
      </c>
    </row>
    <row r="15" ht="12.75" customHeight="1">
      <c r="A15" s="27">
        <v>127.0</v>
      </c>
      <c r="B15" s="28" t="s">
        <v>50972</v>
      </c>
      <c r="C15" s="27">
        <v>120.0</v>
      </c>
      <c r="D15" s="28" t="s">
        <v>50973</v>
      </c>
      <c r="E15" s="28" t="s">
        <v>50974</v>
      </c>
      <c r="F15" s="29">
        <v>13.0</v>
      </c>
      <c r="G15" s="27">
        <v>1.20270136E8</v>
      </c>
    </row>
    <row r="16" ht="12.75" customHeight="1">
      <c r="A16" s="31">
        <v>127.0</v>
      </c>
      <c r="B16" s="32" t="s">
        <v>50975</v>
      </c>
      <c r="C16" s="31">
        <v>120.0</v>
      </c>
      <c r="D16" s="32" t="s">
        <v>50976</v>
      </c>
      <c r="E16" s="32" t="s">
        <v>50977</v>
      </c>
      <c r="F16" s="33">
        <v>50.0</v>
      </c>
      <c r="G16" s="31">
        <v>1.20270507E8</v>
      </c>
    </row>
    <row r="17" ht="12.75" customHeight="1">
      <c r="A17" s="27">
        <v>127.0</v>
      </c>
      <c r="B17" s="28" t="s">
        <v>50978</v>
      </c>
      <c r="C17" s="27">
        <v>120.0</v>
      </c>
      <c r="D17" s="28" t="s">
        <v>50979</v>
      </c>
      <c r="E17" s="28" t="s">
        <v>50980</v>
      </c>
      <c r="F17" s="29">
        <v>88.0</v>
      </c>
      <c r="G17" s="27">
        <v>1.20270886E8</v>
      </c>
    </row>
    <row r="18" ht="12.75" customHeight="1">
      <c r="A18" s="31">
        <v>127.0</v>
      </c>
      <c r="B18" s="32" t="s">
        <v>50981</v>
      </c>
      <c r="C18" s="31">
        <v>120.0</v>
      </c>
      <c r="D18" s="32" t="s">
        <v>50982</v>
      </c>
      <c r="E18" s="32" t="s">
        <v>50983</v>
      </c>
      <c r="F18" s="31">
        <v>142.0</v>
      </c>
      <c r="G18" s="31">
        <v>1.20271427E8</v>
      </c>
    </row>
    <row r="19" ht="12.75" customHeight="1">
      <c r="A19" s="27">
        <v>127.0</v>
      </c>
      <c r="B19" s="28" t="s">
        <v>50984</v>
      </c>
      <c r="C19" s="27">
        <v>120.0</v>
      </c>
      <c r="D19" s="28" t="s">
        <v>50985</v>
      </c>
      <c r="E19" s="28" t="s">
        <v>50986</v>
      </c>
      <c r="F19" s="27">
        <v>170.0</v>
      </c>
      <c r="G19" s="27">
        <v>1.20271706E8</v>
      </c>
    </row>
    <row r="20" ht="12.75" customHeight="1">
      <c r="A20" s="31">
        <v>127.0</v>
      </c>
      <c r="B20" s="32" t="s">
        <v>50987</v>
      </c>
      <c r="C20" s="31">
        <v>120.0</v>
      </c>
      <c r="D20" s="32" t="s">
        <v>50988</v>
      </c>
      <c r="E20" s="32" t="s">
        <v>50989</v>
      </c>
      <c r="F20" s="31">
        <v>184.0</v>
      </c>
      <c r="G20" s="31">
        <v>1.20271843E8</v>
      </c>
    </row>
    <row r="21" ht="12.75" customHeight="1">
      <c r="A21" s="27">
        <v>127.0</v>
      </c>
      <c r="B21" s="28" t="s">
        <v>50990</v>
      </c>
      <c r="C21" s="27">
        <v>120.0</v>
      </c>
      <c r="D21" s="28" t="s">
        <v>50991</v>
      </c>
      <c r="E21" s="28" t="s">
        <v>50992</v>
      </c>
      <c r="F21" s="27">
        <v>229.0</v>
      </c>
      <c r="G21" s="27">
        <v>1.20272297E8</v>
      </c>
    </row>
    <row r="22" ht="12.75" customHeight="1">
      <c r="A22" s="31">
        <v>127.0</v>
      </c>
      <c r="B22" s="32" t="s">
        <v>50993</v>
      </c>
      <c r="C22" s="31">
        <v>120.0</v>
      </c>
      <c r="D22" s="32" t="s">
        <v>50994</v>
      </c>
      <c r="E22" s="32" t="s">
        <v>50995</v>
      </c>
      <c r="F22" s="31">
        <v>298.0</v>
      </c>
      <c r="G22" s="31">
        <v>1.20272989E8</v>
      </c>
    </row>
    <row r="23" ht="12.75" customHeight="1">
      <c r="A23" s="27">
        <v>127.0</v>
      </c>
      <c r="B23" s="28" t="s">
        <v>50996</v>
      </c>
      <c r="C23" s="27">
        <v>120.0</v>
      </c>
      <c r="D23" s="28" t="s">
        <v>50997</v>
      </c>
      <c r="E23" s="28" t="s">
        <v>50998</v>
      </c>
      <c r="F23" s="27">
        <v>364.0</v>
      </c>
      <c r="G23" s="27">
        <v>1.20273641E8</v>
      </c>
    </row>
    <row r="24" ht="12.75" customHeight="1">
      <c r="A24" s="31">
        <v>127.0</v>
      </c>
      <c r="B24" s="32" t="s">
        <v>50999</v>
      </c>
      <c r="C24" s="31">
        <v>120.0</v>
      </c>
      <c r="D24" s="32" t="s">
        <v>51000</v>
      </c>
      <c r="E24" s="32" t="s">
        <v>51001</v>
      </c>
      <c r="F24" s="31">
        <v>374.0</v>
      </c>
      <c r="G24" s="31">
        <v>1.20273746E8</v>
      </c>
    </row>
    <row r="25" ht="12.75" customHeight="1">
      <c r="A25" s="27">
        <v>127.0</v>
      </c>
      <c r="B25" s="28" t="s">
        <v>51002</v>
      </c>
      <c r="C25" s="27">
        <v>120.0</v>
      </c>
      <c r="D25" s="28" t="s">
        <v>51003</v>
      </c>
      <c r="E25" s="28" t="s">
        <v>51004</v>
      </c>
      <c r="F25" s="27">
        <v>388.0</v>
      </c>
      <c r="G25" s="27">
        <v>1.20273883E8</v>
      </c>
    </row>
    <row r="26" ht="12.75" customHeight="1">
      <c r="A26" s="31">
        <v>127.0</v>
      </c>
      <c r="B26" s="32" t="s">
        <v>51005</v>
      </c>
      <c r="C26" s="31">
        <v>120.0</v>
      </c>
      <c r="D26" s="32" t="s">
        <v>51006</v>
      </c>
      <c r="E26" s="32" t="s">
        <v>51007</v>
      </c>
      <c r="F26" s="31">
        <v>394.0</v>
      </c>
      <c r="G26" s="31">
        <v>1.20273946E8</v>
      </c>
    </row>
    <row r="27" ht="12.75" customHeight="1">
      <c r="A27" s="27">
        <v>127.0</v>
      </c>
      <c r="B27" s="28" t="s">
        <v>51008</v>
      </c>
      <c r="C27" s="27">
        <v>120.0</v>
      </c>
      <c r="D27" s="28" t="s">
        <v>51009</v>
      </c>
      <c r="E27" s="28" t="s">
        <v>51010</v>
      </c>
      <c r="F27" s="27">
        <v>404.0</v>
      </c>
      <c r="G27" s="27">
        <v>1.2027404E8</v>
      </c>
    </row>
    <row r="28" ht="12.75" customHeight="1">
      <c r="A28" s="31">
        <v>127.0</v>
      </c>
      <c r="B28" s="32" t="s">
        <v>51011</v>
      </c>
      <c r="C28" s="31">
        <v>120.0</v>
      </c>
      <c r="D28" s="32" t="s">
        <v>51012</v>
      </c>
      <c r="E28" s="32" t="s">
        <v>51013</v>
      </c>
      <c r="F28" s="31">
        <v>424.0</v>
      </c>
      <c r="G28" s="31">
        <v>1.2027424E8</v>
      </c>
    </row>
    <row r="29" ht="12.75" customHeight="1">
      <c r="A29" s="27">
        <v>127.0</v>
      </c>
      <c r="B29" s="28" t="s">
        <v>51014</v>
      </c>
      <c r="C29" s="27">
        <v>120.0</v>
      </c>
      <c r="D29" s="28" t="s">
        <v>51015</v>
      </c>
      <c r="E29" s="28" t="s">
        <v>51016</v>
      </c>
      <c r="F29" s="27">
        <v>442.0</v>
      </c>
      <c r="G29" s="27">
        <v>1.20274424E8</v>
      </c>
    </row>
    <row r="30" ht="12.75" customHeight="1">
      <c r="A30" s="31">
        <v>127.0</v>
      </c>
      <c r="B30" s="32" t="s">
        <v>51017</v>
      </c>
      <c r="C30" s="31">
        <v>120.0</v>
      </c>
      <c r="D30" s="32" t="s">
        <v>51018</v>
      </c>
      <c r="E30" s="32" t="s">
        <v>51019</v>
      </c>
      <c r="F30" s="31">
        <v>470.0</v>
      </c>
      <c r="G30" s="31">
        <v>1.20274703E8</v>
      </c>
    </row>
    <row r="31" ht="12.75" customHeight="1">
      <c r="A31" s="27">
        <v>127.0</v>
      </c>
      <c r="B31" s="28" t="s">
        <v>51020</v>
      </c>
      <c r="C31" s="27">
        <v>120.0</v>
      </c>
      <c r="D31" s="28" t="s">
        <v>51021</v>
      </c>
      <c r="E31" s="28" t="s">
        <v>51022</v>
      </c>
      <c r="F31" s="27">
        <v>475.0</v>
      </c>
      <c r="G31" s="27">
        <v>1.20274758E8</v>
      </c>
    </row>
    <row r="32" ht="12.75" customHeight="1">
      <c r="A32" s="31">
        <v>127.0</v>
      </c>
      <c r="B32" s="32" t="s">
        <v>51023</v>
      </c>
      <c r="C32" s="31">
        <v>120.0</v>
      </c>
      <c r="D32" s="32" t="s">
        <v>51024</v>
      </c>
      <c r="E32" s="32" t="s">
        <v>51025</v>
      </c>
      <c r="F32" s="31">
        <v>487.0</v>
      </c>
      <c r="G32" s="31">
        <v>1.20274879E8</v>
      </c>
    </row>
    <row r="33" ht="12.75" customHeight="1">
      <c r="A33" s="27">
        <v>127.0</v>
      </c>
      <c r="B33" s="28" t="s">
        <v>51026</v>
      </c>
      <c r="C33" s="27">
        <v>120.0</v>
      </c>
      <c r="D33" s="28" t="s">
        <v>51027</v>
      </c>
      <c r="E33" s="28" t="s">
        <v>51028</v>
      </c>
      <c r="F33" s="27">
        <v>505.0</v>
      </c>
      <c r="G33" s="27">
        <v>1.20275052E8</v>
      </c>
    </row>
    <row r="34" ht="12.75" customHeight="1">
      <c r="A34" s="31">
        <v>127.0</v>
      </c>
      <c r="B34" s="32" t="s">
        <v>51029</v>
      </c>
      <c r="C34" s="31">
        <v>120.0</v>
      </c>
      <c r="D34" s="32" t="s">
        <v>51030</v>
      </c>
      <c r="E34" s="32" t="s">
        <v>51031</v>
      </c>
      <c r="F34" s="31">
        <v>634.0</v>
      </c>
      <c r="G34" s="31">
        <v>1.20276343E8</v>
      </c>
    </row>
    <row r="35" ht="12.75" customHeight="1">
      <c r="A35" s="27">
        <v>728.0</v>
      </c>
      <c r="B35" s="28" t="s">
        <v>51032</v>
      </c>
      <c r="C35" s="27">
        <v>120.0</v>
      </c>
      <c r="D35" s="28" t="s">
        <v>51033</v>
      </c>
      <c r="E35" s="28" t="s">
        <v>51034</v>
      </c>
      <c r="F35" s="29">
        <v>5.0</v>
      </c>
      <c r="G35" s="27">
        <v>1.2028005E8</v>
      </c>
    </row>
    <row r="36" ht="12.75" customHeight="1">
      <c r="A36" s="31">
        <v>728.0</v>
      </c>
      <c r="B36" s="32" t="s">
        <v>51035</v>
      </c>
      <c r="C36" s="31">
        <v>120.0</v>
      </c>
      <c r="D36" s="32" t="s">
        <v>51036</v>
      </c>
      <c r="E36" s="32" t="s">
        <v>51037</v>
      </c>
      <c r="F36" s="33">
        <v>67.0</v>
      </c>
      <c r="G36" s="31">
        <v>1.20280676E8</v>
      </c>
    </row>
    <row r="37" ht="12.75" customHeight="1">
      <c r="A37" s="27">
        <v>728.0</v>
      </c>
      <c r="B37" s="28" t="s">
        <v>51038</v>
      </c>
      <c r="C37" s="27">
        <v>120.0</v>
      </c>
      <c r="D37" s="28" t="s">
        <v>51039</v>
      </c>
      <c r="E37" s="28" t="s">
        <v>51040</v>
      </c>
      <c r="F37" s="27">
        <v>219.0</v>
      </c>
      <c r="G37" s="27">
        <v>1.20282195E8</v>
      </c>
    </row>
    <row r="38" ht="12.75" customHeight="1">
      <c r="A38" s="31">
        <v>329.0</v>
      </c>
      <c r="B38" s="32" t="s">
        <v>51041</v>
      </c>
      <c r="C38" s="31">
        <v>120.0</v>
      </c>
      <c r="D38" s="32" t="s">
        <v>51042</v>
      </c>
      <c r="E38" s="32" t="s">
        <v>51043</v>
      </c>
      <c r="F38" s="33">
        <v>52.0</v>
      </c>
      <c r="G38" s="31">
        <v>1.20290529E8</v>
      </c>
    </row>
    <row r="39" ht="12.75" customHeight="1">
      <c r="A39" s="27">
        <v>230.0</v>
      </c>
      <c r="B39" s="28" t="s">
        <v>51044</v>
      </c>
      <c r="C39" s="27">
        <v>120.0</v>
      </c>
      <c r="D39" s="28" t="s">
        <v>51045</v>
      </c>
      <c r="E39" s="28" t="s">
        <v>51046</v>
      </c>
      <c r="F39" s="29">
        <v>52.0</v>
      </c>
      <c r="G39" s="27">
        <v>1.20300527E8</v>
      </c>
    </row>
    <row r="40" ht="12.75" customHeight="1">
      <c r="A40" s="31">
        <v>133.0</v>
      </c>
      <c r="B40" s="32" t="s">
        <v>51047</v>
      </c>
      <c r="C40" s="31">
        <v>120.0</v>
      </c>
      <c r="D40" s="32" t="s">
        <v>51048</v>
      </c>
      <c r="E40" s="32" t="s">
        <v>51049</v>
      </c>
      <c r="F40" s="33">
        <v>6.0</v>
      </c>
      <c r="G40" s="31">
        <v>1.20330063E8</v>
      </c>
    </row>
    <row r="41" ht="12.75" customHeight="1">
      <c r="A41" s="27">
        <v>133.0</v>
      </c>
      <c r="B41" s="28" t="s">
        <v>51050</v>
      </c>
      <c r="C41" s="27">
        <v>120.0</v>
      </c>
      <c r="D41" s="28" t="s">
        <v>51051</v>
      </c>
      <c r="E41" s="28" t="s">
        <v>51052</v>
      </c>
      <c r="F41" s="29">
        <v>22.0</v>
      </c>
      <c r="G41" s="27">
        <v>1.20330221E8</v>
      </c>
    </row>
    <row r="42" ht="12.75" customHeight="1">
      <c r="A42" s="31">
        <v>133.0</v>
      </c>
      <c r="B42" s="32" t="s">
        <v>51053</v>
      </c>
      <c r="C42" s="31">
        <v>120.0</v>
      </c>
      <c r="D42" s="32" t="s">
        <v>51054</v>
      </c>
      <c r="E42" s="32" t="s">
        <v>51055</v>
      </c>
      <c r="F42" s="33">
        <v>24.0</v>
      </c>
      <c r="G42" s="31">
        <v>1.20330247E8</v>
      </c>
    </row>
    <row r="43" ht="12.75" customHeight="1">
      <c r="A43" s="27">
        <v>133.0</v>
      </c>
      <c r="B43" s="28" t="s">
        <v>51056</v>
      </c>
      <c r="C43" s="27">
        <v>120.0</v>
      </c>
      <c r="D43" s="28" t="s">
        <v>51057</v>
      </c>
      <c r="E43" s="28" t="s">
        <v>51058</v>
      </c>
      <c r="F43" s="29">
        <v>27.0</v>
      </c>
      <c r="G43" s="27">
        <v>1.20330276E8</v>
      </c>
    </row>
    <row r="44" ht="12.75" customHeight="1">
      <c r="A44" s="31">
        <v>133.0</v>
      </c>
      <c r="B44" s="32" t="s">
        <v>51059</v>
      </c>
      <c r="C44" s="31">
        <v>120.0</v>
      </c>
      <c r="D44" s="32" t="s">
        <v>51060</v>
      </c>
      <c r="E44" s="32" t="s">
        <v>51061</v>
      </c>
      <c r="F44" s="33">
        <v>55.0</v>
      </c>
      <c r="G44" s="31">
        <v>1.20330555E8</v>
      </c>
    </row>
    <row r="45" ht="12.75" customHeight="1">
      <c r="A45" s="27">
        <v>133.0</v>
      </c>
      <c r="B45" s="28" t="s">
        <v>51062</v>
      </c>
      <c r="C45" s="27">
        <v>120.0</v>
      </c>
      <c r="D45" s="28" t="s">
        <v>51063</v>
      </c>
      <c r="E45" s="28" t="s">
        <v>51064</v>
      </c>
      <c r="F45" s="29">
        <v>88.0</v>
      </c>
      <c r="G45" s="27">
        <v>1.20330889E8</v>
      </c>
    </row>
    <row r="46" ht="12.75" customHeight="1">
      <c r="A46" s="31">
        <v>133.0</v>
      </c>
      <c r="B46" s="32" t="s">
        <v>51065</v>
      </c>
      <c r="C46" s="31">
        <v>120.0</v>
      </c>
      <c r="D46" s="32" t="s">
        <v>51066</v>
      </c>
      <c r="E46" s="32" t="s">
        <v>51067</v>
      </c>
      <c r="F46" s="33">
        <v>94.0</v>
      </c>
      <c r="G46" s="31">
        <v>1.20330942E8</v>
      </c>
    </row>
    <row r="47" ht="12.75" customHeight="1">
      <c r="A47" s="27">
        <v>133.0</v>
      </c>
      <c r="B47" s="28" t="s">
        <v>51068</v>
      </c>
      <c r="C47" s="27">
        <v>120.0</v>
      </c>
      <c r="D47" s="28" t="s">
        <v>51069</v>
      </c>
      <c r="E47" s="28" t="s">
        <v>51070</v>
      </c>
      <c r="F47" s="27">
        <v>100.0</v>
      </c>
      <c r="G47" s="27">
        <v>1.20331004E8</v>
      </c>
    </row>
    <row r="48" ht="12.75" customHeight="1">
      <c r="A48" s="31">
        <v>133.0</v>
      </c>
      <c r="B48" s="32" t="s">
        <v>51071</v>
      </c>
      <c r="C48" s="31">
        <v>120.0</v>
      </c>
      <c r="D48" s="32" t="s">
        <v>51072</v>
      </c>
      <c r="E48" s="32" t="s">
        <v>51073</v>
      </c>
      <c r="F48" s="31">
        <v>165.0</v>
      </c>
      <c r="G48" s="31">
        <v>1.20331659E8</v>
      </c>
    </row>
    <row r="49" ht="12.75" customHeight="1">
      <c r="A49" s="27">
        <v>836.0</v>
      </c>
      <c r="B49" s="28" t="s">
        <v>51074</v>
      </c>
      <c r="C49" s="27">
        <v>120.0</v>
      </c>
      <c r="D49" s="28" t="s">
        <v>51075</v>
      </c>
      <c r="E49" s="28" t="s">
        <v>51076</v>
      </c>
      <c r="F49" s="29">
        <v>61.0</v>
      </c>
      <c r="G49" s="27">
        <v>1.20360617E8</v>
      </c>
    </row>
    <row r="50" ht="12.75" customHeight="1">
      <c r="A50" s="31">
        <v>836.0</v>
      </c>
      <c r="B50" s="32" t="s">
        <v>51077</v>
      </c>
      <c r="C50" s="31">
        <v>120.0</v>
      </c>
      <c r="D50" s="32" t="s">
        <v>51078</v>
      </c>
      <c r="E50" s="32" t="s">
        <v>51079</v>
      </c>
      <c r="F50" s="33">
        <v>88.0</v>
      </c>
      <c r="G50" s="31">
        <v>1.20360888E8</v>
      </c>
    </row>
    <row r="51" ht="12.75" customHeight="1">
      <c r="A51" s="27">
        <v>638.0</v>
      </c>
      <c r="B51" s="28" t="s">
        <v>51080</v>
      </c>
      <c r="C51" s="27">
        <v>120.0</v>
      </c>
      <c r="D51" s="28" t="s">
        <v>51081</v>
      </c>
      <c r="E51" s="28" t="s">
        <v>51082</v>
      </c>
      <c r="F51" s="29">
        <v>40.0</v>
      </c>
      <c r="G51" s="27">
        <v>1.203804E8</v>
      </c>
    </row>
    <row r="52" ht="12.75" customHeight="1">
      <c r="A52" s="31">
        <v>139.0</v>
      </c>
      <c r="B52" s="32" t="s">
        <v>51083</v>
      </c>
      <c r="C52" s="31">
        <v>120.0</v>
      </c>
      <c r="D52" s="32" t="s">
        <v>51084</v>
      </c>
      <c r="E52" s="32" t="s">
        <v>51085</v>
      </c>
      <c r="F52" s="33">
        <v>85.0</v>
      </c>
      <c r="G52" s="31">
        <v>1.20390858E8</v>
      </c>
    </row>
    <row r="53" ht="12.75" customHeight="1">
      <c r="A53" s="27">
        <v>441.0</v>
      </c>
      <c r="B53" s="28" t="s">
        <v>51086</v>
      </c>
      <c r="C53" s="27">
        <v>120.0</v>
      </c>
      <c r="D53" s="28" t="s">
        <v>51087</v>
      </c>
      <c r="E53" s="28" t="s">
        <v>51088</v>
      </c>
      <c r="F53" s="29">
        <v>28.0</v>
      </c>
      <c r="G53" s="27">
        <v>1.20410288E8</v>
      </c>
    </row>
    <row r="54" ht="12.75" customHeight="1">
      <c r="A54" s="31">
        <v>441.0</v>
      </c>
      <c r="B54" s="32" t="s">
        <v>51089</v>
      </c>
      <c r="C54" s="31">
        <v>120.0</v>
      </c>
      <c r="D54" s="32" t="s">
        <v>51090</v>
      </c>
      <c r="E54" s="32" t="s">
        <v>51091</v>
      </c>
      <c r="F54" s="33">
        <v>94.0</v>
      </c>
      <c r="G54" s="31">
        <v>1.20410941E8</v>
      </c>
    </row>
    <row r="55" ht="12.75" customHeight="1">
      <c r="A55" s="27">
        <v>441.0</v>
      </c>
      <c r="B55" s="28" t="s">
        <v>51092</v>
      </c>
      <c r="C55" s="27">
        <v>120.0</v>
      </c>
      <c r="D55" s="28" t="s">
        <v>51093</v>
      </c>
      <c r="E55" s="28" t="s">
        <v>51094</v>
      </c>
      <c r="F55" s="27">
        <v>163.0</v>
      </c>
      <c r="G55" s="27">
        <v>1.20411632E8</v>
      </c>
    </row>
    <row r="56" ht="12.75" customHeight="1">
      <c r="A56" s="31">
        <v>444.0</v>
      </c>
      <c r="B56" s="32" t="s">
        <v>51095</v>
      </c>
      <c r="C56" s="31">
        <v>120.0</v>
      </c>
      <c r="D56" s="32" t="s">
        <v>51096</v>
      </c>
      <c r="E56" s="32" t="s">
        <v>51097</v>
      </c>
      <c r="F56" s="33">
        <v>80.0</v>
      </c>
      <c r="G56" s="31">
        <v>1.20440803E8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447.0</v>
      </c>
      <c r="B1" s="28" t="s">
        <v>51098</v>
      </c>
      <c r="C1" s="27">
        <v>120.0</v>
      </c>
      <c r="D1" s="28" t="s">
        <v>51099</v>
      </c>
      <c r="E1" s="28" t="s">
        <v>51100</v>
      </c>
      <c r="F1" s="29">
        <v>37.0</v>
      </c>
      <c r="G1" s="27">
        <v>1.20470378E8</v>
      </c>
    </row>
    <row r="2" ht="12.75" customHeight="1">
      <c r="A2" s="31">
        <v>447.0</v>
      </c>
      <c r="B2" s="32" t="s">
        <v>51101</v>
      </c>
      <c r="C2" s="31">
        <v>120.0</v>
      </c>
      <c r="D2" s="32" t="s">
        <v>51102</v>
      </c>
      <c r="E2" s="32" t="s">
        <v>51103</v>
      </c>
      <c r="F2" s="31">
        <v>154.0</v>
      </c>
      <c r="G2" s="31">
        <v>1.20471548E8</v>
      </c>
    </row>
    <row r="3" ht="12.75" customHeight="1">
      <c r="A3" s="27">
        <v>447.0</v>
      </c>
      <c r="B3" s="28" t="s">
        <v>51104</v>
      </c>
      <c r="C3" s="27">
        <v>120.0</v>
      </c>
      <c r="D3" s="28" t="s">
        <v>51105</v>
      </c>
      <c r="E3" s="28" t="s">
        <v>51106</v>
      </c>
      <c r="F3" s="27">
        <v>262.0</v>
      </c>
      <c r="G3" s="27">
        <v>1.20472626E8</v>
      </c>
    </row>
    <row r="4" ht="12.75" customHeight="1">
      <c r="A4" s="31">
        <v>148.0</v>
      </c>
      <c r="B4" s="32" t="s">
        <v>51107</v>
      </c>
      <c r="C4" s="31">
        <v>120.0</v>
      </c>
      <c r="D4" s="32" t="s">
        <v>51108</v>
      </c>
      <c r="E4" s="32" t="s">
        <v>51109</v>
      </c>
      <c r="F4" s="33">
        <v>10.0</v>
      </c>
      <c r="G4" s="31">
        <v>1.204801E8</v>
      </c>
    </row>
    <row r="5" ht="12.75" customHeight="1">
      <c r="A5" s="27">
        <v>450.0</v>
      </c>
      <c r="B5" s="28" t="s">
        <v>51110</v>
      </c>
      <c r="C5" s="27">
        <v>120.0</v>
      </c>
      <c r="D5" s="28" t="s">
        <v>51111</v>
      </c>
      <c r="E5" s="28" t="s">
        <v>51112</v>
      </c>
      <c r="F5" s="29">
        <v>94.0</v>
      </c>
      <c r="G5" s="27">
        <v>1.20500943E8</v>
      </c>
    </row>
    <row r="6" ht="12.75" customHeight="1">
      <c r="A6" s="31">
        <v>450.0</v>
      </c>
      <c r="B6" s="32" t="s">
        <v>51113</v>
      </c>
      <c r="C6" s="31">
        <v>120.0</v>
      </c>
      <c r="D6" s="32" t="s">
        <v>51114</v>
      </c>
      <c r="E6" s="32" t="s">
        <v>51115</v>
      </c>
      <c r="F6" s="31">
        <v>136.0</v>
      </c>
      <c r="G6" s="31">
        <v>1.20501368E8</v>
      </c>
    </row>
    <row r="7" ht="12.75" customHeight="1">
      <c r="A7" s="27">
        <v>251.0</v>
      </c>
      <c r="B7" s="28" t="s">
        <v>51116</v>
      </c>
      <c r="C7" s="27">
        <v>120.0</v>
      </c>
      <c r="D7" s="28" t="s">
        <v>51117</v>
      </c>
      <c r="E7" s="28" t="s">
        <v>51118</v>
      </c>
      <c r="F7" s="29">
        <v>19.0</v>
      </c>
      <c r="G7" s="27">
        <v>1.20510191E8</v>
      </c>
    </row>
    <row r="8" ht="12.75" customHeight="1">
      <c r="A8" s="31">
        <v>354.0</v>
      </c>
      <c r="B8" s="32" t="s">
        <v>51119</v>
      </c>
      <c r="C8" s="31">
        <v>120.0</v>
      </c>
      <c r="D8" s="32" t="s">
        <v>51120</v>
      </c>
      <c r="E8" s="32" t="s">
        <v>51121</v>
      </c>
      <c r="F8" s="33">
        <v>76.0</v>
      </c>
      <c r="G8" s="31">
        <v>1.20540761E8</v>
      </c>
    </row>
    <row r="9" ht="12.75" customHeight="1">
      <c r="A9" s="27">
        <v>156.0</v>
      </c>
      <c r="B9" s="28" t="s">
        <v>51122</v>
      </c>
      <c r="C9" s="27">
        <v>120.0</v>
      </c>
      <c r="D9" s="28" t="s">
        <v>51123</v>
      </c>
      <c r="E9" s="28" t="s">
        <v>51124</v>
      </c>
      <c r="F9" s="29">
        <v>61.0</v>
      </c>
      <c r="G9" s="27">
        <v>1.20560617E8</v>
      </c>
    </row>
    <row r="10" ht="12.75" customHeight="1">
      <c r="A10" s="31">
        <v>858.0</v>
      </c>
      <c r="B10" s="32" t="s">
        <v>51125</v>
      </c>
      <c r="C10" s="31">
        <v>120.0</v>
      </c>
      <c r="D10" s="32" t="s">
        <v>51126</v>
      </c>
      <c r="E10" s="32" t="s">
        <v>51127</v>
      </c>
      <c r="F10" s="31">
        <v>118.0</v>
      </c>
      <c r="G10" s="31">
        <v>1.20581188E8</v>
      </c>
    </row>
    <row r="11" ht="12.75" customHeight="1">
      <c r="A11" s="27">
        <v>858.0</v>
      </c>
      <c r="B11" s="28" t="s">
        <v>51128</v>
      </c>
      <c r="C11" s="27">
        <v>120.0</v>
      </c>
      <c r="D11" s="28" t="s">
        <v>51129</v>
      </c>
      <c r="E11" s="28" t="s">
        <v>51130</v>
      </c>
      <c r="F11" s="27">
        <v>172.0</v>
      </c>
      <c r="G11" s="27">
        <v>1.2058172E8</v>
      </c>
    </row>
    <row r="12" ht="12.75" customHeight="1">
      <c r="A12" s="31">
        <v>159.0</v>
      </c>
      <c r="B12" s="32" t="s">
        <v>51131</v>
      </c>
      <c r="C12" s="31">
        <v>120.0</v>
      </c>
      <c r="D12" s="32" t="s">
        <v>51132</v>
      </c>
      <c r="E12" s="32" t="s">
        <v>51133</v>
      </c>
      <c r="F12" s="31">
        <v>100.0</v>
      </c>
      <c r="G12" s="31">
        <v>1.20591002E8</v>
      </c>
    </row>
    <row r="13" ht="12.75" customHeight="1">
      <c r="A13" s="27">
        <v>161.0</v>
      </c>
      <c r="B13" s="28" t="s">
        <v>51134</v>
      </c>
      <c r="C13" s="27">
        <v>120.0</v>
      </c>
      <c r="D13" s="28" t="s">
        <v>51135</v>
      </c>
      <c r="E13" s="28" t="s">
        <v>51136</v>
      </c>
      <c r="F13" s="27">
        <v>175.0</v>
      </c>
      <c r="G13" s="27">
        <v>1.20611753E8</v>
      </c>
    </row>
    <row r="14" ht="12.75" customHeight="1">
      <c r="A14" s="31">
        <v>161.0</v>
      </c>
      <c r="B14" s="32" t="s">
        <v>51137</v>
      </c>
      <c r="C14" s="31">
        <v>120.0</v>
      </c>
      <c r="D14" s="32" t="s">
        <v>51138</v>
      </c>
      <c r="E14" s="32" t="s">
        <v>51139</v>
      </c>
      <c r="F14" s="31">
        <v>209.0</v>
      </c>
      <c r="G14" s="31">
        <v>1.20612099E8</v>
      </c>
    </row>
    <row r="15" ht="12.75" customHeight="1">
      <c r="A15" s="27">
        <v>564.0</v>
      </c>
      <c r="B15" s="28" t="s">
        <v>51140</v>
      </c>
      <c r="C15" s="27">
        <v>120.0</v>
      </c>
      <c r="D15" s="28" t="s">
        <v>51141</v>
      </c>
      <c r="E15" s="28" t="s">
        <v>51142</v>
      </c>
      <c r="F15" s="27">
        <v>118.0</v>
      </c>
      <c r="G15" s="27">
        <v>1.20641181E8</v>
      </c>
    </row>
    <row r="16" ht="12.75" customHeight="1">
      <c r="A16" s="31">
        <v>167.0</v>
      </c>
      <c r="B16" s="32" t="s">
        <v>51143</v>
      </c>
      <c r="C16" s="31">
        <v>120.0</v>
      </c>
      <c r="D16" s="32" t="s">
        <v>51144</v>
      </c>
      <c r="E16" s="32" t="s">
        <v>51145</v>
      </c>
      <c r="F16" s="33">
        <v>16.0</v>
      </c>
      <c r="G16" s="31">
        <v>1.20670165E8</v>
      </c>
    </row>
    <row r="17" ht="12.75" customHeight="1">
      <c r="A17" s="27">
        <v>167.0</v>
      </c>
      <c r="B17" s="28" t="s">
        <v>51146</v>
      </c>
      <c r="C17" s="27">
        <v>120.0</v>
      </c>
      <c r="D17" s="28" t="s">
        <v>51147</v>
      </c>
      <c r="E17" s="28" t="s">
        <v>51148</v>
      </c>
      <c r="F17" s="29">
        <v>20.0</v>
      </c>
      <c r="G17" s="27">
        <v>1.20670202E8</v>
      </c>
    </row>
    <row r="18" ht="12.75" customHeight="1">
      <c r="A18" s="31">
        <v>167.0</v>
      </c>
      <c r="B18" s="32" t="s">
        <v>51149</v>
      </c>
      <c r="C18" s="31">
        <v>120.0</v>
      </c>
      <c r="D18" s="32" t="s">
        <v>51150</v>
      </c>
      <c r="E18" s="32" t="s">
        <v>51151</v>
      </c>
      <c r="F18" s="33">
        <v>67.0</v>
      </c>
      <c r="G18" s="31">
        <v>1.20670673E8</v>
      </c>
    </row>
    <row r="19" ht="12.75" customHeight="1">
      <c r="A19" s="27">
        <v>167.0</v>
      </c>
      <c r="B19" s="28" t="s">
        <v>51152</v>
      </c>
      <c r="C19" s="27">
        <v>120.0</v>
      </c>
      <c r="D19" s="28" t="s">
        <v>51153</v>
      </c>
      <c r="E19" s="28" t="s">
        <v>51154</v>
      </c>
      <c r="F19" s="27">
        <v>118.0</v>
      </c>
      <c r="G19" s="27">
        <v>1.2067118E8</v>
      </c>
    </row>
    <row r="20" ht="12.75" customHeight="1">
      <c r="A20" s="31">
        <v>167.0</v>
      </c>
      <c r="B20" s="32" t="s">
        <v>51155</v>
      </c>
      <c r="C20" s="31">
        <v>120.0</v>
      </c>
      <c r="D20" s="32" t="s">
        <v>51156</v>
      </c>
      <c r="E20" s="32" t="s">
        <v>51157</v>
      </c>
      <c r="F20" s="31">
        <v>127.0</v>
      </c>
      <c r="G20" s="31">
        <v>1.20671272E8</v>
      </c>
    </row>
    <row r="21" ht="12.75" customHeight="1">
      <c r="A21" s="27">
        <v>167.0</v>
      </c>
      <c r="B21" s="28" t="s">
        <v>51158</v>
      </c>
      <c r="C21" s="27">
        <v>120.0</v>
      </c>
      <c r="D21" s="28" t="s">
        <v>51159</v>
      </c>
      <c r="E21" s="28" t="s">
        <v>51160</v>
      </c>
      <c r="F21" s="27">
        <v>138.0</v>
      </c>
      <c r="G21" s="27">
        <v>1.2067138E8</v>
      </c>
    </row>
    <row r="22" ht="12.75" customHeight="1">
      <c r="A22" s="31">
        <v>167.0</v>
      </c>
      <c r="B22" s="32" t="s">
        <v>51161</v>
      </c>
      <c r="C22" s="31">
        <v>120.0</v>
      </c>
      <c r="D22" s="32" t="s">
        <v>51162</v>
      </c>
      <c r="E22" s="32" t="s">
        <v>51163</v>
      </c>
      <c r="F22" s="31">
        <v>145.0</v>
      </c>
      <c r="G22" s="31">
        <v>1.20671456E8</v>
      </c>
    </row>
    <row r="23" ht="12.75" customHeight="1">
      <c r="A23" s="27">
        <v>167.0</v>
      </c>
      <c r="B23" s="28" t="s">
        <v>51164</v>
      </c>
      <c r="C23" s="27">
        <v>120.0</v>
      </c>
      <c r="D23" s="28" t="s">
        <v>51165</v>
      </c>
      <c r="E23" s="28" t="s">
        <v>51166</v>
      </c>
      <c r="F23" s="27">
        <v>155.0</v>
      </c>
      <c r="G23" s="27">
        <v>1.20671551E8</v>
      </c>
    </row>
    <row r="24" ht="12.75" customHeight="1">
      <c r="A24" s="31">
        <v>167.0</v>
      </c>
      <c r="B24" s="32" t="s">
        <v>51167</v>
      </c>
      <c r="C24" s="31">
        <v>120.0</v>
      </c>
      <c r="D24" s="32" t="s">
        <v>51168</v>
      </c>
      <c r="E24" s="32" t="s">
        <v>51169</v>
      </c>
      <c r="F24" s="31">
        <v>178.0</v>
      </c>
      <c r="G24" s="31">
        <v>1.2067178E8</v>
      </c>
    </row>
    <row r="25" ht="12.75" customHeight="1">
      <c r="A25" s="27">
        <v>168.0</v>
      </c>
      <c r="B25" s="28" t="s">
        <v>51170</v>
      </c>
      <c r="C25" s="27">
        <v>120.0</v>
      </c>
      <c r="D25" s="28" t="s">
        <v>51171</v>
      </c>
      <c r="E25" s="28" t="s">
        <v>51172</v>
      </c>
      <c r="F25" s="29">
        <v>14.0</v>
      </c>
      <c r="G25" s="27">
        <v>1.20680142E8</v>
      </c>
    </row>
    <row r="26" ht="12.75" customHeight="1">
      <c r="A26" s="31">
        <v>168.0</v>
      </c>
      <c r="B26" s="32" t="s">
        <v>51173</v>
      </c>
      <c r="C26" s="31">
        <v>120.0</v>
      </c>
      <c r="D26" s="32" t="s">
        <v>51174</v>
      </c>
      <c r="E26" s="32" t="s">
        <v>51175</v>
      </c>
      <c r="F26" s="33">
        <v>49.0</v>
      </c>
      <c r="G26" s="31">
        <v>1.20680492E8</v>
      </c>
    </row>
    <row r="27" ht="12.75" customHeight="1">
      <c r="A27" s="27">
        <v>168.0</v>
      </c>
      <c r="B27" s="28" t="s">
        <v>51176</v>
      </c>
      <c r="C27" s="27">
        <v>120.0</v>
      </c>
      <c r="D27" s="28" t="s">
        <v>51177</v>
      </c>
      <c r="E27" s="28" t="s">
        <v>51178</v>
      </c>
      <c r="F27" s="29">
        <v>52.0</v>
      </c>
      <c r="G27" s="27">
        <v>1.20680526E8</v>
      </c>
    </row>
    <row r="28" ht="12.75" customHeight="1">
      <c r="A28" s="31">
        <v>168.0</v>
      </c>
      <c r="B28" s="32" t="s">
        <v>51179</v>
      </c>
      <c r="C28" s="31">
        <v>120.0</v>
      </c>
      <c r="D28" s="32" t="s">
        <v>51180</v>
      </c>
      <c r="E28" s="32" t="s">
        <v>51181</v>
      </c>
      <c r="F28" s="33">
        <v>67.0</v>
      </c>
      <c r="G28" s="31">
        <v>1.20680676E8</v>
      </c>
    </row>
    <row r="29" ht="12.75" customHeight="1">
      <c r="A29" s="27">
        <v>168.0</v>
      </c>
      <c r="B29" s="28" t="s">
        <v>51182</v>
      </c>
      <c r="C29" s="27">
        <v>120.0</v>
      </c>
      <c r="D29" s="28" t="s">
        <v>51183</v>
      </c>
      <c r="E29" s="28" t="s">
        <v>51184</v>
      </c>
      <c r="F29" s="29">
        <v>85.0</v>
      </c>
      <c r="G29" s="27">
        <v>1.2068085E8</v>
      </c>
    </row>
    <row r="30" ht="12.75" customHeight="1">
      <c r="A30" s="31">
        <v>570.0</v>
      </c>
      <c r="B30" s="32" t="s">
        <v>51185</v>
      </c>
      <c r="C30" s="31">
        <v>120.0</v>
      </c>
      <c r="D30" s="32" t="s">
        <v>51186</v>
      </c>
      <c r="E30" s="32" t="s">
        <v>51187</v>
      </c>
      <c r="F30" s="33">
        <v>25.0</v>
      </c>
      <c r="G30" s="31">
        <v>1.20700251E8</v>
      </c>
    </row>
    <row r="31" ht="12.75" customHeight="1">
      <c r="A31" s="27">
        <v>275.0</v>
      </c>
      <c r="B31" s="28" t="s">
        <v>51188</v>
      </c>
      <c r="C31" s="27">
        <v>120.0</v>
      </c>
      <c r="D31" s="28" t="s">
        <v>51189</v>
      </c>
      <c r="E31" s="28" t="s">
        <v>51190</v>
      </c>
      <c r="F31" s="29">
        <v>67.0</v>
      </c>
      <c r="G31" s="27">
        <v>1.20750672E8</v>
      </c>
    </row>
    <row r="32" ht="12.75" customHeight="1">
      <c r="A32" s="31">
        <v>576.0</v>
      </c>
      <c r="B32" s="32" t="s">
        <v>51191</v>
      </c>
      <c r="C32" s="31">
        <v>120.0</v>
      </c>
      <c r="D32" s="32" t="s">
        <v>51192</v>
      </c>
      <c r="E32" s="32" t="s">
        <v>51193</v>
      </c>
      <c r="F32" s="31">
        <v>134.0</v>
      </c>
      <c r="G32" s="31">
        <v>1.2076134E8</v>
      </c>
    </row>
    <row r="33" ht="12.75" customHeight="1">
      <c r="A33" s="27">
        <v>576.0</v>
      </c>
      <c r="B33" s="28" t="s">
        <v>51194</v>
      </c>
      <c r="C33" s="27">
        <v>120.0</v>
      </c>
      <c r="D33" s="28" t="s">
        <v>51195</v>
      </c>
      <c r="E33" s="28" t="s">
        <v>51196</v>
      </c>
      <c r="F33" s="27">
        <v>178.0</v>
      </c>
      <c r="G33" s="27">
        <v>1.20761782E8</v>
      </c>
    </row>
    <row r="34" ht="12.75" customHeight="1">
      <c r="A34" s="31">
        <v>581.0</v>
      </c>
      <c r="B34" s="32" t="s">
        <v>51197</v>
      </c>
      <c r="C34" s="31">
        <v>120.0</v>
      </c>
      <c r="D34" s="32" t="s">
        <v>51198</v>
      </c>
      <c r="E34" s="32" t="s">
        <v>51199</v>
      </c>
      <c r="F34" s="33">
        <v>22.0</v>
      </c>
      <c r="G34" s="31">
        <v>1.2081022E8</v>
      </c>
    </row>
    <row r="35" ht="12.75" customHeight="1">
      <c r="A35" s="27">
        <v>581.0</v>
      </c>
      <c r="B35" s="28" t="s">
        <v>51200</v>
      </c>
      <c r="C35" s="27">
        <v>120.0</v>
      </c>
      <c r="D35" s="28" t="s">
        <v>51201</v>
      </c>
      <c r="E35" s="28" t="s">
        <v>51202</v>
      </c>
      <c r="F35" s="27">
        <v>193.0</v>
      </c>
      <c r="G35" s="27">
        <v>1.20811937E8</v>
      </c>
    </row>
    <row r="36" ht="12.75" customHeight="1">
      <c r="A36" s="31">
        <v>581.0</v>
      </c>
      <c r="B36" s="32" t="s">
        <v>51203</v>
      </c>
      <c r="C36" s="31">
        <v>120.0</v>
      </c>
      <c r="D36" s="32" t="s">
        <v>51204</v>
      </c>
      <c r="E36" s="32" t="s">
        <v>51205</v>
      </c>
      <c r="F36" s="31">
        <v>232.0</v>
      </c>
      <c r="G36" s="31">
        <v>1.20812323E8</v>
      </c>
    </row>
    <row r="37" ht="12.75" customHeight="1">
      <c r="A37" s="27">
        <v>284.0</v>
      </c>
      <c r="B37" s="28" t="s">
        <v>51206</v>
      </c>
      <c r="C37" s="27">
        <v>120.0</v>
      </c>
      <c r="D37" s="28" t="s">
        <v>51207</v>
      </c>
      <c r="E37" s="28" t="s">
        <v>51208</v>
      </c>
      <c r="F37" s="29">
        <v>52.0</v>
      </c>
      <c r="G37" s="27">
        <v>1.20840524E8</v>
      </c>
    </row>
    <row r="38" ht="12.75" customHeight="1">
      <c r="A38" s="31">
        <v>785.0</v>
      </c>
      <c r="B38" s="32" t="s">
        <v>51209</v>
      </c>
      <c r="C38" s="31">
        <v>120.0</v>
      </c>
      <c r="D38" s="32" t="s">
        <v>51210</v>
      </c>
      <c r="E38" s="32" t="s">
        <v>51211</v>
      </c>
      <c r="F38" s="31">
        <v>145.0</v>
      </c>
      <c r="G38" s="31">
        <v>1.2085145E8</v>
      </c>
    </row>
    <row r="39" ht="12.75" customHeight="1">
      <c r="A39" s="27">
        <v>386.0</v>
      </c>
      <c r="B39" s="28" t="s">
        <v>51212</v>
      </c>
      <c r="C39" s="27">
        <v>120.0</v>
      </c>
      <c r="D39" s="28" t="s">
        <v>51213</v>
      </c>
      <c r="E39" s="28" t="s">
        <v>51214</v>
      </c>
      <c r="F39" s="29">
        <v>67.0</v>
      </c>
      <c r="G39" s="27">
        <v>1.2086067E8</v>
      </c>
    </row>
    <row r="40" ht="12.75" customHeight="1">
      <c r="A40" s="31">
        <v>487.0</v>
      </c>
      <c r="B40" s="32" t="s">
        <v>51215</v>
      </c>
      <c r="C40" s="31">
        <v>120.0</v>
      </c>
      <c r="D40" s="32" t="s">
        <v>51216</v>
      </c>
      <c r="E40" s="32" t="s">
        <v>51217</v>
      </c>
      <c r="F40" s="31">
        <v>109.0</v>
      </c>
      <c r="G40" s="31">
        <v>1.20871098E8</v>
      </c>
    </row>
    <row r="41" ht="12.75" customHeight="1">
      <c r="A41" s="27">
        <v>688.0</v>
      </c>
      <c r="B41" s="28" t="s">
        <v>51218</v>
      </c>
      <c r="C41" s="27">
        <v>120.0</v>
      </c>
      <c r="D41" s="28" t="s">
        <v>51219</v>
      </c>
      <c r="E41" s="28" t="s">
        <v>51220</v>
      </c>
      <c r="F41" s="29">
        <v>22.0</v>
      </c>
      <c r="G41" s="27">
        <v>1.20880221E8</v>
      </c>
    </row>
    <row r="42" ht="12.75" customHeight="1">
      <c r="A42" s="31">
        <v>189.0</v>
      </c>
      <c r="B42" s="32" t="s">
        <v>51221</v>
      </c>
      <c r="C42" s="31">
        <v>120.0</v>
      </c>
      <c r="D42" s="32" t="s">
        <v>51222</v>
      </c>
      <c r="E42" s="32" t="s">
        <v>51223</v>
      </c>
      <c r="F42" s="33">
        <v>55.0</v>
      </c>
      <c r="G42" s="31">
        <v>1.20890558E8</v>
      </c>
    </row>
    <row r="43" ht="12.75" customHeight="1">
      <c r="A43" s="27">
        <v>891.0</v>
      </c>
      <c r="B43" s="28" t="s">
        <v>51224</v>
      </c>
      <c r="C43" s="27">
        <v>120.0</v>
      </c>
      <c r="D43" s="28" t="s">
        <v>51225</v>
      </c>
      <c r="E43" s="28" t="s">
        <v>51226</v>
      </c>
      <c r="F43" s="29">
        <v>31.0</v>
      </c>
      <c r="G43" s="27">
        <v>1.20910317E8</v>
      </c>
    </row>
    <row r="44" ht="12.75" customHeight="1">
      <c r="A44" s="31">
        <v>891.0</v>
      </c>
      <c r="B44" s="32" t="s">
        <v>51227</v>
      </c>
      <c r="C44" s="31">
        <v>120.0</v>
      </c>
      <c r="D44" s="32" t="s">
        <v>51228</v>
      </c>
      <c r="E44" s="32" t="s">
        <v>51229</v>
      </c>
      <c r="F44" s="31">
        <v>154.0</v>
      </c>
      <c r="G44" s="31">
        <v>1.20911545E8</v>
      </c>
    </row>
    <row r="45" ht="12.75" customHeight="1">
      <c r="A45" s="27">
        <v>891.0</v>
      </c>
      <c r="B45" s="28" t="s">
        <v>51230</v>
      </c>
      <c r="C45" s="27">
        <v>120.0</v>
      </c>
      <c r="D45" s="28" t="s">
        <v>51231</v>
      </c>
      <c r="E45" s="28" t="s">
        <v>51232</v>
      </c>
      <c r="F45" s="27">
        <v>349.0</v>
      </c>
      <c r="G45" s="27">
        <v>1.20913493E8</v>
      </c>
    </row>
    <row r="46" ht="12.75" customHeight="1">
      <c r="A46" s="31">
        <v>891.0</v>
      </c>
      <c r="B46" s="32" t="s">
        <v>51233</v>
      </c>
      <c r="C46" s="31">
        <v>120.0</v>
      </c>
      <c r="D46" s="32" t="s">
        <v>51234</v>
      </c>
      <c r="E46" s="32" t="s">
        <v>51235</v>
      </c>
      <c r="F46" s="31">
        <v>355.0</v>
      </c>
      <c r="G46" s="31">
        <v>1.20913556E8</v>
      </c>
    </row>
    <row r="47" ht="12.75" customHeight="1">
      <c r="A47" s="27">
        <v>891.0</v>
      </c>
      <c r="B47" s="28" t="s">
        <v>51236</v>
      </c>
      <c r="C47" s="27">
        <v>120.0</v>
      </c>
      <c r="D47" s="28" t="s">
        <v>51237</v>
      </c>
      <c r="E47" s="28" t="s">
        <v>51238</v>
      </c>
      <c r="F47" s="27">
        <v>397.0</v>
      </c>
      <c r="G47" s="27">
        <v>1.20913972E8</v>
      </c>
    </row>
    <row r="48" ht="12.75" customHeight="1">
      <c r="A48" s="31">
        <v>891.0</v>
      </c>
      <c r="B48" s="32" t="s">
        <v>51239</v>
      </c>
      <c r="C48" s="31">
        <v>120.0</v>
      </c>
      <c r="D48" s="32" t="s">
        <v>51240</v>
      </c>
      <c r="E48" s="32" t="s">
        <v>51241</v>
      </c>
      <c r="F48" s="31">
        <v>403.0</v>
      </c>
      <c r="G48" s="31">
        <v>1.20914034E8</v>
      </c>
    </row>
    <row r="49" ht="12.75" customHeight="1">
      <c r="A49" s="27">
        <v>193.0</v>
      </c>
      <c r="B49" s="28" t="s">
        <v>51242</v>
      </c>
      <c r="C49" s="27">
        <v>120.0</v>
      </c>
      <c r="D49" s="28" t="s">
        <v>51243</v>
      </c>
      <c r="E49" s="28" t="s">
        <v>51244</v>
      </c>
      <c r="F49" s="27">
        <v>136.0</v>
      </c>
      <c r="G49" s="27">
        <v>1.20931367E8</v>
      </c>
    </row>
    <row r="50" ht="12.75" customHeight="1">
      <c r="A50" s="31">
        <v>193.0</v>
      </c>
      <c r="B50" s="32" t="s">
        <v>51245</v>
      </c>
      <c r="C50" s="31">
        <v>120.0</v>
      </c>
      <c r="D50" s="32" t="s">
        <v>51246</v>
      </c>
      <c r="E50" s="32" t="s">
        <v>51247</v>
      </c>
      <c r="F50" s="31">
        <v>229.0</v>
      </c>
      <c r="G50" s="31">
        <v>1.2093229E8</v>
      </c>
    </row>
    <row r="51" ht="12.75" customHeight="1">
      <c r="A51" s="27">
        <v>401.0</v>
      </c>
      <c r="B51" s="28" t="s">
        <v>51248</v>
      </c>
      <c r="C51" s="27">
        <v>125.0</v>
      </c>
      <c r="D51" s="28" t="s">
        <v>51249</v>
      </c>
      <c r="E51" s="28" t="s">
        <v>51250</v>
      </c>
      <c r="F51" s="29">
        <v>7.0</v>
      </c>
      <c r="G51" s="27">
        <v>1.2501007E8</v>
      </c>
    </row>
    <row r="52" ht="12.75" customHeight="1">
      <c r="A52" s="31">
        <v>401.0</v>
      </c>
      <c r="B52" s="32" t="s">
        <v>51251</v>
      </c>
      <c r="C52" s="31">
        <v>125.0</v>
      </c>
      <c r="D52" s="32" t="s">
        <v>51252</v>
      </c>
      <c r="E52" s="32" t="s">
        <v>51253</v>
      </c>
      <c r="F52" s="33">
        <v>46.0</v>
      </c>
      <c r="G52" s="31">
        <v>1.25010467E8</v>
      </c>
    </row>
    <row r="53" ht="12.75" customHeight="1">
      <c r="A53" s="27">
        <v>401.0</v>
      </c>
      <c r="B53" s="28" t="s">
        <v>51254</v>
      </c>
      <c r="C53" s="27">
        <v>125.0</v>
      </c>
      <c r="D53" s="28" t="s">
        <v>51255</v>
      </c>
      <c r="E53" s="28" t="s">
        <v>51256</v>
      </c>
      <c r="F53" s="29">
        <v>94.0</v>
      </c>
      <c r="G53" s="27">
        <v>1.25010946E8</v>
      </c>
    </row>
    <row r="54" ht="12.75" customHeight="1">
      <c r="A54" s="31">
        <v>401.0</v>
      </c>
      <c r="B54" s="32" t="s">
        <v>51257</v>
      </c>
      <c r="C54" s="31">
        <v>125.0</v>
      </c>
      <c r="D54" s="32" t="s">
        <v>51258</v>
      </c>
      <c r="E54" s="32" t="s">
        <v>51259</v>
      </c>
      <c r="F54" s="31">
        <v>103.0</v>
      </c>
      <c r="G54" s="31">
        <v>1.25011037E8</v>
      </c>
    </row>
    <row r="55" ht="12.75" customHeight="1">
      <c r="A55" s="27">
        <v>401.0</v>
      </c>
      <c r="B55" s="28" t="s">
        <v>51260</v>
      </c>
      <c r="C55" s="27">
        <v>125.0</v>
      </c>
      <c r="D55" s="28" t="s">
        <v>51261</v>
      </c>
      <c r="E55" s="28" t="s">
        <v>51262</v>
      </c>
      <c r="F55" s="27">
        <v>130.0</v>
      </c>
      <c r="G55" s="27">
        <v>1.25011303E8</v>
      </c>
    </row>
    <row r="56" ht="12.75" customHeight="1">
      <c r="A56" s="31">
        <v>203.0</v>
      </c>
      <c r="B56" s="32" t="s">
        <v>51263</v>
      </c>
      <c r="C56" s="31">
        <v>125.0</v>
      </c>
      <c r="D56" s="32" t="s">
        <v>51264</v>
      </c>
      <c r="E56" s="32" t="s">
        <v>51265</v>
      </c>
      <c r="F56" s="33">
        <v>13.0</v>
      </c>
      <c r="G56" s="31">
        <v>1.25030139E8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304.0</v>
      </c>
      <c r="B1" s="28" t="s">
        <v>51266</v>
      </c>
      <c r="C1" s="27">
        <v>125.0</v>
      </c>
      <c r="D1" s="28" t="s">
        <v>51267</v>
      </c>
      <c r="E1" s="28" t="s">
        <v>51268</v>
      </c>
      <c r="F1" s="29">
        <v>13.0</v>
      </c>
      <c r="G1" s="27">
        <v>1.25040132E8</v>
      </c>
    </row>
    <row r="2" ht="12.75" customHeight="1">
      <c r="A2" s="31">
        <v>306.0</v>
      </c>
      <c r="B2" s="32" t="s">
        <v>51269</v>
      </c>
      <c r="C2" s="31">
        <v>125.0</v>
      </c>
      <c r="D2" s="32" t="s">
        <v>51270</v>
      </c>
      <c r="E2" s="32" t="s">
        <v>51271</v>
      </c>
      <c r="F2" s="33">
        <v>22.0</v>
      </c>
      <c r="G2" s="31">
        <v>1.2506022E8</v>
      </c>
    </row>
    <row r="3" ht="12.75" customHeight="1">
      <c r="A3" s="27">
        <v>306.0</v>
      </c>
      <c r="B3" s="28" t="s">
        <v>51272</v>
      </c>
      <c r="C3" s="27">
        <v>125.0</v>
      </c>
      <c r="D3" s="28" t="s">
        <v>51273</v>
      </c>
      <c r="E3" s="28" t="s">
        <v>51274</v>
      </c>
      <c r="F3" s="29">
        <v>28.0</v>
      </c>
      <c r="G3" s="27">
        <v>1.25060288E8</v>
      </c>
    </row>
    <row r="4" ht="12.75" customHeight="1">
      <c r="A4" s="31">
        <v>306.0</v>
      </c>
      <c r="B4" s="32" t="s">
        <v>51275</v>
      </c>
      <c r="C4" s="31">
        <v>125.0</v>
      </c>
      <c r="D4" s="32" t="s">
        <v>51276</v>
      </c>
      <c r="E4" s="32" t="s">
        <v>51277</v>
      </c>
      <c r="F4" s="31">
        <v>220.0</v>
      </c>
      <c r="G4" s="31">
        <v>1.25062202E8</v>
      </c>
    </row>
    <row r="5" ht="12.75" customHeight="1">
      <c r="A5" s="27">
        <v>306.0</v>
      </c>
      <c r="B5" s="28" t="s">
        <v>51278</v>
      </c>
      <c r="C5" s="27">
        <v>125.0</v>
      </c>
      <c r="D5" s="28" t="s">
        <v>51279</v>
      </c>
      <c r="E5" s="28" t="s">
        <v>51280</v>
      </c>
      <c r="F5" s="27">
        <v>260.0</v>
      </c>
      <c r="G5" s="27">
        <v>1.25062602E8</v>
      </c>
    </row>
    <row r="6" ht="12.75" customHeight="1">
      <c r="A6" s="31">
        <v>309.0</v>
      </c>
      <c r="B6" s="32" t="s">
        <v>51281</v>
      </c>
      <c r="C6" s="31">
        <v>125.0</v>
      </c>
      <c r="D6" s="32" t="s">
        <v>51282</v>
      </c>
      <c r="E6" s="32" t="s">
        <v>51283</v>
      </c>
      <c r="F6" s="33">
        <v>10.0</v>
      </c>
      <c r="G6" s="31">
        <v>1.25090108E8</v>
      </c>
    </row>
    <row r="7" ht="12.75" customHeight="1">
      <c r="A7" s="27">
        <v>309.0</v>
      </c>
      <c r="B7" s="28" t="s">
        <v>51284</v>
      </c>
      <c r="C7" s="27">
        <v>125.0</v>
      </c>
      <c r="D7" s="28" t="s">
        <v>51285</v>
      </c>
      <c r="E7" s="28" t="s">
        <v>51286</v>
      </c>
      <c r="F7" s="29">
        <v>20.0</v>
      </c>
      <c r="G7" s="27">
        <v>1.25090203E8</v>
      </c>
    </row>
    <row r="8" ht="12.75" customHeight="1">
      <c r="A8" s="31">
        <v>309.0</v>
      </c>
      <c r="B8" s="32" t="s">
        <v>51287</v>
      </c>
      <c r="C8" s="31">
        <v>125.0</v>
      </c>
      <c r="D8" s="32" t="s">
        <v>51288</v>
      </c>
      <c r="E8" s="32" t="s">
        <v>51289</v>
      </c>
      <c r="F8" s="33">
        <v>22.0</v>
      </c>
      <c r="G8" s="31">
        <v>1.25090229E8</v>
      </c>
    </row>
    <row r="9" ht="12.75" customHeight="1">
      <c r="A9" s="27">
        <v>309.0</v>
      </c>
      <c r="B9" s="28" t="s">
        <v>51290</v>
      </c>
      <c r="C9" s="27">
        <v>125.0</v>
      </c>
      <c r="D9" s="28" t="s">
        <v>51291</v>
      </c>
      <c r="E9" s="28" t="s">
        <v>51292</v>
      </c>
      <c r="F9" s="29">
        <v>70.0</v>
      </c>
      <c r="G9" s="27">
        <v>1.25090708E8</v>
      </c>
    </row>
    <row r="10" ht="12.75" customHeight="1">
      <c r="A10" s="31">
        <v>610.0</v>
      </c>
      <c r="B10" s="32" t="s">
        <v>51293</v>
      </c>
      <c r="C10" s="31">
        <v>125.0</v>
      </c>
      <c r="D10" s="32" t="s">
        <v>51294</v>
      </c>
      <c r="E10" s="32" t="s">
        <v>51295</v>
      </c>
      <c r="F10" s="33">
        <v>37.0</v>
      </c>
      <c r="G10" s="31">
        <v>1.25100377E8</v>
      </c>
    </row>
    <row r="11" ht="12.75" customHeight="1">
      <c r="A11" s="27">
        <v>610.0</v>
      </c>
      <c r="B11" s="28" t="s">
        <v>51296</v>
      </c>
      <c r="C11" s="27">
        <v>125.0</v>
      </c>
      <c r="D11" s="28" t="s">
        <v>51297</v>
      </c>
      <c r="E11" s="28" t="s">
        <v>51298</v>
      </c>
      <c r="F11" s="29">
        <v>49.0</v>
      </c>
      <c r="G11" s="27">
        <v>1.25100498E8</v>
      </c>
    </row>
    <row r="12" ht="12.75" customHeight="1">
      <c r="A12" s="31">
        <v>610.0</v>
      </c>
      <c r="B12" s="32" t="s">
        <v>51299</v>
      </c>
      <c r="C12" s="31">
        <v>125.0</v>
      </c>
      <c r="D12" s="32" t="s">
        <v>51300</v>
      </c>
      <c r="E12" s="32" t="s">
        <v>51301</v>
      </c>
      <c r="F12" s="33">
        <v>91.0</v>
      </c>
      <c r="G12" s="31">
        <v>1.25100919E8</v>
      </c>
    </row>
    <row r="13" ht="12.75" customHeight="1">
      <c r="A13" s="27">
        <v>610.0</v>
      </c>
      <c r="B13" s="28" t="s">
        <v>51302</v>
      </c>
      <c r="C13" s="27">
        <v>125.0</v>
      </c>
      <c r="D13" s="28" t="s">
        <v>51303</v>
      </c>
      <c r="E13" s="28" t="s">
        <v>51304</v>
      </c>
      <c r="F13" s="27">
        <v>139.0</v>
      </c>
      <c r="G13" s="27">
        <v>1.25101392E8</v>
      </c>
    </row>
    <row r="14" ht="12.75" customHeight="1">
      <c r="A14" s="31">
        <v>610.0</v>
      </c>
      <c r="B14" s="32" t="s">
        <v>51305</v>
      </c>
      <c r="C14" s="31">
        <v>125.0</v>
      </c>
      <c r="D14" s="32" t="s">
        <v>51306</v>
      </c>
      <c r="E14" s="32" t="s">
        <v>51307</v>
      </c>
      <c r="F14" s="31">
        <v>155.0</v>
      </c>
      <c r="G14" s="31">
        <v>1.2510155E8</v>
      </c>
    </row>
    <row r="15" ht="12.75" customHeight="1">
      <c r="A15" s="27">
        <v>610.0</v>
      </c>
      <c r="B15" s="28" t="s">
        <v>51308</v>
      </c>
      <c r="C15" s="27">
        <v>125.0</v>
      </c>
      <c r="D15" s="28" t="s">
        <v>51309</v>
      </c>
      <c r="E15" s="28" t="s">
        <v>51310</v>
      </c>
      <c r="F15" s="27">
        <v>179.0</v>
      </c>
      <c r="G15" s="27">
        <v>1.25101792E8</v>
      </c>
    </row>
    <row r="16" ht="12.75" customHeight="1">
      <c r="A16" s="31">
        <v>610.0</v>
      </c>
      <c r="B16" s="32" t="s">
        <v>51311</v>
      </c>
      <c r="C16" s="31">
        <v>125.0</v>
      </c>
      <c r="D16" s="32" t="s">
        <v>51312</v>
      </c>
      <c r="E16" s="32" t="s">
        <v>51313</v>
      </c>
      <c r="F16" s="31">
        <v>203.0</v>
      </c>
      <c r="G16" s="31">
        <v>1.25102038E8</v>
      </c>
    </row>
    <row r="17" ht="12.75" customHeight="1">
      <c r="A17" s="27">
        <v>610.0</v>
      </c>
      <c r="B17" s="28" t="s">
        <v>51314</v>
      </c>
      <c r="C17" s="27">
        <v>125.0</v>
      </c>
      <c r="D17" s="28" t="s">
        <v>51315</v>
      </c>
      <c r="E17" s="28" t="s">
        <v>51316</v>
      </c>
      <c r="F17" s="27">
        <v>242.0</v>
      </c>
      <c r="G17" s="27">
        <v>1.25102425E8</v>
      </c>
    </row>
    <row r="18" ht="12.75" customHeight="1">
      <c r="A18" s="31">
        <v>610.0</v>
      </c>
      <c r="B18" s="32" t="s">
        <v>51317</v>
      </c>
      <c r="C18" s="31">
        <v>125.0</v>
      </c>
      <c r="D18" s="32" t="s">
        <v>51318</v>
      </c>
      <c r="E18" s="32" t="s">
        <v>51319</v>
      </c>
      <c r="F18" s="31">
        <v>298.0</v>
      </c>
      <c r="G18" s="31">
        <v>1.25102988E8</v>
      </c>
    </row>
    <row r="19" ht="12.75" customHeight="1">
      <c r="A19" s="27">
        <v>112.0</v>
      </c>
      <c r="B19" s="28" t="s">
        <v>51320</v>
      </c>
      <c r="C19" s="27">
        <v>125.0</v>
      </c>
      <c r="D19" s="28" t="s">
        <v>51321</v>
      </c>
      <c r="E19" s="28" t="s">
        <v>51322</v>
      </c>
      <c r="F19" s="29">
        <v>5.0</v>
      </c>
      <c r="G19" s="27">
        <v>1.25120052E8</v>
      </c>
    </row>
    <row r="20" ht="12.75" customHeight="1">
      <c r="A20" s="31">
        <v>112.0</v>
      </c>
      <c r="B20" s="32" t="s">
        <v>51323</v>
      </c>
      <c r="C20" s="31">
        <v>125.0</v>
      </c>
      <c r="D20" s="32" t="s">
        <v>51324</v>
      </c>
      <c r="E20" s="32" t="s">
        <v>51325</v>
      </c>
      <c r="F20" s="33">
        <v>10.0</v>
      </c>
      <c r="G20" s="31">
        <v>1.25120102E8</v>
      </c>
    </row>
    <row r="21" ht="12.75" customHeight="1">
      <c r="A21" s="27">
        <v>112.0</v>
      </c>
      <c r="B21" s="28" t="s">
        <v>51326</v>
      </c>
      <c r="C21" s="27">
        <v>125.0</v>
      </c>
      <c r="D21" s="28" t="s">
        <v>51327</v>
      </c>
      <c r="E21" s="28" t="s">
        <v>51328</v>
      </c>
      <c r="F21" s="29">
        <v>25.0</v>
      </c>
      <c r="G21" s="27">
        <v>1.25120252E8</v>
      </c>
    </row>
    <row r="22" ht="12.75" customHeight="1">
      <c r="A22" s="31">
        <v>112.0</v>
      </c>
      <c r="B22" s="32" t="s">
        <v>51329</v>
      </c>
      <c r="C22" s="31">
        <v>125.0</v>
      </c>
      <c r="D22" s="32" t="s">
        <v>51330</v>
      </c>
      <c r="E22" s="32" t="s">
        <v>51331</v>
      </c>
      <c r="F22" s="33">
        <v>43.0</v>
      </c>
      <c r="G22" s="31">
        <v>1.25120436E8</v>
      </c>
    </row>
    <row r="23" ht="12.75" customHeight="1">
      <c r="A23" s="27">
        <v>112.0</v>
      </c>
      <c r="B23" s="28" t="s">
        <v>51332</v>
      </c>
      <c r="C23" s="27">
        <v>125.0</v>
      </c>
      <c r="D23" s="28" t="s">
        <v>51333</v>
      </c>
      <c r="E23" s="28" t="s">
        <v>51334</v>
      </c>
      <c r="F23" s="27">
        <v>103.0</v>
      </c>
      <c r="G23" s="27">
        <v>1.25121035E8</v>
      </c>
    </row>
    <row r="24" ht="12.75" customHeight="1">
      <c r="A24" s="31">
        <v>112.0</v>
      </c>
      <c r="B24" s="32" t="s">
        <v>51335</v>
      </c>
      <c r="C24" s="31">
        <v>125.0</v>
      </c>
      <c r="D24" s="32" t="s">
        <v>51336</v>
      </c>
      <c r="E24" s="32" t="s">
        <v>51337</v>
      </c>
      <c r="F24" s="31">
        <v>136.0</v>
      </c>
      <c r="G24" s="31">
        <v>1.25121369E8</v>
      </c>
    </row>
    <row r="25" ht="12.75" customHeight="1">
      <c r="A25" s="27">
        <v>113.0</v>
      </c>
      <c r="B25" s="28" t="s">
        <v>51338</v>
      </c>
      <c r="C25" s="27">
        <v>125.0</v>
      </c>
      <c r="D25" s="28" t="s">
        <v>51339</v>
      </c>
      <c r="E25" s="28" t="s">
        <v>51340</v>
      </c>
      <c r="F25" s="29">
        <v>11.0</v>
      </c>
      <c r="G25" s="27">
        <v>1.25130118E8</v>
      </c>
    </row>
    <row r="26" ht="12.75" customHeight="1">
      <c r="A26" s="31">
        <v>113.0</v>
      </c>
      <c r="B26" s="32" t="s">
        <v>51341</v>
      </c>
      <c r="C26" s="31">
        <v>125.0</v>
      </c>
      <c r="D26" s="32" t="s">
        <v>51342</v>
      </c>
      <c r="E26" s="32" t="s">
        <v>51343</v>
      </c>
      <c r="F26" s="33">
        <v>31.0</v>
      </c>
      <c r="G26" s="31">
        <v>1.25130318E8</v>
      </c>
    </row>
    <row r="27" ht="12.75" customHeight="1">
      <c r="A27" s="27">
        <v>113.0</v>
      </c>
      <c r="B27" s="28" t="s">
        <v>51344</v>
      </c>
      <c r="C27" s="27">
        <v>125.0</v>
      </c>
      <c r="D27" s="28" t="s">
        <v>51345</v>
      </c>
      <c r="E27" s="28" t="s">
        <v>51346</v>
      </c>
      <c r="F27" s="29">
        <v>67.0</v>
      </c>
      <c r="G27" s="27">
        <v>1.25130671E8</v>
      </c>
    </row>
    <row r="28" ht="12.75" customHeight="1">
      <c r="A28" s="31">
        <v>113.0</v>
      </c>
      <c r="B28" s="32" t="s">
        <v>51347</v>
      </c>
      <c r="C28" s="31">
        <v>125.0</v>
      </c>
      <c r="D28" s="32" t="s">
        <v>51348</v>
      </c>
      <c r="E28" s="32" t="s">
        <v>51349</v>
      </c>
      <c r="F28" s="33">
        <v>88.0</v>
      </c>
      <c r="G28" s="31">
        <v>1.25130884E8</v>
      </c>
    </row>
    <row r="29" ht="12.75" customHeight="1">
      <c r="A29" s="27">
        <v>113.0</v>
      </c>
      <c r="B29" s="28" t="s">
        <v>51350</v>
      </c>
      <c r="C29" s="27">
        <v>125.0</v>
      </c>
      <c r="D29" s="28" t="s">
        <v>51351</v>
      </c>
      <c r="E29" s="28" t="s">
        <v>51352</v>
      </c>
      <c r="F29" s="27">
        <v>118.0</v>
      </c>
      <c r="G29" s="27">
        <v>1.25131188E8</v>
      </c>
    </row>
    <row r="30" ht="12.75" customHeight="1">
      <c r="A30" s="31">
        <v>215.0</v>
      </c>
      <c r="B30" s="32" t="s">
        <v>51353</v>
      </c>
      <c r="C30" s="31">
        <v>125.0</v>
      </c>
      <c r="D30" s="32" t="s">
        <v>51354</v>
      </c>
      <c r="E30" s="32" t="s">
        <v>51355</v>
      </c>
      <c r="F30" s="33">
        <v>13.0</v>
      </c>
      <c r="G30" s="31">
        <v>1.2515013E8</v>
      </c>
    </row>
    <row r="31" ht="12.75" customHeight="1">
      <c r="A31" s="27">
        <v>215.0</v>
      </c>
      <c r="B31" s="28" t="s">
        <v>51356</v>
      </c>
      <c r="C31" s="27">
        <v>125.0</v>
      </c>
      <c r="D31" s="28" t="s">
        <v>51357</v>
      </c>
      <c r="E31" s="28" t="s">
        <v>51358</v>
      </c>
      <c r="F31" s="29">
        <v>46.0</v>
      </c>
      <c r="G31" s="27">
        <v>1.25150464E8</v>
      </c>
    </row>
    <row r="32" ht="12.75" customHeight="1">
      <c r="A32" s="31">
        <v>215.0</v>
      </c>
      <c r="B32" s="32" t="s">
        <v>51359</v>
      </c>
      <c r="C32" s="31">
        <v>125.0</v>
      </c>
      <c r="D32" s="32" t="s">
        <v>51360</v>
      </c>
      <c r="E32" s="32" t="s">
        <v>51361</v>
      </c>
      <c r="F32" s="33">
        <v>52.0</v>
      </c>
      <c r="G32" s="31">
        <v>1.25150527E8</v>
      </c>
    </row>
    <row r="33" ht="12.75" customHeight="1">
      <c r="A33" s="27">
        <v>215.0</v>
      </c>
      <c r="B33" s="28" t="s">
        <v>51362</v>
      </c>
      <c r="C33" s="27">
        <v>125.0</v>
      </c>
      <c r="D33" s="28" t="s">
        <v>51363</v>
      </c>
      <c r="E33" s="28" t="s">
        <v>51364</v>
      </c>
      <c r="F33" s="29">
        <v>60.0</v>
      </c>
      <c r="G33" s="27">
        <v>1.25150606E8</v>
      </c>
    </row>
    <row r="34" ht="12.75" customHeight="1">
      <c r="A34" s="31">
        <v>215.0</v>
      </c>
      <c r="B34" s="32" t="s">
        <v>51365</v>
      </c>
      <c r="C34" s="31">
        <v>125.0</v>
      </c>
      <c r="D34" s="32" t="s">
        <v>51366</v>
      </c>
      <c r="E34" s="32" t="s">
        <v>51367</v>
      </c>
      <c r="F34" s="33">
        <v>79.0</v>
      </c>
      <c r="G34" s="31">
        <v>1.25150798E8</v>
      </c>
    </row>
    <row r="35" ht="12.75" customHeight="1">
      <c r="A35" s="27">
        <v>215.0</v>
      </c>
      <c r="B35" s="28" t="s">
        <v>51368</v>
      </c>
      <c r="C35" s="27">
        <v>125.0</v>
      </c>
      <c r="D35" s="28" t="s">
        <v>51369</v>
      </c>
      <c r="E35" s="28" t="s">
        <v>51370</v>
      </c>
      <c r="F35" s="29">
        <v>94.0</v>
      </c>
      <c r="G35" s="27">
        <v>1.25150943E8</v>
      </c>
    </row>
    <row r="36" ht="12.75" customHeight="1">
      <c r="A36" s="31">
        <v>215.0</v>
      </c>
      <c r="B36" s="32" t="s">
        <v>51371</v>
      </c>
      <c r="C36" s="31">
        <v>125.0</v>
      </c>
      <c r="D36" s="32" t="s">
        <v>51372</v>
      </c>
      <c r="E36" s="32" t="s">
        <v>51373</v>
      </c>
      <c r="F36" s="33">
        <v>97.0</v>
      </c>
      <c r="G36" s="31">
        <v>1.25150972E8</v>
      </c>
    </row>
    <row r="37" ht="12.75" customHeight="1">
      <c r="A37" s="27">
        <v>215.0</v>
      </c>
      <c r="B37" s="28" t="s">
        <v>51374</v>
      </c>
      <c r="C37" s="27">
        <v>125.0</v>
      </c>
      <c r="D37" s="28" t="s">
        <v>51375</v>
      </c>
      <c r="E37" s="28" t="s">
        <v>51376</v>
      </c>
      <c r="F37" s="27">
        <v>109.0</v>
      </c>
      <c r="G37" s="27">
        <v>1.25151092E8</v>
      </c>
    </row>
    <row r="38" ht="12.75" customHeight="1">
      <c r="A38" s="31">
        <v>215.0</v>
      </c>
      <c r="B38" s="32" t="s">
        <v>51377</v>
      </c>
      <c r="C38" s="31">
        <v>125.0</v>
      </c>
      <c r="D38" s="32" t="s">
        <v>51378</v>
      </c>
      <c r="E38" s="32" t="s">
        <v>51379</v>
      </c>
      <c r="F38" s="31">
        <v>113.0</v>
      </c>
      <c r="G38" s="31">
        <v>1.25151139E8</v>
      </c>
    </row>
    <row r="39" ht="12.75" customHeight="1">
      <c r="A39" s="27">
        <v>215.0</v>
      </c>
      <c r="B39" s="28" t="s">
        <v>51380</v>
      </c>
      <c r="C39" s="27">
        <v>125.0</v>
      </c>
      <c r="D39" s="28" t="s">
        <v>51381</v>
      </c>
      <c r="E39" s="28" t="s">
        <v>51382</v>
      </c>
      <c r="F39" s="27">
        <v>130.0</v>
      </c>
      <c r="G39" s="27">
        <v>1.251513E8</v>
      </c>
    </row>
    <row r="40" ht="12.75" customHeight="1">
      <c r="A40" s="31">
        <v>215.0</v>
      </c>
      <c r="B40" s="32" t="s">
        <v>51383</v>
      </c>
      <c r="C40" s="31">
        <v>125.0</v>
      </c>
      <c r="D40" s="32" t="s">
        <v>51384</v>
      </c>
      <c r="E40" s="32" t="s">
        <v>51385</v>
      </c>
      <c r="F40" s="31">
        <v>148.0</v>
      </c>
      <c r="G40" s="31">
        <v>1.25151489E8</v>
      </c>
    </row>
    <row r="41" ht="12.75" customHeight="1">
      <c r="A41" s="27">
        <v>215.0</v>
      </c>
      <c r="B41" s="28" t="s">
        <v>51386</v>
      </c>
      <c r="C41" s="27">
        <v>125.0</v>
      </c>
      <c r="D41" s="28" t="s">
        <v>51387</v>
      </c>
      <c r="E41" s="28" t="s">
        <v>51388</v>
      </c>
      <c r="F41" s="27">
        <v>175.0</v>
      </c>
      <c r="G41" s="27">
        <v>1.25151755E8</v>
      </c>
    </row>
    <row r="42" ht="12.75" customHeight="1">
      <c r="A42" s="31">
        <v>215.0</v>
      </c>
      <c r="B42" s="32" t="s">
        <v>51389</v>
      </c>
      <c r="C42" s="31">
        <v>125.0</v>
      </c>
      <c r="D42" s="32" t="s">
        <v>51390</v>
      </c>
      <c r="E42" s="32" t="s">
        <v>51391</v>
      </c>
      <c r="F42" s="31">
        <v>181.0</v>
      </c>
      <c r="G42" s="31">
        <v>1.25151818E8</v>
      </c>
    </row>
    <row r="43" ht="12.75" customHeight="1">
      <c r="A43" s="27">
        <v>215.0</v>
      </c>
      <c r="B43" s="28" t="s">
        <v>51392</v>
      </c>
      <c r="C43" s="27">
        <v>125.0</v>
      </c>
      <c r="D43" s="28" t="s">
        <v>51393</v>
      </c>
      <c r="E43" s="28" t="s">
        <v>51394</v>
      </c>
      <c r="F43" s="27">
        <v>193.0</v>
      </c>
      <c r="G43" s="27">
        <v>1.25151939E8</v>
      </c>
    </row>
    <row r="44" ht="12.75" customHeight="1">
      <c r="A44" s="31">
        <v>215.0</v>
      </c>
      <c r="B44" s="32" t="s">
        <v>51395</v>
      </c>
      <c r="C44" s="31">
        <v>125.0</v>
      </c>
      <c r="D44" s="32" t="s">
        <v>51396</v>
      </c>
      <c r="E44" s="32" t="s">
        <v>51397</v>
      </c>
      <c r="F44" s="31">
        <v>244.0</v>
      </c>
      <c r="G44" s="31">
        <v>1.25152446E8</v>
      </c>
    </row>
    <row r="45" ht="12.75" customHeight="1">
      <c r="A45" s="27">
        <v>215.0</v>
      </c>
      <c r="B45" s="28" t="s">
        <v>51398</v>
      </c>
      <c r="C45" s="27">
        <v>125.0</v>
      </c>
      <c r="D45" s="28" t="s">
        <v>51399</v>
      </c>
      <c r="E45" s="28" t="s">
        <v>51400</v>
      </c>
      <c r="F45" s="27">
        <v>274.0</v>
      </c>
      <c r="G45" s="27">
        <v>1.25152741E8</v>
      </c>
    </row>
    <row r="46" ht="12.75" customHeight="1">
      <c r="A46" s="31">
        <v>215.0</v>
      </c>
      <c r="B46" s="32" t="s">
        <v>51401</v>
      </c>
      <c r="C46" s="31">
        <v>125.0</v>
      </c>
      <c r="D46" s="32" t="s">
        <v>51402</v>
      </c>
      <c r="E46" s="32" t="s">
        <v>51403</v>
      </c>
      <c r="F46" s="31">
        <v>316.0</v>
      </c>
      <c r="G46" s="31">
        <v>1.25153166E8</v>
      </c>
    </row>
    <row r="47" ht="12.75" customHeight="1">
      <c r="A47" s="27">
        <v>215.0</v>
      </c>
      <c r="B47" s="28" t="s">
        <v>51404</v>
      </c>
      <c r="C47" s="27">
        <v>125.0</v>
      </c>
      <c r="D47" s="28" t="s">
        <v>51405</v>
      </c>
      <c r="E47" s="28" t="s">
        <v>51406</v>
      </c>
      <c r="F47" s="27">
        <v>322.0</v>
      </c>
      <c r="G47" s="27">
        <v>1.25153229E8</v>
      </c>
    </row>
    <row r="48" ht="12.75" customHeight="1">
      <c r="A48" s="31">
        <v>215.0</v>
      </c>
      <c r="B48" s="32" t="s">
        <v>51407</v>
      </c>
      <c r="C48" s="31">
        <v>125.0</v>
      </c>
      <c r="D48" s="32" t="s">
        <v>51408</v>
      </c>
      <c r="E48" s="32" t="s">
        <v>51409</v>
      </c>
      <c r="F48" s="31">
        <v>364.0</v>
      </c>
      <c r="G48" s="31">
        <v>1.25153645E8</v>
      </c>
    </row>
    <row r="49" ht="12.75" customHeight="1">
      <c r="A49" s="27">
        <v>215.0</v>
      </c>
      <c r="B49" s="28" t="s">
        <v>51410</v>
      </c>
      <c r="C49" s="27">
        <v>125.0</v>
      </c>
      <c r="D49" s="28" t="s">
        <v>51411</v>
      </c>
      <c r="E49" s="28" t="s">
        <v>51412</v>
      </c>
      <c r="F49" s="27">
        <v>373.0</v>
      </c>
      <c r="G49" s="27">
        <v>1.25153737E8</v>
      </c>
    </row>
    <row r="50" ht="12.75" customHeight="1">
      <c r="A50" s="31">
        <v>215.0</v>
      </c>
      <c r="B50" s="32" t="s">
        <v>51413</v>
      </c>
      <c r="C50" s="31">
        <v>125.0</v>
      </c>
      <c r="D50" s="32" t="s">
        <v>51414</v>
      </c>
      <c r="E50" s="32" t="s">
        <v>51415</v>
      </c>
      <c r="F50" s="31">
        <v>391.0</v>
      </c>
      <c r="G50" s="31">
        <v>1.25153911E8</v>
      </c>
    </row>
    <row r="51" ht="12.75" customHeight="1">
      <c r="A51" s="27">
        <v>215.0</v>
      </c>
      <c r="B51" s="28" t="s">
        <v>51416</v>
      </c>
      <c r="C51" s="27">
        <v>125.0</v>
      </c>
      <c r="D51" s="28" t="s">
        <v>51417</v>
      </c>
      <c r="E51" s="28" t="s">
        <v>51418</v>
      </c>
      <c r="F51" s="27">
        <v>418.0</v>
      </c>
      <c r="G51" s="27">
        <v>1.25154181E8</v>
      </c>
    </row>
    <row r="52" ht="12.75" customHeight="1">
      <c r="A52" s="31">
        <v>215.0</v>
      </c>
      <c r="B52" s="32" t="s">
        <v>51419</v>
      </c>
      <c r="C52" s="31">
        <v>125.0</v>
      </c>
      <c r="D52" s="32" t="s">
        <v>51420</v>
      </c>
      <c r="E52" s="32" t="s">
        <v>51421</v>
      </c>
      <c r="F52" s="31">
        <v>427.0</v>
      </c>
      <c r="G52" s="31">
        <v>1.25154273E8</v>
      </c>
    </row>
    <row r="53" ht="12.75" customHeight="1">
      <c r="A53" s="27">
        <v>215.0</v>
      </c>
      <c r="B53" s="28" t="s">
        <v>51422</v>
      </c>
      <c r="C53" s="27">
        <v>125.0</v>
      </c>
      <c r="D53" s="28" t="s">
        <v>51423</v>
      </c>
      <c r="E53" s="28" t="s">
        <v>51424</v>
      </c>
      <c r="F53" s="27">
        <v>466.0</v>
      </c>
      <c r="G53" s="27">
        <v>1.2515466E8</v>
      </c>
    </row>
    <row r="54" ht="12.75" customHeight="1">
      <c r="A54" s="31">
        <v>215.0</v>
      </c>
      <c r="B54" s="32" t="s">
        <v>51425</v>
      </c>
      <c r="C54" s="31">
        <v>125.0</v>
      </c>
      <c r="D54" s="32" t="s">
        <v>51426</v>
      </c>
      <c r="E54" s="32" t="s">
        <v>51427</v>
      </c>
      <c r="F54" s="31">
        <v>506.0</v>
      </c>
      <c r="G54" s="31">
        <v>1.25155069E8</v>
      </c>
    </row>
    <row r="55" ht="12.75" customHeight="1">
      <c r="A55" s="27">
        <v>215.0</v>
      </c>
      <c r="B55" s="28" t="s">
        <v>51428</v>
      </c>
      <c r="C55" s="27">
        <v>125.0</v>
      </c>
      <c r="D55" s="28" t="s">
        <v>51429</v>
      </c>
      <c r="E55" s="28" t="s">
        <v>51430</v>
      </c>
      <c r="F55" s="27">
        <v>562.0</v>
      </c>
      <c r="G55" s="27">
        <v>1.25155627E8</v>
      </c>
    </row>
    <row r="56" ht="12.75" customHeight="1">
      <c r="A56" s="31">
        <v>215.0</v>
      </c>
      <c r="B56" s="32" t="s">
        <v>51431</v>
      </c>
      <c r="C56" s="31">
        <v>125.0</v>
      </c>
      <c r="D56" s="32" t="s">
        <v>51432</v>
      </c>
      <c r="E56" s="32" t="s">
        <v>51433</v>
      </c>
      <c r="F56" s="31">
        <v>580.0</v>
      </c>
      <c r="G56" s="31">
        <v>1.25155801E8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51434</v>
      </c>
      <c r="C1" s="27">
        <v>125.0</v>
      </c>
      <c r="D1" s="28" t="s">
        <v>51435</v>
      </c>
      <c r="E1" s="28" t="s">
        <v>51436</v>
      </c>
      <c r="F1" s="27">
        <v>587.0</v>
      </c>
      <c r="G1" s="27">
        <v>1.25155872E8</v>
      </c>
    </row>
    <row r="2" ht="12.75" customHeight="1">
      <c r="A2" s="31">
        <v>215.0</v>
      </c>
      <c r="B2" s="32" t="s">
        <v>51437</v>
      </c>
      <c r="C2" s="31">
        <v>125.0</v>
      </c>
      <c r="D2" s="32" t="s">
        <v>51438</v>
      </c>
      <c r="E2" s="32" t="s">
        <v>51439</v>
      </c>
      <c r="F2" s="31">
        <v>592.0</v>
      </c>
      <c r="G2" s="31">
        <v>1.25155922E8</v>
      </c>
    </row>
    <row r="3" ht="12.75" customHeight="1">
      <c r="A3" s="27">
        <v>215.0</v>
      </c>
      <c r="B3" s="28" t="s">
        <v>51440</v>
      </c>
      <c r="C3" s="27">
        <v>125.0</v>
      </c>
      <c r="D3" s="28" t="s">
        <v>51441</v>
      </c>
      <c r="E3" s="28" t="s">
        <v>51442</v>
      </c>
      <c r="F3" s="27">
        <v>616.0</v>
      </c>
      <c r="G3" s="27">
        <v>1.25156163E8</v>
      </c>
    </row>
    <row r="4" ht="12.75" customHeight="1">
      <c r="A4" s="31">
        <v>215.0</v>
      </c>
      <c r="B4" s="32" t="s">
        <v>51443</v>
      </c>
      <c r="C4" s="31">
        <v>125.0</v>
      </c>
      <c r="D4" s="32" t="s">
        <v>51444</v>
      </c>
      <c r="E4" s="32" t="s">
        <v>51445</v>
      </c>
      <c r="F4" s="31">
        <v>649.0</v>
      </c>
      <c r="G4" s="31">
        <v>1.25156497E8</v>
      </c>
    </row>
    <row r="5" ht="12.75" customHeight="1">
      <c r="A5" s="27">
        <v>215.0</v>
      </c>
      <c r="B5" s="28" t="s">
        <v>51446</v>
      </c>
      <c r="C5" s="27">
        <v>125.0</v>
      </c>
      <c r="D5" s="28" t="s">
        <v>51447</v>
      </c>
      <c r="E5" s="28" t="s">
        <v>51448</v>
      </c>
      <c r="F5" s="27">
        <v>691.0</v>
      </c>
      <c r="G5" s="27">
        <v>1.25156918E8</v>
      </c>
    </row>
    <row r="6" ht="12.75" customHeight="1">
      <c r="A6" s="31">
        <v>215.0</v>
      </c>
      <c r="B6" s="32" t="s">
        <v>51449</v>
      </c>
      <c r="C6" s="31">
        <v>125.0</v>
      </c>
      <c r="D6" s="32" t="s">
        <v>51450</v>
      </c>
      <c r="E6" s="32" t="s">
        <v>51451</v>
      </c>
      <c r="F6" s="31">
        <v>706.0</v>
      </c>
      <c r="G6" s="31">
        <v>1.25157067E8</v>
      </c>
    </row>
    <row r="7" ht="12.75" customHeight="1">
      <c r="A7" s="27">
        <v>215.0</v>
      </c>
      <c r="B7" s="28" t="s">
        <v>51452</v>
      </c>
      <c r="C7" s="27">
        <v>125.0</v>
      </c>
      <c r="D7" s="28" t="s">
        <v>51453</v>
      </c>
      <c r="E7" s="28" t="s">
        <v>51454</v>
      </c>
      <c r="F7" s="27">
        <v>739.0</v>
      </c>
      <c r="G7" s="27">
        <v>1.25157391E8</v>
      </c>
    </row>
    <row r="8" ht="12.75" customHeight="1">
      <c r="A8" s="31">
        <v>215.0</v>
      </c>
      <c r="B8" s="32" t="s">
        <v>51455</v>
      </c>
      <c r="C8" s="31">
        <v>125.0</v>
      </c>
      <c r="D8" s="32" t="s">
        <v>51456</v>
      </c>
      <c r="E8" s="32" t="s">
        <v>51457</v>
      </c>
      <c r="F8" s="31">
        <v>751.0</v>
      </c>
      <c r="G8" s="31">
        <v>1.25157517E8</v>
      </c>
    </row>
    <row r="9" ht="12.75" customHeight="1">
      <c r="A9" s="27">
        <v>418.0</v>
      </c>
      <c r="B9" s="28" t="s">
        <v>51458</v>
      </c>
      <c r="C9" s="27">
        <v>125.0</v>
      </c>
      <c r="D9" s="28" t="s">
        <v>51459</v>
      </c>
      <c r="E9" s="28" t="s">
        <v>51460</v>
      </c>
      <c r="F9" s="29">
        <v>4.0</v>
      </c>
      <c r="G9" s="27">
        <v>1.25180047E8</v>
      </c>
    </row>
    <row r="10" ht="12.75" customHeight="1">
      <c r="A10" s="31">
        <v>418.0</v>
      </c>
      <c r="B10" s="32" t="s">
        <v>51461</v>
      </c>
      <c r="C10" s="31">
        <v>125.0</v>
      </c>
      <c r="D10" s="32" t="s">
        <v>51462</v>
      </c>
      <c r="E10" s="32" t="s">
        <v>51463</v>
      </c>
      <c r="F10" s="33">
        <v>19.0</v>
      </c>
      <c r="G10" s="31">
        <v>1.25180197E8</v>
      </c>
    </row>
    <row r="11" ht="12.75" customHeight="1">
      <c r="A11" s="27">
        <v>418.0</v>
      </c>
      <c r="B11" s="28" t="s">
        <v>51464</v>
      </c>
      <c r="C11" s="27">
        <v>125.0</v>
      </c>
      <c r="D11" s="28" t="s">
        <v>51465</v>
      </c>
      <c r="E11" s="28" t="s">
        <v>51466</v>
      </c>
      <c r="F11" s="29">
        <v>58.0</v>
      </c>
      <c r="G11" s="27">
        <v>1.25180584E8</v>
      </c>
    </row>
    <row r="12" ht="12.75" customHeight="1">
      <c r="A12" s="31">
        <v>119.0</v>
      </c>
      <c r="B12" s="32" t="s">
        <v>51467</v>
      </c>
      <c r="C12" s="31">
        <v>125.0</v>
      </c>
      <c r="D12" s="32" t="s">
        <v>51468</v>
      </c>
      <c r="E12" s="32" t="s">
        <v>51469</v>
      </c>
      <c r="F12" s="33">
        <v>40.0</v>
      </c>
      <c r="G12" s="31">
        <v>1.25190408E8</v>
      </c>
    </row>
    <row r="13" ht="12.75" customHeight="1">
      <c r="A13" s="27">
        <v>119.0</v>
      </c>
      <c r="B13" s="28" t="s">
        <v>51470</v>
      </c>
      <c r="C13" s="27">
        <v>125.0</v>
      </c>
      <c r="D13" s="28" t="s">
        <v>51471</v>
      </c>
      <c r="E13" s="28" t="s">
        <v>51472</v>
      </c>
      <c r="F13" s="29">
        <v>82.0</v>
      </c>
      <c r="G13" s="27">
        <v>1.25190824E8</v>
      </c>
    </row>
    <row r="14" ht="12.75" customHeight="1">
      <c r="A14" s="31">
        <v>119.0</v>
      </c>
      <c r="B14" s="32" t="s">
        <v>51473</v>
      </c>
      <c r="C14" s="31">
        <v>125.0</v>
      </c>
      <c r="D14" s="32" t="s">
        <v>51474</v>
      </c>
      <c r="E14" s="32" t="s">
        <v>51475</v>
      </c>
      <c r="F14" s="33">
        <v>88.0</v>
      </c>
      <c r="G14" s="31">
        <v>1.25190882E8</v>
      </c>
    </row>
    <row r="15" ht="12.75" customHeight="1">
      <c r="A15" s="27">
        <v>119.0</v>
      </c>
      <c r="B15" s="28" t="s">
        <v>51476</v>
      </c>
      <c r="C15" s="27">
        <v>125.0</v>
      </c>
      <c r="D15" s="28" t="s">
        <v>51477</v>
      </c>
      <c r="E15" s="28" t="s">
        <v>51478</v>
      </c>
      <c r="F15" s="27">
        <v>106.0</v>
      </c>
      <c r="G15" s="27">
        <v>1.25191065E8</v>
      </c>
    </row>
    <row r="16" ht="12.75" customHeight="1">
      <c r="A16" s="31">
        <v>119.0</v>
      </c>
      <c r="B16" s="32" t="s">
        <v>51479</v>
      </c>
      <c r="C16" s="31">
        <v>125.0</v>
      </c>
      <c r="D16" s="32" t="s">
        <v>51480</v>
      </c>
      <c r="E16" s="32" t="s">
        <v>51481</v>
      </c>
      <c r="F16" s="31">
        <v>115.0</v>
      </c>
      <c r="G16" s="31">
        <v>1.25191157E8</v>
      </c>
    </row>
    <row r="17" ht="12.75" customHeight="1">
      <c r="A17" s="27">
        <v>119.0</v>
      </c>
      <c r="B17" s="28" t="s">
        <v>51482</v>
      </c>
      <c r="C17" s="27">
        <v>125.0</v>
      </c>
      <c r="D17" s="28" t="s">
        <v>51483</v>
      </c>
      <c r="E17" s="28" t="s">
        <v>51484</v>
      </c>
      <c r="F17" s="27">
        <v>142.0</v>
      </c>
      <c r="G17" s="27">
        <v>1.25191423E8</v>
      </c>
    </row>
    <row r="18" ht="12.75" customHeight="1">
      <c r="A18" s="31">
        <v>119.0</v>
      </c>
      <c r="B18" s="32" t="s">
        <v>51485</v>
      </c>
      <c r="C18" s="31">
        <v>125.0</v>
      </c>
      <c r="D18" s="32" t="s">
        <v>51486</v>
      </c>
      <c r="E18" s="32" t="s">
        <v>51487</v>
      </c>
      <c r="F18" s="31">
        <v>152.0</v>
      </c>
      <c r="G18" s="31">
        <v>1.25191528E8</v>
      </c>
    </row>
    <row r="19" ht="12.75" customHeight="1">
      <c r="A19" s="27">
        <v>119.0</v>
      </c>
      <c r="B19" s="28" t="s">
        <v>51488</v>
      </c>
      <c r="C19" s="27">
        <v>125.0</v>
      </c>
      <c r="D19" s="28" t="s">
        <v>51489</v>
      </c>
      <c r="E19" s="28" t="s">
        <v>51490</v>
      </c>
      <c r="F19" s="27">
        <v>211.0</v>
      </c>
      <c r="G19" s="27">
        <v>1.25192114E8</v>
      </c>
    </row>
    <row r="20" ht="12.75" customHeight="1">
      <c r="A20" s="31">
        <v>119.0</v>
      </c>
      <c r="B20" s="32" t="s">
        <v>51491</v>
      </c>
      <c r="C20" s="31">
        <v>125.0</v>
      </c>
      <c r="D20" s="32" t="s">
        <v>51492</v>
      </c>
      <c r="E20" s="32" t="s">
        <v>51493</v>
      </c>
      <c r="F20" s="31">
        <v>271.0</v>
      </c>
      <c r="G20" s="31">
        <v>1.25192714E8</v>
      </c>
    </row>
    <row r="21" ht="12.75" customHeight="1">
      <c r="A21" s="27">
        <v>119.0</v>
      </c>
      <c r="B21" s="28" t="s">
        <v>51494</v>
      </c>
      <c r="C21" s="27">
        <v>125.0</v>
      </c>
      <c r="D21" s="28" t="s">
        <v>51495</v>
      </c>
      <c r="E21" s="28" t="s">
        <v>51496</v>
      </c>
      <c r="F21" s="27">
        <v>764.0</v>
      </c>
      <c r="G21" s="27">
        <v>1.25197643E8</v>
      </c>
    </row>
    <row r="22" ht="12.75" customHeight="1">
      <c r="A22" s="31">
        <v>222.0</v>
      </c>
      <c r="B22" s="32" t="s">
        <v>51497</v>
      </c>
      <c r="C22" s="31">
        <v>125.0</v>
      </c>
      <c r="D22" s="32" t="s">
        <v>51498</v>
      </c>
      <c r="E22" s="32" t="s">
        <v>51499</v>
      </c>
      <c r="F22" s="33">
        <v>5.0</v>
      </c>
      <c r="G22" s="31">
        <v>1.25220057E8</v>
      </c>
    </row>
    <row r="23" ht="12.75" customHeight="1">
      <c r="A23" s="27">
        <v>222.0</v>
      </c>
      <c r="B23" s="28" t="s">
        <v>51500</v>
      </c>
      <c r="C23" s="27">
        <v>125.0</v>
      </c>
      <c r="D23" s="28" t="s">
        <v>51501</v>
      </c>
      <c r="E23" s="28" t="s">
        <v>51502</v>
      </c>
      <c r="F23" s="29">
        <v>19.0</v>
      </c>
      <c r="G23" s="27">
        <v>1.25220194E8</v>
      </c>
    </row>
    <row r="24" ht="12.75" customHeight="1">
      <c r="A24" s="31">
        <v>222.0</v>
      </c>
      <c r="B24" s="32" t="s">
        <v>51503</v>
      </c>
      <c r="C24" s="31">
        <v>125.0</v>
      </c>
      <c r="D24" s="32" t="s">
        <v>51504</v>
      </c>
      <c r="E24" s="32" t="s">
        <v>51505</v>
      </c>
      <c r="F24" s="33">
        <v>23.0</v>
      </c>
      <c r="G24" s="31">
        <v>1.25220231E8</v>
      </c>
    </row>
    <row r="25" ht="12.75" customHeight="1">
      <c r="A25" s="27">
        <v>222.0</v>
      </c>
      <c r="B25" s="28" t="s">
        <v>51506</v>
      </c>
      <c r="C25" s="27">
        <v>125.0</v>
      </c>
      <c r="D25" s="28" t="s">
        <v>51507</v>
      </c>
      <c r="E25" s="28" t="s">
        <v>51508</v>
      </c>
      <c r="F25" s="29">
        <v>25.0</v>
      </c>
      <c r="G25" s="27">
        <v>1.25220257E8</v>
      </c>
    </row>
    <row r="26" ht="12.75" customHeight="1">
      <c r="A26" s="31">
        <v>222.0</v>
      </c>
      <c r="B26" s="32" t="s">
        <v>51509</v>
      </c>
      <c r="C26" s="31">
        <v>125.0</v>
      </c>
      <c r="D26" s="32" t="s">
        <v>51510</v>
      </c>
      <c r="E26" s="32" t="s">
        <v>51511</v>
      </c>
      <c r="F26" s="33">
        <v>40.0</v>
      </c>
      <c r="G26" s="31">
        <v>1.25220402E8</v>
      </c>
    </row>
    <row r="27" ht="12.75" customHeight="1">
      <c r="A27" s="27">
        <v>222.0</v>
      </c>
      <c r="B27" s="28" t="s">
        <v>51512</v>
      </c>
      <c r="C27" s="27">
        <v>125.0</v>
      </c>
      <c r="D27" s="28" t="s">
        <v>51513</v>
      </c>
      <c r="E27" s="28" t="s">
        <v>51514</v>
      </c>
      <c r="F27" s="29">
        <v>77.0</v>
      </c>
      <c r="G27" s="27">
        <v>1.25220778E8</v>
      </c>
    </row>
    <row r="28" ht="12.75" customHeight="1">
      <c r="A28" s="31">
        <v>222.0</v>
      </c>
      <c r="B28" s="32" t="s">
        <v>51515</v>
      </c>
      <c r="C28" s="31">
        <v>125.0</v>
      </c>
      <c r="D28" s="32" t="s">
        <v>51516</v>
      </c>
      <c r="E28" s="32" t="s">
        <v>51517</v>
      </c>
      <c r="F28" s="33">
        <v>85.0</v>
      </c>
      <c r="G28" s="31">
        <v>1.25220857E8</v>
      </c>
    </row>
    <row r="29" ht="12.75" customHeight="1">
      <c r="A29" s="27">
        <v>222.0</v>
      </c>
      <c r="B29" s="28" t="s">
        <v>51518</v>
      </c>
      <c r="C29" s="27">
        <v>125.0</v>
      </c>
      <c r="D29" s="28" t="s">
        <v>51519</v>
      </c>
      <c r="E29" s="28" t="s">
        <v>51520</v>
      </c>
      <c r="F29" s="29">
        <v>91.0</v>
      </c>
      <c r="G29" s="27">
        <v>1.2522091E8</v>
      </c>
    </row>
    <row r="30" ht="12.75" customHeight="1">
      <c r="A30" s="31">
        <v>126.0</v>
      </c>
      <c r="B30" s="32" t="s">
        <v>51521</v>
      </c>
      <c r="C30" s="31">
        <v>125.0</v>
      </c>
      <c r="D30" s="32" t="s">
        <v>51522</v>
      </c>
      <c r="E30" s="32" t="s">
        <v>51523</v>
      </c>
      <c r="F30" s="33">
        <v>8.0</v>
      </c>
      <c r="G30" s="31">
        <v>1.25260088E8</v>
      </c>
    </row>
    <row r="31" ht="12.75" customHeight="1">
      <c r="A31" s="27">
        <v>126.0</v>
      </c>
      <c r="B31" s="28" t="s">
        <v>51524</v>
      </c>
      <c r="C31" s="27">
        <v>125.0</v>
      </c>
      <c r="D31" s="28" t="s">
        <v>51525</v>
      </c>
      <c r="E31" s="28" t="s">
        <v>51526</v>
      </c>
      <c r="F31" s="29">
        <v>13.0</v>
      </c>
      <c r="G31" s="27">
        <v>1.25260138E8</v>
      </c>
    </row>
    <row r="32" ht="12.75" customHeight="1">
      <c r="A32" s="31">
        <v>126.0</v>
      </c>
      <c r="B32" s="32" t="s">
        <v>51527</v>
      </c>
      <c r="C32" s="31">
        <v>125.0</v>
      </c>
      <c r="D32" s="32" t="s">
        <v>51528</v>
      </c>
      <c r="E32" s="32" t="s">
        <v>51529</v>
      </c>
      <c r="F32" s="33">
        <v>18.0</v>
      </c>
      <c r="G32" s="31">
        <v>1.25260183E8</v>
      </c>
    </row>
    <row r="33" ht="12.75" customHeight="1">
      <c r="A33" s="27">
        <v>126.0</v>
      </c>
      <c r="B33" s="28" t="s">
        <v>51530</v>
      </c>
      <c r="C33" s="27">
        <v>125.0</v>
      </c>
      <c r="D33" s="28" t="s">
        <v>51531</v>
      </c>
      <c r="E33" s="28" t="s">
        <v>51532</v>
      </c>
      <c r="F33" s="29">
        <v>34.0</v>
      </c>
      <c r="G33" s="27">
        <v>1.25260341E8</v>
      </c>
    </row>
    <row r="34" ht="12.75" customHeight="1">
      <c r="A34" s="31">
        <v>126.0</v>
      </c>
      <c r="B34" s="32" t="s">
        <v>51533</v>
      </c>
      <c r="C34" s="31">
        <v>125.0</v>
      </c>
      <c r="D34" s="32" t="s">
        <v>51534</v>
      </c>
      <c r="E34" s="32" t="s">
        <v>51535</v>
      </c>
      <c r="F34" s="33">
        <v>43.0</v>
      </c>
      <c r="G34" s="31">
        <v>1.25260433E8</v>
      </c>
    </row>
    <row r="35" ht="12.75" customHeight="1">
      <c r="A35" s="27">
        <v>126.0</v>
      </c>
      <c r="B35" s="28" t="s">
        <v>51536</v>
      </c>
      <c r="C35" s="27">
        <v>125.0</v>
      </c>
      <c r="D35" s="28" t="s">
        <v>51537</v>
      </c>
      <c r="E35" s="28" t="s">
        <v>51538</v>
      </c>
      <c r="F35" s="29">
        <v>50.0</v>
      </c>
      <c r="G35" s="27">
        <v>1.25260509E8</v>
      </c>
    </row>
    <row r="36" ht="12.75" customHeight="1">
      <c r="A36" s="31">
        <v>126.0</v>
      </c>
      <c r="B36" s="32" t="s">
        <v>51539</v>
      </c>
      <c r="C36" s="31">
        <v>125.0</v>
      </c>
      <c r="D36" s="32" t="s">
        <v>51540</v>
      </c>
      <c r="E36" s="32" t="s">
        <v>51541</v>
      </c>
      <c r="F36" s="33">
        <v>52.0</v>
      </c>
      <c r="G36" s="31">
        <v>1.25260525E8</v>
      </c>
    </row>
    <row r="37" ht="12.75" customHeight="1">
      <c r="A37" s="27">
        <v>126.0</v>
      </c>
      <c r="B37" s="28" t="s">
        <v>51542</v>
      </c>
      <c r="C37" s="27">
        <v>125.0</v>
      </c>
      <c r="D37" s="28" t="s">
        <v>51543</v>
      </c>
      <c r="E37" s="28" t="s">
        <v>51544</v>
      </c>
      <c r="F37" s="29">
        <v>73.0</v>
      </c>
      <c r="G37" s="27">
        <v>1.25260738E8</v>
      </c>
    </row>
    <row r="38" ht="12.75" customHeight="1">
      <c r="A38" s="31">
        <v>126.0</v>
      </c>
      <c r="B38" s="32" t="s">
        <v>51545</v>
      </c>
      <c r="C38" s="31">
        <v>125.0</v>
      </c>
      <c r="D38" s="32" t="s">
        <v>51546</v>
      </c>
      <c r="E38" s="32" t="s">
        <v>51547</v>
      </c>
      <c r="F38" s="31">
        <v>118.0</v>
      </c>
      <c r="G38" s="31">
        <v>1.25261182E8</v>
      </c>
    </row>
    <row r="39" ht="12.75" customHeight="1">
      <c r="A39" s="27">
        <v>126.0</v>
      </c>
      <c r="B39" s="28" t="s">
        <v>51548</v>
      </c>
      <c r="C39" s="27">
        <v>125.0</v>
      </c>
      <c r="D39" s="28" t="s">
        <v>51549</v>
      </c>
      <c r="E39" s="28" t="s">
        <v>51550</v>
      </c>
      <c r="F39" s="27">
        <v>133.0</v>
      </c>
      <c r="G39" s="27">
        <v>1.25261337E8</v>
      </c>
    </row>
    <row r="40" ht="12.75" customHeight="1">
      <c r="A40" s="31">
        <v>126.0</v>
      </c>
      <c r="B40" s="32" t="s">
        <v>51551</v>
      </c>
      <c r="C40" s="31">
        <v>125.0</v>
      </c>
      <c r="D40" s="32" t="s">
        <v>51552</v>
      </c>
      <c r="E40" s="32" t="s">
        <v>51553</v>
      </c>
      <c r="F40" s="31">
        <v>145.0</v>
      </c>
      <c r="G40" s="31">
        <v>1.25261458E8</v>
      </c>
    </row>
    <row r="41" ht="12.75" customHeight="1">
      <c r="A41" s="27">
        <v>126.0</v>
      </c>
      <c r="B41" s="28" t="s">
        <v>51554</v>
      </c>
      <c r="C41" s="27">
        <v>125.0</v>
      </c>
      <c r="D41" s="28" t="s">
        <v>51555</v>
      </c>
      <c r="E41" s="28" t="s">
        <v>51556</v>
      </c>
      <c r="F41" s="27">
        <v>163.0</v>
      </c>
      <c r="G41" s="27">
        <v>1.25261632E8</v>
      </c>
    </row>
    <row r="42" ht="12.75" customHeight="1">
      <c r="A42" s="31">
        <v>126.0</v>
      </c>
      <c r="B42" s="32" t="s">
        <v>51557</v>
      </c>
      <c r="C42" s="31">
        <v>125.0</v>
      </c>
      <c r="D42" s="32" t="s">
        <v>51558</v>
      </c>
      <c r="E42" s="32" t="s">
        <v>51559</v>
      </c>
      <c r="F42" s="31">
        <v>172.0</v>
      </c>
      <c r="G42" s="31">
        <v>1.25261724E8</v>
      </c>
    </row>
    <row r="43" ht="12.75" customHeight="1">
      <c r="A43" s="27">
        <v>126.0</v>
      </c>
      <c r="B43" s="28" t="s">
        <v>51560</v>
      </c>
      <c r="C43" s="27">
        <v>125.0</v>
      </c>
      <c r="D43" s="28" t="s">
        <v>51561</v>
      </c>
      <c r="E43" s="28" t="s">
        <v>51562</v>
      </c>
      <c r="F43" s="27">
        <v>175.0</v>
      </c>
      <c r="G43" s="27">
        <v>1.25261753E8</v>
      </c>
    </row>
    <row r="44" ht="12.75" customHeight="1">
      <c r="A44" s="31">
        <v>126.0</v>
      </c>
      <c r="B44" s="32" t="s">
        <v>51563</v>
      </c>
      <c r="C44" s="31">
        <v>125.0</v>
      </c>
      <c r="D44" s="32" t="s">
        <v>51564</v>
      </c>
      <c r="E44" s="32" t="s">
        <v>51565</v>
      </c>
      <c r="F44" s="31">
        <v>199.0</v>
      </c>
      <c r="G44" s="31">
        <v>1.25261995E8</v>
      </c>
    </row>
    <row r="45" ht="12.75" customHeight="1">
      <c r="A45" s="27">
        <v>126.0</v>
      </c>
      <c r="B45" s="28" t="s">
        <v>51566</v>
      </c>
      <c r="C45" s="27">
        <v>125.0</v>
      </c>
      <c r="D45" s="28" t="s">
        <v>51567</v>
      </c>
      <c r="E45" s="28" t="s">
        <v>51568</v>
      </c>
      <c r="F45" s="27">
        <v>214.0</v>
      </c>
      <c r="G45" s="27">
        <v>1.25262149E8</v>
      </c>
    </row>
    <row r="46" ht="12.75" customHeight="1">
      <c r="A46" s="31">
        <v>126.0</v>
      </c>
      <c r="B46" s="32" t="s">
        <v>51569</v>
      </c>
      <c r="C46" s="31">
        <v>125.0</v>
      </c>
      <c r="D46" s="32" t="s">
        <v>51570</v>
      </c>
      <c r="E46" s="32" t="s">
        <v>51571</v>
      </c>
      <c r="F46" s="31">
        <v>245.0</v>
      </c>
      <c r="G46" s="31">
        <v>1.25262457E8</v>
      </c>
    </row>
    <row r="47" ht="12.75" customHeight="1">
      <c r="A47" s="27">
        <v>126.0</v>
      </c>
      <c r="B47" s="28" t="s">
        <v>51572</v>
      </c>
      <c r="C47" s="27">
        <v>125.0</v>
      </c>
      <c r="D47" s="28" t="s">
        <v>51573</v>
      </c>
      <c r="E47" s="28" t="s">
        <v>51574</v>
      </c>
      <c r="F47" s="27">
        <v>253.0</v>
      </c>
      <c r="G47" s="27">
        <v>1.25262536E8</v>
      </c>
    </row>
    <row r="48" ht="12.75" customHeight="1">
      <c r="A48" s="31">
        <v>126.0</v>
      </c>
      <c r="B48" s="32" t="s">
        <v>51575</v>
      </c>
      <c r="C48" s="31">
        <v>125.0</v>
      </c>
      <c r="D48" s="32" t="s">
        <v>51576</v>
      </c>
      <c r="E48" s="32" t="s">
        <v>51577</v>
      </c>
      <c r="F48" s="31">
        <v>298.0</v>
      </c>
      <c r="G48" s="31">
        <v>1.25262981E8</v>
      </c>
    </row>
    <row r="49" ht="12.75" customHeight="1">
      <c r="A49" s="27">
        <v>126.0</v>
      </c>
      <c r="B49" s="28" t="s">
        <v>51578</v>
      </c>
      <c r="C49" s="27">
        <v>125.0</v>
      </c>
      <c r="D49" s="28" t="s">
        <v>51579</v>
      </c>
      <c r="E49" s="28" t="s">
        <v>51580</v>
      </c>
      <c r="F49" s="27">
        <v>310.0</v>
      </c>
      <c r="G49" s="27">
        <v>1.25263106E8</v>
      </c>
    </row>
    <row r="50" ht="12.75" customHeight="1">
      <c r="A50" s="31">
        <v>126.0</v>
      </c>
      <c r="B50" s="32" t="s">
        <v>51581</v>
      </c>
      <c r="C50" s="31">
        <v>125.0</v>
      </c>
      <c r="D50" s="32" t="s">
        <v>51582</v>
      </c>
      <c r="E50" s="32" t="s">
        <v>51583</v>
      </c>
      <c r="F50" s="31">
        <v>319.0</v>
      </c>
      <c r="G50" s="31">
        <v>1.25263193E8</v>
      </c>
    </row>
    <row r="51" ht="12.75" customHeight="1">
      <c r="A51" s="27">
        <v>126.0</v>
      </c>
      <c r="B51" s="28" t="s">
        <v>51584</v>
      </c>
      <c r="C51" s="27">
        <v>125.0</v>
      </c>
      <c r="D51" s="28" t="s">
        <v>51585</v>
      </c>
      <c r="E51" s="28" t="s">
        <v>51586</v>
      </c>
      <c r="F51" s="27">
        <v>337.0</v>
      </c>
      <c r="G51" s="27">
        <v>1.25263377E8</v>
      </c>
    </row>
    <row r="52" ht="12.75" customHeight="1">
      <c r="A52" s="31">
        <v>126.0</v>
      </c>
      <c r="B52" s="32" t="s">
        <v>51587</v>
      </c>
      <c r="C52" s="31">
        <v>125.0</v>
      </c>
      <c r="D52" s="32" t="s">
        <v>51588</v>
      </c>
      <c r="E52" s="32" t="s">
        <v>51589</v>
      </c>
      <c r="F52" s="31">
        <v>352.0</v>
      </c>
      <c r="G52" s="31">
        <v>1.25263522E8</v>
      </c>
    </row>
    <row r="53" ht="12.75" customHeight="1">
      <c r="A53" s="27">
        <v>126.0</v>
      </c>
      <c r="B53" s="28" t="s">
        <v>51590</v>
      </c>
      <c r="C53" s="27">
        <v>125.0</v>
      </c>
      <c r="D53" s="28" t="s">
        <v>51591</v>
      </c>
      <c r="E53" s="28" t="s">
        <v>51592</v>
      </c>
      <c r="F53" s="27">
        <v>358.0</v>
      </c>
      <c r="G53" s="27">
        <v>1.2526358E8</v>
      </c>
    </row>
    <row r="54" ht="12.75" customHeight="1">
      <c r="A54" s="31">
        <v>126.0</v>
      </c>
      <c r="B54" s="32" t="s">
        <v>51593</v>
      </c>
      <c r="C54" s="31">
        <v>125.0</v>
      </c>
      <c r="D54" s="32" t="s">
        <v>51594</v>
      </c>
      <c r="E54" s="32" t="s">
        <v>51595</v>
      </c>
      <c r="F54" s="31">
        <v>361.0</v>
      </c>
      <c r="G54" s="31">
        <v>1.25263614E8</v>
      </c>
    </row>
    <row r="55" ht="12.75" customHeight="1">
      <c r="A55" s="27">
        <v>126.0</v>
      </c>
      <c r="B55" s="28" t="s">
        <v>51596</v>
      </c>
      <c r="C55" s="27">
        <v>125.0</v>
      </c>
      <c r="D55" s="28" t="s">
        <v>51597</v>
      </c>
      <c r="E55" s="28" t="s">
        <v>51598</v>
      </c>
      <c r="F55" s="27">
        <v>409.0</v>
      </c>
      <c r="G55" s="27">
        <v>1.25264097E8</v>
      </c>
    </row>
    <row r="56" ht="12.75" customHeight="1">
      <c r="A56" s="31">
        <v>126.0</v>
      </c>
      <c r="B56" s="32" t="s">
        <v>51599</v>
      </c>
      <c r="C56" s="31">
        <v>125.0</v>
      </c>
      <c r="D56" s="32" t="s">
        <v>51600</v>
      </c>
      <c r="E56" s="32" t="s">
        <v>51601</v>
      </c>
      <c r="F56" s="31">
        <v>430.0</v>
      </c>
      <c r="G56" s="31">
        <v>1.25264305E8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51602</v>
      </c>
      <c r="C1" s="27">
        <v>125.0</v>
      </c>
      <c r="D1" s="28" t="s">
        <v>51603</v>
      </c>
      <c r="E1" s="28" t="s">
        <v>51604</v>
      </c>
      <c r="F1" s="27">
        <v>463.0</v>
      </c>
      <c r="G1" s="27">
        <v>1.25264639E8</v>
      </c>
    </row>
    <row r="2" ht="12.75" customHeight="1">
      <c r="A2" s="31">
        <v>126.0</v>
      </c>
      <c r="B2" s="32" t="s">
        <v>51605</v>
      </c>
      <c r="C2" s="31">
        <v>125.0</v>
      </c>
      <c r="D2" s="32" t="s">
        <v>51606</v>
      </c>
      <c r="E2" s="32" t="s">
        <v>51607</v>
      </c>
      <c r="F2" s="31">
        <v>482.0</v>
      </c>
      <c r="G2" s="31">
        <v>1.25264826E8</v>
      </c>
    </row>
    <row r="3" ht="12.75" customHeight="1">
      <c r="A3" s="27">
        <v>127.0</v>
      </c>
      <c r="B3" s="28" t="s">
        <v>51608</v>
      </c>
      <c r="C3" s="27">
        <v>125.0</v>
      </c>
      <c r="D3" s="28" t="s">
        <v>51609</v>
      </c>
      <c r="E3" s="28" t="s">
        <v>51610</v>
      </c>
      <c r="F3" s="29">
        <v>0.0</v>
      </c>
      <c r="G3" s="27">
        <v>1.25270007E8</v>
      </c>
    </row>
    <row r="4" ht="12.75" customHeight="1">
      <c r="A4" s="31">
        <v>127.0</v>
      </c>
      <c r="B4" s="32" t="s">
        <v>51611</v>
      </c>
      <c r="C4" s="31">
        <v>125.0</v>
      </c>
      <c r="D4" s="32" t="s">
        <v>51612</v>
      </c>
      <c r="E4" s="32" t="s">
        <v>51613</v>
      </c>
      <c r="F4" s="33">
        <v>34.0</v>
      </c>
      <c r="G4" s="31">
        <v>1.25270344E8</v>
      </c>
    </row>
    <row r="5" ht="12.75" customHeight="1">
      <c r="A5" s="27">
        <v>127.0</v>
      </c>
      <c r="B5" s="28" t="s">
        <v>51614</v>
      </c>
      <c r="C5" s="27">
        <v>125.0</v>
      </c>
      <c r="D5" s="28" t="s">
        <v>51615</v>
      </c>
      <c r="E5" s="28" t="s">
        <v>51616</v>
      </c>
      <c r="F5" s="29">
        <v>65.0</v>
      </c>
      <c r="G5" s="27">
        <v>1.25270652E8</v>
      </c>
    </row>
    <row r="6" ht="12.75" customHeight="1">
      <c r="A6" s="31">
        <v>127.0</v>
      </c>
      <c r="B6" s="32" t="s">
        <v>51617</v>
      </c>
      <c r="C6" s="31">
        <v>125.0</v>
      </c>
      <c r="D6" s="32" t="s">
        <v>51618</v>
      </c>
      <c r="E6" s="32" t="s">
        <v>51619</v>
      </c>
      <c r="F6" s="33">
        <v>88.0</v>
      </c>
      <c r="G6" s="31">
        <v>1.25270881E8</v>
      </c>
    </row>
    <row r="7" ht="12.75" customHeight="1">
      <c r="A7" s="27">
        <v>127.0</v>
      </c>
      <c r="B7" s="28" t="s">
        <v>51620</v>
      </c>
      <c r="C7" s="27">
        <v>125.0</v>
      </c>
      <c r="D7" s="28" t="s">
        <v>51621</v>
      </c>
      <c r="E7" s="28" t="s">
        <v>51622</v>
      </c>
      <c r="F7" s="27">
        <v>130.0</v>
      </c>
      <c r="G7" s="27">
        <v>1.25271301E8</v>
      </c>
    </row>
    <row r="8" ht="12.75" customHeight="1">
      <c r="A8" s="31">
        <v>127.0</v>
      </c>
      <c r="B8" s="32" t="s">
        <v>51623</v>
      </c>
      <c r="C8" s="31">
        <v>125.0</v>
      </c>
      <c r="D8" s="32" t="s">
        <v>51624</v>
      </c>
      <c r="E8" s="32" t="s">
        <v>51625</v>
      </c>
      <c r="F8" s="31">
        <v>142.0</v>
      </c>
      <c r="G8" s="31">
        <v>1.25271422E8</v>
      </c>
    </row>
    <row r="9" ht="12.75" customHeight="1">
      <c r="A9" s="27">
        <v>127.0</v>
      </c>
      <c r="B9" s="28" t="s">
        <v>51626</v>
      </c>
      <c r="C9" s="27">
        <v>125.0</v>
      </c>
      <c r="D9" s="28" t="s">
        <v>51627</v>
      </c>
      <c r="E9" s="28" t="s">
        <v>51628</v>
      </c>
      <c r="F9" s="27">
        <v>184.0</v>
      </c>
      <c r="G9" s="27">
        <v>1.25271848E8</v>
      </c>
    </row>
    <row r="10" ht="12.75" customHeight="1">
      <c r="A10" s="31">
        <v>127.0</v>
      </c>
      <c r="B10" s="32" t="s">
        <v>51629</v>
      </c>
      <c r="C10" s="31">
        <v>125.0</v>
      </c>
      <c r="D10" s="32" t="s">
        <v>51630</v>
      </c>
      <c r="E10" s="32" t="s">
        <v>51631</v>
      </c>
      <c r="F10" s="31">
        <v>205.0</v>
      </c>
      <c r="G10" s="31">
        <v>1.2527205E8</v>
      </c>
    </row>
    <row r="11" ht="12.75" customHeight="1">
      <c r="A11" s="27">
        <v>127.0</v>
      </c>
      <c r="B11" s="28" t="s">
        <v>51632</v>
      </c>
      <c r="C11" s="27">
        <v>125.0</v>
      </c>
      <c r="D11" s="28" t="s">
        <v>51633</v>
      </c>
      <c r="E11" s="28" t="s">
        <v>51634</v>
      </c>
      <c r="F11" s="27">
        <v>232.0</v>
      </c>
      <c r="G11" s="27">
        <v>1.25272326E8</v>
      </c>
    </row>
    <row r="12" ht="12.75" customHeight="1">
      <c r="A12" s="31">
        <v>127.0</v>
      </c>
      <c r="B12" s="32" t="s">
        <v>51635</v>
      </c>
      <c r="C12" s="31">
        <v>125.0</v>
      </c>
      <c r="D12" s="32" t="s">
        <v>51636</v>
      </c>
      <c r="E12" s="32" t="s">
        <v>51637</v>
      </c>
      <c r="F12" s="31">
        <v>244.0</v>
      </c>
      <c r="G12" s="31">
        <v>1.25272447E8</v>
      </c>
    </row>
    <row r="13" ht="12.75" customHeight="1">
      <c r="A13" s="27">
        <v>127.0</v>
      </c>
      <c r="B13" s="28" t="s">
        <v>51638</v>
      </c>
      <c r="C13" s="27">
        <v>125.0</v>
      </c>
      <c r="D13" s="28" t="s">
        <v>51639</v>
      </c>
      <c r="E13" s="28" t="s">
        <v>51640</v>
      </c>
      <c r="F13" s="27">
        <v>268.0</v>
      </c>
      <c r="G13" s="27">
        <v>1.25272689E8</v>
      </c>
    </row>
    <row r="14" ht="12.75" customHeight="1">
      <c r="A14" s="31">
        <v>127.0</v>
      </c>
      <c r="B14" s="32" t="s">
        <v>51641</v>
      </c>
      <c r="C14" s="31">
        <v>125.0</v>
      </c>
      <c r="D14" s="32" t="s">
        <v>51642</v>
      </c>
      <c r="E14" s="32" t="s">
        <v>51643</v>
      </c>
      <c r="F14" s="31">
        <v>298.0</v>
      </c>
      <c r="G14" s="31">
        <v>1.25272984E8</v>
      </c>
    </row>
    <row r="15" ht="12.75" customHeight="1">
      <c r="A15" s="27">
        <v>127.0</v>
      </c>
      <c r="B15" s="28" t="s">
        <v>51644</v>
      </c>
      <c r="C15" s="27">
        <v>125.0</v>
      </c>
      <c r="D15" s="28" t="s">
        <v>51645</v>
      </c>
      <c r="E15" s="28" t="s">
        <v>51646</v>
      </c>
      <c r="F15" s="27">
        <v>322.0</v>
      </c>
      <c r="G15" s="27">
        <v>1.2527322E8</v>
      </c>
    </row>
    <row r="16" ht="12.75" customHeight="1">
      <c r="A16" s="31">
        <v>127.0</v>
      </c>
      <c r="B16" s="32" t="s">
        <v>51647</v>
      </c>
      <c r="C16" s="31">
        <v>125.0</v>
      </c>
      <c r="D16" s="32" t="s">
        <v>51648</v>
      </c>
      <c r="E16" s="32" t="s">
        <v>51649</v>
      </c>
      <c r="F16" s="31">
        <v>358.0</v>
      </c>
      <c r="G16" s="31">
        <v>1.25273583E8</v>
      </c>
    </row>
    <row r="17" ht="12.75" customHeight="1">
      <c r="A17" s="27">
        <v>127.0</v>
      </c>
      <c r="B17" s="28" t="s">
        <v>51650</v>
      </c>
      <c r="C17" s="27">
        <v>125.0</v>
      </c>
      <c r="D17" s="28" t="s">
        <v>51651</v>
      </c>
      <c r="E17" s="28" t="s">
        <v>51652</v>
      </c>
      <c r="F17" s="27">
        <v>367.0</v>
      </c>
      <c r="G17" s="27">
        <v>1.25273675E8</v>
      </c>
    </row>
    <row r="18" ht="12.75" customHeight="1">
      <c r="A18" s="31">
        <v>127.0</v>
      </c>
      <c r="B18" s="32" t="s">
        <v>51653</v>
      </c>
      <c r="C18" s="31">
        <v>125.0</v>
      </c>
      <c r="D18" s="32" t="s">
        <v>51654</v>
      </c>
      <c r="E18" s="32" t="s">
        <v>51655</v>
      </c>
      <c r="F18" s="31">
        <v>382.0</v>
      </c>
      <c r="G18" s="31">
        <v>1.2527382E8</v>
      </c>
    </row>
    <row r="19" ht="12.75" customHeight="1">
      <c r="A19" s="27">
        <v>127.0</v>
      </c>
      <c r="B19" s="28" t="s">
        <v>51656</v>
      </c>
      <c r="C19" s="27">
        <v>125.0</v>
      </c>
      <c r="D19" s="28" t="s">
        <v>51657</v>
      </c>
      <c r="E19" s="28" t="s">
        <v>51658</v>
      </c>
      <c r="F19" s="27">
        <v>388.0</v>
      </c>
      <c r="G19" s="27">
        <v>1.25273888E8</v>
      </c>
    </row>
    <row r="20" ht="12.75" customHeight="1">
      <c r="A20" s="31">
        <v>127.0</v>
      </c>
      <c r="B20" s="32" t="s">
        <v>51659</v>
      </c>
      <c r="C20" s="31">
        <v>125.0</v>
      </c>
      <c r="D20" s="32" t="s">
        <v>51660</v>
      </c>
      <c r="E20" s="32" t="s">
        <v>51661</v>
      </c>
      <c r="F20" s="31">
        <v>418.0</v>
      </c>
      <c r="G20" s="31">
        <v>1.25274182E8</v>
      </c>
    </row>
    <row r="21" ht="12.75" customHeight="1">
      <c r="A21" s="27">
        <v>127.0</v>
      </c>
      <c r="B21" s="28" t="s">
        <v>51662</v>
      </c>
      <c r="C21" s="27">
        <v>125.0</v>
      </c>
      <c r="D21" s="28" t="s">
        <v>51663</v>
      </c>
      <c r="E21" s="28" t="s">
        <v>51664</v>
      </c>
      <c r="F21" s="27">
        <v>424.0</v>
      </c>
      <c r="G21" s="27">
        <v>1.25274245E8</v>
      </c>
    </row>
    <row r="22" ht="12.75" customHeight="1">
      <c r="A22" s="31">
        <v>127.0</v>
      </c>
      <c r="B22" s="32" t="s">
        <v>51665</v>
      </c>
      <c r="C22" s="31">
        <v>125.0</v>
      </c>
      <c r="D22" s="32" t="s">
        <v>51666</v>
      </c>
      <c r="E22" s="32" t="s">
        <v>51667</v>
      </c>
      <c r="F22" s="31">
        <v>439.0</v>
      </c>
      <c r="G22" s="31">
        <v>1.25274395E8</v>
      </c>
    </row>
    <row r="23" ht="12.75" customHeight="1">
      <c r="A23" s="27">
        <v>127.0</v>
      </c>
      <c r="B23" s="28" t="s">
        <v>51668</v>
      </c>
      <c r="C23" s="27">
        <v>125.0</v>
      </c>
      <c r="D23" s="28" t="s">
        <v>51669</v>
      </c>
      <c r="E23" s="28" t="s">
        <v>51670</v>
      </c>
      <c r="F23" s="27">
        <v>469.0</v>
      </c>
      <c r="G23" s="27">
        <v>1.2527469E8</v>
      </c>
    </row>
    <row r="24" ht="12.75" customHeight="1">
      <c r="A24" s="31">
        <v>127.0</v>
      </c>
      <c r="B24" s="32" t="s">
        <v>51671</v>
      </c>
      <c r="C24" s="31">
        <v>125.0</v>
      </c>
      <c r="D24" s="32" t="s">
        <v>51672</v>
      </c>
      <c r="E24" s="32" t="s">
        <v>51673</v>
      </c>
      <c r="F24" s="31">
        <v>475.0</v>
      </c>
      <c r="G24" s="31">
        <v>1.25274753E8</v>
      </c>
    </row>
    <row r="25" ht="12.75" customHeight="1">
      <c r="A25" s="27">
        <v>127.0</v>
      </c>
      <c r="B25" s="28" t="s">
        <v>51674</v>
      </c>
      <c r="C25" s="27">
        <v>125.0</v>
      </c>
      <c r="D25" s="28" t="s">
        <v>51675</v>
      </c>
      <c r="E25" s="28" t="s">
        <v>51676</v>
      </c>
      <c r="F25" s="27">
        <v>520.0</v>
      </c>
      <c r="G25" s="27">
        <v>1.25275202E8</v>
      </c>
    </row>
    <row r="26" ht="12.75" customHeight="1">
      <c r="A26" s="31">
        <v>127.0</v>
      </c>
      <c r="B26" s="32" t="s">
        <v>51677</v>
      </c>
      <c r="C26" s="31">
        <v>125.0</v>
      </c>
      <c r="D26" s="32" t="s">
        <v>51678</v>
      </c>
      <c r="E26" s="32" t="s">
        <v>51679</v>
      </c>
      <c r="F26" s="31">
        <v>568.0</v>
      </c>
      <c r="G26" s="31">
        <v>1.25275686E8</v>
      </c>
    </row>
    <row r="27" ht="12.75" customHeight="1">
      <c r="A27" s="27">
        <v>127.0</v>
      </c>
      <c r="B27" s="28" t="s">
        <v>51680</v>
      </c>
      <c r="C27" s="27">
        <v>125.0</v>
      </c>
      <c r="D27" s="28" t="s">
        <v>51681</v>
      </c>
      <c r="E27" s="28" t="s">
        <v>51682</v>
      </c>
      <c r="F27" s="27">
        <v>574.0</v>
      </c>
      <c r="G27" s="27">
        <v>1.25275749E8</v>
      </c>
    </row>
    <row r="28" ht="12.75" customHeight="1">
      <c r="A28" s="31">
        <v>127.0</v>
      </c>
      <c r="B28" s="32" t="s">
        <v>51683</v>
      </c>
      <c r="C28" s="31">
        <v>125.0</v>
      </c>
      <c r="D28" s="32" t="s">
        <v>51684</v>
      </c>
      <c r="E28" s="32" t="s">
        <v>51685</v>
      </c>
      <c r="F28" s="31">
        <v>592.0</v>
      </c>
      <c r="G28" s="31">
        <v>1.25275923E8</v>
      </c>
    </row>
    <row r="29" ht="12.75" customHeight="1">
      <c r="A29" s="27">
        <v>127.0</v>
      </c>
      <c r="B29" s="28" t="s">
        <v>51686</v>
      </c>
      <c r="C29" s="27">
        <v>125.0</v>
      </c>
      <c r="D29" s="28" t="s">
        <v>51687</v>
      </c>
      <c r="E29" s="28" t="s">
        <v>51688</v>
      </c>
      <c r="F29" s="27">
        <v>652.0</v>
      </c>
      <c r="G29" s="27">
        <v>1.25276522E8</v>
      </c>
    </row>
    <row r="30" ht="12.75" customHeight="1">
      <c r="A30" s="31">
        <v>127.0</v>
      </c>
      <c r="B30" s="32" t="s">
        <v>51689</v>
      </c>
      <c r="C30" s="31">
        <v>125.0</v>
      </c>
      <c r="D30" s="32" t="s">
        <v>51690</v>
      </c>
      <c r="E30" s="32" t="s">
        <v>51691</v>
      </c>
      <c r="F30" s="31">
        <v>685.0</v>
      </c>
      <c r="G30" s="31">
        <v>1.25276856E8</v>
      </c>
    </row>
    <row r="31" ht="12.75" customHeight="1">
      <c r="A31" s="27">
        <v>127.0</v>
      </c>
      <c r="B31" s="28" t="s">
        <v>51692</v>
      </c>
      <c r="C31" s="27">
        <v>125.0</v>
      </c>
      <c r="D31" s="28" t="s">
        <v>51693</v>
      </c>
      <c r="E31" s="28" t="s">
        <v>51694</v>
      </c>
      <c r="F31" s="27">
        <v>704.0</v>
      </c>
      <c r="G31" s="27">
        <v>1.25277042E8</v>
      </c>
    </row>
    <row r="32" ht="12.75" customHeight="1">
      <c r="A32" s="31">
        <v>127.0</v>
      </c>
      <c r="B32" s="32" t="s">
        <v>51695</v>
      </c>
      <c r="C32" s="31">
        <v>125.0</v>
      </c>
      <c r="D32" s="32" t="s">
        <v>51696</v>
      </c>
      <c r="E32" s="32" t="s">
        <v>51697</v>
      </c>
      <c r="F32" s="31">
        <v>709.0</v>
      </c>
      <c r="G32" s="31">
        <v>1.25277097E8</v>
      </c>
    </row>
    <row r="33" ht="12.75" customHeight="1">
      <c r="A33" s="27">
        <v>728.0</v>
      </c>
      <c r="B33" s="28" t="s">
        <v>51698</v>
      </c>
      <c r="C33" s="27">
        <v>125.0</v>
      </c>
      <c r="D33" s="28" t="s">
        <v>51699</v>
      </c>
      <c r="E33" s="28" t="s">
        <v>51700</v>
      </c>
      <c r="F33" s="29">
        <v>34.0</v>
      </c>
      <c r="G33" s="27">
        <v>1.25280347E8</v>
      </c>
    </row>
    <row r="34" ht="12.75" customHeight="1">
      <c r="A34" s="31">
        <v>728.0</v>
      </c>
      <c r="B34" s="32" t="s">
        <v>51701</v>
      </c>
      <c r="C34" s="31">
        <v>125.0</v>
      </c>
      <c r="D34" s="32" t="s">
        <v>51702</v>
      </c>
      <c r="E34" s="32" t="s">
        <v>51703</v>
      </c>
      <c r="F34" s="33">
        <v>67.0</v>
      </c>
      <c r="G34" s="31">
        <v>1.25280671E8</v>
      </c>
    </row>
    <row r="35" ht="12.75" customHeight="1">
      <c r="A35" s="27">
        <v>728.0</v>
      </c>
      <c r="B35" s="28" t="s">
        <v>51704</v>
      </c>
      <c r="C35" s="27">
        <v>125.0</v>
      </c>
      <c r="D35" s="28" t="s">
        <v>51705</v>
      </c>
      <c r="E35" s="28" t="s">
        <v>51706</v>
      </c>
      <c r="F35" s="27">
        <v>217.0</v>
      </c>
      <c r="G35" s="27">
        <v>1.25282174E8</v>
      </c>
    </row>
    <row r="36" ht="12.75" customHeight="1">
      <c r="A36" s="31">
        <v>329.0</v>
      </c>
      <c r="B36" s="32" t="s">
        <v>51707</v>
      </c>
      <c r="C36" s="31">
        <v>125.0</v>
      </c>
      <c r="D36" s="32" t="s">
        <v>51708</v>
      </c>
      <c r="E36" s="32" t="s">
        <v>51709</v>
      </c>
      <c r="F36" s="33">
        <v>29.0</v>
      </c>
      <c r="G36" s="31">
        <v>1.2529029E8</v>
      </c>
    </row>
    <row r="37" ht="12.75" customHeight="1">
      <c r="A37" s="27">
        <v>329.0</v>
      </c>
      <c r="B37" s="28" t="s">
        <v>51710</v>
      </c>
      <c r="C37" s="27">
        <v>125.0</v>
      </c>
      <c r="D37" s="28" t="s">
        <v>51711</v>
      </c>
      <c r="E37" s="28" t="s">
        <v>51712</v>
      </c>
      <c r="F37" s="29">
        <v>52.0</v>
      </c>
      <c r="G37" s="27">
        <v>1.25290524E8</v>
      </c>
    </row>
    <row r="38" ht="12.75" customHeight="1">
      <c r="A38" s="31">
        <v>230.0</v>
      </c>
      <c r="B38" s="32" t="s">
        <v>51713</v>
      </c>
      <c r="C38" s="31">
        <v>125.0</v>
      </c>
      <c r="D38" s="32" t="s">
        <v>51714</v>
      </c>
      <c r="E38" s="32" t="s">
        <v>51715</v>
      </c>
      <c r="F38" s="33">
        <v>31.0</v>
      </c>
      <c r="G38" s="31">
        <v>1.25300319E8</v>
      </c>
    </row>
    <row r="39" ht="12.75" customHeight="1">
      <c r="A39" s="27">
        <v>230.0</v>
      </c>
      <c r="B39" s="28" t="s">
        <v>51716</v>
      </c>
      <c r="C39" s="27">
        <v>125.0</v>
      </c>
      <c r="D39" s="28" t="s">
        <v>51717</v>
      </c>
      <c r="E39" s="28" t="s">
        <v>51718</v>
      </c>
      <c r="F39" s="29">
        <v>34.0</v>
      </c>
      <c r="G39" s="27">
        <v>1.25300348E8</v>
      </c>
    </row>
    <row r="40" ht="12.75" customHeight="1">
      <c r="A40" s="31">
        <v>230.0</v>
      </c>
      <c r="B40" s="32" t="s">
        <v>51719</v>
      </c>
      <c r="C40" s="31">
        <v>125.0</v>
      </c>
      <c r="D40" s="32" t="s">
        <v>51720</v>
      </c>
      <c r="E40" s="32" t="s">
        <v>51721</v>
      </c>
      <c r="F40" s="33">
        <v>37.0</v>
      </c>
      <c r="G40" s="31">
        <v>1.25300377E8</v>
      </c>
    </row>
    <row r="41" ht="12.75" customHeight="1">
      <c r="A41" s="27">
        <v>230.0</v>
      </c>
      <c r="B41" s="28" t="s">
        <v>51722</v>
      </c>
      <c r="C41" s="27">
        <v>125.0</v>
      </c>
      <c r="D41" s="28" t="s">
        <v>51723</v>
      </c>
      <c r="E41" s="28" t="s">
        <v>51724</v>
      </c>
      <c r="F41" s="29">
        <v>52.0</v>
      </c>
      <c r="G41" s="27">
        <v>1.25300522E8</v>
      </c>
    </row>
    <row r="42" ht="12.75" customHeight="1">
      <c r="A42" s="31">
        <v>230.0</v>
      </c>
      <c r="B42" s="32" t="s">
        <v>51725</v>
      </c>
      <c r="C42" s="31">
        <v>125.0</v>
      </c>
      <c r="D42" s="32" t="s">
        <v>51726</v>
      </c>
      <c r="E42" s="32" t="s">
        <v>51727</v>
      </c>
      <c r="F42" s="31">
        <v>128.0</v>
      </c>
      <c r="G42" s="31">
        <v>1.25301284E8</v>
      </c>
    </row>
    <row r="43" ht="12.75" customHeight="1">
      <c r="A43" s="27">
        <v>230.0</v>
      </c>
      <c r="B43" s="28" t="s">
        <v>51728</v>
      </c>
      <c r="C43" s="27">
        <v>125.0</v>
      </c>
      <c r="D43" s="28" t="s">
        <v>51729</v>
      </c>
      <c r="E43" s="28" t="s">
        <v>51730</v>
      </c>
      <c r="F43" s="27">
        <v>148.0</v>
      </c>
      <c r="G43" s="27">
        <v>1.25301484E8</v>
      </c>
    </row>
    <row r="44" ht="12.75" customHeight="1">
      <c r="A44" s="31">
        <v>632.0</v>
      </c>
      <c r="B44" s="32" t="s">
        <v>51731</v>
      </c>
      <c r="C44" s="31">
        <v>125.0</v>
      </c>
      <c r="D44" s="32" t="s">
        <v>51732</v>
      </c>
      <c r="E44" s="32" t="s">
        <v>51733</v>
      </c>
      <c r="F44" s="33">
        <v>52.0</v>
      </c>
      <c r="G44" s="31">
        <v>1.25320528E8</v>
      </c>
    </row>
    <row r="45" ht="12.75" customHeight="1">
      <c r="A45" s="27">
        <v>632.0</v>
      </c>
      <c r="B45" s="28" t="s">
        <v>51734</v>
      </c>
      <c r="C45" s="27">
        <v>125.0</v>
      </c>
      <c r="D45" s="28" t="s">
        <v>51735</v>
      </c>
      <c r="E45" s="28" t="s">
        <v>51736</v>
      </c>
      <c r="F45" s="29">
        <v>58.0</v>
      </c>
      <c r="G45" s="27">
        <v>1.25320586E8</v>
      </c>
    </row>
    <row r="46" ht="12.75" customHeight="1">
      <c r="A46" s="31">
        <v>632.0</v>
      </c>
      <c r="B46" s="32" t="s">
        <v>51737</v>
      </c>
      <c r="C46" s="31">
        <v>125.0</v>
      </c>
      <c r="D46" s="32" t="s">
        <v>51738</v>
      </c>
      <c r="E46" s="32" t="s">
        <v>51739</v>
      </c>
      <c r="F46" s="31">
        <v>130.0</v>
      </c>
      <c r="G46" s="31">
        <v>1.25321301E8</v>
      </c>
    </row>
    <row r="47" ht="12.75" customHeight="1">
      <c r="A47" s="27">
        <v>133.0</v>
      </c>
      <c r="B47" s="28" t="s">
        <v>51740</v>
      </c>
      <c r="C47" s="27">
        <v>125.0</v>
      </c>
      <c r="D47" s="28" t="s">
        <v>51741</v>
      </c>
      <c r="E47" s="28" t="s">
        <v>51742</v>
      </c>
      <c r="F47" s="29">
        <v>22.0</v>
      </c>
      <c r="G47" s="27">
        <v>1.25330226E8</v>
      </c>
    </row>
    <row r="48" ht="12.75" customHeight="1">
      <c r="A48" s="31">
        <v>133.0</v>
      </c>
      <c r="B48" s="32" t="s">
        <v>51743</v>
      </c>
      <c r="C48" s="31">
        <v>125.0</v>
      </c>
      <c r="D48" s="32" t="s">
        <v>51744</v>
      </c>
      <c r="E48" s="32" t="s">
        <v>51745</v>
      </c>
      <c r="F48" s="33">
        <v>55.0</v>
      </c>
      <c r="G48" s="31">
        <v>1.2533055E8</v>
      </c>
    </row>
    <row r="49" ht="12.75" customHeight="1">
      <c r="A49" s="27">
        <v>133.0</v>
      </c>
      <c r="B49" s="28" t="s">
        <v>51746</v>
      </c>
      <c r="C49" s="27">
        <v>125.0</v>
      </c>
      <c r="D49" s="28" t="s">
        <v>51747</v>
      </c>
      <c r="E49" s="28" t="s">
        <v>51748</v>
      </c>
      <c r="F49" s="29">
        <v>59.0</v>
      </c>
      <c r="G49" s="27">
        <v>1.25330592E8</v>
      </c>
    </row>
    <row r="50" ht="12.75" customHeight="1">
      <c r="A50" s="31">
        <v>133.0</v>
      </c>
      <c r="B50" s="32" t="s">
        <v>51749</v>
      </c>
      <c r="C50" s="31">
        <v>125.0</v>
      </c>
      <c r="D50" s="32" t="s">
        <v>51750</v>
      </c>
      <c r="E50" s="32" t="s">
        <v>51751</v>
      </c>
      <c r="F50" s="33">
        <v>88.0</v>
      </c>
      <c r="G50" s="31">
        <v>1.25330884E8</v>
      </c>
    </row>
    <row r="51" ht="12.75" customHeight="1">
      <c r="A51" s="27">
        <v>133.0</v>
      </c>
      <c r="B51" s="28" t="s">
        <v>51752</v>
      </c>
      <c r="C51" s="27">
        <v>125.0</v>
      </c>
      <c r="D51" s="28" t="s">
        <v>51753</v>
      </c>
      <c r="E51" s="28" t="s">
        <v>51754</v>
      </c>
      <c r="F51" s="29">
        <v>94.0</v>
      </c>
      <c r="G51" s="27">
        <v>1.25330947E8</v>
      </c>
    </row>
    <row r="52" ht="12.75" customHeight="1">
      <c r="A52" s="31">
        <v>133.0</v>
      </c>
      <c r="B52" s="32" t="s">
        <v>51755</v>
      </c>
      <c r="C52" s="31">
        <v>125.0</v>
      </c>
      <c r="D52" s="32" t="s">
        <v>51756</v>
      </c>
      <c r="E52" s="32" t="s">
        <v>51757</v>
      </c>
      <c r="F52" s="31">
        <v>103.0</v>
      </c>
      <c r="G52" s="31">
        <v>1.25331038E8</v>
      </c>
    </row>
    <row r="53" ht="12.75" customHeight="1">
      <c r="A53" s="27">
        <v>133.0</v>
      </c>
      <c r="B53" s="28" t="s">
        <v>51758</v>
      </c>
      <c r="C53" s="27">
        <v>125.0</v>
      </c>
      <c r="D53" s="28" t="s">
        <v>51759</v>
      </c>
      <c r="E53" s="28" t="s">
        <v>51760</v>
      </c>
      <c r="F53" s="27">
        <v>163.0</v>
      </c>
      <c r="G53" s="27">
        <v>1.25331638E8</v>
      </c>
    </row>
    <row r="54" ht="12.75" customHeight="1">
      <c r="A54" s="31">
        <v>435.0</v>
      </c>
      <c r="B54" s="32" t="s">
        <v>51761</v>
      </c>
      <c r="C54" s="31">
        <v>125.0</v>
      </c>
      <c r="D54" s="32" t="s">
        <v>51762</v>
      </c>
      <c r="E54" s="32" t="s">
        <v>51763</v>
      </c>
      <c r="F54" s="33">
        <v>37.0</v>
      </c>
      <c r="G54" s="31">
        <v>1.25350372E8</v>
      </c>
    </row>
    <row r="55" ht="12.75" customHeight="1">
      <c r="A55" s="27">
        <v>435.0</v>
      </c>
      <c r="B55" s="28" t="s">
        <v>51764</v>
      </c>
      <c r="C55" s="27">
        <v>125.0</v>
      </c>
      <c r="D55" s="28" t="s">
        <v>51765</v>
      </c>
      <c r="E55" s="28" t="s">
        <v>51766</v>
      </c>
      <c r="F55" s="27">
        <v>109.0</v>
      </c>
      <c r="G55" s="27">
        <v>1.25351092E8</v>
      </c>
    </row>
    <row r="56" ht="12.75" customHeight="1">
      <c r="A56" s="31">
        <v>836.0</v>
      </c>
      <c r="B56" s="32" t="s">
        <v>51767</v>
      </c>
      <c r="C56" s="31">
        <v>125.0</v>
      </c>
      <c r="D56" s="32" t="s">
        <v>51768</v>
      </c>
      <c r="E56" s="32" t="s">
        <v>51769</v>
      </c>
      <c r="F56" s="33">
        <v>61.0</v>
      </c>
      <c r="G56" s="31">
        <v>1.25360612E8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836.0</v>
      </c>
      <c r="B1" s="28" t="s">
        <v>51770</v>
      </c>
      <c r="C1" s="27">
        <v>125.0</v>
      </c>
      <c r="D1" s="28" t="s">
        <v>51771</v>
      </c>
      <c r="E1" s="28" t="s">
        <v>51772</v>
      </c>
      <c r="F1" s="27">
        <v>110.0</v>
      </c>
      <c r="G1" s="27">
        <v>1.25361103E8</v>
      </c>
    </row>
    <row r="2" ht="12.75" customHeight="1">
      <c r="A2" s="31">
        <v>836.0</v>
      </c>
      <c r="B2" s="32" t="s">
        <v>51773</v>
      </c>
      <c r="C2" s="31">
        <v>125.0</v>
      </c>
      <c r="D2" s="32" t="s">
        <v>51774</v>
      </c>
      <c r="E2" s="32" t="s">
        <v>51775</v>
      </c>
      <c r="F2" s="31">
        <v>140.0</v>
      </c>
      <c r="G2" s="31">
        <v>1.25361408E8</v>
      </c>
    </row>
    <row r="3" ht="12.75" customHeight="1">
      <c r="A3" s="27">
        <v>638.0</v>
      </c>
      <c r="B3" s="28" t="s">
        <v>51776</v>
      </c>
      <c r="C3" s="27">
        <v>125.0</v>
      </c>
      <c r="D3" s="28" t="s">
        <v>51777</v>
      </c>
      <c r="E3" s="28" t="s">
        <v>51778</v>
      </c>
      <c r="F3" s="29">
        <v>40.0</v>
      </c>
      <c r="G3" s="27">
        <v>1.25380405E8</v>
      </c>
    </row>
    <row r="4" ht="12.75" customHeight="1">
      <c r="A4" s="31">
        <v>638.0</v>
      </c>
      <c r="B4" s="32" t="s">
        <v>51779</v>
      </c>
      <c r="C4" s="31">
        <v>125.0</v>
      </c>
      <c r="D4" s="32" t="s">
        <v>51780</v>
      </c>
      <c r="E4" s="32" t="s">
        <v>51781</v>
      </c>
      <c r="F4" s="33">
        <v>67.0</v>
      </c>
      <c r="G4" s="31">
        <v>1.25380676E8</v>
      </c>
    </row>
    <row r="5" ht="12.75" customHeight="1">
      <c r="A5" s="27">
        <v>139.0</v>
      </c>
      <c r="B5" s="28" t="s">
        <v>51782</v>
      </c>
      <c r="C5" s="27">
        <v>125.0</v>
      </c>
      <c r="D5" s="28" t="s">
        <v>51783</v>
      </c>
      <c r="E5" s="28" t="s">
        <v>51784</v>
      </c>
      <c r="F5" s="29">
        <v>10.0</v>
      </c>
      <c r="G5" s="27">
        <v>1.25390103E8</v>
      </c>
    </row>
    <row r="6" ht="12.75" customHeight="1">
      <c r="A6" s="31">
        <v>139.0</v>
      </c>
      <c r="B6" s="32" t="s">
        <v>51785</v>
      </c>
      <c r="C6" s="31">
        <v>125.0</v>
      </c>
      <c r="D6" s="32" t="s">
        <v>51786</v>
      </c>
      <c r="E6" s="32" t="s">
        <v>51787</v>
      </c>
      <c r="F6" s="33">
        <v>85.0</v>
      </c>
      <c r="G6" s="31">
        <v>1.25390853E8</v>
      </c>
    </row>
    <row r="7" ht="12.75" customHeight="1">
      <c r="A7" s="27">
        <v>139.0</v>
      </c>
      <c r="B7" s="28" t="s">
        <v>51788</v>
      </c>
      <c r="C7" s="27">
        <v>125.0</v>
      </c>
      <c r="D7" s="28" t="s">
        <v>51789</v>
      </c>
      <c r="E7" s="28" t="s">
        <v>51790</v>
      </c>
      <c r="F7" s="27">
        <v>169.0</v>
      </c>
      <c r="G7" s="27">
        <v>1.25391694E8</v>
      </c>
    </row>
    <row r="8" ht="12.75" customHeight="1">
      <c r="A8" s="31">
        <v>441.0</v>
      </c>
      <c r="B8" s="32" t="s">
        <v>51791</v>
      </c>
      <c r="C8" s="31">
        <v>125.0</v>
      </c>
      <c r="D8" s="32" t="s">
        <v>51792</v>
      </c>
      <c r="E8" s="32" t="s">
        <v>51793</v>
      </c>
      <c r="F8" s="33">
        <v>28.0</v>
      </c>
      <c r="G8" s="31">
        <v>1.25410283E8</v>
      </c>
    </row>
    <row r="9" ht="12.75" customHeight="1">
      <c r="A9" s="27">
        <v>441.0</v>
      </c>
      <c r="B9" s="28" t="s">
        <v>51794</v>
      </c>
      <c r="C9" s="27">
        <v>125.0</v>
      </c>
      <c r="D9" s="28" t="s">
        <v>51795</v>
      </c>
      <c r="E9" s="28" t="s">
        <v>51796</v>
      </c>
      <c r="F9" s="29">
        <v>55.0</v>
      </c>
      <c r="G9" s="27">
        <v>1.25410559E8</v>
      </c>
    </row>
    <row r="10" ht="12.75" customHeight="1">
      <c r="A10" s="31">
        <v>441.0</v>
      </c>
      <c r="B10" s="32" t="s">
        <v>51797</v>
      </c>
      <c r="C10" s="31">
        <v>125.0</v>
      </c>
      <c r="D10" s="32" t="s">
        <v>51798</v>
      </c>
      <c r="E10" s="32" t="s">
        <v>51799</v>
      </c>
      <c r="F10" s="33">
        <v>94.0</v>
      </c>
      <c r="G10" s="31">
        <v>1.25410946E8</v>
      </c>
    </row>
    <row r="11" ht="12.75" customHeight="1">
      <c r="A11" s="27">
        <v>441.0</v>
      </c>
      <c r="B11" s="28" t="s">
        <v>51800</v>
      </c>
      <c r="C11" s="27">
        <v>125.0</v>
      </c>
      <c r="D11" s="28" t="s">
        <v>51801</v>
      </c>
      <c r="E11" s="28" t="s">
        <v>51802</v>
      </c>
      <c r="F11" s="27">
        <v>109.0</v>
      </c>
      <c r="G11" s="27">
        <v>1.25411095E8</v>
      </c>
    </row>
    <row r="12" ht="12.75" customHeight="1">
      <c r="A12" s="31">
        <v>441.0</v>
      </c>
      <c r="B12" s="32" t="s">
        <v>51803</v>
      </c>
      <c r="C12" s="31">
        <v>125.0</v>
      </c>
      <c r="D12" s="32" t="s">
        <v>51804</v>
      </c>
      <c r="E12" s="32" t="s">
        <v>51805</v>
      </c>
      <c r="F12" s="31">
        <v>121.0</v>
      </c>
      <c r="G12" s="31">
        <v>1.25411211E8</v>
      </c>
    </row>
    <row r="13" ht="12.75" customHeight="1">
      <c r="A13" s="27">
        <v>441.0</v>
      </c>
      <c r="B13" s="28" t="s">
        <v>51806</v>
      </c>
      <c r="C13" s="27">
        <v>125.0</v>
      </c>
      <c r="D13" s="28" t="s">
        <v>51807</v>
      </c>
      <c r="E13" s="28" t="s">
        <v>51808</v>
      </c>
      <c r="F13" s="27">
        <v>163.0</v>
      </c>
      <c r="G13" s="27">
        <v>1.25411637E8</v>
      </c>
    </row>
    <row r="14" ht="12.75" customHeight="1">
      <c r="A14" s="31">
        <v>342.0</v>
      </c>
      <c r="B14" s="32" t="s">
        <v>51809</v>
      </c>
      <c r="C14" s="31">
        <v>125.0</v>
      </c>
      <c r="D14" s="32" t="s">
        <v>51810</v>
      </c>
      <c r="E14" s="32" t="s">
        <v>51811</v>
      </c>
      <c r="F14" s="33">
        <v>31.0</v>
      </c>
      <c r="G14" s="31">
        <v>1.2542031E8</v>
      </c>
    </row>
    <row r="15" ht="12.75" customHeight="1">
      <c r="A15" s="27">
        <v>342.0</v>
      </c>
      <c r="B15" s="28" t="s">
        <v>51812</v>
      </c>
      <c r="C15" s="27">
        <v>125.0</v>
      </c>
      <c r="D15" s="28" t="s">
        <v>51813</v>
      </c>
      <c r="E15" s="28" t="s">
        <v>51814</v>
      </c>
      <c r="F15" s="29">
        <v>55.0</v>
      </c>
      <c r="G15" s="27">
        <v>1.25420552E8</v>
      </c>
    </row>
    <row r="16" ht="12.75" customHeight="1">
      <c r="A16" s="31">
        <v>444.0</v>
      </c>
      <c r="B16" s="32" t="s">
        <v>51815</v>
      </c>
      <c r="C16" s="31">
        <v>125.0</v>
      </c>
      <c r="D16" s="32" t="s">
        <v>51816</v>
      </c>
      <c r="E16" s="32" t="s">
        <v>51817</v>
      </c>
      <c r="F16" s="33">
        <v>35.0</v>
      </c>
      <c r="G16" s="31">
        <v>1.25440358E8</v>
      </c>
    </row>
    <row r="17" ht="12.75" customHeight="1">
      <c r="A17" s="27">
        <v>444.0</v>
      </c>
      <c r="B17" s="28" t="s">
        <v>51818</v>
      </c>
      <c r="C17" s="27">
        <v>125.0</v>
      </c>
      <c r="D17" s="28" t="s">
        <v>51819</v>
      </c>
      <c r="E17" s="28" t="s">
        <v>51820</v>
      </c>
      <c r="F17" s="29">
        <v>64.0</v>
      </c>
      <c r="G17" s="27">
        <v>1.2544064E8</v>
      </c>
    </row>
    <row r="18" ht="12.75" customHeight="1">
      <c r="A18" s="31">
        <v>444.0</v>
      </c>
      <c r="B18" s="32" t="s">
        <v>51821</v>
      </c>
      <c r="C18" s="31">
        <v>125.0</v>
      </c>
      <c r="D18" s="32" t="s">
        <v>51822</v>
      </c>
      <c r="E18" s="32" t="s">
        <v>51823</v>
      </c>
      <c r="F18" s="33">
        <v>79.0</v>
      </c>
      <c r="G18" s="31">
        <v>1.2544079E8</v>
      </c>
    </row>
    <row r="19" ht="12.75" customHeight="1">
      <c r="A19" s="27">
        <v>444.0</v>
      </c>
      <c r="B19" s="28" t="s">
        <v>51824</v>
      </c>
      <c r="C19" s="27">
        <v>125.0</v>
      </c>
      <c r="D19" s="28" t="s">
        <v>51825</v>
      </c>
      <c r="E19" s="28" t="s">
        <v>51826</v>
      </c>
      <c r="F19" s="27">
        <v>100.0</v>
      </c>
      <c r="G19" s="27">
        <v>1.25441007E8</v>
      </c>
    </row>
    <row r="20" ht="12.75" customHeight="1">
      <c r="A20" s="31">
        <v>246.0</v>
      </c>
      <c r="B20" s="32" t="s">
        <v>51827</v>
      </c>
      <c r="C20" s="31">
        <v>125.0</v>
      </c>
      <c r="D20" s="32" t="s">
        <v>51828</v>
      </c>
      <c r="E20" s="32" t="s">
        <v>51829</v>
      </c>
      <c r="F20" s="33">
        <v>7.0</v>
      </c>
      <c r="G20" s="31">
        <v>1.25460075E8</v>
      </c>
    </row>
    <row r="21" ht="12.75" customHeight="1">
      <c r="A21" s="27">
        <v>447.0</v>
      </c>
      <c r="B21" s="28" t="s">
        <v>51830</v>
      </c>
      <c r="C21" s="27">
        <v>125.0</v>
      </c>
      <c r="D21" s="28" t="s">
        <v>51831</v>
      </c>
      <c r="E21" s="28" t="s">
        <v>51832</v>
      </c>
      <c r="F21" s="29">
        <v>70.0</v>
      </c>
      <c r="G21" s="27">
        <v>1.25470702E8</v>
      </c>
    </row>
    <row r="22" ht="12.75" customHeight="1">
      <c r="A22" s="31">
        <v>447.0</v>
      </c>
      <c r="B22" s="32" t="s">
        <v>51833</v>
      </c>
      <c r="C22" s="31">
        <v>125.0</v>
      </c>
      <c r="D22" s="32" t="s">
        <v>51834</v>
      </c>
      <c r="E22" s="32" t="s">
        <v>51835</v>
      </c>
      <c r="F22" s="31">
        <v>140.0</v>
      </c>
      <c r="G22" s="31">
        <v>1.25471406E8</v>
      </c>
    </row>
    <row r="23" ht="12.75" customHeight="1">
      <c r="A23" s="27">
        <v>447.0</v>
      </c>
      <c r="B23" s="28" t="s">
        <v>51836</v>
      </c>
      <c r="C23" s="27">
        <v>125.0</v>
      </c>
      <c r="D23" s="28" t="s">
        <v>51837</v>
      </c>
      <c r="E23" s="28" t="s">
        <v>51838</v>
      </c>
      <c r="F23" s="27">
        <v>154.0</v>
      </c>
      <c r="G23" s="27">
        <v>1.25471543E8</v>
      </c>
    </row>
    <row r="24" ht="12.75" customHeight="1">
      <c r="A24" s="31">
        <v>447.0</v>
      </c>
      <c r="B24" s="32" t="s">
        <v>51839</v>
      </c>
      <c r="C24" s="31">
        <v>125.0</v>
      </c>
      <c r="D24" s="32" t="s">
        <v>51840</v>
      </c>
      <c r="E24" s="32" t="s">
        <v>51841</v>
      </c>
      <c r="F24" s="31">
        <v>208.0</v>
      </c>
      <c r="G24" s="31">
        <v>1.25472089E8</v>
      </c>
    </row>
    <row r="25" ht="12.75" customHeight="1">
      <c r="A25" s="27">
        <v>447.0</v>
      </c>
      <c r="B25" s="28" t="s">
        <v>51842</v>
      </c>
      <c r="C25" s="27">
        <v>125.0</v>
      </c>
      <c r="D25" s="28" t="s">
        <v>51843</v>
      </c>
      <c r="E25" s="28" t="s">
        <v>51844</v>
      </c>
      <c r="F25" s="27">
        <v>215.0</v>
      </c>
      <c r="G25" s="27">
        <v>1.25472155E8</v>
      </c>
    </row>
    <row r="26" ht="12.75" customHeight="1">
      <c r="A26" s="31">
        <v>148.0</v>
      </c>
      <c r="B26" s="32" t="s">
        <v>51845</v>
      </c>
      <c r="C26" s="31">
        <v>125.0</v>
      </c>
      <c r="D26" s="32" t="s">
        <v>51846</v>
      </c>
      <c r="E26" s="32" t="s">
        <v>51847</v>
      </c>
      <c r="F26" s="33">
        <v>19.0</v>
      </c>
      <c r="G26" s="31">
        <v>1.25480192E8</v>
      </c>
    </row>
    <row r="27" ht="12.75" customHeight="1">
      <c r="A27" s="27">
        <v>148.0</v>
      </c>
      <c r="B27" s="28" t="s">
        <v>51848</v>
      </c>
      <c r="C27" s="27">
        <v>125.0</v>
      </c>
      <c r="D27" s="28" t="s">
        <v>51849</v>
      </c>
      <c r="E27" s="28" t="s">
        <v>51850</v>
      </c>
      <c r="F27" s="29">
        <v>58.0</v>
      </c>
      <c r="G27" s="27">
        <v>1.25480589E8</v>
      </c>
    </row>
    <row r="28" ht="12.75" customHeight="1">
      <c r="A28" s="31">
        <v>148.0</v>
      </c>
      <c r="B28" s="32" t="s">
        <v>51851</v>
      </c>
      <c r="C28" s="31">
        <v>125.0</v>
      </c>
      <c r="D28" s="32" t="s">
        <v>51852</v>
      </c>
      <c r="E28" s="32" t="s">
        <v>51853</v>
      </c>
      <c r="F28" s="33">
        <v>67.0</v>
      </c>
      <c r="G28" s="31">
        <v>1.25480671E8</v>
      </c>
    </row>
    <row r="29" ht="12.75" customHeight="1">
      <c r="A29" s="27">
        <v>749.0</v>
      </c>
      <c r="B29" s="28" t="s">
        <v>51854</v>
      </c>
      <c r="C29" s="27">
        <v>125.0</v>
      </c>
      <c r="D29" s="28" t="s">
        <v>51855</v>
      </c>
      <c r="E29" s="28" t="s">
        <v>51856</v>
      </c>
      <c r="F29" s="29">
        <v>10.0</v>
      </c>
      <c r="G29" s="27">
        <v>1.25490108E8</v>
      </c>
    </row>
    <row r="30" ht="12.75" customHeight="1">
      <c r="A30" s="31">
        <v>749.0</v>
      </c>
      <c r="B30" s="32" t="s">
        <v>51857</v>
      </c>
      <c r="C30" s="31">
        <v>125.0</v>
      </c>
      <c r="D30" s="32" t="s">
        <v>51858</v>
      </c>
      <c r="E30" s="32" t="s">
        <v>51859</v>
      </c>
      <c r="F30" s="33">
        <v>40.0</v>
      </c>
      <c r="G30" s="31">
        <v>1.25490403E8</v>
      </c>
    </row>
    <row r="31" ht="12.75" customHeight="1">
      <c r="A31" s="27">
        <v>749.0</v>
      </c>
      <c r="B31" s="28" t="s">
        <v>51860</v>
      </c>
      <c r="C31" s="27">
        <v>125.0</v>
      </c>
      <c r="D31" s="28" t="s">
        <v>51861</v>
      </c>
      <c r="E31" s="28" t="s">
        <v>51862</v>
      </c>
      <c r="F31" s="29">
        <v>64.0</v>
      </c>
      <c r="G31" s="27">
        <v>1.25490645E8</v>
      </c>
    </row>
    <row r="32" ht="12.75" customHeight="1">
      <c r="A32" s="31">
        <v>450.0</v>
      </c>
      <c r="B32" s="32" t="s">
        <v>51863</v>
      </c>
      <c r="C32" s="31">
        <v>125.0</v>
      </c>
      <c r="D32" s="32" t="s">
        <v>51864</v>
      </c>
      <c r="E32" s="32" t="s">
        <v>51865</v>
      </c>
      <c r="F32" s="33">
        <v>88.0</v>
      </c>
      <c r="G32" s="31">
        <v>1.25500885E8</v>
      </c>
    </row>
    <row r="33" ht="12.75" customHeight="1">
      <c r="A33" s="27">
        <v>450.0</v>
      </c>
      <c r="B33" s="28" t="s">
        <v>51866</v>
      </c>
      <c r="C33" s="27">
        <v>125.0</v>
      </c>
      <c r="D33" s="28" t="s">
        <v>51867</v>
      </c>
      <c r="E33" s="28" t="s">
        <v>51868</v>
      </c>
      <c r="F33" s="29">
        <v>94.0</v>
      </c>
      <c r="G33" s="27">
        <v>1.25500948E8</v>
      </c>
    </row>
    <row r="34" ht="12.75" customHeight="1">
      <c r="A34" s="31">
        <v>450.0</v>
      </c>
      <c r="B34" s="32" t="s">
        <v>51869</v>
      </c>
      <c r="C34" s="31">
        <v>125.0</v>
      </c>
      <c r="D34" s="32" t="s">
        <v>51870</v>
      </c>
      <c r="E34" s="32" t="s">
        <v>51871</v>
      </c>
      <c r="F34" s="31">
        <v>136.0</v>
      </c>
      <c r="G34" s="31">
        <v>1.25501363E8</v>
      </c>
    </row>
    <row r="35" ht="12.75" customHeight="1">
      <c r="A35" s="27">
        <v>251.0</v>
      </c>
      <c r="B35" s="28" t="s">
        <v>51872</v>
      </c>
      <c r="C35" s="27">
        <v>125.0</v>
      </c>
      <c r="D35" s="28" t="s">
        <v>51873</v>
      </c>
      <c r="E35" s="28" t="s">
        <v>51874</v>
      </c>
      <c r="F35" s="29">
        <v>9.0</v>
      </c>
      <c r="G35" s="27">
        <v>1.25510091E8</v>
      </c>
    </row>
    <row r="36" ht="12.75" customHeight="1">
      <c r="A36" s="31">
        <v>251.0</v>
      </c>
      <c r="B36" s="32" t="s">
        <v>51875</v>
      </c>
      <c r="C36" s="31">
        <v>125.0</v>
      </c>
      <c r="D36" s="32" t="s">
        <v>51876</v>
      </c>
      <c r="E36" s="32" t="s">
        <v>51877</v>
      </c>
      <c r="F36" s="33">
        <v>19.0</v>
      </c>
      <c r="G36" s="31">
        <v>1.25510196E8</v>
      </c>
    </row>
    <row r="37" ht="12.75" customHeight="1">
      <c r="A37" s="27">
        <v>251.0</v>
      </c>
      <c r="B37" s="28" t="s">
        <v>51878</v>
      </c>
      <c r="C37" s="27">
        <v>125.0</v>
      </c>
      <c r="D37" s="28" t="s">
        <v>51879</v>
      </c>
      <c r="E37" s="28" t="s">
        <v>51880</v>
      </c>
      <c r="F37" s="29">
        <v>73.0</v>
      </c>
      <c r="G37" s="27">
        <v>1.25510738E8</v>
      </c>
    </row>
    <row r="38" ht="12.75" customHeight="1">
      <c r="A38" s="31">
        <v>251.0</v>
      </c>
      <c r="B38" s="32" t="s">
        <v>51881</v>
      </c>
      <c r="C38" s="31">
        <v>125.0</v>
      </c>
      <c r="D38" s="32" t="s">
        <v>51882</v>
      </c>
      <c r="E38" s="32" t="s">
        <v>51883</v>
      </c>
      <c r="F38" s="33">
        <v>97.0</v>
      </c>
      <c r="G38" s="31">
        <v>1.2551097E8</v>
      </c>
    </row>
    <row r="39" ht="12.75" customHeight="1">
      <c r="A39" s="27">
        <v>251.0</v>
      </c>
      <c r="B39" s="28" t="s">
        <v>51884</v>
      </c>
      <c r="C39" s="27">
        <v>125.0</v>
      </c>
      <c r="D39" s="28" t="s">
        <v>51885</v>
      </c>
      <c r="E39" s="28" t="s">
        <v>51886</v>
      </c>
      <c r="F39" s="27">
        <v>103.0</v>
      </c>
      <c r="G39" s="27">
        <v>1.25511032E8</v>
      </c>
    </row>
    <row r="40" ht="12.75" customHeight="1">
      <c r="A40" s="31">
        <v>752.0</v>
      </c>
      <c r="B40" s="32" t="s">
        <v>51887</v>
      </c>
      <c r="C40" s="31">
        <v>125.0</v>
      </c>
      <c r="D40" s="32" t="s">
        <v>51888</v>
      </c>
      <c r="E40" s="32" t="s">
        <v>51889</v>
      </c>
      <c r="F40" s="33">
        <v>46.0</v>
      </c>
      <c r="G40" s="31">
        <v>1.25520465E8</v>
      </c>
    </row>
    <row r="41" ht="12.75" customHeight="1">
      <c r="A41" s="27">
        <v>752.0</v>
      </c>
      <c r="B41" s="28" t="s">
        <v>51890</v>
      </c>
      <c r="C41" s="27">
        <v>125.0</v>
      </c>
      <c r="D41" s="28" t="s">
        <v>51891</v>
      </c>
      <c r="E41" s="28" t="s">
        <v>51892</v>
      </c>
      <c r="F41" s="29">
        <v>59.0</v>
      </c>
      <c r="G41" s="27">
        <v>1.25520599E8</v>
      </c>
    </row>
    <row r="42" ht="12.75" customHeight="1">
      <c r="A42" s="31">
        <v>354.0</v>
      </c>
      <c r="B42" s="32" t="s">
        <v>51893</v>
      </c>
      <c r="C42" s="31">
        <v>125.0</v>
      </c>
      <c r="D42" s="32" t="s">
        <v>51894</v>
      </c>
      <c r="E42" s="32" t="s">
        <v>51895</v>
      </c>
      <c r="F42" s="33">
        <v>14.0</v>
      </c>
      <c r="G42" s="31">
        <v>1.2554014E8</v>
      </c>
    </row>
    <row r="43" ht="12.75" customHeight="1">
      <c r="A43" s="27">
        <v>354.0</v>
      </c>
      <c r="B43" s="28" t="s">
        <v>51896</v>
      </c>
      <c r="C43" s="27">
        <v>125.0</v>
      </c>
      <c r="D43" s="28" t="s">
        <v>51897</v>
      </c>
      <c r="E43" s="28" t="s">
        <v>51898</v>
      </c>
      <c r="F43" s="29">
        <v>28.0</v>
      </c>
      <c r="G43" s="27">
        <v>1.25540287E8</v>
      </c>
    </row>
    <row r="44" ht="12.75" customHeight="1">
      <c r="A44" s="31">
        <v>354.0</v>
      </c>
      <c r="B44" s="32" t="s">
        <v>51899</v>
      </c>
      <c r="C44" s="31">
        <v>125.0</v>
      </c>
      <c r="D44" s="32" t="s">
        <v>51900</v>
      </c>
      <c r="E44" s="32" t="s">
        <v>51901</v>
      </c>
      <c r="F44" s="33">
        <v>40.0</v>
      </c>
      <c r="G44" s="31">
        <v>1.25540403E8</v>
      </c>
    </row>
    <row r="45" ht="12.75" customHeight="1">
      <c r="A45" s="27">
        <v>354.0</v>
      </c>
      <c r="B45" s="28" t="s">
        <v>51902</v>
      </c>
      <c r="C45" s="27">
        <v>125.0</v>
      </c>
      <c r="D45" s="28" t="s">
        <v>51903</v>
      </c>
      <c r="E45" s="28" t="s">
        <v>51904</v>
      </c>
      <c r="F45" s="29">
        <v>76.0</v>
      </c>
      <c r="G45" s="27">
        <v>1.25540766E8</v>
      </c>
    </row>
    <row r="46" ht="12.75" customHeight="1">
      <c r="A46" s="31">
        <v>455.0</v>
      </c>
      <c r="B46" s="32" t="s">
        <v>51905</v>
      </c>
      <c r="C46" s="31">
        <v>125.0</v>
      </c>
      <c r="D46" s="32" t="s">
        <v>51906</v>
      </c>
      <c r="E46" s="32" t="s">
        <v>51907</v>
      </c>
      <c r="F46" s="33">
        <v>55.0</v>
      </c>
      <c r="G46" s="31">
        <v>1.25550556E8</v>
      </c>
    </row>
    <row r="47" ht="12.75" customHeight="1">
      <c r="A47" s="27">
        <v>156.0</v>
      </c>
      <c r="B47" s="28" t="s">
        <v>51908</v>
      </c>
      <c r="C47" s="27">
        <v>125.0</v>
      </c>
      <c r="D47" s="28" t="s">
        <v>51909</v>
      </c>
      <c r="E47" s="28" t="s">
        <v>51910</v>
      </c>
      <c r="F47" s="29">
        <v>61.0</v>
      </c>
      <c r="G47" s="27">
        <v>1.25560612E8</v>
      </c>
    </row>
    <row r="48" ht="12.75" customHeight="1">
      <c r="A48" s="31">
        <v>156.0</v>
      </c>
      <c r="B48" s="32" t="s">
        <v>51911</v>
      </c>
      <c r="C48" s="31">
        <v>125.0</v>
      </c>
      <c r="D48" s="32" t="s">
        <v>51912</v>
      </c>
      <c r="E48" s="32" t="s">
        <v>51913</v>
      </c>
      <c r="F48" s="33">
        <v>79.0</v>
      </c>
      <c r="G48" s="31">
        <v>1.25560791E8</v>
      </c>
    </row>
    <row r="49" ht="12.75" customHeight="1">
      <c r="A49" s="27">
        <v>156.0</v>
      </c>
      <c r="B49" s="28" t="s">
        <v>51914</v>
      </c>
      <c r="C49" s="27">
        <v>125.0</v>
      </c>
      <c r="D49" s="28" t="s">
        <v>51915</v>
      </c>
      <c r="E49" s="28" t="s">
        <v>51916</v>
      </c>
      <c r="F49" s="29">
        <v>82.0</v>
      </c>
      <c r="G49" s="27">
        <v>1.25560825E8</v>
      </c>
    </row>
    <row r="50" ht="12.75" customHeight="1">
      <c r="A50" s="31">
        <v>457.0</v>
      </c>
      <c r="B50" s="32" t="s">
        <v>51917</v>
      </c>
      <c r="C50" s="31">
        <v>125.0</v>
      </c>
      <c r="D50" s="32" t="s">
        <v>51918</v>
      </c>
      <c r="E50" s="32" t="s">
        <v>51919</v>
      </c>
      <c r="F50" s="33">
        <v>37.0</v>
      </c>
      <c r="G50" s="31">
        <v>1.25570378E8</v>
      </c>
    </row>
    <row r="51" ht="12.75" customHeight="1">
      <c r="A51" s="27">
        <v>858.0</v>
      </c>
      <c r="B51" s="28" t="s">
        <v>51920</v>
      </c>
      <c r="C51" s="27">
        <v>125.0</v>
      </c>
      <c r="D51" s="28" t="s">
        <v>51921</v>
      </c>
      <c r="E51" s="28" t="s">
        <v>51922</v>
      </c>
      <c r="F51" s="29">
        <v>10.0</v>
      </c>
      <c r="G51" s="27">
        <v>1.255801E8</v>
      </c>
    </row>
    <row r="52" ht="12.75" customHeight="1">
      <c r="A52" s="31">
        <v>858.0</v>
      </c>
      <c r="B52" s="32" t="s">
        <v>51923</v>
      </c>
      <c r="C52" s="31">
        <v>125.0</v>
      </c>
      <c r="D52" s="32" t="s">
        <v>51924</v>
      </c>
      <c r="E52" s="32" t="s">
        <v>51925</v>
      </c>
      <c r="F52" s="33">
        <v>94.0</v>
      </c>
      <c r="G52" s="31">
        <v>1.25580942E8</v>
      </c>
    </row>
    <row r="53" ht="12.75" customHeight="1">
      <c r="A53" s="27">
        <v>858.0</v>
      </c>
      <c r="B53" s="28" t="s">
        <v>51926</v>
      </c>
      <c r="C53" s="27">
        <v>125.0</v>
      </c>
      <c r="D53" s="28" t="s">
        <v>51927</v>
      </c>
      <c r="E53" s="28" t="s">
        <v>51928</v>
      </c>
      <c r="F53" s="27">
        <v>118.0</v>
      </c>
      <c r="G53" s="27">
        <v>1.25581183E8</v>
      </c>
    </row>
    <row r="54" ht="12.75" customHeight="1">
      <c r="A54" s="31">
        <v>858.0</v>
      </c>
      <c r="B54" s="32" t="s">
        <v>51929</v>
      </c>
      <c r="C54" s="31">
        <v>125.0</v>
      </c>
      <c r="D54" s="32" t="s">
        <v>51930</v>
      </c>
      <c r="E54" s="32" t="s">
        <v>51931</v>
      </c>
      <c r="F54" s="31">
        <v>172.0</v>
      </c>
      <c r="G54" s="31">
        <v>1.25581725E8</v>
      </c>
    </row>
    <row r="55" ht="12.75" customHeight="1">
      <c r="A55" s="27">
        <v>159.0</v>
      </c>
      <c r="B55" s="28" t="s">
        <v>51932</v>
      </c>
      <c r="C55" s="27">
        <v>125.0</v>
      </c>
      <c r="D55" s="28" t="s">
        <v>51933</v>
      </c>
      <c r="E55" s="28" t="s">
        <v>51934</v>
      </c>
      <c r="F55" s="27">
        <v>103.0</v>
      </c>
      <c r="G55" s="27">
        <v>1.25591036E8</v>
      </c>
    </row>
    <row r="56" ht="12.75" customHeight="1">
      <c r="A56" s="31">
        <v>159.0</v>
      </c>
      <c r="B56" s="32" t="s">
        <v>51935</v>
      </c>
      <c r="C56" s="31">
        <v>125.0</v>
      </c>
      <c r="D56" s="32" t="s">
        <v>51936</v>
      </c>
      <c r="E56" s="32" t="s">
        <v>51937</v>
      </c>
      <c r="F56" s="31">
        <v>142.0</v>
      </c>
      <c r="G56" s="31">
        <v>1.25591423E8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159.0</v>
      </c>
      <c r="B1" s="28" t="s">
        <v>51938</v>
      </c>
      <c r="C1" s="27">
        <v>125.0</v>
      </c>
      <c r="D1" s="28" t="s">
        <v>51939</v>
      </c>
      <c r="E1" s="28" t="s">
        <v>51940</v>
      </c>
      <c r="F1" s="27">
        <v>166.0</v>
      </c>
      <c r="G1" s="27">
        <v>1.25591665E8</v>
      </c>
    </row>
    <row r="2" ht="12.75" customHeight="1">
      <c r="A2" s="31">
        <v>161.0</v>
      </c>
      <c r="B2" s="32" t="s">
        <v>51941</v>
      </c>
      <c r="C2" s="31">
        <v>125.0</v>
      </c>
      <c r="D2" s="32" t="s">
        <v>51942</v>
      </c>
      <c r="E2" s="32" t="s">
        <v>51943</v>
      </c>
      <c r="F2" s="33">
        <v>31.0</v>
      </c>
      <c r="G2" s="31">
        <v>1.25610317E8</v>
      </c>
    </row>
    <row r="3" ht="12.75" customHeight="1">
      <c r="A3" s="27">
        <v>161.0</v>
      </c>
      <c r="B3" s="28" t="s">
        <v>51944</v>
      </c>
      <c r="C3" s="27">
        <v>125.0</v>
      </c>
      <c r="D3" s="28" t="s">
        <v>51945</v>
      </c>
      <c r="E3" s="28" t="s">
        <v>51946</v>
      </c>
      <c r="F3" s="29">
        <v>94.0</v>
      </c>
      <c r="G3" s="27">
        <v>1.25610946E8</v>
      </c>
    </row>
    <row r="4" ht="12.75" customHeight="1">
      <c r="A4" s="31">
        <v>161.0</v>
      </c>
      <c r="B4" s="32" t="s">
        <v>51947</v>
      </c>
      <c r="C4" s="31">
        <v>125.0</v>
      </c>
      <c r="D4" s="32" t="s">
        <v>51948</v>
      </c>
      <c r="E4" s="32" t="s">
        <v>51949</v>
      </c>
      <c r="F4" s="31">
        <v>170.0</v>
      </c>
      <c r="G4" s="31">
        <v>1.25611703E8</v>
      </c>
    </row>
    <row r="5" ht="12.75" customHeight="1">
      <c r="A5" s="27">
        <v>161.0</v>
      </c>
      <c r="B5" s="28" t="s">
        <v>51950</v>
      </c>
      <c r="C5" s="27">
        <v>125.0</v>
      </c>
      <c r="D5" s="28" t="s">
        <v>51951</v>
      </c>
      <c r="E5" s="28" t="s">
        <v>51952</v>
      </c>
      <c r="F5" s="27">
        <v>175.0</v>
      </c>
      <c r="G5" s="27">
        <v>1.25611758E8</v>
      </c>
    </row>
    <row r="6" ht="12.75" customHeight="1">
      <c r="A6" s="31">
        <v>161.0</v>
      </c>
      <c r="B6" s="32" t="s">
        <v>51953</v>
      </c>
      <c r="C6" s="31">
        <v>125.0</v>
      </c>
      <c r="D6" s="32" t="s">
        <v>51954</v>
      </c>
      <c r="E6" s="32" t="s">
        <v>51955</v>
      </c>
      <c r="F6" s="31">
        <v>235.0</v>
      </c>
      <c r="G6" s="31">
        <v>1.25612357E8</v>
      </c>
    </row>
    <row r="7" ht="12.75" customHeight="1">
      <c r="A7" s="27">
        <v>564.0</v>
      </c>
      <c r="B7" s="28" t="s">
        <v>51956</v>
      </c>
      <c r="C7" s="27">
        <v>125.0</v>
      </c>
      <c r="D7" s="28" t="s">
        <v>51957</v>
      </c>
      <c r="E7" s="28" t="s">
        <v>51958</v>
      </c>
      <c r="F7" s="27">
        <v>100.0</v>
      </c>
      <c r="G7" s="27">
        <v>1.25641007E8</v>
      </c>
    </row>
    <row r="8" ht="12.75" customHeight="1">
      <c r="A8" s="31">
        <v>564.0</v>
      </c>
      <c r="B8" s="32" t="s">
        <v>51959</v>
      </c>
      <c r="C8" s="31">
        <v>125.0</v>
      </c>
      <c r="D8" s="32" t="s">
        <v>51960</v>
      </c>
      <c r="E8" s="32" t="s">
        <v>51961</v>
      </c>
      <c r="F8" s="31">
        <v>109.0</v>
      </c>
      <c r="G8" s="31">
        <v>1.25641094E8</v>
      </c>
    </row>
    <row r="9" ht="12.75" customHeight="1">
      <c r="A9" s="27">
        <v>564.0</v>
      </c>
      <c r="B9" s="28" t="s">
        <v>51962</v>
      </c>
      <c r="C9" s="27">
        <v>125.0</v>
      </c>
      <c r="D9" s="28" t="s">
        <v>51963</v>
      </c>
      <c r="E9" s="28" t="s">
        <v>51964</v>
      </c>
      <c r="F9" s="27">
        <v>118.0</v>
      </c>
      <c r="G9" s="27">
        <v>1.25641186E8</v>
      </c>
    </row>
    <row r="10" ht="12.75" customHeight="1">
      <c r="A10" s="31">
        <v>564.0</v>
      </c>
      <c r="B10" s="32" t="s">
        <v>51965</v>
      </c>
      <c r="C10" s="31">
        <v>125.0</v>
      </c>
      <c r="D10" s="32" t="s">
        <v>51966</v>
      </c>
      <c r="E10" s="32" t="s">
        <v>51967</v>
      </c>
      <c r="F10" s="31">
        <v>124.0</v>
      </c>
      <c r="G10" s="31">
        <v>1.25641249E8</v>
      </c>
    </row>
    <row r="11" ht="12.75" customHeight="1">
      <c r="A11" s="27">
        <v>564.0</v>
      </c>
      <c r="B11" s="28" t="s">
        <v>51968</v>
      </c>
      <c r="C11" s="27">
        <v>125.0</v>
      </c>
      <c r="D11" s="28" t="s">
        <v>51969</v>
      </c>
      <c r="E11" s="28" t="s">
        <v>51970</v>
      </c>
      <c r="F11" s="27">
        <v>175.0</v>
      </c>
      <c r="G11" s="27">
        <v>1.25641757E8</v>
      </c>
    </row>
    <row r="12" ht="12.75" customHeight="1">
      <c r="A12" s="31">
        <v>465.0</v>
      </c>
      <c r="B12" s="32" t="s">
        <v>51971</v>
      </c>
      <c r="C12" s="31">
        <v>125.0</v>
      </c>
      <c r="D12" s="32" t="s">
        <v>51972</v>
      </c>
      <c r="E12" s="32" t="s">
        <v>51973</v>
      </c>
      <c r="F12" s="33">
        <v>46.0</v>
      </c>
      <c r="G12" s="31">
        <v>1.25650469E8</v>
      </c>
    </row>
    <row r="13" ht="12.75" customHeight="1">
      <c r="A13" s="27">
        <v>465.0</v>
      </c>
      <c r="B13" s="28" t="s">
        <v>51974</v>
      </c>
      <c r="C13" s="27">
        <v>125.0</v>
      </c>
      <c r="D13" s="28" t="s">
        <v>51975</v>
      </c>
      <c r="E13" s="28" t="s">
        <v>51976</v>
      </c>
      <c r="F13" s="29">
        <v>64.0</v>
      </c>
      <c r="G13" s="27">
        <v>1.25650643E8</v>
      </c>
    </row>
    <row r="14" ht="12.75" customHeight="1">
      <c r="A14" s="31">
        <v>167.0</v>
      </c>
      <c r="B14" s="32" t="s">
        <v>51977</v>
      </c>
      <c r="C14" s="31">
        <v>125.0</v>
      </c>
      <c r="D14" s="32" t="s">
        <v>51978</v>
      </c>
      <c r="E14" s="32" t="s">
        <v>51979</v>
      </c>
      <c r="F14" s="33">
        <v>4.0</v>
      </c>
      <c r="G14" s="31">
        <v>1.25670049E8</v>
      </c>
    </row>
    <row r="15" ht="12.75" customHeight="1">
      <c r="A15" s="27">
        <v>167.0</v>
      </c>
      <c r="B15" s="28" t="s">
        <v>51980</v>
      </c>
      <c r="C15" s="27">
        <v>125.0</v>
      </c>
      <c r="D15" s="28" t="s">
        <v>51981</v>
      </c>
      <c r="E15" s="28" t="s">
        <v>51982</v>
      </c>
      <c r="F15" s="29">
        <v>22.0</v>
      </c>
      <c r="G15" s="27">
        <v>1.25670223E8</v>
      </c>
    </row>
    <row r="16" ht="12.75" customHeight="1">
      <c r="A16" s="31">
        <v>167.0</v>
      </c>
      <c r="B16" s="32" t="s">
        <v>51983</v>
      </c>
      <c r="C16" s="31">
        <v>125.0</v>
      </c>
      <c r="D16" s="32" t="s">
        <v>51984</v>
      </c>
      <c r="E16" s="32" t="s">
        <v>51985</v>
      </c>
      <c r="F16" s="33">
        <v>52.0</v>
      </c>
      <c r="G16" s="31">
        <v>1.25670528E8</v>
      </c>
    </row>
    <row r="17" ht="12.75" customHeight="1">
      <c r="A17" s="27">
        <v>167.0</v>
      </c>
      <c r="B17" s="28" t="s">
        <v>51986</v>
      </c>
      <c r="C17" s="27">
        <v>125.0</v>
      </c>
      <c r="D17" s="28" t="s">
        <v>51987</v>
      </c>
      <c r="E17" s="28" t="s">
        <v>51988</v>
      </c>
      <c r="F17" s="29">
        <v>82.0</v>
      </c>
      <c r="G17" s="27">
        <v>1.25670823E8</v>
      </c>
    </row>
    <row r="18" ht="12.75" customHeight="1">
      <c r="A18" s="31">
        <v>167.0</v>
      </c>
      <c r="B18" s="32" t="s">
        <v>51989</v>
      </c>
      <c r="C18" s="31">
        <v>125.0</v>
      </c>
      <c r="D18" s="32" t="s">
        <v>51990</v>
      </c>
      <c r="E18" s="32" t="s">
        <v>51991</v>
      </c>
      <c r="F18" s="31">
        <v>118.0</v>
      </c>
      <c r="G18" s="31">
        <v>1.25671185E8</v>
      </c>
    </row>
    <row r="19" ht="12.75" customHeight="1">
      <c r="A19" s="27">
        <v>167.0</v>
      </c>
      <c r="B19" s="28" t="s">
        <v>51992</v>
      </c>
      <c r="C19" s="27">
        <v>125.0</v>
      </c>
      <c r="D19" s="28" t="s">
        <v>51993</v>
      </c>
      <c r="E19" s="28" t="s">
        <v>51994</v>
      </c>
      <c r="F19" s="27">
        <v>127.0</v>
      </c>
      <c r="G19" s="27">
        <v>1.25671277E8</v>
      </c>
    </row>
    <row r="20" ht="12.75" customHeight="1">
      <c r="A20" s="31">
        <v>167.0</v>
      </c>
      <c r="B20" s="32" t="s">
        <v>51995</v>
      </c>
      <c r="C20" s="31">
        <v>125.0</v>
      </c>
      <c r="D20" s="32" t="s">
        <v>51996</v>
      </c>
      <c r="E20" s="32" t="s">
        <v>51997</v>
      </c>
      <c r="F20" s="31">
        <v>170.0</v>
      </c>
      <c r="G20" s="31">
        <v>1.25671701E8</v>
      </c>
    </row>
    <row r="21" ht="12.75" customHeight="1">
      <c r="A21" s="27">
        <v>168.0</v>
      </c>
      <c r="B21" s="28" t="s">
        <v>51998</v>
      </c>
      <c r="C21" s="27">
        <v>125.0</v>
      </c>
      <c r="D21" s="28" t="s">
        <v>51999</v>
      </c>
      <c r="E21" s="28" t="s">
        <v>52000</v>
      </c>
      <c r="F21" s="29">
        <v>67.0</v>
      </c>
      <c r="G21" s="27">
        <v>1.25680671E8</v>
      </c>
    </row>
    <row r="22" ht="12.75" customHeight="1">
      <c r="A22" s="31">
        <v>168.0</v>
      </c>
      <c r="B22" s="32" t="s">
        <v>52001</v>
      </c>
      <c r="C22" s="31">
        <v>125.0</v>
      </c>
      <c r="D22" s="32" t="s">
        <v>52002</v>
      </c>
      <c r="E22" s="32" t="s">
        <v>52003</v>
      </c>
      <c r="F22" s="33">
        <v>73.0</v>
      </c>
      <c r="G22" s="31">
        <v>1.25680734E8</v>
      </c>
    </row>
    <row r="23" ht="12.75" customHeight="1">
      <c r="A23" s="27">
        <v>168.0</v>
      </c>
      <c r="B23" s="28" t="s">
        <v>52004</v>
      </c>
      <c r="C23" s="27">
        <v>125.0</v>
      </c>
      <c r="D23" s="28" t="s">
        <v>52005</v>
      </c>
      <c r="E23" s="28" t="s">
        <v>52006</v>
      </c>
      <c r="F23" s="29">
        <v>85.0</v>
      </c>
      <c r="G23" s="27">
        <v>1.25680855E8</v>
      </c>
    </row>
    <row r="24" ht="12.75" customHeight="1">
      <c r="A24" s="31">
        <v>168.0</v>
      </c>
      <c r="B24" s="32" t="s">
        <v>52007</v>
      </c>
      <c r="C24" s="31">
        <v>125.0</v>
      </c>
      <c r="D24" s="32" t="s">
        <v>52008</v>
      </c>
      <c r="E24" s="32" t="s">
        <v>52009</v>
      </c>
      <c r="F24" s="33">
        <v>91.0</v>
      </c>
      <c r="G24" s="31">
        <v>1.25680918E8</v>
      </c>
    </row>
    <row r="25" ht="12.75" customHeight="1">
      <c r="A25" s="27">
        <v>168.0</v>
      </c>
      <c r="B25" s="28" t="s">
        <v>52010</v>
      </c>
      <c r="C25" s="27">
        <v>125.0</v>
      </c>
      <c r="D25" s="28" t="s">
        <v>52011</v>
      </c>
      <c r="E25" s="28" t="s">
        <v>52012</v>
      </c>
      <c r="F25" s="27">
        <v>109.0</v>
      </c>
      <c r="G25" s="27">
        <v>1.25681096E8</v>
      </c>
    </row>
    <row r="26" ht="12.75" customHeight="1">
      <c r="A26" s="31">
        <v>569.0</v>
      </c>
      <c r="B26" s="32" t="s">
        <v>52013</v>
      </c>
      <c r="C26" s="31">
        <v>125.0</v>
      </c>
      <c r="D26" s="32" t="s">
        <v>52014</v>
      </c>
      <c r="E26" s="32" t="s">
        <v>52015</v>
      </c>
      <c r="F26" s="33">
        <v>31.0</v>
      </c>
      <c r="G26" s="31">
        <v>1.25690311E8</v>
      </c>
    </row>
    <row r="27" ht="12.75" customHeight="1">
      <c r="A27" s="27">
        <v>569.0</v>
      </c>
      <c r="B27" s="28" t="s">
        <v>52016</v>
      </c>
      <c r="C27" s="27">
        <v>125.0</v>
      </c>
      <c r="D27" s="28" t="s">
        <v>52017</v>
      </c>
      <c r="E27" s="28" t="s">
        <v>52018</v>
      </c>
      <c r="F27" s="27">
        <v>109.0</v>
      </c>
      <c r="G27" s="27">
        <v>1.25691099E8</v>
      </c>
    </row>
    <row r="28" ht="12.75" customHeight="1">
      <c r="A28" s="31">
        <v>570.0</v>
      </c>
      <c r="B28" s="32" t="s">
        <v>52019</v>
      </c>
      <c r="C28" s="31">
        <v>125.0</v>
      </c>
      <c r="D28" s="32" t="s">
        <v>52020</v>
      </c>
      <c r="E28" s="32" t="s">
        <v>52021</v>
      </c>
      <c r="F28" s="33">
        <v>25.0</v>
      </c>
      <c r="G28" s="31">
        <v>1.25700256E8</v>
      </c>
    </row>
    <row r="29" ht="12.75" customHeight="1">
      <c r="A29" s="27">
        <v>570.0</v>
      </c>
      <c r="B29" s="28" t="s">
        <v>52022</v>
      </c>
      <c r="C29" s="27">
        <v>125.0</v>
      </c>
      <c r="D29" s="28" t="s">
        <v>52023</v>
      </c>
      <c r="E29" s="28" t="s">
        <v>52024</v>
      </c>
      <c r="F29" s="29">
        <v>88.0</v>
      </c>
      <c r="G29" s="27">
        <v>1.25700885E8</v>
      </c>
    </row>
    <row r="30" ht="12.75" customHeight="1">
      <c r="A30" s="31">
        <v>570.0</v>
      </c>
      <c r="B30" s="32" t="s">
        <v>52025</v>
      </c>
      <c r="C30" s="31">
        <v>125.0</v>
      </c>
      <c r="D30" s="32" t="s">
        <v>52026</v>
      </c>
      <c r="E30" s="32" t="s">
        <v>52027</v>
      </c>
      <c r="F30" s="33">
        <v>94.0</v>
      </c>
      <c r="G30" s="31">
        <v>1.25700948E8</v>
      </c>
    </row>
    <row r="31" ht="12.75" customHeight="1">
      <c r="A31" s="27">
        <v>172.0</v>
      </c>
      <c r="B31" s="28" t="s">
        <v>52028</v>
      </c>
      <c r="C31" s="27">
        <v>125.0</v>
      </c>
      <c r="D31" s="28" t="s">
        <v>52029</v>
      </c>
      <c r="E31" s="28" t="s">
        <v>52030</v>
      </c>
      <c r="F31" s="29">
        <v>73.0</v>
      </c>
      <c r="G31" s="27">
        <v>1.25720731E8</v>
      </c>
    </row>
    <row r="32" ht="12.75" customHeight="1">
      <c r="A32" s="31">
        <v>773.0</v>
      </c>
      <c r="B32" s="32" t="s">
        <v>52031</v>
      </c>
      <c r="C32" s="31">
        <v>125.0</v>
      </c>
      <c r="D32" s="32" t="s">
        <v>52032</v>
      </c>
      <c r="E32" s="32" t="s">
        <v>52033</v>
      </c>
      <c r="F32" s="33">
        <v>46.0</v>
      </c>
      <c r="G32" s="31">
        <v>1.25730468E8</v>
      </c>
    </row>
    <row r="33" ht="12.75" customHeight="1">
      <c r="A33" s="27">
        <v>773.0</v>
      </c>
      <c r="B33" s="28" t="s">
        <v>52034</v>
      </c>
      <c r="C33" s="27">
        <v>125.0</v>
      </c>
      <c r="D33" s="28" t="s">
        <v>52035</v>
      </c>
      <c r="E33" s="28" t="s">
        <v>52036</v>
      </c>
      <c r="F33" s="29">
        <v>73.0</v>
      </c>
      <c r="G33" s="27">
        <v>1.25730734E8</v>
      </c>
    </row>
    <row r="34" ht="12.75" customHeight="1">
      <c r="A34" s="31">
        <v>773.0</v>
      </c>
      <c r="B34" s="32" t="s">
        <v>52037</v>
      </c>
      <c r="C34" s="31">
        <v>125.0</v>
      </c>
      <c r="D34" s="32" t="s">
        <v>52038</v>
      </c>
      <c r="E34" s="32" t="s">
        <v>52039</v>
      </c>
      <c r="F34" s="33">
        <v>79.0</v>
      </c>
      <c r="G34" s="31">
        <v>1.25730792E8</v>
      </c>
    </row>
    <row r="35" ht="12.75" customHeight="1">
      <c r="A35" s="27">
        <v>275.0</v>
      </c>
      <c r="B35" s="28" t="s">
        <v>52040</v>
      </c>
      <c r="C35" s="27">
        <v>125.0</v>
      </c>
      <c r="D35" s="28" t="s">
        <v>52041</v>
      </c>
      <c r="E35" s="28" t="s">
        <v>52042</v>
      </c>
      <c r="F35" s="29">
        <v>22.0</v>
      </c>
      <c r="G35" s="27">
        <v>1.25750222E8</v>
      </c>
    </row>
    <row r="36" ht="12.75" customHeight="1">
      <c r="A36" s="31">
        <v>275.0</v>
      </c>
      <c r="B36" s="32" t="s">
        <v>52043</v>
      </c>
      <c r="C36" s="31">
        <v>125.0</v>
      </c>
      <c r="D36" s="32" t="s">
        <v>52044</v>
      </c>
      <c r="E36" s="32" t="s">
        <v>52045</v>
      </c>
      <c r="F36" s="33">
        <v>25.0</v>
      </c>
      <c r="G36" s="31">
        <v>1.25750251E8</v>
      </c>
    </row>
    <row r="37" ht="12.75" customHeight="1">
      <c r="A37" s="27">
        <v>275.0</v>
      </c>
      <c r="B37" s="28" t="s">
        <v>52046</v>
      </c>
      <c r="C37" s="27">
        <v>125.0</v>
      </c>
      <c r="D37" s="28" t="s">
        <v>52047</v>
      </c>
      <c r="E37" s="28" t="s">
        <v>52048</v>
      </c>
      <c r="F37" s="29">
        <v>44.0</v>
      </c>
      <c r="G37" s="27">
        <v>1.25750448E8</v>
      </c>
    </row>
    <row r="38" ht="12.75" customHeight="1">
      <c r="A38" s="31">
        <v>275.0</v>
      </c>
      <c r="B38" s="32" t="s">
        <v>52049</v>
      </c>
      <c r="C38" s="31">
        <v>125.0</v>
      </c>
      <c r="D38" s="32" t="s">
        <v>52050</v>
      </c>
      <c r="E38" s="32" t="s">
        <v>52051</v>
      </c>
      <c r="F38" s="33">
        <v>58.0</v>
      </c>
      <c r="G38" s="31">
        <v>1.25750585E8</v>
      </c>
    </row>
    <row r="39" ht="12.75" customHeight="1">
      <c r="A39" s="27">
        <v>275.0</v>
      </c>
      <c r="B39" s="28" t="s">
        <v>52052</v>
      </c>
      <c r="C39" s="27">
        <v>125.0</v>
      </c>
      <c r="D39" s="28" t="s">
        <v>52053</v>
      </c>
      <c r="E39" s="28" t="s">
        <v>52054</v>
      </c>
      <c r="F39" s="29">
        <v>67.0</v>
      </c>
      <c r="G39" s="27">
        <v>1.25750677E8</v>
      </c>
    </row>
    <row r="40" ht="12.75" customHeight="1">
      <c r="A40" s="31">
        <v>275.0</v>
      </c>
      <c r="B40" s="32" t="s">
        <v>52055</v>
      </c>
      <c r="C40" s="31">
        <v>125.0</v>
      </c>
      <c r="D40" s="32" t="s">
        <v>52056</v>
      </c>
      <c r="E40" s="32" t="s">
        <v>52057</v>
      </c>
      <c r="F40" s="31">
        <v>157.0</v>
      </c>
      <c r="G40" s="31">
        <v>1.25751571E8</v>
      </c>
    </row>
    <row r="41" ht="12.75" customHeight="1">
      <c r="A41" s="27">
        <v>275.0</v>
      </c>
      <c r="B41" s="28" t="s">
        <v>52058</v>
      </c>
      <c r="C41" s="27">
        <v>125.0</v>
      </c>
      <c r="D41" s="28" t="s">
        <v>52059</v>
      </c>
      <c r="E41" s="28" t="s">
        <v>52060</v>
      </c>
      <c r="F41" s="27">
        <v>208.0</v>
      </c>
      <c r="G41" s="27">
        <v>1.25752088E8</v>
      </c>
    </row>
    <row r="42" ht="12.75" customHeight="1">
      <c r="A42" s="31">
        <v>275.0</v>
      </c>
      <c r="B42" s="32" t="s">
        <v>52061</v>
      </c>
      <c r="C42" s="31">
        <v>125.0</v>
      </c>
      <c r="D42" s="32" t="s">
        <v>52062</v>
      </c>
      <c r="E42" s="32" t="s">
        <v>52063</v>
      </c>
      <c r="F42" s="31">
        <v>223.0</v>
      </c>
      <c r="G42" s="31">
        <v>1.25752233E8</v>
      </c>
    </row>
    <row r="43" ht="12.75" customHeight="1">
      <c r="A43" s="27">
        <v>275.0</v>
      </c>
      <c r="B43" s="28" t="s">
        <v>52064</v>
      </c>
      <c r="C43" s="27">
        <v>125.0</v>
      </c>
      <c r="D43" s="28" t="s">
        <v>52065</v>
      </c>
      <c r="E43" s="28" t="s">
        <v>52066</v>
      </c>
      <c r="F43" s="27">
        <v>235.0</v>
      </c>
      <c r="G43" s="27">
        <v>1.25752354E8</v>
      </c>
    </row>
    <row r="44" ht="12.75" customHeight="1">
      <c r="A44" s="31">
        <v>576.0</v>
      </c>
      <c r="B44" s="32" t="s">
        <v>52067</v>
      </c>
      <c r="C44" s="31">
        <v>125.0</v>
      </c>
      <c r="D44" s="32" t="s">
        <v>52068</v>
      </c>
      <c r="E44" s="32" t="s">
        <v>52069</v>
      </c>
      <c r="F44" s="33">
        <v>64.0</v>
      </c>
      <c r="G44" s="31">
        <v>1.25760641E8</v>
      </c>
    </row>
    <row r="45" ht="12.75" customHeight="1">
      <c r="A45" s="27">
        <v>576.0</v>
      </c>
      <c r="B45" s="28" t="s">
        <v>52070</v>
      </c>
      <c r="C45" s="27">
        <v>125.0</v>
      </c>
      <c r="D45" s="28" t="s">
        <v>52071</v>
      </c>
      <c r="E45" s="28" t="s">
        <v>52072</v>
      </c>
      <c r="F45" s="27">
        <v>121.0</v>
      </c>
      <c r="G45" s="27">
        <v>1.25761211E8</v>
      </c>
    </row>
    <row r="46" ht="12.75" customHeight="1">
      <c r="A46" s="31">
        <v>576.0</v>
      </c>
      <c r="B46" s="32" t="s">
        <v>52073</v>
      </c>
      <c r="C46" s="31">
        <v>125.0</v>
      </c>
      <c r="D46" s="32" t="s">
        <v>52074</v>
      </c>
      <c r="E46" s="32" t="s">
        <v>52075</v>
      </c>
      <c r="F46" s="31">
        <v>133.0</v>
      </c>
      <c r="G46" s="31">
        <v>1.25761332E8</v>
      </c>
    </row>
    <row r="47" ht="12.75" customHeight="1">
      <c r="A47" s="27">
        <v>576.0</v>
      </c>
      <c r="B47" s="28" t="s">
        <v>52076</v>
      </c>
      <c r="C47" s="27">
        <v>125.0</v>
      </c>
      <c r="D47" s="28" t="s">
        <v>52077</v>
      </c>
      <c r="E47" s="28" t="s">
        <v>52078</v>
      </c>
      <c r="F47" s="27">
        <v>178.0</v>
      </c>
      <c r="G47" s="27">
        <v>1.25761787E8</v>
      </c>
    </row>
    <row r="48" ht="12.75" customHeight="1">
      <c r="A48" s="31">
        <v>576.0</v>
      </c>
      <c r="B48" s="32" t="s">
        <v>52079</v>
      </c>
      <c r="C48" s="31">
        <v>125.0</v>
      </c>
      <c r="D48" s="32" t="s">
        <v>52080</v>
      </c>
      <c r="E48" s="32" t="s">
        <v>52081</v>
      </c>
      <c r="F48" s="31">
        <v>205.0</v>
      </c>
      <c r="G48" s="31">
        <v>1.25762052E8</v>
      </c>
    </row>
    <row r="49" ht="12.75" customHeight="1">
      <c r="A49" s="27">
        <v>576.0</v>
      </c>
      <c r="B49" s="28" t="s">
        <v>52082</v>
      </c>
      <c r="C49" s="27">
        <v>125.0</v>
      </c>
      <c r="D49" s="28" t="s">
        <v>52083</v>
      </c>
      <c r="E49" s="28" t="s">
        <v>52084</v>
      </c>
      <c r="F49" s="27">
        <v>226.0</v>
      </c>
      <c r="G49" s="27">
        <v>1.25762265E8</v>
      </c>
    </row>
    <row r="50" ht="12.75" customHeight="1">
      <c r="A50" s="31">
        <v>777.0</v>
      </c>
      <c r="B50" s="32" t="s">
        <v>52085</v>
      </c>
      <c r="C50" s="31">
        <v>125.0</v>
      </c>
      <c r="D50" s="32" t="s">
        <v>52086</v>
      </c>
      <c r="E50" s="32" t="s">
        <v>52087</v>
      </c>
      <c r="F50" s="33">
        <v>19.0</v>
      </c>
      <c r="G50" s="31">
        <v>1.25770194E8</v>
      </c>
    </row>
    <row r="51" ht="12.75" customHeight="1">
      <c r="A51" s="27">
        <v>777.0</v>
      </c>
      <c r="B51" s="28" t="s">
        <v>52088</v>
      </c>
      <c r="C51" s="27">
        <v>125.0</v>
      </c>
      <c r="D51" s="28" t="s">
        <v>52089</v>
      </c>
      <c r="E51" s="28" t="s">
        <v>52090</v>
      </c>
      <c r="F51" s="29">
        <v>55.0</v>
      </c>
      <c r="G51" s="27">
        <v>1.25770552E8</v>
      </c>
    </row>
    <row r="52" ht="12.75" customHeight="1">
      <c r="A52" s="31">
        <v>378.0</v>
      </c>
      <c r="B52" s="32" t="s">
        <v>52091</v>
      </c>
      <c r="C52" s="31">
        <v>125.0</v>
      </c>
      <c r="D52" s="32" t="s">
        <v>52092</v>
      </c>
      <c r="E52" s="32" t="s">
        <v>52093</v>
      </c>
      <c r="F52" s="33">
        <v>52.0</v>
      </c>
      <c r="G52" s="31">
        <v>1.25780526E8</v>
      </c>
    </row>
    <row r="53" ht="12.75" customHeight="1">
      <c r="A53" s="27">
        <v>378.0</v>
      </c>
      <c r="B53" s="28" t="s">
        <v>52094</v>
      </c>
      <c r="C53" s="27">
        <v>125.0</v>
      </c>
      <c r="D53" s="28" t="s">
        <v>52095</v>
      </c>
      <c r="E53" s="28" t="s">
        <v>52096</v>
      </c>
      <c r="F53" s="27">
        <v>109.0</v>
      </c>
      <c r="G53" s="27">
        <v>1.25781091E8</v>
      </c>
    </row>
    <row r="54" ht="12.75" customHeight="1">
      <c r="A54" s="31">
        <v>379.0</v>
      </c>
      <c r="B54" s="32" t="s">
        <v>52097</v>
      </c>
      <c r="C54" s="31">
        <v>125.0</v>
      </c>
      <c r="D54" s="32" t="s">
        <v>52098</v>
      </c>
      <c r="E54" s="32" t="s">
        <v>52099</v>
      </c>
      <c r="F54" s="33">
        <v>13.0</v>
      </c>
      <c r="G54" s="31">
        <v>1.25790132E8</v>
      </c>
    </row>
    <row r="55" ht="12.75" customHeight="1">
      <c r="A55" s="27">
        <v>379.0</v>
      </c>
      <c r="B55" s="28" t="s">
        <v>52100</v>
      </c>
      <c r="C55" s="27">
        <v>125.0</v>
      </c>
      <c r="D55" s="28" t="s">
        <v>52101</v>
      </c>
      <c r="E55" s="28" t="s">
        <v>52102</v>
      </c>
      <c r="F55" s="29">
        <v>52.0</v>
      </c>
      <c r="G55" s="27">
        <v>1.25790529E8</v>
      </c>
    </row>
    <row r="56" ht="12.75" customHeight="1">
      <c r="A56" s="31">
        <v>379.0</v>
      </c>
      <c r="B56" s="32" t="s">
        <v>52103</v>
      </c>
      <c r="C56" s="31">
        <v>125.0</v>
      </c>
      <c r="D56" s="32" t="s">
        <v>52104</v>
      </c>
      <c r="E56" s="32" t="s">
        <v>52105</v>
      </c>
      <c r="F56" s="33">
        <v>61.0</v>
      </c>
      <c r="G56" s="31">
        <v>1.25790611E8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379.0</v>
      </c>
      <c r="B1" s="28" t="s">
        <v>52106</v>
      </c>
      <c r="C1" s="27">
        <v>125.0</v>
      </c>
      <c r="D1" s="28" t="s">
        <v>52107</v>
      </c>
      <c r="E1" s="28" t="s">
        <v>52108</v>
      </c>
      <c r="F1" s="29">
        <v>76.0</v>
      </c>
      <c r="G1" s="27">
        <v>1.25790761E8</v>
      </c>
    </row>
    <row r="2" ht="12.75" customHeight="1">
      <c r="A2" s="31">
        <v>581.0</v>
      </c>
      <c r="B2" s="32" t="s">
        <v>52109</v>
      </c>
      <c r="C2" s="31">
        <v>125.0</v>
      </c>
      <c r="D2" s="32" t="s">
        <v>52110</v>
      </c>
      <c r="E2" s="32" t="s">
        <v>52111</v>
      </c>
      <c r="F2" s="33">
        <v>22.0</v>
      </c>
      <c r="G2" s="31">
        <v>1.25810225E8</v>
      </c>
    </row>
    <row r="3" ht="12.75" customHeight="1">
      <c r="A3" s="27">
        <v>581.0</v>
      </c>
      <c r="B3" s="28" t="s">
        <v>52112</v>
      </c>
      <c r="C3" s="27">
        <v>125.0</v>
      </c>
      <c r="D3" s="28" t="s">
        <v>52113</v>
      </c>
      <c r="E3" s="28" t="s">
        <v>52114</v>
      </c>
      <c r="F3" s="29">
        <v>34.0</v>
      </c>
      <c r="G3" s="27">
        <v>1.25810346E8</v>
      </c>
    </row>
    <row r="4" ht="12.75" customHeight="1">
      <c r="A4" s="31">
        <v>581.0</v>
      </c>
      <c r="B4" s="32" t="s">
        <v>52115</v>
      </c>
      <c r="C4" s="31">
        <v>125.0</v>
      </c>
      <c r="D4" s="32" t="s">
        <v>52116</v>
      </c>
      <c r="E4" s="32" t="s">
        <v>52117</v>
      </c>
      <c r="F4" s="31">
        <v>107.0</v>
      </c>
      <c r="G4" s="31">
        <v>1.25811079E8</v>
      </c>
    </row>
    <row r="5" ht="12.75" customHeight="1">
      <c r="A5" s="27">
        <v>581.0</v>
      </c>
      <c r="B5" s="28" t="s">
        <v>52118</v>
      </c>
      <c r="C5" s="27">
        <v>125.0</v>
      </c>
      <c r="D5" s="28" t="s">
        <v>52119</v>
      </c>
      <c r="E5" s="28" t="s">
        <v>52120</v>
      </c>
      <c r="F5" s="27">
        <v>163.0</v>
      </c>
      <c r="G5" s="27">
        <v>1.25811637E8</v>
      </c>
    </row>
    <row r="6" ht="12.75" customHeight="1">
      <c r="A6" s="31">
        <v>581.0</v>
      </c>
      <c r="B6" s="32" t="s">
        <v>52121</v>
      </c>
      <c r="C6" s="31">
        <v>125.0</v>
      </c>
      <c r="D6" s="32" t="s">
        <v>52122</v>
      </c>
      <c r="E6" s="32" t="s">
        <v>52123</v>
      </c>
      <c r="F6" s="31">
        <v>193.0</v>
      </c>
      <c r="G6" s="31">
        <v>1.25811932E8</v>
      </c>
    </row>
    <row r="7" ht="12.75" customHeight="1">
      <c r="A7" s="27">
        <v>382.0</v>
      </c>
      <c r="B7" s="28" t="s">
        <v>52124</v>
      </c>
      <c r="C7" s="27">
        <v>125.0</v>
      </c>
      <c r="D7" s="28" t="s">
        <v>52125</v>
      </c>
      <c r="E7" s="28" t="s">
        <v>52126</v>
      </c>
      <c r="F7" s="29">
        <v>67.0</v>
      </c>
      <c r="G7" s="27">
        <v>1.25820673E8</v>
      </c>
    </row>
    <row r="8" ht="12.75" customHeight="1">
      <c r="A8" s="31">
        <v>382.0</v>
      </c>
      <c r="B8" s="32" t="s">
        <v>52127</v>
      </c>
      <c r="C8" s="31">
        <v>125.0</v>
      </c>
      <c r="D8" s="32" t="s">
        <v>52128</v>
      </c>
      <c r="E8" s="32" t="s">
        <v>52129</v>
      </c>
      <c r="F8" s="33">
        <v>73.0</v>
      </c>
      <c r="G8" s="31">
        <v>1.25820736E8</v>
      </c>
    </row>
    <row r="9" ht="12.75" customHeight="1">
      <c r="A9" s="27">
        <v>284.0</v>
      </c>
      <c r="B9" s="28" t="s">
        <v>52130</v>
      </c>
      <c r="C9" s="27">
        <v>125.0</v>
      </c>
      <c r="D9" s="28" t="s">
        <v>52131</v>
      </c>
      <c r="E9" s="28" t="s">
        <v>52132</v>
      </c>
      <c r="F9" s="29">
        <v>52.0</v>
      </c>
      <c r="G9" s="27">
        <v>1.25840529E8</v>
      </c>
    </row>
    <row r="10" ht="12.75" customHeight="1">
      <c r="A10" s="31">
        <v>785.0</v>
      </c>
      <c r="B10" s="32" t="s">
        <v>52133</v>
      </c>
      <c r="C10" s="31">
        <v>125.0</v>
      </c>
      <c r="D10" s="32" t="s">
        <v>52134</v>
      </c>
      <c r="E10" s="32" t="s">
        <v>52135</v>
      </c>
      <c r="F10" s="33">
        <v>52.0</v>
      </c>
      <c r="G10" s="31">
        <v>1.25850522E8</v>
      </c>
    </row>
    <row r="11" ht="12.75" customHeight="1">
      <c r="A11" s="27">
        <v>785.0</v>
      </c>
      <c r="B11" s="28" t="s">
        <v>52136</v>
      </c>
      <c r="C11" s="27">
        <v>125.0</v>
      </c>
      <c r="D11" s="28" t="s">
        <v>52137</v>
      </c>
      <c r="E11" s="28" t="s">
        <v>52138</v>
      </c>
      <c r="F11" s="27">
        <v>136.0</v>
      </c>
      <c r="G11" s="27">
        <v>1.25851363E8</v>
      </c>
    </row>
    <row r="12" ht="12.75" customHeight="1">
      <c r="A12" s="31">
        <v>785.0</v>
      </c>
      <c r="B12" s="32" t="s">
        <v>52139</v>
      </c>
      <c r="C12" s="31">
        <v>125.0</v>
      </c>
      <c r="D12" s="32" t="s">
        <v>52140</v>
      </c>
      <c r="E12" s="32" t="s">
        <v>52141</v>
      </c>
      <c r="F12" s="31">
        <v>145.0</v>
      </c>
      <c r="G12" s="31">
        <v>1.25851455E8</v>
      </c>
    </row>
    <row r="13" ht="12.75" customHeight="1">
      <c r="A13" s="27">
        <v>386.0</v>
      </c>
      <c r="B13" s="28" t="s">
        <v>52142</v>
      </c>
      <c r="C13" s="27">
        <v>125.0</v>
      </c>
      <c r="D13" s="28" t="s">
        <v>52143</v>
      </c>
      <c r="E13" s="28" t="s">
        <v>52144</v>
      </c>
      <c r="F13" s="29">
        <v>19.0</v>
      </c>
      <c r="G13" s="27">
        <v>1.25860196E8</v>
      </c>
    </row>
    <row r="14" ht="12.75" customHeight="1">
      <c r="A14" s="31">
        <v>386.0</v>
      </c>
      <c r="B14" s="32" t="s">
        <v>52145</v>
      </c>
      <c r="C14" s="31">
        <v>125.0</v>
      </c>
      <c r="D14" s="32" t="s">
        <v>52146</v>
      </c>
      <c r="E14" s="32" t="s">
        <v>52147</v>
      </c>
      <c r="F14" s="33">
        <v>58.0</v>
      </c>
      <c r="G14" s="31">
        <v>1.25860583E8</v>
      </c>
    </row>
    <row r="15" ht="12.75" customHeight="1">
      <c r="A15" s="27">
        <v>386.0</v>
      </c>
      <c r="B15" s="28" t="s">
        <v>52148</v>
      </c>
      <c r="C15" s="27">
        <v>125.0</v>
      </c>
      <c r="D15" s="28" t="s">
        <v>52149</v>
      </c>
      <c r="E15" s="28" t="s">
        <v>52150</v>
      </c>
      <c r="F15" s="29">
        <v>67.0</v>
      </c>
      <c r="G15" s="27">
        <v>1.25860675E8</v>
      </c>
    </row>
    <row r="16" ht="12.75" customHeight="1">
      <c r="A16" s="31">
        <v>487.0</v>
      </c>
      <c r="B16" s="32" t="s">
        <v>52151</v>
      </c>
      <c r="C16" s="31">
        <v>125.0</v>
      </c>
      <c r="D16" s="32" t="s">
        <v>52152</v>
      </c>
      <c r="E16" s="32" t="s">
        <v>52153</v>
      </c>
      <c r="F16" s="33">
        <v>58.0</v>
      </c>
      <c r="G16" s="31">
        <v>1.25870586E8</v>
      </c>
    </row>
    <row r="17" ht="12.75" customHeight="1">
      <c r="A17" s="27">
        <v>487.0</v>
      </c>
      <c r="B17" s="28" t="s">
        <v>52154</v>
      </c>
      <c r="C17" s="27">
        <v>125.0</v>
      </c>
      <c r="D17" s="28" t="s">
        <v>52155</v>
      </c>
      <c r="E17" s="28" t="s">
        <v>52156</v>
      </c>
      <c r="F17" s="29">
        <v>61.0</v>
      </c>
      <c r="G17" s="27">
        <v>1.2587061E8</v>
      </c>
    </row>
    <row r="18" ht="12.75" customHeight="1">
      <c r="A18" s="31">
        <v>487.0</v>
      </c>
      <c r="B18" s="32" t="s">
        <v>52157</v>
      </c>
      <c r="C18" s="31">
        <v>125.0</v>
      </c>
      <c r="D18" s="32" t="s">
        <v>52158</v>
      </c>
      <c r="E18" s="32" t="s">
        <v>52159</v>
      </c>
      <c r="F18" s="31">
        <v>109.0</v>
      </c>
      <c r="G18" s="31">
        <v>1.25871093E8</v>
      </c>
    </row>
    <row r="19" ht="12.75" customHeight="1">
      <c r="A19" s="27">
        <v>487.0</v>
      </c>
      <c r="B19" s="28" t="s">
        <v>52160</v>
      </c>
      <c r="C19" s="27">
        <v>125.0</v>
      </c>
      <c r="D19" s="28" t="s">
        <v>52161</v>
      </c>
      <c r="E19" s="28" t="s">
        <v>52162</v>
      </c>
      <c r="F19" s="27">
        <v>121.0</v>
      </c>
      <c r="G19" s="27">
        <v>1.25871219E8</v>
      </c>
    </row>
    <row r="20" ht="12.75" customHeight="1">
      <c r="A20" s="31">
        <v>688.0</v>
      </c>
      <c r="B20" s="32" t="s">
        <v>52163</v>
      </c>
      <c r="C20" s="31">
        <v>125.0</v>
      </c>
      <c r="D20" s="32" t="s">
        <v>52164</v>
      </c>
      <c r="E20" s="32" t="s">
        <v>52165</v>
      </c>
      <c r="F20" s="33">
        <v>22.0</v>
      </c>
      <c r="G20" s="31">
        <v>1.25880226E8</v>
      </c>
    </row>
    <row r="21" ht="12.75" customHeight="1">
      <c r="A21" s="27">
        <v>688.0</v>
      </c>
      <c r="B21" s="28" t="s">
        <v>52166</v>
      </c>
      <c r="C21" s="27">
        <v>125.0</v>
      </c>
      <c r="D21" s="28" t="s">
        <v>52167</v>
      </c>
      <c r="E21" s="28" t="s">
        <v>52168</v>
      </c>
      <c r="F21" s="27">
        <v>187.0</v>
      </c>
      <c r="G21" s="27">
        <v>1.2588187E8</v>
      </c>
    </row>
    <row r="22" ht="12.75" customHeight="1">
      <c r="A22" s="31">
        <v>688.0</v>
      </c>
      <c r="B22" s="32" t="s">
        <v>52169</v>
      </c>
      <c r="C22" s="31">
        <v>125.0</v>
      </c>
      <c r="D22" s="32" t="s">
        <v>52170</v>
      </c>
      <c r="E22" s="32" t="s">
        <v>52171</v>
      </c>
      <c r="F22" s="31">
        <v>190.0</v>
      </c>
      <c r="G22" s="31">
        <v>1.25881904E8</v>
      </c>
    </row>
    <row r="23" ht="12.75" customHeight="1">
      <c r="A23" s="27">
        <v>688.0</v>
      </c>
      <c r="B23" s="28" t="s">
        <v>52172</v>
      </c>
      <c r="C23" s="27">
        <v>125.0</v>
      </c>
      <c r="D23" s="28" t="s">
        <v>52173</v>
      </c>
      <c r="E23" s="28" t="s">
        <v>52174</v>
      </c>
      <c r="F23" s="27">
        <v>223.0</v>
      </c>
      <c r="G23" s="27">
        <v>1.25882237E8</v>
      </c>
    </row>
    <row r="24" ht="12.75" customHeight="1">
      <c r="A24" s="31">
        <v>189.0</v>
      </c>
      <c r="B24" s="32" t="s">
        <v>52175</v>
      </c>
      <c r="C24" s="31">
        <v>125.0</v>
      </c>
      <c r="D24" s="32" t="s">
        <v>52176</v>
      </c>
      <c r="E24" s="32" t="s">
        <v>52177</v>
      </c>
      <c r="F24" s="33">
        <v>55.0</v>
      </c>
      <c r="G24" s="31">
        <v>1.25890553E8</v>
      </c>
    </row>
    <row r="25" ht="12.75" customHeight="1">
      <c r="A25" s="27">
        <v>890.0</v>
      </c>
      <c r="B25" s="28" t="s">
        <v>52178</v>
      </c>
      <c r="C25" s="27">
        <v>125.0</v>
      </c>
      <c r="D25" s="28" t="s">
        <v>52179</v>
      </c>
      <c r="E25" s="28" t="s">
        <v>52180</v>
      </c>
      <c r="F25" s="29">
        <v>22.0</v>
      </c>
      <c r="G25" s="27">
        <v>1.25900227E8</v>
      </c>
    </row>
    <row r="26" ht="12.75" customHeight="1">
      <c r="A26" s="31">
        <v>890.0</v>
      </c>
      <c r="B26" s="32" t="s">
        <v>52181</v>
      </c>
      <c r="C26" s="31">
        <v>125.0</v>
      </c>
      <c r="D26" s="32" t="s">
        <v>52182</v>
      </c>
      <c r="E26" s="32" t="s">
        <v>52183</v>
      </c>
      <c r="F26" s="33">
        <v>49.0</v>
      </c>
      <c r="G26" s="31">
        <v>1.25900498E8</v>
      </c>
    </row>
    <row r="27" ht="12.75" customHeight="1">
      <c r="A27" s="27">
        <v>890.0</v>
      </c>
      <c r="B27" s="28" t="s">
        <v>52184</v>
      </c>
      <c r="C27" s="27">
        <v>125.0</v>
      </c>
      <c r="D27" s="28" t="s">
        <v>52185</v>
      </c>
      <c r="E27" s="28" t="s">
        <v>52186</v>
      </c>
      <c r="F27" s="27">
        <v>112.0</v>
      </c>
      <c r="G27" s="27">
        <v>1.25901121E8</v>
      </c>
    </row>
    <row r="28" ht="12.75" customHeight="1">
      <c r="A28" s="31">
        <v>891.0</v>
      </c>
      <c r="B28" s="32" t="s">
        <v>52187</v>
      </c>
      <c r="C28" s="31">
        <v>125.0</v>
      </c>
      <c r="D28" s="32" t="s">
        <v>52188</v>
      </c>
      <c r="E28" s="32" t="s">
        <v>52189</v>
      </c>
      <c r="F28" s="33">
        <v>4.0</v>
      </c>
      <c r="G28" s="31">
        <v>1.25910046E8</v>
      </c>
    </row>
    <row r="29" ht="12.75" customHeight="1">
      <c r="A29" s="27">
        <v>891.0</v>
      </c>
      <c r="B29" s="28" t="s">
        <v>52190</v>
      </c>
      <c r="C29" s="27">
        <v>125.0</v>
      </c>
      <c r="D29" s="28" t="s">
        <v>52191</v>
      </c>
      <c r="E29" s="28" t="s">
        <v>52192</v>
      </c>
      <c r="F29" s="29">
        <v>31.0</v>
      </c>
      <c r="G29" s="27">
        <v>1.25910312E8</v>
      </c>
    </row>
    <row r="30" ht="12.75" customHeight="1">
      <c r="A30" s="31">
        <v>891.0</v>
      </c>
      <c r="B30" s="32" t="s">
        <v>52193</v>
      </c>
      <c r="C30" s="31">
        <v>125.0</v>
      </c>
      <c r="D30" s="32" t="s">
        <v>52194</v>
      </c>
      <c r="E30" s="32" t="s">
        <v>52195</v>
      </c>
      <c r="F30" s="33">
        <v>43.0</v>
      </c>
      <c r="G30" s="31">
        <v>1.25910433E8</v>
      </c>
    </row>
    <row r="31" ht="12.75" customHeight="1">
      <c r="A31" s="27">
        <v>891.0</v>
      </c>
      <c r="B31" s="28" t="s">
        <v>52196</v>
      </c>
      <c r="C31" s="27">
        <v>125.0</v>
      </c>
      <c r="D31" s="28" t="s">
        <v>52197</v>
      </c>
      <c r="E31" s="28" t="s">
        <v>52198</v>
      </c>
      <c r="F31" s="29">
        <v>95.0</v>
      </c>
      <c r="G31" s="27">
        <v>1.25910954E8</v>
      </c>
    </row>
    <row r="32" ht="12.75" customHeight="1">
      <c r="A32" s="31">
        <v>891.0</v>
      </c>
      <c r="B32" s="32" t="s">
        <v>52199</v>
      </c>
      <c r="C32" s="31">
        <v>125.0</v>
      </c>
      <c r="D32" s="32" t="s">
        <v>52200</v>
      </c>
      <c r="E32" s="32" t="s">
        <v>52201</v>
      </c>
      <c r="F32" s="31">
        <v>154.0</v>
      </c>
      <c r="G32" s="31">
        <v>1.2591154E8</v>
      </c>
    </row>
    <row r="33" ht="12.75" customHeight="1">
      <c r="A33" s="27">
        <v>891.0</v>
      </c>
      <c r="B33" s="28" t="s">
        <v>52202</v>
      </c>
      <c r="C33" s="27">
        <v>125.0</v>
      </c>
      <c r="D33" s="28" t="s">
        <v>52203</v>
      </c>
      <c r="E33" s="28" t="s">
        <v>52204</v>
      </c>
      <c r="F33" s="27">
        <v>160.0</v>
      </c>
      <c r="G33" s="27">
        <v>1.25911603E8</v>
      </c>
    </row>
    <row r="34" ht="12.75" customHeight="1">
      <c r="A34" s="31">
        <v>891.0</v>
      </c>
      <c r="B34" s="32" t="s">
        <v>52205</v>
      </c>
      <c r="C34" s="31">
        <v>125.0</v>
      </c>
      <c r="D34" s="32" t="s">
        <v>52206</v>
      </c>
      <c r="E34" s="32" t="s">
        <v>52207</v>
      </c>
      <c r="F34" s="31">
        <v>208.0</v>
      </c>
      <c r="G34" s="31">
        <v>1.25912086E8</v>
      </c>
    </row>
    <row r="35" ht="12.75" customHeight="1">
      <c r="A35" s="27">
        <v>891.0</v>
      </c>
      <c r="B35" s="28" t="s">
        <v>52208</v>
      </c>
      <c r="C35" s="27">
        <v>125.0</v>
      </c>
      <c r="D35" s="28" t="s">
        <v>52209</v>
      </c>
      <c r="E35" s="28" t="s">
        <v>52210</v>
      </c>
      <c r="F35" s="27">
        <v>250.0</v>
      </c>
      <c r="G35" s="27">
        <v>1.25912507E8</v>
      </c>
    </row>
    <row r="36" ht="12.75" customHeight="1">
      <c r="A36" s="31">
        <v>891.0</v>
      </c>
      <c r="B36" s="32" t="s">
        <v>52211</v>
      </c>
      <c r="C36" s="31">
        <v>125.0</v>
      </c>
      <c r="D36" s="32" t="s">
        <v>52212</v>
      </c>
      <c r="E36" s="32" t="s">
        <v>52213</v>
      </c>
      <c r="F36" s="31">
        <v>355.0</v>
      </c>
      <c r="G36" s="31">
        <v>1.25913551E8</v>
      </c>
    </row>
    <row r="37" ht="12.75" customHeight="1">
      <c r="A37" s="27">
        <v>891.0</v>
      </c>
      <c r="B37" s="28" t="s">
        <v>52214</v>
      </c>
      <c r="C37" s="27">
        <v>125.0</v>
      </c>
      <c r="D37" s="28" t="s">
        <v>52215</v>
      </c>
      <c r="E37" s="28" t="s">
        <v>52216</v>
      </c>
      <c r="F37" s="27">
        <v>415.0</v>
      </c>
      <c r="G37" s="27">
        <v>1.2591415E8</v>
      </c>
    </row>
    <row r="38" ht="12.75" customHeight="1">
      <c r="A38" s="31">
        <v>193.0</v>
      </c>
      <c r="B38" s="32" t="s">
        <v>52217</v>
      </c>
      <c r="C38" s="31">
        <v>125.0</v>
      </c>
      <c r="D38" s="32" t="s">
        <v>52218</v>
      </c>
      <c r="E38" s="32" t="s">
        <v>52219</v>
      </c>
      <c r="F38" s="33">
        <v>11.0</v>
      </c>
      <c r="G38" s="31">
        <v>1.25930118E8</v>
      </c>
    </row>
    <row r="39" ht="12.75" customHeight="1">
      <c r="A39" s="27">
        <v>193.0</v>
      </c>
      <c r="B39" s="28" t="s">
        <v>52220</v>
      </c>
      <c r="C39" s="27">
        <v>125.0</v>
      </c>
      <c r="D39" s="28" t="s">
        <v>52221</v>
      </c>
      <c r="E39" s="28" t="s">
        <v>52222</v>
      </c>
      <c r="F39" s="27">
        <v>148.0</v>
      </c>
      <c r="G39" s="27">
        <v>1.25931483E8</v>
      </c>
    </row>
    <row r="40" ht="12.75" customHeight="1">
      <c r="A40" s="31">
        <v>193.0</v>
      </c>
      <c r="B40" s="32" t="s">
        <v>52223</v>
      </c>
      <c r="C40" s="31">
        <v>125.0</v>
      </c>
      <c r="D40" s="32" t="s">
        <v>52224</v>
      </c>
      <c r="E40" s="32" t="s">
        <v>52225</v>
      </c>
      <c r="F40" s="31">
        <v>151.0</v>
      </c>
      <c r="G40" s="31">
        <v>1.25931517E8</v>
      </c>
    </row>
    <row r="41" ht="12.75" customHeight="1">
      <c r="A41" s="27">
        <v>193.0</v>
      </c>
      <c r="B41" s="28" t="s">
        <v>52226</v>
      </c>
      <c r="C41" s="27">
        <v>125.0</v>
      </c>
      <c r="D41" s="28" t="s">
        <v>52227</v>
      </c>
      <c r="E41" s="28" t="s">
        <v>52228</v>
      </c>
      <c r="F41" s="27">
        <v>229.0</v>
      </c>
      <c r="G41" s="27">
        <v>1.25932295E8</v>
      </c>
    </row>
    <row r="42" ht="12.75" customHeight="1">
      <c r="A42" s="31">
        <v>794.0</v>
      </c>
      <c r="B42" s="32" t="s">
        <v>52229</v>
      </c>
      <c r="C42" s="31">
        <v>125.0</v>
      </c>
      <c r="D42" s="32" t="s">
        <v>52230</v>
      </c>
      <c r="E42" s="32" t="s">
        <v>52231</v>
      </c>
      <c r="F42" s="33">
        <v>97.0</v>
      </c>
      <c r="G42" s="31">
        <v>1.25940979E8</v>
      </c>
    </row>
    <row r="43" ht="12.75" customHeight="1">
      <c r="A43" s="27">
        <v>306.0</v>
      </c>
      <c r="B43" s="28" t="s">
        <v>52232</v>
      </c>
      <c r="C43" s="27">
        <v>130.0</v>
      </c>
      <c r="D43" s="28" t="s">
        <v>52233</v>
      </c>
      <c r="E43" s="28" t="s">
        <v>52234</v>
      </c>
      <c r="F43" s="29">
        <v>28.0</v>
      </c>
      <c r="G43" s="27">
        <v>1.30060286E8</v>
      </c>
    </row>
    <row r="44" ht="12.75" customHeight="1">
      <c r="A44" s="31">
        <v>309.0</v>
      </c>
      <c r="B44" s="32" t="s">
        <v>52235</v>
      </c>
      <c r="C44" s="31">
        <v>130.0</v>
      </c>
      <c r="D44" s="32" t="s">
        <v>52236</v>
      </c>
      <c r="E44" s="32" t="s">
        <v>52237</v>
      </c>
      <c r="F44" s="33">
        <v>10.0</v>
      </c>
      <c r="G44" s="31">
        <v>1.30090106E8</v>
      </c>
    </row>
    <row r="45" ht="12.75" customHeight="1">
      <c r="A45" s="27">
        <v>610.0</v>
      </c>
      <c r="B45" s="28" t="s">
        <v>52238</v>
      </c>
      <c r="C45" s="27">
        <v>130.0</v>
      </c>
      <c r="D45" s="28" t="s">
        <v>52239</v>
      </c>
      <c r="E45" s="28" t="s">
        <v>52240</v>
      </c>
      <c r="F45" s="29">
        <v>37.0</v>
      </c>
      <c r="G45" s="27">
        <v>1.30100375E8</v>
      </c>
    </row>
    <row r="46" ht="12.75" customHeight="1">
      <c r="A46" s="31">
        <v>610.0</v>
      </c>
      <c r="B46" s="32" t="s">
        <v>52241</v>
      </c>
      <c r="C46" s="31">
        <v>130.0</v>
      </c>
      <c r="D46" s="32" t="s">
        <v>52242</v>
      </c>
      <c r="E46" s="32" t="s">
        <v>52243</v>
      </c>
      <c r="F46" s="31">
        <v>274.0</v>
      </c>
      <c r="G46" s="31">
        <v>1.30102744E8</v>
      </c>
    </row>
    <row r="47" ht="12.75" customHeight="1">
      <c r="A47" s="27">
        <v>112.0</v>
      </c>
      <c r="B47" s="28" t="s">
        <v>52244</v>
      </c>
      <c r="C47" s="27">
        <v>130.0</v>
      </c>
      <c r="D47" s="28" t="s">
        <v>52245</v>
      </c>
      <c r="E47" s="28" t="s">
        <v>52246</v>
      </c>
      <c r="F47" s="29">
        <v>11.0</v>
      </c>
      <c r="G47" s="27">
        <v>1.30120113E8</v>
      </c>
    </row>
    <row r="48" ht="12.75" customHeight="1">
      <c r="A48" s="31">
        <v>113.0</v>
      </c>
      <c r="B48" s="32" t="s">
        <v>52247</v>
      </c>
      <c r="C48" s="31">
        <v>130.0</v>
      </c>
      <c r="D48" s="32" t="s">
        <v>52248</v>
      </c>
      <c r="E48" s="32" t="s">
        <v>52249</v>
      </c>
      <c r="F48" s="33">
        <v>31.0</v>
      </c>
      <c r="G48" s="31">
        <v>1.30130316E8</v>
      </c>
    </row>
    <row r="49" ht="12.75" customHeight="1">
      <c r="A49" s="27">
        <v>113.0</v>
      </c>
      <c r="B49" s="28" t="s">
        <v>52250</v>
      </c>
      <c r="C49" s="27">
        <v>130.0</v>
      </c>
      <c r="D49" s="28" t="s">
        <v>52251</v>
      </c>
      <c r="E49" s="28" t="s">
        <v>52252</v>
      </c>
      <c r="F49" s="29">
        <v>88.0</v>
      </c>
      <c r="G49" s="27">
        <v>1.30130882E8</v>
      </c>
    </row>
    <row r="50" ht="12.75" customHeight="1">
      <c r="A50" s="31">
        <v>215.0</v>
      </c>
      <c r="B50" s="32" t="s">
        <v>52253</v>
      </c>
      <c r="C50" s="31">
        <v>130.0</v>
      </c>
      <c r="D50" s="32" t="s">
        <v>52254</v>
      </c>
      <c r="E50" s="32" t="s">
        <v>52255</v>
      </c>
      <c r="F50" s="33">
        <v>13.0</v>
      </c>
      <c r="G50" s="31">
        <v>1.30150138E8</v>
      </c>
    </row>
    <row r="51" ht="12.75" customHeight="1">
      <c r="A51" s="27">
        <v>215.0</v>
      </c>
      <c r="B51" s="28" t="s">
        <v>52256</v>
      </c>
      <c r="C51" s="27">
        <v>130.0</v>
      </c>
      <c r="D51" s="28" t="s">
        <v>52257</v>
      </c>
      <c r="E51" s="28" t="s">
        <v>52258</v>
      </c>
      <c r="F51" s="29">
        <v>46.0</v>
      </c>
      <c r="G51" s="27">
        <v>1.30150462E8</v>
      </c>
    </row>
    <row r="52" ht="12.75" customHeight="1">
      <c r="A52" s="31">
        <v>215.0</v>
      </c>
      <c r="B52" s="32" t="s">
        <v>52259</v>
      </c>
      <c r="C52" s="31">
        <v>130.0</v>
      </c>
      <c r="D52" s="32" t="s">
        <v>52260</v>
      </c>
      <c r="E52" s="32" t="s">
        <v>52261</v>
      </c>
      <c r="F52" s="33">
        <v>73.0</v>
      </c>
      <c r="G52" s="31">
        <v>1.30150738E8</v>
      </c>
    </row>
    <row r="53" ht="12.75" customHeight="1">
      <c r="A53" s="27">
        <v>215.0</v>
      </c>
      <c r="B53" s="28" t="s">
        <v>52262</v>
      </c>
      <c r="C53" s="27">
        <v>130.0</v>
      </c>
      <c r="D53" s="28" t="s">
        <v>52263</v>
      </c>
      <c r="E53" s="28" t="s">
        <v>52264</v>
      </c>
      <c r="F53" s="29">
        <v>79.0</v>
      </c>
      <c r="G53" s="27">
        <v>1.30150796E8</v>
      </c>
    </row>
    <row r="54" ht="12.75" customHeight="1">
      <c r="A54" s="31">
        <v>215.0</v>
      </c>
      <c r="B54" s="32" t="s">
        <v>52265</v>
      </c>
      <c r="C54" s="31">
        <v>130.0</v>
      </c>
      <c r="D54" s="32" t="s">
        <v>52266</v>
      </c>
      <c r="E54" s="32" t="s">
        <v>52267</v>
      </c>
      <c r="F54" s="31">
        <v>121.0</v>
      </c>
      <c r="G54" s="31">
        <v>1.30151216E8</v>
      </c>
    </row>
    <row r="55" ht="12.75" customHeight="1">
      <c r="A55" s="27">
        <v>215.0</v>
      </c>
      <c r="B55" s="28" t="s">
        <v>52268</v>
      </c>
      <c r="C55" s="27">
        <v>130.0</v>
      </c>
      <c r="D55" s="28" t="s">
        <v>52269</v>
      </c>
      <c r="E55" s="28" t="s">
        <v>52270</v>
      </c>
      <c r="F55" s="27">
        <v>244.0</v>
      </c>
      <c r="G55" s="27">
        <v>1.30152444E8</v>
      </c>
    </row>
    <row r="56" ht="12.75" customHeight="1">
      <c r="A56" s="31">
        <v>215.0</v>
      </c>
      <c r="B56" s="32" t="s">
        <v>52271</v>
      </c>
      <c r="C56" s="31">
        <v>130.0</v>
      </c>
      <c r="D56" s="32" t="s">
        <v>52272</v>
      </c>
      <c r="E56" s="32" t="s">
        <v>52273</v>
      </c>
      <c r="F56" s="31">
        <v>367.0</v>
      </c>
      <c r="G56" s="31">
        <v>1.30153672E8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52274</v>
      </c>
      <c r="C1" s="27">
        <v>130.0</v>
      </c>
      <c r="D1" s="28" t="s">
        <v>52275</v>
      </c>
      <c r="E1" s="28" t="s">
        <v>52276</v>
      </c>
      <c r="F1" s="27">
        <v>373.0</v>
      </c>
      <c r="G1" s="27">
        <v>1.30153735E8</v>
      </c>
    </row>
    <row r="2" ht="12.75" customHeight="1">
      <c r="A2" s="31">
        <v>215.0</v>
      </c>
      <c r="B2" s="32" t="s">
        <v>52277</v>
      </c>
      <c r="C2" s="31">
        <v>130.0</v>
      </c>
      <c r="D2" s="32" t="s">
        <v>52278</v>
      </c>
      <c r="E2" s="32" t="s">
        <v>52279</v>
      </c>
      <c r="F2" s="31">
        <v>427.0</v>
      </c>
      <c r="G2" s="31">
        <v>1.30154271E8</v>
      </c>
    </row>
    <row r="3" ht="12.75" customHeight="1">
      <c r="A3" s="27">
        <v>215.0</v>
      </c>
      <c r="B3" s="28" t="s">
        <v>52280</v>
      </c>
      <c r="C3" s="27">
        <v>130.0</v>
      </c>
      <c r="D3" s="28" t="s">
        <v>52281</v>
      </c>
      <c r="E3" s="28" t="s">
        <v>52282</v>
      </c>
      <c r="F3" s="27">
        <v>466.0</v>
      </c>
      <c r="G3" s="27">
        <v>1.30154668E8</v>
      </c>
    </row>
    <row r="4" ht="12.75" customHeight="1">
      <c r="A4" s="31">
        <v>215.0</v>
      </c>
      <c r="B4" s="32" t="s">
        <v>52283</v>
      </c>
      <c r="C4" s="31">
        <v>130.0</v>
      </c>
      <c r="D4" s="32" t="s">
        <v>52284</v>
      </c>
      <c r="E4" s="32" t="s">
        <v>52285</v>
      </c>
      <c r="F4" s="31">
        <v>553.0</v>
      </c>
      <c r="G4" s="31">
        <v>1.30155533E8</v>
      </c>
    </row>
    <row r="5" ht="12.75" customHeight="1">
      <c r="A5" s="27">
        <v>119.0</v>
      </c>
      <c r="B5" s="28" t="s">
        <v>52286</v>
      </c>
      <c r="C5" s="27">
        <v>130.0</v>
      </c>
      <c r="D5" s="28" t="s">
        <v>52287</v>
      </c>
      <c r="E5" s="28" t="s">
        <v>52288</v>
      </c>
      <c r="F5" s="29">
        <v>49.0</v>
      </c>
      <c r="G5" s="27">
        <v>1.30190493E8</v>
      </c>
    </row>
    <row r="6" ht="12.75" customHeight="1">
      <c r="A6" s="31">
        <v>119.0</v>
      </c>
      <c r="B6" s="32" t="s">
        <v>52289</v>
      </c>
      <c r="C6" s="31">
        <v>130.0</v>
      </c>
      <c r="D6" s="32" t="s">
        <v>52290</v>
      </c>
      <c r="E6" s="32" t="s">
        <v>52291</v>
      </c>
      <c r="F6" s="33">
        <v>70.0</v>
      </c>
      <c r="G6" s="31">
        <v>1.30190701E8</v>
      </c>
    </row>
    <row r="7" ht="12.75" customHeight="1">
      <c r="A7" s="27">
        <v>119.0</v>
      </c>
      <c r="B7" s="28" t="s">
        <v>52292</v>
      </c>
      <c r="C7" s="27">
        <v>130.0</v>
      </c>
      <c r="D7" s="28" t="s">
        <v>52293</v>
      </c>
      <c r="E7" s="28" t="s">
        <v>52294</v>
      </c>
      <c r="F7" s="27">
        <v>115.0</v>
      </c>
      <c r="G7" s="27">
        <v>1.30191155E8</v>
      </c>
    </row>
    <row r="8" ht="12.75" customHeight="1">
      <c r="A8" s="31">
        <v>119.0</v>
      </c>
      <c r="B8" s="32" t="s">
        <v>52295</v>
      </c>
      <c r="C8" s="31">
        <v>130.0</v>
      </c>
      <c r="D8" s="32" t="s">
        <v>52296</v>
      </c>
      <c r="E8" s="32" t="s">
        <v>52297</v>
      </c>
      <c r="F8" s="31">
        <v>211.0</v>
      </c>
      <c r="G8" s="31">
        <v>1.30192112E8</v>
      </c>
    </row>
    <row r="9" ht="12.75" customHeight="1">
      <c r="A9" s="27">
        <v>119.0</v>
      </c>
      <c r="B9" s="28" t="s">
        <v>52298</v>
      </c>
      <c r="C9" s="27">
        <v>130.0</v>
      </c>
      <c r="D9" s="28" t="s">
        <v>52299</v>
      </c>
      <c r="E9" s="28" t="s">
        <v>52300</v>
      </c>
      <c r="F9" s="27">
        <v>271.0</v>
      </c>
      <c r="G9" s="27">
        <v>1.30192712E8</v>
      </c>
    </row>
    <row r="10" ht="12.75" customHeight="1">
      <c r="A10" s="31">
        <v>119.0</v>
      </c>
      <c r="B10" s="32" t="s">
        <v>52301</v>
      </c>
      <c r="C10" s="31">
        <v>130.0</v>
      </c>
      <c r="D10" s="32" t="s">
        <v>52302</v>
      </c>
      <c r="E10" s="32" t="s">
        <v>52303</v>
      </c>
      <c r="F10" s="31">
        <v>331.0</v>
      </c>
      <c r="G10" s="31">
        <v>1.30193311E8</v>
      </c>
    </row>
    <row r="11" ht="12.75" customHeight="1">
      <c r="A11" s="27">
        <v>119.0</v>
      </c>
      <c r="B11" s="28" t="s">
        <v>52304</v>
      </c>
      <c r="C11" s="27">
        <v>130.0</v>
      </c>
      <c r="D11" s="28" t="s">
        <v>52305</v>
      </c>
      <c r="E11" s="28" t="s">
        <v>52306</v>
      </c>
      <c r="F11" s="27">
        <v>403.0</v>
      </c>
      <c r="G11" s="27">
        <v>1.30194031E8</v>
      </c>
    </row>
    <row r="12" ht="12.75" customHeight="1">
      <c r="A12" s="31">
        <v>222.0</v>
      </c>
      <c r="B12" s="32" t="s">
        <v>52307</v>
      </c>
      <c r="C12" s="31">
        <v>130.0</v>
      </c>
      <c r="D12" s="32" t="s">
        <v>52308</v>
      </c>
      <c r="E12" s="32" t="s">
        <v>52309</v>
      </c>
      <c r="F12" s="33">
        <v>16.0</v>
      </c>
      <c r="G12" s="31">
        <v>1.30220163E8</v>
      </c>
    </row>
    <row r="13" ht="12.75" customHeight="1">
      <c r="A13" s="27">
        <v>126.0</v>
      </c>
      <c r="B13" s="28" t="s">
        <v>52310</v>
      </c>
      <c r="C13" s="27">
        <v>130.0</v>
      </c>
      <c r="D13" s="28" t="s">
        <v>52311</v>
      </c>
      <c r="E13" s="28" t="s">
        <v>52312</v>
      </c>
      <c r="F13" s="29">
        <v>22.0</v>
      </c>
      <c r="G13" s="27">
        <v>1.30260228E8</v>
      </c>
    </row>
    <row r="14" ht="12.75" customHeight="1">
      <c r="A14" s="31">
        <v>126.0</v>
      </c>
      <c r="B14" s="32" t="s">
        <v>52313</v>
      </c>
      <c r="C14" s="31">
        <v>130.0</v>
      </c>
      <c r="D14" s="32" t="s">
        <v>52314</v>
      </c>
      <c r="E14" s="32" t="s">
        <v>52315</v>
      </c>
      <c r="F14" s="33">
        <v>30.0</v>
      </c>
      <c r="G14" s="31">
        <v>1.30260307E8</v>
      </c>
    </row>
    <row r="15" ht="12.75" customHeight="1">
      <c r="A15" s="27">
        <v>126.0</v>
      </c>
      <c r="B15" s="28" t="s">
        <v>52316</v>
      </c>
      <c r="C15" s="27">
        <v>130.0</v>
      </c>
      <c r="D15" s="28" t="s">
        <v>52317</v>
      </c>
      <c r="E15" s="28" t="s">
        <v>52318</v>
      </c>
      <c r="F15" s="29">
        <v>43.0</v>
      </c>
      <c r="G15" s="27">
        <v>1.30260431E8</v>
      </c>
    </row>
    <row r="16" ht="12.75" customHeight="1">
      <c r="A16" s="31">
        <v>126.0</v>
      </c>
      <c r="B16" s="32" t="s">
        <v>52319</v>
      </c>
      <c r="C16" s="31">
        <v>130.0</v>
      </c>
      <c r="D16" s="32" t="s">
        <v>52320</v>
      </c>
      <c r="E16" s="32" t="s">
        <v>52321</v>
      </c>
      <c r="F16" s="33">
        <v>79.0</v>
      </c>
      <c r="G16" s="31">
        <v>1.30260794E8</v>
      </c>
    </row>
    <row r="17" ht="12.75" customHeight="1">
      <c r="A17" s="27">
        <v>126.0</v>
      </c>
      <c r="B17" s="28" t="s">
        <v>52322</v>
      </c>
      <c r="C17" s="27">
        <v>130.0</v>
      </c>
      <c r="D17" s="28" t="s">
        <v>52323</v>
      </c>
      <c r="E17" s="28" t="s">
        <v>52324</v>
      </c>
      <c r="F17" s="29">
        <v>91.0</v>
      </c>
      <c r="G17" s="27">
        <v>1.3026091E8</v>
      </c>
    </row>
    <row r="18" ht="12.75" customHeight="1">
      <c r="A18" s="31">
        <v>126.0</v>
      </c>
      <c r="B18" s="32" t="s">
        <v>52325</v>
      </c>
      <c r="C18" s="31">
        <v>130.0</v>
      </c>
      <c r="D18" s="32" t="s">
        <v>52326</v>
      </c>
      <c r="E18" s="32" t="s">
        <v>52327</v>
      </c>
      <c r="F18" s="31">
        <v>118.0</v>
      </c>
      <c r="G18" s="31">
        <v>1.3026118E8</v>
      </c>
    </row>
    <row r="19" ht="12.75" customHeight="1">
      <c r="A19" s="27">
        <v>126.0</v>
      </c>
      <c r="B19" s="28" t="s">
        <v>52328</v>
      </c>
      <c r="C19" s="27">
        <v>130.0</v>
      </c>
      <c r="D19" s="28" t="s">
        <v>52329</v>
      </c>
      <c r="E19" s="28" t="s">
        <v>52330</v>
      </c>
      <c r="F19" s="27">
        <v>133.0</v>
      </c>
      <c r="G19" s="27">
        <v>1.30261335E8</v>
      </c>
    </row>
    <row r="20" ht="12.75" customHeight="1">
      <c r="A20" s="31">
        <v>126.0</v>
      </c>
      <c r="B20" s="32" t="s">
        <v>52331</v>
      </c>
      <c r="C20" s="31">
        <v>130.0</v>
      </c>
      <c r="D20" s="32" t="s">
        <v>52332</v>
      </c>
      <c r="E20" s="32" t="s">
        <v>52333</v>
      </c>
      <c r="F20" s="31">
        <v>151.0</v>
      </c>
      <c r="G20" s="31">
        <v>1.30261519E8</v>
      </c>
    </row>
    <row r="21" ht="12.75" customHeight="1">
      <c r="A21" s="27">
        <v>126.0</v>
      </c>
      <c r="B21" s="28" t="s">
        <v>52334</v>
      </c>
      <c r="C21" s="27">
        <v>130.0</v>
      </c>
      <c r="D21" s="28" t="s">
        <v>52335</v>
      </c>
      <c r="E21" s="28" t="s">
        <v>52336</v>
      </c>
      <c r="F21" s="27">
        <v>172.0</v>
      </c>
      <c r="G21" s="27">
        <v>1.30261722E8</v>
      </c>
    </row>
    <row r="22" ht="12.75" customHeight="1">
      <c r="A22" s="31">
        <v>126.0</v>
      </c>
      <c r="B22" s="32" t="s">
        <v>52337</v>
      </c>
      <c r="C22" s="31">
        <v>130.0</v>
      </c>
      <c r="D22" s="32" t="s">
        <v>52338</v>
      </c>
      <c r="E22" s="32" t="s">
        <v>52339</v>
      </c>
      <c r="F22" s="31">
        <v>244.0</v>
      </c>
      <c r="G22" s="31">
        <v>1.30262442E8</v>
      </c>
    </row>
    <row r="23" ht="12.75" customHeight="1">
      <c r="A23" s="27">
        <v>126.0</v>
      </c>
      <c r="B23" s="28" t="s">
        <v>52340</v>
      </c>
      <c r="C23" s="27">
        <v>130.0</v>
      </c>
      <c r="D23" s="28" t="s">
        <v>52341</v>
      </c>
      <c r="E23" s="28" t="s">
        <v>52342</v>
      </c>
      <c r="F23" s="27">
        <v>283.0</v>
      </c>
      <c r="G23" s="27">
        <v>1.30262839E8</v>
      </c>
    </row>
    <row r="24" ht="12.75" customHeight="1">
      <c r="A24" s="31">
        <v>126.0</v>
      </c>
      <c r="B24" s="32" t="s">
        <v>52343</v>
      </c>
      <c r="C24" s="31">
        <v>130.0</v>
      </c>
      <c r="D24" s="32" t="s">
        <v>52344</v>
      </c>
      <c r="E24" s="32" t="s">
        <v>52345</v>
      </c>
      <c r="F24" s="31">
        <v>298.0</v>
      </c>
      <c r="G24" s="31">
        <v>1.30262989E8</v>
      </c>
    </row>
    <row r="25" ht="12.75" customHeight="1">
      <c r="A25" s="27">
        <v>126.0</v>
      </c>
      <c r="B25" s="28" t="s">
        <v>52346</v>
      </c>
      <c r="C25" s="27">
        <v>130.0</v>
      </c>
      <c r="D25" s="28" t="s">
        <v>52347</v>
      </c>
      <c r="E25" s="28" t="s">
        <v>52348</v>
      </c>
      <c r="F25" s="27">
        <v>310.0</v>
      </c>
      <c r="G25" s="27">
        <v>1.30263104E8</v>
      </c>
    </row>
    <row r="26" ht="12.75" customHeight="1">
      <c r="A26" s="31">
        <v>126.0</v>
      </c>
      <c r="B26" s="32" t="s">
        <v>52349</v>
      </c>
      <c r="C26" s="31">
        <v>130.0</v>
      </c>
      <c r="D26" s="32" t="s">
        <v>52350</v>
      </c>
      <c r="E26" s="32" t="s">
        <v>52351</v>
      </c>
      <c r="F26" s="31">
        <v>319.0</v>
      </c>
      <c r="G26" s="31">
        <v>1.30263191E8</v>
      </c>
    </row>
    <row r="27" ht="12.75" customHeight="1">
      <c r="A27" s="27">
        <v>126.0</v>
      </c>
      <c r="B27" s="28" t="s">
        <v>52352</v>
      </c>
      <c r="C27" s="27">
        <v>130.0</v>
      </c>
      <c r="D27" s="28" t="s">
        <v>52353</v>
      </c>
      <c r="E27" s="28" t="s">
        <v>52354</v>
      </c>
      <c r="F27" s="27">
        <v>370.0</v>
      </c>
      <c r="G27" s="27">
        <v>1.30263704E8</v>
      </c>
    </row>
    <row r="28" ht="12.75" customHeight="1">
      <c r="A28" s="31">
        <v>126.0</v>
      </c>
      <c r="B28" s="32" t="s">
        <v>52355</v>
      </c>
      <c r="C28" s="31">
        <v>130.0</v>
      </c>
      <c r="D28" s="32" t="s">
        <v>52356</v>
      </c>
      <c r="E28" s="32" t="s">
        <v>52357</v>
      </c>
      <c r="F28" s="31">
        <v>395.0</v>
      </c>
      <c r="G28" s="31">
        <v>1.30263959E8</v>
      </c>
    </row>
    <row r="29" ht="12.75" customHeight="1">
      <c r="A29" s="27">
        <v>126.0</v>
      </c>
      <c r="B29" s="28" t="s">
        <v>52358</v>
      </c>
      <c r="C29" s="27">
        <v>130.0</v>
      </c>
      <c r="D29" s="28" t="s">
        <v>52359</v>
      </c>
      <c r="E29" s="28" t="s">
        <v>52360</v>
      </c>
      <c r="F29" s="27">
        <v>397.0</v>
      </c>
      <c r="G29" s="27">
        <v>1.30263975E8</v>
      </c>
    </row>
    <row r="30" ht="12.75" customHeight="1">
      <c r="A30" s="31">
        <v>126.0</v>
      </c>
      <c r="B30" s="32" t="s">
        <v>52361</v>
      </c>
      <c r="C30" s="31">
        <v>130.0</v>
      </c>
      <c r="D30" s="32" t="s">
        <v>52362</v>
      </c>
      <c r="E30" s="32" t="s">
        <v>52363</v>
      </c>
      <c r="F30" s="31">
        <v>409.0</v>
      </c>
      <c r="G30" s="31">
        <v>1.30264095E8</v>
      </c>
    </row>
    <row r="31" ht="12.75" customHeight="1">
      <c r="A31" s="27">
        <v>126.0</v>
      </c>
      <c r="B31" s="28" t="s">
        <v>52364</v>
      </c>
      <c r="C31" s="27">
        <v>130.0</v>
      </c>
      <c r="D31" s="28" t="s">
        <v>52365</v>
      </c>
      <c r="E31" s="28" t="s">
        <v>52366</v>
      </c>
      <c r="F31" s="27">
        <v>463.0</v>
      </c>
      <c r="G31" s="27">
        <v>1.30264637E8</v>
      </c>
    </row>
    <row r="32" ht="12.75" customHeight="1">
      <c r="A32" s="31">
        <v>127.0</v>
      </c>
      <c r="B32" s="32" t="s">
        <v>52367</v>
      </c>
      <c r="C32" s="31">
        <v>130.0</v>
      </c>
      <c r="D32" s="32" t="s">
        <v>52368</v>
      </c>
      <c r="E32" s="32" t="s">
        <v>52369</v>
      </c>
      <c r="F32" s="33">
        <v>0.0</v>
      </c>
      <c r="G32" s="31">
        <v>1.30270005E8</v>
      </c>
    </row>
    <row r="33" ht="12.75" customHeight="1">
      <c r="A33" s="27">
        <v>127.0</v>
      </c>
      <c r="B33" s="28" t="s">
        <v>52370</v>
      </c>
      <c r="C33" s="27">
        <v>130.0</v>
      </c>
      <c r="D33" s="28" t="s">
        <v>52371</v>
      </c>
      <c r="E33" s="28" t="s">
        <v>52372</v>
      </c>
      <c r="F33" s="29">
        <v>9.0</v>
      </c>
      <c r="G33" s="27">
        <v>1.30270092E8</v>
      </c>
    </row>
    <row r="34" ht="12.75" customHeight="1">
      <c r="A34" s="31">
        <v>127.0</v>
      </c>
      <c r="B34" s="32" t="s">
        <v>52373</v>
      </c>
      <c r="C34" s="31">
        <v>130.0</v>
      </c>
      <c r="D34" s="32" t="s">
        <v>52374</v>
      </c>
      <c r="E34" s="32" t="s">
        <v>52375</v>
      </c>
      <c r="F34" s="33">
        <v>13.0</v>
      </c>
      <c r="G34" s="31">
        <v>1.30270139E8</v>
      </c>
    </row>
    <row r="35" ht="12.75" customHeight="1">
      <c r="A35" s="27">
        <v>127.0</v>
      </c>
      <c r="B35" s="28" t="s">
        <v>52376</v>
      </c>
      <c r="C35" s="27">
        <v>130.0</v>
      </c>
      <c r="D35" s="28" t="s">
        <v>52377</v>
      </c>
      <c r="E35" s="28" t="s">
        <v>52378</v>
      </c>
      <c r="F35" s="27">
        <v>184.0</v>
      </c>
      <c r="G35" s="27">
        <v>1.30271846E8</v>
      </c>
    </row>
    <row r="36" ht="12.75" customHeight="1">
      <c r="A36" s="31">
        <v>127.0</v>
      </c>
      <c r="B36" s="32" t="s">
        <v>52379</v>
      </c>
      <c r="C36" s="31">
        <v>130.0</v>
      </c>
      <c r="D36" s="32" t="s">
        <v>52380</v>
      </c>
      <c r="E36" s="32" t="s">
        <v>52381</v>
      </c>
      <c r="F36" s="31">
        <v>190.0</v>
      </c>
      <c r="G36" s="31">
        <v>1.30271909E8</v>
      </c>
    </row>
    <row r="37" ht="12.75" customHeight="1">
      <c r="A37" s="27">
        <v>127.0</v>
      </c>
      <c r="B37" s="28" t="s">
        <v>52382</v>
      </c>
      <c r="C37" s="27">
        <v>130.0</v>
      </c>
      <c r="D37" s="28" t="s">
        <v>52383</v>
      </c>
      <c r="E37" s="28" t="s">
        <v>52384</v>
      </c>
      <c r="F37" s="27">
        <v>232.0</v>
      </c>
      <c r="G37" s="27">
        <v>1.30272324E8</v>
      </c>
    </row>
    <row r="38" ht="12.75" customHeight="1">
      <c r="A38" s="31">
        <v>127.0</v>
      </c>
      <c r="B38" s="32" t="s">
        <v>52385</v>
      </c>
      <c r="C38" s="31">
        <v>130.0</v>
      </c>
      <c r="D38" s="32" t="s">
        <v>52386</v>
      </c>
      <c r="E38" s="32" t="s">
        <v>52387</v>
      </c>
      <c r="F38" s="31">
        <v>268.0</v>
      </c>
      <c r="G38" s="31">
        <v>1.30272687E8</v>
      </c>
    </row>
    <row r="39" ht="12.75" customHeight="1">
      <c r="A39" s="27">
        <v>127.0</v>
      </c>
      <c r="B39" s="28" t="s">
        <v>52388</v>
      </c>
      <c r="C39" s="27">
        <v>130.0</v>
      </c>
      <c r="D39" s="28" t="s">
        <v>52389</v>
      </c>
      <c r="E39" s="28" t="s">
        <v>52390</v>
      </c>
      <c r="F39" s="27">
        <v>298.0</v>
      </c>
      <c r="G39" s="27">
        <v>1.30272982E8</v>
      </c>
    </row>
    <row r="40" ht="12.75" customHeight="1">
      <c r="A40" s="31">
        <v>127.0</v>
      </c>
      <c r="B40" s="32" t="s">
        <v>52391</v>
      </c>
      <c r="C40" s="31">
        <v>130.0</v>
      </c>
      <c r="D40" s="32" t="s">
        <v>52392</v>
      </c>
      <c r="E40" s="32" t="s">
        <v>52393</v>
      </c>
      <c r="F40" s="31">
        <v>332.0</v>
      </c>
      <c r="G40" s="31">
        <v>1.30273323E8</v>
      </c>
    </row>
    <row r="41" ht="12.75" customHeight="1">
      <c r="A41" s="27">
        <v>127.0</v>
      </c>
      <c r="B41" s="28" t="s">
        <v>52394</v>
      </c>
      <c r="C41" s="27">
        <v>130.0</v>
      </c>
      <c r="D41" s="28" t="s">
        <v>52395</v>
      </c>
      <c r="E41" s="28" t="s">
        <v>52396</v>
      </c>
      <c r="F41" s="27">
        <v>394.0</v>
      </c>
      <c r="G41" s="27">
        <v>1.30273949E8</v>
      </c>
    </row>
    <row r="42" ht="12.75" customHeight="1">
      <c r="A42" s="31">
        <v>127.0</v>
      </c>
      <c r="B42" s="32" t="s">
        <v>52397</v>
      </c>
      <c r="C42" s="31">
        <v>130.0</v>
      </c>
      <c r="D42" s="32" t="s">
        <v>52398</v>
      </c>
      <c r="E42" s="32" t="s">
        <v>52399</v>
      </c>
      <c r="F42" s="31">
        <v>424.0</v>
      </c>
      <c r="G42" s="31">
        <v>1.30274243E8</v>
      </c>
    </row>
    <row r="43" ht="12.75" customHeight="1">
      <c r="A43" s="27">
        <v>127.0</v>
      </c>
      <c r="B43" s="28" t="s">
        <v>52400</v>
      </c>
      <c r="C43" s="27">
        <v>130.0</v>
      </c>
      <c r="D43" s="28" t="s">
        <v>52401</v>
      </c>
      <c r="E43" s="28" t="s">
        <v>52402</v>
      </c>
      <c r="F43" s="27">
        <v>442.0</v>
      </c>
      <c r="G43" s="27">
        <v>1.30274427E8</v>
      </c>
    </row>
    <row r="44" ht="12.75" customHeight="1">
      <c r="A44" s="31">
        <v>127.0</v>
      </c>
      <c r="B44" s="32" t="s">
        <v>52403</v>
      </c>
      <c r="C44" s="31">
        <v>130.0</v>
      </c>
      <c r="D44" s="32" t="s">
        <v>52404</v>
      </c>
      <c r="E44" s="32" t="s">
        <v>52405</v>
      </c>
      <c r="F44" s="31">
        <v>484.0</v>
      </c>
      <c r="G44" s="31">
        <v>1.30274843E8</v>
      </c>
    </row>
    <row r="45" ht="12.75" customHeight="1">
      <c r="A45" s="27">
        <v>127.0</v>
      </c>
      <c r="B45" s="28" t="s">
        <v>52406</v>
      </c>
      <c r="C45" s="27">
        <v>130.0</v>
      </c>
      <c r="D45" s="28" t="s">
        <v>52407</v>
      </c>
      <c r="E45" s="28" t="s">
        <v>52408</v>
      </c>
      <c r="F45" s="27">
        <v>634.0</v>
      </c>
      <c r="G45" s="27">
        <v>1.30276346E8</v>
      </c>
    </row>
    <row r="46" ht="12.75" customHeight="1">
      <c r="A46" s="31">
        <v>127.0</v>
      </c>
      <c r="B46" s="32" t="s">
        <v>52409</v>
      </c>
      <c r="C46" s="31">
        <v>130.0</v>
      </c>
      <c r="D46" s="32" t="s">
        <v>52410</v>
      </c>
      <c r="E46" s="32" t="s">
        <v>52411</v>
      </c>
      <c r="F46" s="31">
        <v>658.0</v>
      </c>
      <c r="G46" s="31">
        <v>1.30276588E8</v>
      </c>
    </row>
    <row r="47" ht="12.75" customHeight="1">
      <c r="A47" s="27">
        <v>728.0</v>
      </c>
      <c r="B47" s="28" t="s">
        <v>52412</v>
      </c>
      <c r="C47" s="27">
        <v>130.0</v>
      </c>
      <c r="D47" s="28" t="s">
        <v>52413</v>
      </c>
      <c r="E47" s="28" t="s">
        <v>52414</v>
      </c>
      <c r="F47" s="29">
        <v>67.0</v>
      </c>
      <c r="G47" s="27">
        <v>1.30280679E8</v>
      </c>
    </row>
    <row r="48" ht="12.75" customHeight="1">
      <c r="A48" s="31">
        <v>728.0</v>
      </c>
      <c r="B48" s="32" t="s">
        <v>52415</v>
      </c>
      <c r="C48" s="31">
        <v>130.0</v>
      </c>
      <c r="D48" s="32" t="s">
        <v>52416</v>
      </c>
      <c r="E48" s="32" t="s">
        <v>52417</v>
      </c>
      <c r="F48" s="31">
        <v>217.0</v>
      </c>
      <c r="G48" s="31">
        <v>1.30282172E8</v>
      </c>
    </row>
    <row r="49" ht="12.75" customHeight="1">
      <c r="A49" s="27">
        <v>329.0</v>
      </c>
      <c r="B49" s="28" t="s">
        <v>52418</v>
      </c>
      <c r="C49" s="27">
        <v>130.0</v>
      </c>
      <c r="D49" s="28" t="s">
        <v>52419</v>
      </c>
      <c r="E49" s="28" t="s">
        <v>52420</v>
      </c>
      <c r="F49" s="29">
        <v>52.0</v>
      </c>
      <c r="G49" s="27">
        <v>1.30290522E8</v>
      </c>
    </row>
    <row r="50" ht="12.75" customHeight="1">
      <c r="A50" s="31">
        <v>230.0</v>
      </c>
      <c r="B50" s="32" t="s">
        <v>52421</v>
      </c>
      <c r="C50" s="31">
        <v>130.0</v>
      </c>
      <c r="D50" s="32" t="s">
        <v>52422</v>
      </c>
      <c r="E50" s="32" t="s">
        <v>52423</v>
      </c>
      <c r="F50" s="33">
        <v>52.0</v>
      </c>
      <c r="G50" s="31">
        <v>1.3030052E8</v>
      </c>
    </row>
    <row r="51" ht="12.75" customHeight="1">
      <c r="A51" s="27">
        <v>133.0</v>
      </c>
      <c r="B51" s="28" t="s">
        <v>52424</v>
      </c>
      <c r="C51" s="27">
        <v>130.0</v>
      </c>
      <c r="D51" s="28" t="s">
        <v>52425</v>
      </c>
      <c r="E51" s="28" t="s">
        <v>52426</v>
      </c>
      <c r="F51" s="29">
        <v>40.0</v>
      </c>
      <c r="G51" s="27">
        <v>1.30330408E8</v>
      </c>
    </row>
    <row r="52" ht="12.75" customHeight="1">
      <c r="A52" s="31">
        <v>133.0</v>
      </c>
      <c r="B52" s="32" t="s">
        <v>52427</v>
      </c>
      <c r="C52" s="31">
        <v>130.0</v>
      </c>
      <c r="D52" s="32" t="s">
        <v>52428</v>
      </c>
      <c r="E52" s="32" t="s">
        <v>52429</v>
      </c>
      <c r="F52" s="33">
        <v>55.0</v>
      </c>
      <c r="G52" s="31">
        <v>1.30330558E8</v>
      </c>
    </row>
    <row r="53" ht="12.75" customHeight="1">
      <c r="A53" s="27">
        <v>133.0</v>
      </c>
      <c r="B53" s="28" t="s">
        <v>52430</v>
      </c>
      <c r="C53" s="27">
        <v>130.0</v>
      </c>
      <c r="D53" s="28" t="s">
        <v>52431</v>
      </c>
      <c r="E53" s="28" t="s">
        <v>52432</v>
      </c>
      <c r="F53" s="29">
        <v>94.0</v>
      </c>
      <c r="G53" s="27">
        <v>1.30330945E8</v>
      </c>
    </row>
    <row r="54" ht="12.75" customHeight="1">
      <c r="A54" s="31">
        <v>133.0</v>
      </c>
      <c r="B54" s="32" t="s">
        <v>52433</v>
      </c>
      <c r="C54" s="31">
        <v>130.0</v>
      </c>
      <c r="D54" s="32" t="s">
        <v>52434</v>
      </c>
      <c r="E54" s="32" t="s">
        <v>52435</v>
      </c>
      <c r="F54" s="31">
        <v>100.0</v>
      </c>
      <c r="G54" s="31">
        <v>1.30331007E8</v>
      </c>
    </row>
    <row r="55" ht="12.75" customHeight="1">
      <c r="A55" s="27">
        <v>133.0</v>
      </c>
      <c r="B55" s="28" t="s">
        <v>52436</v>
      </c>
      <c r="C55" s="27">
        <v>130.0</v>
      </c>
      <c r="D55" s="28" t="s">
        <v>52437</v>
      </c>
      <c r="E55" s="28" t="s">
        <v>52438</v>
      </c>
      <c r="F55" s="27">
        <v>163.0</v>
      </c>
      <c r="G55" s="27">
        <v>1.30331636E8</v>
      </c>
    </row>
    <row r="56" ht="12.75" customHeight="1">
      <c r="A56" s="31">
        <v>435.0</v>
      </c>
      <c r="B56" s="32" t="s">
        <v>52439</v>
      </c>
      <c r="C56" s="31">
        <v>130.0</v>
      </c>
      <c r="D56" s="32" t="s">
        <v>52440</v>
      </c>
      <c r="E56" s="32" t="s">
        <v>52441</v>
      </c>
      <c r="F56" s="33">
        <v>37.0</v>
      </c>
      <c r="G56" s="31">
        <v>1.3035037E8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441.0</v>
      </c>
      <c r="B1" s="28" t="s">
        <v>52442</v>
      </c>
      <c r="C1" s="27">
        <v>130.0</v>
      </c>
      <c r="D1" s="28" t="s">
        <v>52443</v>
      </c>
      <c r="E1" s="28" t="s">
        <v>52444</v>
      </c>
      <c r="F1" s="29">
        <v>94.0</v>
      </c>
      <c r="G1" s="27">
        <v>1.30410944E8</v>
      </c>
    </row>
    <row r="2" ht="12.75" customHeight="1">
      <c r="A2" s="31">
        <v>447.0</v>
      </c>
      <c r="B2" s="32" t="s">
        <v>52445</v>
      </c>
      <c r="C2" s="31">
        <v>130.0</v>
      </c>
      <c r="D2" s="32" t="s">
        <v>52446</v>
      </c>
      <c r="E2" s="32" t="s">
        <v>52447</v>
      </c>
      <c r="F2" s="31">
        <v>154.0</v>
      </c>
      <c r="G2" s="31">
        <v>1.30471541E8</v>
      </c>
    </row>
    <row r="3" ht="12.75" customHeight="1">
      <c r="A3" s="27">
        <v>450.0</v>
      </c>
      <c r="B3" s="28" t="s">
        <v>52448</v>
      </c>
      <c r="C3" s="27">
        <v>130.0</v>
      </c>
      <c r="D3" s="28" t="s">
        <v>52449</v>
      </c>
      <c r="E3" s="28" t="s">
        <v>52450</v>
      </c>
      <c r="F3" s="29">
        <v>94.0</v>
      </c>
      <c r="G3" s="27">
        <v>1.30500946E8</v>
      </c>
    </row>
    <row r="4" ht="12.75" customHeight="1">
      <c r="A4" s="31">
        <v>251.0</v>
      </c>
      <c r="B4" s="32" t="s">
        <v>52451</v>
      </c>
      <c r="C4" s="31">
        <v>130.0</v>
      </c>
      <c r="D4" s="32" t="s">
        <v>52452</v>
      </c>
      <c r="E4" s="32" t="s">
        <v>52453</v>
      </c>
      <c r="F4" s="33">
        <v>97.0</v>
      </c>
      <c r="G4" s="31">
        <v>1.30510978E8</v>
      </c>
    </row>
    <row r="5" ht="12.75" customHeight="1">
      <c r="A5" s="27">
        <v>354.0</v>
      </c>
      <c r="B5" s="28" t="s">
        <v>52454</v>
      </c>
      <c r="C5" s="27">
        <v>130.0</v>
      </c>
      <c r="D5" s="28" t="s">
        <v>52455</v>
      </c>
      <c r="E5" s="28" t="s">
        <v>52456</v>
      </c>
      <c r="F5" s="29">
        <v>41.0</v>
      </c>
      <c r="G5" s="27">
        <v>1.30540414E8</v>
      </c>
    </row>
    <row r="6" ht="12.75" customHeight="1">
      <c r="A6" s="31">
        <v>858.0</v>
      </c>
      <c r="B6" s="32" t="s">
        <v>52457</v>
      </c>
      <c r="C6" s="31">
        <v>130.0</v>
      </c>
      <c r="D6" s="32" t="s">
        <v>52458</v>
      </c>
      <c r="E6" s="32" t="s">
        <v>52459</v>
      </c>
      <c r="F6" s="31">
        <v>119.0</v>
      </c>
      <c r="G6" s="31">
        <v>1.30581194E8</v>
      </c>
    </row>
    <row r="7" ht="12.75" customHeight="1">
      <c r="A7" s="27">
        <v>159.0</v>
      </c>
      <c r="B7" s="28" t="s">
        <v>52460</v>
      </c>
      <c r="C7" s="27">
        <v>130.0</v>
      </c>
      <c r="D7" s="28" t="s">
        <v>52461</v>
      </c>
      <c r="E7" s="28" t="s">
        <v>52462</v>
      </c>
      <c r="F7" s="29">
        <v>10.0</v>
      </c>
      <c r="G7" s="27">
        <v>1.30590101E8</v>
      </c>
    </row>
    <row r="8" ht="12.75" customHeight="1">
      <c r="A8" s="31">
        <v>159.0</v>
      </c>
      <c r="B8" s="32" t="s">
        <v>52463</v>
      </c>
      <c r="C8" s="31">
        <v>130.0</v>
      </c>
      <c r="D8" s="32" t="s">
        <v>52464</v>
      </c>
      <c r="E8" s="32" t="s">
        <v>52465</v>
      </c>
      <c r="F8" s="33">
        <v>28.0</v>
      </c>
      <c r="G8" s="31">
        <v>1.3059028E8</v>
      </c>
    </row>
    <row r="9" ht="12.75" customHeight="1">
      <c r="A9" s="27">
        <v>159.0</v>
      </c>
      <c r="B9" s="28" t="s">
        <v>52466</v>
      </c>
      <c r="C9" s="27">
        <v>130.0</v>
      </c>
      <c r="D9" s="28" t="s">
        <v>52467</v>
      </c>
      <c r="E9" s="28" t="s">
        <v>52468</v>
      </c>
      <c r="F9" s="27">
        <v>104.0</v>
      </c>
      <c r="G9" s="27">
        <v>1.30591047E8</v>
      </c>
    </row>
    <row r="10" ht="12.75" customHeight="1">
      <c r="A10" s="31">
        <v>159.0</v>
      </c>
      <c r="B10" s="32" t="s">
        <v>52469</v>
      </c>
      <c r="C10" s="31">
        <v>130.0</v>
      </c>
      <c r="D10" s="32" t="s">
        <v>52470</v>
      </c>
      <c r="E10" s="32" t="s">
        <v>52471</v>
      </c>
      <c r="F10" s="31">
        <v>142.0</v>
      </c>
      <c r="G10" s="31">
        <v>1.30591421E8</v>
      </c>
    </row>
    <row r="11" ht="12.75" customHeight="1">
      <c r="A11" s="27">
        <v>159.0</v>
      </c>
      <c r="B11" s="28" t="s">
        <v>52472</v>
      </c>
      <c r="C11" s="27">
        <v>130.0</v>
      </c>
      <c r="D11" s="28" t="s">
        <v>52473</v>
      </c>
      <c r="E11" s="28" t="s">
        <v>52474</v>
      </c>
      <c r="F11" s="27">
        <v>154.0</v>
      </c>
      <c r="G11" s="27">
        <v>1.30591542E8</v>
      </c>
    </row>
    <row r="12" ht="12.75" customHeight="1">
      <c r="A12" s="31">
        <v>161.0</v>
      </c>
      <c r="B12" s="32" t="s">
        <v>52475</v>
      </c>
      <c r="C12" s="31">
        <v>130.0</v>
      </c>
      <c r="D12" s="32" t="s">
        <v>52476</v>
      </c>
      <c r="E12" s="32" t="s">
        <v>52477</v>
      </c>
      <c r="F12" s="31">
        <v>175.0</v>
      </c>
      <c r="G12" s="31">
        <v>1.30611756E8</v>
      </c>
    </row>
    <row r="13" ht="12.75" customHeight="1">
      <c r="A13" s="27">
        <v>564.0</v>
      </c>
      <c r="B13" s="28" t="s">
        <v>52478</v>
      </c>
      <c r="C13" s="27">
        <v>130.0</v>
      </c>
      <c r="D13" s="28" t="s">
        <v>52479</v>
      </c>
      <c r="E13" s="28" t="s">
        <v>52480</v>
      </c>
      <c r="F13" s="27">
        <v>100.0</v>
      </c>
      <c r="G13" s="27">
        <v>1.30641005E8</v>
      </c>
    </row>
    <row r="14" ht="12.75" customHeight="1">
      <c r="A14" s="31">
        <v>564.0</v>
      </c>
      <c r="B14" s="32" t="s">
        <v>52481</v>
      </c>
      <c r="C14" s="31">
        <v>130.0</v>
      </c>
      <c r="D14" s="32" t="s">
        <v>52482</v>
      </c>
      <c r="E14" s="32" t="s">
        <v>52483</v>
      </c>
      <c r="F14" s="31">
        <v>109.0</v>
      </c>
      <c r="G14" s="31">
        <v>1.30641092E8</v>
      </c>
    </row>
    <row r="15" ht="12.75" customHeight="1">
      <c r="A15" s="27">
        <v>564.0</v>
      </c>
      <c r="B15" s="28" t="s">
        <v>52484</v>
      </c>
      <c r="C15" s="27">
        <v>130.0</v>
      </c>
      <c r="D15" s="28" t="s">
        <v>52485</v>
      </c>
      <c r="E15" s="28" t="s">
        <v>52486</v>
      </c>
      <c r="F15" s="27">
        <v>118.0</v>
      </c>
      <c r="G15" s="27">
        <v>1.30641184E8</v>
      </c>
    </row>
    <row r="16" ht="12.75" customHeight="1">
      <c r="A16" s="31">
        <v>167.0</v>
      </c>
      <c r="B16" s="32" t="s">
        <v>52487</v>
      </c>
      <c r="C16" s="31">
        <v>130.0</v>
      </c>
      <c r="D16" s="32" t="s">
        <v>52488</v>
      </c>
      <c r="E16" s="32" t="s">
        <v>52489</v>
      </c>
      <c r="F16" s="33">
        <v>18.0</v>
      </c>
      <c r="G16" s="31">
        <v>1.30670184E8</v>
      </c>
    </row>
    <row r="17" ht="12.75" customHeight="1">
      <c r="A17" s="27">
        <v>167.0</v>
      </c>
      <c r="B17" s="28" t="s">
        <v>52490</v>
      </c>
      <c r="C17" s="27">
        <v>130.0</v>
      </c>
      <c r="D17" s="28" t="s">
        <v>52491</v>
      </c>
      <c r="E17" s="28" t="s">
        <v>52492</v>
      </c>
      <c r="F17" s="29">
        <v>22.0</v>
      </c>
      <c r="G17" s="27">
        <v>1.30670221E8</v>
      </c>
    </row>
    <row r="18" ht="12.75" customHeight="1">
      <c r="A18" s="31">
        <v>167.0</v>
      </c>
      <c r="B18" s="32" t="s">
        <v>52493</v>
      </c>
      <c r="C18" s="31">
        <v>130.0</v>
      </c>
      <c r="D18" s="32" t="s">
        <v>52494</v>
      </c>
      <c r="E18" s="32" t="s">
        <v>52495</v>
      </c>
      <c r="F18" s="33">
        <v>79.0</v>
      </c>
      <c r="G18" s="31">
        <v>1.30670797E8</v>
      </c>
    </row>
    <row r="19" ht="12.75" customHeight="1">
      <c r="A19" s="27">
        <v>167.0</v>
      </c>
      <c r="B19" s="28" t="s">
        <v>52496</v>
      </c>
      <c r="C19" s="27">
        <v>130.0</v>
      </c>
      <c r="D19" s="28" t="s">
        <v>52497</v>
      </c>
      <c r="E19" s="28" t="s">
        <v>52498</v>
      </c>
      <c r="F19" s="29">
        <v>82.0</v>
      </c>
      <c r="G19" s="27">
        <v>1.30670821E8</v>
      </c>
    </row>
    <row r="20" ht="12.75" customHeight="1">
      <c r="A20" s="31">
        <v>167.0</v>
      </c>
      <c r="B20" s="32" t="s">
        <v>52499</v>
      </c>
      <c r="C20" s="31">
        <v>130.0</v>
      </c>
      <c r="D20" s="32" t="s">
        <v>52500</v>
      </c>
      <c r="E20" s="32" t="s">
        <v>52501</v>
      </c>
      <c r="F20" s="31">
        <v>112.0</v>
      </c>
      <c r="G20" s="31">
        <v>1.30671125E8</v>
      </c>
    </row>
    <row r="21" ht="12.75" customHeight="1">
      <c r="A21" s="27">
        <v>167.0</v>
      </c>
      <c r="B21" s="28" t="s">
        <v>52502</v>
      </c>
      <c r="C21" s="27">
        <v>130.0</v>
      </c>
      <c r="D21" s="28" t="s">
        <v>52503</v>
      </c>
      <c r="E21" s="28" t="s">
        <v>52504</v>
      </c>
      <c r="F21" s="27">
        <v>118.0</v>
      </c>
      <c r="G21" s="27">
        <v>1.30671183E8</v>
      </c>
    </row>
    <row r="22" ht="12.75" customHeight="1">
      <c r="A22" s="31">
        <v>167.0</v>
      </c>
      <c r="B22" s="32" t="s">
        <v>52505</v>
      </c>
      <c r="C22" s="31">
        <v>130.0</v>
      </c>
      <c r="D22" s="32" t="s">
        <v>52506</v>
      </c>
      <c r="E22" s="32" t="s">
        <v>52507</v>
      </c>
      <c r="F22" s="31">
        <v>145.0</v>
      </c>
      <c r="G22" s="31">
        <v>1.30671459E8</v>
      </c>
    </row>
    <row r="23" ht="12.75" customHeight="1">
      <c r="A23" s="27">
        <v>167.0</v>
      </c>
      <c r="B23" s="28" t="s">
        <v>52508</v>
      </c>
      <c r="C23" s="27">
        <v>130.0</v>
      </c>
      <c r="D23" s="28" t="s">
        <v>52509</v>
      </c>
      <c r="E23" s="28" t="s">
        <v>52510</v>
      </c>
      <c r="F23" s="27">
        <v>178.0</v>
      </c>
      <c r="G23" s="27">
        <v>1.30671783E8</v>
      </c>
    </row>
    <row r="24" ht="12.75" customHeight="1">
      <c r="A24" s="31">
        <v>167.0</v>
      </c>
      <c r="B24" s="32" t="s">
        <v>52511</v>
      </c>
      <c r="C24" s="31">
        <v>130.0</v>
      </c>
      <c r="D24" s="32" t="s">
        <v>52512</v>
      </c>
      <c r="E24" s="32" t="s">
        <v>52513</v>
      </c>
      <c r="F24" s="31">
        <v>448.0</v>
      </c>
      <c r="G24" s="31">
        <v>1.30674485E8</v>
      </c>
    </row>
    <row r="25" ht="12.75" customHeight="1">
      <c r="A25" s="27">
        <v>168.0</v>
      </c>
      <c r="B25" s="28" t="s">
        <v>52514</v>
      </c>
      <c r="C25" s="27">
        <v>130.0</v>
      </c>
      <c r="D25" s="28" t="s">
        <v>52515</v>
      </c>
      <c r="E25" s="28" t="s">
        <v>52516</v>
      </c>
      <c r="F25" s="29">
        <v>67.0</v>
      </c>
      <c r="G25" s="27">
        <v>1.30680679E8</v>
      </c>
    </row>
    <row r="26" ht="12.75" customHeight="1">
      <c r="A26" s="31">
        <v>569.0</v>
      </c>
      <c r="B26" s="32" t="s">
        <v>52517</v>
      </c>
      <c r="C26" s="31">
        <v>130.0</v>
      </c>
      <c r="D26" s="32" t="s">
        <v>52518</v>
      </c>
      <c r="E26" s="32" t="s">
        <v>52519</v>
      </c>
      <c r="F26" s="31">
        <v>109.0</v>
      </c>
      <c r="G26" s="31">
        <v>1.30691097E8</v>
      </c>
    </row>
    <row r="27" ht="12.75" customHeight="1">
      <c r="A27" s="27">
        <v>570.0</v>
      </c>
      <c r="B27" s="28" t="s">
        <v>52520</v>
      </c>
      <c r="C27" s="27">
        <v>130.0</v>
      </c>
      <c r="D27" s="28" t="s">
        <v>52521</v>
      </c>
      <c r="E27" s="28" t="s">
        <v>52522</v>
      </c>
      <c r="F27" s="29">
        <v>26.0</v>
      </c>
      <c r="G27" s="27">
        <v>1.30700267E8</v>
      </c>
    </row>
    <row r="28" ht="12.75" customHeight="1">
      <c r="A28" s="31">
        <v>172.0</v>
      </c>
      <c r="B28" s="32" t="s">
        <v>52523</v>
      </c>
      <c r="C28" s="31">
        <v>130.0</v>
      </c>
      <c r="D28" s="32" t="s">
        <v>52524</v>
      </c>
      <c r="E28" s="32" t="s">
        <v>52525</v>
      </c>
      <c r="F28" s="33">
        <v>73.0</v>
      </c>
      <c r="G28" s="31">
        <v>1.30720739E8</v>
      </c>
    </row>
    <row r="29" ht="12.75" customHeight="1">
      <c r="A29" s="27">
        <v>275.0</v>
      </c>
      <c r="B29" s="28" t="s">
        <v>52526</v>
      </c>
      <c r="C29" s="27">
        <v>130.0</v>
      </c>
      <c r="D29" s="28" t="s">
        <v>52527</v>
      </c>
      <c r="E29" s="28" t="s">
        <v>52528</v>
      </c>
      <c r="F29" s="29">
        <v>25.0</v>
      </c>
      <c r="G29" s="27">
        <v>1.30750259E8</v>
      </c>
    </row>
    <row r="30" ht="12.75" customHeight="1">
      <c r="A30" s="31">
        <v>275.0</v>
      </c>
      <c r="B30" s="32" t="s">
        <v>52529</v>
      </c>
      <c r="C30" s="31">
        <v>130.0</v>
      </c>
      <c r="D30" s="32" t="s">
        <v>52530</v>
      </c>
      <c r="E30" s="32" t="s">
        <v>52531</v>
      </c>
      <c r="F30" s="33">
        <v>34.0</v>
      </c>
      <c r="G30" s="31">
        <v>1.30750341E8</v>
      </c>
    </row>
    <row r="31" ht="12.75" customHeight="1">
      <c r="A31" s="27">
        <v>576.0</v>
      </c>
      <c r="B31" s="28" t="s">
        <v>52532</v>
      </c>
      <c r="C31" s="27">
        <v>130.0</v>
      </c>
      <c r="D31" s="28" t="s">
        <v>52533</v>
      </c>
      <c r="E31" s="28" t="s">
        <v>52534</v>
      </c>
      <c r="F31" s="27">
        <v>178.0</v>
      </c>
      <c r="G31" s="27">
        <v>1.30761785E8</v>
      </c>
    </row>
    <row r="32" ht="12.75" customHeight="1">
      <c r="A32" s="31">
        <v>581.0</v>
      </c>
      <c r="B32" s="32" t="s">
        <v>52535</v>
      </c>
      <c r="C32" s="31">
        <v>130.0</v>
      </c>
      <c r="D32" s="32" t="s">
        <v>52536</v>
      </c>
      <c r="E32" s="32" t="s">
        <v>52537</v>
      </c>
      <c r="F32" s="33">
        <v>34.0</v>
      </c>
      <c r="G32" s="31">
        <v>1.30810344E8</v>
      </c>
    </row>
    <row r="33" ht="12.75" customHeight="1">
      <c r="A33" s="27">
        <v>581.0</v>
      </c>
      <c r="B33" s="28" t="s">
        <v>52538</v>
      </c>
      <c r="C33" s="27">
        <v>130.0</v>
      </c>
      <c r="D33" s="28" t="s">
        <v>52539</v>
      </c>
      <c r="E33" s="28" t="s">
        <v>52540</v>
      </c>
      <c r="F33" s="27">
        <v>193.0</v>
      </c>
      <c r="G33" s="27">
        <v>1.3081193E8</v>
      </c>
    </row>
    <row r="34" ht="12.75" customHeight="1">
      <c r="A34" s="31">
        <v>785.0</v>
      </c>
      <c r="B34" s="32" t="s">
        <v>52541</v>
      </c>
      <c r="C34" s="31">
        <v>130.0</v>
      </c>
      <c r="D34" s="32" t="s">
        <v>52542</v>
      </c>
      <c r="E34" s="32" t="s">
        <v>52543</v>
      </c>
      <c r="F34" s="33">
        <v>76.0</v>
      </c>
      <c r="G34" s="31">
        <v>1.30850762E8</v>
      </c>
    </row>
    <row r="35" ht="12.75" customHeight="1">
      <c r="A35" s="27">
        <v>785.0</v>
      </c>
      <c r="B35" s="28" t="s">
        <v>52544</v>
      </c>
      <c r="C35" s="27">
        <v>130.0</v>
      </c>
      <c r="D35" s="28" t="s">
        <v>52545</v>
      </c>
      <c r="E35" s="28" t="s">
        <v>52546</v>
      </c>
      <c r="F35" s="27">
        <v>133.0</v>
      </c>
      <c r="G35" s="27">
        <v>1.30851332E8</v>
      </c>
    </row>
    <row r="36" ht="12.75" customHeight="1">
      <c r="A36" s="31">
        <v>785.0</v>
      </c>
      <c r="B36" s="32" t="s">
        <v>52547</v>
      </c>
      <c r="C36" s="31">
        <v>130.0</v>
      </c>
      <c r="D36" s="32" t="s">
        <v>52548</v>
      </c>
      <c r="E36" s="32" t="s">
        <v>52549</v>
      </c>
      <c r="F36" s="31">
        <v>145.0</v>
      </c>
      <c r="G36" s="31">
        <v>1.30851453E8</v>
      </c>
    </row>
    <row r="37" ht="12.75" customHeight="1">
      <c r="A37" s="27">
        <v>688.0</v>
      </c>
      <c r="B37" s="28" t="s">
        <v>52550</v>
      </c>
      <c r="C37" s="27">
        <v>130.0</v>
      </c>
      <c r="D37" s="28" t="s">
        <v>52551</v>
      </c>
      <c r="E37" s="28" t="s">
        <v>52552</v>
      </c>
      <c r="F37" s="27">
        <v>109.0</v>
      </c>
      <c r="G37" s="27">
        <v>1.30881094E8</v>
      </c>
    </row>
    <row r="38" ht="12.75" customHeight="1">
      <c r="A38" s="31">
        <v>688.0</v>
      </c>
      <c r="B38" s="32" t="s">
        <v>52553</v>
      </c>
      <c r="C38" s="31">
        <v>130.0</v>
      </c>
      <c r="D38" s="32" t="s">
        <v>52554</v>
      </c>
      <c r="E38" s="32" t="s">
        <v>52555</v>
      </c>
      <c r="F38" s="31">
        <v>187.0</v>
      </c>
      <c r="G38" s="31">
        <v>1.30881878E8</v>
      </c>
    </row>
    <row r="39" ht="12.75" customHeight="1">
      <c r="A39" s="27">
        <v>189.0</v>
      </c>
      <c r="B39" s="28" t="s">
        <v>52556</v>
      </c>
      <c r="C39" s="27">
        <v>130.0</v>
      </c>
      <c r="D39" s="28" t="s">
        <v>52557</v>
      </c>
      <c r="E39" s="28" t="s">
        <v>52558</v>
      </c>
      <c r="F39" s="29">
        <v>55.0</v>
      </c>
      <c r="G39" s="27">
        <v>1.30890551E8</v>
      </c>
    </row>
    <row r="40" ht="12.75" customHeight="1">
      <c r="A40" s="31">
        <v>891.0</v>
      </c>
      <c r="B40" s="32" t="s">
        <v>52559</v>
      </c>
      <c r="C40" s="31">
        <v>130.0</v>
      </c>
      <c r="D40" s="32" t="s">
        <v>52560</v>
      </c>
      <c r="E40" s="32" t="s">
        <v>52561</v>
      </c>
      <c r="F40" s="33">
        <v>31.0</v>
      </c>
      <c r="G40" s="31">
        <v>1.3091031E8</v>
      </c>
    </row>
    <row r="41" ht="12.75" customHeight="1">
      <c r="A41" s="27">
        <v>891.0</v>
      </c>
      <c r="B41" s="28" t="s">
        <v>52562</v>
      </c>
      <c r="C41" s="27">
        <v>130.0</v>
      </c>
      <c r="D41" s="28" t="s">
        <v>52563</v>
      </c>
      <c r="E41" s="28" t="s">
        <v>52564</v>
      </c>
      <c r="F41" s="27">
        <v>154.0</v>
      </c>
      <c r="G41" s="27">
        <v>1.30911548E8</v>
      </c>
    </row>
    <row r="42" ht="12.75" customHeight="1">
      <c r="A42" s="31">
        <v>891.0</v>
      </c>
      <c r="B42" s="32" t="s">
        <v>52565</v>
      </c>
      <c r="C42" s="31">
        <v>130.0</v>
      </c>
      <c r="D42" s="32" t="s">
        <v>52566</v>
      </c>
      <c r="E42" s="32" t="s">
        <v>52567</v>
      </c>
      <c r="F42" s="31">
        <v>355.0</v>
      </c>
      <c r="G42" s="31">
        <v>1.30913559E8</v>
      </c>
    </row>
    <row r="43" ht="12.75" customHeight="1">
      <c r="A43" s="27">
        <v>193.0</v>
      </c>
      <c r="B43" s="28" t="s">
        <v>52568</v>
      </c>
      <c r="C43" s="27">
        <v>130.0</v>
      </c>
      <c r="D43" s="28" t="s">
        <v>52569</v>
      </c>
      <c r="E43" s="28" t="s">
        <v>52570</v>
      </c>
      <c r="F43" s="27">
        <v>229.0</v>
      </c>
      <c r="G43" s="27">
        <v>1.30932293E8</v>
      </c>
    </row>
    <row r="44" ht="12.75" customHeight="1">
      <c r="A44" s="31">
        <v>794.0</v>
      </c>
      <c r="B44" s="32" t="s">
        <v>52571</v>
      </c>
      <c r="C44" s="31">
        <v>130.0</v>
      </c>
      <c r="D44" s="32" t="s">
        <v>52572</v>
      </c>
      <c r="E44" s="32" t="s">
        <v>52573</v>
      </c>
      <c r="F44" s="33">
        <v>97.0</v>
      </c>
      <c r="G44" s="31">
        <v>1.30940977E8</v>
      </c>
    </row>
    <row r="45" ht="12.75" customHeight="1">
      <c r="A45" s="27">
        <v>401.0</v>
      </c>
      <c r="B45" s="28" t="s">
        <v>52574</v>
      </c>
      <c r="C45" s="27">
        <v>135.0</v>
      </c>
      <c r="D45" s="28" t="s">
        <v>52575</v>
      </c>
      <c r="E45" s="28" t="s">
        <v>52576</v>
      </c>
      <c r="F45" s="29">
        <v>10.0</v>
      </c>
      <c r="G45" s="27">
        <v>1.35010107E8</v>
      </c>
    </row>
    <row r="46" ht="12.75" customHeight="1">
      <c r="A46" s="31">
        <v>401.0</v>
      </c>
      <c r="B46" s="32" t="s">
        <v>52577</v>
      </c>
      <c r="C46" s="31">
        <v>135.0</v>
      </c>
      <c r="D46" s="32" t="s">
        <v>52578</v>
      </c>
      <c r="E46" s="32" t="s">
        <v>52579</v>
      </c>
      <c r="F46" s="33">
        <v>40.0</v>
      </c>
      <c r="G46" s="31">
        <v>1.35010402E8</v>
      </c>
    </row>
    <row r="47" ht="12.75" customHeight="1">
      <c r="A47" s="27">
        <v>401.0</v>
      </c>
      <c r="B47" s="28" t="s">
        <v>52580</v>
      </c>
      <c r="C47" s="27">
        <v>135.0</v>
      </c>
      <c r="D47" s="28" t="s">
        <v>52581</v>
      </c>
      <c r="E47" s="28" t="s">
        <v>52582</v>
      </c>
      <c r="F47" s="29">
        <v>43.0</v>
      </c>
      <c r="G47" s="27">
        <v>1.35010431E8</v>
      </c>
    </row>
    <row r="48" ht="12.75" customHeight="1">
      <c r="A48" s="31">
        <v>401.0</v>
      </c>
      <c r="B48" s="32" t="s">
        <v>52583</v>
      </c>
      <c r="C48" s="31">
        <v>135.0</v>
      </c>
      <c r="D48" s="32" t="s">
        <v>52584</v>
      </c>
      <c r="E48" s="32" t="s">
        <v>52585</v>
      </c>
      <c r="F48" s="33">
        <v>82.0</v>
      </c>
      <c r="G48" s="31">
        <v>1.35010828E8</v>
      </c>
    </row>
    <row r="49" ht="12.75" customHeight="1">
      <c r="A49" s="27">
        <v>401.0</v>
      </c>
      <c r="B49" s="28" t="s">
        <v>52586</v>
      </c>
      <c r="C49" s="27">
        <v>135.0</v>
      </c>
      <c r="D49" s="28" t="s">
        <v>52587</v>
      </c>
      <c r="E49" s="28" t="s">
        <v>52588</v>
      </c>
      <c r="F49" s="27">
        <v>100.0</v>
      </c>
      <c r="G49" s="27">
        <v>1.35011001E8</v>
      </c>
    </row>
    <row r="50" ht="12.75" customHeight="1">
      <c r="A50" s="31">
        <v>401.0</v>
      </c>
      <c r="B50" s="32" t="s">
        <v>52589</v>
      </c>
      <c r="C50" s="31">
        <v>135.0</v>
      </c>
      <c r="D50" s="32" t="s">
        <v>52590</v>
      </c>
      <c r="E50" s="32" t="s">
        <v>52591</v>
      </c>
      <c r="F50" s="31">
        <v>103.0</v>
      </c>
      <c r="G50" s="31">
        <v>1.3501103E8</v>
      </c>
    </row>
    <row r="51" ht="12.75" customHeight="1">
      <c r="A51" s="27">
        <v>401.0</v>
      </c>
      <c r="B51" s="28" t="s">
        <v>52592</v>
      </c>
      <c r="C51" s="27">
        <v>135.0</v>
      </c>
      <c r="D51" s="28" t="s">
        <v>52593</v>
      </c>
      <c r="E51" s="28" t="s">
        <v>52594</v>
      </c>
      <c r="F51" s="27">
        <v>115.0</v>
      </c>
      <c r="G51" s="27">
        <v>1.35011151E8</v>
      </c>
    </row>
    <row r="52" ht="12.75" customHeight="1">
      <c r="A52" s="31">
        <v>401.0</v>
      </c>
      <c r="B52" s="32" t="s">
        <v>52595</v>
      </c>
      <c r="C52" s="31">
        <v>135.0</v>
      </c>
      <c r="D52" s="32" t="s">
        <v>52596</v>
      </c>
      <c r="E52" s="32" t="s">
        <v>52597</v>
      </c>
      <c r="F52" s="31">
        <v>118.0</v>
      </c>
      <c r="G52" s="31">
        <v>1.3501118E8</v>
      </c>
    </row>
    <row r="53" ht="12.75" customHeight="1">
      <c r="A53" s="27">
        <v>401.0</v>
      </c>
      <c r="B53" s="28" t="s">
        <v>52598</v>
      </c>
      <c r="C53" s="27">
        <v>135.0</v>
      </c>
      <c r="D53" s="28" t="s">
        <v>52599</v>
      </c>
      <c r="E53" s="28" t="s">
        <v>52600</v>
      </c>
      <c r="F53" s="27">
        <v>121.0</v>
      </c>
      <c r="G53" s="27">
        <v>1.35011214E8</v>
      </c>
    </row>
    <row r="54" ht="12.75" customHeight="1">
      <c r="A54" s="31">
        <v>401.0</v>
      </c>
      <c r="B54" s="32" t="s">
        <v>52601</v>
      </c>
      <c r="C54" s="31">
        <v>135.0</v>
      </c>
      <c r="D54" s="32" t="s">
        <v>52602</v>
      </c>
      <c r="E54" s="32" t="s">
        <v>52603</v>
      </c>
      <c r="F54" s="31">
        <v>130.0</v>
      </c>
      <c r="G54" s="31">
        <v>1.35011306E8</v>
      </c>
    </row>
    <row r="55" ht="12.75" customHeight="1">
      <c r="A55" s="27">
        <v>203.0</v>
      </c>
      <c r="B55" s="28" t="s">
        <v>52604</v>
      </c>
      <c r="C55" s="27">
        <v>135.0</v>
      </c>
      <c r="D55" s="28" t="s">
        <v>52605</v>
      </c>
      <c r="E55" s="28" t="s">
        <v>52606</v>
      </c>
      <c r="F55" s="29">
        <v>13.0</v>
      </c>
      <c r="G55" s="27">
        <v>1.35030132E8</v>
      </c>
    </row>
    <row r="56" ht="12.75" customHeight="1">
      <c r="A56" s="31">
        <v>203.0</v>
      </c>
      <c r="B56" s="32" t="s">
        <v>52607</v>
      </c>
      <c r="C56" s="31">
        <v>135.0</v>
      </c>
      <c r="D56" s="32" t="s">
        <v>52608</v>
      </c>
      <c r="E56" s="32" t="s">
        <v>52609</v>
      </c>
      <c r="F56" s="33">
        <v>19.0</v>
      </c>
      <c r="G56" s="31">
        <v>1.3503019E8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203.0</v>
      </c>
      <c r="B1" s="28" t="s">
        <v>52610</v>
      </c>
      <c r="C1" s="27">
        <v>135.0</v>
      </c>
      <c r="D1" s="28" t="s">
        <v>52611</v>
      </c>
      <c r="E1" s="28" t="s">
        <v>52612</v>
      </c>
      <c r="F1" s="29">
        <v>22.0</v>
      </c>
      <c r="G1" s="27">
        <v>1.35030224E8</v>
      </c>
    </row>
    <row r="2" ht="12.75" customHeight="1">
      <c r="A2" s="31">
        <v>304.0</v>
      </c>
      <c r="B2" s="32" t="s">
        <v>52613</v>
      </c>
      <c r="C2" s="31">
        <v>135.0</v>
      </c>
      <c r="D2" s="32" t="s">
        <v>52614</v>
      </c>
      <c r="E2" s="32" t="s">
        <v>52615</v>
      </c>
      <c r="F2" s="33">
        <v>4.0</v>
      </c>
      <c r="G2" s="31">
        <v>1.35040043E8</v>
      </c>
    </row>
    <row r="3" ht="12.75" customHeight="1">
      <c r="A3" s="27">
        <v>304.0</v>
      </c>
      <c r="B3" s="28" t="s">
        <v>52616</v>
      </c>
      <c r="C3" s="27">
        <v>135.0</v>
      </c>
      <c r="D3" s="28" t="s">
        <v>52617</v>
      </c>
      <c r="E3" s="28" t="s">
        <v>52618</v>
      </c>
      <c r="F3" s="29">
        <v>19.0</v>
      </c>
      <c r="G3" s="27">
        <v>1.35040193E8</v>
      </c>
    </row>
    <row r="4" ht="12.75" customHeight="1">
      <c r="A4" s="31">
        <v>306.0</v>
      </c>
      <c r="B4" s="32" t="s">
        <v>52619</v>
      </c>
      <c r="C4" s="31">
        <v>135.0</v>
      </c>
      <c r="D4" s="32" t="s">
        <v>52620</v>
      </c>
      <c r="E4" s="32" t="s">
        <v>52621</v>
      </c>
      <c r="F4" s="33">
        <v>7.0</v>
      </c>
      <c r="G4" s="31">
        <v>1.35060078E8</v>
      </c>
    </row>
    <row r="5" ht="12.75" customHeight="1">
      <c r="A5" s="27">
        <v>306.0</v>
      </c>
      <c r="B5" s="28" t="s">
        <v>52622</v>
      </c>
      <c r="C5" s="27">
        <v>135.0</v>
      </c>
      <c r="D5" s="28" t="s">
        <v>52623</v>
      </c>
      <c r="E5" s="28" t="s">
        <v>52624</v>
      </c>
      <c r="F5" s="29">
        <v>10.0</v>
      </c>
      <c r="G5" s="27">
        <v>1.35060102E8</v>
      </c>
    </row>
    <row r="6" ht="12.75" customHeight="1">
      <c r="A6" s="31">
        <v>306.0</v>
      </c>
      <c r="B6" s="32" t="s">
        <v>52625</v>
      </c>
      <c r="C6" s="31">
        <v>135.0</v>
      </c>
      <c r="D6" s="32" t="s">
        <v>52626</v>
      </c>
      <c r="E6" s="32" t="s">
        <v>52627</v>
      </c>
      <c r="F6" s="33">
        <v>22.0</v>
      </c>
      <c r="G6" s="31">
        <v>1.35060223E8</v>
      </c>
    </row>
    <row r="7" ht="12.75" customHeight="1">
      <c r="A7" s="27">
        <v>306.0</v>
      </c>
      <c r="B7" s="28" t="s">
        <v>52628</v>
      </c>
      <c r="C7" s="27">
        <v>135.0</v>
      </c>
      <c r="D7" s="28" t="s">
        <v>52629</v>
      </c>
      <c r="E7" s="28" t="s">
        <v>52630</v>
      </c>
      <c r="F7" s="29">
        <v>34.0</v>
      </c>
      <c r="G7" s="27">
        <v>1.35060344E8</v>
      </c>
    </row>
    <row r="8" ht="12.75" customHeight="1">
      <c r="A8" s="31">
        <v>306.0</v>
      </c>
      <c r="B8" s="32" t="s">
        <v>52631</v>
      </c>
      <c r="C8" s="31">
        <v>135.0</v>
      </c>
      <c r="D8" s="32" t="s">
        <v>52632</v>
      </c>
      <c r="E8" s="32" t="s">
        <v>52633</v>
      </c>
      <c r="F8" s="33">
        <v>40.0</v>
      </c>
      <c r="G8" s="31">
        <v>1.35060407E8</v>
      </c>
    </row>
    <row r="9" ht="12.75" customHeight="1">
      <c r="A9" s="27">
        <v>306.0</v>
      </c>
      <c r="B9" s="28" t="s">
        <v>52634</v>
      </c>
      <c r="C9" s="27">
        <v>135.0</v>
      </c>
      <c r="D9" s="28" t="s">
        <v>52635</v>
      </c>
      <c r="E9" s="28" t="s">
        <v>52636</v>
      </c>
      <c r="F9" s="29">
        <v>49.0</v>
      </c>
      <c r="G9" s="27">
        <v>1.35060494E8</v>
      </c>
    </row>
    <row r="10" ht="12.75" customHeight="1">
      <c r="A10" s="31">
        <v>306.0</v>
      </c>
      <c r="B10" s="32" t="s">
        <v>52637</v>
      </c>
      <c r="C10" s="31">
        <v>135.0</v>
      </c>
      <c r="D10" s="32" t="s">
        <v>52638</v>
      </c>
      <c r="E10" s="32" t="s">
        <v>52639</v>
      </c>
      <c r="F10" s="33">
        <v>70.0</v>
      </c>
      <c r="G10" s="31">
        <v>1.35060702E8</v>
      </c>
    </row>
    <row r="11" ht="12.75" customHeight="1">
      <c r="A11" s="27">
        <v>306.0</v>
      </c>
      <c r="B11" s="28" t="s">
        <v>52640</v>
      </c>
      <c r="C11" s="27">
        <v>135.0</v>
      </c>
      <c r="D11" s="28" t="s">
        <v>52641</v>
      </c>
      <c r="E11" s="28" t="s">
        <v>52642</v>
      </c>
      <c r="F11" s="27">
        <v>106.0</v>
      </c>
      <c r="G11" s="27">
        <v>1.35061064E8</v>
      </c>
    </row>
    <row r="12" ht="12.75" customHeight="1">
      <c r="A12" s="31">
        <v>306.0</v>
      </c>
      <c r="B12" s="32" t="s">
        <v>52643</v>
      </c>
      <c r="C12" s="31">
        <v>135.0</v>
      </c>
      <c r="D12" s="32" t="s">
        <v>52644</v>
      </c>
      <c r="E12" s="32" t="s">
        <v>52645</v>
      </c>
      <c r="F12" s="31">
        <v>121.0</v>
      </c>
      <c r="G12" s="31">
        <v>1.35061219E8</v>
      </c>
    </row>
    <row r="13" ht="12.75" customHeight="1">
      <c r="A13" s="27">
        <v>306.0</v>
      </c>
      <c r="B13" s="28" t="s">
        <v>52646</v>
      </c>
      <c r="C13" s="27">
        <v>135.0</v>
      </c>
      <c r="D13" s="28" t="s">
        <v>52647</v>
      </c>
      <c r="E13" s="28" t="s">
        <v>52648</v>
      </c>
      <c r="F13" s="27">
        <v>133.0</v>
      </c>
      <c r="G13" s="27">
        <v>1.3506133E8</v>
      </c>
    </row>
    <row r="14" ht="12.75" customHeight="1">
      <c r="A14" s="31">
        <v>306.0</v>
      </c>
      <c r="B14" s="32" t="s">
        <v>52649</v>
      </c>
      <c r="C14" s="31">
        <v>135.0</v>
      </c>
      <c r="D14" s="32" t="s">
        <v>52650</v>
      </c>
      <c r="E14" s="32" t="s">
        <v>52651</v>
      </c>
      <c r="F14" s="31">
        <v>154.0</v>
      </c>
      <c r="G14" s="31">
        <v>1.35061543E8</v>
      </c>
    </row>
    <row r="15" ht="12.75" customHeight="1">
      <c r="A15" s="27">
        <v>306.0</v>
      </c>
      <c r="B15" s="28" t="s">
        <v>52652</v>
      </c>
      <c r="C15" s="27">
        <v>135.0</v>
      </c>
      <c r="D15" s="28" t="s">
        <v>52653</v>
      </c>
      <c r="E15" s="28" t="s">
        <v>52654</v>
      </c>
      <c r="F15" s="27">
        <v>157.0</v>
      </c>
      <c r="G15" s="27">
        <v>1.35061572E8</v>
      </c>
    </row>
    <row r="16" ht="12.75" customHeight="1">
      <c r="A16" s="31">
        <v>306.0</v>
      </c>
      <c r="B16" s="32" t="s">
        <v>52655</v>
      </c>
      <c r="C16" s="31">
        <v>135.0</v>
      </c>
      <c r="D16" s="32" t="s">
        <v>52656</v>
      </c>
      <c r="E16" s="32" t="s">
        <v>52657</v>
      </c>
      <c r="F16" s="31">
        <v>163.0</v>
      </c>
      <c r="G16" s="31">
        <v>1.35061635E8</v>
      </c>
    </row>
    <row r="17" ht="12.75" customHeight="1">
      <c r="A17" s="27">
        <v>306.0</v>
      </c>
      <c r="B17" s="28" t="s">
        <v>52658</v>
      </c>
      <c r="C17" s="27">
        <v>135.0</v>
      </c>
      <c r="D17" s="28" t="s">
        <v>52659</v>
      </c>
      <c r="E17" s="28" t="s">
        <v>52660</v>
      </c>
      <c r="F17" s="27">
        <v>166.0</v>
      </c>
      <c r="G17" s="27">
        <v>1.35061664E8</v>
      </c>
    </row>
    <row r="18" ht="12.75" customHeight="1">
      <c r="A18" s="31">
        <v>306.0</v>
      </c>
      <c r="B18" s="32" t="s">
        <v>52661</v>
      </c>
      <c r="C18" s="31">
        <v>135.0</v>
      </c>
      <c r="D18" s="32" t="s">
        <v>52662</v>
      </c>
      <c r="E18" s="32" t="s">
        <v>52663</v>
      </c>
      <c r="F18" s="31">
        <v>193.0</v>
      </c>
      <c r="G18" s="31">
        <v>1.3506193E8</v>
      </c>
    </row>
    <row r="19" ht="12.75" customHeight="1">
      <c r="A19" s="27">
        <v>306.0</v>
      </c>
      <c r="B19" s="28" t="s">
        <v>52664</v>
      </c>
      <c r="C19" s="27">
        <v>135.0</v>
      </c>
      <c r="D19" s="28" t="s">
        <v>52665</v>
      </c>
      <c r="E19" s="28" t="s">
        <v>52666</v>
      </c>
      <c r="F19" s="27">
        <v>202.0</v>
      </c>
      <c r="G19" s="27">
        <v>1.35062021E8</v>
      </c>
    </row>
    <row r="20" ht="12.75" customHeight="1">
      <c r="A20" s="31">
        <v>306.0</v>
      </c>
      <c r="B20" s="32" t="s">
        <v>52667</v>
      </c>
      <c r="C20" s="31">
        <v>135.0</v>
      </c>
      <c r="D20" s="32" t="s">
        <v>52668</v>
      </c>
      <c r="E20" s="32" t="s">
        <v>52669</v>
      </c>
      <c r="F20" s="31">
        <v>220.0</v>
      </c>
      <c r="G20" s="31">
        <v>1.35062205E8</v>
      </c>
    </row>
    <row r="21" ht="12.75" customHeight="1">
      <c r="A21" s="27">
        <v>306.0</v>
      </c>
      <c r="B21" s="28" t="s">
        <v>52670</v>
      </c>
      <c r="C21" s="27">
        <v>135.0</v>
      </c>
      <c r="D21" s="28" t="s">
        <v>52671</v>
      </c>
      <c r="E21" s="28" t="s">
        <v>52672</v>
      </c>
      <c r="F21" s="27">
        <v>777.0</v>
      </c>
      <c r="G21" s="27">
        <v>1.35067776E8</v>
      </c>
    </row>
    <row r="22" ht="12.75" customHeight="1">
      <c r="A22" s="31">
        <v>309.0</v>
      </c>
      <c r="B22" s="32" t="s">
        <v>52673</v>
      </c>
      <c r="C22" s="31">
        <v>135.0</v>
      </c>
      <c r="D22" s="32" t="s">
        <v>52674</v>
      </c>
      <c r="E22" s="32" t="s">
        <v>52675</v>
      </c>
      <c r="F22" s="33">
        <v>4.0</v>
      </c>
      <c r="G22" s="31">
        <v>1.35090048E8</v>
      </c>
    </row>
    <row r="23" ht="12.75" customHeight="1">
      <c r="A23" s="27">
        <v>309.0</v>
      </c>
      <c r="B23" s="28" t="s">
        <v>52676</v>
      </c>
      <c r="C23" s="27">
        <v>135.0</v>
      </c>
      <c r="D23" s="28" t="s">
        <v>52677</v>
      </c>
      <c r="E23" s="28" t="s">
        <v>52678</v>
      </c>
      <c r="F23" s="29">
        <v>13.0</v>
      </c>
      <c r="G23" s="27">
        <v>1.3509013E8</v>
      </c>
    </row>
    <row r="24" ht="12.75" customHeight="1">
      <c r="A24" s="31">
        <v>309.0</v>
      </c>
      <c r="B24" s="32" t="s">
        <v>52679</v>
      </c>
      <c r="C24" s="31">
        <v>135.0</v>
      </c>
      <c r="D24" s="32" t="s">
        <v>52680</v>
      </c>
      <c r="E24" s="32" t="s">
        <v>52681</v>
      </c>
      <c r="F24" s="33">
        <v>19.0</v>
      </c>
      <c r="G24" s="31">
        <v>1.35090198E8</v>
      </c>
    </row>
    <row r="25" ht="12.75" customHeight="1">
      <c r="A25" s="27">
        <v>309.0</v>
      </c>
      <c r="B25" s="28" t="s">
        <v>52682</v>
      </c>
      <c r="C25" s="27">
        <v>135.0</v>
      </c>
      <c r="D25" s="28" t="s">
        <v>52683</v>
      </c>
      <c r="E25" s="28" t="s">
        <v>52684</v>
      </c>
      <c r="F25" s="29">
        <v>22.0</v>
      </c>
      <c r="G25" s="27">
        <v>1.35090222E8</v>
      </c>
    </row>
    <row r="26" ht="12.75" customHeight="1">
      <c r="A26" s="31">
        <v>309.0</v>
      </c>
      <c r="B26" s="32" t="s">
        <v>52685</v>
      </c>
      <c r="C26" s="31">
        <v>135.0</v>
      </c>
      <c r="D26" s="32" t="s">
        <v>52686</v>
      </c>
      <c r="E26" s="32" t="s">
        <v>52687</v>
      </c>
      <c r="F26" s="33">
        <v>34.0</v>
      </c>
      <c r="G26" s="31">
        <v>1.35090343E8</v>
      </c>
    </row>
    <row r="27" ht="12.75" customHeight="1">
      <c r="A27" s="27">
        <v>309.0</v>
      </c>
      <c r="B27" s="28" t="s">
        <v>52688</v>
      </c>
      <c r="C27" s="27">
        <v>135.0</v>
      </c>
      <c r="D27" s="28" t="s">
        <v>52689</v>
      </c>
      <c r="E27" s="28" t="s">
        <v>52690</v>
      </c>
      <c r="F27" s="29">
        <v>64.0</v>
      </c>
      <c r="G27" s="27">
        <v>1.35090648E8</v>
      </c>
    </row>
    <row r="28" ht="12.75" customHeight="1">
      <c r="A28" s="31">
        <v>309.0</v>
      </c>
      <c r="B28" s="32" t="s">
        <v>52691</v>
      </c>
      <c r="C28" s="31">
        <v>135.0</v>
      </c>
      <c r="D28" s="32" t="s">
        <v>52692</v>
      </c>
      <c r="E28" s="32" t="s">
        <v>52693</v>
      </c>
      <c r="F28" s="33">
        <v>70.0</v>
      </c>
      <c r="G28" s="31">
        <v>1.35090701E8</v>
      </c>
    </row>
    <row r="29" ht="12.75" customHeight="1">
      <c r="A29" s="27">
        <v>309.0</v>
      </c>
      <c r="B29" s="28" t="s">
        <v>52694</v>
      </c>
      <c r="C29" s="27">
        <v>135.0</v>
      </c>
      <c r="D29" s="28" t="s">
        <v>52695</v>
      </c>
      <c r="E29" s="28" t="s">
        <v>52696</v>
      </c>
      <c r="F29" s="29">
        <v>91.0</v>
      </c>
      <c r="G29" s="27">
        <v>1.35090914E8</v>
      </c>
    </row>
    <row r="30" ht="12.75" customHeight="1">
      <c r="A30" s="31">
        <v>610.0</v>
      </c>
      <c r="B30" s="32" t="s">
        <v>52697</v>
      </c>
      <c r="C30" s="31">
        <v>135.0</v>
      </c>
      <c r="D30" s="32" t="s">
        <v>52698</v>
      </c>
      <c r="E30" s="32" t="s">
        <v>52699</v>
      </c>
      <c r="F30" s="33">
        <v>4.0</v>
      </c>
      <c r="G30" s="31">
        <v>1.35100046E8</v>
      </c>
    </row>
    <row r="31" ht="12.75" customHeight="1">
      <c r="A31" s="27">
        <v>610.0</v>
      </c>
      <c r="B31" s="28" t="s">
        <v>52700</v>
      </c>
      <c r="C31" s="27">
        <v>135.0</v>
      </c>
      <c r="D31" s="28" t="s">
        <v>52701</v>
      </c>
      <c r="E31" s="28" t="s">
        <v>52702</v>
      </c>
      <c r="F31" s="29">
        <v>46.0</v>
      </c>
      <c r="G31" s="27">
        <v>1.35100462E8</v>
      </c>
    </row>
    <row r="32" ht="12.75" customHeight="1">
      <c r="A32" s="31">
        <v>610.0</v>
      </c>
      <c r="B32" s="32" t="s">
        <v>52703</v>
      </c>
      <c r="C32" s="31">
        <v>135.0</v>
      </c>
      <c r="D32" s="32" t="s">
        <v>52704</v>
      </c>
      <c r="E32" s="32" t="s">
        <v>52705</v>
      </c>
      <c r="F32" s="33">
        <v>52.0</v>
      </c>
      <c r="G32" s="31">
        <v>1.35100525E8</v>
      </c>
    </row>
    <row r="33" ht="12.75" customHeight="1">
      <c r="A33" s="27">
        <v>610.0</v>
      </c>
      <c r="B33" s="28" t="s">
        <v>52706</v>
      </c>
      <c r="C33" s="27">
        <v>135.0</v>
      </c>
      <c r="D33" s="28" t="s">
        <v>52707</v>
      </c>
      <c r="E33" s="28" t="s">
        <v>52708</v>
      </c>
      <c r="F33" s="29">
        <v>67.0</v>
      </c>
      <c r="G33" s="27">
        <v>1.35100675E8</v>
      </c>
    </row>
    <row r="34" ht="12.75" customHeight="1">
      <c r="A34" s="31">
        <v>610.0</v>
      </c>
      <c r="B34" s="32" t="s">
        <v>52709</v>
      </c>
      <c r="C34" s="31">
        <v>135.0</v>
      </c>
      <c r="D34" s="32" t="s">
        <v>52710</v>
      </c>
      <c r="E34" s="32" t="s">
        <v>52711</v>
      </c>
      <c r="F34" s="33">
        <v>70.0</v>
      </c>
      <c r="G34" s="31">
        <v>1.35100709E8</v>
      </c>
    </row>
    <row r="35" ht="12.75" customHeight="1">
      <c r="A35" s="27">
        <v>610.0</v>
      </c>
      <c r="B35" s="28" t="s">
        <v>52712</v>
      </c>
      <c r="C35" s="27">
        <v>135.0</v>
      </c>
      <c r="D35" s="28" t="s">
        <v>52713</v>
      </c>
      <c r="E35" s="28" t="s">
        <v>52714</v>
      </c>
      <c r="F35" s="29">
        <v>73.0</v>
      </c>
      <c r="G35" s="27">
        <v>1.35100738E8</v>
      </c>
    </row>
    <row r="36" ht="12.75" customHeight="1">
      <c r="A36" s="31">
        <v>610.0</v>
      </c>
      <c r="B36" s="32" t="s">
        <v>52715</v>
      </c>
      <c r="C36" s="31">
        <v>135.0</v>
      </c>
      <c r="D36" s="32" t="s">
        <v>52716</v>
      </c>
      <c r="E36" s="32" t="s">
        <v>52717</v>
      </c>
      <c r="F36" s="31">
        <v>100.0</v>
      </c>
      <c r="G36" s="31">
        <v>1.35101003E8</v>
      </c>
    </row>
    <row r="37" ht="12.75" customHeight="1">
      <c r="A37" s="27">
        <v>610.0</v>
      </c>
      <c r="B37" s="28" t="s">
        <v>52718</v>
      </c>
      <c r="C37" s="27">
        <v>135.0</v>
      </c>
      <c r="D37" s="28" t="s">
        <v>52719</v>
      </c>
      <c r="E37" s="28" t="s">
        <v>52720</v>
      </c>
      <c r="F37" s="27">
        <v>112.0</v>
      </c>
      <c r="G37" s="27">
        <v>1.35101124E8</v>
      </c>
    </row>
    <row r="38" ht="12.75" customHeight="1">
      <c r="A38" s="31">
        <v>610.0</v>
      </c>
      <c r="B38" s="32" t="s">
        <v>52721</v>
      </c>
      <c r="C38" s="31">
        <v>135.0</v>
      </c>
      <c r="D38" s="32" t="s">
        <v>52722</v>
      </c>
      <c r="E38" s="32" t="s">
        <v>52723</v>
      </c>
      <c r="F38" s="31">
        <v>157.0</v>
      </c>
      <c r="G38" s="31">
        <v>1.35101579E8</v>
      </c>
    </row>
    <row r="39" ht="12.75" customHeight="1">
      <c r="A39" s="27">
        <v>610.0</v>
      </c>
      <c r="B39" s="28" t="s">
        <v>52724</v>
      </c>
      <c r="C39" s="27">
        <v>135.0</v>
      </c>
      <c r="D39" s="28" t="s">
        <v>52725</v>
      </c>
      <c r="E39" s="28" t="s">
        <v>52726</v>
      </c>
      <c r="F39" s="27">
        <v>166.0</v>
      </c>
      <c r="G39" s="27">
        <v>1.35101661E8</v>
      </c>
    </row>
    <row r="40" ht="12.75" customHeight="1">
      <c r="A40" s="31">
        <v>610.0</v>
      </c>
      <c r="B40" s="32" t="s">
        <v>52727</v>
      </c>
      <c r="C40" s="31">
        <v>135.0</v>
      </c>
      <c r="D40" s="32" t="s">
        <v>52728</v>
      </c>
      <c r="E40" s="32" t="s">
        <v>52729</v>
      </c>
      <c r="F40" s="31">
        <v>235.0</v>
      </c>
      <c r="G40" s="31">
        <v>1.35102352E8</v>
      </c>
    </row>
    <row r="41" ht="12.75" customHeight="1">
      <c r="A41" s="27">
        <v>610.0</v>
      </c>
      <c r="B41" s="28" t="s">
        <v>52730</v>
      </c>
      <c r="C41" s="27">
        <v>135.0</v>
      </c>
      <c r="D41" s="28" t="s">
        <v>52731</v>
      </c>
      <c r="E41" s="28" t="s">
        <v>52732</v>
      </c>
      <c r="F41" s="27">
        <v>238.0</v>
      </c>
      <c r="G41" s="27">
        <v>1.35102381E8</v>
      </c>
    </row>
    <row r="42" ht="12.75" customHeight="1">
      <c r="A42" s="31">
        <v>610.0</v>
      </c>
      <c r="B42" s="32" t="s">
        <v>52733</v>
      </c>
      <c r="C42" s="31">
        <v>135.0</v>
      </c>
      <c r="D42" s="32" t="s">
        <v>52734</v>
      </c>
      <c r="E42" s="32" t="s">
        <v>52735</v>
      </c>
      <c r="F42" s="31">
        <v>241.0</v>
      </c>
      <c r="G42" s="31">
        <v>1.35102415E8</v>
      </c>
    </row>
    <row r="43" ht="12.75" customHeight="1">
      <c r="A43" s="27">
        <v>610.0</v>
      </c>
      <c r="B43" s="28" t="s">
        <v>52736</v>
      </c>
      <c r="C43" s="27">
        <v>135.0</v>
      </c>
      <c r="D43" s="28" t="s">
        <v>52737</v>
      </c>
      <c r="E43" s="28" t="s">
        <v>52738</v>
      </c>
      <c r="F43" s="27">
        <v>244.0</v>
      </c>
      <c r="G43" s="27">
        <v>1.35102444E8</v>
      </c>
    </row>
    <row r="44" ht="12.75" customHeight="1">
      <c r="A44" s="31">
        <v>610.0</v>
      </c>
      <c r="B44" s="32" t="s">
        <v>52739</v>
      </c>
      <c r="C44" s="31">
        <v>135.0</v>
      </c>
      <c r="D44" s="32" t="s">
        <v>52740</v>
      </c>
      <c r="E44" s="32" t="s">
        <v>52741</v>
      </c>
      <c r="F44" s="31">
        <v>274.0</v>
      </c>
      <c r="G44" s="31">
        <v>1.35102749E8</v>
      </c>
    </row>
    <row r="45" ht="12.75" customHeight="1">
      <c r="A45" s="27">
        <v>610.0</v>
      </c>
      <c r="B45" s="28" t="s">
        <v>52742</v>
      </c>
      <c r="C45" s="27">
        <v>135.0</v>
      </c>
      <c r="D45" s="28" t="s">
        <v>52743</v>
      </c>
      <c r="E45" s="28" t="s">
        <v>52744</v>
      </c>
      <c r="F45" s="27">
        <v>280.0</v>
      </c>
      <c r="G45" s="27">
        <v>1.35102802E8</v>
      </c>
    </row>
    <row r="46" ht="12.75" customHeight="1">
      <c r="A46" s="31">
        <v>610.0</v>
      </c>
      <c r="B46" s="32" t="s">
        <v>52745</v>
      </c>
      <c r="C46" s="31">
        <v>135.0</v>
      </c>
      <c r="D46" s="32" t="s">
        <v>52746</v>
      </c>
      <c r="E46" s="32" t="s">
        <v>52747</v>
      </c>
      <c r="F46" s="31">
        <v>298.0</v>
      </c>
      <c r="G46" s="31">
        <v>1.35102981E8</v>
      </c>
    </row>
    <row r="47" ht="12.75" customHeight="1">
      <c r="A47" s="27">
        <v>112.0</v>
      </c>
      <c r="B47" s="28" t="s">
        <v>52748</v>
      </c>
      <c r="C47" s="27">
        <v>135.0</v>
      </c>
      <c r="D47" s="28" t="s">
        <v>52749</v>
      </c>
      <c r="E47" s="28" t="s">
        <v>52750</v>
      </c>
      <c r="F47" s="29">
        <v>4.0</v>
      </c>
      <c r="G47" s="27">
        <v>1.35120042E8</v>
      </c>
    </row>
    <row r="48" ht="12.75" customHeight="1">
      <c r="A48" s="31">
        <v>112.0</v>
      </c>
      <c r="B48" s="32" t="s">
        <v>52751</v>
      </c>
      <c r="C48" s="31">
        <v>135.0</v>
      </c>
      <c r="D48" s="32" t="s">
        <v>52752</v>
      </c>
      <c r="E48" s="32" t="s">
        <v>52753</v>
      </c>
      <c r="F48" s="33">
        <v>7.0</v>
      </c>
      <c r="G48" s="31">
        <v>1.35120071E8</v>
      </c>
    </row>
    <row r="49" ht="12.75" customHeight="1">
      <c r="A49" s="27">
        <v>112.0</v>
      </c>
      <c r="B49" s="28" t="s">
        <v>52754</v>
      </c>
      <c r="C49" s="27">
        <v>135.0</v>
      </c>
      <c r="D49" s="28" t="s">
        <v>52755</v>
      </c>
      <c r="E49" s="28" t="s">
        <v>52756</v>
      </c>
      <c r="F49" s="29">
        <v>10.0</v>
      </c>
      <c r="G49" s="27">
        <v>1.35120105E8</v>
      </c>
    </row>
    <row r="50" ht="12.75" customHeight="1">
      <c r="A50" s="31">
        <v>112.0</v>
      </c>
      <c r="B50" s="32" t="s">
        <v>52757</v>
      </c>
      <c r="C50" s="31">
        <v>135.0</v>
      </c>
      <c r="D50" s="32" t="s">
        <v>52758</v>
      </c>
      <c r="E50" s="32" t="s">
        <v>52759</v>
      </c>
      <c r="F50" s="33">
        <v>15.0</v>
      </c>
      <c r="G50" s="31">
        <v>1.3512015E8</v>
      </c>
    </row>
    <row r="51" ht="12.75" customHeight="1">
      <c r="A51" s="27">
        <v>112.0</v>
      </c>
      <c r="B51" s="28" t="s">
        <v>52760</v>
      </c>
      <c r="C51" s="27">
        <v>135.0</v>
      </c>
      <c r="D51" s="28" t="s">
        <v>52761</v>
      </c>
      <c r="E51" s="28" t="s">
        <v>52762</v>
      </c>
      <c r="F51" s="29">
        <v>19.0</v>
      </c>
      <c r="G51" s="27">
        <v>1.35120192E8</v>
      </c>
    </row>
    <row r="52" ht="12.75" customHeight="1">
      <c r="A52" s="31">
        <v>112.0</v>
      </c>
      <c r="B52" s="32" t="s">
        <v>52763</v>
      </c>
      <c r="C52" s="31">
        <v>135.0</v>
      </c>
      <c r="D52" s="32" t="s">
        <v>52764</v>
      </c>
      <c r="E52" s="32" t="s">
        <v>52765</v>
      </c>
      <c r="F52" s="33">
        <v>25.0</v>
      </c>
      <c r="G52" s="31">
        <v>1.35120255E8</v>
      </c>
    </row>
    <row r="53" ht="12.75" customHeight="1">
      <c r="A53" s="27">
        <v>112.0</v>
      </c>
      <c r="B53" s="28" t="s">
        <v>52766</v>
      </c>
      <c r="C53" s="27">
        <v>135.0</v>
      </c>
      <c r="D53" s="28" t="s">
        <v>52767</v>
      </c>
      <c r="E53" s="28" t="s">
        <v>52768</v>
      </c>
      <c r="F53" s="29">
        <v>31.0</v>
      </c>
      <c r="G53" s="27">
        <v>1.35120318E8</v>
      </c>
    </row>
    <row r="54" ht="12.75" customHeight="1">
      <c r="A54" s="31">
        <v>112.0</v>
      </c>
      <c r="B54" s="32" t="s">
        <v>52769</v>
      </c>
      <c r="C54" s="31">
        <v>135.0</v>
      </c>
      <c r="D54" s="32" t="s">
        <v>52770</v>
      </c>
      <c r="E54" s="32" t="s">
        <v>52771</v>
      </c>
      <c r="F54" s="33">
        <v>34.0</v>
      </c>
      <c r="G54" s="31">
        <v>1.35120347E8</v>
      </c>
    </row>
    <row r="55" ht="12.75" customHeight="1">
      <c r="A55" s="27">
        <v>112.0</v>
      </c>
      <c r="B55" s="28" t="s">
        <v>52772</v>
      </c>
      <c r="C55" s="27">
        <v>135.0</v>
      </c>
      <c r="D55" s="28" t="s">
        <v>52773</v>
      </c>
      <c r="E55" s="28" t="s">
        <v>52774</v>
      </c>
      <c r="F55" s="29">
        <v>37.0</v>
      </c>
      <c r="G55" s="27">
        <v>1.35120376E8</v>
      </c>
    </row>
    <row r="56" ht="12.75" customHeight="1">
      <c r="A56" s="31">
        <v>112.0</v>
      </c>
      <c r="B56" s="32" t="s">
        <v>52775</v>
      </c>
      <c r="C56" s="31">
        <v>135.0</v>
      </c>
      <c r="D56" s="32" t="s">
        <v>52776</v>
      </c>
      <c r="E56" s="32" t="s">
        <v>52777</v>
      </c>
      <c r="F56" s="33">
        <v>46.0</v>
      </c>
      <c r="G56" s="31">
        <v>1.35120468E8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112.0</v>
      </c>
      <c r="B1" s="28" t="s">
        <v>52778</v>
      </c>
      <c r="C1" s="27">
        <v>135.0</v>
      </c>
      <c r="D1" s="28" t="s">
        <v>52779</v>
      </c>
      <c r="E1" s="28" t="s">
        <v>52780</v>
      </c>
      <c r="F1" s="29">
        <v>70.0</v>
      </c>
      <c r="G1" s="27">
        <v>1.35120705E8</v>
      </c>
    </row>
    <row r="2" ht="12.75" customHeight="1">
      <c r="A2" s="31">
        <v>112.0</v>
      </c>
      <c r="B2" s="32" t="s">
        <v>52781</v>
      </c>
      <c r="C2" s="31">
        <v>135.0</v>
      </c>
      <c r="D2" s="32" t="s">
        <v>52782</v>
      </c>
      <c r="E2" s="32" t="s">
        <v>52783</v>
      </c>
      <c r="F2" s="33">
        <v>73.0</v>
      </c>
      <c r="G2" s="31">
        <v>1.35120734E8</v>
      </c>
    </row>
    <row r="3" ht="12.75" customHeight="1">
      <c r="A3" s="27">
        <v>112.0</v>
      </c>
      <c r="B3" s="28" t="s">
        <v>52784</v>
      </c>
      <c r="C3" s="27">
        <v>135.0</v>
      </c>
      <c r="D3" s="28" t="s">
        <v>52785</v>
      </c>
      <c r="E3" s="28" t="s">
        <v>52786</v>
      </c>
      <c r="F3" s="29">
        <v>99.0</v>
      </c>
      <c r="G3" s="27">
        <v>1.35120992E8</v>
      </c>
    </row>
    <row r="4" ht="12.75" customHeight="1">
      <c r="A4" s="31">
        <v>112.0</v>
      </c>
      <c r="B4" s="32" t="s">
        <v>52787</v>
      </c>
      <c r="C4" s="31">
        <v>135.0</v>
      </c>
      <c r="D4" s="32" t="s">
        <v>52788</v>
      </c>
      <c r="E4" s="32" t="s">
        <v>52789</v>
      </c>
      <c r="F4" s="31">
        <v>103.0</v>
      </c>
      <c r="G4" s="31">
        <v>1.35121038E8</v>
      </c>
    </row>
    <row r="5" ht="12.75" customHeight="1">
      <c r="A5" s="27">
        <v>112.0</v>
      </c>
      <c r="B5" s="28" t="s">
        <v>52790</v>
      </c>
      <c r="C5" s="27">
        <v>135.0</v>
      </c>
      <c r="D5" s="28" t="s">
        <v>52791</v>
      </c>
      <c r="E5" s="28" t="s">
        <v>52792</v>
      </c>
      <c r="F5" s="27">
        <v>106.0</v>
      </c>
      <c r="G5" s="27">
        <v>1.35121067E8</v>
      </c>
    </row>
    <row r="6" ht="12.75" customHeight="1">
      <c r="A6" s="31">
        <v>112.0</v>
      </c>
      <c r="B6" s="32" t="s">
        <v>52793</v>
      </c>
      <c r="C6" s="31">
        <v>135.0</v>
      </c>
      <c r="D6" s="32" t="s">
        <v>52794</v>
      </c>
      <c r="E6" s="32" t="s">
        <v>52795</v>
      </c>
      <c r="F6" s="31">
        <v>133.0</v>
      </c>
      <c r="G6" s="31">
        <v>1.35121333E8</v>
      </c>
    </row>
    <row r="7" ht="12.75" customHeight="1">
      <c r="A7" s="27">
        <v>112.0</v>
      </c>
      <c r="B7" s="28" t="s">
        <v>52796</v>
      </c>
      <c r="C7" s="27">
        <v>135.0</v>
      </c>
      <c r="D7" s="28" t="s">
        <v>52797</v>
      </c>
      <c r="E7" s="28" t="s">
        <v>52798</v>
      </c>
      <c r="F7" s="27">
        <v>136.0</v>
      </c>
      <c r="G7" s="27">
        <v>1.35121362E8</v>
      </c>
    </row>
    <row r="8" ht="12.75" customHeight="1">
      <c r="A8" s="31">
        <v>112.0</v>
      </c>
      <c r="B8" s="32" t="s">
        <v>52799</v>
      </c>
      <c r="C8" s="31">
        <v>135.0</v>
      </c>
      <c r="D8" s="32" t="s">
        <v>52800</v>
      </c>
      <c r="E8" s="32" t="s">
        <v>52801</v>
      </c>
      <c r="F8" s="31">
        <v>145.0</v>
      </c>
      <c r="G8" s="31">
        <v>1.35121454E8</v>
      </c>
    </row>
    <row r="9" ht="12.75" customHeight="1">
      <c r="A9" s="27">
        <v>112.0</v>
      </c>
      <c r="B9" s="28" t="s">
        <v>52802</v>
      </c>
      <c r="C9" s="27">
        <v>135.0</v>
      </c>
      <c r="D9" s="28" t="s">
        <v>52803</v>
      </c>
      <c r="E9" s="28" t="s">
        <v>52804</v>
      </c>
      <c r="F9" s="27">
        <v>153.0</v>
      </c>
      <c r="G9" s="27">
        <v>1.35121533E8</v>
      </c>
    </row>
    <row r="10" ht="12.75" customHeight="1">
      <c r="A10" s="31">
        <v>112.0</v>
      </c>
      <c r="B10" s="32" t="s">
        <v>52805</v>
      </c>
      <c r="C10" s="31">
        <v>135.0</v>
      </c>
      <c r="D10" s="32" t="s">
        <v>52806</v>
      </c>
      <c r="E10" s="32" t="s">
        <v>52807</v>
      </c>
      <c r="F10" s="31">
        <v>163.0</v>
      </c>
      <c r="G10" s="31">
        <v>1.35121638E8</v>
      </c>
    </row>
    <row r="11" ht="12.75" customHeight="1">
      <c r="A11" s="27">
        <v>112.0</v>
      </c>
      <c r="B11" s="28" t="s">
        <v>52808</v>
      </c>
      <c r="C11" s="27">
        <v>135.0</v>
      </c>
      <c r="D11" s="28" t="s">
        <v>52809</v>
      </c>
      <c r="E11" s="28" t="s">
        <v>52810</v>
      </c>
      <c r="F11" s="27">
        <v>175.0</v>
      </c>
      <c r="G11" s="27">
        <v>1.35121759E8</v>
      </c>
    </row>
    <row r="12" ht="12.75" customHeight="1">
      <c r="A12" s="31">
        <v>112.0</v>
      </c>
      <c r="B12" s="32" t="s">
        <v>52811</v>
      </c>
      <c r="C12" s="31">
        <v>135.0</v>
      </c>
      <c r="D12" s="32" t="s">
        <v>52812</v>
      </c>
      <c r="E12" s="32" t="s">
        <v>52813</v>
      </c>
      <c r="F12" s="31">
        <v>187.0</v>
      </c>
      <c r="G12" s="31">
        <v>1.3512187E8</v>
      </c>
    </row>
    <row r="13" ht="12.75" customHeight="1">
      <c r="A13" s="27">
        <v>112.0</v>
      </c>
      <c r="B13" s="28" t="s">
        <v>52814</v>
      </c>
      <c r="C13" s="27">
        <v>135.0</v>
      </c>
      <c r="D13" s="28" t="s">
        <v>52815</v>
      </c>
      <c r="E13" s="28" t="s">
        <v>52816</v>
      </c>
      <c r="F13" s="27">
        <v>190.0</v>
      </c>
      <c r="G13" s="27">
        <v>1.35121904E8</v>
      </c>
    </row>
    <row r="14" ht="12.75" customHeight="1">
      <c r="A14" s="31">
        <v>112.0</v>
      </c>
      <c r="B14" s="32" t="s">
        <v>52817</v>
      </c>
      <c r="C14" s="31">
        <v>135.0</v>
      </c>
      <c r="D14" s="32" t="s">
        <v>52818</v>
      </c>
      <c r="E14" s="32" t="s">
        <v>52819</v>
      </c>
      <c r="F14" s="31">
        <v>193.0</v>
      </c>
      <c r="G14" s="31">
        <v>1.35121933E8</v>
      </c>
    </row>
    <row r="15" ht="12.75" customHeight="1">
      <c r="A15" s="27">
        <v>113.0</v>
      </c>
      <c r="B15" s="28" t="s">
        <v>52820</v>
      </c>
      <c r="C15" s="27">
        <v>135.0</v>
      </c>
      <c r="D15" s="28" t="s">
        <v>52821</v>
      </c>
      <c r="E15" s="28" t="s">
        <v>52822</v>
      </c>
      <c r="F15" s="29">
        <v>8.0</v>
      </c>
      <c r="G15" s="27">
        <v>1.35130087E8</v>
      </c>
    </row>
    <row r="16" ht="12.75" customHeight="1">
      <c r="A16" s="31">
        <v>113.0</v>
      </c>
      <c r="B16" s="32" t="s">
        <v>52823</v>
      </c>
      <c r="C16" s="31">
        <v>135.0</v>
      </c>
      <c r="D16" s="32" t="s">
        <v>52824</v>
      </c>
      <c r="E16" s="32" t="s">
        <v>52825</v>
      </c>
      <c r="F16" s="33">
        <v>25.0</v>
      </c>
      <c r="G16" s="31">
        <v>1.35130258E8</v>
      </c>
    </row>
    <row r="17" ht="12.75" customHeight="1">
      <c r="A17" s="27">
        <v>113.0</v>
      </c>
      <c r="B17" s="28" t="s">
        <v>52826</v>
      </c>
      <c r="C17" s="27">
        <v>135.0</v>
      </c>
      <c r="D17" s="28" t="s">
        <v>52827</v>
      </c>
      <c r="E17" s="28" t="s">
        <v>52828</v>
      </c>
      <c r="F17" s="29">
        <v>34.0</v>
      </c>
      <c r="G17" s="27">
        <v>1.3513034E8</v>
      </c>
    </row>
    <row r="18" ht="12.75" customHeight="1">
      <c r="A18" s="31">
        <v>113.0</v>
      </c>
      <c r="B18" s="32" t="s">
        <v>52829</v>
      </c>
      <c r="C18" s="31">
        <v>135.0</v>
      </c>
      <c r="D18" s="32" t="s">
        <v>52830</v>
      </c>
      <c r="E18" s="32" t="s">
        <v>52831</v>
      </c>
      <c r="F18" s="33">
        <v>40.0</v>
      </c>
      <c r="G18" s="31">
        <v>1.35130403E8</v>
      </c>
    </row>
    <row r="19" ht="12.75" customHeight="1">
      <c r="A19" s="27">
        <v>113.0</v>
      </c>
      <c r="B19" s="28" t="s">
        <v>52832</v>
      </c>
      <c r="C19" s="27">
        <v>135.0</v>
      </c>
      <c r="D19" s="28" t="s">
        <v>52833</v>
      </c>
      <c r="E19" s="28" t="s">
        <v>52834</v>
      </c>
      <c r="F19" s="29">
        <v>67.0</v>
      </c>
      <c r="G19" s="27">
        <v>1.35130674E8</v>
      </c>
    </row>
    <row r="20" ht="12.75" customHeight="1">
      <c r="A20" s="31">
        <v>113.0</v>
      </c>
      <c r="B20" s="32" t="s">
        <v>52835</v>
      </c>
      <c r="C20" s="31">
        <v>135.0</v>
      </c>
      <c r="D20" s="32" t="s">
        <v>52836</v>
      </c>
      <c r="E20" s="32" t="s">
        <v>52837</v>
      </c>
      <c r="F20" s="33">
        <v>73.0</v>
      </c>
      <c r="G20" s="31">
        <v>1.35130737E8</v>
      </c>
    </row>
    <row r="21" ht="12.75" customHeight="1">
      <c r="A21" s="27">
        <v>113.0</v>
      </c>
      <c r="B21" s="28" t="s">
        <v>52838</v>
      </c>
      <c r="C21" s="27">
        <v>135.0</v>
      </c>
      <c r="D21" s="28" t="s">
        <v>52839</v>
      </c>
      <c r="E21" s="28" t="s">
        <v>52840</v>
      </c>
      <c r="F21" s="29">
        <v>88.0</v>
      </c>
      <c r="G21" s="27">
        <v>1.35130887E8</v>
      </c>
    </row>
    <row r="22" ht="12.75" customHeight="1">
      <c r="A22" s="31">
        <v>113.0</v>
      </c>
      <c r="B22" s="32" t="s">
        <v>52841</v>
      </c>
      <c r="C22" s="31">
        <v>135.0</v>
      </c>
      <c r="D22" s="32" t="s">
        <v>52842</v>
      </c>
      <c r="E22" s="32" t="s">
        <v>52843</v>
      </c>
      <c r="F22" s="33">
        <v>91.0</v>
      </c>
      <c r="G22" s="31">
        <v>1.35130911E8</v>
      </c>
    </row>
    <row r="23" ht="12.75" customHeight="1">
      <c r="A23" s="27">
        <v>113.0</v>
      </c>
      <c r="B23" s="28" t="s">
        <v>52844</v>
      </c>
      <c r="C23" s="27">
        <v>135.0</v>
      </c>
      <c r="D23" s="28" t="s">
        <v>52845</v>
      </c>
      <c r="E23" s="28" t="s">
        <v>52846</v>
      </c>
      <c r="F23" s="29">
        <v>97.0</v>
      </c>
      <c r="G23" s="27">
        <v>1.35130979E8</v>
      </c>
    </row>
    <row r="24" ht="12.75" customHeight="1">
      <c r="A24" s="31">
        <v>113.0</v>
      </c>
      <c r="B24" s="32" t="s">
        <v>52847</v>
      </c>
      <c r="C24" s="31">
        <v>135.0</v>
      </c>
      <c r="D24" s="32" t="s">
        <v>52848</v>
      </c>
      <c r="E24" s="32" t="s">
        <v>52849</v>
      </c>
      <c r="F24" s="31">
        <v>118.0</v>
      </c>
      <c r="G24" s="31">
        <v>1.35131181E8</v>
      </c>
    </row>
    <row r="25" ht="12.75" customHeight="1">
      <c r="A25" s="27">
        <v>113.0</v>
      </c>
      <c r="B25" s="28" t="s">
        <v>52850</v>
      </c>
      <c r="C25" s="27">
        <v>135.0</v>
      </c>
      <c r="D25" s="28" t="s">
        <v>52851</v>
      </c>
      <c r="E25" s="28" t="s">
        <v>52852</v>
      </c>
      <c r="F25" s="27">
        <v>130.0</v>
      </c>
      <c r="G25" s="27">
        <v>1.35131307E8</v>
      </c>
    </row>
    <row r="26" ht="12.75" customHeight="1">
      <c r="A26" s="31">
        <v>113.0</v>
      </c>
      <c r="B26" s="32" t="s">
        <v>52853</v>
      </c>
      <c r="C26" s="31">
        <v>135.0</v>
      </c>
      <c r="D26" s="32" t="s">
        <v>52854</v>
      </c>
      <c r="E26" s="32" t="s">
        <v>52855</v>
      </c>
      <c r="F26" s="31">
        <v>142.0</v>
      </c>
      <c r="G26" s="31">
        <v>1.35131428E8</v>
      </c>
    </row>
    <row r="27" ht="12.75" customHeight="1">
      <c r="A27" s="27">
        <v>113.0</v>
      </c>
      <c r="B27" s="28" t="s">
        <v>52856</v>
      </c>
      <c r="C27" s="27">
        <v>135.0</v>
      </c>
      <c r="D27" s="28" t="s">
        <v>52857</v>
      </c>
      <c r="E27" s="28" t="s">
        <v>52858</v>
      </c>
      <c r="F27" s="27">
        <v>148.0</v>
      </c>
      <c r="G27" s="27">
        <v>1.35131486E8</v>
      </c>
    </row>
    <row r="28" ht="12.75" customHeight="1">
      <c r="A28" s="31">
        <v>113.0</v>
      </c>
      <c r="B28" s="32" t="s">
        <v>52859</v>
      </c>
      <c r="C28" s="31">
        <v>135.0</v>
      </c>
      <c r="D28" s="32" t="s">
        <v>52860</v>
      </c>
      <c r="E28" s="32" t="s">
        <v>52861</v>
      </c>
      <c r="F28" s="31">
        <v>160.0</v>
      </c>
      <c r="G28" s="31">
        <v>1.35131602E8</v>
      </c>
    </row>
    <row r="29" ht="12.75" customHeight="1">
      <c r="A29" s="27">
        <v>113.0</v>
      </c>
      <c r="B29" s="28" t="s">
        <v>52862</v>
      </c>
      <c r="C29" s="27">
        <v>135.0</v>
      </c>
      <c r="D29" s="28" t="s">
        <v>52863</v>
      </c>
      <c r="E29" s="28" t="s">
        <v>52864</v>
      </c>
      <c r="F29" s="27">
        <v>184.0</v>
      </c>
      <c r="G29" s="27">
        <v>1.35131844E8</v>
      </c>
    </row>
    <row r="30" ht="12.75" customHeight="1">
      <c r="A30" s="31">
        <v>113.0</v>
      </c>
      <c r="B30" s="32" t="s">
        <v>52865</v>
      </c>
      <c r="C30" s="31">
        <v>135.0</v>
      </c>
      <c r="D30" s="32" t="s">
        <v>52866</v>
      </c>
      <c r="E30" s="32" t="s">
        <v>52867</v>
      </c>
      <c r="F30" s="31">
        <v>190.0</v>
      </c>
      <c r="G30" s="31">
        <v>1.35131907E8</v>
      </c>
    </row>
    <row r="31" ht="12.75" customHeight="1">
      <c r="A31" s="27">
        <v>113.0</v>
      </c>
      <c r="B31" s="28" t="s">
        <v>52868</v>
      </c>
      <c r="C31" s="27">
        <v>135.0</v>
      </c>
      <c r="D31" s="28" t="s">
        <v>52869</v>
      </c>
      <c r="E31" s="28" t="s">
        <v>52870</v>
      </c>
      <c r="F31" s="27">
        <v>211.0</v>
      </c>
      <c r="G31" s="27">
        <v>1.35132119E8</v>
      </c>
    </row>
    <row r="32" ht="12.75" customHeight="1">
      <c r="A32" s="31">
        <v>215.0</v>
      </c>
      <c r="B32" s="32" t="s">
        <v>52871</v>
      </c>
      <c r="C32" s="31">
        <v>135.0</v>
      </c>
      <c r="D32" s="32" t="s">
        <v>52872</v>
      </c>
      <c r="E32" s="32" t="s">
        <v>52873</v>
      </c>
      <c r="F32" s="33">
        <v>31.0</v>
      </c>
      <c r="G32" s="31">
        <v>1.35150317E8</v>
      </c>
    </row>
    <row r="33" ht="12.75" customHeight="1">
      <c r="A33" s="27">
        <v>215.0</v>
      </c>
      <c r="B33" s="28" t="s">
        <v>52874</v>
      </c>
      <c r="C33" s="27">
        <v>135.0</v>
      </c>
      <c r="D33" s="28" t="s">
        <v>52875</v>
      </c>
      <c r="E33" s="28" t="s">
        <v>52876</v>
      </c>
      <c r="F33" s="29">
        <v>37.0</v>
      </c>
      <c r="G33" s="27">
        <v>1.35150375E8</v>
      </c>
    </row>
    <row r="34" ht="12.75" customHeight="1">
      <c r="A34" s="31">
        <v>215.0</v>
      </c>
      <c r="B34" s="32" t="s">
        <v>52877</v>
      </c>
      <c r="C34" s="31">
        <v>135.0</v>
      </c>
      <c r="D34" s="32" t="s">
        <v>52878</v>
      </c>
      <c r="E34" s="32" t="s">
        <v>52879</v>
      </c>
      <c r="F34" s="33">
        <v>47.0</v>
      </c>
      <c r="G34" s="31">
        <v>1.3515047E8</v>
      </c>
    </row>
    <row r="35" ht="12.75" customHeight="1">
      <c r="A35" s="27">
        <v>215.0</v>
      </c>
      <c r="B35" s="28" t="s">
        <v>52880</v>
      </c>
      <c r="C35" s="27">
        <v>135.0</v>
      </c>
      <c r="D35" s="28" t="s">
        <v>52881</v>
      </c>
      <c r="E35" s="28" t="s">
        <v>52882</v>
      </c>
      <c r="F35" s="29">
        <v>61.0</v>
      </c>
      <c r="G35" s="27">
        <v>1.35150612E8</v>
      </c>
    </row>
    <row r="36" ht="12.75" customHeight="1">
      <c r="A36" s="31">
        <v>215.0</v>
      </c>
      <c r="B36" s="32" t="s">
        <v>52883</v>
      </c>
      <c r="C36" s="31">
        <v>135.0</v>
      </c>
      <c r="D36" s="32" t="s">
        <v>52884</v>
      </c>
      <c r="E36" s="32" t="s">
        <v>52885</v>
      </c>
      <c r="F36" s="33">
        <v>64.0</v>
      </c>
      <c r="G36" s="31">
        <v>1.35150641E8</v>
      </c>
    </row>
    <row r="37" ht="12.75" customHeight="1">
      <c r="A37" s="27">
        <v>215.0</v>
      </c>
      <c r="B37" s="28" t="s">
        <v>52886</v>
      </c>
      <c r="C37" s="27">
        <v>135.0</v>
      </c>
      <c r="D37" s="28" t="s">
        <v>52887</v>
      </c>
      <c r="E37" s="28" t="s">
        <v>52888</v>
      </c>
      <c r="F37" s="29">
        <v>70.0</v>
      </c>
      <c r="G37" s="27">
        <v>1.35150704E8</v>
      </c>
    </row>
    <row r="38" ht="12.75" customHeight="1">
      <c r="A38" s="31">
        <v>215.0</v>
      </c>
      <c r="B38" s="32" t="s">
        <v>52889</v>
      </c>
      <c r="C38" s="31">
        <v>135.0</v>
      </c>
      <c r="D38" s="32" t="s">
        <v>52890</v>
      </c>
      <c r="E38" s="32" t="s">
        <v>52891</v>
      </c>
      <c r="F38" s="33">
        <v>82.0</v>
      </c>
      <c r="G38" s="31">
        <v>1.35150825E8</v>
      </c>
    </row>
    <row r="39" ht="12.75" customHeight="1">
      <c r="A39" s="27">
        <v>215.0</v>
      </c>
      <c r="B39" s="28" t="s">
        <v>52892</v>
      </c>
      <c r="C39" s="27">
        <v>135.0</v>
      </c>
      <c r="D39" s="28" t="s">
        <v>52893</v>
      </c>
      <c r="E39" s="28" t="s">
        <v>52894</v>
      </c>
      <c r="F39" s="29">
        <v>85.0</v>
      </c>
      <c r="G39" s="27">
        <v>1.35150854E8</v>
      </c>
    </row>
    <row r="40" ht="12.75" customHeight="1">
      <c r="A40" s="31">
        <v>215.0</v>
      </c>
      <c r="B40" s="32" t="s">
        <v>52895</v>
      </c>
      <c r="C40" s="31">
        <v>135.0</v>
      </c>
      <c r="D40" s="32" t="s">
        <v>52896</v>
      </c>
      <c r="E40" s="32" t="s">
        <v>52897</v>
      </c>
      <c r="F40" s="31">
        <v>103.0</v>
      </c>
      <c r="G40" s="31">
        <v>1.35151037E8</v>
      </c>
    </row>
    <row r="41" ht="12.75" customHeight="1">
      <c r="A41" s="27">
        <v>215.0</v>
      </c>
      <c r="B41" s="28" t="s">
        <v>52898</v>
      </c>
      <c r="C41" s="27">
        <v>135.0</v>
      </c>
      <c r="D41" s="28" t="s">
        <v>52899</v>
      </c>
      <c r="E41" s="28" t="s">
        <v>52900</v>
      </c>
      <c r="F41" s="27">
        <v>133.0</v>
      </c>
      <c r="G41" s="27">
        <v>1.35151332E8</v>
      </c>
    </row>
    <row r="42" ht="12.75" customHeight="1">
      <c r="A42" s="31">
        <v>215.0</v>
      </c>
      <c r="B42" s="32" t="s">
        <v>52901</v>
      </c>
      <c r="C42" s="31">
        <v>135.0</v>
      </c>
      <c r="D42" s="32" t="s">
        <v>52902</v>
      </c>
      <c r="E42" s="32" t="s">
        <v>52903</v>
      </c>
      <c r="F42" s="31">
        <v>145.0</v>
      </c>
      <c r="G42" s="31">
        <v>1.35151453E8</v>
      </c>
    </row>
    <row r="43" ht="12.75" customHeight="1">
      <c r="A43" s="27">
        <v>215.0</v>
      </c>
      <c r="B43" s="28" t="s">
        <v>52904</v>
      </c>
      <c r="C43" s="27">
        <v>135.0</v>
      </c>
      <c r="D43" s="28" t="s">
        <v>52905</v>
      </c>
      <c r="E43" s="28" t="s">
        <v>52906</v>
      </c>
      <c r="F43" s="27">
        <v>157.0</v>
      </c>
      <c r="G43" s="27">
        <v>1.35151574E8</v>
      </c>
    </row>
    <row r="44" ht="12.75" customHeight="1">
      <c r="A44" s="31">
        <v>215.0</v>
      </c>
      <c r="B44" s="32" t="s">
        <v>52907</v>
      </c>
      <c r="C44" s="31">
        <v>135.0</v>
      </c>
      <c r="D44" s="32" t="s">
        <v>52908</v>
      </c>
      <c r="E44" s="32" t="s">
        <v>52909</v>
      </c>
      <c r="F44" s="31">
        <v>163.0</v>
      </c>
      <c r="G44" s="31">
        <v>1.35151637E8</v>
      </c>
    </row>
    <row r="45" ht="12.75" customHeight="1">
      <c r="A45" s="27">
        <v>215.0</v>
      </c>
      <c r="B45" s="28" t="s">
        <v>52910</v>
      </c>
      <c r="C45" s="27">
        <v>135.0</v>
      </c>
      <c r="D45" s="28" t="s">
        <v>52911</v>
      </c>
      <c r="E45" s="28" t="s">
        <v>52912</v>
      </c>
      <c r="F45" s="27">
        <v>172.0</v>
      </c>
      <c r="G45" s="27">
        <v>1.35151729E8</v>
      </c>
    </row>
    <row r="46" ht="12.75" customHeight="1">
      <c r="A46" s="31">
        <v>215.0</v>
      </c>
      <c r="B46" s="32" t="s">
        <v>52913</v>
      </c>
      <c r="C46" s="31">
        <v>135.0</v>
      </c>
      <c r="D46" s="32" t="s">
        <v>52914</v>
      </c>
      <c r="E46" s="32" t="s">
        <v>52915</v>
      </c>
      <c r="F46" s="31">
        <v>175.0</v>
      </c>
      <c r="G46" s="31">
        <v>1.35151758E8</v>
      </c>
    </row>
    <row r="47" ht="12.75" customHeight="1">
      <c r="A47" s="27">
        <v>215.0</v>
      </c>
      <c r="B47" s="28" t="s">
        <v>52916</v>
      </c>
      <c r="C47" s="27">
        <v>135.0</v>
      </c>
      <c r="D47" s="28" t="s">
        <v>52917</v>
      </c>
      <c r="E47" s="28" t="s">
        <v>52918</v>
      </c>
      <c r="F47" s="27">
        <v>199.0</v>
      </c>
      <c r="G47" s="27">
        <v>1.3515199E8</v>
      </c>
    </row>
    <row r="48" ht="12.75" customHeight="1">
      <c r="A48" s="31">
        <v>215.0</v>
      </c>
      <c r="B48" s="32" t="s">
        <v>52919</v>
      </c>
      <c r="C48" s="31">
        <v>135.0</v>
      </c>
      <c r="D48" s="32" t="s">
        <v>52920</v>
      </c>
      <c r="E48" s="32" t="s">
        <v>52921</v>
      </c>
      <c r="F48" s="31">
        <v>208.0</v>
      </c>
      <c r="G48" s="31">
        <v>1.35152081E8</v>
      </c>
    </row>
    <row r="49" ht="12.75" customHeight="1">
      <c r="A49" s="27">
        <v>215.0</v>
      </c>
      <c r="B49" s="28" t="s">
        <v>52922</v>
      </c>
      <c r="C49" s="27">
        <v>135.0</v>
      </c>
      <c r="D49" s="28" t="s">
        <v>52923</v>
      </c>
      <c r="E49" s="28" t="s">
        <v>52924</v>
      </c>
      <c r="F49" s="27">
        <v>217.0</v>
      </c>
      <c r="G49" s="27">
        <v>1.35152173E8</v>
      </c>
    </row>
    <row r="50" ht="12.75" customHeight="1">
      <c r="A50" s="31">
        <v>215.0</v>
      </c>
      <c r="B50" s="32" t="s">
        <v>52925</v>
      </c>
      <c r="C50" s="31">
        <v>135.0</v>
      </c>
      <c r="D50" s="32" t="s">
        <v>52926</v>
      </c>
      <c r="E50" s="32" t="s">
        <v>52927</v>
      </c>
      <c r="F50" s="31">
        <v>220.0</v>
      </c>
      <c r="G50" s="31">
        <v>1.35152207E8</v>
      </c>
    </row>
    <row r="51" ht="12.75" customHeight="1">
      <c r="A51" s="27">
        <v>215.0</v>
      </c>
      <c r="B51" s="28" t="s">
        <v>52928</v>
      </c>
      <c r="C51" s="27">
        <v>135.0</v>
      </c>
      <c r="D51" s="28" t="s">
        <v>52929</v>
      </c>
      <c r="E51" s="28" t="s">
        <v>52930</v>
      </c>
      <c r="F51" s="27">
        <v>229.0</v>
      </c>
      <c r="G51" s="27">
        <v>1.35152294E8</v>
      </c>
    </row>
    <row r="52" ht="12.75" customHeight="1">
      <c r="A52" s="31">
        <v>215.0</v>
      </c>
      <c r="B52" s="32" t="s">
        <v>52931</v>
      </c>
      <c r="C52" s="31">
        <v>135.0</v>
      </c>
      <c r="D52" s="32" t="s">
        <v>52932</v>
      </c>
      <c r="E52" s="32" t="s">
        <v>52933</v>
      </c>
      <c r="F52" s="31">
        <v>244.0</v>
      </c>
      <c r="G52" s="31">
        <v>1.35152449E8</v>
      </c>
    </row>
    <row r="53" ht="12.75" customHeight="1">
      <c r="A53" s="27">
        <v>215.0</v>
      </c>
      <c r="B53" s="28" t="s">
        <v>52934</v>
      </c>
      <c r="C53" s="27">
        <v>135.0</v>
      </c>
      <c r="D53" s="28" t="s">
        <v>52935</v>
      </c>
      <c r="E53" s="28" t="s">
        <v>52936</v>
      </c>
      <c r="F53" s="27">
        <v>256.0</v>
      </c>
      <c r="G53" s="27">
        <v>1.3515256E8</v>
      </c>
    </row>
    <row r="54" ht="12.75" customHeight="1">
      <c r="A54" s="31">
        <v>215.0</v>
      </c>
      <c r="B54" s="32" t="s">
        <v>52937</v>
      </c>
      <c r="C54" s="31">
        <v>135.0</v>
      </c>
      <c r="D54" s="32" t="s">
        <v>52938</v>
      </c>
      <c r="E54" s="32" t="s">
        <v>52939</v>
      </c>
      <c r="F54" s="31">
        <v>259.0</v>
      </c>
      <c r="G54" s="31">
        <v>1.35152599E8</v>
      </c>
    </row>
    <row r="55" ht="12.75" customHeight="1">
      <c r="A55" s="27">
        <v>215.0</v>
      </c>
      <c r="B55" s="28" t="s">
        <v>52940</v>
      </c>
      <c r="C55" s="27">
        <v>135.0</v>
      </c>
      <c r="D55" s="28" t="s">
        <v>52941</v>
      </c>
      <c r="E55" s="28" t="s">
        <v>52942</v>
      </c>
      <c r="F55" s="27">
        <v>265.0</v>
      </c>
      <c r="G55" s="27">
        <v>1.35152652E8</v>
      </c>
    </row>
    <row r="56" ht="12.75" customHeight="1">
      <c r="A56" s="31">
        <v>215.0</v>
      </c>
      <c r="B56" s="32" t="s">
        <v>52943</v>
      </c>
      <c r="C56" s="31">
        <v>135.0</v>
      </c>
      <c r="D56" s="32" t="s">
        <v>52944</v>
      </c>
      <c r="E56" s="32" t="s">
        <v>52945</v>
      </c>
      <c r="F56" s="31">
        <v>274.0</v>
      </c>
      <c r="G56" s="31">
        <v>1.35152744E8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52946</v>
      </c>
      <c r="C1" s="27">
        <v>135.0</v>
      </c>
      <c r="D1" s="28" t="s">
        <v>52947</v>
      </c>
      <c r="E1" s="28" t="s">
        <v>52948</v>
      </c>
      <c r="F1" s="27">
        <v>280.0</v>
      </c>
      <c r="G1" s="27">
        <v>1.35152807E8</v>
      </c>
    </row>
    <row r="2" ht="12.75" customHeight="1">
      <c r="A2" s="31">
        <v>215.0</v>
      </c>
      <c r="B2" s="32" t="s">
        <v>52949</v>
      </c>
      <c r="C2" s="31">
        <v>135.0</v>
      </c>
      <c r="D2" s="32" t="s">
        <v>52950</v>
      </c>
      <c r="E2" s="32" t="s">
        <v>52951</v>
      </c>
      <c r="F2" s="31">
        <v>283.0</v>
      </c>
      <c r="G2" s="31">
        <v>1.35152836E8</v>
      </c>
    </row>
    <row r="3" ht="12.75" customHeight="1">
      <c r="A3" s="27">
        <v>215.0</v>
      </c>
      <c r="B3" s="28" t="s">
        <v>52952</v>
      </c>
      <c r="C3" s="27">
        <v>135.0</v>
      </c>
      <c r="D3" s="28" t="s">
        <v>52953</v>
      </c>
      <c r="E3" s="28" t="s">
        <v>52954</v>
      </c>
      <c r="F3" s="27">
        <v>301.0</v>
      </c>
      <c r="G3" s="27">
        <v>1.35153019E8</v>
      </c>
    </row>
    <row r="4" ht="12.75" customHeight="1">
      <c r="A4" s="31">
        <v>215.0</v>
      </c>
      <c r="B4" s="32" t="s">
        <v>52955</v>
      </c>
      <c r="C4" s="31">
        <v>135.0</v>
      </c>
      <c r="D4" s="32" t="s">
        <v>52956</v>
      </c>
      <c r="E4" s="32" t="s">
        <v>52957</v>
      </c>
      <c r="F4" s="31">
        <v>310.0</v>
      </c>
      <c r="G4" s="31">
        <v>1.35153101E8</v>
      </c>
    </row>
    <row r="5" ht="12.75" customHeight="1">
      <c r="A5" s="27">
        <v>215.0</v>
      </c>
      <c r="B5" s="28" t="s">
        <v>52958</v>
      </c>
      <c r="C5" s="27">
        <v>135.0</v>
      </c>
      <c r="D5" s="28" t="s">
        <v>52959</v>
      </c>
      <c r="E5" s="28" t="s">
        <v>52960</v>
      </c>
      <c r="F5" s="27">
        <v>322.0</v>
      </c>
      <c r="G5" s="27">
        <v>1.35153222E8</v>
      </c>
    </row>
    <row r="6" ht="12.75" customHeight="1">
      <c r="A6" s="31">
        <v>215.0</v>
      </c>
      <c r="B6" s="32" t="s">
        <v>52961</v>
      </c>
      <c r="C6" s="31">
        <v>135.0</v>
      </c>
      <c r="D6" s="32" t="s">
        <v>52962</v>
      </c>
      <c r="E6" s="32" t="s">
        <v>52963</v>
      </c>
      <c r="F6" s="31">
        <v>355.0</v>
      </c>
      <c r="G6" s="31">
        <v>1.35153556E8</v>
      </c>
    </row>
    <row r="7" ht="12.75" customHeight="1">
      <c r="A7" s="27">
        <v>215.0</v>
      </c>
      <c r="B7" s="28" t="s">
        <v>52964</v>
      </c>
      <c r="C7" s="27">
        <v>135.0</v>
      </c>
      <c r="D7" s="28" t="s">
        <v>52965</v>
      </c>
      <c r="E7" s="28" t="s">
        <v>52966</v>
      </c>
      <c r="F7" s="27">
        <v>361.0</v>
      </c>
      <c r="G7" s="27">
        <v>1.35153619E8</v>
      </c>
    </row>
    <row r="8" ht="12.75" customHeight="1">
      <c r="A8" s="31">
        <v>215.0</v>
      </c>
      <c r="B8" s="32" t="s">
        <v>52967</v>
      </c>
      <c r="C8" s="31">
        <v>135.0</v>
      </c>
      <c r="D8" s="32" t="s">
        <v>52968</v>
      </c>
      <c r="E8" s="32" t="s">
        <v>52969</v>
      </c>
      <c r="F8" s="31">
        <v>364.0</v>
      </c>
      <c r="G8" s="31">
        <v>1.35153648E8</v>
      </c>
    </row>
    <row r="9" ht="12.75" customHeight="1">
      <c r="A9" s="27">
        <v>215.0</v>
      </c>
      <c r="B9" s="28" t="s">
        <v>52970</v>
      </c>
      <c r="C9" s="27">
        <v>135.0</v>
      </c>
      <c r="D9" s="28" t="s">
        <v>52971</v>
      </c>
      <c r="E9" s="28" t="s">
        <v>52972</v>
      </c>
      <c r="F9" s="27">
        <v>373.0</v>
      </c>
      <c r="G9" s="27">
        <v>1.3515373E8</v>
      </c>
    </row>
    <row r="10" ht="12.75" customHeight="1">
      <c r="A10" s="31">
        <v>215.0</v>
      </c>
      <c r="B10" s="32" t="s">
        <v>52973</v>
      </c>
      <c r="C10" s="31">
        <v>135.0</v>
      </c>
      <c r="D10" s="32" t="s">
        <v>52974</v>
      </c>
      <c r="E10" s="32" t="s">
        <v>52975</v>
      </c>
      <c r="F10" s="31">
        <v>391.0</v>
      </c>
      <c r="G10" s="31">
        <v>1.35153914E8</v>
      </c>
    </row>
    <row r="11" ht="12.75" customHeight="1">
      <c r="A11" s="27">
        <v>215.0</v>
      </c>
      <c r="B11" s="28" t="s">
        <v>52976</v>
      </c>
      <c r="C11" s="27">
        <v>135.0</v>
      </c>
      <c r="D11" s="28" t="s">
        <v>52977</v>
      </c>
      <c r="E11" s="28" t="s">
        <v>52978</v>
      </c>
      <c r="F11" s="27">
        <v>400.0</v>
      </c>
      <c r="G11" s="27">
        <v>1.35154005E8</v>
      </c>
    </row>
    <row r="12" ht="12.75" customHeight="1">
      <c r="A12" s="31">
        <v>215.0</v>
      </c>
      <c r="B12" s="32" t="s">
        <v>52979</v>
      </c>
      <c r="C12" s="31">
        <v>135.0</v>
      </c>
      <c r="D12" s="32" t="s">
        <v>52980</v>
      </c>
      <c r="E12" s="32" t="s">
        <v>52981</v>
      </c>
      <c r="F12" s="31">
        <v>406.0</v>
      </c>
      <c r="G12" s="31">
        <v>1.35154063E8</v>
      </c>
    </row>
    <row r="13" ht="12.75" customHeight="1">
      <c r="A13" s="27">
        <v>215.0</v>
      </c>
      <c r="B13" s="28" t="s">
        <v>52982</v>
      </c>
      <c r="C13" s="27">
        <v>135.0</v>
      </c>
      <c r="D13" s="28" t="s">
        <v>52983</v>
      </c>
      <c r="E13" s="28" t="s">
        <v>52984</v>
      </c>
      <c r="F13" s="27">
        <v>409.0</v>
      </c>
      <c r="G13" s="27">
        <v>1.35154092E8</v>
      </c>
    </row>
    <row r="14" ht="12.75" customHeight="1">
      <c r="A14" s="31">
        <v>215.0</v>
      </c>
      <c r="B14" s="32" t="s">
        <v>52985</v>
      </c>
      <c r="C14" s="31">
        <v>135.0</v>
      </c>
      <c r="D14" s="32" t="s">
        <v>52986</v>
      </c>
      <c r="E14" s="32" t="s">
        <v>52987</v>
      </c>
      <c r="F14" s="31">
        <v>415.0</v>
      </c>
      <c r="G14" s="31">
        <v>1.35154155E8</v>
      </c>
    </row>
    <row r="15" ht="12.75" customHeight="1">
      <c r="A15" s="27">
        <v>215.0</v>
      </c>
      <c r="B15" s="28" t="s">
        <v>52988</v>
      </c>
      <c r="C15" s="27">
        <v>135.0</v>
      </c>
      <c r="D15" s="28" t="s">
        <v>52989</v>
      </c>
      <c r="E15" s="28" t="s">
        <v>52990</v>
      </c>
      <c r="F15" s="27">
        <v>430.0</v>
      </c>
      <c r="G15" s="27">
        <v>1.351543E8</v>
      </c>
    </row>
    <row r="16" ht="12.75" customHeight="1">
      <c r="A16" s="31">
        <v>215.0</v>
      </c>
      <c r="B16" s="32" t="s">
        <v>52991</v>
      </c>
      <c r="C16" s="31">
        <v>135.0</v>
      </c>
      <c r="D16" s="32" t="s">
        <v>52992</v>
      </c>
      <c r="E16" s="32" t="s">
        <v>52993</v>
      </c>
      <c r="F16" s="31">
        <v>439.0</v>
      </c>
      <c r="G16" s="31">
        <v>1.35154397E8</v>
      </c>
    </row>
    <row r="17" ht="12.75" customHeight="1">
      <c r="A17" s="27">
        <v>215.0</v>
      </c>
      <c r="B17" s="28" t="s">
        <v>52994</v>
      </c>
      <c r="C17" s="27">
        <v>135.0</v>
      </c>
      <c r="D17" s="28" t="s">
        <v>52995</v>
      </c>
      <c r="E17" s="28" t="s">
        <v>52996</v>
      </c>
      <c r="F17" s="27">
        <v>445.0</v>
      </c>
      <c r="G17" s="27">
        <v>1.3515445E8</v>
      </c>
    </row>
    <row r="18" ht="12.75" customHeight="1">
      <c r="A18" s="31">
        <v>215.0</v>
      </c>
      <c r="B18" s="32" t="s">
        <v>52997</v>
      </c>
      <c r="C18" s="31">
        <v>135.0</v>
      </c>
      <c r="D18" s="32" t="s">
        <v>52998</v>
      </c>
      <c r="E18" s="32" t="s">
        <v>52999</v>
      </c>
      <c r="F18" s="31">
        <v>448.0</v>
      </c>
      <c r="G18" s="31">
        <v>1.35154489E8</v>
      </c>
    </row>
    <row r="19" ht="12.75" customHeight="1">
      <c r="A19" s="27">
        <v>215.0</v>
      </c>
      <c r="B19" s="28" t="s">
        <v>53000</v>
      </c>
      <c r="C19" s="27">
        <v>135.0</v>
      </c>
      <c r="D19" s="28" t="s">
        <v>53001</v>
      </c>
      <c r="E19" s="28" t="s">
        <v>53002</v>
      </c>
      <c r="F19" s="27">
        <v>454.0</v>
      </c>
      <c r="G19" s="27">
        <v>1.35154542E8</v>
      </c>
    </row>
    <row r="20" ht="12.75" customHeight="1">
      <c r="A20" s="31">
        <v>215.0</v>
      </c>
      <c r="B20" s="32" t="s">
        <v>53003</v>
      </c>
      <c r="C20" s="31">
        <v>135.0</v>
      </c>
      <c r="D20" s="32" t="s">
        <v>53004</v>
      </c>
      <c r="E20" s="32" t="s">
        <v>53005</v>
      </c>
      <c r="F20" s="31">
        <v>466.0</v>
      </c>
      <c r="G20" s="31">
        <v>1.35154663E8</v>
      </c>
    </row>
    <row r="21" ht="12.75" customHeight="1">
      <c r="A21" s="27">
        <v>215.0</v>
      </c>
      <c r="B21" s="28" t="s">
        <v>53006</v>
      </c>
      <c r="C21" s="27">
        <v>135.0</v>
      </c>
      <c r="D21" s="28" t="s">
        <v>53007</v>
      </c>
      <c r="E21" s="28" t="s">
        <v>53008</v>
      </c>
      <c r="F21" s="27">
        <v>499.0</v>
      </c>
      <c r="G21" s="27">
        <v>1.35154997E8</v>
      </c>
    </row>
    <row r="22" ht="12.75" customHeight="1">
      <c r="A22" s="31">
        <v>215.0</v>
      </c>
      <c r="B22" s="32" t="s">
        <v>53009</v>
      </c>
      <c r="C22" s="31">
        <v>135.0</v>
      </c>
      <c r="D22" s="32" t="s">
        <v>53010</v>
      </c>
      <c r="E22" s="32" t="s">
        <v>53011</v>
      </c>
      <c r="F22" s="31">
        <v>505.0</v>
      </c>
      <c r="G22" s="31">
        <v>1.35155059E8</v>
      </c>
    </row>
    <row r="23" ht="12.75" customHeight="1">
      <c r="A23" s="27">
        <v>215.0</v>
      </c>
      <c r="B23" s="28" t="s">
        <v>53012</v>
      </c>
      <c r="C23" s="27">
        <v>135.0</v>
      </c>
      <c r="D23" s="28" t="s">
        <v>53013</v>
      </c>
      <c r="E23" s="28" t="s">
        <v>53014</v>
      </c>
      <c r="F23" s="27">
        <v>523.0</v>
      </c>
      <c r="G23" s="27">
        <v>1.35155233E8</v>
      </c>
    </row>
    <row r="24" ht="12.75" customHeight="1">
      <c r="A24" s="31">
        <v>215.0</v>
      </c>
      <c r="B24" s="32" t="s">
        <v>53015</v>
      </c>
      <c r="C24" s="31">
        <v>135.0</v>
      </c>
      <c r="D24" s="32" t="s">
        <v>53016</v>
      </c>
      <c r="E24" s="32" t="s">
        <v>53017</v>
      </c>
      <c r="F24" s="31">
        <v>532.0</v>
      </c>
      <c r="G24" s="31">
        <v>1.35155325E8</v>
      </c>
    </row>
    <row r="25" ht="12.75" customHeight="1">
      <c r="A25" s="27">
        <v>215.0</v>
      </c>
      <c r="B25" s="28" t="s">
        <v>53018</v>
      </c>
      <c r="C25" s="27">
        <v>135.0</v>
      </c>
      <c r="D25" s="28" t="s">
        <v>53019</v>
      </c>
      <c r="E25" s="28" t="s">
        <v>53020</v>
      </c>
      <c r="F25" s="27">
        <v>559.0</v>
      </c>
      <c r="G25" s="27">
        <v>1.35155596E8</v>
      </c>
    </row>
    <row r="26" ht="12.75" customHeight="1">
      <c r="A26" s="31">
        <v>215.0</v>
      </c>
      <c r="B26" s="32" t="s">
        <v>53021</v>
      </c>
      <c r="C26" s="31">
        <v>135.0</v>
      </c>
      <c r="D26" s="32" t="s">
        <v>53022</v>
      </c>
      <c r="E26" s="32" t="s">
        <v>53023</v>
      </c>
      <c r="F26" s="31">
        <v>565.0</v>
      </c>
      <c r="G26" s="31">
        <v>1.35155659E8</v>
      </c>
    </row>
    <row r="27" ht="12.75" customHeight="1">
      <c r="A27" s="27">
        <v>215.0</v>
      </c>
      <c r="B27" s="28" t="s">
        <v>53024</v>
      </c>
      <c r="C27" s="27">
        <v>135.0</v>
      </c>
      <c r="D27" s="28" t="s">
        <v>53025</v>
      </c>
      <c r="E27" s="28" t="s">
        <v>53026</v>
      </c>
      <c r="F27" s="27">
        <v>589.0</v>
      </c>
      <c r="G27" s="27">
        <v>1.35155891E8</v>
      </c>
    </row>
    <row r="28" ht="12.75" customHeight="1">
      <c r="A28" s="31">
        <v>215.0</v>
      </c>
      <c r="B28" s="32" t="s">
        <v>53027</v>
      </c>
      <c r="C28" s="31">
        <v>135.0</v>
      </c>
      <c r="D28" s="32" t="s">
        <v>53028</v>
      </c>
      <c r="E28" s="32" t="s">
        <v>53029</v>
      </c>
      <c r="F28" s="31">
        <v>592.0</v>
      </c>
      <c r="G28" s="31">
        <v>1.35155925E8</v>
      </c>
    </row>
    <row r="29" ht="12.75" customHeight="1">
      <c r="A29" s="27">
        <v>215.0</v>
      </c>
      <c r="B29" s="28" t="s">
        <v>53030</v>
      </c>
      <c r="C29" s="27">
        <v>135.0</v>
      </c>
      <c r="D29" s="28" t="s">
        <v>53031</v>
      </c>
      <c r="E29" s="28" t="s">
        <v>53032</v>
      </c>
      <c r="F29" s="27">
        <v>616.0</v>
      </c>
      <c r="G29" s="27">
        <v>1.35156166E8</v>
      </c>
    </row>
    <row r="30" ht="12.75" customHeight="1">
      <c r="A30" s="31">
        <v>215.0</v>
      </c>
      <c r="B30" s="32" t="s">
        <v>53033</v>
      </c>
      <c r="C30" s="31">
        <v>135.0</v>
      </c>
      <c r="D30" s="32" t="s">
        <v>53034</v>
      </c>
      <c r="E30" s="32" t="s">
        <v>53035</v>
      </c>
      <c r="F30" s="31">
        <v>619.0</v>
      </c>
      <c r="G30" s="31">
        <v>1.35156195E8</v>
      </c>
    </row>
    <row r="31" ht="12.75" customHeight="1">
      <c r="A31" s="27">
        <v>215.0</v>
      </c>
      <c r="B31" s="28" t="s">
        <v>53036</v>
      </c>
      <c r="C31" s="27">
        <v>135.0</v>
      </c>
      <c r="D31" s="28" t="s">
        <v>53037</v>
      </c>
      <c r="E31" s="28" t="s">
        <v>53038</v>
      </c>
      <c r="F31" s="27">
        <v>628.0</v>
      </c>
      <c r="G31" s="27">
        <v>1.35156287E8</v>
      </c>
    </row>
    <row r="32" ht="12.75" customHeight="1">
      <c r="A32" s="31">
        <v>215.0</v>
      </c>
      <c r="B32" s="32" t="s">
        <v>53039</v>
      </c>
      <c r="C32" s="31">
        <v>135.0</v>
      </c>
      <c r="D32" s="32" t="s">
        <v>53040</v>
      </c>
      <c r="E32" s="32" t="s">
        <v>53041</v>
      </c>
      <c r="F32" s="31">
        <v>631.0</v>
      </c>
      <c r="G32" s="31">
        <v>1.35156311E8</v>
      </c>
    </row>
    <row r="33" ht="12.75" customHeight="1">
      <c r="A33" s="27">
        <v>215.0</v>
      </c>
      <c r="B33" s="28" t="s">
        <v>53042</v>
      </c>
      <c r="C33" s="27">
        <v>135.0</v>
      </c>
      <c r="D33" s="28" t="s">
        <v>53043</v>
      </c>
      <c r="E33" s="28" t="s">
        <v>53044</v>
      </c>
      <c r="F33" s="27">
        <v>652.0</v>
      </c>
      <c r="G33" s="27">
        <v>1.35156524E8</v>
      </c>
    </row>
    <row r="34" ht="12.75" customHeight="1">
      <c r="A34" s="31">
        <v>215.0</v>
      </c>
      <c r="B34" s="32" t="s">
        <v>53045</v>
      </c>
      <c r="C34" s="31">
        <v>135.0</v>
      </c>
      <c r="D34" s="32" t="s">
        <v>53046</v>
      </c>
      <c r="E34" s="32" t="s">
        <v>53047</v>
      </c>
      <c r="F34" s="31">
        <v>664.0</v>
      </c>
      <c r="G34" s="31">
        <v>1.35156645E8</v>
      </c>
    </row>
    <row r="35" ht="12.75" customHeight="1">
      <c r="A35" s="27">
        <v>215.0</v>
      </c>
      <c r="B35" s="28" t="s">
        <v>53048</v>
      </c>
      <c r="C35" s="27">
        <v>135.0</v>
      </c>
      <c r="D35" s="28" t="s">
        <v>53049</v>
      </c>
      <c r="E35" s="28" t="s">
        <v>53050</v>
      </c>
      <c r="F35" s="27">
        <v>670.0</v>
      </c>
      <c r="G35" s="27">
        <v>1.35156708E8</v>
      </c>
    </row>
    <row r="36" ht="12.75" customHeight="1">
      <c r="A36" s="31">
        <v>215.0</v>
      </c>
      <c r="B36" s="32" t="s">
        <v>53051</v>
      </c>
      <c r="C36" s="31">
        <v>135.0</v>
      </c>
      <c r="D36" s="32" t="s">
        <v>53052</v>
      </c>
      <c r="E36" s="32" t="s">
        <v>53053</v>
      </c>
      <c r="F36" s="31">
        <v>673.0</v>
      </c>
      <c r="G36" s="31">
        <v>1.35156737E8</v>
      </c>
    </row>
    <row r="37" ht="12.75" customHeight="1">
      <c r="A37" s="27">
        <v>215.0</v>
      </c>
      <c r="B37" s="28" t="s">
        <v>53054</v>
      </c>
      <c r="C37" s="27">
        <v>135.0</v>
      </c>
      <c r="D37" s="28" t="s">
        <v>53055</v>
      </c>
      <c r="E37" s="28" t="s">
        <v>53056</v>
      </c>
      <c r="F37" s="27">
        <v>685.0</v>
      </c>
      <c r="G37" s="27">
        <v>1.35156858E8</v>
      </c>
    </row>
    <row r="38" ht="12.75" customHeight="1">
      <c r="A38" s="31">
        <v>215.0</v>
      </c>
      <c r="B38" s="32" t="s">
        <v>53057</v>
      </c>
      <c r="C38" s="31">
        <v>135.0</v>
      </c>
      <c r="D38" s="32" t="s">
        <v>53058</v>
      </c>
      <c r="E38" s="32" t="s">
        <v>53059</v>
      </c>
      <c r="F38" s="31">
        <v>700.0</v>
      </c>
      <c r="G38" s="31">
        <v>1.35157002E8</v>
      </c>
    </row>
    <row r="39" ht="12.75" customHeight="1">
      <c r="A39" s="27">
        <v>215.0</v>
      </c>
      <c r="B39" s="28" t="s">
        <v>53060</v>
      </c>
      <c r="C39" s="27">
        <v>135.0</v>
      </c>
      <c r="D39" s="28" t="s">
        <v>53061</v>
      </c>
      <c r="E39" s="28" t="s">
        <v>53062</v>
      </c>
      <c r="F39" s="27">
        <v>718.0</v>
      </c>
      <c r="G39" s="27">
        <v>1.35157181E8</v>
      </c>
    </row>
    <row r="40" ht="12.75" customHeight="1">
      <c r="A40" s="31">
        <v>215.0</v>
      </c>
      <c r="B40" s="32" t="s">
        <v>53063</v>
      </c>
      <c r="C40" s="31">
        <v>135.0</v>
      </c>
      <c r="D40" s="32" t="s">
        <v>53064</v>
      </c>
      <c r="E40" s="32" t="s">
        <v>53065</v>
      </c>
      <c r="F40" s="31">
        <v>739.0</v>
      </c>
      <c r="G40" s="31">
        <v>1.35157394E8</v>
      </c>
    </row>
    <row r="41" ht="12.75" customHeight="1">
      <c r="A41" s="27">
        <v>215.0</v>
      </c>
      <c r="B41" s="28" t="s">
        <v>53066</v>
      </c>
      <c r="C41" s="27">
        <v>135.0</v>
      </c>
      <c r="D41" s="28" t="s">
        <v>53067</v>
      </c>
      <c r="E41" s="28" t="s">
        <v>53068</v>
      </c>
      <c r="F41" s="27">
        <v>745.0</v>
      </c>
      <c r="G41" s="27">
        <v>1.35157457E8</v>
      </c>
    </row>
    <row r="42" ht="12.75" customHeight="1">
      <c r="A42" s="31">
        <v>215.0</v>
      </c>
      <c r="B42" s="32" t="s">
        <v>53069</v>
      </c>
      <c r="C42" s="31">
        <v>135.0</v>
      </c>
      <c r="D42" s="32" t="s">
        <v>53070</v>
      </c>
      <c r="E42" s="32" t="s">
        <v>53071</v>
      </c>
      <c r="F42" s="31">
        <v>757.0</v>
      </c>
      <c r="G42" s="31">
        <v>1.35157578E8</v>
      </c>
    </row>
    <row r="43" ht="12.75" customHeight="1">
      <c r="A43" s="27">
        <v>215.0</v>
      </c>
      <c r="B43" s="28" t="s">
        <v>53072</v>
      </c>
      <c r="C43" s="27">
        <v>135.0</v>
      </c>
      <c r="D43" s="28" t="s">
        <v>53073</v>
      </c>
      <c r="E43" s="28" t="s">
        <v>53074</v>
      </c>
      <c r="F43" s="27">
        <v>763.0</v>
      </c>
      <c r="G43" s="27">
        <v>1.35157631E8</v>
      </c>
    </row>
    <row r="44" ht="12.75" customHeight="1">
      <c r="A44" s="31">
        <v>215.0</v>
      </c>
      <c r="B44" s="32" t="s">
        <v>53075</v>
      </c>
      <c r="C44" s="31">
        <v>135.0</v>
      </c>
      <c r="D44" s="32" t="s">
        <v>53076</v>
      </c>
      <c r="E44" s="32" t="s">
        <v>53077</v>
      </c>
      <c r="F44" s="31">
        <v>775.0</v>
      </c>
      <c r="G44" s="31">
        <v>1.35157752E8</v>
      </c>
    </row>
    <row r="45" ht="12.75" customHeight="1">
      <c r="A45" s="27">
        <v>418.0</v>
      </c>
      <c r="B45" s="28" t="s">
        <v>53078</v>
      </c>
      <c r="C45" s="27">
        <v>135.0</v>
      </c>
      <c r="D45" s="28" t="s">
        <v>53079</v>
      </c>
      <c r="E45" s="28" t="s">
        <v>53080</v>
      </c>
      <c r="F45" s="29">
        <v>4.0</v>
      </c>
      <c r="G45" s="27">
        <v>1.3518004E8</v>
      </c>
    </row>
    <row r="46" ht="12.75" customHeight="1">
      <c r="A46" s="31">
        <v>418.0</v>
      </c>
      <c r="B46" s="32" t="s">
        <v>53081</v>
      </c>
      <c r="C46" s="31">
        <v>135.0</v>
      </c>
      <c r="D46" s="32" t="s">
        <v>53082</v>
      </c>
      <c r="E46" s="32" t="s">
        <v>53083</v>
      </c>
      <c r="F46" s="33">
        <v>22.0</v>
      </c>
      <c r="G46" s="31">
        <v>1.35180224E8</v>
      </c>
    </row>
    <row r="47" ht="12.75" customHeight="1">
      <c r="A47" s="27">
        <v>418.0</v>
      </c>
      <c r="B47" s="28" t="s">
        <v>53084</v>
      </c>
      <c r="C47" s="27">
        <v>135.0</v>
      </c>
      <c r="D47" s="28" t="s">
        <v>53085</v>
      </c>
      <c r="E47" s="28" t="s">
        <v>53086</v>
      </c>
      <c r="F47" s="29">
        <v>25.0</v>
      </c>
      <c r="G47" s="27">
        <v>1.35180253E8</v>
      </c>
    </row>
    <row r="48" ht="12.75" customHeight="1">
      <c r="A48" s="31">
        <v>418.0</v>
      </c>
      <c r="B48" s="32" t="s">
        <v>53087</v>
      </c>
      <c r="C48" s="31">
        <v>135.0</v>
      </c>
      <c r="D48" s="32" t="s">
        <v>53088</v>
      </c>
      <c r="E48" s="32" t="s">
        <v>53089</v>
      </c>
      <c r="F48" s="33">
        <v>31.0</v>
      </c>
      <c r="G48" s="31">
        <v>1.35180316E8</v>
      </c>
    </row>
    <row r="49" ht="12.75" customHeight="1">
      <c r="A49" s="27">
        <v>418.0</v>
      </c>
      <c r="B49" s="28" t="s">
        <v>53090</v>
      </c>
      <c r="C49" s="27">
        <v>135.0</v>
      </c>
      <c r="D49" s="28" t="s">
        <v>53091</v>
      </c>
      <c r="E49" s="28" t="s">
        <v>53092</v>
      </c>
      <c r="F49" s="29">
        <v>46.0</v>
      </c>
      <c r="G49" s="27">
        <v>1.35180466E8</v>
      </c>
    </row>
    <row r="50" ht="12.75" customHeight="1">
      <c r="A50" s="31">
        <v>418.0</v>
      </c>
      <c r="B50" s="32" t="s">
        <v>53093</v>
      </c>
      <c r="C50" s="31">
        <v>135.0</v>
      </c>
      <c r="D50" s="32" t="s">
        <v>53094</v>
      </c>
      <c r="E50" s="32" t="s">
        <v>53095</v>
      </c>
      <c r="F50" s="33">
        <v>58.0</v>
      </c>
      <c r="G50" s="31">
        <v>1.35180587E8</v>
      </c>
    </row>
    <row r="51" ht="12.75" customHeight="1">
      <c r="A51" s="27">
        <v>418.0</v>
      </c>
      <c r="B51" s="28" t="s">
        <v>53096</v>
      </c>
      <c r="C51" s="27">
        <v>135.0</v>
      </c>
      <c r="D51" s="28" t="s">
        <v>53097</v>
      </c>
      <c r="E51" s="28" t="s">
        <v>53098</v>
      </c>
      <c r="F51" s="29">
        <v>67.0</v>
      </c>
      <c r="G51" s="27">
        <v>1.35180679E8</v>
      </c>
    </row>
    <row r="52" ht="12.75" customHeight="1">
      <c r="A52" s="31">
        <v>119.0</v>
      </c>
      <c r="B52" s="32" t="s">
        <v>53099</v>
      </c>
      <c r="C52" s="31">
        <v>135.0</v>
      </c>
      <c r="D52" s="32" t="s">
        <v>53100</v>
      </c>
      <c r="E52" s="32" t="s">
        <v>53101</v>
      </c>
      <c r="F52" s="33">
        <v>4.0</v>
      </c>
      <c r="G52" s="31">
        <v>1.35190043E8</v>
      </c>
    </row>
    <row r="53" ht="12.75" customHeight="1">
      <c r="A53" s="27">
        <v>119.0</v>
      </c>
      <c r="B53" s="28" t="s">
        <v>53102</v>
      </c>
      <c r="C53" s="27">
        <v>135.0</v>
      </c>
      <c r="D53" s="28" t="s">
        <v>53103</v>
      </c>
      <c r="E53" s="28" t="s">
        <v>53104</v>
      </c>
      <c r="F53" s="29">
        <v>10.0</v>
      </c>
      <c r="G53" s="27">
        <v>1.35190106E8</v>
      </c>
    </row>
    <row r="54" ht="12.75" customHeight="1">
      <c r="A54" s="31">
        <v>119.0</v>
      </c>
      <c r="B54" s="32" t="s">
        <v>53105</v>
      </c>
      <c r="C54" s="31">
        <v>135.0</v>
      </c>
      <c r="D54" s="32" t="s">
        <v>53106</v>
      </c>
      <c r="E54" s="32" t="s">
        <v>53107</v>
      </c>
      <c r="F54" s="33">
        <v>23.0</v>
      </c>
      <c r="G54" s="31">
        <v>1.3519023E8</v>
      </c>
    </row>
    <row r="55" ht="12.75" customHeight="1">
      <c r="A55" s="27">
        <v>119.0</v>
      </c>
      <c r="B55" s="28" t="s">
        <v>53108</v>
      </c>
      <c r="C55" s="27">
        <v>135.0</v>
      </c>
      <c r="D55" s="28" t="s">
        <v>53109</v>
      </c>
      <c r="E55" s="28" t="s">
        <v>53110</v>
      </c>
      <c r="F55" s="29">
        <v>24.0</v>
      </c>
      <c r="G55" s="27">
        <v>1.35190243E8</v>
      </c>
    </row>
    <row r="56" ht="12.75" customHeight="1">
      <c r="A56" s="31">
        <v>119.0</v>
      </c>
      <c r="B56" s="32" t="s">
        <v>53111</v>
      </c>
      <c r="C56" s="31">
        <v>135.0</v>
      </c>
      <c r="D56" s="32" t="s">
        <v>53112</v>
      </c>
      <c r="E56" s="32" t="s">
        <v>53113</v>
      </c>
      <c r="F56" s="33">
        <v>34.0</v>
      </c>
      <c r="G56" s="31">
        <v>1.35190348E8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119.0</v>
      </c>
      <c r="B1" s="28" t="s">
        <v>53114</v>
      </c>
      <c r="C1" s="27">
        <v>135.0</v>
      </c>
      <c r="D1" s="28" t="s">
        <v>53115</v>
      </c>
      <c r="E1" s="28" t="s">
        <v>53116</v>
      </c>
      <c r="F1" s="29">
        <v>49.0</v>
      </c>
      <c r="G1" s="27">
        <v>1.35190498E8</v>
      </c>
    </row>
    <row r="2" ht="12.75" customHeight="1">
      <c r="A2" s="31">
        <v>119.0</v>
      </c>
      <c r="B2" s="32" t="s">
        <v>53117</v>
      </c>
      <c r="C2" s="31">
        <v>135.0</v>
      </c>
      <c r="D2" s="32" t="s">
        <v>53118</v>
      </c>
      <c r="E2" s="32" t="s">
        <v>53119</v>
      </c>
      <c r="F2" s="33">
        <v>52.0</v>
      </c>
      <c r="G2" s="31">
        <v>1.35190522E8</v>
      </c>
    </row>
    <row r="3" ht="12.75" customHeight="1">
      <c r="A3" s="27">
        <v>119.0</v>
      </c>
      <c r="B3" s="28" t="s">
        <v>53120</v>
      </c>
      <c r="C3" s="27">
        <v>135.0</v>
      </c>
      <c r="D3" s="28" t="s">
        <v>53121</v>
      </c>
      <c r="E3" s="28" t="s">
        <v>53122</v>
      </c>
      <c r="F3" s="29">
        <v>58.0</v>
      </c>
      <c r="G3" s="27">
        <v>1.3519058E8</v>
      </c>
    </row>
    <row r="4" ht="12.75" customHeight="1">
      <c r="A4" s="31">
        <v>119.0</v>
      </c>
      <c r="B4" s="32" t="s">
        <v>53123</v>
      </c>
      <c r="C4" s="31">
        <v>135.0</v>
      </c>
      <c r="D4" s="32" t="s">
        <v>53124</v>
      </c>
      <c r="E4" s="32" t="s">
        <v>53125</v>
      </c>
      <c r="F4" s="33">
        <v>61.0</v>
      </c>
      <c r="G4" s="31">
        <v>1.35190614E8</v>
      </c>
    </row>
    <row r="5" ht="12.75" customHeight="1">
      <c r="A5" s="27">
        <v>119.0</v>
      </c>
      <c r="B5" s="28" t="s">
        <v>53126</v>
      </c>
      <c r="C5" s="27">
        <v>135.0</v>
      </c>
      <c r="D5" s="28" t="s">
        <v>53127</v>
      </c>
      <c r="E5" s="28" t="s">
        <v>53128</v>
      </c>
      <c r="F5" s="29">
        <v>79.0</v>
      </c>
      <c r="G5" s="27">
        <v>1.35190793E8</v>
      </c>
    </row>
    <row r="6" ht="12.75" customHeight="1">
      <c r="A6" s="31">
        <v>119.0</v>
      </c>
      <c r="B6" s="32" t="s">
        <v>53129</v>
      </c>
      <c r="C6" s="31">
        <v>135.0</v>
      </c>
      <c r="D6" s="32" t="s">
        <v>53130</v>
      </c>
      <c r="E6" s="32" t="s">
        <v>53131</v>
      </c>
      <c r="F6" s="33">
        <v>82.0</v>
      </c>
      <c r="G6" s="31">
        <v>1.35190827E8</v>
      </c>
    </row>
    <row r="7" ht="12.75" customHeight="1">
      <c r="A7" s="27">
        <v>119.0</v>
      </c>
      <c r="B7" s="28" t="s">
        <v>53132</v>
      </c>
      <c r="C7" s="27">
        <v>135.0</v>
      </c>
      <c r="D7" s="28" t="s">
        <v>53133</v>
      </c>
      <c r="E7" s="28" t="s">
        <v>53134</v>
      </c>
      <c r="F7" s="29">
        <v>91.0</v>
      </c>
      <c r="G7" s="27">
        <v>1.35190919E8</v>
      </c>
    </row>
    <row r="8" ht="12.75" customHeight="1">
      <c r="A8" s="31">
        <v>119.0</v>
      </c>
      <c r="B8" s="32" t="s">
        <v>53135</v>
      </c>
      <c r="C8" s="31">
        <v>135.0</v>
      </c>
      <c r="D8" s="32" t="s">
        <v>53136</v>
      </c>
      <c r="E8" s="32" t="s">
        <v>53137</v>
      </c>
      <c r="F8" s="33">
        <v>97.0</v>
      </c>
      <c r="G8" s="31">
        <v>1.35190977E8</v>
      </c>
    </row>
    <row r="9" ht="12.75" customHeight="1">
      <c r="A9" s="27">
        <v>119.0</v>
      </c>
      <c r="B9" s="28" t="s">
        <v>53138</v>
      </c>
      <c r="C9" s="27">
        <v>135.0</v>
      </c>
      <c r="D9" s="28" t="s">
        <v>53139</v>
      </c>
      <c r="E9" s="28" t="s">
        <v>53140</v>
      </c>
      <c r="F9" s="27">
        <v>106.0</v>
      </c>
      <c r="G9" s="27">
        <v>1.35191068E8</v>
      </c>
    </row>
    <row r="10" ht="12.75" customHeight="1">
      <c r="A10" s="31">
        <v>119.0</v>
      </c>
      <c r="B10" s="32" t="s">
        <v>53141</v>
      </c>
      <c r="C10" s="31">
        <v>135.0</v>
      </c>
      <c r="D10" s="32" t="s">
        <v>53142</v>
      </c>
      <c r="E10" s="32" t="s">
        <v>53143</v>
      </c>
      <c r="F10" s="31">
        <v>117.0</v>
      </c>
      <c r="G10" s="31">
        <v>1.35191176E8</v>
      </c>
    </row>
    <row r="11" ht="12.75" customHeight="1">
      <c r="A11" s="27">
        <v>119.0</v>
      </c>
      <c r="B11" s="28" t="s">
        <v>53144</v>
      </c>
      <c r="C11" s="27">
        <v>135.0</v>
      </c>
      <c r="D11" s="28" t="s">
        <v>53145</v>
      </c>
      <c r="E11" s="28" t="s">
        <v>53146</v>
      </c>
      <c r="F11" s="27">
        <v>118.0</v>
      </c>
      <c r="G11" s="27">
        <v>1.35191189E8</v>
      </c>
    </row>
    <row r="12" ht="12.75" customHeight="1">
      <c r="A12" s="31">
        <v>119.0</v>
      </c>
      <c r="B12" s="32" t="s">
        <v>53147</v>
      </c>
      <c r="C12" s="31">
        <v>135.0</v>
      </c>
      <c r="D12" s="32" t="s">
        <v>53148</v>
      </c>
      <c r="E12" s="32" t="s">
        <v>53149</v>
      </c>
      <c r="F12" s="31">
        <v>124.0</v>
      </c>
      <c r="G12" s="31">
        <v>1.35191242E8</v>
      </c>
    </row>
    <row r="13" ht="12.75" customHeight="1">
      <c r="A13" s="27">
        <v>119.0</v>
      </c>
      <c r="B13" s="28" t="s">
        <v>53150</v>
      </c>
      <c r="C13" s="27">
        <v>135.0</v>
      </c>
      <c r="D13" s="28" t="s">
        <v>53151</v>
      </c>
      <c r="E13" s="28" t="s">
        <v>53152</v>
      </c>
      <c r="F13" s="27">
        <v>127.0</v>
      </c>
      <c r="G13" s="27">
        <v>1.35191271E8</v>
      </c>
    </row>
    <row r="14" ht="12.75" customHeight="1">
      <c r="A14" s="31">
        <v>119.0</v>
      </c>
      <c r="B14" s="32" t="s">
        <v>53153</v>
      </c>
      <c r="C14" s="31">
        <v>135.0</v>
      </c>
      <c r="D14" s="32" t="s">
        <v>53154</v>
      </c>
      <c r="E14" s="32" t="s">
        <v>53155</v>
      </c>
      <c r="F14" s="31">
        <v>130.0</v>
      </c>
      <c r="G14" s="31">
        <v>1.35191305E8</v>
      </c>
    </row>
    <row r="15" ht="12.75" customHeight="1">
      <c r="A15" s="27">
        <v>119.0</v>
      </c>
      <c r="B15" s="28" t="s">
        <v>53156</v>
      </c>
      <c r="C15" s="27">
        <v>135.0</v>
      </c>
      <c r="D15" s="28" t="s">
        <v>53157</v>
      </c>
      <c r="E15" s="28" t="s">
        <v>53158</v>
      </c>
      <c r="F15" s="27">
        <v>142.0</v>
      </c>
      <c r="G15" s="27">
        <v>1.35191426E8</v>
      </c>
    </row>
    <row r="16" ht="12.75" customHeight="1">
      <c r="A16" s="31">
        <v>119.0</v>
      </c>
      <c r="B16" s="32" t="s">
        <v>53159</v>
      </c>
      <c r="C16" s="31">
        <v>135.0</v>
      </c>
      <c r="D16" s="32" t="s">
        <v>53160</v>
      </c>
      <c r="E16" s="32" t="s">
        <v>53161</v>
      </c>
      <c r="F16" s="31">
        <v>151.0</v>
      </c>
      <c r="G16" s="31">
        <v>1.35191518E8</v>
      </c>
    </row>
    <row r="17" ht="12.75" customHeight="1">
      <c r="A17" s="27">
        <v>119.0</v>
      </c>
      <c r="B17" s="28" t="s">
        <v>53162</v>
      </c>
      <c r="C17" s="27">
        <v>135.0</v>
      </c>
      <c r="D17" s="28" t="s">
        <v>53163</v>
      </c>
      <c r="E17" s="28" t="s">
        <v>53164</v>
      </c>
      <c r="F17" s="27">
        <v>163.0</v>
      </c>
      <c r="G17" s="27">
        <v>1.35191639E8</v>
      </c>
    </row>
    <row r="18" ht="12.75" customHeight="1">
      <c r="A18" s="31">
        <v>119.0</v>
      </c>
      <c r="B18" s="32" t="s">
        <v>53165</v>
      </c>
      <c r="C18" s="31">
        <v>135.0</v>
      </c>
      <c r="D18" s="32" t="s">
        <v>53166</v>
      </c>
      <c r="E18" s="32" t="s">
        <v>53167</v>
      </c>
      <c r="F18" s="31">
        <v>175.0</v>
      </c>
      <c r="G18" s="31">
        <v>1.3519175E8</v>
      </c>
    </row>
    <row r="19" ht="12.75" customHeight="1">
      <c r="A19" s="27">
        <v>119.0</v>
      </c>
      <c r="B19" s="28" t="s">
        <v>53168</v>
      </c>
      <c r="C19" s="27">
        <v>135.0</v>
      </c>
      <c r="D19" s="28" t="s">
        <v>53169</v>
      </c>
      <c r="E19" s="28" t="s">
        <v>53170</v>
      </c>
      <c r="F19" s="27">
        <v>187.0</v>
      </c>
      <c r="G19" s="27">
        <v>1.35191871E8</v>
      </c>
    </row>
    <row r="20" ht="12.75" customHeight="1">
      <c r="A20" s="31">
        <v>119.0</v>
      </c>
      <c r="B20" s="32" t="s">
        <v>53171</v>
      </c>
      <c r="C20" s="31">
        <v>135.0</v>
      </c>
      <c r="D20" s="32" t="s">
        <v>53172</v>
      </c>
      <c r="E20" s="32" t="s">
        <v>53173</v>
      </c>
      <c r="F20" s="31">
        <v>193.0</v>
      </c>
      <c r="G20" s="31">
        <v>1.35191934E8</v>
      </c>
    </row>
    <row r="21" ht="12.75" customHeight="1">
      <c r="A21" s="27">
        <v>119.0</v>
      </c>
      <c r="B21" s="28" t="s">
        <v>53174</v>
      </c>
      <c r="C21" s="27">
        <v>135.0</v>
      </c>
      <c r="D21" s="28" t="s">
        <v>53175</v>
      </c>
      <c r="E21" s="28" t="s">
        <v>53176</v>
      </c>
      <c r="F21" s="27">
        <v>205.0</v>
      </c>
      <c r="G21" s="27">
        <v>1.35192054E8</v>
      </c>
    </row>
    <row r="22" ht="12.75" customHeight="1">
      <c r="A22" s="31">
        <v>119.0</v>
      </c>
      <c r="B22" s="32" t="s">
        <v>53177</v>
      </c>
      <c r="C22" s="31">
        <v>135.0</v>
      </c>
      <c r="D22" s="32" t="s">
        <v>53178</v>
      </c>
      <c r="E22" s="32" t="s">
        <v>53179</v>
      </c>
      <c r="F22" s="31">
        <v>214.0</v>
      </c>
      <c r="G22" s="31">
        <v>1.35192146E8</v>
      </c>
    </row>
    <row r="23" ht="12.75" customHeight="1">
      <c r="A23" s="27">
        <v>119.0</v>
      </c>
      <c r="B23" s="28" t="s">
        <v>53180</v>
      </c>
      <c r="C23" s="27">
        <v>135.0</v>
      </c>
      <c r="D23" s="28" t="s">
        <v>53181</v>
      </c>
      <c r="E23" s="28" t="s">
        <v>53182</v>
      </c>
      <c r="F23" s="27">
        <v>217.0</v>
      </c>
      <c r="G23" s="27">
        <v>1.35192175E8</v>
      </c>
    </row>
    <row r="24" ht="12.75" customHeight="1">
      <c r="A24" s="31">
        <v>119.0</v>
      </c>
      <c r="B24" s="32" t="s">
        <v>53183</v>
      </c>
      <c r="C24" s="31">
        <v>135.0</v>
      </c>
      <c r="D24" s="32" t="s">
        <v>53184</v>
      </c>
      <c r="E24" s="32" t="s">
        <v>53185</v>
      </c>
      <c r="F24" s="31">
        <v>223.0</v>
      </c>
      <c r="G24" s="31">
        <v>1.35192238E8</v>
      </c>
    </row>
    <row r="25" ht="12.75" customHeight="1">
      <c r="A25" s="27">
        <v>119.0</v>
      </c>
      <c r="B25" s="28" t="s">
        <v>53186</v>
      </c>
      <c r="C25" s="27">
        <v>135.0</v>
      </c>
      <c r="D25" s="28" t="s">
        <v>53187</v>
      </c>
      <c r="E25" s="28" t="s">
        <v>53188</v>
      </c>
      <c r="F25" s="27">
        <v>232.0</v>
      </c>
      <c r="G25" s="27">
        <v>1.3519232E8</v>
      </c>
    </row>
    <row r="26" ht="12.75" customHeight="1">
      <c r="A26" s="31">
        <v>119.0</v>
      </c>
      <c r="B26" s="32" t="s">
        <v>53189</v>
      </c>
      <c r="C26" s="31">
        <v>135.0</v>
      </c>
      <c r="D26" s="32" t="s">
        <v>53190</v>
      </c>
      <c r="E26" s="32" t="s">
        <v>53191</v>
      </c>
      <c r="F26" s="31">
        <v>247.0</v>
      </c>
      <c r="G26" s="31">
        <v>1.3519247E8</v>
      </c>
    </row>
    <row r="27" ht="12.75" customHeight="1">
      <c r="A27" s="27">
        <v>119.0</v>
      </c>
      <c r="B27" s="28" t="s">
        <v>53192</v>
      </c>
      <c r="C27" s="27">
        <v>135.0</v>
      </c>
      <c r="D27" s="28" t="s">
        <v>53193</v>
      </c>
      <c r="E27" s="28" t="s">
        <v>53194</v>
      </c>
      <c r="F27" s="27">
        <v>250.0</v>
      </c>
      <c r="G27" s="27">
        <v>1.35192504E8</v>
      </c>
    </row>
    <row r="28" ht="12.75" customHeight="1">
      <c r="A28" s="31">
        <v>119.0</v>
      </c>
      <c r="B28" s="32" t="s">
        <v>53195</v>
      </c>
      <c r="C28" s="31">
        <v>135.0</v>
      </c>
      <c r="D28" s="32" t="s">
        <v>53196</v>
      </c>
      <c r="E28" s="32" t="s">
        <v>53197</v>
      </c>
      <c r="F28" s="31">
        <v>271.0</v>
      </c>
      <c r="G28" s="31">
        <v>1.35192717E8</v>
      </c>
    </row>
    <row r="29" ht="12.75" customHeight="1">
      <c r="A29" s="27">
        <v>119.0</v>
      </c>
      <c r="B29" s="28" t="s">
        <v>53198</v>
      </c>
      <c r="C29" s="27">
        <v>135.0</v>
      </c>
      <c r="D29" s="28" t="s">
        <v>53199</v>
      </c>
      <c r="E29" s="28" t="s">
        <v>53200</v>
      </c>
      <c r="F29" s="27">
        <v>298.0</v>
      </c>
      <c r="G29" s="27">
        <v>1.35192988E8</v>
      </c>
    </row>
    <row r="30" ht="12.75" customHeight="1">
      <c r="A30" s="31">
        <v>119.0</v>
      </c>
      <c r="B30" s="32" t="s">
        <v>53201</v>
      </c>
      <c r="C30" s="31">
        <v>135.0</v>
      </c>
      <c r="D30" s="32" t="s">
        <v>53202</v>
      </c>
      <c r="E30" s="32" t="s">
        <v>53203</v>
      </c>
      <c r="F30" s="31">
        <v>322.0</v>
      </c>
      <c r="G30" s="31">
        <v>1.35193224E8</v>
      </c>
    </row>
    <row r="31" ht="12.75" customHeight="1">
      <c r="A31" s="27">
        <v>119.0</v>
      </c>
      <c r="B31" s="28" t="s">
        <v>53204</v>
      </c>
      <c r="C31" s="27">
        <v>135.0</v>
      </c>
      <c r="D31" s="28" t="s">
        <v>53205</v>
      </c>
      <c r="E31" s="28" t="s">
        <v>53206</v>
      </c>
      <c r="F31" s="27">
        <v>325.0</v>
      </c>
      <c r="G31" s="27">
        <v>1.35193253E8</v>
      </c>
    </row>
    <row r="32" ht="12.75" customHeight="1">
      <c r="A32" s="31">
        <v>119.0</v>
      </c>
      <c r="B32" s="32" t="s">
        <v>53207</v>
      </c>
      <c r="C32" s="31">
        <v>135.0</v>
      </c>
      <c r="D32" s="32" t="s">
        <v>53208</v>
      </c>
      <c r="E32" s="32" t="s">
        <v>53209</v>
      </c>
      <c r="F32" s="31">
        <v>349.0</v>
      </c>
      <c r="G32" s="31">
        <v>1.35193495E8</v>
      </c>
    </row>
    <row r="33" ht="12.75" customHeight="1">
      <c r="A33" s="27">
        <v>119.0</v>
      </c>
      <c r="B33" s="28" t="s">
        <v>53210</v>
      </c>
      <c r="C33" s="27">
        <v>135.0</v>
      </c>
      <c r="D33" s="28" t="s">
        <v>53211</v>
      </c>
      <c r="E33" s="28" t="s">
        <v>53212</v>
      </c>
      <c r="F33" s="27">
        <v>364.0</v>
      </c>
      <c r="G33" s="27">
        <v>1.3519364E8</v>
      </c>
    </row>
    <row r="34" ht="12.75" customHeight="1">
      <c r="A34" s="31">
        <v>119.0</v>
      </c>
      <c r="B34" s="32" t="s">
        <v>53213</v>
      </c>
      <c r="C34" s="31">
        <v>135.0</v>
      </c>
      <c r="D34" s="32" t="s">
        <v>53214</v>
      </c>
      <c r="E34" s="32" t="s">
        <v>53215</v>
      </c>
      <c r="F34" s="31">
        <v>367.0</v>
      </c>
      <c r="G34" s="31">
        <v>1.35193679E8</v>
      </c>
    </row>
    <row r="35" ht="12.75" customHeight="1">
      <c r="A35" s="27">
        <v>119.0</v>
      </c>
      <c r="B35" s="28" t="s">
        <v>53216</v>
      </c>
      <c r="C35" s="27">
        <v>135.0</v>
      </c>
      <c r="D35" s="28" t="s">
        <v>53217</v>
      </c>
      <c r="E35" s="28" t="s">
        <v>53218</v>
      </c>
      <c r="F35" s="27">
        <v>379.0</v>
      </c>
      <c r="G35" s="27">
        <v>1.3519379E8</v>
      </c>
    </row>
    <row r="36" ht="12.75" customHeight="1">
      <c r="A36" s="31">
        <v>119.0</v>
      </c>
      <c r="B36" s="32" t="s">
        <v>53219</v>
      </c>
      <c r="C36" s="31">
        <v>135.0</v>
      </c>
      <c r="D36" s="32" t="s">
        <v>53220</v>
      </c>
      <c r="E36" s="32" t="s">
        <v>53221</v>
      </c>
      <c r="F36" s="31">
        <v>385.0</v>
      </c>
      <c r="G36" s="31">
        <v>1.35193853E8</v>
      </c>
    </row>
    <row r="37" ht="12.75" customHeight="1">
      <c r="A37" s="27">
        <v>119.0</v>
      </c>
      <c r="B37" s="28" t="s">
        <v>53222</v>
      </c>
      <c r="C37" s="27">
        <v>135.0</v>
      </c>
      <c r="D37" s="28" t="s">
        <v>53223</v>
      </c>
      <c r="E37" s="28" t="s">
        <v>53224</v>
      </c>
      <c r="F37" s="27">
        <v>388.0</v>
      </c>
      <c r="G37" s="27">
        <v>1.35193882E8</v>
      </c>
    </row>
    <row r="38" ht="12.75" customHeight="1">
      <c r="A38" s="31">
        <v>119.0</v>
      </c>
      <c r="B38" s="32" t="s">
        <v>53225</v>
      </c>
      <c r="C38" s="31">
        <v>135.0</v>
      </c>
      <c r="D38" s="32" t="s">
        <v>53226</v>
      </c>
      <c r="E38" s="32" t="s">
        <v>53227</v>
      </c>
      <c r="F38" s="31">
        <v>406.0</v>
      </c>
      <c r="G38" s="31">
        <v>1.35194065E8</v>
      </c>
    </row>
    <row r="39" ht="12.75" customHeight="1">
      <c r="A39" s="27">
        <v>222.0</v>
      </c>
      <c r="B39" s="28" t="s">
        <v>53228</v>
      </c>
      <c r="C39" s="27">
        <v>135.0</v>
      </c>
      <c r="D39" s="28" t="s">
        <v>53229</v>
      </c>
      <c r="E39" s="28" t="s">
        <v>53230</v>
      </c>
      <c r="F39" s="29">
        <v>16.0</v>
      </c>
      <c r="G39" s="27">
        <v>1.35220168E8</v>
      </c>
    </row>
    <row r="40" ht="12.75" customHeight="1">
      <c r="A40" s="31">
        <v>222.0</v>
      </c>
      <c r="B40" s="32" t="s">
        <v>53231</v>
      </c>
      <c r="C40" s="31">
        <v>135.0</v>
      </c>
      <c r="D40" s="32" t="s">
        <v>53232</v>
      </c>
      <c r="E40" s="32" t="s">
        <v>53233</v>
      </c>
      <c r="F40" s="33">
        <v>31.0</v>
      </c>
      <c r="G40" s="31">
        <v>1.35220313E8</v>
      </c>
    </row>
    <row r="41" ht="12.75" customHeight="1">
      <c r="A41" s="27">
        <v>222.0</v>
      </c>
      <c r="B41" s="28" t="s">
        <v>53234</v>
      </c>
      <c r="C41" s="27">
        <v>135.0</v>
      </c>
      <c r="D41" s="28" t="s">
        <v>53235</v>
      </c>
      <c r="E41" s="28" t="s">
        <v>53236</v>
      </c>
      <c r="F41" s="29">
        <v>67.0</v>
      </c>
      <c r="G41" s="27">
        <v>1.35220676E8</v>
      </c>
    </row>
    <row r="42" ht="12.75" customHeight="1">
      <c r="A42" s="31">
        <v>222.0</v>
      </c>
      <c r="B42" s="32" t="s">
        <v>53237</v>
      </c>
      <c r="C42" s="31">
        <v>135.0</v>
      </c>
      <c r="D42" s="32" t="s">
        <v>53238</v>
      </c>
      <c r="E42" s="32" t="s">
        <v>53239</v>
      </c>
      <c r="F42" s="33">
        <v>82.0</v>
      </c>
      <c r="G42" s="31">
        <v>1.35220821E8</v>
      </c>
    </row>
    <row r="43" ht="12.75" customHeight="1">
      <c r="A43" s="27">
        <v>222.0</v>
      </c>
      <c r="B43" s="28" t="s">
        <v>53240</v>
      </c>
      <c r="C43" s="27">
        <v>135.0</v>
      </c>
      <c r="D43" s="28" t="s">
        <v>53241</v>
      </c>
      <c r="E43" s="28" t="s">
        <v>53242</v>
      </c>
      <c r="F43" s="29">
        <v>85.0</v>
      </c>
      <c r="G43" s="27">
        <v>1.3522085E8</v>
      </c>
    </row>
    <row r="44" ht="12.75" customHeight="1">
      <c r="A44" s="31">
        <v>222.0</v>
      </c>
      <c r="B44" s="32" t="s">
        <v>53243</v>
      </c>
      <c r="C44" s="31">
        <v>135.0</v>
      </c>
      <c r="D44" s="32" t="s">
        <v>53244</v>
      </c>
      <c r="E44" s="32" t="s">
        <v>53245</v>
      </c>
      <c r="F44" s="33">
        <v>91.0</v>
      </c>
      <c r="G44" s="31">
        <v>1.35220913E8</v>
      </c>
    </row>
    <row r="45" ht="12.75" customHeight="1">
      <c r="A45" s="27">
        <v>126.0</v>
      </c>
      <c r="B45" s="28" t="s">
        <v>53246</v>
      </c>
      <c r="C45" s="27">
        <v>135.0</v>
      </c>
      <c r="D45" s="28" t="s">
        <v>53247</v>
      </c>
      <c r="E45" s="28" t="s">
        <v>53248</v>
      </c>
      <c r="F45" s="29">
        <v>13.0</v>
      </c>
      <c r="G45" s="27">
        <v>1.35260131E8</v>
      </c>
    </row>
    <row r="46" ht="12.75" customHeight="1">
      <c r="A46" s="31">
        <v>126.0</v>
      </c>
      <c r="B46" s="32" t="s">
        <v>53249</v>
      </c>
      <c r="C46" s="31">
        <v>135.0</v>
      </c>
      <c r="D46" s="32" t="s">
        <v>53250</v>
      </c>
      <c r="E46" s="32" t="s">
        <v>53251</v>
      </c>
      <c r="F46" s="33">
        <v>33.0</v>
      </c>
      <c r="G46" s="31">
        <v>1.35260331E8</v>
      </c>
    </row>
    <row r="47" ht="12.75" customHeight="1">
      <c r="A47" s="27">
        <v>126.0</v>
      </c>
      <c r="B47" s="28" t="s">
        <v>53252</v>
      </c>
      <c r="C47" s="27">
        <v>135.0</v>
      </c>
      <c r="D47" s="28" t="s">
        <v>53253</v>
      </c>
      <c r="E47" s="28" t="s">
        <v>53254</v>
      </c>
      <c r="F47" s="29">
        <v>34.0</v>
      </c>
      <c r="G47" s="27">
        <v>1.35260344E8</v>
      </c>
    </row>
    <row r="48" ht="12.75" customHeight="1">
      <c r="A48" s="31">
        <v>126.0</v>
      </c>
      <c r="B48" s="32" t="s">
        <v>53255</v>
      </c>
      <c r="C48" s="31">
        <v>135.0</v>
      </c>
      <c r="D48" s="32" t="s">
        <v>53256</v>
      </c>
      <c r="E48" s="32" t="s">
        <v>53257</v>
      </c>
      <c r="F48" s="33">
        <v>43.0</v>
      </c>
      <c r="G48" s="31">
        <v>1.35260436E8</v>
      </c>
    </row>
    <row r="49" ht="12.75" customHeight="1">
      <c r="A49" s="27">
        <v>126.0</v>
      </c>
      <c r="B49" s="28" t="s">
        <v>53258</v>
      </c>
      <c r="C49" s="27">
        <v>135.0</v>
      </c>
      <c r="D49" s="28" t="s">
        <v>53259</v>
      </c>
      <c r="E49" s="28" t="s">
        <v>53260</v>
      </c>
      <c r="F49" s="29">
        <v>67.0</v>
      </c>
      <c r="G49" s="27">
        <v>1.35260678E8</v>
      </c>
    </row>
    <row r="50" ht="12.75" customHeight="1">
      <c r="A50" s="31">
        <v>126.0</v>
      </c>
      <c r="B50" s="32" t="s">
        <v>53261</v>
      </c>
      <c r="C50" s="31">
        <v>135.0</v>
      </c>
      <c r="D50" s="32" t="s">
        <v>53262</v>
      </c>
      <c r="E50" s="32" t="s">
        <v>53263</v>
      </c>
      <c r="F50" s="33">
        <v>91.0</v>
      </c>
      <c r="G50" s="31">
        <v>1.35260915E8</v>
      </c>
    </row>
    <row r="51" ht="12.75" customHeight="1">
      <c r="A51" s="27">
        <v>126.0</v>
      </c>
      <c r="B51" s="28" t="s">
        <v>53264</v>
      </c>
      <c r="C51" s="27">
        <v>135.0</v>
      </c>
      <c r="D51" s="28" t="s">
        <v>53265</v>
      </c>
      <c r="E51" s="28" t="s">
        <v>53266</v>
      </c>
      <c r="F51" s="27">
        <v>106.0</v>
      </c>
      <c r="G51" s="27">
        <v>1.35261064E8</v>
      </c>
    </row>
    <row r="52" ht="12.75" customHeight="1">
      <c r="A52" s="31">
        <v>126.0</v>
      </c>
      <c r="B52" s="32" t="s">
        <v>53267</v>
      </c>
      <c r="C52" s="31">
        <v>135.0</v>
      </c>
      <c r="D52" s="32" t="s">
        <v>53268</v>
      </c>
      <c r="E52" s="32" t="s">
        <v>53269</v>
      </c>
      <c r="F52" s="31">
        <v>115.0</v>
      </c>
      <c r="G52" s="31">
        <v>1.35261156E8</v>
      </c>
    </row>
    <row r="53" ht="12.75" customHeight="1">
      <c r="A53" s="27">
        <v>126.0</v>
      </c>
      <c r="B53" s="28" t="s">
        <v>53270</v>
      </c>
      <c r="C53" s="27">
        <v>135.0</v>
      </c>
      <c r="D53" s="28" t="s">
        <v>53271</v>
      </c>
      <c r="E53" s="28" t="s">
        <v>53272</v>
      </c>
      <c r="F53" s="27">
        <v>118.0</v>
      </c>
      <c r="G53" s="27">
        <v>1.35261185E8</v>
      </c>
    </row>
    <row r="54" ht="12.75" customHeight="1">
      <c r="A54" s="31">
        <v>126.0</v>
      </c>
      <c r="B54" s="32" t="s">
        <v>53273</v>
      </c>
      <c r="C54" s="31">
        <v>135.0</v>
      </c>
      <c r="D54" s="32" t="s">
        <v>53274</v>
      </c>
      <c r="E54" s="32" t="s">
        <v>53275</v>
      </c>
      <c r="F54" s="31">
        <v>136.0</v>
      </c>
      <c r="G54" s="31">
        <v>1.35261369E8</v>
      </c>
    </row>
    <row r="55" ht="12.75" customHeight="1">
      <c r="A55" s="27">
        <v>126.0</v>
      </c>
      <c r="B55" s="28" t="s">
        <v>53276</v>
      </c>
      <c r="C55" s="27">
        <v>135.0</v>
      </c>
      <c r="D55" s="28" t="s">
        <v>53277</v>
      </c>
      <c r="E55" s="28" t="s">
        <v>53278</v>
      </c>
      <c r="F55" s="27">
        <v>148.0</v>
      </c>
      <c r="G55" s="27">
        <v>1.3526148E8</v>
      </c>
    </row>
    <row r="56" ht="12.75" customHeight="1">
      <c r="A56" s="31">
        <v>126.0</v>
      </c>
      <c r="B56" s="32" t="s">
        <v>53279</v>
      </c>
      <c r="C56" s="31">
        <v>135.0</v>
      </c>
      <c r="D56" s="32" t="s">
        <v>53280</v>
      </c>
      <c r="E56" s="32" t="s">
        <v>53281</v>
      </c>
      <c r="F56" s="31">
        <v>166.0</v>
      </c>
      <c r="G56" s="31">
        <v>1.35261664E8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53282</v>
      </c>
      <c r="C1" s="27">
        <v>135.0</v>
      </c>
      <c r="D1" s="28" t="s">
        <v>53283</v>
      </c>
      <c r="E1" s="28" t="s">
        <v>53284</v>
      </c>
      <c r="F1" s="27">
        <v>169.0</v>
      </c>
      <c r="G1" s="27">
        <v>1.35261693E8</v>
      </c>
    </row>
    <row r="2" ht="12.75" customHeight="1">
      <c r="A2" s="31">
        <v>126.0</v>
      </c>
      <c r="B2" s="32" t="s">
        <v>53285</v>
      </c>
      <c r="C2" s="31">
        <v>135.0</v>
      </c>
      <c r="D2" s="32" t="s">
        <v>53286</v>
      </c>
      <c r="E2" s="32" t="s">
        <v>53287</v>
      </c>
      <c r="F2" s="31">
        <v>175.0</v>
      </c>
      <c r="G2" s="31">
        <v>1.35261756E8</v>
      </c>
    </row>
    <row r="3" ht="12.75" customHeight="1">
      <c r="A3" s="27">
        <v>126.0</v>
      </c>
      <c r="B3" s="28" t="s">
        <v>53288</v>
      </c>
      <c r="C3" s="27">
        <v>135.0</v>
      </c>
      <c r="D3" s="28" t="s">
        <v>53289</v>
      </c>
      <c r="E3" s="28" t="s">
        <v>53290</v>
      </c>
      <c r="F3" s="27">
        <v>178.0</v>
      </c>
      <c r="G3" s="27">
        <v>1.35261785E8</v>
      </c>
    </row>
    <row r="4" ht="12.75" customHeight="1">
      <c r="A4" s="31">
        <v>126.0</v>
      </c>
      <c r="B4" s="32" t="s">
        <v>53291</v>
      </c>
      <c r="C4" s="31">
        <v>135.0</v>
      </c>
      <c r="D4" s="32" t="s">
        <v>53292</v>
      </c>
      <c r="E4" s="32" t="s">
        <v>53293</v>
      </c>
      <c r="F4" s="31">
        <v>196.0</v>
      </c>
      <c r="G4" s="31">
        <v>1.35261969E8</v>
      </c>
    </row>
    <row r="5" ht="12.75" customHeight="1">
      <c r="A5" s="27">
        <v>126.0</v>
      </c>
      <c r="B5" s="28" t="s">
        <v>53294</v>
      </c>
      <c r="C5" s="27">
        <v>135.0</v>
      </c>
      <c r="D5" s="28" t="s">
        <v>53295</v>
      </c>
      <c r="E5" s="28" t="s">
        <v>53296</v>
      </c>
      <c r="F5" s="27">
        <v>250.0</v>
      </c>
      <c r="G5" s="27">
        <v>1.352625E8</v>
      </c>
    </row>
    <row r="6" ht="12.75" customHeight="1">
      <c r="A6" s="31">
        <v>126.0</v>
      </c>
      <c r="B6" s="32" t="s">
        <v>53297</v>
      </c>
      <c r="C6" s="31">
        <v>135.0</v>
      </c>
      <c r="D6" s="32" t="s">
        <v>53298</v>
      </c>
      <c r="E6" s="32" t="s">
        <v>53299</v>
      </c>
      <c r="F6" s="31">
        <v>256.0</v>
      </c>
      <c r="G6" s="31">
        <v>1.35262568E8</v>
      </c>
    </row>
    <row r="7" ht="12.75" customHeight="1">
      <c r="A7" s="27">
        <v>126.0</v>
      </c>
      <c r="B7" s="28" t="s">
        <v>53300</v>
      </c>
      <c r="C7" s="27">
        <v>135.0</v>
      </c>
      <c r="D7" s="28" t="s">
        <v>53301</v>
      </c>
      <c r="E7" s="28" t="s">
        <v>53302</v>
      </c>
      <c r="F7" s="27">
        <v>310.0</v>
      </c>
      <c r="G7" s="27">
        <v>1.35263109E8</v>
      </c>
    </row>
    <row r="8" ht="12.75" customHeight="1">
      <c r="A8" s="31">
        <v>126.0</v>
      </c>
      <c r="B8" s="32" t="s">
        <v>53303</v>
      </c>
      <c r="C8" s="31">
        <v>135.0</v>
      </c>
      <c r="D8" s="32" t="s">
        <v>53304</v>
      </c>
      <c r="E8" s="32" t="s">
        <v>53305</v>
      </c>
      <c r="F8" s="31">
        <v>313.0</v>
      </c>
      <c r="G8" s="31">
        <v>1.35263138E8</v>
      </c>
    </row>
    <row r="9" ht="12.75" customHeight="1">
      <c r="A9" s="27">
        <v>126.0</v>
      </c>
      <c r="B9" s="28" t="s">
        <v>53306</v>
      </c>
      <c r="C9" s="27">
        <v>135.0</v>
      </c>
      <c r="D9" s="28" t="s">
        <v>53307</v>
      </c>
      <c r="E9" s="28" t="s">
        <v>53308</v>
      </c>
      <c r="F9" s="27">
        <v>322.0</v>
      </c>
      <c r="G9" s="27">
        <v>1.3526322E8</v>
      </c>
    </row>
    <row r="10" ht="12.75" customHeight="1">
      <c r="A10" s="31">
        <v>126.0</v>
      </c>
      <c r="B10" s="32" t="s">
        <v>53309</v>
      </c>
      <c r="C10" s="31">
        <v>135.0</v>
      </c>
      <c r="D10" s="32" t="s">
        <v>53310</v>
      </c>
      <c r="E10" s="32" t="s">
        <v>53311</v>
      </c>
      <c r="F10" s="31">
        <v>334.0</v>
      </c>
      <c r="G10" s="31">
        <v>1.35263341E8</v>
      </c>
    </row>
    <row r="11" ht="12.75" customHeight="1">
      <c r="A11" s="27">
        <v>126.0</v>
      </c>
      <c r="B11" s="28" t="s">
        <v>53312</v>
      </c>
      <c r="C11" s="27">
        <v>135.0</v>
      </c>
      <c r="D11" s="28" t="s">
        <v>53313</v>
      </c>
      <c r="E11" s="28" t="s">
        <v>53314</v>
      </c>
      <c r="F11" s="27">
        <v>346.0</v>
      </c>
      <c r="G11" s="27">
        <v>1.35263462E8</v>
      </c>
    </row>
    <row r="12" ht="12.75" customHeight="1">
      <c r="A12" s="31">
        <v>126.0</v>
      </c>
      <c r="B12" s="32" t="s">
        <v>53315</v>
      </c>
      <c r="C12" s="31">
        <v>135.0</v>
      </c>
      <c r="D12" s="32" t="s">
        <v>53316</v>
      </c>
      <c r="E12" s="32" t="s">
        <v>53317</v>
      </c>
      <c r="F12" s="31">
        <v>352.0</v>
      </c>
      <c r="G12" s="31">
        <v>1.35263525E8</v>
      </c>
    </row>
    <row r="13" ht="12.75" customHeight="1">
      <c r="A13" s="27">
        <v>126.0</v>
      </c>
      <c r="B13" s="28" t="s">
        <v>53318</v>
      </c>
      <c r="C13" s="27">
        <v>135.0</v>
      </c>
      <c r="D13" s="28" t="s">
        <v>53319</v>
      </c>
      <c r="E13" s="28" t="s">
        <v>53320</v>
      </c>
      <c r="F13" s="27">
        <v>358.0</v>
      </c>
      <c r="G13" s="27">
        <v>1.35263583E8</v>
      </c>
    </row>
    <row r="14" ht="12.75" customHeight="1">
      <c r="A14" s="31">
        <v>126.0</v>
      </c>
      <c r="B14" s="32" t="s">
        <v>53321</v>
      </c>
      <c r="C14" s="31">
        <v>135.0</v>
      </c>
      <c r="D14" s="32" t="s">
        <v>53322</v>
      </c>
      <c r="E14" s="32" t="s">
        <v>53323</v>
      </c>
      <c r="F14" s="31">
        <v>367.0</v>
      </c>
      <c r="G14" s="31">
        <v>1.35263675E8</v>
      </c>
    </row>
    <row r="15" ht="12.75" customHeight="1">
      <c r="A15" s="27">
        <v>126.0</v>
      </c>
      <c r="B15" s="28" t="s">
        <v>53324</v>
      </c>
      <c r="C15" s="27">
        <v>135.0</v>
      </c>
      <c r="D15" s="28" t="s">
        <v>53325</v>
      </c>
      <c r="E15" s="28" t="s">
        <v>53326</v>
      </c>
      <c r="F15" s="27">
        <v>385.0</v>
      </c>
      <c r="G15" s="27">
        <v>1.35263859E8</v>
      </c>
    </row>
    <row r="16" ht="12.75" customHeight="1">
      <c r="A16" s="31">
        <v>126.0</v>
      </c>
      <c r="B16" s="32" t="s">
        <v>53327</v>
      </c>
      <c r="C16" s="31">
        <v>135.0</v>
      </c>
      <c r="D16" s="32" t="s">
        <v>53328</v>
      </c>
      <c r="E16" s="32" t="s">
        <v>53329</v>
      </c>
      <c r="F16" s="31">
        <v>388.0</v>
      </c>
      <c r="G16" s="31">
        <v>1.35263888E8</v>
      </c>
    </row>
    <row r="17" ht="12.75" customHeight="1">
      <c r="A17" s="27">
        <v>126.0</v>
      </c>
      <c r="B17" s="28" t="s">
        <v>53330</v>
      </c>
      <c r="C17" s="27">
        <v>135.0</v>
      </c>
      <c r="D17" s="28" t="s">
        <v>53331</v>
      </c>
      <c r="E17" s="28" t="s">
        <v>53332</v>
      </c>
      <c r="F17" s="27">
        <v>394.0</v>
      </c>
      <c r="G17" s="27">
        <v>1.35263941E8</v>
      </c>
    </row>
    <row r="18" ht="12.75" customHeight="1">
      <c r="A18" s="31">
        <v>126.0</v>
      </c>
      <c r="B18" s="32" t="s">
        <v>53333</v>
      </c>
      <c r="C18" s="31">
        <v>135.0</v>
      </c>
      <c r="D18" s="32" t="s">
        <v>53334</v>
      </c>
      <c r="E18" s="32" t="s">
        <v>53335</v>
      </c>
      <c r="F18" s="31">
        <v>401.0</v>
      </c>
      <c r="G18" s="31">
        <v>1.35264016E8</v>
      </c>
    </row>
    <row r="19" ht="12.75" customHeight="1">
      <c r="A19" s="27">
        <v>126.0</v>
      </c>
      <c r="B19" s="28" t="s">
        <v>53336</v>
      </c>
      <c r="C19" s="27">
        <v>135.0</v>
      </c>
      <c r="D19" s="28" t="s">
        <v>53337</v>
      </c>
      <c r="E19" s="28" t="s">
        <v>53338</v>
      </c>
      <c r="F19" s="27">
        <v>406.0</v>
      </c>
      <c r="G19" s="27">
        <v>1.35264061E8</v>
      </c>
    </row>
    <row r="20" ht="12.75" customHeight="1">
      <c r="A20" s="31">
        <v>126.0</v>
      </c>
      <c r="B20" s="32" t="s">
        <v>53339</v>
      </c>
      <c r="C20" s="31">
        <v>135.0</v>
      </c>
      <c r="D20" s="32" t="s">
        <v>53340</v>
      </c>
      <c r="E20" s="32" t="s">
        <v>53341</v>
      </c>
      <c r="F20" s="31">
        <v>409.0</v>
      </c>
      <c r="G20" s="31">
        <v>1.3526409E8</v>
      </c>
    </row>
    <row r="21" ht="12.75" customHeight="1">
      <c r="A21" s="27">
        <v>126.0</v>
      </c>
      <c r="B21" s="28" t="s">
        <v>53342</v>
      </c>
      <c r="C21" s="27">
        <v>135.0</v>
      </c>
      <c r="D21" s="28" t="s">
        <v>53343</v>
      </c>
      <c r="E21" s="28" t="s">
        <v>53344</v>
      </c>
      <c r="F21" s="27">
        <v>424.0</v>
      </c>
      <c r="G21" s="27">
        <v>1.35264245E8</v>
      </c>
    </row>
    <row r="22" ht="12.75" customHeight="1">
      <c r="A22" s="31">
        <v>126.0</v>
      </c>
      <c r="B22" s="32" t="s">
        <v>53345</v>
      </c>
      <c r="C22" s="31">
        <v>135.0</v>
      </c>
      <c r="D22" s="32" t="s">
        <v>53346</v>
      </c>
      <c r="E22" s="32" t="s">
        <v>53347</v>
      </c>
      <c r="F22" s="31">
        <v>430.0</v>
      </c>
      <c r="G22" s="31">
        <v>1.35264308E8</v>
      </c>
    </row>
    <row r="23" ht="12.75" customHeight="1">
      <c r="A23" s="27">
        <v>126.0</v>
      </c>
      <c r="B23" s="28" t="s">
        <v>53348</v>
      </c>
      <c r="C23" s="27">
        <v>135.0</v>
      </c>
      <c r="D23" s="28" t="s">
        <v>53349</v>
      </c>
      <c r="E23" s="28" t="s">
        <v>53350</v>
      </c>
      <c r="F23" s="27">
        <v>451.0</v>
      </c>
      <c r="G23" s="27">
        <v>1.35264511E8</v>
      </c>
    </row>
    <row r="24" ht="12.75" customHeight="1">
      <c r="A24" s="31">
        <v>126.0</v>
      </c>
      <c r="B24" s="32" t="s">
        <v>53351</v>
      </c>
      <c r="C24" s="31">
        <v>135.0</v>
      </c>
      <c r="D24" s="32" t="s">
        <v>53352</v>
      </c>
      <c r="E24" s="32" t="s">
        <v>53353</v>
      </c>
      <c r="F24" s="31">
        <v>457.0</v>
      </c>
      <c r="G24" s="31">
        <v>1.35264579E8</v>
      </c>
    </row>
    <row r="25" ht="12.75" customHeight="1">
      <c r="A25" s="27">
        <v>126.0</v>
      </c>
      <c r="B25" s="28" t="s">
        <v>53354</v>
      </c>
      <c r="C25" s="27">
        <v>135.0</v>
      </c>
      <c r="D25" s="28" t="s">
        <v>53355</v>
      </c>
      <c r="E25" s="28" t="s">
        <v>53356</v>
      </c>
      <c r="F25" s="27">
        <v>460.0</v>
      </c>
      <c r="G25" s="27">
        <v>1.35264603E8</v>
      </c>
    </row>
    <row r="26" ht="12.75" customHeight="1">
      <c r="A26" s="31">
        <v>126.0</v>
      </c>
      <c r="B26" s="32" t="s">
        <v>53357</v>
      </c>
      <c r="C26" s="31">
        <v>135.0</v>
      </c>
      <c r="D26" s="32" t="s">
        <v>53358</v>
      </c>
      <c r="E26" s="32" t="s">
        <v>53359</v>
      </c>
      <c r="F26" s="31">
        <v>469.0</v>
      </c>
      <c r="G26" s="31">
        <v>1.3526469E8</v>
      </c>
    </row>
    <row r="27" ht="12.75" customHeight="1">
      <c r="A27" s="27">
        <v>127.0</v>
      </c>
      <c r="B27" s="28" t="s">
        <v>53360</v>
      </c>
      <c r="C27" s="27">
        <v>135.0</v>
      </c>
      <c r="D27" s="28" t="s">
        <v>53361</v>
      </c>
      <c r="E27" s="28" t="s">
        <v>53362</v>
      </c>
      <c r="F27" s="29">
        <v>0.0</v>
      </c>
      <c r="G27" s="27">
        <v>1.3527E8</v>
      </c>
    </row>
    <row r="28" ht="12.75" customHeight="1">
      <c r="A28" s="31">
        <v>127.0</v>
      </c>
      <c r="B28" s="32" t="s">
        <v>53363</v>
      </c>
      <c r="C28" s="31">
        <v>135.0</v>
      </c>
      <c r="D28" s="32" t="s">
        <v>53364</v>
      </c>
      <c r="E28" s="32" t="s">
        <v>53365</v>
      </c>
      <c r="F28" s="33">
        <v>4.0</v>
      </c>
      <c r="G28" s="31">
        <v>1.35270042E8</v>
      </c>
    </row>
    <row r="29" ht="12.75" customHeight="1">
      <c r="A29" s="27">
        <v>127.0</v>
      </c>
      <c r="B29" s="28" t="s">
        <v>53366</v>
      </c>
      <c r="C29" s="27">
        <v>135.0</v>
      </c>
      <c r="D29" s="28" t="s">
        <v>53367</v>
      </c>
      <c r="E29" s="28" t="s">
        <v>53368</v>
      </c>
      <c r="F29" s="29">
        <v>6.0</v>
      </c>
      <c r="G29" s="27">
        <v>1.35270068E8</v>
      </c>
    </row>
    <row r="30" ht="12.75" customHeight="1">
      <c r="A30" s="31">
        <v>127.0</v>
      </c>
      <c r="B30" s="32" t="s">
        <v>53369</v>
      </c>
      <c r="C30" s="31">
        <v>135.0</v>
      </c>
      <c r="D30" s="32" t="s">
        <v>53370</v>
      </c>
      <c r="E30" s="32" t="s">
        <v>53371</v>
      </c>
      <c r="F30" s="33">
        <v>7.0</v>
      </c>
      <c r="G30" s="31">
        <v>1.35270071E8</v>
      </c>
    </row>
    <row r="31" ht="12.75" customHeight="1">
      <c r="A31" s="27">
        <v>127.0</v>
      </c>
      <c r="B31" s="28" t="s">
        <v>53372</v>
      </c>
      <c r="C31" s="27">
        <v>135.0</v>
      </c>
      <c r="D31" s="28" t="s">
        <v>53373</v>
      </c>
      <c r="E31" s="28" t="s">
        <v>53374</v>
      </c>
      <c r="F31" s="29">
        <v>22.0</v>
      </c>
      <c r="G31" s="27">
        <v>1.35270226E8</v>
      </c>
    </row>
    <row r="32" ht="12.75" customHeight="1">
      <c r="A32" s="31">
        <v>127.0</v>
      </c>
      <c r="B32" s="32" t="s">
        <v>53375</v>
      </c>
      <c r="C32" s="31">
        <v>135.0</v>
      </c>
      <c r="D32" s="32" t="s">
        <v>53376</v>
      </c>
      <c r="E32" s="32" t="s">
        <v>53377</v>
      </c>
      <c r="F32" s="33">
        <v>31.0</v>
      </c>
      <c r="G32" s="31">
        <v>1.35270318E8</v>
      </c>
    </row>
    <row r="33" ht="12.75" customHeight="1">
      <c r="A33" s="27">
        <v>127.0</v>
      </c>
      <c r="B33" s="28" t="s">
        <v>53378</v>
      </c>
      <c r="C33" s="27">
        <v>135.0</v>
      </c>
      <c r="D33" s="28" t="s">
        <v>53379</v>
      </c>
      <c r="E33" s="28" t="s">
        <v>53380</v>
      </c>
      <c r="F33" s="29">
        <v>85.0</v>
      </c>
      <c r="G33" s="27">
        <v>1.35270855E8</v>
      </c>
    </row>
    <row r="34" ht="12.75" customHeight="1">
      <c r="A34" s="31">
        <v>127.0</v>
      </c>
      <c r="B34" s="32" t="s">
        <v>53381</v>
      </c>
      <c r="C34" s="31">
        <v>135.0</v>
      </c>
      <c r="D34" s="32" t="s">
        <v>53382</v>
      </c>
      <c r="E34" s="32" t="s">
        <v>53383</v>
      </c>
      <c r="F34" s="33">
        <v>88.0</v>
      </c>
      <c r="G34" s="31">
        <v>1.35270884E8</v>
      </c>
    </row>
    <row r="35" ht="12.75" customHeight="1">
      <c r="A35" s="27">
        <v>127.0</v>
      </c>
      <c r="B35" s="28" t="s">
        <v>53384</v>
      </c>
      <c r="C35" s="27">
        <v>135.0</v>
      </c>
      <c r="D35" s="28" t="s">
        <v>53385</v>
      </c>
      <c r="E35" s="28" t="s">
        <v>53386</v>
      </c>
      <c r="F35" s="27">
        <v>118.0</v>
      </c>
      <c r="G35" s="27">
        <v>1.35271188E8</v>
      </c>
    </row>
    <row r="36" ht="12.75" customHeight="1">
      <c r="A36" s="31">
        <v>127.0</v>
      </c>
      <c r="B36" s="32" t="s">
        <v>53387</v>
      </c>
      <c r="C36" s="31">
        <v>135.0</v>
      </c>
      <c r="D36" s="32" t="s">
        <v>53388</v>
      </c>
      <c r="E36" s="32" t="s">
        <v>53389</v>
      </c>
      <c r="F36" s="31">
        <v>124.0</v>
      </c>
      <c r="G36" s="31">
        <v>1.35271241E8</v>
      </c>
    </row>
    <row r="37" ht="12.75" customHeight="1">
      <c r="A37" s="27">
        <v>127.0</v>
      </c>
      <c r="B37" s="28" t="s">
        <v>53390</v>
      </c>
      <c r="C37" s="27">
        <v>135.0</v>
      </c>
      <c r="D37" s="28" t="s">
        <v>53391</v>
      </c>
      <c r="E37" s="28" t="s">
        <v>53392</v>
      </c>
      <c r="F37" s="27">
        <v>127.0</v>
      </c>
      <c r="G37" s="27">
        <v>1.3527127E8</v>
      </c>
    </row>
    <row r="38" ht="12.75" customHeight="1">
      <c r="A38" s="31">
        <v>127.0</v>
      </c>
      <c r="B38" s="32" t="s">
        <v>53393</v>
      </c>
      <c r="C38" s="31">
        <v>135.0</v>
      </c>
      <c r="D38" s="32" t="s">
        <v>53394</v>
      </c>
      <c r="E38" s="32" t="s">
        <v>53395</v>
      </c>
      <c r="F38" s="31">
        <v>166.0</v>
      </c>
      <c r="G38" s="31">
        <v>1.35271667E8</v>
      </c>
    </row>
    <row r="39" ht="12.75" customHeight="1">
      <c r="A39" s="27">
        <v>127.0</v>
      </c>
      <c r="B39" s="28" t="s">
        <v>53396</v>
      </c>
      <c r="C39" s="27">
        <v>135.0</v>
      </c>
      <c r="D39" s="28" t="s">
        <v>53397</v>
      </c>
      <c r="E39" s="28" t="s">
        <v>53398</v>
      </c>
      <c r="F39" s="27">
        <v>175.0</v>
      </c>
      <c r="G39" s="27">
        <v>1.35271759E8</v>
      </c>
    </row>
    <row r="40" ht="12.75" customHeight="1">
      <c r="A40" s="31">
        <v>127.0</v>
      </c>
      <c r="B40" s="32" t="s">
        <v>53399</v>
      </c>
      <c r="C40" s="31">
        <v>135.0</v>
      </c>
      <c r="D40" s="32" t="s">
        <v>53400</v>
      </c>
      <c r="E40" s="32" t="s">
        <v>53401</v>
      </c>
      <c r="F40" s="31">
        <v>181.0</v>
      </c>
      <c r="G40" s="31">
        <v>1.35271812E8</v>
      </c>
    </row>
    <row r="41" ht="12.75" customHeight="1">
      <c r="A41" s="27">
        <v>127.0</v>
      </c>
      <c r="B41" s="28" t="s">
        <v>53402</v>
      </c>
      <c r="C41" s="27">
        <v>135.0</v>
      </c>
      <c r="D41" s="28" t="s">
        <v>53403</v>
      </c>
      <c r="E41" s="28" t="s">
        <v>53404</v>
      </c>
      <c r="F41" s="27">
        <v>193.0</v>
      </c>
      <c r="G41" s="27">
        <v>1.35271933E8</v>
      </c>
    </row>
    <row r="42" ht="12.75" customHeight="1">
      <c r="A42" s="31">
        <v>127.0</v>
      </c>
      <c r="B42" s="32" t="s">
        <v>53405</v>
      </c>
      <c r="C42" s="31">
        <v>135.0</v>
      </c>
      <c r="D42" s="32" t="s">
        <v>53406</v>
      </c>
      <c r="E42" s="32" t="s">
        <v>53407</v>
      </c>
      <c r="F42" s="31">
        <v>200.0</v>
      </c>
      <c r="G42" s="31">
        <v>1.35272008E8</v>
      </c>
    </row>
    <row r="43" ht="12.75" customHeight="1">
      <c r="A43" s="27">
        <v>127.0</v>
      </c>
      <c r="B43" s="28" t="s">
        <v>53408</v>
      </c>
      <c r="C43" s="27">
        <v>135.0</v>
      </c>
      <c r="D43" s="28" t="s">
        <v>53409</v>
      </c>
      <c r="E43" s="28" t="s">
        <v>53410</v>
      </c>
      <c r="F43" s="27">
        <v>202.0</v>
      </c>
      <c r="G43" s="27">
        <v>1.35272024E8</v>
      </c>
    </row>
    <row r="44" ht="12.75" customHeight="1">
      <c r="A44" s="31">
        <v>127.0</v>
      </c>
      <c r="B44" s="32" t="s">
        <v>53411</v>
      </c>
      <c r="C44" s="31">
        <v>135.0</v>
      </c>
      <c r="D44" s="32" t="s">
        <v>53412</v>
      </c>
      <c r="E44" s="32" t="s">
        <v>53413</v>
      </c>
      <c r="F44" s="31">
        <v>211.0</v>
      </c>
      <c r="G44" s="31">
        <v>1.35272116E8</v>
      </c>
    </row>
    <row r="45" ht="12.75" customHeight="1">
      <c r="A45" s="27">
        <v>127.0</v>
      </c>
      <c r="B45" s="28" t="s">
        <v>53414</v>
      </c>
      <c r="C45" s="27">
        <v>135.0</v>
      </c>
      <c r="D45" s="28" t="s">
        <v>53415</v>
      </c>
      <c r="E45" s="28" t="s">
        <v>53416</v>
      </c>
      <c r="F45" s="27">
        <v>214.0</v>
      </c>
      <c r="G45" s="27">
        <v>1.35272145E8</v>
      </c>
    </row>
    <row r="46" ht="12.75" customHeight="1">
      <c r="A46" s="31">
        <v>127.0</v>
      </c>
      <c r="B46" s="32" t="s">
        <v>53417</v>
      </c>
      <c r="C46" s="31">
        <v>135.0</v>
      </c>
      <c r="D46" s="32" t="s">
        <v>53418</v>
      </c>
      <c r="E46" s="32" t="s">
        <v>53419</v>
      </c>
      <c r="F46" s="31">
        <v>217.0</v>
      </c>
      <c r="G46" s="31">
        <v>1.35272174E8</v>
      </c>
    </row>
    <row r="47" ht="12.75" customHeight="1">
      <c r="A47" s="27">
        <v>127.0</v>
      </c>
      <c r="B47" s="28" t="s">
        <v>53420</v>
      </c>
      <c r="C47" s="27">
        <v>135.0</v>
      </c>
      <c r="D47" s="28" t="s">
        <v>53421</v>
      </c>
      <c r="E47" s="28" t="s">
        <v>53422</v>
      </c>
      <c r="F47" s="27">
        <v>223.0</v>
      </c>
      <c r="G47" s="27">
        <v>1.35272237E8</v>
      </c>
    </row>
    <row r="48" ht="12.75" customHeight="1">
      <c r="A48" s="31">
        <v>127.0</v>
      </c>
      <c r="B48" s="32" t="s">
        <v>53423</v>
      </c>
      <c r="C48" s="31">
        <v>135.0</v>
      </c>
      <c r="D48" s="32" t="s">
        <v>53424</v>
      </c>
      <c r="E48" s="32" t="s">
        <v>53425</v>
      </c>
      <c r="F48" s="31">
        <v>235.0</v>
      </c>
      <c r="G48" s="31">
        <v>1.35272358E8</v>
      </c>
    </row>
    <row r="49" ht="12.75" customHeight="1">
      <c r="A49" s="27">
        <v>127.0</v>
      </c>
      <c r="B49" s="28" t="s">
        <v>53426</v>
      </c>
      <c r="C49" s="27">
        <v>135.0</v>
      </c>
      <c r="D49" s="28" t="s">
        <v>53427</v>
      </c>
      <c r="E49" s="28" t="s">
        <v>53428</v>
      </c>
      <c r="F49" s="27">
        <v>238.0</v>
      </c>
      <c r="G49" s="27">
        <v>1.35272387E8</v>
      </c>
    </row>
    <row r="50" ht="12.75" customHeight="1">
      <c r="A50" s="31">
        <v>127.0</v>
      </c>
      <c r="B50" s="32" t="s">
        <v>53429</v>
      </c>
      <c r="C50" s="31">
        <v>135.0</v>
      </c>
      <c r="D50" s="32" t="s">
        <v>53430</v>
      </c>
      <c r="E50" s="32" t="s">
        <v>53431</v>
      </c>
      <c r="F50" s="31">
        <v>244.0</v>
      </c>
      <c r="G50" s="31">
        <v>1.3527244E8</v>
      </c>
    </row>
    <row r="51" ht="12.75" customHeight="1">
      <c r="A51" s="27">
        <v>127.0</v>
      </c>
      <c r="B51" s="28" t="s">
        <v>53432</v>
      </c>
      <c r="C51" s="27">
        <v>135.0</v>
      </c>
      <c r="D51" s="28" t="s">
        <v>53433</v>
      </c>
      <c r="E51" s="28" t="s">
        <v>53434</v>
      </c>
      <c r="F51" s="27">
        <v>262.0</v>
      </c>
      <c r="G51" s="27">
        <v>1.35272624E8</v>
      </c>
    </row>
    <row r="52" ht="12.75" customHeight="1">
      <c r="A52" s="31">
        <v>127.0</v>
      </c>
      <c r="B52" s="32" t="s">
        <v>53435</v>
      </c>
      <c r="C52" s="31">
        <v>135.0</v>
      </c>
      <c r="D52" s="32" t="s">
        <v>53436</v>
      </c>
      <c r="E52" s="32" t="s">
        <v>53437</v>
      </c>
      <c r="F52" s="31">
        <v>268.0</v>
      </c>
      <c r="G52" s="31">
        <v>1.35272682E8</v>
      </c>
    </row>
    <row r="53" ht="12.75" customHeight="1">
      <c r="A53" s="27">
        <v>127.0</v>
      </c>
      <c r="B53" s="28" t="s">
        <v>53438</v>
      </c>
      <c r="C53" s="27">
        <v>135.0</v>
      </c>
      <c r="D53" s="28" t="s">
        <v>53439</v>
      </c>
      <c r="E53" s="28" t="s">
        <v>53440</v>
      </c>
      <c r="F53" s="27">
        <v>277.0</v>
      </c>
      <c r="G53" s="27">
        <v>1.35272774E8</v>
      </c>
    </row>
    <row r="54" ht="12.75" customHeight="1">
      <c r="A54" s="31">
        <v>127.0</v>
      </c>
      <c r="B54" s="32" t="s">
        <v>53441</v>
      </c>
      <c r="C54" s="31">
        <v>135.0</v>
      </c>
      <c r="D54" s="32" t="s">
        <v>53442</v>
      </c>
      <c r="E54" s="32" t="s">
        <v>53443</v>
      </c>
      <c r="F54" s="31">
        <v>283.0</v>
      </c>
      <c r="G54" s="31">
        <v>1.35272837E8</v>
      </c>
    </row>
    <row r="55" ht="12.75" customHeight="1">
      <c r="A55" s="27">
        <v>127.0</v>
      </c>
      <c r="B55" s="28" t="s">
        <v>53444</v>
      </c>
      <c r="C55" s="27">
        <v>135.0</v>
      </c>
      <c r="D55" s="28" t="s">
        <v>53445</v>
      </c>
      <c r="E55" s="28" t="s">
        <v>53446</v>
      </c>
      <c r="F55" s="27">
        <v>301.0</v>
      </c>
      <c r="G55" s="27">
        <v>1.3527301E8</v>
      </c>
    </row>
    <row r="56" ht="12.75" customHeight="1">
      <c r="A56" s="31">
        <v>127.0</v>
      </c>
      <c r="B56" s="32" t="s">
        <v>53447</v>
      </c>
      <c r="C56" s="31">
        <v>135.0</v>
      </c>
      <c r="D56" s="32" t="s">
        <v>53448</v>
      </c>
      <c r="E56" s="32" t="s">
        <v>53449</v>
      </c>
      <c r="F56" s="31">
        <v>307.0</v>
      </c>
      <c r="G56" s="31">
        <v>1.35273078E8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53450</v>
      </c>
      <c r="C1" s="27">
        <v>135.0</v>
      </c>
      <c r="D1" s="28" t="s">
        <v>53451</v>
      </c>
      <c r="E1" s="28" t="s">
        <v>53452</v>
      </c>
      <c r="F1" s="27">
        <v>313.0</v>
      </c>
      <c r="G1" s="27">
        <v>1.35273131E8</v>
      </c>
    </row>
    <row r="2" ht="12.75" customHeight="1">
      <c r="A2" s="31">
        <v>127.0</v>
      </c>
      <c r="B2" s="32" t="s">
        <v>53453</v>
      </c>
      <c r="C2" s="31">
        <v>135.0</v>
      </c>
      <c r="D2" s="32" t="s">
        <v>53454</v>
      </c>
      <c r="E2" s="32" t="s">
        <v>53455</v>
      </c>
      <c r="F2" s="31">
        <v>331.0</v>
      </c>
      <c r="G2" s="31">
        <v>1.35273315E8</v>
      </c>
    </row>
    <row r="3" ht="12.75" customHeight="1">
      <c r="A3" s="27">
        <v>127.0</v>
      </c>
      <c r="B3" s="28" t="s">
        <v>53456</v>
      </c>
      <c r="C3" s="27">
        <v>135.0</v>
      </c>
      <c r="D3" s="28" t="s">
        <v>53457</v>
      </c>
      <c r="E3" s="28" t="s">
        <v>53458</v>
      </c>
      <c r="F3" s="27">
        <v>352.0</v>
      </c>
      <c r="G3" s="27">
        <v>1.35273528E8</v>
      </c>
    </row>
    <row r="4" ht="12.75" customHeight="1">
      <c r="A4" s="31">
        <v>127.0</v>
      </c>
      <c r="B4" s="32" t="s">
        <v>53459</v>
      </c>
      <c r="C4" s="31">
        <v>135.0</v>
      </c>
      <c r="D4" s="32" t="s">
        <v>53460</v>
      </c>
      <c r="E4" s="32" t="s">
        <v>53461</v>
      </c>
      <c r="F4" s="31">
        <v>361.0</v>
      </c>
      <c r="G4" s="31">
        <v>1.3527361E8</v>
      </c>
    </row>
    <row r="5" ht="12.75" customHeight="1">
      <c r="A5" s="27">
        <v>127.0</v>
      </c>
      <c r="B5" s="28" t="s">
        <v>53462</v>
      </c>
      <c r="C5" s="27">
        <v>135.0</v>
      </c>
      <c r="D5" s="28" t="s">
        <v>53463</v>
      </c>
      <c r="E5" s="28" t="s">
        <v>53464</v>
      </c>
      <c r="F5" s="27">
        <v>367.0</v>
      </c>
      <c r="G5" s="27">
        <v>1.35273678E8</v>
      </c>
    </row>
    <row r="6" ht="12.75" customHeight="1">
      <c r="A6" s="31">
        <v>127.0</v>
      </c>
      <c r="B6" s="32" t="s">
        <v>53465</v>
      </c>
      <c r="C6" s="31">
        <v>135.0</v>
      </c>
      <c r="D6" s="32" t="s">
        <v>53466</v>
      </c>
      <c r="E6" s="32" t="s">
        <v>53467</v>
      </c>
      <c r="F6" s="31">
        <v>385.0</v>
      </c>
      <c r="G6" s="31">
        <v>1.35273852E8</v>
      </c>
    </row>
    <row r="7" ht="12.75" customHeight="1">
      <c r="A7" s="27">
        <v>127.0</v>
      </c>
      <c r="B7" s="28" t="s">
        <v>53468</v>
      </c>
      <c r="C7" s="27">
        <v>135.0</v>
      </c>
      <c r="D7" s="28" t="s">
        <v>53469</v>
      </c>
      <c r="E7" s="28" t="s">
        <v>53470</v>
      </c>
      <c r="F7" s="27">
        <v>388.0</v>
      </c>
      <c r="G7" s="27">
        <v>1.35273881E8</v>
      </c>
    </row>
    <row r="8" ht="12.75" customHeight="1">
      <c r="A8" s="31">
        <v>127.0</v>
      </c>
      <c r="B8" s="32" t="s">
        <v>53471</v>
      </c>
      <c r="C8" s="31">
        <v>135.0</v>
      </c>
      <c r="D8" s="32" t="s">
        <v>53472</v>
      </c>
      <c r="E8" s="32" t="s">
        <v>53473</v>
      </c>
      <c r="F8" s="31">
        <v>412.0</v>
      </c>
      <c r="G8" s="31">
        <v>1.35274127E8</v>
      </c>
    </row>
    <row r="9" ht="12.75" customHeight="1">
      <c r="A9" s="27">
        <v>127.0</v>
      </c>
      <c r="B9" s="28" t="s">
        <v>53474</v>
      </c>
      <c r="C9" s="27">
        <v>135.0</v>
      </c>
      <c r="D9" s="28" t="s">
        <v>53475</v>
      </c>
      <c r="E9" s="28" t="s">
        <v>53476</v>
      </c>
      <c r="F9" s="27">
        <v>418.0</v>
      </c>
      <c r="G9" s="27">
        <v>1.35274185E8</v>
      </c>
    </row>
    <row r="10" ht="12.75" customHeight="1">
      <c r="A10" s="31">
        <v>127.0</v>
      </c>
      <c r="B10" s="32" t="s">
        <v>53477</v>
      </c>
      <c r="C10" s="31">
        <v>135.0</v>
      </c>
      <c r="D10" s="32" t="s">
        <v>53478</v>
      </c>
      <c r="E10" s="32" t="s">
        <v>53479</v>
      </c>
      <c r="F10" s="31">
        <v>421.0</v>
      </c>
      <c r="G10" s="31">
        <v>1.35274219E8</v>
      </c>
    </row>
    <row r="11" ht="12.75" customHeight="1">
      <c r="A11" s="27">
        <v>127.0</v>
      </c>
      <c r="B11" s="28" t="s">
        <v>53480</v>
      </c>
      <c r="C11" s="27">
        <v>135.0</v>
      </c>
      <c r="D11" s="28" t="s">
        <v>53481</v>
      </c>
      <c r="E11" s="28" t="s">
        <v>53482</v>
      </c>
      <c r="F11" s="27">
        <v>427.0</v>
      </c>
      <c r="G11" s="27">
        <v>1.35274277E8</v>
      </c>
    </row>
    <row r="12" ht="12.75" customHeight="1">
      <c r="A12" s="31">
        <v>127.0</v>
      </c>
      <c r="B12" s="32" t="s">
        <v>53483</v>
      </c>
      <c r="C12" s="31">
        <v>135.0</v>
      </c>
      <c r="D12" s="32" t="s">
        <v>53484</v>
      </c>
      <c r="E12" s="32" t="s">
        <v>53485</v>
      </c>
      <c r="F12" s="31">
        <v>439.0</v>
      </c>
      <c r="G12" s="31">
        <v>1.35274398E8</v>
      </c>
    </row>
    <row r="13" ht="12.75" customHeight="1">
      <c r="A13" s="27">
        <v>127.0</v>
      </c>
      <c r="B13" s="28" t="s">
        <v>53486</v>
      </c>
      <c r="C13" s="27">
        <v>135.0</v>
      </c>
      <c r="D13" s="28" t="s">
        <v>53487</v>
      </c>
      <c r="E13" s="28" t="s">
        <v>53488</v>
      </c>
      <c r="F13" s="27">
        <v>445.0</v>
      </c>
      <c r="G13" s="27">
        <v>1.35274451E8</v>
      </c>
    </row>
    <row r="14" ht="12.75" customHeight="1">
      <c r="A14" s="31">
        <v>127.0</v>
      </c>
      <c r="B14" s="32" t="s">
        <v>53489</v>
      </c>
      <c r="C14" s="31">
        <v>135.0</v>
      </c>
      <c r="D14" s="32" t="s">
        <v>53490</v>
      </c>
      <c r="E14" s="32" t="s">
        <v>53491</v>
      </c>
      <c r="F14" s="31">
        <v>457.0</v>
      </c>
      <c r="G14" s="31">
        <v>1.35274572E8</v>
      </c>
    </row>
    <row r="15" ht="12.75" customHeight="1">
      <c r="A15" s="27">
        <v>127.0</v>
      </c>
      <c r="B15" s="28" t="s">
        <v>53492</v>
      </c>
      <c r="C15" s="27">
        <v>135.0</v>
      </c>
      <c r="D15" s="28" t="s">
        <v>53493</v>
      </c>
      <c r="E15" s="28" t="s">
        <v>53494</v>
      </c>
      <c r="F15" s="27">
        <v>463.0</v>
      </c>
      <c r="G15" s="27">
        <v>1.35274635E8</v>
      </c>
    </row>
    <row r="16" ht="12.75" customHeight="1">
      <c r="A16" s="31">
        <v>127.0</v>
      </c>
      <c r="B16" s="32" t="s">
        <v>53495</v>
      </c>
      <c r="C16" s="31">
        <v>135.0</v>
      </c>
      <c r="D16" s="32" t="s">
        <v>53496</v>
      </c>
      <c r="E16" s="32" t="s">
        <v>53497</v>
      </c>
      <c r="F16" s="31">
        <v>469.0</v>
      </c>
      <c r="G16" s="31">
        <v>1.35274693E8</v>
      </c>
    </row>
    <row r="17" ht="12.75" customHeight="1">
      <c r="A17" s="27">
        <v>127.0</v>
      </c>
      <c r="B17" s="28" t="s">
        <v>53498</v>
      </c>
      <c r="C17" s="27">
        <v>135.0</v>
      </c>
      <c r="D17" s="28" t="s">
        <v>53499</v>
      </c>
      <c r="E17" s="28" t="s">
        <v>53500</v>
      </c>
      <c r="F17" s="27">
        <v>478.0</v>
      </c>
      <c r="G17" s="27">
        <v>1.35274785E8</v>
      </c>
    </row>
    <row r="18" ht="12.75" customHeight="1">
      <c r="A18" s="31">
        <v>127.0</v>
      </c>
      <c r="B18" s="32" t="s">
        <v>53501</v>
      </c>
      <c r="C18" s="31">
        <v>135.0</v>
      </c>
      <c r="D18" s="32" t="s">
        <v>53502</v>
      </c>
      <c r="E18" s="32" t="s">
        <v>53503</v>
      </c>
      <c r="F18" s="31">
        <v>493.0</v>
      </c>
      <c r="G18" s="31">
        <v>1.3527493E8</v>
      </c>
    </row>
    <row r="19" ht="12.75" customHeight="1">
      <c r="A19" s="27">
        <v>127.0</v>
      </c>
      <c r="B19" s="28" t="s">
        <v>53504</v>
      </c>
      <c r="C19" s="27">
        <v>135.0</v>
      </c>
      <c r="D19" s="28" t="s">
        <v>53505</v>
      </c>
      <c r="E19" s="28" t="s">
        <v>53506</v>
      </c>
      <c r="F19" s="27">
        <v>512.0</v>
      </c>
      <c r="G19" s="27">
        <v>1.35275126E8</v>
      </c>
    </row>
    <row r="20" ht="12.75" customHeight="1">
      <c r="A20" s="31">
        <v>127.0</v>
      </c>
      <c r="B20" s="32" t="s">
        <v>53507</v>
      </c>
      <c r="C20" s="31">
        <v>135.0</v>
      </c>
      <c r="D20" s="32" t="s">
        <v>53508</v>
      </c>
      <c r="E20" s="32" t="s">
        <v>53509</v>
      </c>
      <c r="F20" s="31">
        <v>514.0</v>
      </c>
      <c r="G20" s="31">
        <v>1.35275142E8</v>
      </c>
    </row>
    <row r="21" ht="12.75" customHeight="1">
      <c r="A21" s="27">
        <v>127.0</v>
      </c>
      <c r="B21" s="28" t="s">
        <v>53510</v>
      </c>
      <c r="C21" s="27">
        <v>135.0</v>
      </c>
      <c r="D21" s="28" t="s">
        <v>53511</v>
      </c>
      <c r="E21" s="28" t="s">
        <v>53512</v>
      </c>
      <c r="F21" s="27">
        <v>529.0</v>
      </c>
      <c r="G21" s="27">
        <v>1.35275292E8</v>
      </c>
    </row>
    <row r="22" ht="12.75" customHeight="1">
      <c r="A22" s="31">
        <v>127.0</v>
      </c>
      <c r="B22" s="32" t="s">
        <v>53513</v>
      </c>
      <c r="C22" s="31">
        <v>135.0</v>
      </c>
      <c r="D22" s="32" t="s">
        <v>53514</v>
      </c>
      <c r="E22" s="32" t="s">
        <v>53515</v>
      </c>
      <c r="F22" s="31">
        <v>532.0</v>
      </c>
      <c r="G22" s="31">
        <v>1.35275326E8</v>
      </c>
    </row>
    <row r="23" ht="12.75" customHeight="1">
      <c r="A23" s="27">
        <v>127.0</v>
      </c>
      <c r="B23" s="28" t="s">
        <v>53516</v>
      </c>
      <c r="C23" s="27">
        <v>135.0</v>
      </c>
      <c r="D23" s="28" t="s">
        <v>53517</v>
      </c>
      <c r="E23" s="28" t="s">
        <v>53518</v>
      </c>
      <c r="F23" s="27">
        <v>538.0</v>
      </c>
      <c r="G23" s="27">
        <v>1.35275384E8</v>
      </c>
    </row>
    <row r="24" ht="12.75" customHeight="1">
      <c r="A24" s="31">
        <v>127.0</v>
      </c>
      <c r="B24" s="32" t="s">
        <v>53519</v>
      </c>
      <c r="C24" s="31">
        <v>135.0</v>
      </c>
      <c r="D24" s="32" t="s">
        <v>53520</v>
      </c>
      <c r="E24" s="32" t="s">
        <v>53521</v>
      </c>
      <c r="F24" s="31">
        <v>556.0</v>
      </c>
      <c r="G24" s="31">
        <v>1.35275568E8</v>
      </c>
    </row>
    <row r="25" ht="12.75" customHeight="1">
      <c r="A25" s="27">
        <v>127.0</v>
      </c>
      <c r="B25" s="28" t="s">
        <v>53522</v>
      </c>
      <c r="C25" s="27">
        <v>135.0</v>
      </c>
      <c r="D25" s="28" t="s">
        <v>53523</v>
      </c>
      <c r="E25" s="28" t="s">
        <v>53524</v>
      </c>
      <c r="F25" s="27">
        <v>565.0</v>
      </c>
      <c r="G25" s="27">
        <v>1.3527565E8</v>
      </c>
    </row>
    <row r="26" ht="12.75" customHeight="1">
      <c r="A26" s="31">
        <v>127.0</v>
      </c>
      <c r="B26" s="32" t="s">
        <v>53525</v>
      </c>
      <c r="C26" s="31">
        <v>135.0</v>
      </c>
      <c r="D26" s="32" t="s">
        <v>53526</v>
      </c>
      <c r="E26" s="32" t="s">
        <v>53527</v>
      </c>
      <c r="F26" s="31">
        <v>571.0</v>
      </c>
      <c r="G26" s="31">
        <v>1.35275713E8</v>
      </c>
    </row>
    <row r="27" ht="12.75" customHeight="1">
      <c r="A27" s="27">
        <v>127.0</v>
      </c>
      <c r="B27" s="28" t="s">
        <v>53528</v>
      </c>
      <c r="C27" s="27">
        <v>135.0</v>
      </c>
      <c r="D27" s="28" t="s">
        <v>53529</v>
      </c>
      <c r="E27" s="28" t="s">
        <v>53530</v>
      </c>
      <c r="F27" s="27">
        <v>574.0</v>
      </c>
      <c r="G27" s="27">
        <v>1.35275742E8</v>
      </c>
    </row>
    <row r="28" ht="12.75" customHeight="1">
      <c r="A28" s="31">
        <v>127.0</v>
      </c>
      <c r="B28" s="32" t="s">
        <v>53531</v>
      </c>
      <c r="C28" s="31">
        <v>135.0</v>
      </c>
      <c r="D28" s="32" t="s">
        <v>53532</v>
      </c>
      <c r="E28" s="32" t="s">
        <v>53533</v>
      </c>
      <c r="F28" s="31">
        <v>592.0</v>
      </c>
      <c r="G28" s="31">
        <v>1.35275926E8</v>
      </c>
    </row>
    <row r="29" ht="12.75" customHeight="1">
      <c r="A29" s="27">
        <v>127.0</v>
      </c>
      <c r="B29" s="28" t="s">
        <v>53534</v>
      </c>
      <c r="C29" s="27">
        <v>135.0</v>
      </c>
      <c r="D29" s="28" t="s">
        <v>53535</v>
      </c>
      <c r="E29" s="28" t="s">
        <v>53536</v>
      </c>
      <c r="F29" s="27">
        <v>604.0</v>
      </c>
      <c r="G29" s="27">
        <v>1.35276046E8</v>
      </c>
    </row>
    <row r="30" ht="12.75" customHeight="1">
      <c r="A30" s="31">
        <v>127.0</v>
      </c>
      <c r="B30" s="32" t="s">
        <v>53537</v>
      </c>
      <c r="C30" s="31">
        <v>135.0</v>
      </c>
      <c r="D30" s="32" t="s">
        <v>53538</v>
      </c>
      <c r="E30" s="32" t="s">
        <v>53539</v>
      </c>
      <c r="F30" s="31">
        <v>637.0</v>
      </c>
      <c r="G30" s="31">
        <v>1.3527637E8</v>
      </c>
    </row>
    <row r="31" ht="12.75" customHeight="1">
      <c r="A31" s="27">
        <v>127.0</v>
      </c>
      <c r="B31" s="28" t="s">
        <v>53540</v>
      </c>
      <c r="C31" s="27">
        <v>135.0</v>
      </c>
      <c r="D31" s="28" t="s">
        <v>53541</v>
      </c>
      <c r="E31" s="28" t="s">
        <v>53542</v>
      </c>
      <c r="F31" s="27">
        <v>652.0</v>
      </c>
      <c r="G31" s="27">
        <v>1.35276525E8</v>
      </c>
    </row>
    <row r="32" ht="12.75" customHeight="1">
      <c r="A32" s="31">
        <v>127.0</v>
      </c>
      <c r="B32" s="32" t="s">
        <v>53543</v>
      </c>
      <c r="C32" s="31">
        <v>135.0</v>
      </c>
      <c r="D32" s="32" t="s">
        <v>53544</v>
      </c>
      <c r="E32" s="32" t="s">
        <v>53545</v>
      </c>
      <c r="F32" s="31">
        <v>658.0</v>
      </c>
      <c r="G32" s="31">
        <v>1.35276583E8</v>
      </c>
    </row>
    <row r="33" ht="12.75" customHeight="1">
      <c r="A33" s="27">
        <v>127.0</v>
      </c>
      <c r="B33" s="28" t="s">
        <v>53546</v>
      </c>
      <c r="C33" s="27">
        <v>135.0</v>
      </c>
      <c r="D33" s="28" t="s">
        <v>53547</v>
      </c>
      <c r="E33" s="28" t="s">
        <v>53548</v>
      </c>
      <c r="F33" s="27">
        <v>667.0</v>
      </c>
      <c r="G33" s="27">
        <v>1.35276675E8</v>
      </c>
    </row>
    <row r="34" ht="12.75" customHeight="1">
      <c r="A34" s="31">
        <v>127.0</v>
      </c>
      <c r="B34" s="32" t="s">
        <v>53549</v>
      </c>
      <c r="C34" s="31">
        <v>135.0</v>
      </c>
      <c r="D34" s="32" t="s">
        <v>53550</v>
      </c>
      <c r="E34" s="32" t="s">
        <v>53551</v>
      </c>
      <c r="F34" s="31">
        <v>670.0</v>
      </c>
      <c r="G34" s="31">
        <v>1.35276709E8</v>
      </c>
    </row>
    <row r="35" ht="12.75" customHeight="1">
      <c r="A35" s="27">
        <v>127.0</v>
      </c>
      <c r="B35" s="28" t="s">
        <v>53552</v>
      </c>
      <c r="C35" s="27">
        <v>135.0</v>
      </c>
      <c r="D35" s="28" t="s">
        <v>53553</v>
      </c>
      <c r="E35" s="28" t="s">
        <v>53554</v>
      </c>
      <c r="F35" s="27">
        <v>673.0</v>
      </c>
      <c r="G35" s="27">
        <v>1.35276738E8</v>
      </c>
    </row>
    <row r="36" ht="12.75" customHeight="1">
      <c r="A36" s="31">
        <v>127.0</v>
      </c>
      <c r="B36" s="32" t="s">
        <v>53555</v>
      </c>
      <c r="C36" s="31">
        <v>135.0</v>
      </c>
      <c r="D36" s="32" t="s">
        <v>53556</v>
      </c>
      <c r="E36" s="32" t="s">
        <v>53557</v>
      </c>
      <c r="F36" s="31">
        <v>679.0</v>
      </c>
      <c r="G36" s="31">
        <v>1.35276796E8</v>
      </c>
    </row>
    <row r="37" ht="12.75" customHeight="1">
      <c r="A37" s="27">
        <v>127.0</v>
      </c>
      <c r="B37" s="28" t="s">
        <v>53558</v>
      </c>
      <c r="C37" s="27">
        <v>135.0</v>
      </c>
      <c r="D37" s="28" t="s">
        <v>53559</v>
      </c>
      <c r="E37" s="28" t="s">
        <v>53560</v>
      </c>
      <c r="F37" s="27">
        <v>682.0</v>
      </c>
      <c r="G37" s="27">
        <v>1.3527682E8</v>
      </c>
    </row>
    <row r="38" ht="12.75" customHeight="1">
      <c r="A38" s="31">
        <v>127.0</v>
      </c>
      <c r="B38" s="32" t="s">
        <v>53561</v>
      </c>
      <c r="C38" s="31">
        <v>135.0</v>
      </c>
      <c r="D38" s="32" t="s">
        <v>53562</v>
      </c>
      <c r="E38" s="32" t="s">
        <v>53563</v>
      </c>
      <c r="F38" s="31">
        <v>694.0</v>
      </c>
      <c r="G38" s="31">
        <v>1.35276941E8</v>
      </c>
    </row>
    <row r="39" ht="12.75" customHeight="1">
      <c r="A39" s="27">
        <v>127.0</v>
      </c>
      <c r="B39" s="28" t="s">
        <v>53564</v>
      </c>
      <c r="C39" s="27">
        <v>135.0</v>
      </c>
      <c r="D39" s="28" t="s">
        <v>53565</v>
      </c>
      <c r="E39" s="28" t="s">
        <v>53566</v>
      </c>
      <c r="F39" s="27">
        <v>703.0</v>
      </c>
      <c r="G39" s="27">
        <v>1.35277032E8</v>
      </c>
    </row>
    <row r="40" ht="12.75" customHeight="1">
      <c r="A40" s="31">
        <v>127.0</v>
      </c>
      <c r="B40" s="32" t="s">
        <v>53567</v>
      </c>
      <c r="C40" s="31">
        <v>135.0</v>
      </c>
      <c r="D40" s="32" t="s">
        <v>53568</v>
      </c>
      <c r="E40" s="32" t="s">
        <v>53569</v>
      </c>
      <c r="F40" s="31">
        <v>709.0</v>
      </c>
      <c r="G40" s="31">
        <v>1.3527709E8</v>
      </c>
    </row>
    <row r="41" ht="12.75" customHeight="1">
      <c r="A41" s="27">
        <v>728.0</v>
      </c>
      <c r="B41" s="28" t="s">
        <v>53570</v>
      </c>
      <c r="C41" s="27">
        <v>135.0</v>
      </c>
      <c r="D41" s="28" t="s">
        <v>53571</v>
      </c>
      <c r="E41" s="28" t="s">
        <v>53572</v>
      </c>
      <c r="F41" s="29">
        <v>4.0</v>
      </c>
      <c r="G41" s="27">
        <v>1.35280045E8</v>
      </c>
    </row>
    <row r="42" ht="12.75" customHeight="1">
      <c r="A42" s="31">
        <v>728.0</v>
      </c>
      <c r="B42" s="32" t="s">
        <v>53573</v>
      </c>
      <c r="C42" s="31">
        <v>135.0</v>
      </c>
      <c r="D42" s="32" t="s">
        <v>53574</v>
      </c>
      <c r="E42" s="32" t="s">
        <v>53575</v>
      </c>
      <c r="F42" s="33">
        <v>10.0</v>
      </c>
      <c r="G42" s="31">
        <v>1.35280108E8</v>
      </c>
    </row>
    <row r="43" ht="12.75" customHeight="1">
      <c r="A43" s="27">
        <v>728.0</v>
      </c>
      <c r="B43" s="28" t="s">
        <v>53576</v>
      </c>
      <c r="C43" s="27">
        <v>135.0</v>
      </c>
      <c r="D43" s="28" t="s">
        <v>53577</v>
      </c>
      <c r="E43" s="28" t="s">
        <v>53578</v>
      </c>
      <c r="F43" s="29">
        <v>19.0</v>
      </c>
      <c r="G43" s="27">
        <v>1.35280195E8</v>
      </c>
    </row>
    <row r="44" ht="12.75" customHeight="1">
      <c r="A44" s="31">
        <v>728.0</v>
      </c>
      <c r="B44" s="32" t="s">
        <v>53579</v>
      </c>
      <c r="C44" s="31">
        <v>135.0</v>
      </c>
      <c r="D44" s="32" t="s">
        <v>53580</v>
      </c>
      <c r="E44" s="32" t="s">
        <v>53581</v>
      </c>
      <c r="F44" s="33">
        <v>34.0</v>
      </c>
      <c r="G44" s="31">
        <v>1.3528034E8</v>
      </c>
    </row>
    <row r="45" ht="12.75" customHeight="1">
      <c r="A45" s="27">
        <v>728.0</v>
      </c>
      <c r="B45" s="28" t="s">
        <v>53582</v>
      </c>
      <c r="C45" s="27">
        <v>135.0</v>
      </c>
      <c r="D45" s="28" t="s">
        <v>53583</v>
      </c>
      <c r="E45" s="28" t="s">
        <v>53584</v>
      </c>
      <c r="F45" s="29">
        <v>52.0</v>
      </c>
      <c r="G45" s="27">
        <v>1.35280524E8</v>
      </c>
    </row>
    <row r="46" ht="12.75" customHeight="1">
      <c r="A46" s="31">
        <v>728.0</v>
      </c>
      <c r="B46" s="32" t="s">
        <v>53585</v>
      </c>
      <c r="C46" s="31">
        <v>135.0</v>
      </c>
      <c r="D46" s="32" t="s">
        <v>53586</v>
      </c>
      <c r="E46" s="32" t="s">
        <v>53587</v>
      </c>
      <c r="F46" s="33">
        <v>70.0</v>
      </c>
      <c r="G46" s="31">
        <v>1.35280708E8</v>
      </c>
    </row>
    <row r="47" ht="12.75" customHeight="1">
      <c r="A47" s="27">
        <v>728.0</v>
      </c>
      <c r="B47" s="28" t="s">
        <v>53588</v>
      </c>
      <c r="C47" s="27">
        <v>135.0</v>
      </c>
      <c r="D47" s="28" t="s">
        <v>53589</v>
      </c>
      <c r="E47" s="28" t="s">
        <v>53590</v>
      </c>
      <c r="F47" s="29">
        <v>73.0</v>
      </c>
      <c r="G47" s="27">
        <v>1.35280737E8</v>
      </c>
    </row>
    <row r="48" ht="12.75" customHeight="1">
      <c r="A48" s="31">
        <v>728.0</v>
      </c>
      <c r="B48" s="32" t="s">
        <v>53591</v>
      </c>
      <c r="C48" s="31">
        <v>135.0</v>
      </c>
      <c r="D48" s="32" t="s">
        <v>53592</v>
      </c>
      <c r="E48" s="32" t="s">
        <v>53593</v>
      </c>
      <c r="F48" s="31">
        <v>103.0</v>
      </c>
      <c r="G48" s="31">
        <v>1.35281031E8</v>
      </c>
    </row>
    <row r="49" ht="12.75" customHeight="1">
      <c r="A49" s="27">
        <v>728.0</v>
      </c>
      <c r="B49" s="28" t="s">
        <v>53594</v>
      </c>
      <c r="C49" s="27">
        <v>135.0</v>
      </c>
      <c r="D49" s="28" t="s">
        <v>53595</v>
      </c>
      <c r="E49" s="28" t="s">
        <v>53596</v>
      </c>
      <c r="F49" s="27">
        <v>151.0</v>
      </c>
      <c r="G49" s="27">
        <v>1.3528151E8</v>
      </c>
    </row>
    <row r="50" ht="12.75" customHeight="1">
      <c r="A50" s="31">
        <v>728.0</v>
      </c>
      <c r="B50" s="32" t="s">
        <v>53597</v>
      </c>
      <c r="C50" s="31">
        <v>135.0</v>
      </c>
      <c r="D50" s="32" t="s">
        <v>53598</v>
      </c>
      <c r="E50" s="32" t="s">
        <v>53599</v>
      </c>
      <c r="F50" s="31">
        <v>160.0</v>
      </c>
      <c r="G50" s="31">
        <v>1.35281602E8</v>
      </c>
    </row>
    <row r="51" ht="12.75" customHeight="1">
      <c r="A51" s="27">
        <v>728.0</v>
      </c>
      <c r="B51" s="28" t="s">
        <v>53600</v>
      </c>
      <c r="C51" s="27">
        <v>135.0</v>
      </c>
      <c r="D51" s="28" t="s">
        <v>53601</v>
      </c>
      <c r="E51" s="28" t="s">
        <v>53602</v>
      </c>
      <c r="F51" s="27">
        <v>181.0</v>
      </c>
      <c r="G51" s="27">
        <v>1.35281815E8</v>
      </c>
    </row>
    <row r="52" ht="12.75" customHeight="1">
      <c r="A52" s="31">
        <v>728.0</v>
      </c>
      <c r="B52" s="32" t="s">
        <v>53603</v>
      </c>
      <c r="C52" s="31">
        <v>135.0</v>
      </c>
      <c r="D52" s="32" t="s">
        <v>53604</v>
      </c>
      <c r="E52" s="32" t="s">
        <v>53605</v>
      </c>
      <c r="F52" s="31">
        <v>190.0</v>
      </c>
      <c r="G52" s="31">
        <v>1.35281907E8</v>
      </c>
    </row>
    <row r="53" ht="12.75" customHeight="1">
      <c r="A53" s="27">
        <v>728.0</v>
      </c>
      <c r="B53" s="28" t="s">
        <v>53606</v>
      </c>
      <c r="C53" s="27">
        <v>135.0</v>
      </c>
      <c r="D53" s="28" t="s">
        <v>53607</v>
      </c>
      <c r="E53" s="28" t="s">
        <v>53608</v>
      </c>
      <c r="F53" s="27">
        <v>193.0</v>
      </c>
      <c r="G53" s="27">
        <v>1.35281936E8</v>
      </c>
    </row>
    <row r="54" ht="12.75" customHeight="1">
      <c r="A54" s="31">
        <v>728.0</v>
      </c>
      <c r="B54" s="32" t="s">
        <v>53609</v>
      </c>
      <c r="C54" s="31">
        <v>135.0</v>
      </c>
      <c r="D54" s="32" t="s">
        <v>53610</v>
      </c>
      <c r="E54" s="32" t="s">
        <v>53611</v>
      </c>
      <c r="F54" s="31">
        <v>202.0</v>
      </c>
      <c r="G54" s="31">
        <v>1.35282027E8</v>
      </c>
    </row>
    <row r="55" ht="12.75" customHeight="1">
      <c r="A55" s="27">
        <v>728.0</v>
      </c>
      <c r="B55" s="28" t="s">
        <v>53612</v>
      </c>
      <c r="C55" s="27">
        <v>135.0</v>
      </c>
      <c r="D55" s="28" t="s">
        <v>53613</v>
      </c>
      <c r="E55" s="28" t="s">
        <v>53614</v>
      </c>
      <c r="F55" s="27">
        <v>214.0</v>
      </c>
      <c r="G55" s="27">
        <v>1.35282148E8</v>
      </c>
    </row>
    <row r="56" ht="12.75" customHeight="1">
      <c r="A56" s="31">
        <v>728.0</v>
      </c>
      <c r="B56" s="32" t="s">
        <v>53615</v>
      </c>
      <c r="C56" s="31">
        <v>135.0</v>
      </c>
      <c r="D56" s="32" t="s">
        <v>53616</v>
      </c>
      <c r="E56" s="32" t="s">
        <v>53617</v>
      </c>
      <c r="F56" s="31">
        <v>217.0</v>
      </c>
      <c r="G56" s="31">
        <v>1.35282177E8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329.0</v>
      </c>
      <c r="B1" s="28" t="s">
        <v>53618</v>
      </c>
      <c r="C1" s="27">
        <v>135.0</v>
      </c>
      <c r="D1" s="28" t="s">
        <v>53619</v>
      </c>
      <c r="E1" s="28" t="s">
        <v>53620</v>
      </c>
      <c r="F1" s="29">
        <v>28.0</v>
      </c>
      <c r="G1" s="27">
        <v>1.3529028E8</v>
      </c>
    </row>
    <row r="2" ht="12.75" customHeight="1">
      <c r="A2" s="31">
        <v>329.0</v>
      </c>
      <c r="B2" s="32" t="s">
        <v>53621</v>
      </c>
      <c r="C2" s="31">
        <v>135.0</v>
      </c>
      <c r="D2" s="32" t="s">
        <v>53622</v>
      </c>
      <c r="E2" s="32" t="s">
        <v>53623</v>
      </c>
      <c r="F2" s="33">
        <v>55.0</v>
      </c>
      <c r="G2" s="31">
        <v>1.35290556E8</v>
      </c>
    </row>
    <row r="3" ht="12.75" customHeight="1">
      <c r="A3" s="27">
        <v>329.0</v>
      </c>
      <c r="B3" s="28" t="s">
        <v>53624</v>
      </c>
      <c r="C3" s="27">
        <v>135.0</v>
      </c>
      <c r="D3" s="28" t="s">
        <v>53625</v>
      </c>
      <c r="E3" s="28" t="s">
        <v>53626</v>
      </c>
      <c r="F3" s="29">
        <v>61.0</v>
      </c>
      <c r="G3" s="27">
        <v>1.35290619E8</v>
      </c>
    </row>
    <row r="4" ht="12.75" customHeight="1">
      <c r="A4" s="31">
        <v>329.0</v>
      </c>
      <c r="B4" s="32" t="s">
        <v>53627</v>
      </c>
      <c r="C4" s="31">
        <v>135.0</v>
      </c>
      <c r="D4" s="32" t="s">
        <v>53628</v>
      </c>
      <c r="E4" s="32" t="s">
        <v>53629</v>
      </c>
      <c r="F4" s="33">
        <v>85.0</v>
      </c>
      <c r="G4" s="31">
        <v>1.35290851E8</v>
      </c>
    </row>
    <row r="5" ht="12.75" customHeight="1">
      <c r="A5" s="27">
        <v>329.0</v>
      </c>
      <c r="B5" s="28" t="s">
        <v>53630</v>
      </c>
      <c r="C5" s="27">
        <v>135.0</v>
      </c>
      <c r="D5" s="28" t="s">
        <v>53631</v>
      </c>
      <c r="E5" s="28" t="s">
        <v>53632</v>
      </c>
      <c r="F5" s="27">
        <v>130.0</v>
      </c>
      <c r="G5" s="27">
        <v>1.352913E8</v>
      </c>
    </row>
    <row r="6" ht="12.75" customHeight="1">
      <c r="A6" s="31">
        <v>329.0</v>
      </c>
      <c r="B6" s="32" t="s">
        <v>53633</v>
      </c>
      <c r="C6" s="31">
        <v>135.0</v>
      </c>
      <c r="D6" s="32" t="s">
        <v>53634</v>
      </c>
      <c r="E6" s="32" t="s">
        <v>53635</v>
      </c>
      <c r="F6" s="31">
        <v>139.0</v>
      </c>
      <c r="G6" s="31">
        <v>1.35291397E8</v>
      </c>
    </row>
    <row r="7" ht="12.75" customHeight="1">
      <c r="A7" s="27">
        <v>329.0</v>
      </c>
      <c r="B7" s="28" t="s">
        <v>53636</v>
      </c>
      <c r="C7" s="27">
        <v>135.0</v>
      </c>
      <c r="D7" s="28" t="s">
        <v>53637</v>
      </c>
      <c r="E7" s="28" t="s">
        <v>53638</v>
      </c>
      <c r="F7" s="27">
        <v>148.0</v>
      </c>
      <c r="G7" s="27">
        <v>1.35291489E8</v>
      </c>
    </row>
    <row r="8" ht="12.75" customHeight="1">
      <c r="A8" s="31">
        <v>230.0</v>
      </c>
      <c r="B8" s="32" t="s">
        <v>53639</v>
      </c>
      <c r="C8" s="31">
        <v>135.0</v>
      </c>
      <c r="D8" s="32" t="s">
        <v>53640</v>
      </c>
      <c r="E8" s="32" t="s">
        <v>53641</v>
      </c>
      <c r="F8" s="33">
        <v>16.0</v>
      </c>
      <c r="G8" s="31">
        <v>1.35300167E8</v>
      </c>
    </row>
    <row r="9" ht="12.75" customHeight="1">
      <c r="A9" s="27">
        <v>230.0</v>
      </c>
      <c r="B9" s="28" t="s">
        <v>53642</v>
      </c>
      <c r="C9" s="27">
        <v>135.0</v>
      </c>
      <c r="D9" s="28" t="s">
        <v>53643</v>
      </c>
      <c r="E9" s="28" t="s">
        <v>53644</v>
      </c>
      <c r="F9" s="29">
        <v>31.0</v>
      </c>
      <c r="G9" s="27">
        <v>1.35300312E8</v>
      </c>
    </row>
    <row r="10" ht="12.75" customHeight="1">
      <c r="A10" s="31">
        <v>230.0</v>
      </c>
      <c r="B10" s="32" t="s">
        <v>53645</v>
      </c>
      <c r="C10" s="31">
        <v>135.0</v>
      </c>
      <c r="D10" s="32" t="s">
        <v>53646</v>
      </c>
      <c r="E10" s="32" t="s">
        <v>53647</v>
      </c>
      <c r="F10" s="33">
        <v>34.0</v>
      </c>
      <c r="G10" s="31">
        <v>1.35300341E8</v>
      </c>
    </row>
    <row r="11" ht="12.75" customHeight="1">
      <c r="A11" s="27">
        <v>230.0</v>
      </c>
      <c r="B11" s="28" t="s">
        <v>53648</v>
      </c>
      <c r="C11" s="27">
        <v>135.0</v>
      </c>
      <c r="D11" s="28" t="s">
        <v>53649</v>
      </c>
      <c r="E11" s="28" t="s">
        <v>53650</v>
      </c>
      <c r="F11" s="29">
        <v>37.0</v>
      </c>
      <c r="G11" s="27">
        <v>1.3530037E8</v>
      </c>
    </row>
    <row r="12" ht="12.75" customHeight="1">
      <c r="A12" s="31">
        <v>230.0</v>
      </c>
      <c r="B12" s="32" t="s">
        <v>53651</v>
      </c>
      <c r="C12" s="31">
        <v>135.0</v>
      </c>
      <c r="D12" s="32" t="s">
        <v>53652</v>
      </c>
      <c r="E12" s="32" t="s">
        <v>53653</v>
      </c>
      <c r="F12" s="33">
        <v>43.0</v>
      </c>
      <c r="G12" s="31">
        <v>1.35300433E8</v>
      </c>
    </row>
    <row r="13" ht="12.75" customHeight="1">
      <c r="A13" s="27">
        <v>230.0</v>
      </c>
      <c r="B13" s="28" t="s">
        <v>53654</v>
      </c>
      <c r="C13" s="27">
        <v>135.0</v>
      </c>
      <c r="D13" s="28" t="s">
        <v>53655</v>
      </c>
      <c r="E13" s="28" t="s">
        <v>53656</v>
      </c>
      <c r="F13" s="29">
        <v>58.0</v>
      </c>
      <c r="G13" s="27">
        <v>1.35300583E8</v>
      </c>
    </row>
    <row r="14" ht="12.75" customHeight="1">
      <c r="A14" s="31">
        <v>230.0</v>
      </c>
      <c r="B14" s="32" t="s">
        <v>53657</v>
      </c>
      <c r="C14" s="31">
        <v>135.0</v>
      </c>
      <c r="D14" s="32" t="s">
        <v>53658</v>
      </c>
      <c r="E14" s="32" t="s">
        <v>53659</v>
      </c>
      <c r="F14" s="33">
        <v>61.0</v>
      </c>
      <c r="G14" s="31">
        <v>1.35300617E8</v>
      </c>
    </row>
    <row r="15" ht="12.75" customHeight="1">
      <c r="A15" s="27">
        <v>230.0</v>
      </c>
      <c r="B15" s="28" t="s">
        <v>53660</v>
      </c>
      <c r="C15" s="27">
        <v>135.0</v>
      </c>
      <c r="D15" s="28" t="s">
        <v>53661</v>
      </c>
      <c r="E15" s="28" t="s">
        <v>53662</v>
      </c>
      <c r="F15" s="29">
        <v>70.0</v>
      </c>
      <c r="G15" s="27">
        <v>1.35300709E8</v>
      </c>
    </row>
    <row r="16" ht="12.75" customHeight="1">
      <c r="A16" s="31">
        <v>230.0</v>
      </c>
      <c r="B16" s="32" t="s">
        <v>53663</v>
      </c>
      <c r="C16" s="31">
        <v>135.0</v>
      </c>
      <c r="D16" s="32" t="s">
        <v>53664</v>
      </c>
      <c r="E16" s="32" t="s">
        <v>53665</v>
      </c>
      <c r="F16" s="31">
        <v>106.0</v>
      </c>
      <c r="G16" s="31">
        <v>1.35301061E8</v>
      </c>
    </row>
    <row r="17" ht="12.75" customHeight="1">
      <c r="A17" s="27">
        <v>230.0</v>
      </c>
      <c r="B17" s="28" t="s">
        <v>53666</v>
      </c>
      <c r="C17" s="27">
        <v>135.0</v>
      </c>
      <c r="D17" s="28" t="s">
        <v>53667</v>
      </c>
      <c r="E17" s="28" t="s">
        <v>53668</v>
      </c>
      <c r="F17" s="27">
        <v>109.0</v>
      </c>
      <c r="G17" s="27">
        <v>1.3530109E8</v>
      </c>
    </row>
    <row r="18" ht="12.75" customHeight="1">
      <c r="A18" s="31">
        <v>230.0</v>
      </c>
      <c r="B18" s="32" t="s">
        <v>53669</v>
      </c>
      <c r="C18" s="31">
        <v>135.0</v>
      </c>
      <c r="D18" s="32" t="s">
        <v>53670</v>
      </c>
      <c r="E18" s="32" t="s">
        <v>53671</v>
      </c>
      <c r="F18" s="31">
        <v>112.0</v>
      </c>
      <c r="G18" s="31">
        <v>1.35301124E8</v>
      </c>
    </row>
    <row r="19" ht="12.75" customHeight="1">
      <c r="A19" s="27">
        <v>230.0</v>
      </c>
      <c r="B19" s="28" t="s">
        <v>53672</v>
      </c>
      <c r="C19" s="27">
        <v>135.0</v>
      </c>
      <c r="D19" s="28" t="s">
        <v>53673</v>
      </c>
      <c r="E19" s="28" t="s">
        <v>53674</v>
      </c>
      <c r="F19" s="27">
        <v>115.0</v>
      </c>
      <c r="G19" s="27">
        <v>1.35301153E8</v>
      </c>
    </row>
    <row r="20" ht="12.75" customHeight="1">
      <c r="A20" s="31">
        <v>230.0</v>
      </c>
      <c r="B20" s="32" t="s">
        <v>53675</v>
      </c>
      <c r="C20" s="31">
        <v>135.0</v>
      </c>
      <c r="D20" s="32" t="s">
        <v>53676</v>
      </c>
      <c r="E20" s="32" t="s">
        <v>53677</v>
      </c>
      <c r="F20" s="31">
        <v>121.0</v>
      </c>
      <c r="G20" s="31">
        <v>1.35301216E8</v>
      </c>
    </row>
    <row r="21" ht="12.75" customHeight="1">
      <c r="A21" s="27">
        <v>230.0</v>
      </c>
      <c r="B21" s="28" t="s">
        <v>53678</v>
      </c>
      <c r="C21" s="27">
        <v>135.0</v>
      </c>
      <c r="D21" s="28" t="s">
        <v>53679</v>
      </c>
      <c r="E21" s="28" t="s">
        <v>53680</v>
      </c>
      <c r="F21" s="27">
        <v>127.0</v>
      </c>
      <c r="G21" s="27">
        <v>1.35301274E8</v>
      </c>
    </row>
    <row r="22" ht="12.75" customHeight="1">
      <c r="A22" s="31">
        <v>230.0</v>
      </c>
      <c r="B22" s="32" t="s">
        <v>53681</v>
      </c>
      <c r="C22" s="31">
        <v>135.0</v>
      </c>
      <c r="D22" s="32" t="s">
        <v>53682</v>
      </c>
      <c r="E22" s="32" t="s">
        <v>53683</v>
      </c>
      <c r="F22" s="31">
        <v>130.0</v>
      </c>
      <c r="G22" s="31">
        <v>1.35301308E8</v>
      </c>
    </row>
    <row r="23" ht="12.75" customHeight="1">
      <c r="A23" s="27">
        <v>230.0</v>
      </c>
      <c r="B23" s="28" t="s">
        <v>53684</v>
      </c>
      <c r="C23" s="27">
        <v>135.0</v>
      </c>
      <c r="D23" s="28" t="s">
        <v>53685</v>
      </c>
      <c r="E23" s="28" t="s">
        <v>53686</v>
      </c>
      <c r="F23" s="27">
        <v>148.0</v>
      </c>
      <c r="G23" s="27">
        <v>1.35301487E8</v>
      </c>
    </row>
    <row r="24" ht="12.75" customHeight="1">
      <c r="A24" s="31">
        <v>632.0</v>
      </c>
      <c r="B24" s="32" t="s">
        <v>53687</v>
      </c>
      <c r="C24" s="31">
        <v>135.0</v>
      </c>
      <c r="D24" s="32" t="s">
        <v>53688</v>
      </c>
      <c r="E24" s="32" t="s">
        <v>53689</v>
      </c>
      <c r="F24" s="33">
        <v>5.0</v>
      </c>
      <c r="G24" s="31">
        <v>1.35320055E8</v>
      </c>
    </row>
    <row r="25" ht="12.75" customHeight="1">
      <c r="A25" s="27">
        <v>632.0</v>
      </c>
      <c r="B25" s="28" t="s">
        <v>53690</v>
      </c>
      <c r="C25" s="27">
        <v>135.0</v>
      </c>
      <c r="D25" s="28" t="s">
        <v>53691</v>
      </c>
      <c r="E25" s="28" t="s">
        <v>53692</v>
      </c>
      <c r="F25" s="29">
        <v>10.0</v>
      </c>
      <c r="G25" s="27">
        <v>1.35320105E8</v>
      </c>
    </row>
    <row r="26" ht="12.75" customHeight="1">
      <c r="A26" s="31">
        <v>632.0</v>
      </c>
      <c r="B26" s="32" t="s">
        <v>53693</v>
      </c>
      <c r="C26" s="31">
        <v>135.0</v>
      </c>
      <c r="D26" s="32" t="s">
        <v>53694</v>
      </c>
      <c r="E26" s="32" t="s">
        <v>53695</v>
      </c>
      <c r="F26" s="33">
        <v>25.0</v>
      </c>
      <c r="G26" s="31">
        <v>1.35320255E8</v>
      </c>
    </row>
    <row r="27" ht="12.75" customHeight="1">
      <c r="A27" s="27">
        <v>632.0</v>
      </c>
      <c r="B27" s="28" t="s">
        <v>53696</v>
      </c>
      <c r="C27" s="27">
        <v>135.0</v>
      </c>
      <c r="D27" s="28" t="s">
        <v>53697</v>
      </c>
      <c r="E27" s="28" t="s">
        <v>53698</v>
      </c>
      <c r="F27" s="29">
        <v>55.0</v>
      </c>
      <c r="G27" s="27">
        <v>1.3532055E8</v>
      </c>
    </row>
    <row r="28" ht="12.75" customHeight="1">
      <c r="A28" s="31">
        <v>632.0</v>
      </c>
      <c r="B28" s="32" t="s">
        <v>53699</v>
      </c>
      <c r="C28" s="31">
        <v>135.0</v>
      </c>
      <c r="D28" s="32" t="s">
        <v>53700</v>
      </c>
      <c r="E28" s="32" t="s">
        <v>53701</v>
      </c>
      <c r="F28" s="33">
        <v>58.0</v>
      </c>
      <c r="G28" s="31">
        <v>1.35320589E8</v>
      </c>
    </row>
    <row r="29" ht="12.75" customHeight="1">
      <c r="A29" s="27">
        <v>632.0</v>
      </c>
      <c r="B29" s="28" t="s">
        <v>53702</v>
      </c>
      <c r="C29" s="27">
        <v>135.0</v>
      </c>
      <c r="D29" s="28" t="s">
        <v>53703</v>
      </c>
      <c r="E29" s="28" t="s">
        <v>53704</v>
      </c>
      <c r="F29" s="29">
        <v>61.0</v>
      </c>
      <c r="G29" s="27">
        <v>1.35320613E8</v>
      </c>
    </row>
    <row r="30" ht="12.75" customHeight="1">
      <c r="A30" s="31">
        <v>632.0</v>
      </c>
      <c r="B30" s="32" t="s">
        <v>53705</v>
      </c>
      <c r="C30" s="31">
        <v>135.0</v>
      </c>
      <c r="D30" s="32" t="s">
        <v>53706</v>
      </c>
      <c r="E30" s="32" t="s">
        <v>53707</v>
      </c>
      <c r="F30" s="33">
        <v>94.0</v>
      </c>
      <c r="G30" s="31">
        <v>1.35320947E8</v>
      </c>
    </row>
    <row r="31" ht="12.75" customHeight="1">
      <c r="A31" s="27">
        <v>632.0</v>
      </c>
      <c r="B31" s="28" t="s">
        <v>53708</v>
      </c>
      <c r="C31" s="27">
        <v>135.0</v>
      </c>
      <c r="D31" s="28" t="s">
        <v>53709</v>
      </c>
      <c r="E31" s="28" t="s">
        <v>53710</v>
      </c>
      <c r="F31" s="27">
        <v>109.0</v>
      </c>
      <c r="G31" s="27">
        <v>1.35321096E8</v>
      </c>
    </row>
    <row r="32" ht="12.75" customHeight="1">
      <c r="A32" s="31">
        <v>632.0</v>
      </c>
      <c r="B32" s="32" t="s">
        <v>53711</v>
      </c>
      <c r="C32" s="31">
        <v>135.0</v>
      </c>
      <c r="D32" s="32" t="s">
        <v>53712</v>
      </c>
      <c r="E32" s="32" t="s">
        <v>53713</v>
      </c>
      <c r="F32" s="31">
        <v>133.0</v>
      </c>
      <c r="G32" s="31">
        <v>1.35321333E8</v>
      </c>
    </row>
    <row r="33" ht="12.75" customHeight="1">
      <c r="A33" s="27">
        <v>133.0</v>
      </c>
      <c r="B33" s="28" t="s">
        <v>53714</v>
      </c>
      <c r="C33" s="27">
        <v>135.0</v>
      </c>
      <c r="D33" s="28" t="s">
        <v>53715</v>
      </c>
      <c r="E33" s="28" t="s">
        <v>53716</v>
      </c>
      <c r="F33" s="29">
        <v>52.0</v>
      </c>
      <c r="G33" s="27">
        <v>1.35330524E8</v>
      </c>
    </row>
    <row r="34" ht="12.75" customHeight="1">
      <c r="A34" s="31">
        <v>133.0</v>
      </c>
      <c r="B34" s="32" t="s">
        <v>53717</v>
      </c>
      <c r="C34" s="31">
        <v>135.0</v>
      </c>
      <c r="D34" s="32" t="s">
        <v>53718</v>
      </c>
      <c r="E34" s="32" t="s">
        <v>53719</v>
      </c>
      <c r="F34" s="33">
        <v>79.0</v>
      </c>
      <c r="G34" s="31">
        <v>1.35330795E8</v>
      </c>
    </row>
    <row r="35" ht="12.75" customHeight="1">
      <c r="A35" s="27">
        <v>133.0</v>
      </c>
      <c r="B35" s="28" t="s">
        <v>53720</v>
      </c>
      <c r="C35" s="27">
        <v>135.0</v>
      </c>
      <c r="D35" s="28" t="s">
        <v>53721</v>
      </c>
      <c r="E35" s="28" t="s">
        <v>53722</v>
      </c>
      <c r="F35" s="27">
        <v>109.0</v>
      </c>
      <c r="G35" s="27">
        <v>1.35331099E8</v>
      </c>
    </row>
    <row r="36" ht="12.75" customHeight="1">
      <c r="A36" s="31">
        <v>133.0</v>
      </c>
      <c r="B36" s="32" t="s">
        <v>53723</v>
      </c>
      <c r="C36" s="31">
        <v>135.0</v>
      </c>
      <c r="D36" s="32" t="s">
        <v>53724</v>
      </c>
      <c r="E36" s="32" t="s">
        <v>53725</v>
      </c>
      <c r="F36" s="31">
        <v>118.0</v>
      </c>
      <c r="G36" s="31">
        <v>1.35331181E8</v>
      </c>
    </row>
    <row r="37" ht="12.75" customHeight="1">
      <c r="A37" s="27">
        <v>133.0</v>
      </c>
      <c r="B37" s="28" t="s">
        <v>53726</v>
      </c>
      <c r="C37" s="27">
        <v>135.0</v>
      </c>
      <c r="D37" s="28" t="s">
        <v>53727</v>
      </c>
      <c r="E37" s="28" t="s">
        <v>53728</v>
      </c>
      <c r="F37" s="27">
        <v>124.0</v>
      </c>
      <c r="G37" s="27">
        <v>1.35331244E8</v>
      </c>
    </row>
    <row r="38" ht="12.75" customHeight="1">
      <c r="A38" s="31">
        <v>133.0</v>
      </c>
      <c r="B38" s="32" t="s">
        <v>53729</v>
      </c>
      <c r="C38" s="31">
        <v>135.0</v>
      </c>
      <c r="D38" s="32" t="s">
        <v>53730</v>
      </c>
      <c r="E38" s="32" t="s">
        <v>53731</v>
      </c>
      <c r="F38" s="31">
        <v>163.0</v>
      </c>
      <c r="G38" s="31">
        <v>1.35331631E8</v>
      </c>
    </row>
    <row r="39" ht="12.75" customHeight="1">
      <c r="A39" s="27">
        <v>435.0</v>
      </c>
      <c r="B39" s="28" t="s">
        <v>53732</v>
      </c>
      <c r="C39" s="27">
        <v>135.0</v>
      </c>
      <c r="D39" s="28" t="s">
        <v>53733</v>
      </c>
      <c r="E39" s="28" t="s">
        <v>53734</v>
      </c>
      <c r="F39" s="29">
        <v>40.0</v>
      </c>
      <c r="G39" s="27">
        <v>1.35350409E8</v>
      </c>
    </row>
    <row r="40" ht="12.75" customHeight="1">
      <c r="A40" s="31">
        <v>435.0</v>
      </c>
      <c r="B40" s="32" t="s">
        <v>53735</v>
      </c>
      <c r="C40" s="31">
        <v>135.0</v>
      </c>
      <c r="D40" s="32" t="s">
        <v>53736</v>
      </c>
      <c r="E40" s="32" t="s">
        <v>53737</v>
      </c>
      <c r="F40" s="33">
        <v>67.0</v>
      </c>
      <c r="G40" s="31">
        <v>1.3535067E8</v>
      </c>
    </row>
    <row r="41" ht="12.75" customHeight="1">
      <c r="A41" s="27">
        <v>435.0</v>
      </c>
      <c r="B41" s="28" t="s">
        <v>53738</v>
      </c>
      <c r="C41" s="27">
        <v>135.0</v>
      </c>
      <c r="D41" s="28" t="s">
        <v>53739</v>
      </c>
      <c r="E41" s="28" t="s">
        <v>53740</v>
      </c>
      <c r="F41" s="29">
        <v>73.0</v>
      </c>
      <c r="G41" s="27">
        <v>1.35350733E8</v>
      </c>
    </row>
    <row r="42" ht="12.75" customHeight="1">
      <c r="A42" s="31">
        <v>435.0</v>
      </c>
      <c r="B42" s="32" t="s">
        <v>53741</v>
      </c>
      <c r="C42" s="31">
        <v>135.0</v>
      </c>
      <c r="D42" s="32" t="s">
        <v>53742</v>
      </c>
      <c r="E42" s="32" t="s">
        <v>53743</v>
      </c>
      <c r="F42" s="33">
        <v>91.0</v>
      </c>
      <c r="G42" s="31">
        <v>1.35350917E8</v>
      </c>
    </row>
    <row r="43" ht="12.75" customHeight="1">
      <c r="A43" s="27">
        <v>435.0</v>
      </c>
      <c r="B43" s="28" t="s">
        <v>53744</v>
      </c>
      <c r="C43" s="27">
        <v>135.0</v>
      </c>
      <c r="D43" s="28" t="s">
        <v>53745</v>
      </c>
      <c r="E43" s="28" t="s">
        <v>53746</v>
      </c>
      <c r="F43" s="27">
        <v>106.0</v>
      </c>
      <c r="G43" s="27">
        <v>1.35351066E8</v>
      </c>
    </row>
    <row r="44" ht="12.75" customHeight="1">
      <c r="A44" s="31">
        <v>435.0</v>
      </c>
      <c r="B44" s="32" t="s">
        <v>53747</v>
      </c>
      <c r="C44" s="31">
        <v>135.0</v>
      </c>
      <c r="D44" s="32" t="s">
        <v>53748</v>
      </c>
      <c r="E44" s="32" t="s">
        <v>53749</v>
      </c>
      <c r="F44" s="31">
        <v>109.0</v>
      </c>
      <c r="G44" s="31">
        <v>1.35351095E8</v>
      </c>
    </row>
    <row r="45" ht="12.75" customHeight="1">
      <c r="A45" s="27">
        <v>836.0</v>
      </c>
      <c r="B45" s="28" t="s">
        <v>53750</v>
      </c>
      <c r="C45" s="27">
        <v>135.0</v>
      </c>
      <c r="D45" s="28" t="s">
        <v>53751</v>
      </c>
      <c r="E45" s="28" t="s">
        <v>53752</v>
      </c>
      <c r="F45" s="29">
        <v>13.0</v>
      </c>
      <c r="G45" s="27">
        <v>1.35360136E8</v>
      </c>
    </row>
    <row r="46" ht="12.75" customHeight="1">
      <c r="A46" s="31">
        <v>836.0</v>
      </c>
      <c r="B46" s="32" t="s">
        <v>53753</v>
      </c>
      <c r="C46" s="31">
        <v>135.0</v>
      </c>
      <c r="D46" s="32" t="s">
        <v>53754</v>
      </c>
      <c r="E46" s="32" t="s">
        <v>53755</v>
      </c>
      <c r="F46" s="33">
        <v>22.0</v>
      </c>
      <c r="G46" s="31">
        <v>1.35360228E8</v>
      </c>
    </row>
    <row r="47" ht="12.75" customHeight="1">
      <c r="A47" s="27">
        <v>836.0</v>
      </c>
      <c r="B47" s="28" t="s">
        <v>53756</v>
      </c>
      <c r="C47" s="27">
        <v>135.0</v>
      </c>
      <c r="D47" s="28" t="s">
        <v>53757</v>
      </c>
      <c r="E47" s="28" t="s">
        <v>53758</v>
      </c>
      <c r="F47" s="29">
        <v>25.0</v>
      </c>
      <c r="G47" s="27">
        <v>1.35360257E8</v>
      </c>
    </row>
    <row r="48" ht="12.75" customHeight="1">
      <c r="A48" s="31">
        <v>836.0</v>
      </c>
      <c r="B48" s="32" t="s">
        <v>53759</v>
      </c>
      <c r="C48" s="31">
        <v>135.0</v>
      </c>
      <c r="D48" s="32" t="s">
        <v>53760</v>
      </c>
      <c r="E48" s="32" t="s">
        <v>53761</v>
      </c>
      <c r="F48" s="33">
        <v>34.0</v>
      </c>
      <c r="G48" s="31">
        <v>1.35360349E8</v>
      </c>
    </row>
    <row r="49" ht="12.75" customHeight="1">
      <c r="A49" s="27">
        <v>836.0</v>
      </c>
      <c r="B49" s="28" t="s">
        <v>53762</v>
      </c>
      <c r="C49" s="27">
        <v>135.0</v>
      </c>
      <c r="D49" s="28" t="s">
        <v>53763</v>
      </c>
      <c r="E49" s="28" t="s">
        <v>53764</v>
      </c>
      <c r="F49" s="29">
        <v>55.0</v>
      </c>
      <c r="G49" s="27">
        <v>1.35360552E8</v>
      </c>
    </row>
    <row r="50" ht="12.75" customHeight="1">
      <c r="A50" s="31">
        <v>836.0</v>
      </c>
      <c r="B50" s="32" t="s">
        <v>53765</v>
      </c>
      <c r="C50" s="31">
        <v>135.0</v>
      </c>
      <c r="D50" s="32" t="s">
        <v>53766</v>
      </c>
      <c r="E50" s="32" t="s">
        <v>53767</v>
      </c>
      <c r="F50" s="33">
        <v>64.0</v>
      </c>
      <c r="G50" s="31">
        <v>1.35360644E8</v>
      </c>
    </row>
    <row r="51" ht="12.75" customHeight="1">
      <c r="A51" s="27">
        <v>836.0</v>
      </c>
      <c r="B51" s="28" t="s">
        <v>53768</v>
      </c>
      <c r="C51" s="27">
        <v>135.0</v>
      </c>
      <c r="D51" s="28" t="s">
        <v>53769</v>
      </c>
      <c r="E51" s="28" t="s">
        <v>53770</v>
      </c>
      <c r="F51" s="29">
        <v>88.0</v>
      </c>
      <c r="G51" s="27">
        <v>1.35360886E8</v>
      </c>
    </row>
    <row r="52" ht="12.75" customHeight="1">
      <c r="A52" s="31">
        <v>836.0</v>
      </c>
      <c r="B52" s="32" t="s">
        <v>53771</v>
      </c>
      <c r="C52" s="31">
        <v>135.0</v>
      </c>
      <c r="D52" s="32" t="s">
        <v>53772</v>
      </c>
      <c r="E52" s="32" t="s">
        <v>53773</v>
      </c>
      <c r="F52" s="33">
        <v>94.0</v>
      </c>
      <c r="G52" s="31">
        <v>1.35360949E8</v>
      </c>
    </row>
    <row r="53" ht="12.75" customHeight="1">
      <c r="A53" s="27">
        <v>836.0</v>
      </c>
      <c r="B53" s="28" t="s">
        <v>53774</v>
      </c>
      <c r="C53" s="27">
        <v>135.0</v>
      </c>
      <c r="D53" s="28" t="s">
        <v>53775</v>
      </c>
      <c r="E53" s="28" t="s">
        <v>53776</v>
      </c>
      <c r="F53" s="27">
        <v>103.0</v>
      </c>
      <c r="G53" s="27">
        <v>1.3536103E8</v>
      </c>
    </row>
    <row r="54" ht="12.75" customHeight="1">
      <c r="A54" s="31">
        <v>836.0</v>
      </c>
      <c r="B54" s="32" t="s">
        <v>53777</v>
      </c>
      <c r="C54" s="31">
        <v>135.0</v>
      </c>
      <c r="D54" s="32" t="s">
        <v>53778</v>
      </c>
      <c r="E54" s="32" t="s">
        <v>53779</v>
      </c>
      <c r="F54" s="31">
        <v>109.0</v>
      </c>
      <c r="G54" s="31">
        <v>1.35361098E8</v>
      </c>
    </row>
    <row r="55" ht="12.75" customHeight="1">
      <c r="A55" s="27">
        <v>836.0</v>
      </c>
      <c r="B55" s="28" t="s">
        <v>53780</v>
      </c>
      <c r="C55" s="27">
        <v>135.0</v>
      </c>
      <c r="D55" s="28" t="s">
        <v>53781</v>
      </c>
      <c r="E55" s="28" t="s">
        <v>53782</v>
      </c>
      <c r="F55" s="27">
        <v>121.0</v>
      </c>
      <c r="G55" s="27">
        <v>1.35361214E8</v>
      </c>
    </row>
    <row r="56" ht="12.75" customHeight="1">
      <c r="A56" s="31">
        <v>836.0</v>
      </c>
      <c r="B56" s="32" t="s">
        <v>53783</v>
      </c>
      <c r="C56" s="31">
        <v>135.0</v>
      </c>
      <c r="D56" s="32" t="s">
        <v>53784</v>
      </c>
      <c r="E56" s="32" t="s">
        <v>53785</v>
      </c>
      <c r="F56" s="31">
        <v>139.0</v>
      </c>
      <c r="G56" s="31">
        <v>1.35361393E8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638.0</v>
      </c>
      <c r="B1" s="28" t="s">
        <v>53786</v>
      </c>
      <c r="C1" s="27">
        <v>135.0</v>
      </c>
      <c r="D1" s="28" t="s">
        <v>53787</v>
      </c>
      <c r="E1" s="28" t="s">
        <v>53788</v>
      </c>
      <c r="F1" s="29">
        <v>37.0</v>
      </c>
      <c r="G1" s="27">
        <v>1.35380374E8</v>
      </c>
    </row>
    <row r="2" ht="12.75" customHeight="1">
      <c r="A2" s="31">
        <v>638.0</v>
      </c>
      <c r="B2" s="32" t="s">
        <v>53789</v>
      </c>
      <c r="C2" s="31">
        <v>135.0</v>
      </c>
      <c r="D2" s="32" t="s">
        <v>53790</v>
      </c>
      <c r="E2" s="32" t="s">
        <v>53791</v>
      </c>
      <c r="F2" s="33">
        <v>40.0</v>
      </c>
      <c r="G2" s="31">
        <v>1.35380408E8</v>
      </c>
    </row>
    <row r="3" ht="12.75" customHeight="1">
      <c r="A3" s="27">
        <v>638.0</v>
      </c>
      <c r="B3" s="28" t="s">
        <v>53792</v>
      </c>
      <c r="C3" s="27">
        <v>135.0</v>
      </c>
      <c r="D3" s="28" t="s">
        <v>53793</v>
      </c>
      <c r="E3" s="28" t="s">
        <v>53794</v>
      </c>
      <c r="F3" s="29">
        <v>67.0</v>
      </c>
      <c r="G3" s="27">
        <v>1.35380679E8</v>
      </c>
    </row>
    <row r="4" ht="12.75" customHeight="1">
      <c r="A4" s="31">
        <v>638.0</v>
      </c>
      <c r="B4" s="32" t="s">
        <v>53795</v>
      </c>
      <c r="C4" s="31">
        <v>135.0</v>
      </c>
      <c r="D4" s="32" t="s">
        <v>53796</v>
      </c>
      <c r="E4" s="32" t="s">
        <v>53797</v>
      </c>
      <c r="F4" s="33">
        <v>82.0</v>
      </c>
      <c r="G4" s="31">
        <v>1.35380824E8</v>
      </c>
    </row>
    <row r="5" ht="12.75" customHeight="1">
      <c r="A5" s="27">
        <v>139.0</v>
      </c>
      <c r="B5" s="28" t="s">
        <v>53798</v>
      </c>
      <c r="C5" s="27">
        <v>135.0</v>
      </c>
      <c r="D5" s="28" t="s">
        <v>53799</v>
      </c>
      <c r="E5" s="28" t="s">
        <v>53800</v>
      </c>
      <c r="F5" s="29">
        <v>5.0</v>
      </c>
      <c r="G5" s="27">
        <v>1.35390056E8</v>
      </c>
    </row>
    <row r="6" ht="12.75" customHeight="1">
      <c r="A6" s="31">
        <v>139.0</v>
      </c>
      <c r="B6" s="32" t="s">
        <v>53801</v>
      </c>
      <c r="C6" s="31">
        <v>135.0</v>
      </c>
      <c r="D6" s="32" t="s">
        <v>53802</v>
      </c>
      <c r="E6" s="32" t="s">
        <v>53803</v>
      </c>
      <c r="F6" s="33">
        <v>13.0</v>
      </c>
      <c r="G6" s="31">
        <v>1.35390135E8</v>
      </c>
    </row>
    <row r="7" ht="12.75" customHeight="1">
      <c r="A7" s="27">
        <v>139.0</v>
      </c>
      <c r="B7" s="28" t="s">
        <v>53804</v>
      </c>
      <c r="C7" s="27">
        <v>135.0</v>
      </c>
      <c r="D7" s="28" t="s">
        <v>53805</v>
      </c>
      <c r="E7" s="28" t="s">
        <v>53806</v>
      </c>
      <c r="F7" s="29">
        <v>15.0</v>
      </c>
      <c r="G7" s="27">
        <v>1.35390151E8</v>
      </c>
    </row>
    <row r="8" ht="12.75" customHeight="1">
      <c r="A8" s="31">
        <v>139.0</v>
      </c>
      <c r="B8" s="32" t="s">
        <v>53807</v>
      </c>
      <c r="C8" s="31">
        <v>135.0</v>
      </c>
      <c r="D8" s="32" t="s">
        <v>53808</v>
      </c>
      <c r="E8" s="32" t="s">
        <v>53809</v>
      </c>
      <c r="F8" s="33">
        <v>19.0</v>
      </c>
      <c r="G8" s="31">
        <v>1.35390193E8</v>
      </c>
    </row>
    <row r="9" ht="12.75" customHeight="1">
      <c r="A9" s="27">
        <v>139.0</v>
      </c>
      <c r="B9" s="28" t="s">
        <v>53810</v>
      </c>
      <c r="C9" s="27">
        <v>135.0</v>
      </c>
      <c r="D9" s="28" t="s">
        <v>53811</v>
      </c>
      <c r="E9" s="28" t="s">
        <v>53812</v>
      </c>
      <c r="F9" s="29">
        <v>46.0</v>
      </c>
      <c r="G9" s="27">
        <v>1.35390469E8</v>
      </c>
    </row>
    <row r="10" ht="12.75" customHeight="1">
      <c r="A10" s="31">
        <v>139.0</v>
      </c>
      <c r="B10" s="32" t="s">
        <v>53813</v>
      </c>
      <c r="C10" s="31">
        <v>135.0</v>
      </c>
      <c r="D10" s="32" t="s">
        <v>53814</v>
      </c>
      <c r="E10" s="32" t="s">
        <v>53815</v>
      </c>
      <c r="F10" s="33">
        <v>55.0</v>
      </c>
      <c r="G10" s="31">
        <v>1.35390551E8</v>
      </c>
    </row>
    <row r="11" ht="12.75" customHeight="1">
      <c r="A11" s="27">
        <v>139.0</v>
      </c>
      <c r="B11" s="28" t="s">
        <v>53816</v>
      </c>
      <c r="C11" s="27">
        <v>135.0</v>
      </c>
      <c r="D11" s="28" t="s">
        <v>53817</v>
      </c>
      <c r="E11" s="28" t="s">
        <v>53818</v>
      </c>
      <c r="F11" s="29">
        <v>64.0</v>
      </c>
      <c r="G11" s="27">
        <v>1.35390643E8</v>
      </c>
    </row>
    <row r="12" ht="12.75" customHeight="1">
      <c r="A12" s="31">
        <v>139.0</v>
      </c>
      <c r="B12" s="32" t="s">
        <v>53819</v>
      </c>
      <c r="C12" s="31">
        <v>135.0</v>
      </c>
      <c r="D12" s="32" t="s">
        <v>53820</v>
      </c>
      <c r="E12" s="32" t="s">
        <v>53821</v>
      </c>
      <c r="F12" s="33">
        <v>76.0</v>
      </c>
      <c r="G12" s="31">
        <v>1.35390764E8</v>
      </c>
    </row>
    <row r="13" ht="12.75" customHeight="1">
      <c r="A13" s="27">
        <v>139.0</v>
      </c>
      <c r="B13" s="28" t="s">
        <v>53822</v>
      </c>
      <c r="C13" s="27">
        <v>135.0</v>
      </c>
      <c r="D13" s="28" t="s">
        <v>53823</v>
      </c>
      <c r="E13" s="28" t="s">
        <v>53824</v>
      </c>
      <c r="F13" s="29">
        <v>91.0</v>
      </c>
      <c r="G13" s="27">
        <v>1.35390919E8</v>
      </c>
    </row>
    <row r="14" ht="12.75" customHeight="1">
      <c r="A14" s="31">
        <v>139.0</v>
      </c>
      <c r="B14" s="32" t="s">
        <v>53825</v>
      </c>
      <c r="C14" s="31">
        <v>135.0</v>
      </c>
      <c r="D14" s="32" t="s">
        <v>53826</v>
      </c>
      <c r="E14" s="32" t="s">
        <v>53827</v>
      </c>
      <c r="F14" s="31">
        <v>100.0</v>
      </c>
      <c r="G14" s="31">
        <v>1.35391E8</v>
      </c>
    </row>
    <row r="15" ht="12.75" customHeight="1">
      <c r="A15" s="27">
        <v>139.0</v>
      </c>
      <c r="B15" s="28" t="s">
        <v>53828</v>
      </c>
      <c r="C15" s="27">
        <v>135.0</v>
      </c>
      <c r="D15" s="28" t="s">
        <v>53829</v>
      </c>
      <c r="E15" s="28" t="s">
        <v>53830</v>
      </c>
      <c r="F15" s="27">
        <v>103.0</v>
      </c>
      <c r="G15" s="27">
        <v>1.35391039E8</v>
      </c>
    </row>
    <row r="16" ht="12.75" customHeight="1">
      <c r="A16" s="31">
        <v>139.0</v>
      </c>
      <c r="B16" s="32" t="s">
        <v>53831</v>
      </c>
      <c r="C16" s="31">
        <v>135.0</v>
      </c>
      <c r="D16" s="32" t="s">
        <v>53832</v>
      </c>
      <c r="E16" s="32" t="s">
        <v>53833</v>
      </c>
      <c r="F16" s="31">
        <v>127.0</v>
      </c>
      <c r="G16" s="31">
        <v>1.35391271E8</v>
      </c>
    </row>
    <row r="17" ht="12.75" customHeight="1">
      <c r="A17" s="27">
        <v>139.0</v>
      </c>
      <c r="B17" s="28" t="s">
        <v>53834</v>
      </c>
      <c r="C17" s="27">
        <v>135.0</v>
      </c>
      <c r="D17" s="28" t="s">
        <v>53835</v>
      </c>
      <c r="E17" s="28" t="s">
        <v>53836</v>
      </c>
      <c r="F17" s="27">
        <v>130.0</v>
      </c>
      <c r="G17" s="27">
        <v>1.35391305E8</v>
      </c>
    </row>
    <row r="18" ht="12.75" customHeight="1">
      <c r="A18" s="31">
        <v>139.0</v>
      </c>
      <c r="B18" s="32" t="s">
        <v>53837</v>
      </c>
      <c r="C18" s="31">
        <v>135.0</v>
      </c>
      <c r="D18" s="32" t="s">
        <v>53838</v>
      </c>
      <c r="E18" s="32" t="s">
        <v>53839</v>
      </c>
      <c r="F18" s="31">
        <v>148.0</v>
      </c>
      <c r="G18" s="31">
        <v>1.35391484E8</v>
      </c>
    </row>
    <row r="19" ht="12.75" customHeight="1">
      <c r="A19" s="27">
        <v>139.0</v>
      </c>
      <c r="B19" s="28" t="s">
        <v>53840</v>
      </c>
      <c r="C19" s="27">
        <v>135.0</v>
      </c>
      <c r="D19" s="28" t="s">
        <v>53841</v>
      </c>
      <c r="E19" s="28" t="s">
        <v>53842</v>
      </c>
      <c r="F19" s="27">
        <v>166.0</v>
      </c>
      <c r="G19" s="27">
        <v>1.35391668E8</v>
      </c>
    </row>
    <row r="20" ht="12.75" customHeight="1">
      <c r="A20" s="31">
        <v>441.0</v>
      </c>
      <c r="B20" s="32" t="s">
        <v>53843</v>
      </c>
      <c r="C20" s="31">
        <v>135.0</v>
      </c>
      <c r="D20" s="32" t="s">
        <v>53844</v>
      </c>
      <c r="E20" s="32" t="s">
        <v>53845</v>
      </c>
      <c r="F20" s="33">
        <v>16.0</v>
      </c>
      <c r="G20" s="31">
        <v>1.35410165E8</v>
      </c>
    </row>
    <row r="21" ht="12.75" customHeight="1">
      <c r="A21" s="27">
        <v>441.0</v>
      </c>
      <c r="B21" s="28" t="s">
        <v>53846</v>
      </c>
      <c r="C21" s="27">
        <v>135.0</v>
      </c>
      <c r="D21" s="28" t="s">
        <v>53847</v>
      </c>
      <c r="E21" s="28" t="s">
        <v>53848</v>
      </c>
      <c r="F21" s="29">
        <v>28.0</v>
      </c>
      <c r="G21" s="27">
        <v>1.35410286E8</v>
      </c>
    </row>
    <row r="22" ht="12.75" customHeight="1">
      <c r="A22" s="31">
        <v>441.0</v>
      </c>
      <c r="B22" s="32" t="s">
        <v>53849</v>
      </c>
      <c r="C22" s="31">
        <v>135.0</v>
      </c>
      <c r="D22" s="32" t="s">
        <v>53850</v>
      </c>
      <c r="E22" s="32" t="s">
        <v>53851</v>
      </c>
      <c r="F22" s="33">
        <v>43.0</v>
      </c>
      <c r="G22" s="31">
        <v>1.35410431E8</v>
      </c>
    </row>
    <row r="23" ht="12.75" customHeight="1">
      <c r="A23" s="27">
        <v>441.0</v>
      </c>
      <c r="B23" s="28" t="s">
        <v>53852</v>
      </c>
      <c r="C23" s="27">
        <v>135.0</v>
      </c>
      <c r="D23" s="28" t="s">
        <v>53853</v>
      </c>
      <c r="E23" s="28" t="s">
        <v>53854</v>
      </c>
      <c r="F23" s="29">
        <v>49.0</v>
      </c>
      <c r="G23" s="27">
        <v>1.35410499E8</v>
      </c>
    </row>
    <row r="24" ht="12.75" customHeight="1">
      <c r="A24" s="31">
        <v>441.0</v>
      </c>
      <c r="B24" s="32" t="s">
        <v>53855</v>
      </c>
      <c r="C24" s="31">
        <v>135.0</v>
      </c>
      <c r="D24" s="32" t="s">
        <v>53856</v>
      </c>
      <c r="E24" s="32" t="s">
        <v>53857</v>
      </c>
      <c r="F24" s="33">
        <v>79.0</v>
      </c>
      <c r="G24" s="31">
        <v>1.35410794E8</v>
      </c>
    </row>
    <row r="25" ht="12.75" customHeight="1">
      <c r="A25" s="27">
        <v>441.0</v>
      </c>
      <c r="B25" s="28" t="s">
        <v>53858</v>
      </c>
      <c r="C25" s="27">
        <v>135.0</v>
      </c>
      <c r="D25" s="28" t="s">
        <v>53859</v>
      </c>
      <c r="E25" s="28" t="s">
        <v>53860</v>
      </c>
      <c r="F25" s="27">
        <v>109.0</v>
      </c>
      <c r="G25" s="27">
        <v>1.35411098E8</v>
      </c>
    </row>
    <row r="26" ht="12.75" customHeight="1">
      <c r="A26" s="31">
        <v>441.0</v>
      </c>
      <c r="B26" s="32" t="s">
        <v>53861</v>
      </c>
      <c r="C26" s="31">
        <v>135.0</v>
      </c>
      <c r="D26" s="32" t="s">
        <v>53862</v>
      </c>
      <c r="E26" s="32" t="s">
        <v>53863</v>
      </c>
      <c r="F26" s="31">
        <v>121.0</v>
      </c>
      <c r="G26" s="31">
        <v>1.35411214E8</v>
      </c>
    </row>
    <row r="27" ht="12.75" customHeight="1">
      <c r="A27" s="27">
        <v>441.0</v>
      </c>
      <c r="B27" s="28" t="s">
        <v>53864</v>
      </c>
      <c r="C27" s="27">
        <v>135.0</v>
      </c>
      <c r="D27" s="28" t="s">
        <v>53865</v>
      </c>
      <c r="E27" s="28" t="s">
        <v>53866</v>
      </c>
      <c r="F27" s="27">
        <v>133.0</v>
      </c>
      <c r="G27" s="27">
        <v>1.35411335E8</v>
      </c>
    </row>
    <row r="28" ht="12.75" customHeight="1">
      <c r="A28" s="31">
        <v>441.0</v>
      </c>
      <c r="B28" s="32" t="s">
        <v>53867</v>
      </c>
      <c r="C28" s="31">
        <v>135.0</v>
      </c>
      <c r="D28" s="32" t="s">
        <v>53868</v>
      </c>
      <c r="E28" s="32" t="s">
        <v>53869</v>
      </c>
      <c r="F28" s="31">
        <v>142.0</v>
      </c>
      <c r="G28" s="31">
        <v>1.35411427E8</v>
      </c>
    </row>
    <row r="29" ht="12.75" customHeight="1">
      <c r="A29" s="27">
        <v>441.0</v>
      </c>
      <c r="B29" s="28" t="s">
        <v>53870</v>
      </c>
      <c r="C29" s="27">
        <v>135.0</v>
      </c>
      <c r="D29" s="28" t="s">
        <v>53871</v>
      </c>
      <c r="E29" s="28" t="s">
        <v>53872</v>
      </c>
      <c r="F29" s="27">
        <v>145.0</v>
      </c>
      <c r="G29" s="27">
        <v>1.35411456E8</v>
      </c>
    </row>
    <row r="30" ht="12.75" customHeight="1">
      <c r="A30" s="31">
        <v>441.0</v>
      </c>
      <c r="B30" s="32" t="s">
        <v>53873</v>
      </c>
      <c r="C30" s="31">
        <v>135.0</v>
      </c>
      <c r="D30" s="32" t="s">
        <v>53874</v>
      </c>
      <c r="E30" s="32" t="s">
        <v>53875</v>
      </c>
      <c r="F30" s="31">
        <v>151.0</v>
      </c>
      <c r="G30" s="31">
        <v>1.35411519E8</v>
      </c>
    </row>
    <row r="31" ht="12.75" customHeight="1">
      <c r="A31" s="27">
        <v>441.0</v>
      </c>
      <c r="B31" s="28" t="s">
        <v>53876</v>
      </c>
      <c r="C31" s="27">
        <v>135.0</v>
      </c>
      <c r="D31" s="28" t="s">
        <v>53877</v>
      </c>
      <c r="E31" s="28" t="s">
        <v>53878</v>
      </c>
      <c r="F31" s="27">
        <v>160.0</v>
      </c>
      <c r="G31" s="27">
        <v>1.35411601E8</v>
      </c>
    </row>
    <row r="32" ht="12.75" customHeight="1">
      <c r="A32" s="31">
        <v>441.0</v>
      </c>
      <c r="B32" s="32" t="s">
        <v>53879</v>
      </c>
      <c r="C32" s="31">
        <v>135.0</v>
      </c>
      <c r="D32" s="32" t="s">
        <v>53880</v>
      </c>
      <c r="E32" s="32" t="s">
        <v>53881</v>
      </c>
      <c r="F32" s="31">
        <v>163.0</v>
      </c>
      <c r="G32" s="31">
        <v>1.3541163E8</v>
      </c>
    </row>
    <row r="33" ht="12.75" customHeight="1">
      <c r="A33" s="27">
        <v>441.0</v>
      </c>
      <c r="B33" s="28" t="s">
        <v>53882</v>
      </c>
      <c r="C33" s="27">
        <v>135.0</v>
      </c>
      <c r="D33" s="28" t="s">
        <v>53883</v>
      </c>
      <c r="E33" s="28" t="s">
        <v>53884</v>
      </c>
      <c r="F33" s="27">
        <v>229.0</v>
      </c>
      <c r="G33" s="27">
        <v>1.35412297E8</v>
      </c>
    </row>
    <row r="34" ht="12.75" customHeight="1">
      <c r="A34" s="31">
        <v>342.0</v>
      </c>
      <c r="B34" s="32" t="s">
        <v>53885</v>
      </c>
      <c r="C34" s="31">
        <v>135.0</v>
      </c>
      <c r="D34" s="32" t="s">
        <v>53886</v>
      </c>
      <c r="E34" s="32" t="s">
        <v>53887</v>
      </c>
      <c r="F34" s="33">
        <v>31.0</v>
      </c>
      <c r="G34" s="31">
        <v>1.35420313E8</v>
      </c>
    </row>
    <row r="35" ht="12.75" customHeight="1">
      <c r="A35" s="27">
        <v>342.0</v>
      </c>
      <c r="B35" s="28" t="s">
        <v>53888</v>
      </c>
      <c r="C35" s="27">
        <v>135.0</v>
      </c>
      <c r="D35" s="28" t="s">
        <v>53889</v>
      </c>
      <c r="E35" s="28" t="s">
        <v>53890</v>
      </c>
      <c r="F35" s="29">
        <v>64.0</v>
      </c>
      <c r="G35" s="27">
        <v>1.35420647E8</v>
      </c>
    </row>
    <row r="36" ht="12.75" customHeight="1">
      <c r="A36" s="31">
        <v>444.0</v>
      </c>
      <c r="B36" s="32" t="s">
        <v>53891</v>
      </c>
      <c r="C36" s="31">
        <v>135.0</v>
      </c>
      <c r="D36" s="32" t="s">
        <v>53892</v>
      </c>
      <c r="E36" s="32" t="s">
        <v>53893</v>
      </c>
      <c r="F36" s="33">
        <v>22.0</v>
      </c>
      <c r="G36" s="31">
        <v>1.35440227E8</v>
      </c>
    </row>
    <row r="37" ht="12.75" customHeight="1">
      <c r="A37" s="27">
        <v>444.0</v>
      </c>
      <c r="B37" s="28" t="s">
        <v>53894</v>
      </c>
      <c r="C37" s="27">
        <v>135.0</v>
      </c>
      <c r="D37" s="28" t="s">
        <v>53895</v>
      </c>
      <c r="E37" s="28" t="s">
        <v>53896</v>
      </c>
      <c r="F37" s="29">
        <v>25.0</v>
      </c>
      <c r="G37" s="27">
        <v>1.35440256E8</v>
      </c>
    </row>
    <row r="38" ht="12.75" customHeight="1">
      <c r="A38" s="31">
        <v>444.0</v>
      </c>
      <c r="B38" s="32" t="s">
        <v>53897</v>
      </c>
      <c r="C38" s="31">
        <v>135.0</v>
      </c>
      <c r="D38" s="32" t="s">
        <v>53898</v>
      </c>
      <c r="E38" s="32" t="s">
        <v>53899</v>
      </c>
      <c r="F38" s="33">
        <v>34.0</v>
      </c>
      <c r="G38" s="31">
        <v>1.35440348E8</v>
      </c>
    </row>
    <row r="39" ht="12.75" customHeight="1">
      <c r="A39" s="27">
        <v>444.0</v>
      </c>
      <c r="B39" s="28" t="s">
        <v>53900</v>
      </c>
      <c r="C39" s="27">
        <v>135.0</v>
      </c>
      <c r="D39" s="28" t="s">
        <v>53901</v>
      </c>
      <c r="E39" s="28" t="s">
        <v>53902</v>
      </c>
      <c r="F39" s="29">
        <v>37.0</v>
      </c>
      <c r="G39" s="27">
        <v>1.35440377E8</v>
      </c>
    </row>
    <row r="40" ht="12.75" customHeight="1">
      <c r="A40" s="31">
        <v>444.0</v>
      </c>
      <c r="B40" s="32" t="s">
        <v>53903</v>
      </c>
      <c r="C40" s="31">
        <v>135.0</v>
      </c>
      <c r="D40" s="32" t="s">
        <v>53904</v>
      </c>
      <c r="E40" s="32" t="s">
        <v>53905</v>
      </c>
      <c r="F40" s="33">
        <v>49.0</v>
      </c>
      <c r="G40" s="31">
        <v>1.35440498E8</v>
      </c>
    </row>
    <row r="41" ht="12.75" customHeight="1">
      <c r="A41" s="27">
        <v>444.0</v>
      </c>
      <c r="B41" s="28" t="s">
        <v>53906</v>
      </c>
      <c r="C41" s="27">
        <v>135.0</v>
      </c>
      <c r="D41" s="28" t="s">
        <v>53907</v>
      </c>
      <c r="E41" s="28" t="s">
        <v>53908</v>
      </c>
      <c r="F41" s="29">
        <v>52.0</v>
      </c>
      <c r="G41" s="27">
        <v>1.35440522E8</v>
      </c>
    </row>
    <row r="42" ht="12.75" customHeight="1">
      <c r="A42" s="31">
        <v>444.0</v>
      </c>
      <c r="B42" s="32" t="s">
        <v>53909</v>
      </c>
      <c r="C42" s="31">
        <v>135.0</v>
      </c>
      <c r="D42" s="32" t="s">
        <v>53910</v>
      </c>
      <c r="E42" s="32" t="s">
        <v>53911</v>
      </c>
      <c r="F42" s="33">
        <v>64.0</v>
      </c>
      <c r="G42" s="31">
        <v>1.35440643E8</v>
      </c>
    </row>
    <row r="43" ht="12.75" customHeight="1">
      <c r="A43" s="27">
        <v>444.0</v>
      </c>
      <c r="B43" s="28" t="s">
        <v>53912</v>
      </c>
      <c r="C43" s="27">
        <v>135.0</v>
      </c>
      <c r="D43" s="28" t="s">
        <v>53913</v>
      </c>
      <c r="E43" s="28" t="s">
        <v>53914</v>
      </c>
      <c r="F43" s="29">
        <v>70.0</v>
      </c>
      <c r="G43" s="27">
        <v>1.35440706E8</v>
      </c>
    </row>
    <row r="44" ht="12.75" customHeight="1">
      <c r="A44" s="31">
        <v>444.0</v>
      </c>
      <c r="B44" s="32" t="s">
        <v>53915</v>
      </c>
      <c r="C44" s="31">
        <v>135.0</v>
      </c>
      <c r="D44" s="32" t="s">
        <v>53916</v>
      </c>
      <c r="E44" s="32" t="s">
        <v>53917</v>
      </c>
      <c r="F44" s="33">
        <v>79.0</v>
      </c>
      <c r="G44" s="31">
        <v>1.35440793E8</v>
      </c>
    </row>
    <row r="45" ht="12.75" customHeight="1">
      <c r="A45" s="27">
        <v>444.0</v>
      </c>
      <c r="B45" s="28" t="s">
        <v>53918</v>
      </c>
      <c r="C45" s="27">
        <v>135.0</v>
      </c>
      <c r="D45" s="28" t="s">
        <v>53919</v>
      </c>
      <c r="E45" s="28" t="s">
        <v>53920</v>
      </c>
      <c r="F45" s="29">
        <v>91.0</v>
      </c>
      <c r="G45" s="27">
        <v>1.35440919E8</v>
      </c>
    </row>
    <row r="46" ht="12.75" customHeight="1">
      <c r="A46" s="31">
        <v>444.0</v>
      </c>
      <c r="B46" s="32" t="s">
        <v>53921</v>
      </c>
      <c r="C46" s="31">
        <v>135.0</v>
      </c>
      <c r="D46" s="32" t="s">
        <v>53922</v>
      </c>
      <c r="E46" s="32" t="s">
        <v>53923</v>
      </c>
      <c r="F46" s="31">
        <v>100.0</v>
      </c>
      <c r="G46" s="31">
        <v>1.35441E8</v>
      </c>
    </row>
    <row r="47" ht="12.75" customHeight="1">
      <c r="A47" s="27">
        <v>444.0</v>
      </c>
      <c r="B47" s="28" t="s">
        <v>53924</v>
      </c>
      <c r="C47" s="27">
        <v>135.0</v>
      </c>
      <c r="D47" s="28" t="s">
        <v>53925</v>
      </c>
      <c r="E47" s="28" t="s">
        <v>53926</v>
      </c>
      <c r="F47" s="27">
        <v>109.0</v>
      </c>
      <c r="G47" s="27">
        <v>1.35441097E8</v>
      </c>
    </row>
    <row r="48" ht="12.75" customHeight="1">
      <c r="A48" s="31">
        <v>444.0</v>
      </c>
      <c r="B48" s="32" t="s">
        <v>53927</v>
      </c>
      <c r="C48" s="31">
        <v>135.0</v>
      </c>
      <c r="D48" s="32" t="s">
        <v>53928</v>
      </c>
      <c r="E48" s="32" t="s">
        <v>53929</v>
      </c>
      <c r="F48" s="31">
        <v>118.0</v>
      </c>
      <c r="G48" s="31">
        <v>1.35441189E8</v>
      </c>
    </row>
    <row r="49" ht="12.75" customHeight="1">
      <c r="A49" s="27">
        <v>246.0</v>
      </c>
      <c r="B49" s="28" t="s">
        <v>53930</v>
      </c>
      <c r="C49" s="27">
        <v>135.0</v>
      </c>
      <c r="D49" s="28" t="s">
        <v>53931</v>
      </c>
      <c r="E49" s="28" t="s">
        <v>53932</v>
      </c>
      <c r="F49" s="29">
        <v>10.0</v>
      </c>
      <c r="G49" s="27">
        <v>1.35460102E8</v>
      </c>
    </row>
    <row r="50" ht="12.75" customHeight="1">
      <c r="A50" s="31">
        <v>447.0</v>
      </c>
      <c r="B50" s="32" t="s">
        <v>53933</v>
      </c>
      <c r="C50" s="31">
        <v>135.0</v>
      </c>
      <c r="D50" s="32" t="s">
        <v>53934</v>
      </c>
      <c r="E50" s="32" t="s">
        <v>53935</v>
      </c>
      <c r="F50" s="33">
        <v>4.0</v>
      </c>
      <c r="G50" s="31">
        <v>1.35470042E8</v>
      </c>
    </row>
    <row r="51" ht="12.75" customHeight="1">
      <c r="A51" s="27">
        <v>447.0</v>
      </c>
      <c r="B51" s="28" t="s">
        <v>53936</v>
      </c>
      <c r="C51" s="27">
        <v>135.0</v>
      </c>
      <c r="D51" s="28" t="s">
        <v>53937</v>
      </c>
      <c r="E51" s="28" t="s">
        <v>53938</v>
      </c>
      <c r="F51" s="29">
        <v>43.0</v>
      </c>
      <c r="G51" s="27">
        <v>1.35470439E8</v>
      </c>
    </row>
    <row r="52" ht="12.75" customHeight="1">
      <c r="A52" s="31">
        <v>447.0</v>
      </c>
      <c r="B52" s="32" t="s">
        <v>53939</v>
      </c>
      <c r="C52" s="31">
        <v>135.0</v>
      </c>
      <c r="D52" s="32" t="s">
        <v>53940</v>
      </c>
      <c r="E52" s="32" t="s">
        <v>53941</v>
      </c>
      <c r="F52" s="33">
        <v>55.0</v>
      </c>
      <c r="G52" s="31">
        <v>1.3547055E8</v>
      </c>
    </row>
    <row r="53" ht="12.75" customHeight="1">
      <c r="A53" s="27">
        <v>447.0</v>
      </c>
      <c r="B53" s="28" t="s">
        <v>53942</v>
      </c>
      <c r="C53" s="27">
        <v>135.0</v>
      </c>
      <c r="D53" s="28" t="s">
        <v>53943</v>
      </c>
      <c r="E53" s="28" t="s">
        <v>53944</v>
      </c>
      <c r="F53" s="29">
        <v>70.0</v>
      </c>
      <c r="G53" s="27">
        <v>1.35470705E8</v>
      </c>
    </row>
    <row r="54" ht="12.75" customHeight="1">
      <c r="A54" s="31">
        <v>447.0</v>
      </c>
      <c r="B54" s="32" t="s">
        <v>53945</v>
      </c>
      <c r="C54" s="31">
        <v>135.0</v>
      </c>
      <c r="D54" s="32" t="s">
        <v>53946</v>
      </c>
      <c r="E54" s="32" t="s">
        <v>53947</v>
      </c>
      <c r="F54" s="33">
        <v>88.0</v>
      </c>
      <c r="G54" s="31">
        <v>1.35470884E8</v>
      </c>
    </row>
    <row r="55" ht="12.75" customHeight="1">
      <c r="A55" s="27">
        <v>447.0</v>
      </c>
      <c r="B55" s="28" t="s">
        <v>53948</v>
      </c>
      <c r="C55" s="27">
        <v>135.0</v>
      </c>
      <c r="D55" s="28" t="s">
        <v>53949</v>
      </c>
      <c r="E55" s="28" t="s">
        <v>53950</v>
      </c>
      <c r="F55" s="29">
        <v>97.0</v>
      </c>
      <c r="G55" s="27">
        <v>1.35470976E8</v>
      </c>
    </row>
    <row r="56" ht="12.75" customHeight="1">
      <c r="A56" s="31">
        <v>447.0</v>
      </c>
      <c r="B56" s="32" t="s">
        <v>53951</v>
      </c>
      <c r="C56" s="31">
        <v>135.0</v>
      </c>
      <c r="D56" s="32" t="s">
        <v>53952</v>
      </c>
      <c r="E56" s="32" t="s">
        <v>53953</v>
      </c>
      <c r="F56" s="31">
        <v>100.0</v>
      </c>
      <c r="G56" s="31">
        <v>1.35471009E8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447.0</v>
      </c>
      <c r="B1" s="28" t="s">
        <v>53954</v>
      </c>
      <c r="C1" s="27">
        <v>135.0</v>
      </c>
      <c r="D1" s="28" t="s">
        <v>53955</v>
      </c>
      <c r="E1" s="28" t="s">
        <v>53956</v>
      </c>
      <c r="F1" s="27">
        <v>118.0</v>
      </c>
      <c r="G1" s="27">
        <v>1.35471188E8</v>
      </c>
    </row>
    <row r="2" ht="12.75" customHeight="1">
      <c r="A2" s="31">
        <v>447.0</v>
      </c>
      <c r="B2" s="32" t="s">
        <v>53957</v>
      </c>
      <c r="C2" s="31">
        <v>135.0</v>
      </c>
      <c r="D2" s="32" t="s">
        <v>53958</v>
      </c>
      <c r="E2" s="32" t="s">
        <v>53959</v>
      </c>
      <c r="F2" s="31">
        <v>124.0</v>
      </c>
      <c r="G2" s="31">
        <v>1.35471241E8</v>
      </c>
    </row>
    <row r="3" ht="12.75" customHeight="1">
      <c r="A3" s="27">
        <v>447.0</v>
      </c>
      <c r="B3" s="28" t="s">
        <v>53960</v>
      </c>
      <c r="C3" s="27">
        <v>135.0</v>
      </c>
      <c r="D3" s="28" t="s">
        <v>53961</v>
      </c>
      <c r="E3" s="28" t="s">
        <v>53962</v>
      </c>
      <c r="F3" s="27">
        <v>130.0</v>
      </c>
      <c r="G3" s="27">
        <v>1.35471304E8</v>
      </c>
    </row>
    <row r="4" ht="12.75" customHeight="1">
      <c r="A4" s="31">
        <v>447.0</v>
      </c>
      <c r="B4" s="32" t="s">
        <v>53963</v>
      </c>
      <c r="C4" s="31">
        <v>135.0</v>
      </c>
      <c r="D4" s="32" t="s">
        <v>53964</v>
      </c>
      <c r="E4" s="32" t="s">
        <v>53965</v>
      </c>
      <c r="F4" s="31">
        <v>145.0</v>
      </c>
      <c r="G4" s="31">
        <v>1.35471454E8</v>
      </c>
    </row>
    <row r="5" ht="12.75" customHeight="1">
      <c r="A5" s="27">
        <v>447.0</v>
      </c>
      <c r="B5" s="28" t="s">
        <v>53966</v>
      </c>
      <c r="C5" s="27">
        <v>135.0</v>
      </c>
      <c r="D5" s="28" t="s">
        <v>53967</v>
      </c>
      <c r="E5" s="28" t="s">
        <v>53968</v>
      </c>
      <c r="F5" s="27">
        <v>148.0</v>
      </c>
      <c r="G5" s="27">
        <v>1.35471483E8</v>
      </c>
    </row>
    <row r="6" ht="12.75" customHeight="1">
      <c r="A6" s="31">
        <v>447.0</v>
      </c>
      <c r="B6" s="32" t="s">
        <v>53969</v>
      </c>
      <c r="C6" s="31">
        <v>135.0</v>
      </c>
      <c r="D6" s="32" t="s">
        <v>53970</v>
      </c>
      <c r="E6" s="32" t="s">
        <v>53971</v>
      </c>
      <c r="F6" s="31">
        <v>151.0</v>
      </c>
      <c r="G6" s="31">
        <v>1.35471517E8</v>
      </c>
    </row>
    <row r="7" ht="12.75" customHeight="1">
      <c r="A7" s="27">
        <v>447.0</v>
      </c>
      <c r="B7" s="28" t="s">
        <v>53972</v>
      </c>
      <c r="C7" s="27">
        <v>135.0</v>
      </c>
      <c r="D7" s="28" t="s">
        <v>53973</v>
      </c>
      <c r="E7" s="28" t="s">
        <v>53974</v>
      </c>
      <c r="F7" s="27">
        <v>157.0</v>
      </c>
      <c r="G7" s="27">
        <v>1.35471575E8</v>
      </c>
    </row>
    <row r="8" ht="12.75" customHeight="1">
      <c r="A8" s="31">
        <v>447.0</v>
      </c>
      <c r="B8" s="32" t="s">
        <v>53975</v>
      </c>
      <c r="C8" s="31">
        <v>135.0</v>
      </c>
      <c r="D8" s="32" t="s">
        <v>53976</v>
      </c>
      <c r="E8" s="32" t="s">
        <v>53977</v>
      </c>
      <c r="F8" s="31">
        <v>175.0</v>
      </c>
      <c r="G8" s="31">
        <v>1.35471759E8</v>
      </c>
    </row>
    <row r="9" ht="12.75" customHeight="1">
      <c r="A9" s="27">
        <v>447.0</v>
      </c>
      <c r="B9" s="28" t="s">
        <v>53978</v>
      </c>
      <c r="C9" s="27">
        <v>135.0</v>
      </c>
      <c r="D9" s="28" t="s">
        <v>53979</v>
      </c>
      <c r="E9" s="28" t="s">
        <v>53980</v>
      </c>
      <c r="F9" s="27">
        <v>187.0</v>
      </c>
      <c r="G9" s="27">
        <v>1.3547187E8</v>
      </c>
    </row>
    <row r="10" ht="12.75" customHeight="1">
      <c r="A10" s="31">
        <v>447.0</v>
      </c>
      <c r="B10" s="32" t="s">
        <v>53981</v>
      </c>
      <c r="C10" s="31">
        <v>135.0</v>
      </c>
      <c r="D10" s="32" t="s">
        <v>53982</v>
      </c>
      <c r="E10" s="32" t="s">
        <v>53983</v>
      </c>
      <c r="F10" s="31">
        <v>202.0</v>
      </c>
      <c r="G10" s="31">
        <v>1.35472024E8</v>
      </c>
    </row>
    <row r="11" ht="12.75" customHeight="1">
      <c r="A11" s="27">
        <v>447.0</v>
      </c>
      <c r="B11" s="28" t="s">
        <v>53984</v>
      </c>
      <c r="C11" s="27">
        <v>135.0</v>
      </c>
      <c r="D11" s="28" t="s">
        <v>53985</v>
      </c>
      <c r="E11" s="28" t="s">
        <v>53986</v>
      </c>
      <c r="F11" s="27">
        <v>208.0</v>
      </c>
      <c r="G11" s="27">
        <v>1.35472082E8</v>
      </c>
    </row>
    <row r="12" ht="12.75" customHeight="1">
      <c r="A12" s="31">
        <v>447.0</v>
      </c>
      <c r="B12" s="32" t="s">
        <v>53987</v>
      </c>
      <c r="C12" s="31">
        <v>135.0</v>
      </c>
      <c r="D12" s="32" t="s">
        <v>53988</v>
      </c>
      <c r="E12" s="32" t="s">
        <v>53989</v>
      </c>
      <c r="F12" s="31">
        <v>220.0</v>
      </c>
      <c r="G12" s="31">
        <v>1.35472208E8</v>
      </c>
    </row>
    <row r="13" ht="12.75" customHeight="1">
      <c r="A13" s="27">
        <v>447.0</v>
      </c>
      <c r="B13" s="28" t="s">
        <v>53990</v>
      </c>
      <c r="C13" s="27">
        <v>135.0</v>
      </c>
      <c r="D13" s="28" t="s">
        <v>53991</v>
      </c>
      <c r="E13" s="28" t="s">
        <v>53992</v>
      </c>
      <c r="F13" s="27">
        <v>223.0</v>
      </c>
      <c r="G13" s="27">
        <v>1.35472237E8</v>
      </c>
    </row>
    <row r="14" ht="12.75" customHeight="1">
      <c r="A14" s="31">
        <v>447.0</v>
      </c>
      <c r="B14" s="32" t="s">
        <v>53993</v>
      </c>
      <c r="C14" s="31">
        <v>135.0</v>
      </c>
      <c r="D14" s="32" t="s">
        <v>53994</v>
      </c>
      <c r="E14" s="32" t="s">
        <v>53995</v>
      </c>
      <c r="F14" s="31">
        <v>226.0</v>
      </c>
      <c r="G14" s="31">
        <v>1.35472266E8</v>
      </c>
    </row>
    <row r="15" ht="12.75" customHeight="1">
      <c r="A15" s="27">
        <v>447.0</v>
      </c>
      <c r="B15" s="28" t="s">
        <v>53996</v>
      </c>
      <c r="C15" s="27">
        <v>135.0</v>
      </c>
      <c r="D15" s="28" t="s">
        <v>53997</v>
      </c>
      <c r="E15" s="28" t="s">
        <v>53998</v>
      </c>
      <c r="F15" s="27">
        <v>247.0</v>
      </c>
      <c r="G15" s="27">
        <v>1.35472479E8</v>
      </c>
    </row>
    <row r="16" ht="12.75" customHeight="1">
      <c r="A16" s="31">
        <v>447.0</v>
      </c>
      <c r="B16" s="32" t="s">
        <v>53999</v>
      </c>
      <c r="C16" s="31">
        <v>135.0</v>
      </c>
      <c r="D16" s="32" t="s">
        <v>54000</v>
      </c>
      <c r="E16" s="32" t="s">
        <v>54001</v>
      </c>
      <c r="F16" s="31">
        <v>253.0</v>
      </c>
      <c r="G16" s="31">
        <v>1.35472532E8</v>
      </c>
    </row>
    <row r="17" ht="12.75" customHeight="1">
      <c r="A17" s="27">
        <v>148.0</v>
      </c>
      <c r="B17" s="28" t="s">
        <v>54002</v>
      </c>
      <c r="C17" s="27">
        <v>135.0</v>
      </c>
      <c r="D17" s="28" t="s">
        <v>54003</v>
      </c>
      <c r="E17" s="28" t="s">
        <v>54004</v>
      </c>
      <c r="F17" s="29">
        <v>5.0</v>
      </c>
      <c r="G17" s="27">
        <v>1.35480058E8</v>
      </c>
    </row>
    <row r="18" ht="12.75" customHeight="1">
      <c r="A18" s="31">
        <v>148.0</v>
      </c>
      <c r="B18" s="32" t="s">
        <v>54005</v>
      </c>
      <c r="C18" s="31">
        <v>135.0</v>
      </c>
      <c r="D18" s="32" t="s">
        <v>54006</v>
      </c>
      <c r="E18" s="32" t="s">
        <v>54007</v>
      </c>
      <c r="F18" s="33">
        <v>10.0</v>
      </c>
      <c r="G18" s="31">
        <v>1.35480108E8</v>
      </c>
    </row>
    <row r="19" ht="12.75" customHeight="1">
      <c r="A19" s="27">
        <v>148.0</v>
      </c>
      <c r="B19" s="28" t="s">
        <v>54008</v>
      </c>
      <c r="C19" s="27">
        <v>135.0</v>
      </c>
      <c r="D19" s="28" t="s">
        <v>54009</v>
      </c>
      <c r="E19" s="28" t="s">
        <v>54010</v>
      </c>
      <c r="F19" s="29">
        <v>13.0</v>
      </c>
      <c r="G19" s="27">
        <v>1.35480137E8</v>
      </c>
    </row>
    <row r="20" ht="12.75" customHeight="1">
      <c r="A20" s="31">
        <v>148.0</v>
      </c>
      <c r="B20" s="32" t="s">
        <v>54011</v>
      </c>
      <c r="C20" s="31">
        <v>135.0</v>
      </c>
      <c r="D20" s="32" t="s">
        <v>54012</v>
      </c>
      <c r="E20" s="32" t="s">
        <v>54013</v>
      </c>
      <c r="F20" s="33">
        <v>22.0</v>
      </c>
      <c r="G20" s="31">
        <v>1.35480229E8</v>
      </c>
    </row>
    <row r="21" ht="12.75" customHeight="1">
      <c r="A21" s="27">
        <v>148.0</v>
      </c>
      <c r="B21" s="28" t="s">
        <v>54014</v>
      </c>
      <c r="C21" s="27">
        <v>135.0</v>
      </c>
      <c r="D21" s="28" t="s">
        <v>54015</v>
      </c>
      <c r="E21" s="28" t="s">
        <v>54016</v>
      </c>
      <c r="F21" s="29">
        <v>33.0</v>
      </c>
      <c r="G21" s="27">
        <v>1.35480337E8</v>
      </c>
    </row>
    <row r="22" ht="12.75" customHeight="1">
      <c r="A22" s="31">
        <v>148.0</v>
      </c>
      <c r="B22" s="32" t="s">
        <v>54017</v>
      </c>
      <c r="C22" s="31">
        <v>135.0</v>
      </c>
      <c r="D22" s="32" t="s">
        <v>54018</v>
      </c>
      <c r="E22" s="32" t="s">
        <v>54019</v>
      </c>
      <c r="F22" s="33">
        <v>43.0</v>
      </c>
      <c r="G22" s="31">
        <v>1.35480432E8</v>
      </c>
    </row>
    <row r="23" ht="12.75" customHeight="1">
      <c r="A23" s="27">
        <v>148.0</v>
      </c>
      <c r="B23" s="28" t="s">
        <v>54020</v>
      </c>
      <c r="C23" s="27">
        <v>135.0</v>
      </c>
      <c r="D23" s="28" t="s">
        <v>54021</v>
      </c>
      <c r="E23" s="28" t="s">
        <v>54022</v>
      </c>
      <c r="F23" s="29">
        <v>58.0</v>
      </c>
      <c r="G23" s="27">
        <v>1.35480582E8</v>
      </c>
    </row>
    <row r="24" ht="12.75" customHeight="1">
      <c r="A24" s="31">
        <v>148.0</v>
      </c>
      <c r="B24" s="32" t="s">
        <v>54023</v>
      </c>
      <c r="C24" s="31">
        <v>135.0</v>
      </c>
      <c r="D24" s="32" t="s">
        <v>54024</v>
      </c>
      <c r="E24" s="32" t="s">
        <v>54025</v>
      </c>
      <c r="F24" s="33">
        <v>64.0</v>
      </c>
      <c r="G24" s="31">
        <v>1.35480645E8</v>
      </c>
    </row>
    <row r="25" ht="12.75" customHeight="1">
      <c r="A25" s="27">
        <v>148.0</v>
      </c>
      <c r="B25" s="28" t="s">
        <v>54026</v>
      </c>
      <c r="C25" s="27">
        <v>135.0</v>
      </c>
      <c r="D25" s="28" t="s">
        <v>54027</v>
      </c>
      <c r="E25" s="28" t="s">
        <v>54028</v>
      </c>
      <c r="F25" s="29">
        <v>70.0</v>
      </c>
      <c r="G25" s="27">
        <v>1.35480708E8</v>
      </c>
    </row>
    <row r="26" ht="12.75" customHeight="1">
      <c r="A26" s="31">
        <v>148.0</v>
      </c>
      <c r="B26" s="32" t="s">
        <v>54029</v>
      </c>
      <c r="C26" s="31">
        <v>135.0</v>
      </c>
      <c r="D26" s="32" t="s">
        <v>54030</v>
      </c>
      <c r="E26" s="32" t="s">
        <v>54031</v>
      </c>
      <c r="F26" s="33">
        <v>73.0</v>
      </c>
      <c r="G26" s="31">
        <v>1.35480737E8</v>
      </c>
    </row>
    <row r="27" ht="12.75" customHeight="1">
      <c r="A27" s="27">
        <v>148.0</v>
      </c>
      <c r="B27" s="28" t="s">
        <v>54032</v>
      </c>
      <c r="C27" s="27">
        <v>135.0</v>
      </c>
      <c r="D27" s="28" t="s">
        <v>54033</v>
      </c>
      <c r="E27" s="28" t="s">
        <v>54034</v>
      </c>
      <c r="F27" s="29">
        <v>79.0</v>
      </c>
      <c r="G27" s="27">
        <v>1.35480795E8</v>
      </c>
    </row>
    <row r="28" ht="12.75" customHeight="1">
      <c r="A28" s="31">
        <v>148.0</v>
      </c>
      <c r="B28" s="32" t="s">
        <v>54035</v>
      </c>
      <c r="C28" s="31">
        <v>135.0</v>
      </c>
      <c r="D28" s="32" t="s">
        <v>54036</v>
      </c>
      <c r="E28" s="32" t="s">
        <v>54037</v>
      </c>
      <c r="F28" s="33">
        <v>82.0</v>
      </c>
      <c r="G28" s="31">
        <v>1.35480829E8</v>
      </c>
    </row>
    <row r="29" ht="12.75" customHeight="1">
      <c r="A29" s="27">
        <v>148.0</v>
      </c>
      <c r="B29" s="28" t="s">
        <v>54038</v>
      </c>
      <c r="C29" s="27">
        <v>135.0</v>
      </c>
      <c r="D29" s="28" t="s">
        <v>54039</v>
      </c>
      <c r="E29" s="28" t="s">
        <v>54040</v>
      </c>
      <c r="F29" s="29">
        <v>94.0</v>
      </c>
      <c r="G29" s="27">
        <v>1.3548094E8</v>
      </c>
    </row>
    <row r="30" ht="12.75" customHeight="1">
      <c r="A30" s="31">
        <v>148.0</v>
      </c>
      <c r="B30" s="32" t="s">
        <v>54041</v>
      </c>
      <c r="C30" s="31">
        <v>135.0</v>
      </c>
      <c r="D30" s="32" t="s">
        <v>54042</v>
      </c>
      <c r="E30" s="32" t="s">
        <v>54043</v>
      </c>
      <c r="F30" s="31">
        <v>106.0</v>
      </c>
      <c r="G30" s="31">
        <v>1.3548106E8</v>
      </c>
    </row>
    <row r="31" ht="12.75" customHeight="1">
      <c r="A31" s="27">
        <v>148.0</v>
      </c>
      <c r="B31" s="28" t="s">
        <v>54044</v>
      </c>
      <c r="C31" s="27">
        <v>135.0</v>
      </c>
      <c r="D31" s="28" t="s">
        <v>54045</v>
      </c>
      <c r="E31" s="28" t="s">
        <v>54046</v>
      </c>
      <c r="F31" s="27">
        <v>109.0</v>
      </c>
      <c r="G31" s="27">
        <v>1.35481099E8</v>
      </c>
    </row>
    <row r="32" ht="12.75" customHeight="1">
      <c r="A32" s="31">
        <v>749.0</v>
      </c>
      <c r="B32" s="32" t="s">
        <v>54047</v>
      </c>
      <c r="C32" s="31">
        <v>135.0</v>
      </c>
      <c r="D32" s="32" t="s">
        <v>54048</v>
      </c>
      <c r="E32" s="32" t="s">
        <v>54049</v>
      </c>
      <c r="F32" s="33">
        <v>10.0</v>
      </c>
      <c r="G32" s="31">
        <v>1.35490101E8</v>
      </c>
    </row>
    <row r="33" ht="12.75" customHeight="1">
      <c r="A33" s="27">
        <v>749.0</v>
      </c>
      <c r="B33" s="28" t="s">
        <v>54050</v>
      </c>
      <c r="C33" s="27">
        <v>135.0</v>
      </c>
      <c r="D33" s="28" t="s">
        <v>54051</v>
      </c>
      <c r="E33" s="28" t="s">
        <v>54052</v>
      </c>
      <c r="F33" s="29">
        <v>16.0</v>
      </c>
      <c r="G33" s="27">
        <v>1.35490169E8</v>
      </c>
    </row>
    <row r="34" ht="12.75" customHeight="1">
      <c r="A34" s="31">
        <v>749.0</v>
      </c>
      <c r="B34" s="32" t="s">
        <v>54053</v>
      </c>
      <c r="C34" s="31">
        <v>135.0</v>
      </c>
      <c r="D34" s="32" t="s">
        <v>54054</v>
      </c>
      <c r="E34" s="32" t="s">
        <v>54055</v>
      </c>
      <c r="F34" s="33">
        <v>34.0</v>
      </c>
      <c r="G34" s="31">
        <v>1.35490343E8</v>
      </c>
    </row>
    <row r="35" ht="12.75" customHeight="1">
      <c r="A35" s="27">
        <v>749.0</v>
      </c>
      <c r="B35" s="28" t="s">
        <v>54056</v>
      </c>
      <c r="C35" s="27">
        <v>135.0</v>
      </c>
      <c r="D35" s="28" t="s">
        <v>54057</v>
      </c>
      <c r="E35" s="28" t="s">
        <v>54058</v>
      </c>
      <c r="F35" s="29">
        <v>40.0</v>
      </c>
      <c r="G35" s="27">
        <v>1.35490406E8</v>
      </c>
    </row>
    <row r="36" ht="12.75" customHeight="1">
      <c r="A36" s="31">
        <v>749.0</v>
      </c>
      <c r="B36" s="32" t="s">
        <v>54059</v>
      </c>
      <c r="C36" s="31">
        <v>135.0</v>
      </c>
      <c r="D36" s="32" t="s">
        <v>54060</v>
      </c>
      <c r="E36" s="32" t="s">
        <v>54061</v>
      </c>
      <c r="F36" s="33">
        <v>46.0</v>
      </c>
      <c r="G36" s="31">
        <v>1.35490464E8</v>
      </c>
    </row>
    <row r="37" ht="12.75" customHeight="1">
      <c r="A37" s="27">
        <v>749.0</v>
      </c>
      <c r="B37" s="28" t="s">
        <v>54062</v>
      </c>
      <c r="C37" s="27">
        <v>135.0</v>
      </c>
      <c r="D37" s="28" t="s">
        <v>54063</v>
      </c>
      <c r="E37" s="28" t="s">
        <v>54064</v>
      </c>
      <c r="F37" s="29">
        <v>55.0</v>
      </c>
      <c r="G37" s="27">
        <v>1.35490556E8</v>
      </c>
    </row>
    <row r="38" ht="12.75" customHeight="1">
      <c r="A38" s="31">
        <v>749.0</v>
      </c>
      <c r="B38" s="32" t="s">
        <v>54065</v>
      </c>
      <c r="C38" s="31">
        <v>135.0</v>
      </c>
      <c r="D38" s="32" t="s">
        <v>54066</v>
      </c>
      <c r="E38" s="32" t="s">
        <v>54067</v>
      </c>
      <c r="F38" s="33">
        <v>70.0</v>
      </c>
      <c r="G38" s="31">
        <v>1.35490701E8</v>
      </c>
    </row>
    <row r="39" ht="12.75" customHeight="1">
      <c r="A39" s="27">
        <v>450.0</v>
      </c>
      <c r="B39" s="28" t="s">
        <v>54068</v>
      </c>
      <c r="C39" s="27">
        <v>135.0</v>
      </c>
      <c r="D39" s="28" t="s">
        <v>54069</v>
      </c>
      <c r="E39" s="28" t="s">
        <v>54070</v>
      </c>
      <c r="F39" s="29">
        <v>7.0</v>
      </c>
      <c r="G39" s="27">
        <v>1.35500075E8</v>
      </c>
    </row>
    <row r="40" ht="12.75" customHeight="1">
      <c r="A40" s="31">
        <v>450.0</v>
      </c>
      <c r="B40" s="32" t="s">
        <v>54071</v>
      </c>
      <c r="C40" s="31">
        <v>135.0</v>
      </c>
      <c r="D40" s="32" t="s">
        <v>54072</v>
      </c>
      <c r="E40" s="32" t="s">
        <v>54073</v>
      </c>
      <c r="F40" s="33">
        <v>13.0</v>
      </c>
      <c r="G40" s="31">
        <v>1.35500138E8</v>
      </c>
    </row>
    <row r="41" ht="12.75" customHeight="1">
      <c r="A41" s="27">
        <v>450.0</v>
      </c>
      <c r="B41" s="28" t="s">
        <v>54074</v>
      </c>
      <c r="C41" s="27">
        <v>135.0</v>
      </c>
      <c r="D41" s="28" t="s">
        <v>54075</v>
      </c>
      <c r="E41" s="28" t="s">
        <v>54076</v>
      </c>
      <c r="F41" s="29">
        <v>25.0</v>
      </c>
      <c r="G41" s="27">
        <v>1.35500259E8</v>
      </c>
    </row>
    <row r="42" ht="12.75" customHeight="1">
      <c r="A42" s="31">
        <v>450.0</v>
      </c>
      <c r="B42" s="32" t="s">
        <v>54077</v>
      </c>
      <c r="C42" s="31">
        <v>135.0</v>
      </c>
      <c r="D42" s="32" t="s">
        <v>54078</v>
      </c>
      <c r="E42" s="32" t="s">
        <v>54079</v>
      </c>
      <c r="F42" s="33">
        <v>28.0</v>
      </c>
      <c r="G42" s="31">
        <v>1.35500288E8</v>
      </c>
    </row>
    <row r="43" ht="12.75" customHeight="1">
      <c r="A43" s="27">
        <v>450.0</v>
      </c>
      <c r="B43" s="28" t="s">
        <v>54080</v>
      </c>
      <c r="C43" s="27">
        <v>135.0</v>
      </c>
      <c r="D43" s="28" t="s">
        <v>54081</v>
      </c>
      <c r="E43" s="28" t="s">
        <v>54082</v>
      </c>
      <c r="F43" s="29">
        <v>34.0</v>
      </c>
      <c r="G43" s="27">
        <v>1.35500341E8</v>
      </c>
    </row>
    <row r="44" ht="12.75" customHeight="1">
      <c r="A44" s="31">
        <v>450.0</v>
      </c>
      <c r="B44" s="32" t="s">
        <v>54083</v>
      </c>
      <c r="C44" s="31">
        <v>135.0</v>
      </c>
      <c r="D44" s="32" t="s">
        <v>54084</v>
      </c>
      <c r="E44" s="32" t="s">
        <v>54085</v>
      </c>
      <c r="F44" s="33">
        <v>43.0</v>
      </c>
      <c r="G44" s="31">
        <v>1.35500433E8</v>
      </c>
    </row>
    <row r="45" ht="12.75" customHeight="1">
      <c r="A45" s="27">
        <v>450.0</v>
      </c>
      <c r="B45" s="28" t="s">
        <v>54086</v>
      </c>
      <c r="C45" s="27">
        <v>135.0</v>
      </c>
      <c r="D45" s="28" t="s">
        <v>54087</v>
      </c>
      <c r="E45" s="28" t="s">
        <v>54088</v>
      </c>
      <c r="F45" s="29">
        <v>80.0</v>
      </c>
      <c r="G45" s="27">
        <v>1.35500804E8</v>
      </c>
    </row>
    <row r="46" ht="12.75" customHeight="1">
      <c r="A46" s="31">
        <v>450.0</v>
      </c>
      <c r="B46" s="32" t="s">
        <v>54089</v>
      </c>
      <c r="C46" s="31">
        <v>135.0</v>
      </c>
      <c r="D46" s="32" t="s">
        <v>54090</v>
      </c>
      <c r="E46" s="32" t="s">
        <v>54091</v>
      </c>
      <c r="F46" s="33">
        <v>82.0</v>
      </c>
      <c r="G46" s="31">
        <v>1.3550082E8</v>
      </c>
    </row>
    <row r="47" ht="12.75" customHeight="1">
      <c r="A47" s="27">
        <v>450.0</v>
      </c>
      <c r="B47" s="28" t="s">
        <v>54092</v>
      </c>
      <c r="C47" s="27">
        <v>135.0</v>
      </c>
      <c r="D47" s="28" t="s">
        <v>54093</v>
      </c>
      <c r="E47" s="28" t="s">
        <v>54094</v>
      </c>
      <c r="F47" s="29">
        <v>88.0</v>
      </c>
      <c r="G47" s="27">
        <v>1.35500888E8</v>
      </c>
    </row>
    <row r="48" ht="12.75" customHeight="1">
      <c r="A48" s="31">
        <v>450.0</v>
      </c>
      <c r="B48" s="32" t="s">
        <v>54095</v>
      </c>
      <c r="C48" s="31">
        <v>135.0</v>
      </c>
      <c r="D48" s="32" t="s">
        <v>54096</v>
      </c>
      <c r="E48" s="32" t="s">
        <v>54097</v>
      </c>
      <c r="F48" s="33">
        <v>97.0</v>
      </c>
      <c r="G48" s="31">
        <v>1.3550097E8</v>
      </c>
    </row>
    <row r="49" ht="12.75" customHeight="1">
      <c r="A49" s="27">
        <v>450.0</v>
      </c>
      <c r="B49" s="28" t="s">
        <v>54098</v>
      </c>
      <c r="C49" s="27">
        <v>135.0</v>
      </c>
      <c r="D49" s="28" t="s">
        <v>54099</v>
      </c>
      <c r="E49" s="28" t="s">
        <v>54100</v>
      </c>
      <c r="F49" s="27">
        <v>142.0</v>
      </c>
      <c r="G49" s="27">
        <v>1.35501429E8</v>
      </c>
    </row>
    <row r="50" ht="12.75" customHeight="1">
      <c r="A50" s="31">
        <v>450.0</v>
      </c>
      <c r="B50" s="32" t="s">
        <v>54101</v>
      </c>
      <c r="C50" s="31">
        <v>135.0</v>
      </c>
      <c r="D50" s="32" t="s">
        <v>54102</v>
      </c>
      <c r="E50" s="32" t="s">
        <v>54103</v>
      </c>
      <c r="F50" s="31">
        <v>145.0</v>
      </c>
      <c r="G50" s="31">
        <v>1.35501458E8</v>
      </c>
    </row>
    <row r="51" ht="12.75" customHeight="1">
      <c r="A51" s="27">
        <v>450.0</v>
      </c>
      <c r="B51" s="28" t="s">
        <v>54104</v>
      </c>
      <c r="C51" s="27">
        <v>135.0</v>
      </c>
      <c r="D51" s="28" t="s">
        <v>54105</v>
      </c>
      <c r="E51" s="28" t="s">
        <v>54106</v>
      </c>
      <c r="F51" s="27">
        <v>160.0</v>
      </c>
      <c r="G51" s="27">
        <v>1.35501603E8</v>
      </c>
    </row>
    <row r="52" ht="12.75" customHeight="1">
      <c r="A52" s="31">
        <v>251.0</v>
      </c>
      <c r="B52" s="32" t="s">
        <v>54107</v>
      </c>
      <c r="C52" s="31">
        <v>135.0</v>
      </c>
      <c r="D52" s="32" t="s">
        <v>54108</v>
      </c>
      <c r="E52" s="32" t="s">
        <v>54109</v>
      </c>
      <c r="F52" s="33">
        <v>8.0</v>
      </c>
      <c r="G52" s="31">
        <v>1.35510081E8</v>
      </c>
    </row>
    <row r="53" ht="12.75" customHeight="1">
      <c r="A53" s="27">
        <v>251.0</v>
      </c>
      <c r="B53" s="28" t="s">
        <v>54110</v>
      </c>
      <c r="C53" s="27">
        <v>135.0</v>
      </c>
      <c r="D53" s="28" t="s">
        <v>54111</v>
      </c>
      <c r="E53" s="28" t="s">
        <v>54112</v>
      </c>
      <c r="F53" s="29">
        <v>13.0</v>
      </c>
      <c r="G53" s="27">
        <v>1.35510131E8</v>
      </c>
    </row>
    <row r="54" ht="12.75" customHeight="1">
      <c r="A54" s="31">
        <v>251.0</v>
      </c>
      <c r="B54" s="32" t="s">
        <v>54113</v>
      </c>
      <c r="C54" s="31">
        <v>135.0</v>
      </c>
      <c r="D54" s="32" t="s">
        <v>54114</v>
      </c>
      <c r="E54" s="32" t="s">
        <v>54115</v>
      </c>
      <c r="F54" s="33">
        <v>22.0</v>
      </c>
      <c r="G54" s="31">
        <v>1.35510223E8</v>
      </c>
    </row>
    <row r="55" ht="12.75" customHeight="1">
      <c r="A55" s="27">
        <v>251.0</v>
      </c>
      <c r="B55" s="28" t="s">
        <v>54116</v>
      </c>
      <c r="C55" s="27">
        <v>135.0</v>
      </c>
      <c r="D55" s="28" t="s">
        <v>54117</v>
      </c>
      <c r="E55" s="28" t="s">
        <v>54118</v>
      </c>
      <c r="F55" s="29">
        <v>40.0</v>
      </c>
      <c r="G55" s="27">
        <v>1.35510407E8</v>
      </c>
    </row>
    <row r="56" ht="12.75" customHeight="1">
      <c r="A56" s="31">
        <v>251.0</v>
      </c>
      <c r="B56" s="32" t="s">
        <v>54119</v>
      </c>
      <c r="C56" s="31">
        <v>135.0</v>
      </c>
      <c r="D56" s="32" t="s">
        <v>54120</v>
      </c>
      <c r="E56" s="32" t="s">
        <v>54121</v>
      </c>
      <c r="F56" s="33">
        <v>53.0</v>
      </c>
      <c r="G56" s="31">
        <v>1.35510531E8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251.0</v>
      </c>
      <c r="B1" s="28" t="s">
        <v>54122</v>
      </c>
      <c r="C1" s="27">
        <v>135.0</v>
      </c>
      <c r="D1" s="28" t="s">
        <v>54123</v>
      </c>
      <c r="E1" s="28" t="s">
        <v>54124</v>
      </c>
      <c r="F1" s="29">
        <v>76.0</v>
      </c>
      <c r="G1" s="27">
        <v>1.3551076E8</v>
      </c>
    </row>
    <row r="2" ht="12.75" customHeight="1">
      <c r="A2" s="31">
        <v>251.0</v>
      </c>
      <c r="B2" s="32" t="s">
        <v>54125</v>
      </c>
      <c r="C2" s="31">
        <v>135.0</v>
      </c>
      <c r="D2" s="32" t="s">
        <v>54126</v>
      </c>
      <c r="E2" s="32" t="s">
        <v>54127</v>
      </c>
      <c r="F2" s="33">
        <v>82.0</v>
      </c>
      <c r="G2" s="31">
        <v>1.35510823E8</v>
      </c>
    </row>
    <row r="3" ht="12.75" customHeight="1">
      <c r="A3" s="27">
        <v>251.0</v>
      </c>
      <c r="B3" s="28" t="s">
        <v>54128</v>
      </c>
      <c r="C3" s="27">
        <v>135.0</v>
      </c>
      <c r="D3" s="28" t="s">
        <v>54129</v>
      </c>
      <c r="E3" s="28" t="s">
        <v>54130</v>
      </c>
      <c r="F3" s="29">
        <v>97.0</v>
      </c>
      <c r="G3" s="27">
        <v>1.35510973E8</v>
      </c>
    </row>
    <row r="4" ht="12.75" customHeight="1">
      <c r="A4" s="31">
        <v>251.0</v>
      </c>
      <c r="B4" s="32" t="s">
        <v>54131</v>
      </c>
      <c r="C4" s="31">
        <v>135.0</v>
      </c>
      <c r="D4" s="32" t="s">
        <v>54132</v>
      </c>
      <c r="E4" s="32" t="s">
        <v>54133</v>
      </c>
      <c r="F4" s="31">
        <v>103.0</v>
      </c>
      <c r="G4" s="31">
        <v>1.35511035E8</v>
      </c>
    </row>
    <row r="5" ht="12.75" customHeight="1">
      <c r="A5" s="27">
        <v>752.0</v>
      </c>
      <c r="B5" s="28" t="s">
        <v>54134</v>
      </c>
      <c r="C5" s="27">
        <v>135.0</v>
      </c>
      <c r="D5" s="28" t="s">
        <v>54135</v>
      </c>
      <c r="E5" s="28" t="s">
        <v>54136</v>
      </c>
      <c r="F5" s="29">
        <v>4.0</v>
      </c>
      <c r="G5" s="27">
        <v>1.35520042E8</v>
      </c>
    </row>
    <row r="6" ht="12.75" customHeight="1">
      <c r="A6" s="31">
        <v>752.0</v>
      </c>
      <c r="B6" s="32" t="s">
        <v>54137</v>
      </c>
      <c r="C6" s="31">
        <v>135.0</v>
      </c>
      <c r="D6" s="32" t="s">
        <v>54138</v>
      </c>
      <c r="E6" s="32" t="s">
        <v>54139</v>
      </c>
      <c r="F6" s="33">
        <v>13.0</v>
      </c>
      <c r="G6" s="31">
        <v>1.35520134E8</v>
      </c>
    </row>
    <row r="7" ht="12.75" customHeight="1">
      <c r="A7" s="27">
        <v>752.0</v>
      </c>
      <c r="B7" s="28" t="s">
        <v>54140</v>
      </c>
      <c r="C7" s="27">
        <v>135.0</v>
      </c>
      <c r="D7" s="28" t="s">
        <v>54141</v>
      </c>
      <c r="E7" s="28" t="s">
        <v>54142</v>
      </c>
      <c r="F7" s="29">
        <v>16.0</v>
      </c>
      <c r="G7" s="27">
        <v>1.35520163E8</v>
      </c>
    </row>
    <row r="8" ht="12.75" customHeight="1">
      <c r="A8" s="31">
        <v>752.0</v>
      </c>
      <c r="B8" s="32" t="s">
        <v>54143</v>
      </c>
      <c r="C8" s="31">
        <v>135.0</v>
      </c>
      <c r="D8" s="32" t="s">
        <v>54144</v>
      </c>
      <c r="E8" s="32" t="s">
        <v>54145</v>
      </c>
      <c r="F8" s="33">
        <v>19.0</v>
      </c>
      <c r="G8" s="31">
        <v>1.35520192E8</v>
      </c>
    </row>
    <row r="9" ht="12.75" customHeight="1">
      <c r="A9" s="27">
        <v>752.0</v>
      </c>
      <c r="B9" s="28" t="s">
        <v>54146</v>
      </c>
      <c r="C9" s="27">
        <v>135.0</v>
      </c>
      <c r="D9" s="28" t="s">
        <v>54147</v>
      </c>
      <c r="E9" s="28" t="s">
        <v>54148</v>
      </c>
      <c r="F9" s="29">
        <v>40.0</v>
      </c>
      <c r="G9" s="27">
        <v>1.355204E8</v>
      </c>
    </row>
    <row r="10" ht="12.75" customHeight="1">
      <c r="A10" s="31">
        <v>752.0</v>
      </c>
      <c r="B10" s="32" t="s">
        <v>54149</v>
      </c>
      <c r="C10" s="31">
        <v>135.0</v>
      </c>
      <c r="D10" s="32" t="s">
        <v>54150</v>
      </c>
      <c r="E10" s="32" t="s">
        <v>54151</v>
      </c>
      <c r="F10" s="33">
        <v>43.0</v>
      </c>
      <c r="G10" s="31">
        <v>1.35520439E8</v>
      </c>
    </row>
    <row r="11" ht="12.75" customHeight="1">
      <c r="A11" s="27">
        <v>752.0</v>
      </c>
      <c r="B11" s="28" t="s">
        <v>54152</v>
      </c>
      <c r="C11" s="27">
        <v>135.0</v>
      </c>
      <c r="D11" s="28" t="s">
        <v>54153</v>
      </c>
      <c r="E11" s="28" t="s">
        <v>54154</v>
      </c>
      <c r="F11" s="29">
        <v>46.0</v>
      </c>
      <c r="G11" s="27">
        <v>1.35520468E8</v>
      </c>
    </row>
    <row r="12" ht="12.75" customHeight="1">
      <c r="A12" s="31">
        <v>752.0</v>
      </c>
      <c r="B12" s="32" t="s">
        <v>54155</v>
      </c>
      <c r="C12" s="31">
        <v>135.0</v>
      </c>
      <c r="D12" s="32" t="s">
        <v>54156</v>
      </c>
      <c r="E12" s="32" t="s">
        <v>54157</v>
      </c>
      <c r="F12" s="33">
        <v>58.0</v>
      </c>
      <c r="G12" s="31">
        <v>1.35520589E8</v>
      </c>
    </row>
    <row r="13" ht="12.75" customHeight="1">
      <c r="A13" s="27">
        <v>354.0</v>
      </c>
      <c r="B13" s="28" t="s">
        <v>54158</v>
      </c>
      <c r="C13" s="27">
        <v>135.0</v>
      </c>
      <c r="D13" s="28" t="s">
        <v>54159</v>
      </c>
      <c r="E13" s="28" t="s">
        <v>54160</v>
      </c>
      <c r="F13" s="29">
        <v>13.0</v>
      </c>
      <c r="G13" s="27">
        <v>1.3554013E8</v>
      </c>
    </row>
    <row r="14" ht="12.75" customHeight="1">
      <c r="A14" s="31">
        <v>354.0</v>
      </c>
      <c r="B14" s="32" t="s">
        <v>54161</v>
      </c>
      <c r="C14" s="31">
        <v>135.0</v>
      </c>
      <c r="D14" s="32" t="s">
        <v>54162</v>
      </c>
      <c r="E14" s="32" t="s">
        <v>54163</v>
      </c>
      <c r="F14" s="33">
        <v>28.0</v>
      </c>
      <c r="G14" s="31">
        <v>1.3554028E8</v>
      </c>
    </row>
    <row r="15" ht="12.75" customHeight="1">
      <c r="A15" s="27">
        <v>354.0</v>
      </c>
      <c r="B15" s="28" t="s">
        <v>54164</v>
      </c>
      <c r="C15" s="27">
        <v>135.0</v>
      </c>
      <c r="D15" s="28" t="s">
        <v>54165</v>
      </c>
      <c r="E15" s="28" t="s">
        <v>54166</v>
      </c>
      <c r="F15" s="29">
        <v>43.0</v>
      </c>
      <c r="G15" s="27">
        <v>1.35540435E8</v>
      </c>
    </row>
    <row r="16" ht="12.75" customHeight="1">
      <c r="A16" s="31">
        <v>354.0</v>
      </c>
      <c r="B16" s="32" t="s">
        <v>54167</v>
      </c>
      <c r="C16" s="31">
        <v>135.0</v>
      </c>
      <c r="D16" s="32" t="s">
        <v>54168</v>
      </c>
      <c r="E16" s="32" t="s">
        <v>54169</v>
      </c>
      <c r="F16" s="33">
        <v>46.0</v>
      </c>
      <c r="G16" s="31">
        <v>1.35540464E8</v>
      </c>
    </row>
    <row r="17" ht="12.75" customHeight="1">
      <c r="A17" s="27">
        <v>354.0</v>
      </c>
      <c r="B17" s="28" t="s">
        <v>54170</v>
      </c>
      <c r="C17" s="27">
        <v>135.0</v>
      </c>
      <c r="D17" s="28" t="s">
        <v>54171</v>
      </c>
      <c r="E17" s="28" t="s">
        <v>54172</v>
      </c>
      <c r="F17" s="29">
        <v>55.0</v>
      </c>
      <c r="G17" s="27">
        <v>1.35540556E8</v>
      </c>
    </row>
    <row r="18" ht="12.75" customHeight="1">
      <c r="A18" s="31">
        <v>354.0</v>
      </c>
      <c r="B18" s="32" t="s">
        <v>54173</v>
      </c>
      <c r="C18" s="31">
        <v>135.0</v>
      </c>
      <c r="D18" s="32" t="s">
        <v>54174</v>
      </c>
      <c r="E18" s="32" t="s">
        <v>54175</v>
      </c>
      <c r="F18" s="33">
        <v>70.0</v>
      </c>
      <c r="G18" s="31">
        <v>1.35540701E8</v>
      </c>
    </row>
    <row r="19" ht="12.75" customHeight="1">
      <c r="A19" s="27">
        <v>455.0</v>
      </c>
      <c r="B19" s="28" t="s">
        <v>54176</v>
      </c>
      <c r="C19" s="27">
        <v>135.0</v>
      </c>
      <c r="D19" s="28" t="s">
        <v>54177</v>
      </c>
      <c r="E19" s="28" t="s">
        <v>54178</v>
      </c>
      <c r="F19" s="29">
        <v>13.0</v>
      </c>
      <c r="G19" s="27">
        <v>1.35550133E8</v>
      </c>
    </row>
    <row r="20" ht="12.75" customHeight="1">
      <c r="A20" s="31">
        <v>455.0</v>
      </c>
      <c r="B20" s="32" t="s">
        <v>54179</v>
      </c>
      <c r="C20" s="31">
        <v>135.0</v>
      </c>
      <c r="D20" s="32" t="s">
        <v>54180</v>
      </c>
      <c r="E20" s="32" t="s">
        <v>54181</v>
      </c>
      <c r="F20" s="33">
        <v>22.0</v>
      </c>
      <c r="G20" s="31">
        <v>1.35550225E8</v>
      </c>
    </row>
    <row r="21" ht="12.75" customHeight="1">
      <c r="A21" s="27">
        <v>455.0</v>
      </c>
      <c r="B21" s="28" t="s">
        <v>54182</v>
      </c>
      <c r="C21" s="27">
        <v>135.0</v>
      </c>
      <c r="D21" s="28" t="s">
        <v>54183</v>
      </c>
      <c r="E21" s="28" t="s">
        <v>54184</v>
      </c>
      <c r="F21" s="29">
        <v>34.0</v>
      </c>
      <c r="G21" s="27">
        <v>1.35550346E8</v>
      </c>
    </row>
    <row r="22" ht="12.75" customHeight="1">
      <c r="A22" s="31">
        <v>455.0</v>
      </c>
      <c r="B22" s="32" t="s">
        <v>54185</v>
      </c>
      <c r="C22" s="31">
        <v>135.0</v>
      </c>
      <c r="D22" s="32" t="s">
        <v>54186</v>
      </c>
      <c r="E22" s="32" t="s">
        <v>54187</v>
      </c>
      <c r="F22" s="33">
        <v>46.0</v>
      </c>
      <c r="G22" s="31">
        <v>1.35550467E8</v>
      </c>
    </row>
    <row r="23" ht="12.75" customHeight="1">
      <c r="A23" s="27">
        <v>455.0</v>
      </c>
      <c r="B23" s="28" t="s">
        <v>54188</v>
      </c>
      <c r="C23" s="27">
        <v>135.0</v>
      </c>
      <c r="D23" s="28" t="s">
        <v>54189</v>
      </c>
      <c r="E23" s="28" t="s">
        <v>54190</v>
      </c>
      <c r="F23" s="29">
        <v>52.0</v>
      </c>
      <c r="G23" s="27">
        <v>1.3555052E8</v>
      </c>
    </row>
    <row r="24" ht="12.75" customHeight="1">
      <c r="A24" s="31">
        <v>455.0</v>
      </c>
      <c r="B24" s="32" t="s">
        <v>54191</v>
      </c>
      <c r="C24" s="31">
        <v>135.0</v>
      </c>
      <c r="D24" s="32" t="s">
        <v>54192</v>
      </c>
      <c r="E24" s="32" t="s">
        <v>54193</v>
      </c>
      <c r="F24" s="33">
        <v>58.0</v>
      </c>
      <c r="G24" s="31">
        <v>1.35550588E8</v>
      </c>
    </row>
    <row r="25" ht="12.75" customHeight="1">
      <c r="A25" s="27">
        <v>455.0</v>
      </c>
      <c r="B25" s="28" t="s">
        <v>54194</v>
      </c>
      <c r="C25" s="27">
        <v>135.0</v>
      </c>
      <c r="D25" s="28" t="s">
        <v>54195</v>
      </c>
      <c r="E25" s="28" t="s">
        <v>54196</v>
      </c>
      <c r="F25" s="29">
        <v>61.0</v>
      </c>
      <c r="G25" s="27">
        <v>1.35550612E8</v>
      </c>
    </row>
    <row r="26" ht="12.75" customHeight="1">
      <c r="A26" s="31">
        <v>455.0</v>
      </c>
      <c r="B26" s="32" t="s">
        <v>54197</v>
      </c>
      <c r="C26" s="31">
        <v>135.0</v>
      </c>
      <c r="D26" s="32" t="s">
        <v>54198</v>
      </c>
      <c r="E26" s="32" t="s">
        <v>54199</v>
      </c>
      <c r="F26" s="33">
        <v>67.0</v>
      </c>
      <c r="G26" s="31">
        <v>1.3555067E8</v>
      </c>
    </row>
    <row r="27" ht="12.75" customHeight="1">
      <c r="A27" s="27">
        <v>455.0</v>
      </c>
      <c r="B27" s="28" t="s">
        <v>54200</v>
      </c>
      <c r="C27" s="27">
        <v>135.0</v>
      </c>
      <c r="D27" s="28" t="s">
        <v>54201</v>
      </c>
      <c r="E27" s="28" t="s">
        <v>54202</v>
      </c>
      <c r="F27" s="29">
        <v>73.0</v>
      </c>
      <c r="G27" s="27">
        <v>1.35550733E8</v>
      </c>
    </row>
    <row r="28" ht="12.75" customHeight="1">
      <c r="A28" s="31">
        <v>455.0</v>
      </c>
      <c r="B28" s="32" t="s">
        <v>54203</v>
      </c>
      <c r="C28" s="31">
        <v>135.0</v>
      </c>
      <c r="D28" s="32" t="s">
        <v>54204</v>
      </c>
      <c r="E28" s="32" t="s">
        <v>54205</v>
      </c>
      <c r="F28" s="33">
        <v>79.0</v>
      </c>
      <c r="G28" s="31">
        <v>1.35550791E8</v>
      </c>
    </row>
    <row r="29" ht="12.75" customHeight="1">
      <c r="A29" s="27">
        <v>455.0</v>
      </c>
      <c r="B29" s="28" t="s">
        <v>54206</v>
      </c>
      <c r="C29" s="27">
        <v>135.0</v>
      </c>
      <c r="D29" s="28" t="s">
        <v>54207</v>
      </c>
      <c r="E29" s="28" t="s">
        <v>54208</v>
      </c>
      <c r="F29" s="29">
        <v>91.0</v>
      </c>
      <c r="G29" s="27">
        <v>1.35550917E8</v>
      </c>
    </row>
    <row r="30" ht="12.75" customHeight="1">
      <c r="A30" s="31">
        <v>455.0</v>
      </c>
      <c r="B30" s="32" t="s">
        <v>54209</v>
      </c>
      <c r="C30" s="31">
        <v>135.0</v>
      </c>
      <c r="D30" s="32" t="s">
        <v>54210</v>
      </c>
      <c r="E30" s="32" t="s">
        <v>54211</v>
      </c>
      <c r="F30" s="33">
        <v>94.0</v>
      </c>
      <c r="G30" s="31">
        <v>1.35550946E8</v>
      </c>
    </row>
    <row r="31" ht="12.75" customHeight="1">
      <c r="A31" s="27">
        <v>156.0</v>
      </c>
      <c r="B31" s="28" t="s">
        <v>54212</v>
      </c>
      <c r="C31" s="27">
        <v>135.0</v>
      </c>
      <c r="D31" s="28" t="s">
        <v>54213</v>
      </c>
      <c r="E31" s="28" t="s">
        <v>54214</v>
      </c>
      <c r="F31" s="29">
        <v>61.0</v>
      </c>
      <c r="G31" s="27">
        <v>1.35560615E8</v>
      </c>
    </row>
    <row r="32" ht="12.75" customHeight="1">
      <c r="A32" s="31">
        <v>156.0</v>
      </c>
      <c r="B32" s="32" t="s">
        <v>54215</v>
      </c>
      <c r="C32" s="31">
        <v>135.0</v>
      </c>
      <c r="D32" s="32" t="s">
        <v>54216</v>
      </c>
      <c r="E32" s="32" t="s">
        <v>54217</v>
      </c>
      <c r="F32" s="33">
        <v>85.0</v>
      </c>
      <c r="G32" s="31">
        <v>1.35560857E8</v>
      </c>
    </row>
    <row r="33" ht="12.75" customHeight="1">
      <c r="A33" s="27">
        <v>457.0</v>
      </c>
      <c r="B33" s="28" t="s">
        <v>54218</v>
      </c>
      <c r="C33" s="27">
        <v>135.0</v>
      </c>
      <c r="D33" s="28" t="s">
        <v>54219</v>
      </c>
      <c r="E33" s="28" t="s">
        <v>54220</v>
      </c>
      <c r="F33" s="29">
        <v>10.0</v>
      </c>
      <c r="G33" s="27">
        <v>1.355701E8</v>
      </c>
    </row>
    <row r="34" ht="12.75" customHeight="1">
      <c r="A34" s="31">
        <v>457.0</v>
      </c>
      <c r="B34" s="32" t="s">
        <v>54221</v>
      </c>
      <c r="C34" s="31">
        <v>135.0</v>
      </c>
      <c r="D34" s="32" t="s">
        <v>54222</v>
      </c>
      <c r="E34" s="32" t="s">
        <v>54223</v>
      </c>
      <c r="F34" s="33">
        <v>43.0</v>
      </c>
      <c r="G34" s="31">
        <v>1.35570434E8</v>
      </c>
    </row>
    <row r="35" ht="12.75" customHeight="1">
      <c r="A35" s="27">
        <v>858.0</v>
      </c>
      <c r="B35" s="28" t="s">
        <v>54224</v>
      </c>
      <c r="C35" s="27">
        <v>135.0</v>
      </c>
      <c r="D35" s="28" t="s">
        <v>54225</v>
      </c>
      <c r="E35" s="28" t="s">
        <v>54226</v>
      </c>
      <c r="F35" s="29">
        <v>10.0</v>
      </c>
      <c r="G35" s="27">
        <v>1.35580103E8</v>
      </c>
    </row>
    <row r="36" ht="12.75" customHeight="1">
      <c r="A36" s="31">
        <v>858.0</v>
      </c>
      <c r="B36" s="32" t="s">
        <v>54227</v>
      </c>
      <c r="C36" s="31">
        <v>135.0</v>
      </c>
      <c r="D36" s="32" t="s">
        <v>54228</v>
      </c>
      <c r="E36" s="32" t="s">
        <v>54229</v>
      </c>
      <c r="F36" s="33">
        <v>19.0</v>
      </c>
      <c r="G36" s="31">
        <v>1.3558019E8</v>
      </c>
    </row>
    <row r="37" ht="12.75" customHeight="1">
      <c r="A37" s="27">
        <v>858.0</v>
      </c>
      <c r="B37" s="28" t="s">
        <v>54230</v>
      </c>
      <c r="C37" s="27">
        <v>135.0</v>
      </c>
      <c r="D37" s="28" t="s">
        <v>54231</v>
      </c>
      <c r="E37" s="28" t="s">
        <v>54232</v>
      </c>
      <c r="F37" s="29">
        <v>49.0</v>
      </c>
      <c r="G37" s="27">
        <v>1.35580495E8</v>
      </c>
    </row>
    <row r="38" ht="12.75" customHeight="1">
      <c r="A38" s="31">
        <v>858.0</v>
      </c>
      <c r="B38" s="32" t="s">
        <v>54233</v>
      </c>
      <c r="C38" s="31">
        <v>135.0</v>
      </c>
      <c r="D38" s="32" t="s">
        <v>54234</v>
      </c>
      <c r="E38" s="32" t="s">
        <v>54235</v>
      </c>
      <c r="F38" s="33">
        <v>61.0</v>
      </c>
      <c r="G38" s="31">
        <v>1.35580611E8</v>
      </c>
    </row>
    <row r="39" ht="12.75" customHeight="1">
      <c r="A39" s="27">
        <v>858.0</v>
      </c>
      <c r="B39" s="28" t="s">
        <v>54236</v>
      </c>
      <c r="C39" s="27">
        <v>135.0</v>
      </c>
      <c r="D39" s="28" t="s">
        <v>54237</v>
      </c>
      <c r="E39" s="28" t="s">
        <v>54238</v>
      </c>
      <c r="F39" s="29">
        <v>64.0</v>
      </c>
      <c r="G39" s="27">
        <v>1.3558064E8</v>
      </c>
    </row>
    <row r="40" ht="12.75" customHeight="1">
      <c r="A40" s="31">
        <v>858.0</v>
      </c>
      <c r="B40" s="32" t="s">
        <v>54239</v>
      </c>
      <c r="C40" s="31">
        <v>135.0</v>
      </c>
      <c r="D40" s="32" t="s">
        <v>54240</v>
      </c>
      <c r="E40" s="32" t="s">
        <v>54241</v>
      </c>
      <c r="F40" s="33">
        <v>67.0</v>
      </c>
      <c r="G40" s="31">
        <v>1.35580679E8</v>
      </c>
    </row>
    <row r="41" ht="12.75" customHeight="1">
      <c r="A41" s="27">
        <v>858.0</v>
      </c>
      <c r="B41" s="28" t="s">
        <v>54242</v>
      </c>
      <c r="C41" s="27">
        <v>135.0</v>
      </c>
      <c r="D41" s="28" t="s">
        <v>54243</v>
      </c>
      <c r="E41" s="28" t="s">
        <v>54244</v>
      </c>
      <c r="F41" s="29">
        <v>94.0</v>
      </c>
      <c r="G41" s="27">
        <v>1.35580945E8</v>
      </c>
    </row>
    <row r="42" ht="12.75" customHeight="1">
      <c r="A42" s="31">
        <v>858.0</v>
      </c>
      <c r="B42" s="32" t="s">
        <v>54245</v>
      </c>
      <c r="C42" s="31">
        <v>135.0</v>
      </c>
      <c r="D42" s="32" t="s">
        <v>54246</v>
      </c>
      <c r="E42" s="32" t="s">
        <v>54247</v>
      </c>
      <c r="F42" s="31">
        <v>112.0</v>
      </c>
      <c r="G42" s="31">
        <v>1.35581128E8</v>
      </c>
    </row>
    <row r="43" ht="12.75" customHeight="1">
      <c r="A43" s="27">
        <v>858.0</v>
      </c>
      <c r="B43" s="28" t="s">
        <v>54248</v>
      </c>
      <c r="C43" s="27">
        <v>135.0</v>
      </c>
      <c r="D43" s="28" t="s">
        <v>54249</v>
      </c>
      <c r="E43" s="28" t="s">
        <v>54250</v>
      </c>
      <c r="F43" s="27">
        <v>121.0</v>
      </c>
      <c r="G43" s="27">
        <v>1.3558121E8</v>
      </c>
    </row>
    <row r="44" ht="12.75" customHeight="1">
      <c r="A44" s="31">
        <v>858.0</v>
      </c>
      <c r="B44" s="32" t="s">
        <v>54251</v>
      </c>
      <c r="C44" s="31">
        <v>135.0</v>
      </c>
      <c r="D44" s="32" t="s">
        <v>54252</v>
      </c>
      <c r="E44" s="32" t="s">
        <v>54253</v>
      </c>
      <c r="F44" s="31">
        <v>139.0</v>
      </c>
      <c r="G44" s="31">
        <v>1.35581399E8</v>
      </c>
    </row>
    <row r="45" ht="12.75" customHeight="1">
      <c r="A45" s="27">
        <v>858.0</v>
      </c>
      <c r="B45" s="28" t="s">
        <v>54254</v>
      </c>
      <c r="C45" s="27">
        <v>135.0</v>
      </c>
      <c r="D45" s="28" t="s">
        <v>54255</v>
      </c>
      <c r="E45" s="28" t="s">
        <v>54256</v>
      </c>
      <c r="F45" s="27">
        <v>172.0</v>
      </c>
      <c r="G45" s="27">
        <v>1.35581728E8</v>
      </c>
    </row>
    <row r="46" ht="12.75" customHeight="1">
      <c r="A46" s="31">
        <v>159.0</v>
      </c>
      <c r="B46" s="32" t="s">
        <v>54257</v>
      </c>
      <c r="C46" s="31">
        <v>135.0</v>
      </c>
      <c r="D46" s="32" t="s">
        <v>54258</v>
      </c>
      <c r="E46" s="32" t="s">
        <v>54259</v>
      </c>
      <c r="F46" s="33">
        <v>4.0</v>
      </c>
      <c r="G46" s="31">
        <v>1.35590043E8</v>
      </c>
    </row>
    <row r="47" ht="12.75" customHeight="1">
      <c r="A47" s="27">
        <v>159.0</v>
      </c>
      <c r="B47" s="28" t="s">
        <v>54260</v>
      </c>
      <c r="C47" s="27">
        <v>135.0</v>
      </c>
      <c r="D47" s="28" t="s">
        <v>54261</v>
      </c>
      <c r="E47" s="28" t="s">
        <v>54262</v>
      </c>
      <c r="F47" s="29">
        <v>6.0</v>
      </c>
      <c r="G47" s="27">
        <v>1.35590069E8</v>
      </c>
    </row>
    <row r="48" ht="12.75" customHeight="1">
      <c r="A48" s="31">
        <v>159.0</v>
      </c>
      <c r="B48" s="32" t="s">
        <v>54263</v>
      </c>
      <c r="C48" s="31">
        <v>135.0</v>
      </c>
      <c r="D48" s="32" t="s">
        <v>54264</v>
      </c>
      <c r="E48" s="32" t="s">
        <v>54265</v>
      </c>
      <c r="F48" s="33">
        <v>25.0</v>
      </c>
      <c r="G48" s="31">
        <v>1.35590256E8</v>
      </c>
    </row>
    <row r="49" ht="12.75" customHeight="1">
      <c r="A49" s="27">
        <v>159.0</v>
      </c>
      <c r="B49" s="28" t="s">
        <v>54266</v>
      </c>
      <c r="C49" s="27">
        <v>135.0</v>
      </c>
      <c r="D49" s="28" t="s">
        <v>54267</v>
      </c>
      <c r="E49" s="28" t="s">
        <v>54268</v>
      </c>
      <c r="F49" s="29">
        <v>31.0</v>
      </c>
      <c r="G49" s="27">
        <v>1.35590319E8</v>
      </c>
    </row>
    <row r="50" ht="12.75" customHeight="1">
      <c r="A50" s="31">
        <v>159.0</v>
      </c>
      <c r="B50" s="32" t="s">
        <v>54269</v>
      </c>
      <c r="C50" s="31">
        <v>135.0</v>
      </c>
      <c r="D50" s="32" t="s">
        <v>54270</v>
      </c>
      <c r="E50" s="32" t="s">
        <v>54271</v>
      </c>
      <c r="F50" s="33">
        <v>73.0</v>
      </c>
      <c r="G50" s="31">
        <v>1.35590735E8</v>
      </c>
    </row>
    <row r="51" ht="12.75" customHeight="1">
      <c r="A51" s="27">
        <v>159.0</v>
      </c>
      <c r="B51" s="28" t="s">
        <v>54272</v>
      </c>
      <c r="C51" s="27">
        <v>135.0</v>
      </c>
      <c r="D51" s="28" t="s">
        <v>54273</v>
      </c>
      <c r="E51" s="28" t="s">
        <v>54274</v>
      </c>
      <c r="F51" s="27">
        <v>103.0</v>
      </c>
      <c r="G51" s="27">
        <v>1.35591039E8</v>
      </c>
    </row>
    <row r="52" ht="12.75" customHeight="1">
      <c r="A52" s="31">
        <v>159.0</v>
      </c>
      <c r="B52" s="32" t="s">
        <v>54275</v>
      </c>
      <c r="C52" s="31">
        <v>135.0</v>
      </c>
      <c r="D52" s="32" t="s">
        <v>54276</v>
      </c>
      <c r="E52" s="32" t="s">
        <v>54277</v>
      </c>
      <c r="F52" s="31">
        <v>145.0</v>
      </c>
      <c r="G52" s="31">
        <v>1.35591455E8</v>
      </c>
    </row>
    <row r="53" ht="12.75" customHeight="1">
      <c r="A53" s="27">
        <v>159.0</v>
      </c>
      <c r="B53" s="28" t="s">
        <v>54278</v>
      </c>
      <c r="C53" s="27">
        <v>135.0</v>
      </c>
      <c r="D53" s="28" t="s">
        <v>54279</v>
      </c>
      <c r="E53" s="28" t="s">
        <v>54280</v>
      </c>
      <c r="F53" s="27">
        <v>154.0</v>
      </c>
      <c r="G53" s="27">
        <v>1.35591547E8</v>
      </c>
    </row>
    <row r="54" ht="12.75" customHeight="1">
      <c r="A54" s="31">
        <v>161.0</v>
      </c>
      <c r="B54" s="32" t="s">
        <v>54281</v>
      </c>
      <c r="C54" s="31">
        <v>135.0</v>
      </c>
      <c r="D54" s="32" t="s">
        <v>54282</v>
      </c>
      <c r="E54" s="32" t="s">
        <v>54283</v>
      </c>
      <c r="F54" s="33">
        <v>12.0</v>
      </c>
      <c r="G54" s="31">
        <v>1.35610123E8</v>
      </c>
    </row>
    <row r="55" ht="12.75" customHeight="1">
      <c r="A55" s="27">
        <v>161.0</v>
      </c>
      <c r="B55" s="28" t="s">
        <v>54284</v>
      </c>
      <c r="C55" s="27">
        <v>135.0</v>
      </c>
      <c r="D55" s="28" t="s">
        <v>54285</v>
      </c>
      <c r="E55" s="28" t="s">
        <v>54286</v>
      </c>
      <c r="F55" s="29">
        <v>31.0</v>
      </c>
      <c r="G55" s="27">
        <v>1.3561031E8</v>
      </c>
    </row>
    <row r="56" ht="12.75" customHeight="1">
      <c r="A56" s="31">
        <v>161.0</v>
      </c>
      <c r="B56" s="32" t="s">
        <v>54287</v>
      </c>
      <c r="C56" s="31">
        <v>135.0</v>
      </c>
      <c r="D56" s="32" t="s">
        <v>54288</v>
      </c>
      <c r="E56" s="32" t="s">
        <v>54289</v>
      </c>
      <c r="F56" s="33">
        <v>43.0</v>
      </c>
      <c r="G56" s="31">
        <v>1.35610431E8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161.0</v>
      </c>
      <c r="B1" s="28" t="s">
        <v>54290</v>
      </c>
      <c r="C1" s="27">
        <v>135.0</v>
      </c>
      <c r="D1" s="28" t="s">
        <v>54291</v>
      </c>
      <c r="E1" s="28" t="s">
        <v>54292</v>
      </c>
      <c r="F1" s="29">
        <v>49.0</v>
      </c>
      <c r="G1" s="27">
        <v>1.35610499E8</v>
      </c>
    </row>
    <row r="2" ht="12.75" customHeight="1">
      <c r="A2" s="31">
        <v>161.0</v>
      </c>
      <c r="B2" s="32" t="s">
        <v>54293</v>
      </c>
      <c r="C2" s="31">
        <v>135.0</v>
      </c>
      <c r="D2" s="32" t="s">
        <v>54294</v>
      </c>
      <c r="E2" s="32" t="s">
        <v>54295</v>
      </c>
      <c r="F2" s="33">
        <v>73.0</v>
      </c>
      <c r="G2" s="31">
        <v>1.35610736E8</v>
      </c>
    </row>
    <row r="3" ht="12.75" customHeight="1">
      <c r="A3" s="27">
        <v>161.0</v>
      </c>
      <c r="B3" s="28" t="s">
        <v>54296</v>
      </c>
      <c r="C3" s="27">
        <v>135.0</v>
      </c>
      <c r="D3" s="28" t="s">
        <v>54297</v>
      </c>
      <c r="E3" s="28" t="s">
        <v>54298</v>
      </c>
      <c r="F3" s="27">
        <v>109.0</v>
      </c>
      <c r="G3" s="27">
        <v>1.35611098E8</v>
      </c>
    </row>
    <row r="4" ht="12.75" customHeight="1">
      <c r="A4" s="31">
        <v>161.0</v>
      </c>
      <c r="B4" s="32" t="s">
        <v>54299</v>
      </c>
      <c r="C4" s="31">
        <v>135.0</v>
      </c>
      <c r="D4" s="32" t="s">
        <v>54300</v>
      </c>
      <c r="E4" s="32" t="s">
        <v>54301</v>
      </c>
      <c r="F4" s="31">
        <v>115.0</v>
      </c>
      <c r="G4" s="31">
        <v>1.35611151E8</v>
      </c>
    </row>
    <row r="5" ht="12.75" customHeight="1">
      <c r="A5" s="27">
        <v>161.0</v>
      </c>
      <c r="B5" s="28" t="s">
        <v>54302</v>
      </c>
      <c r="C5" s="27">
        <v>135.0</v>
      </c>
      <c r="D5" s="28" t="s">
        <v>54303</v>
      </c>
      <c r="E5" s="28" t="s">
        <v>54304</v>
      </c>
      <c r="F5" s="27">
        <v>142.0</v>
      </c>
      <c r="G5" s="27">
        <v>1.35611427E8</v>
      </c>
    </row>
    <row r="6" ht="12.75" customHeight="1">
      <c r="A6" s="31">
        <v>161.0</v>
      </c>
      <c r="B6" s="32" t="s">
        <v>54305</v>
      </c>
      <c r="C6" s="31">
        <v>135.0</v>
      </c>
      <c r="D6" s="32" t="s">
        <v>54306</v>
      </c>
      <c r="E6" s="32" t="s">
        <v>54307</v>
      </c>
      <c r="F6" s="31">
        <v>169.0</v>
      </c>
      <c r="G6" s="31">
        <v>1.35611698E8</v>
      </c>
    </row>
    <row r="7" ht="12.75" customHeight="1">
      <c r="A7" s="27">
        <v>161.0</v>
      </c>
      <c r="B7" s="28" t="s">
        <v>54308</v>
      </c>
      <c r="C7" s="27">
        <v>135.0</v>
      </c>
      <c r="D7" s="28" t="s">
        <v>54309</v>
      </c>
      <c r="E7" s="28" t="s">
        <v>54310</v>
      </c>
      <c r="F7" s="27">
        <v>172.0</v>
      </c>
      <c r="G7" s="27">
        <v>1.35611722E8</v>
      </c>
    </row>
    <row r="8" ht="12.75" customHeight="1">
      <c r="A8" s="31">
        <v>161.0</v>
      </c>
      <c r="B8" s="32" t="s">
        <v>54311</v>
      </c>
      <c r="C8" s="31">
        <v>135.0</v>
      </c>
      <c r="D8" s="32" t="s">
        <v>54312</v>
      </c>
      <c r="E8" s="32" t="s">
        <v>54313</v>
      </c>
      <c r="F8" s="31">
        <v>182.0</v>
      </c>
      <c r="G8" s="31">
        <v>1.35611827E8</v>
      </c>
    </row>
    <row r="9" ht="12.75" customHeight="1">
      <c r="A9" s="27">
        <v>161.0</v>
      </c>
      <c r="B9" s="28" t="s">
        <v>54314</v>
      </c>
      <c r="C9" s="27">
        <v>135.0</v>
      </c>
      <c r="D9" s="28" t="s">
        <v>54315</v>
      </c>
      <c r="E9" s="28" t="s">
        <v>54316</v>
      </c>
      <c r="F9" s="27">
        <v>193.0</v>
      </c>
      <c r="G9" s="27">
        <v>1.35611935E8</v>
      </c>
    </row>
    <row r="10" ht="12.75" customHeight="1">
      <c r="A10" s="31">
        <v>161.0</v>
      </c>
      <c r="B10" s="32" t="s">
        <v>54317</v>
      </c>
      <c r="C10" s="31">
        <v>135.0</v>
      </c>
      <c r="D10" s="32" t="s">
        <v>54318</v>
      </c>
      <c r="E10" s="32" t="s">
        <v>54319</v>
      </c>
      <c r="F10" s="31">
        <v>196.0</v>
      </c>
      <c r="G10" s="31">
        <v>1.35611964E8</v>
      </c>
    </row>
    <row r="11" ht="12.75" customHeight="1">
      <c r="A11" s="27">
        <v>161.0</v>
      </c>
      <c r="B11" s="28" t="s">
        <v>54320</v>
      </c>
      <c r="C11" s="27">
        <v>135.0</v>
      </c>
      <c r="D11" s="28" t="s">
        <v>54321</v>
      </c>
      <c r="E11" s="28" t="s">
        <v>54322</v>
      </c>
      <c r="F11" s="27">
        <v>205.0</v>
      </c>
      <c r="G11" s="27">
        <v>1.35612055E8</v>
      </c>
    </row>
    <row r="12" ht="12.75" customHeight="1">
      <c r="A12" s="31">
        <v>161.0</v>
      </c>
      <c r="B12" s="32" t="s">
        <v>54323</v>
      </c>
      <c r="C12" s="31">
        <v>135.0</v>
      </c>
      <c r="D12" s="32" t="s">
        <v>54324</v>
      </c>
      <c r="E12" s="32" t="s">
        <v>54325</v>
      </c>
      <c r="F12" s="31">
        <v>211.0</v>
      </c>
      <c r="G12" s="31">
        <v>1.35612118E8</v>
      </c>
    </row>
    <row r="13" ht="12.75" customHeight="1">
      <c r="A13" s="27">
        <v>161.0</v>
      </c>
      <c r="B13" s="28" t="s">
        <v>54326</v>
      </c>
      <c r="C13" s="27">
        <v>135.0</v>
      </c>
      <c r="D13" s="28" t="s">
        <v>54327</v>
      </c>
      <c r="E13" s="28" t="s">
        <v>54328</v>
      </c>
      <c r="F13" s="27">
        <v>226.0</v>
      </c>
      <c r="G13" s="27">
        <v>1.35612268E8</v>
      </c>
    </row>
    <row r="14" ht="12.75" customHeight="1">
      <c r="A14" s="31">
        <v>564.0</v>
      </c>
      <c r="B14" s="32" t="s">
        <v>54329</v>
      </c>
      <c r="C14" s="31">
        <v>135.0</v>
      </c>
      <c r="D14" s="32" t="s">
        <v>54330</v>
      </c>
      <c r="E14" s="32" t="s">
        <v>54331</v>
      </c>
      <c r="F14" s="33">
        <v>7.0</v>
      </c>
      <c r="G14" s="31">
        <v>1.35640072E8</v>
      </c>
    </row>
    <row r="15" ht="12.75" customHeight="1">
      <c r="A15" s="27">
        <v>564.0</v>
      </c>
      <c r="B15" s="28" t="s">
        <v>54332</v>
      </c>
      <c r="C15" s="27">
        <v>135.0</v>
      </c>
      <c r="D15" s="28" t="s">
        <v>54333</v>
      </c>
      <c r="E15" s="28" t="s">
        <v>54334</v>
      </c>
      <c r="F15" s="29">
        <v>16.0</v>
      </c>
      <c r="G15" s="27">
        <v>1.35640164E8</v>
      </c>
    </row>
    <row r="16" ht="12.75" customHeight="1">
      <c r="A16" s="31">
        <v>564.0</v>
      </c>
      <c r="B16" s="32" t="s">
        <v>54335</v>
      </c>
      <c r="C16" s="31">
        <v>135.0</v>
      </c>
      <c r="D16" s="32" t="s">
        <v>54336</v>
      </c>
      <c r="E16" s="32" t="s">
        <v>54337</v>
      </c>
      <c r="F16" s="33">
        <v>22.0</v>
      </c>
      <c r="G16" s="31">
        <v>1.35640227E8</v>
      </c>
    </row>
    <row r="17" ht="12.75" customHeight="1">
      <c r="A17" s="27">
        <v>564.0</v>
      </c>
      <c r="B17" s="28" t="s">
        <v>54338</v>
      </c>
      <c r="C17" s="27">
        <v>135.0</v>
      </c>
      <c r="D17" s="28" t="s">
        <v>54339</v>
      </c>
      <c r="E17" s="28" t="s">
        <v>54340</v>
      </c>
      <c r="F17" s="29">
        <v>25.0</v>
      </c>
      <c r="G17" s="27">
        <v>1.35640256E8</v>
      </c>
    </row>
    <row r="18" ht="12.75" customHeight="1">
      <c r="A18" s="31">
        <v>564.0</v>
      </c>
      <c r="B18" s="32" t="s">
        <v>54341</v>
      </c>
      <c r="C18" s="31">
        <v>135.0</v>
      </c>
      <c r="D18" s="32" t="s">
        <v>54342</v>
      </c>
      <c r="E18" s="32" t="s">
        <v>54343</v>
      </c>
      <c r="F18" s="33">
        <v>28.0</v>
      </c>
      <c r="G18" s="31">
        <v>1.35640285E8</v>
      </c>
    </row>
    <row r="19" ht="12.75" customHeight="1">
      <c r="A19" s="27">
        <v>564.0</v>
      </c>
      <c r="B19" s="28" t="s">
        <v>54344</v>
      </c>
      <c r="C19" s="27">
        <v>135.0</v>
      </c>
      <c r="D19" s="28" t="s">
        <v>54345</v>
      </c>
      <c r="E19" s="28" t="s">
        <v>54346</v>
      </c>
      <c r="F19" s="29">
        <v>46.0</v>
      </c>
      <c r="G19" s="27">
        <v>1.35640469E8</v>
      </c>
    </row>
    <row r="20" ht="12.75" customHeight="1">
      <c r="A20" s="31">
        <v>564.0</v>
      </c>
      <c r="B20" s="32" t="s">
        <v>54347</v>
      </c>
      <c r="C20" s="31">
        <v>135.0</v>
      </c>
      <c r="D20" s="32" t="s">
        <v>54348</v>
      </c>
      <c r="E20" s="32" t="s">
        <v>54349</v>
      </c>
      <c r="F20" s="33">
        <v>49.0</v>
      </c>
      <c r="G20" s="31">
        <v>1.35640498E8</v>
      </c>
    </row>
    <row r="21" ht="12.75" customHeight="1">
      <c r="A21" s="27">
        <v>564.0</v>
      </c>
      <c r="B21" s="28" t="s">
        <v>54350</v>
      </c>
      <c r="C21" s="27">
        <v>135.0</v>
      </c>
      <c r="D21" s="28" t="s">
        <v>54351</v>
      </c>
      <c r="E21" s="28" t="s">
        <v>54352</v>
      </c>
      <c r="F21" s="29">
        <v>58.0</v>
      </c>
      <c r="G21" s="27">
        <v>1.3564058E8</v>
      </c>
    </row>
    <row r="22" ht="12.75" customHeight="1">
      <c r="A22" s="31">
        <v>564.0</v>
      </c>
      <c r="B22" s="32" t="s">
        <v>54353</v>
      </c>
      <c r="C22" s="31">
        <v>135.0</v>
      </c>
      <c r="D22" s="32" t="s">
        <v>54354</v>
      </c>
      <c r="E22" s="32" t="s">
        <v>54355</v>
      </c>
      <c r="F22" s="33">
        <v>61.0</v>
      </c>
      <c r="G22" s="31">
        <v>1.35640614E8</v>
      </c>
    </row>
    <row r="23" ht="12.75" customHeight="1">
      <c r="A23" s="27">
        <v>564.0</v>
      </c>
      <c r="B23" s="28" t="s">
        <v>54356</v>
      </c>
      <c r="C23" s="27">
        <v>135.0</v>
      </c>
      <c r="D23" s="28" t="s">
        <v>54357</v>
      </c>
      <c r="E23" s="28" t="s">
        <v>54358</v>
      </c>
      <c r="F23" s="29">
        <v>64.0</v>
      </c>
      <c r="G23" s="27">
        <v>1.35640643E8</v>
      </c>
    </row>
    <row r="24" ht="12.75" customHeight="1">
      <c r="A24" s="31">
        <v>564.0</v>
      </c>
      <c r="B24" s="32" t="s">
        <v>54359</v>
      </c>
      <c r="C24" s="31">
        <v>135.0</v>
      </c>
      <c r="D24" s="32" t="s">
        <v>54360</v>
      </c>
      <c r="E24" s="32" t="s">
        <v>54361</v>
      </c>
      <c r="F24" s="33">
        <v>76.0</v>
      </c>
      <c r="G24" s="31">
        <v>1.35640764E8</v>
      </c>
    </row>
    <row r="25" ht="12.75" customHeight="1">
      <c r="A25" s="27">
        <v>564.0</v>
      </c>
      <c r="B25" s="28" t="s">
        <v>54362</v>
      </c>
      <c r="C25" s="27">
        <v>135.0</v>
      </c>
      <c r="D25" s="28" t="s">
        <v>54363</v>
      </c>
      <c r="E25" s="28" t="s">
        <v>54364</v>
      </c>
      <c r="F25" s="29">
        <v>82.0</v>
      </c>
      <c r="G25" s="27">
        <v>1.35640827E8</v>
      </c>
    </row>
    <row r="26" ht="12.75" customHeight="1">
      <c r="A26" s="31">
        <v>564.0</v>
      </c>
      <c r="B26" s="32" t="s">
        <v>54365</v>
      </c>
      <c r="C26" s="31">
        <v>135.0</v>
      </c>
      <c r="D26" s="32" t="s">
        <v>54366</v>
      </c>
      <c r="E26" s="32" t="s">
        <v>54367</v>
      </c>
      <c r="F26" s="33">
        <v>94.0</v>
      </c>
      <c r="G26" s="31">
        <v>1.35640948E8</v>
      </c>
    </row>
    <row r="27" ht="12.75" customHeight="1">
      <c r="A27" s="27">
        <v>564.0</v>
      </c>
      <c r="B27" s="28" t="s">
        <v>54368</v>
      </c>
      <c r="C27" s="27">
        <v>135.0</v>
      </c>
      <c r="D27" s="28" t="s">
        <v>54369</v>
      </c>
      <c r="E27" s="28" t="s">
        <v>54370</v>
      </c>
      <c r="F27" s="27">
        <v>100.0</v>
      </c>
      <c r="G27" s="27">
        <v>1.35641E8</v>
      </c>
    </row>
    <row r="28" ht="12.75" customHeight="1">
      <c r="A28" s="31">
        <v>564.0</v>
      </c>
      <c r="B28" s="32" t="s">
        <v>54371</v>
      </c>
      <c r="C28" s="31">
        <v>135.0</v>
      </c>
      <c r="D28" s="32" t="s">
        <v>54372</v>
      </c>
      <c r="E28" s="32" t="s">
        <v>54373</v>
      </c>
      <c r="F28" s="31">
        <v>103.0</v>
      </c>
      <c r="G28" s="31">
        <v>1.35641039E8</v>
      </c>
    </row>
    <row r="29" ht="12.75" customHeight="1">
      <c r="A29" s="27">
        <v>564.0</v>
      </c>
      <c r="B29" s="28" t="s">
        <v>54374</v>
      </c>
      <c r="C29" s="27">
        <v>135.0</v>
      </c>
      <c r="D29" s="28" t="s">
        <v>54375</v>
      </c>
      <c r="E29" s="28" t="s">
        <v>54376</v>
      </c>
      <c r="F29" s="27">
        <v>121.0</v>
      </c>
      <c r="G29" s="27">
        <v>1.35641213E8</v>
      </c>
    </row>
    <row r="30" ht="12.75" customHeight="1">
      <c r="A30" s="31">
        <v>564.0</v>
      </c>
      <c r="B30" s="32" t="s">
        <v>54377</v>
      </c>
      <c r="C30" s="31">
        <v>135.0</v>
      </c>
      <c r="D30" s="32" t="s">
        <v>54378</v>
      </c>
      <c r="E30" s="32" t="s">
        <v>54379</v>
      </c>
      <c r="F30" s="31">
        <v>124.0</v>
      </c>
      <c r="G30" s="31">
        <v>1.35641242E8</v>
      </c>
    </row>
    <row r="31" ht="12.75" customHeight="1">
      <c r="A31" s="27">
        <v>564.0</v>
      </c>
      <c r="B31" s="28" t="s">
        <v>54380</v>
      </c>
      <c r="C31" s="27">
        <v>135.0</v>
      </c>
      <c r="D31" s="28" t="s">
        <v>54381</v>
      </c>
      <c r="E31" s="28" t="s">
        <v>54382</v>
      </c>
      <c r="F31" s="27">
        <v>127.0</v>
      </c>
      <c r="G31" s="27">
        <v>1.35641271E8</v>
      </c>
    </row>
    <row r="32" ht="12.75" customHeight="1">
      <c r="A32" s="31">
        <v>564.0</v>
      </c>
      <c r="B32" s="32" t="s">
        <v>54383</v>
      </c>
      <c r="C32" s="31">
        <v>135.0</v>
      </c>
      <c r="D32" s="32" t="s">
        <v>54384</v>
      </c>
      <c r="E32" s="32" t="s">
        <v>54385</v>
      </c>
      <c r="F32" s="31">
        <v>130.0</v>
      </c>
      <c r="G32" s="31">
        <v>1.35641305E8</v>
      </c>
    </row>
    <row r="33" ht="12.75" customHeight="1">
      <c r="A33" s="27">
        <v>564.0</v>
      </c>
      <c r="B33" s="28" t="s">
        <v>54386</v>
      </c>
      <c r="C33" s="27">
        <v>135.0</v>
      </c>
      <c r="D33" s="28" t="s">
        <v>54387</v>
      </c>
      <c r="E33" s="28" t="s">
        <v>54388</v>
      </c>
      <c r="F33" s="27">
        <v>133.0</v>
      </c>
      <c r="G33" s="27">
        <v>1.35641334E8</v>
      </c>
    </row>
    <row r="34" ht="12.75" customHeight="1">
      <c r="A34" s="31">
        <v>564.0</v>
      </c>
      <c r="B34" s="32" t="s">
        <v>54389</v>
      </c>
      <c r="C34" s="31">
        <v>135.0</v>
      </c>
      <c r="D34" s="32" t="s">
        <v>54390</v>
      </c>
      <c r="E34" s="32" t="s">
        <v>54391</v>
      </c>
      <c r="F34" s="31">
        <v>148.0</v>
      </c>
      <c r="G34" s="31">
        <v>1.35641484E8</v>
      </c>
    </row>
    <row r="35" ht="12.75" customHeight="1">
      <c r="A35" s="27">
        <v>564.0</v>
      </c>
      <c r="B35" s="28" t="s">
        <v>54392</v>
      </c>
      <c r="C35" s="27">
        <v>135.0</v>
      </c>
      <c r="D35" s="28" t="s">
        <v>54393</v>
      </c>
      <c r="E35" s="28" t="s">
        <v>54394</v>
      </c>
      <c r="F35" s="27">
        <v>184.0</v>
      </c>
      <c r="G35" s="27">
        <v>1.35641842E8</v>
      </c>
    </row>
    <row r="36" ht="12.75" customHeight="1">
      <c r="A36" s="31">
        <v>564.0</v>
      </c>
      <c r="B36" s="32" t="s">
        <v>54395</v>
      </c>
      <c r="C36" s="31">
        <v>135.0</v>
      </c>
      <c r="D36" s="32" t="s">
        <v>54396</v>
      </c>
      <c r="E36" s="32" t="s">
        <v>54397</v>
      </c>
      <c r="F36" s="31">
        <v>187.0</v>
      </c>
      <c r="G36" s="31">
        <v>1.35641871E8</v>
      </c>
    </row>
    <row r="37" ht="12.75" customHeight="1">
      <c r="A37" s="27">
        <v>564.0</v>
      </c>
      <c r="B37" s="28" t="s">
        <v>54398</v>
      </c>
      <c r="C37" s="27">
        <v>135.0</v>
      </c>
      <c r="D37" s="28" t="s">
        <v>54399</v>
      </c>
      <c r="E37" s="28" t="s">
        <v>54400</v>
      </c>
      <c r="F37" s="27">
        <v>190.0</v>
      </c>
      <c r="G37" s="27">
        <v>1.35641905E8</v>
      </c>
    </row>
    <row r="38" ht="12.75" customHeight="1">
      <c r="A38" s="31">
        <v>465.0</v>
      </c>
      <c r="B38" s="32" t="s">
        <v>54401</v>
      </c>
      <c r="C38" s="31">
        <v>135.0</v>
      </c>
      <c r="D38" s="32" t="s">
        <v>54402</v>
      </c>
      <c r="E38" s="32" t="s">
        <v>54403</v>
      </c>
      <c r="F38" s="33">
        <v>13.0</v>
      </c>
      <c r="G38" s="31">
        <v>1.35650138E8</v>
      </c>
    </row>
    <row r="39" ht="12.75" customHeight="1">
      <c r="A39" s="27">
        <v>465.0</v>
      </c>
      <c r="B39" s="28" t="s">
        <v>54404</v>
      </c>
      <c r="C39" s="27">
        <v>135.0</v>
      </c>
      <c r="D39" s="28" t="s">
        <v>54405</v>
      </c>
      <c r="E39" s="28" t="s">
        <v>54406</v>
      </c>
      <c r="F39" s="29">
        <v>46.0</v>
      </c>
      <c r="G39" s="27">
        <v>1.35650462E8</v>
      </c>
    </row>
    <row r="40" ht="12.75" customHeight="1">
      <c r="A40" s="31">
        <v>465.0</v>
      </c>
      <c r="B40" s="32" t="s">
        <v>54407</v>
      </c>
      <c r="C40" s="31">
        <v>135.0</v>
      </c>
      <c r="D40" s="32" t="s">
        <v>54408</v>
      </c>
      <c r="E40" s="32" t="s">
        <v>54409</v>
      </c>
      <c r="F40" s="33">
        <v>52.0</v>
      </c>
      <c r="G40" s="31">
        <v>1.35650525E8</v>
      </c>
    </row>
    <row r="41" ht="12.75" customHeight="1">
      <c r="A41" s="27">
        <v>465.0</v>
      </c>
      <c r="B41" s="28" t="s">
        <v>54410</v>
      </c>
      <c r="C41" s="27">
        <v>135.0</v>
      </c>
      <c r="D41" s="28" t="s">
        <v>54411</v>
      </c>
      <c r="E41" s="28" t="s">
        <v>54412</v>
      </c>
      <c r="F41" s="29">
        <v>58.0</v>
      </c>
      <c r="G41" s="27">
        <v>1.35650583E8</v>
      </c>
    </row>
    <row r="42" ht="12.75" customHeight="1">
      <c r="A42" s="31">
        <v>465.0</v>
      </c>
      <c r="B42" s="32" t="s">
        <v>54413</v>
      </c>
      <c r="C42" s="31">
        <v>135.0</v>
      </c>
      <c r="D42" s="32" t="s">
        <v>54414</v>
      </c>
      <c r="E42" s="32" t="s">
        <v>54415</v>
      </c>
      <c r="F42" s="33">
        <v>64.0</v>
      </c>
      <c r="G42" s="31">
        <v>1.35650646E8</v>
      </c>
    </row>
    <row r="43" ht="12.75" customHeight="1">
      <c r="A43" s="27">
        <v>465.0</v>
      </c>
      <c r="B43" s="28" t="s">
        <v>54416</v>
      </c>
      <c r="C43" s="27">
        <v>135.0</v>
      </c>
      <c r="D43" s="28" t="s">
        <v>54417</v>
      </c>
      <c r="E43" s="28" t="s">
        <v>54418</v>
      </c>
      <c r="F43" s="29">
        <v>74.0</v>
      </c>
      <c r="G43" s="27">
        <v>1.35650741E8</v>
      </c>
    </row>
    <row r="44" ht="12.75" customHeight="1">
      <c r="A44" s="31">
        <v>167.0</v>
      </c>
      <c r="B44" s="32" t="s">
        <v>54419</v>
      </c>
      <c r="C44" s="31">
        <v>135.0</v>
      </c>
      <c r="D44" s="32" t="s">
        <v>54420</v>
      </c>
      <c r="E44" s="32" t="s">
        <v>54421</v>
      </c>
      <c r="F44" s="33">
        <v>6.0</v>
      </c>
      <c r="G44" s="31">
        <v>1.35670068E8</v>
      </c>
    </row>
    <row r="45" ht="12.75" customHeight="1">
      <c r="A45" s="27">
        <v>167.0</v>
      </c>
      <c r="B45" s="28" t="s">
        <v>54422</v>
      </c>
      <c r="C45" s="27">
        <v>135.0</v>
      </c>
      <c r="D45" s="28" t="s">
        <v>54423</v>
      </c>
      <c r="E45" s="28" t="s">
        <v>54424</v>
      </c>
      <c r="F45" s="29">
        <v>10.0</v>
      </c>
      <c r="G45" s="27">
        <v>1.35670105E8</v>
      </c>
    </row>
    <row r="46" ht="12.75" customHeight="1">
      <c r="A46" s="31">
        <v>167.0</v>
      </c>
      <c r="B46" s="32" t="s">
        <v>54425</v>
      </c>
      <c r="C46" s="31">
        <v>135.0</v>
      </c>
      <c r="D46" s="32" t="s">
        <v>54426</v>
      </c>
      <c r="E46" s="32" t="s">
        <v>54427</v>
      </c>
      <c r="F46" s="33">
        <v>13.0</v>
      </c>
      <c r="G46" s="31">
        <v>1.35670134E8</v>
      </c>
    </row>
    <row r="47" ht="12.75" customHeight="1">
      <c r="A47" s="27">
        <v>167.0</v>
      </c>
      <c r="B47" s="28" t="s">
        <v>54428</v>
      </c>
      <c r="C47" s="27">
        <v>135.0</v>
      </c>
      <c r="D47" s="28" t="s">
        <v>54429</v>
      </c>
      <c r="E47" s="28" t="s">
        <v>54430</v>
      </c>
      <c r="F47" s="29">
        <v>16.0</v>
      </c>
      <c r="G47" s="27">
        <v>1.35670163E8</v>
      </c>
    </row>
    <row r="48" ht="12.75" customHeight="1">
      <c r="A48" s="31">
        <v>167.0</v>
      </c>
      <c r="B48" s="32" t="s">
        <v>54431</v>
      </c>
      <c r="C48" s="31">
        <v>135.0</v>
      </c>
      <c r="D48" s="32" t="s">
        <v>54432</v>
      </c>
      <c r="E48" s="32" t="s">
        <v>54433</v>
      </c>
      <c r="F48" s="33">
        <v>34.0</v>
      </c>
      <c r="G48" s="31">
        <v>1.35670347E8</v>
      </c>
    </row>
    <row r="49" ht="12.75" customHeight="1">
      <c r="A49" s="27">
        <v>167.0</v>
      </c>
      <c r="B49" s="28" t="s">
        <v>54434</v>
      </c>
      <c r="C49" s="27">
        <v>135.0</v>
      </c>
      <c r="D49" s="28" t="s">
        <v>54435</v>
      </c>
      <c r="E49" s="28" t="s">
        <v>54436</v>
      </c>
      <c r="F49" s="29">
        <v>40.0</v>
      </c>
      <c r="G49" s="27">
        <v>1.356704E8</v>
      </c>
    </row>
    <row r="50" ht="12.75" customHeight="1">
      <c r="A50" s="31">
        <v>167.0</v>
      </c>
      <c r="B50" s="32" t="s">
        <v>54437</v>
      </c>
      <c r="C50" s="31">
        <v>135.0</v>
      </c>
      <c r="D50" s="32" t="s">
        <v>54438</v>
      </c>
      <c r="E50" s="32" t="s">
        <v>54439</v>
      </c>
      <c r="F50" s="33">
        <v>46.0</v>
      </c>
      <c r="G50" s="31">
        <v>1.35670468E8</v>
      </c>
    </row>
    <row r="51" ht="12.75" customHeight="1">
      <c r="A51" s="27">
        <v>167.0</v>
      </c>
      <c r="B51" s="28" t="s">
        <v>54440</v>
      </c>
      <c r="C51" s="27">
        <v>135.0</v>
      </c>
      <c r="D51" s="28" t="s">
        <v>54441</v>
      </c>
      <c r="E51" s="28" t="s">
        <v>54442</v>
      </c>
      <c r="F51" s="29">
        <v>52.0</v>
      </c>
      <c r="G51" s="27">
        <v>1.35670521E8</v>
      </c>
    </row>
    <row r="52" ht="12.75" customHeight="1">
      <c r="A52" s="31">
        <v>167.0</v>
      </c>
      <c r="B52" s="32" t="s">
        <v>54443</v>
      </c>
      <c r="C52" s="31">
        <v>135.0</v>
      </c>
      <c r="D52" s="32" t="s">
        <v>54444</v>
      </c>
      <c r="E52" s="32" t="s">
        <v>54445</v>
      </c>
      <c r="F52" s="33">
        <v>55.0</v>
      </c>
      <c r="G52" s="31">
        <v>1.3567055E8</v>
      </c>
    </row>
    <row r="53" ht="12.75" customHeight="1">
      <c r="A53" s="27">
        <v>167.0</v>
      </c>
      <c r="B53" s="28" t="s">
        <v>54446</v>
      </c>
      <c r="C53" s="27">
        <v>135.0</v>
      </c>
      <c r="D53" s="28" t="s">
        <v>54447</v>
      </c>
      <c r="E53" s="28" t="s">
        <v>54448</v>
      </c>
      <c r="F53" s="29">
        <v>61.0</v>
      </c>
      <c r="G53" s="27">
        <v>1.35670613E8</v>
      </c>
    </row>
    <row r="54" ht="12.75" customHeight="1">
      <c r="A54" s="31">
        <v>167.0</v>
      </c>
      <c r="B54" s="32" t="s">
        <v>54449</v>
      </c>
      <c r="C54" s="31">
        <v>135.0</v>
      </c>
      <c r="D54" s="32" t="s">
        <v>54450</v>
      </c>
      <c r="E54" s="32" t="s">
        <v>54451</v>
      </c>
      <c r="F54" s="33">
        <v>68.0</v>
      </c>
      <c r="G54" s="31">
        <v>1.35670684E8</v>
      </c>
    </row>
    <row r="55" ht="12.75" customHeight="1">
      <c r="A55" s="27">
        <v>167.0</v>
      </c>
      <c r="B55" s="28" t="s">
        <v>54452</v>
      </c>
      <c r="C55" s="27">
        <v>135.0</v>
      </c>
      <c r="D55" s="28" t="s">
        <v>54453</v>
      </c>
      <c r="E55" s="28" t="s">
        <v>54454</v>
      </c>
      <c r="F55" s="29">
        <v>73.0</v>
      </c>
      <c r="G55" s="27">
        <v>1.35670734E8</v>
      </c>
    </row>
    <row r="56" ht="12.75" customHeight="1">
      <c r="A56" s="31">
        <v>167.0</v>
      </c>
      <c r="B56" s="32" t="s">
        <v>54455</v>
      </c>
      <c r="C56" s="31">
        <v>135.0</v>
      </c>
      <c r="D56" s="32" t="s">
        <v>54456</v>
      </c>
      <c r="E56" s="32" t="s">
        <v>54457</v>
      </c>
      <c r="F56" s="33">
        <v>82.0</v>
      </c>
      <c r="G56" s="31">
        <v>1.35670826E8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167.0</v>
      </c>
      <c r="B1" s="28" t="s">
        <v>54458</v>
      </c>
      <c r="C1" s="27">
        <v>135.0</v>
      </c>
      <c r="D1" s="28" t="s">
        <v>54459</v>
      </c>
      <c r="E1" s="28" t="s">
        <v>54460</v>
      </c>
      <c r="F1" s="29">
        <v>91.0</v>
      </c>
      <c r="G1" s="27">
        <v>1.35670918E8</v>
      </c>
    </row>
    <row r="2" ht="12.75" customHeight="1">
      <c r="A2" s="31">
        <v>167.0</v>
      </c>
      <c r="B2" s="32" t="s">
        <v>54461</v>
      </c>
      <c r="C2" s="31">
        <v>135.0</v>
      </c>
      <c r="D2" s="32" t="s">
        <v>54462</v>
      </c>
      <c r="E2" s="32" t="s">
        <v>54463</v>
      </c>
      <c r="F2" s="33">
        <v>94.0</v>
      </c>
      <c r="G2" s="31">
        <v>1.35670947E8</v>
      </c>
    </row>
    <row r="3" ht="12.75" customHeight="1">
      <c r="A3" s="27">
        <v>167.0</v>
      </c>
      <c r="B3" s="28" t="s">
        <v>54464</v>
      </c>
      <c r="C3" s="27">
        <v>135.0</v>
      </c>
      <c r="D3" s="28" t="s">
        <v>54465</v>
      </c>
      <c r="E3" s="28" t="s">
        <v>54466</v>
      </c>
      <c r="F3" s="27">
        <v>112.0</v>
      </c>
      <c r="G3" s="27">
        <v>1.3567112E8</v>
      </c>
    </row>
    <row r="4" ht="12.75" customHeight="1">
      <c r="A4" s="31">
        <v>167.0</v>
      </c>
      <c r="B4" s="32" t="s">
        <v>54467</v>
      </c>
      <c r="C4" s="31">
        <v>135.0</v>
      </c>
      <c r="D4" s="32" t="s">
        <v>54468</v>
      </c>
      <c r="E4" s="32" t="s">
        <v>54469</v>
      </c>
      <c r="F4" s="31">
        <v>115.0</v>
      </c>
      <c r="G4" s="31">
        <v>1.35671159E8</v>
      </c>
    </row>
    <row r="5" ht="12.75" customHeight="1">
      <c r="A5" s="27">
        <v>167.0</v>
      </c>
      <c r="B5" s="28" t="s">
        <v>54470</v>
      </c>
      <c r="C5" s="27">
        <v>135.0</v>
      </c>
      <c r="D5" s="28" t="s">
        <v>54471</v>
      </c>
      <c r="E5" s="28" t="s">
        <v>54472</v>
      </c>
      <c r="F5" s="27">
        <v>127.0</v>
      </c>
      <c r="G5" s="27">
        <v>1.3567127E8</v>
      </c>
    </row>
    <row r="6" ht="12.75" customHeight="1">
      <c r="A6" s="31">
        <v>167.0</v>
      </c>
      <c r="B6" s="32" t="s">
        <v>54473</v>
      </c>
      <c r="C6" s="31">
        <v>135.0</v>
      </c>
      <c r="D6" s="32" t="s">
        <v>54474</v>
      </c>
      <c r="E6" s="32" t="s">
        <v>54475</v>
      </c>
      <c r="F6" s="31">
        <v>133.0</v>
      </c>
      <c r="G6" s="31">
        <v>1.35671333E8</v>
      </c>
    </row>
    <row r="7" ht="12.75" customHeight="1">
      <c r="A7" s="27">
        <v>167.0</v>
      </c>
      <c r="B7" s="28" t="s">
        <v>54476</v>
      </c>
      <c r="C7" s="27">
        <v>135.0</v>
      </c>
      <c r="D7" s="28" t="s">
        <v>54477</v>
      </c>
      <c r="E7" s="28" t="s">
        <v>54478</v>
      </c>
      <c r="F7" s="27">
        <v>136.0</v>
      </c>
      <c r="G7" s="27">
        <v>1.35671362E8</v>
      </c>
    </row>
    <row r="8" ht="12.75" customHeight="1">
      <c r="A8" s="31">
        <v>167.0</v>
      </c>
      <c r="B8" s="32" t="s">
        <v>54479</v>
      </c>
      <c r="C8" s="31">
        <v>135.0</v>
      </c>
      <c r="D8" s="32" t="s">
        <v>54480</v>
      </c>
      <c r="E8" s="32" t="s">
        <v>54481</v>
      </c>
      <c r="F8" s="31">
        <v>166.0</v>
      </c>
      <c r="G8" s="31">
        <v>1.35671667E8</v>
      </c>
    </row>
    <row r="9" ht="12.75" customHeight="1">
      <c r="A9" s="27">
        <v>167.0</v>
      </c>
      <c r="B9" s="28" t="s">
        <v>54482</v>
      </c>
      <c r="C9" s="27">
        <v>135.0</v>
      </c>
      <c r="D9" s="28" t="s">
        <v>54483</v>
      </c>
      <c r="E9" s="28" t="s">
        <v>54484</v>
      </c>
      <c r="F9" s="27">
        <v>169.0</v>
      </c>
      <c r="G9" s="27">
        <v>1.35671696E8</v>
      </c>
    </row>
    <row r="10" ht="12.75" customHeight="1">
      <c r="A10" s="31">
        <v>167.0</v>
      </c>
      <c r="B10" s="32" t="s">
        <v>54485</v>
      </c>
      <c r="C10" s="31">
        <v>135.0</v>
      </c>
      <c r="D10" s="32" t="s">
        <v>54486</v>
      </c>
      <c r="E10" s="32" t="s">
        <v>54487</v>
      </c>
      <c r="F10" s="31">
        <v>172.0</v>
      </c>
      <c r="G10" s="31">
        <v>1.3567172E8</v>
      </c>
    </row>
    <row r="11" ht="12.75" customHeight="1">
      <c r="A11" s="27">
        <v>167.0</v>
      </c>
      <c r="B11" s="28" t="s">
        <v>54488</v>
      </c>
      <c r="C11" s="27">
        <v>135.0</v>
      </c>
      <c r="D11" s="28" t="s">
        <v>54489</v>
      </c>
      <c r="E11" s="28" t="s">
        <v>54490</v>
      </c>
      <c r="F11" s="27">
        <v>175.0</v>
      </c>
      <c r="G11" s="27">
        <v>1.35671759E8</v>
      </c>
    </row>
    <row r="12" ht="12.75" customHeight="1">
      <c r="A12" s="31">
        <v>168.0</v>
      </c>
      <c r="B12" s="32" t="s">
        <v>54491</v>
      </c>
      <c r="C12" s="31">
        <v>135.0</v>
      </c>
      <c r="D12" s="32" t="s">
        <v>54492</v>
      </c>
      <c r="E12" s="32" t="s">
        <v>54493</v>
      </c>
      <c r="F12" s="33">
        <v>7.0</v>
      </c>
      <c r="G12" s="31">
        <v>1.35680074E8</v>
      </c>
    </row>
    <row r="13" ht="12.75" customHeight="1">
      <c r="A13" s="27">
        <v>168.0</v>
      </c>
      <c r="B13" s="28" t="s">
        <v>54494</v>
      </c>
      <c r="C13" s="27">
        <v>135.0</v>
      </c>
      <c r="D13" s="28" t="s">
        <v>54495</v>
      </c>
      <c r="E13" s="28" t="s">
        <v>54496</v>
      </c>
      <c r="F13" s="29">
        <v>22.0</v>
      </c>
      <c r="G13" s="27">
        <v>1.35680229E8</v>
      </c>
    </row>
    <row r="14" ht="12.75" customHeight="1">
      <c r="A14" s="31">
        <v>168.0</v>
      </c>
      <c r="B14" s="32" t="s">
        <v>54497</v>
      </c>
      <c r="C14" s="31">
        <v>135.0</v>
      </c>
      <c r="D14" s="32" t="s">
        <v>54498</v>
      </c>
      <c r="E14" s="32" t="s">
        <v>54499</v>
      </c>
      <c r="F14" s="33">
        <v>25.0</v>
      </c>
      <c r="G14" s="31">
        <v>1.35680258E8</v>
      </c>
    </row>
    <row r="15" ht="12.75" customHeight="1">
      <c r="A15" s="27">
        <v>168.0</v>
      </c>
      <c r="B15" s="28" t="s">
        <v>54500</v>
      </c>
      <c r="C15" s="27">
        <v>135.0</v>
      </c>
      <c r="D15" s="28" t="s">
        <v>54501</v>
      </c>
      <c r="E15" s="28" t="s">
        <v>54502</v>
      </c>
      <c r="F15" s="29">
        <v>28.0</v>
      </c>
      <c r="G15" s="27">
        <v>1.35680287E8</v>
      </c>
    </row>
    <row r="16" ht="12.75" customHeight="1">
      <c r="A16" s="31">
        <v>168.0</v>
      </c>
      <c r="B16" s="32" t="s">
        <v>54503</v>
      </c>
      <c r="C16" s="31">
        <v>135.0</v>
      </c>
      <c r="D16" s="32" t="s">
        <v>54504</v>
      </c>
      <c r="E16" s="32" t="s">
        <v>54505</v>
      </c>
      <c r="F16" s="33">
        <v>49.0</v>
      </c>
      <c r="G16" s="31">
        <v>1.3568049E8</v>
      </c>
    </row>
    <row r="17" ht="12.75" customHeight="1">
      <c r="A17" s="27">
        <v>168.0</v>
      </c>
      <c r="B17" s="28" t="s">
        <v>54506</v>
      </c>
      <c r="C17" s="27">
        <v>135.0</v>
      </c>
      <c r="D17" s="28" t="s">
        <v>54507</v>
      </c>
      <c r="E17" s="28" t="s">
        <v>54508</v>
      </c>
      <c r="F17" s="29">
        <v>52.0</v>
      </c>
      <c r="G17" s="27">
        <v>1.35680524E8</v>
      </c>
    </row>
    <row r="18" ht="12.75" customHeight="1">
      <c r="A18" s="31">
        <v>168.0</v>
      </c>
      <c r="B18" s="32" t="s">
        <v>54509</v>
      </c>
      <c r="C18" s="31">
        <v>135.0</v>
      </c>
      <c r="D18" s="32" t="s">
        <v>54510</v>
      </c>
      <c r="E18" s="32" t="s">
        <v>54511</v>
      </c>
      <c r="F18" s="33">
        <v>58.0</v>
      </c>
      <c r="G18" s="31">
        <v>1.35680582E8</v>
      </c>
    </row>
    <row r="19" ht="12.75" customHeight="1">
      <c r="A19" s="27">
        <v>168.0</v>
      </c>
      <c r="B19" s="28" t="s">
        <v>54512</v>
      </c>
      <c r="C19" s="27">
        <v>135.0</v>
      </c>
      <c r="D19" s="28" t="s">
        <v>54513</v>
      </c>
      <c r="E19" s="28" t="s">
        <v>54514</v>
      </c>
      <c r="F19" s="29">
        <v>61.0</v>
      </c>
      <c r="G19" s="27">
        <v>1.35680616E8</v>
      </c>
    </row>
    <row r="20" ht="12.75" customHeight="1">
      <c r="A20" s="31">
        <v>168.0</v>
      </c>
      <c r="B20" s="32" t="s">
        <v>54515</v>
      </c>
      <c r="C20" s="31">
        <v>135.0</v>
      </c>
      <c r="D20" s="32" t="s">
        <v>54516</v>
      </c>
      <c r="E20" s="32" t="s">
        <v>54517</v>
      </c>
      <c r="F20" s="33">
        <v>73.0</v>
      </c>
      <c r="G20" s="31">
        <v>1.35680737E8</v>
      </c>
    </row>
    <row r="21" ht="12.75" customHeight="1">
      <c r="A21" s="27">
        <v>168.0</v>
      </c>
      <c r="B21" s="28" t="s">
        <v>54518</v>
      </c>
      <c r="C21" s="27">
        <v>135.0</v>
      </c>
      <c r="D21" s="28" t="s">
        <v>54519</v>
      </c>
      <c r="E21" s="28" t="s">
        <v>54520</v>
      </c>
      <c r="F21" s="29">
        <v>88.0</v>
      </c>
      <c r="G21" s="27">
        <v>1.35680887E8</v>
      </c>
    </row>
    <row r="22" ht="12.75" customHeight="1">
      <c r="A22" s="31">
        <v>168.0</v>
      </c>
      <c r="B22" s="32" t="s">
        <v>54521</v>
      </c>
      <c r="C22" s="31">
        <v>135.0</v>
      </c>
      <c r="D22" s="32" t="s">
        <v>54522</v>
      </c>
      <c r="E22" s="32" t="s">
        <v>54523</v>
      </c>
      <c r="F22" s="33">
        <v>91.0</v>
      </c>
      <c r="G22" s="31">
        <v>1.35680911E8</v>
      </c>
    </row>
    <row r="23" ht="12.75" customHeight="1">
      <c r="A23" s="27">
        <v>168.0</v>
      </c>
      <c r="B23" s="28" t="s">
        <v>54524</v>
      </c>
      <c r="C23" s="27">
        <v>135.0</v>
      </c>
      <c r="D23" s="28" t="s">
        <v>54525</v>
      </c>
      <c r="E23" s="28" t="s">
        <v>54526</v>
      </c>
      <c r="F23" s="27">
        <v>127.0</v>
      </c>
      <c r="G23" s="27">
        <v>1.35681273E8</v>
      </c>
    </row>
    <row r="24" ht="12.75" customHeight="1">
      <c r="A24" s="31">
        <v>168.0</v>
      </c>
      <c r="B24" s="32" t="s">
        <v>54527</v>
      </c>
      <c r="C24" s="31">
        <v>135.0</v>
      </c>
      <c r="D24" s="32" t="s">
        <v>54528</v>
      </c>
      <c r="E24" s="32" t="s">
        <v>54529</v>
      </c>
      <c r="F24" s="31">
        <v>130.0</v>
      </c>
      <c r="G24" s="31">
        <v>1.35681307E8</v>
      </c>
    </row>
    <row r="25" ht="12.75" customHeight="1">
      <c r="A25" s="27">
        <v>168.0</v>
      </c>
      <c r="B25" s="28" t="s">
        <v>54530</v>
      </c>
      <c r="C25" s="27">
        <v>135.0</v>
      </c>
      <c r="D25" s="28" t="s">
        <v>54531</v>
      </c>
      <c r="E25" s="28" t="s">
        <v>54532</v>
      </c>
      <c r="F25" s="27">
        <v>133.0</v>
      </c>
      <c r="G25" s="27">
        <v>1.35681336E8</v>
      </c>
    </row>
    <row r="26" ht="12.75" customHeight="1">
      <c r="A26" s="31">
        <v>168.0</v>
      </c>
      <c r="B26" s="32" t="s">
        <v>54533</v>
      </c>
      <c r="C26" s="31">
        <v>135.0</v>
      </c>
      <c r="D26" s="32" t="s">
        <v>54534</v>
      </c>
      <c r="E26" s="32" t="s">
        <v>54535</v>
      </c>
      <c r="F26" s="31">
        <v>139.0</v>
      </c>
      <c r="G26" s="31">
        <v>1.35681394E8</v>
      </c>
    </row>
    <row r="27" ht="12.75" customHeight="1">
      <c r="A27" s="27">
        <v>569.0</v>
      </c>
      <c r="B27" s="28" t="s">
        <v>54536</v>
      </c>
      <c r="C27" s="27">
        <v>135.0</v>
      </c>
      <c r="D27" s="28" t="s">
        <v>54537</v>
      </c>
      <c r="E27" s="28" t="s">
        <v>54538</v>
      </c>
      <c r="F27" s="29">
        <v>10.0</v>
      </c>
      <c r="G27" s="27">
        <v>1.35690101E8</v>
      </c>
    </row>
    <row r="28" ht="12.75" customHeight="1">
      <c r="A28" s="31">
        <v>569.0</v>
      </c>
      <c r="B28" s="32" t="s">
        <v>54539</v>
      </c>
      <c r="C28" s="31">
        <v>135.0</v>
      </c>
      <c r="D28" s="32" t="s">
        <v>54540</v>
      </c>
      <c r="E28" s="32" t="s">
        <v>54541</v>
      </c>
      <c r="F28" s="33">
        <v>13.0</v>
      </c>
      <c r="G28" s="31">
        <v>1.3569013E8</v>
      </c>
    </row>
    <row r="29" ht="12.75" customHeight="1">
      <c r="A29" s="27">
        <v>569.0</v>
      </c>
      <c r="B29" s="28" t="s">
        <v>54542</v>
      </c>
      <c r="C29" s="27">
        <v>135.0</v>
      </c>
      <c r="D29" s="28" t="s">
        <v>54543</v>
      </c>
      <c r="E29" s="28" t="s">
        <v>54544</v>
      </c>
      <c r="F29" s="29">
        <v>19.0</v>
      </c>
      <c r="G29" s="27">
        <v>1.35690198E8</v>
      </c>
    </row>
    <row r="30" ht="12.75" customHeight="1">
      <c r="A30" s="31">
        <v>569.0</v>
      </c>
      <c r="B30" s="32" t="s">
        <v>54545</v>
      </c>
      <c r="C30" s="31">
        <v>135.0</v>
      </c>
      <c r="D30" s="32" t="s">
        <v>54546</v>
      </c>
      <c r="E30" s="32" t="s">
        <v>54547</v>
      </c>
      <c r="F30" s="33">
        <v>25.0</v>
      </c>
      <c r="G30" s="31">
        <v>1.35690251E8</v>
      </c>
    </row>
    <row r="31" ht="12.75" customHeight="1">
      <c r="A31" s="27">
        <v>569.0</v>
      </c>
      <c r="B31" s="28" t="s">
        <v>54548</v>
      </c>
      <c r="C31" s="27">
        <v>135.0</v>
      </c>
      <c r="D31" s="28" t="s">
        <v>54549</v>
      </c>
      <c r="E31" s="28" t="s">
        <v>54550</v>
      </c>
      <c r="F31" s="29">
        <v>28.0</v>
      </c>
      <c r="G31" s="27">
        <v>1.3569028E8</v>
      </c>
    </row>
    <row r="32" ht="12.75" customHeight="1">
      <c r="A32" s="31">
        <v>569.0</v>
      </c>
      <c r="B32" s="32" t="s">
        <v>54551</v>
      </c>
      <c r="C32" s="31">
        <v>135.0</v>
      </c>
      <c r="D32" s="32" t="s">
        <v>54552</v>
      </c>
      <c r="E32" s="32" t="s">
        <v>54553</v>
      </c>
      <c r="F32" s="33">
        <v>40.0</v>
      </c>
      <c r="G32" s="31">
        <v>1.35690406E8</v>
      </c>
    </row>
    <row r="33" ht="12.75" customHeight="1">
      <c r="A33" s="27">
        <v>569.0</v>
      </c>
      <c r="B33" s="28" t="s">
        <v>54554</v>
      </c>
      <c r="C33" s="27">
        <v>135.0</v>
      </c>
      <c r="D33" s="28" t="s">
        <v>54555</v>
      </c>
      <c r="E33" s="28" t="s">
        <v>54556</v>
      </c>
      <c r="F33" s="29">
        <v>43.0</v>
      </c>
      <c r="G33" s="27">
        <v>1.35690435E8</v>
      </c>
    </row>
    <row r="34" ht="12.75" customHeight="1">
      <c r="A34" s="31">
        <v>569.0</v>
      </c>
      <c r="B34" s="32" t="s">
        <v>54557</v>
      </c>
      <c r="C34" s="31">
        <v>135.0</v>
      </c>
      <c r="D34" s="32" t="s">
        <v>54558</v>
      </c>
      <c r="E34" s="32" t="s">
        <v>54559</v>
      </c>
      <c r="F34" s="33">
        <v>46.0</v>
      </c>
      <c r="G34" s="31">
        <v>1.35690464E8</v>
      </c>
    </row>
    <row r="35" ht="12.75" customHeight="1">
      <c r="A35" s="27">
        <v>569.0</v>
      </c>
      <c r="B35" s="28" t="s">
        <v>54560</v>
      </c>
      <c r="C35" s="27">
        <v>135.0</v>
      </c>
      <c r="D35" s="28" t="s">
        <v>54561</v>
      </c>
      <c r="E35" s="28" t="s">
        <v>54562</v>
      </c>
      <c r="F35" s="29">
        <v>55.0</v>
      </c>
      <c r="G35" s="27">
        <v>1.35690556E8</v>
      </c>
    </row>
    <row r="36" ht="12.75" customHeight="1">
      <c r="A36" s="31">
        <v>569.0</v>
      </c>
      <c r="B36" s="32" t="s">
        <v>54563</v>
      </c>
      <c r="C36" s="31">
        <v>135.0</v>
      </c>
      <c r="D36" s="32" t="s">
        <v>54564</v>
      </c>
      <c r="E36" s="32" t="s">
        <v>54565</v>
      </c>
      <c r="F36" s="33">
        <v>61.0</v>
      </c>
      <c r="G36" s="31">
        <v>1.35690619E8</v>
      </c>
    </row>
    <row r="37" ht="12.75" customHeight="1">
      <c r="A37" s="27">
        <v>569.0</v>
      </c>
      <c r="B37" s="28" t="s">
        <v>54566</v>
      </c>
      <c r="C37" s="27">
        <v>135.0</v>
      </c>
      <c r="D37" s="28" t="s">
        <v>54567</v>
      </c>
      <c r="E37" s="28" t="s">
        <v>54568</v>
      </c>
      <c r="F37" s="29">
        <v>67.0</v>
      </c>
      <c r="G37" s="27">
        <v>1.35690677E8</v>
      </c>
    </row>
    <row r="38" ht="12.75" customHeight="1">
      <c r="A38" s="31">
        <v>569.0</v>
      </c>
      <c r="B38" s="32" t="s">
        <v>54569</v>
      </c>
      <c r="C38" s="31">
        <v>135.0</v>
      </c>
      <c r="D38" s="32" t="s">
        <v>54570</v>
      </c>
      <c r="E38" s="32" t="s">
        <v>54571</v>
      </c>
      <c r="F38" s="33">
        <v>70.0</v>
      </c>
      <c r="G38" s="31">
        <v>1.35690701E8</v>
      </c>
    </row>
    <row r="39" ht="12.75" customHeight="1">
      <c r="A39" s="27">
        <v>569.0</v>
      </c>
      <c r="B39" s="28" t="s">
        <v>54572</v>
      </c>
      <c r="C39" s="27">
        <v>135.0</v>
      </c>
      <c r="D39" s="28" t="s">
        <v>54573</v>
      </c>
      <c r="E39" s="28" t="s">
        <v>54574</v>
      </c>
      <c r="F39" s="29">
        <v>79.0</v>
      </c>
      <c r="G39" s="27">
        <v>1.35690798E8</v>
      </c>
    </row>
    <row r="40" ht="12.75" customHeight="1">
      <c r="A40" s="31">
        <v>569.0</v>
      </c>
      <c r="B40" s="32" t="s">
        <v>54575</v>
      </c>
      <c r="C40" s="31">
        <v>135.0</v>
      </c>
      <c r="D40" s="32" t="s">
        <v>54576</v>
      </c>
      <c r="E40" s="32" t="s">
        <v>54577</v>
      </c>
      <c r="F40" s="33">
        <v>97.0</v>
      </c>
      <c r="G40" s="31">
        <v>1.35690972E8</v>
      </c>
    </row>
    <row r="41" ht="12.75" customHeight="1">
      <c r="A41" s="27">
        <v>569.0</v>
      </c>
      <c r="B41" s="28" t="s">
        <v>54578</v>
      </c>
      <c r="C41" s="27">
        <v>135.0</v>
      </c>
      <c r="D41" s="28" t="s">
        <v>54579</v>
      </c>
      <c r="E41" s="28" t="s">
        <v>54580</v>
      </c>
      <c r="F41" s="27">
        <v>100.0</v>
      </c>
      <c r="G41" s="27">
        <v>1.35691005E8</v>
      </c>
    </row>
    <row r="42" ht="12.75" customHeight="1">
      <c r="A42" s="31">
        <v>569.0</v>
      </c>
      <c r="B42" s="32" t="s">
        <v>54581</v>
      </c>
      <c r="C42" s="31">
        <v>135.0</v>
      </c>
      <c r="D42" s="32" t="s">
        <v>54582</v>
      </c>
      <c r="E42" s="32" t="s">
        <v>54583</v>
      </c>
      <c r="F42" s="31">
        <v>112.0</v>
      </c>
      <c r="G42" s="31">
        <v>1.35691126E8</v>
      </c>
    </row>
    <row r="43" ht="12.75" customHeight="1">
      <c r="A43" s="27">
        <v>569.0</v>
      </c>
      <c r="B43" s="28" t="s">
        <v>54584</v>
      </c>
      <c r="C43" s="27">
        <v>135.0</v>
      </c>
      <c r="D43" s="28" t="s">
        <v>54585</v>
      </c>
      <c r="E43" s="28" t="s">
        <v>54586</v>
      </c>
      <c r="F43" s="27">
        <v>118.0</v>
      </c>
      <c r="G43" s="27">
        <v>1.35691184E8</v>
      </c>
    </row>
    <row r="44" ht="12.75" customHeight="1">
      <c r="A44" s="31">
        <v>569.0</v>
      </c>
      <c r="B44" s="32" t="s">
        <v>54587</v>
      </c>
      <c r="C44" s="31">
        <v>135.0</v>
      </c>
      <c r="D44" s="32" t="s">
        <v>54588</v>
      </c>
      <c r="E44" s="32" t="s">
        <v>54589</v>
      </c>
      <c r="F44" s="31">
        <v>127.0</v>
      </c>
      <c r="G44" s="31">
        <v>1.35691276E8</v>
      </c>
    </row>
    <row r="45" ht="12.75" customHeight="1">
      <c r="A45" s="27">
        <v>569.0</v>
      </c>
      <c r="B45" s="28" t="s">
        <v>54590</v>
      </c>
      <c r="C45" s="27">
        <v>135.0</v>
      </c>
      <c r="D45" s="28" t="s">
        <v>54591</v>
      </c>
      <c r="E45" s="28" t="s">
        <v>54592</v>
      </c>
      <c r="F45" s="27">
        <v>139.0</v>
      </c>
      <c r="G45" s="27">
        <v>1.35691397E8</v>
      </c>
    </row>
    <row r="46" ht="12.75" customHeight="1">
      <c r="A46" s="31">
        <v>569.0</v>
      </c>
      <c r="B46" s="32" t="s">
        <v>54593</v>
      </c>
      <c r="C46" s="31">
        <v>135.0</v>
      </c>
      <c r="D46" s="32" t="s">
        <v>54594</v>
      </c>
      <c r="E46" s="32" t="s">
        <v>54595</v>
      </c>
      <c r="F46" s="31">
        <v>145.0</v>
      </c>
      <c r="G46" s="31">
        <v>1.3569145E8</v>
      </c>
    </row>
    <row r="47" ht="12.75" customHeight="1">
      <c r="A47" s="27">
        <v>569.0</v>
      </c>
      <c r="B47" s="28" t="s">
        <v>54596</v>
      </c>
      <c r="C47" s="27">
        <v>135.0</v>
      </c>
      <c r="D47" s="28" t="s">
        <v>54597</v>
      </c>
      <c r="E47" s="28" t="s">
        <v>54598</v>
      </c>
      <c r="F47" s="27">
        <v>151.0</v>
      </c>
      <c r="G47" s="27">
        <v>1.35691513E8</v>
      </c>
    </row>
    <row r="48" ht="12.75" customHeight="1">
      <c r="A48" s="31">
        <v>569.0</v>
      </c>
      <c r="B48" s="32" t="s">
        <v>54599</v>
      </c>
      <c r="C48" s="31">
        <v>135.0</v>
      </c>
      <c r="D48" s="32" t="s">
        <v>54600</v>
      </c>
      <c r="E48" s="32" t="s">
        <v>54601</v>
      </c>
      <c r="F48" s="31">
        <v>154.0</v>
      </c>
      <c r="G48" s="31">
        <v>1.35691542E8</v>
      </c>
    </row>
    <row r="49" ht="12.75" customHeight="1">
      <c r="A49" s="27">
        <v>570.0</v>
      </c>
      <c r="B49" s="28" t="s">
        <v>54602</v>
      </c>
      <c r="C49" s="27">
        <v>135.0</v>
      </c>
      <c r="D49" s="28" t="s">
        <v>54603</v>
      </c>
      <c r="E49" s="28" t="s">
        <v>54604</v>
      </c>
      <c r="F49" s="29">
        <v>25.0</v>
      </c>
      <c r="G49" s="27">
        <v>1.35700259E8</v>
      </c>
    </row>
    <row r="50" ht="12.75" customHeight="1">
      <c r="A50" s="31">
        <v>570.0</v>
      </c>
      <c r="B50" s="32" t="s">
        <v>54605</v>
      </c>
      <c r="C50" s="31">
        <v>135.0</v>
      </c>
      <c r="D50" s="32" t="s">
        <v>54606</v>
      </c>
      <c r="E50" s="32" t="s">
        <v>54607</v>
      </c>
      <c r="F50" s="33">
        <v>28.0</v>
      </c>
      <c r="G50" s="31">
        <v>1.35700288E8</v>
      </c>
    </row>
    <row r="51" ht="12.75" customHeight="1">
      <c r="A51" s="27">
        <v>570.0</v>
      </c>
      <c r="B51" s="28" t="s">
        <v>54608</v>
      </c>
      <c r="C51" s="27">
        <v>135.0</v>
      </c>
      <c r="D51" s="28" t="s">
        <v>54609</v>
      </c>
      <c r="E51" s="28" t="s">
        <v>54610</v>
      </c>
      <c r="F51" s="29">
        <v>37.0</v>
      </c>
      <c r="G51" s="27">
        <v>1.3570037E8</v>
      </c>
    </row>
    <row r="52" ht="12.75" customHeight="1">
      <c r="A52" s="31">
        <v>570.0</v>
      </c>
      <c r="B52" s="32" t="s">
        <v>54611</v>
      </c>
      <c r="C52" s="31">
        <v>135.0</v>
      </c>
      <c r="D52" s="32" t="s">
        <v>54612</v>
      </c>
      <c r="E52" s="32" t="s">
        <v>54613</v>
      </c>
      <c r="F52" s="33">
        <v>52.0</v>
      </c>
      <c r="G52" s="31">
        <v>1.35700525E8</v>
      </c>
    </row>
    <row r="53" ht="12.75" customHeight="1">
      <c r="A53" s="27">
        <v>570.0</v>
      </c>
      <c r="B53" s="28" t="s">
        <v>54614</v>
      </c>
      <c r="C53" s="27">
        <v>135.0</v>
      </c>
      <c r="D53" s="28" t="s">
        <v>54615</v>
      </c>
      <c r="E53" s="28" t="s">
        <v>54616</v>
      </c>
      <c r="F53" s="29">
        <v>67.0</v>
      </c>
      <c r="G53" s="27">
        <v>1.35700675E8</v>
      </c>
    </row>
    <row r="54" ht="12.75" customHeight="1">
      <c r="A54" s="31">
        <v>570.0</v>
      </c>
      <c r="B54" s="32" t="s">
        <v>54617</v>
      </c>
      <c r="C54" s="31">
        <v>135.0</v>
      </c>
      <c r="D54" s="32" t="s">
        <v>54618</v>
      </c>
      <c r="E54" s="32" t="s">
        <v>54619</v>
      </c>
      <c r="F54" s="33">
        <v>73.0</v>
      </c>
      <c r="G54" s="31">
        <v>1.35700738E8</v>
      </c>
    </row>
    <row r="55" ht="12.75" customHeight="1">
      <c r="A55" s="27">
        <v>570.0</v>
      </c>
      <c r="B55" s="28" t="s">
        <v>54620</v>
      </c>
      <c r="C55" s="27">
        <v>135.0</v>
      </c>
      <c r="D55" s="28" t="s">
        <v>54621</v>
      </c>
      <c r="E55" s="28" t="s">
        <v>54622</v>
      </c>
      <c r="F55" s="29">
        <v>85.0</v>
      </c>
      <c r="G55" s="27">
        <v>1.35700859E8</v>
      </c>
    </row>
    <row r="56" ht="12.75" customHeight="1">
      <c r="A56" s="31">
        <v>570.0</v>
      </c>
      <c r="B56" s="32" t="s">
        <v>54623</v>
      </c>
      <c r="C56" s="31">
        <v>135.0</v>
      </c>
      <c r="D56" s="32" t="s">
        <v>54624</v>
      </c>
      <c r="E56" s="32" t="s">
        <v>54625</v>
      </c>
      <c r="F56" s="33">
        <v>88.0</v>
      </c>
      <c r="G56" s="31">
        <v>1.35700888E8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570.0</v>
      </c>
      <c r="B1" s="28" t="s">
        <v>54626</v>
      </c>
      <c r="C1" s="27">
        <v>135.0</v>
      </c>
      <c r="D1" s="28" t="s">
        <v>54627</v>
      </c>
      <c r="E1" s="28" t="s">
        <v>54628</v>
      </c>
      <c r="F1" s="29">
        <v>94.0</v>
      </c>
      <c r="G1" s="27">
        <v>1.35700941E8</v>
      </c>
    </row>
    <row r="2" ht="12.75" customHeight="1">
      <c r="A2" s="31">
        <v>172.0</v>
      </c>
      <c r="B2" s="32" t="s">
        <v>54629</v>
      </c>
      <c r="C2" s="31">
        <v>135.0</v>
      </c>
      <c r="D2" s="32" t="s">
        <v>54630</v>
      </c>
      <c r="E2" s="32" t="s">
        <v>54631</v>
      </c>
      <c r="F2" s="33">
        <v>28.0</v>
      </c>
      <c r="G2" s="31">
        <v>1.35720284E8</v>
      </c>
    </row>
    <row r="3" ht="12.75" customHeight="1">
      <c r="A3" s="27">
        <v>172.0</v>
      </c>
      <c r="B3" s="28" t="s">
        <v>54632</v>
      </c>
      <c r="C3" s="27">
        <v>135.0</v>
      </c>
      <c r="D3" s="28" t="s">
        <v>54633</v>
      </c>
      <c r="E3" s="28" t="s">
        <v>54634</v>
      </c>
      <c r="F3" s="29">
        <v>37.0</v>
      </c>
      <c r="G3" s="27">
        <v>1.35720376E8</v>
      </c>
    </row>
    <row r="4" ht="12.75" customHeight="1">
      <c r="A4" s="31">
        <v>172.0</v>
      </c>
      <c r="B4" s="32" t="s">
        <v>54635</v>
      </c>
      <c r="C4" s="31">
        <v>135.0</v>
      </c>
      <c r="D4" s="32" t="s">
        <v>54636</v>
      </c>
      <c r="E4" s="32" t="s">
        <v>54637</v>
      </c>
      <c r="F4" s="33">
        <v>67.0</v>
      </c>
      <c r="G4" s="31">
        <v>1.35720671E8</v>
      </c>
    </row>
    <row r="5" ht="12.75" customHeight="1">
      <c r="A5" s="27">
        <v>172.0</v>
      </c>
      <c r="B5" s="28" t="s">
        <v>54638</v>
      </c>
      <c r="C5" s="27">
        <v>135.0</v>
      </c>
      <c r="D5" s="28" t="s">
        <v>54639</v>
      </c>
      <c r="E5" s="28" t="s">
        <v>54640</v>
      </c>
      <c r="F5" s="29">
        <v>76.0</v>
      </c>
      <c r="G5" s="27">
        <v>1.35720763E8</v>
      </c>
    </row>
    <row r="6" ht="12.75" customHeight="1">
      <c r="A6" s="31">
        <v>172.0</v>
      </c>
      <c r="B6" s="32" t="s">
        <v>54641</v>
      </c>
      <c r="C6" s="31">
        <v>135.0</v>
      </c>
      <c r="D6" s="32" t="s">
        <v>54642</v>
      </c>
      <c r="E6" s="32" t="s">
        <v>54643</v>
      </c>
      <c r="F6" s="33">
        <v>88.0</v>
      </c>
      <c r="G6" s="31">
        <v>1.35720884E8</v>
      </c>
    </row>
    <row r="7" ht="12.75" customHeight="1">
      <c r="A7" s="27">
        <v>172.0</v>
      </c>
      <c r="B7" s="28" t="s">
        <v>54644</v>
      </c>
      <c r="C7" s="27">
        <v>135.0</v>
      </c>
      <c r="D7" s="28" t="s">
        <v>54645</v>
      </c>
      <c r="E7" s="28" t="s">
        <v>54646</v>
      </c>
      <c r="F7" s="27">
        <v>100.0</v>
      </c>
      <c r="G7" s="27">
        <v>1.35721009E8</v>
      </c>
    </row>
    <row r="8" ht="12.75" customHeight="1">
      <c r="A8" s="31">
        <v>773.0</v>
      </c>
      <c r="B8" s="32" t="s">
        <v>54647</v>
      </c>
      <c r="C8" s="31">
        <v>135.0</v>
      </c>
      <c r="D8" s="32" t="s">
        <v>54648</v>
      </c>
      <c r="E8" s="32" t="s">
        <v>54649</v>
      </c>
      <c r="F8" s="33">
        <v>22.0</v>
      </c>
      <c r="G8" s="31">
        <v>1.35730229E8</v>
      </c>
    </row>
    <row r="9" ht="12.75" customHeight="1">
      <c r="A9" s="27">
        <v>773.0</v>
      </c>
      <c r="B9" s="28" t="s">
        <v>54650</v>
      </c>
      <c r="C9" s="27">
        <v>135.0</v>
      </c>
      <c r="D9" s="28" t="s">
        <v>54651</v>
      </c>
      <c r="E9" s="28" t="s">
        <v>54652</v>
      </c>
      <c r="F9" s="29">
        <v>25.0</v>
      </c>
      <c r="G9" s="27">
        <v>1.35730258E8</v>
      </c>
    </row>
    <row r="10" ht="12.75" customHeight="1">
      <c r="A10" s="31">
        <v>773.0</v>
      </c>
      <c r="B10" s="32" t="s">
        <v>54653</v>
      </c>
      <c r="C10" s="31">
        <v>135.0</v>
      </c>
      <c r="D10" s="32" t="s">
        <v>54654</v>
      </c>
      <c r="E10" s="32" t="s">
        <v>54655</v>
      </c>
      <c r="F10" s="33">
        <v>34.0</v>
      </c>
      <c r="G10" s="31">
        <v>1.3573034E8</v>
      </c>
    </row>
    <row r="11" ht="12.75" customHeight="1">
      <c r="A11" s="27">
        <v>773.0</v>
      </c>
      <c r="B11" s="28" t="s">
        <v>54656</v>
      </c>
      <c r="C11" s="27">
        <v>135.0</v>
      </c>
      <c r="D11" s="28" t="s">
        <v>54657</v>
      </c>
      <c r="E11" s="28" t="s">
        <v>54658</v>
      </c>
      <c r="F11" s="29">
        <v>46.0</v>
      </c>
      <c r="G11" s="27">
        <v>1.35730461E8</v>
      </c>
    </row>
    <row r="12" ht="12.75" customHeight="1">
      <c r="A12" s="31">
        <v>773.0</v>
      </c>
      <c r="B12" s="32" t="s">
        <v>54659</v>
      </c>
      <c r="C12" s="31">
        <v>135.0</v>
      </c>
      <c r="D12" s="32" t="s">
        <v>54660</v>
      </c>
      <c r="E12" s="32" t="s">
        <v>54661</v>
      </c>
      <c r="F12" s="33">
        <v>52.0</v>
      </c>
      <c r="G12" s="31">
        <v>1.35730524E8</v>
      </c>
    </row>
    <row r="13" ht="12.75" customHeight="1">
      <c r="A13" s="27">
        <v>773.0</v>
      </c>
      <c r="B13" s="28" t="s">
        <v>54662</v>
      </c>
      <c r="C13" s="27">
        <v>135.0</v>
      </c>
      <c r="D13" s="28" t="s">
        <v>54663</v>
      </c>
      <c r="E13" s="28" t="s">
        <v>54664</v>
      </c>
      <c r="F13" s="29">
        <v>73.0</v>
      </c>
      <c r="G13" s="27">
        <v>1.35730737E8</v>
      </c>
    </row>
    <row r="14" ht="12.75" customHeight="1">
      <c r="A14" s="31">
        <v>773.0</v>
      </c>
      <c r="B14" s="32" t="s">
        <v>54665</v>
      </c>
      <c r="C14" s="31">
        <v>135.0</v>
      </c>
      <c r="D14" s="32" t="s">
        <v>54666</v>
      </c>
      <c r="E14" s="32" t="s">
        <v>54667</v>
      </c>
      <c r="F14" s="33">
        <v>76.0</v>
      </c>
      <c r="G14" s="31">
        <v>1.35730766E8</v>
      </c>
    </row>
    <row r="15" ht="12.75" customHeight="1">
      <c r="A15" s="27">
        <v>773.0</v>
      </c>
      <c r="B15" s="28" t="s">
        <v>54668</v>
      </c>
      <c r="C15" s="27">
        <v>135.0</v>
      </c>
      <c r="D15" s="28" t="s">
        <v>54669</v>
      </c>
      <c r="E15" s="28" t="s">
        <v>54670</v>
      </c>
      <c r="F15" s="29">
        <v>79.0</v>
      </c>
      <c r="G15" s="27">
        <v>1.35730795E8</v>
      </c>
    </row>
    <row r="16" ht="12.75" customHeight="1">
      <c r="A16" s="31">
        <v>275.0</v>
      </c>
      <c r="B16" s="32" t="s">
        <v>54671</v>
      </c>
      <c r="C16" s="31">
        <v>135.0</v>
      </c>
      <c r="D16" s="32" t="s">
        <v>54672</v>
      </c>
      <c r="E16" s="32" t="s">
        <v>54673</v>
      </c>
      <c r="F16" s="33">
        <v>25.0</v>
      </c>
      <c r="G16" s="31">
        <v>1.35750254E8</v>
      </c>
    </row>
    <row r="17" ht="12.75" customHeight="1">
      <c r="A17" s="27">
        <v>275.0</v>
      </c>
      <c r="B17" s="28" t="s">
        <v>54674</v>
      </c>
      <c r="C17" s="27">
        <v>135.0</v>
      </c>
      <c r="D17" s="28" t="s">
        <v>54675</v>
      </c>
      <c r="E17" s="28" t="s">
        <v>54676</v>
      </c>
      <c r="F17" s="29">
        <v>58.0</v>
      </c>
      <c r="G17" s="27">
        <v>1.35750588E8</v>
      </c>
    </row>
    <row r="18" ht="12.75" customHeight="1">
      <c r="A18" s="31">
        <v>275.0</v>
      </c>
      <c r="B18" s="32" t="s">
        <v>54677</v>
      </c>
      <c r="C18" s="31">
        <v>135.0</v>
      </c>
      <c r="D18" s="32" t="s">
        <v>54678</v>
      </c>
      <c r="E18" s="32" t="s">
        <v>54679</v>
      </c>
      <c r="F18" s="33">
        <v>61.0</v>
      </c>
      <c r="G18" s="31">
        <v>1.35750612E8</v>
      </c>
    </row>
    <row r="19" ht="12.75" customHeight="1">
      <c r="A19" s="27">
        <v>275.0</v>
      </c>
      <c r="B19" s="28" t="s">
        <v>54680</v>
      </c>
      <c r="C19" s="27">
        <v>135.0</v>
      </c>
      <c r="D19" s="28" t="s">
        <v>54681</v>
      </c>
      <c r="E19" s="28" t="s">
        <v>54682</v>
      </c>
      <c r="F19" s="29">
        <v>67.0</v>
      </c>
      <c r="G19" s="27">
        <v>1.3575067E8</v>
      </c>
    </row>
    <row r="20" ht="12.75" customHeight="1">
      <c r="A20" s="31">
        <v>275.0</v>
      </c>
      <c r="B20" s="32" t="s">
        <v>54683</v>
      </c>
      <c r="C20" s="31">
        <v>135.0</v>
      </c>
      <c r="D20" s="32" t="s">
        <v>54684</v>
      </c>
      <c r="E20" s="32" t="s">
        <v>54685</v>
      </c>
      <c r="F20" s="33">
        <v>91.0</v>
      </c>
      <c r="G20" s="31">
        <v>1.35750917E8</v>
      </c>
    </row>
    <row r="21" ht="12.75" customHeight="1">
      <c r="A21" s="27">
        <v>275.0</v>
      </c>
      <c r="B21" s="28" t="s">
        <v>54686</v>
      </c>
      <c r="C21" s="27">
        <v>135.0</v>
      </c>
      <c r="D21" s="28" t="s">
        <v>54687</v>
      </c>
      <c r="E21" s="28" t="s">
        <v>54688</v>
      </c>
      <c r="F21" s="29">
        <v>95.0</v>
      </c>
      <c r="G21" s="27">
        <v>1.35750959E8</v>
      </c>
    </row>
    <row r="22" ht="12.75" customHeight="1">
      <c r="A22" s="31">
        <v>275.0</v>
      </c>
      <c r="B22" s="32" t="s">
        <v>54689</v>
      </c>
      <c r="C22" s="31">
        <v>135.0</v>
      </c>
      <c r="D22" s="32" t="s">
        <v>54690</v>
      </c>
      <c r="E22" s="32" t="s">
        <v>54691</v>
      </c>
      <c r="F22" s="33">
        <v>97.0</v>
      </c>
      <c r="G22" s="31">
        <v>1.35750975E8</v>
      </c>
    </row>
    <row r="23" ht="12.75" customHeight="1">
      <c r="A23" s="27">
        <v>275.0</v>
      </c>
      <c r="B23" s="28" t="s">
        <v>54692</v>
      </c>
      <c r="C23" s="27">
        <v>135.0</v>
      </c>
      <c r="D23" s="28" t="s">
        <v>54693</v>
      </c>
      <c r="E23" s="28" t="s">
        <v>54694</v>
      </c>
      <c r="F23" s="27">
        <v>145.0</v>
      </c>
      <c r="G23" s="27">
        <v>1.35751453E8</v>
      </c>
    </row>
    <row r="24" ht="12.75" customHeight="1">
      <c r="A24" s="31">
        <v>275.0</v>
      </c>
      <c r="B24" s="32" t="s">
        <v>54695</v>
      </c>
      <c r="C24" s="31">
        <v>135.0</v>
      </c>
      <c r="D24" s="32" t="s">
        <v>54696</v>
      </c>
      <c r="E24" s="32" t="s">
        <v>54697</v>
      </c>
      <c r="F24" s="31">
        <v>157.0</v>
      </c>
      <c r="G24" s="31">
        <v>1.35751574E8</v>
      </c>
    </row>
    <row r="25" ht="12.75" customHeight="1">
      <c r="A25" s="27">
        <v>275.0</v>
      </c>
      <c r="B25" s="28" t="s">
        <v>54698</v>
      </c>
      <c r="C25" s="27">
        <v>135.0</v>
      </c>
      <c r="D25" s="28" t="s">
        <v>54699</v>
      </c>
      <c r="E25" s="28" t="s">
        <v>54700</v>
      </c>
      <c r="F25" s="27">
        <v>175.0</v>
      </c>
      <c r="G25" s="27">
        <v>1.35751758E8</v>
      </c>
    </row>
    <row r="26" ht="12.75" customHeight="1">
      <c r="A26" s="31">
        <v>275.0</v>
      </c>
      <c r="B26" s="32" t="s">
        <v>54701</v>
      </c>
      <c r="C26" s="31">
        <v>135.0</v>
      </c>
      <c r="D26" s="32" t="s">
        <v>54702</v>
      </c>
      <c r="E26" s="32" t="s">
        <v>54703</v>
      </c>
      <c r="F26" s="31">
        <v>181.0</v>
      </c>
      <c r="G26" s="31">
        <v>1.35751811E8</v>
      </c>
    </row>
    <row r="27" ht="12.75" customHeight="1">
      <c r="A27" s="27">
        <v>275.0</v>
      </c>
      <c r="B27" s="28" t="s">
        <v>54704</v>
      </c>
      <c r="C27" s="27">
        <v>135.0</v>
      </c>
      <c r="D27" s="28" t="s">
        <v>54705</v>
      </c>
      <c r="E27" s="28" t="s">
        <v>54706</v>
      </c>
      <c r="F27" s="27">
        <v>205.0</v>
      </c>
      <c r="G27" s="27">
        <v>1.35752052E8</v>
      </c>
    </row>
    <row r="28" ht="12.75" customHeight="1">
      <c r="A28" s="31">
        <v>275.0</v>
      </c>
      <c r="B28" s="32" t="s">
        <v>54707</v>
      </c>
      <c r="C28" s="31">
        <v>135.0</v>
      </c>
      <c r="D28" s="32" t="s">
        <v>54708</v>
      </c>
      <c r="E28" s="32" t="s">
        <v>54709</v>
      </c>
      <c r="F28" s="31">
        <v>208.0</v>
      </c>
      <c r="G28" s="31">
        <v>1.35752081E8</v>
      </c>
    </row>
    <row r="29" ht="12.75" customHeight="1">
      <c r="A29" s="27">
        <v>275.0</v>
      </c>
      <c r="B29" s="28" t="s">
        <v>54710</v>
      </c>
      <c r="C29" s="27">
        <v>135.0</v>
      </c>
      <c r="D29" s="28" t="s">
        <v>54711</v>
      </c>
      <c r="E29" s="28" t="s">
        <v>54712</v>
      </c>
      <c r="F29" s="27">
        <v>226.0</v>
      </c>
      <c r="G29" s="27">
        <v>1.35752265E8</v>
      </c>
    </row>
    <row r="30" ht="12.75" customHeight="1">
      <c r="A30" s="31">
        <v>275.0</v>
      </c>
      <c r="B30" s="32" t="s">
        <v>54713</v>
      </c>
      <c r="C30" s="31">
        <v>135.0</v>
      </c>
      <c r="D30" s="32" t="s">
        <v>54714</v>
      </c>
      <c r="E30" s="32" t="s">
        <v>54715</v>
      </c>
      <c r="F30" s="31">
        <v>415.0</v>
      </c>
      <c r="G30" s="31">
        <v>1.35754155E8</v>
      </c>
    </row>
    <row r="31" ht="12.75" customHeight="1">
      <c r="A31" s="27">
        <v>576.0</v>
      </c>
      <c r="B31" s="28" t="s">
        <v>54716</v>
      </c>
      <c r="C31" s="27">
        <v>135.0</v>
      </c>
      <c r="D31" s="28" t="s">
        <v>54717</v>
      </c>
      <c r="E31" s="28" t="s">
        <v>54718</v>
      </c>
      <c r="F31" s="29">
        <v>9.0</v>
      </c>
      <c r="G31" s="27">
        <v>1.35760099E8</v>
      </c>
    </row>
    <row r="32" ht="12.75" customHeight="1">
      <c r="A32" s="31">
        <v>576.0</v>
      </c>
      <c r="B32" s="32" t="s">
        <v>54719</v>
      </c>
      <c r="C32" s="31">
        <v>135.0</v>
      </c>
      <c r="D32" s="32" t="s">
        <v>54720</v>
      </c>
      <c r="E32" s="32" t="s">
        <v>54721</v>
      </c>
      <c r="F32" s="33">
        <v>19.0</v>
      </c>
      <c r="G32" s="31">
        <v>1.35760194E8</v>
      </c>
    </row>
    <row r="33" ht="12.75" customHeight="1">
      <c r="A33" s="27">
        <v>576.0</v>
      </c>
      <c r="B33" s="28" t="s">
        <v>54722</v>
      </c>
      <c r="C33" s="27">
        <v>135.0</v>
      </c>
      <c r="D33" s="28" t="s">
        <v>54723</v>
      </c>
      <c r="E33" s="28" t="s">
        <v>54724</v>
      </c>
      <c r="F33" s="29">
        <v>28.0</v>
      </c>
      <c r="G33" s="27">
        <v>1.35760286E8</v>
      </c>
    </row>
    <row r="34" ht="12.75" customHeight="1">
      <c r="A34" s="31">
        <v>576.0</v>
      </c>
      <c r="B34" s="32" t="s">
        <v>54725</v>
      </c>
      <c r="C34" s="31">
        <v>135.0</v>
      </c>
      <c r="D34" s="32" t="s">
        <v>54726</v>
      </c>
      <c r="E34" s="32" t="s">
        <v>54727</v>
      </c>
      <c r="F34" s="33">
        <v>37.0</v>
      </c>
      <c r="G34" s="31">
        <v>1.35760378E8</v>
      </c>
    </row>
    <row r="35" ht="12.75" customHeight="1">
      <c r="A35" s="27">
        <v>576.0</v>
      </c>
      <c r="B35" s="28" t="s">
        <v>54728</v>
      </c>
      <c r="C35" s="27">
        <v>135.0</v>
      </c>
      <c r="D35" s="28" t="s">
        <v>54729</v>
      </c>
      <c r="E35" s="28" t="s">
        <v>54730</v>
      </c>
      <c r="F35" s="29">
        <v>46.0</v>
      </c>
      <c r="G35" s="27">
        <v>1.3576046E8</v>
      </c>
    </row>
    <row r="36" ht="12.75" customHeight="1">
      <c r="A36" s="31">
        <v>576.0</v>
      </c>
      <c r="B36" s="32" t="s">
        <v>54731</v>
      </c>
      <c r="C36" s="31">
        <v>135.0</v>
      </c>
      <c r="D36" s="32" t="s">
        <v>54732</v>
      </c>
      <c r="E36" s="32" t="s">
        <v>54733</v>
      </c>
      <c r="F36" s="33">
        <v>64.0</v>
      </c>
      <c r="G36" s="31">
        <v>1.35760644E8</v>
      </c>
    </row>
    <row r="37" ht="12.75" customHeight="1">
      <c r="A37" s="27">
        <v>576.0</v>
      </c>
      <c r="B37" s="28" t="s">
        <v>54734</v>
      </c>
      <c r="C37" s="27">
        <v>135.0</v>
      </c>
      <c r="D37" s="28" t="s">
        <v>54735</v>
      </c>
      <c r="E37" s="28" t="s">
        <v>54736</v>
      </c>
      <c r="F37" s="29">
        <v>79.0</v>
      </c>
      <c r="G37" s="27">
        <v>1.35760794E8</v>
      </c>
    </row>
    <row r="38" ht="12.75" customHeight="1">
      <c r="A38" s="31">
        <v>576.0</v>
      </c>
      <c r="B38" s="32" t="s">
        <v>54737</v>
      </c>
      <c r="C38" s="31">
        <v>135.0</v>
      </c>
      <c r="D38" s="32" t="s">
        <v>54738</v>
      </c>
      <c r="E38" s="32" t="s">
        <v>54739</v>
      </c>
      <c r="F38" s="33">
        <v>85.0</v>
      </c>
      <c r="G38" s="31">
        <v>1.35760857E8</v>
      </c>
    </row>
    <row r="39" ht="12.75" customHeight="1">
      <c r="A39" s="27">
        <v>576.0</v>
      </c>
      <c r="B39" s="28" t="s">
        <v>54740</v>
      </c>
      <c r="C39" s="27">
        <v>135.0</v>
      </c>
      <c r="D39" s="28" t="s">
        <v>54741</v>
      </c>
      <c r="E39" s="28" t="s">
        <v>54742</v>
      </c>
      <c r="F39" s="29">
        <v>97.0</v>
      </c>
      <c r="G39" s="27">
        <v>1.35760978E8</v>
      </c>
    </row>
    <row r="40" ht="12.75" customHeight="1">
      <c r="A40" s="31">
        <v>576.0</v>
      </c>
      <c r="B40" s="32" t="s">
        <v>54743</v>
      </c>
      <c r="C40" s="31">
        <v>135.0</v>
      </c>
      <c r="D40" s="32" t="s">
        <v>54744</v>
      </c>
      <c r="E40" s="32" t="s">
        <v>54745</v>
      </c>
      <c r="F40" s="31">
        <v>121.0</v>
      </c>
      <c r="G40" s="31">
        <v>1.35761214E8</v>
      </c>
    </row>
    <row r="41" ht="12.75" customHeight="1">
      <c r="A41" s="27">
        <v>576.0</v>
      </c>
      <c r="B41" s="28" t="s">
        <v>54746</v>
      </c>
      <c r="C41" s="27">
        <v>135.0</v>
      </c>
      <c r="D41" s="28" t="s">
        <v>54747</v>
      </c>
      <c r="E41" s="28" t="s">
        <v>54748</v>
      </c>
      <c r="F41" s="27">
        <v>133.0</v>
      </c>
      <c r="G41" s="27">
        <v>1.35761335E8</v>
      </c>
    </row>
    <row r="42" ht="12.75" customHeight="1">
      <c r="A42" s="31">
        <v>576.0</v>
      </c>
      <c r="B42" s="32" t="s">
        <v>54749</v>
      </c>
      <c r="C42" s="31">
        <v>135.0</v>
      </c>
      <c r="D42" s="32" t="s">
        <v>54750</v>
      </c>
      <c r="E42" s="32" t="s">
        <v>54751</v>
      </c>
      <c r="F42" s="31">
        <v>148.0</v>
      </c>
      <c r="G42" s="31">
        <v>1.35761485E8</v>
      </c>
    </row>
    <row r="43" ht="12.75" customHeight="1">
      <c r="A43" s="27">
        <v>576.0</v>
      </c>
      <c r="B43" s="28" t="s">
        <v>54752</v>
      </c>
      <c r="C43" s="27">
        <v>135.0</v>
      </c>
      <c r="D43" s="28" t="s">
        <v>54753</v>
      </c>
      <c r="E43" s="28" t="s">
        <v>54754</v>
      </c>
      <c r="F43" s="27">
        <v>160.0</v>
      </c>
      <c r="G43" s="27">
        <v>1.35761601E8</v>
      </c>
    </row>
    <row r="44" ht="12.75" customHeight="1">
      <c r="A44" s="31">
        <v>576.0</v>
      </c>
      <c r="B44" s="32" t="s">
        <v>54755</v>
      </c>
      <c r="C44" s="31">
        <v>135.0</v>
      </c>
      <c r="D44" s="32" t="s">
        <v>54756</v>
      </c>
      <c r="E44" s="32" t="s">
        <v>54757</v>
      </c>
      <c r="F44" s="31">
        <v>175.0</v>
      </c>
      <c r="G44" s="31">
        <v>1.35761751E8</v>
      </c>
    </row>
    <row r="45" ht="12.75" customHeight="1">
      <c r="A45" s="27">
        <v>576.0</v>
      </c>
      <c r="B45" s="28" t="s">
        <v>54758</v>
      </c>
      <c r="C45" s="27">
        <v>135.0</v>
      </c>
      <c r="D45" s="28" t="s">
        <v>54759</v>
      </c>
      <c r="E45" s="28" t="s">
        <v>54760</v>
      </c>
      <c r="F45" s="27">
        <v>181.0</v>
      </c>
      <c r="G45" s="27">
        <v>1.35761814E8</v>
      </c>
    </row>
    <row r="46" ht="12.75" customHeight="1">
      <c r="A46" s="31">
        <v>576.0</v>
      </c>
      <c r="B46" s="32" t="s">
        <v>54761</v>
      </c>
      <c r="C46" s="31">
        <v>135.0</v>
      </c>
      <c r="D46" s="32" t="s">
        <v>54762</v>
      </c>
      <c r="E46" s="32" t="s">
        <v>54763</v>
      </c>
      <c r="F46" s="31">
        <v>187.0</v>
      </c>
      <c r="G46" s="31">
        <v>1.35761872E8</v>
      </c>
    </row>
    <row r="47" ht="12.75" customHeight="1">
      <c r="A47" s="27">
        <v>576.0</v>
      </c>
      <c r="B47" s="28" t="s">
        <v>54764</v>
      </c>
      <c r="C47" s="27">
        <v>135.0</v>
      </c>
      <c r="D47" s="28" t="s">
        <v>54765</v>
      </c>
      <c r="E47" s="28" t="s">
        <v>54766</v>
      </c>
      <c r="F47" s="27">
        <v>190.0</v>
      </c>
      <c r="G47" s="27">
        <v>1.35761906E8</v>
      </c>
    </row>
    <row r="48" ht="12.75" customHeight="1">
      <c r="A48" s="31">
        <v>576.0</v>
      </c>
      <c r="B48" s="32" t="s">
        <v>54767</v>
      </c>
      <c r="C48" s="31">
        <v>135.0</v>
      </c>
      <c r="D48" s="32" t="s">
        <v>54768</v>
      </c>
      <c r="E48" s="32" t="s">
        <v>54769</v>
      </c>
      <c r="F48" s="31">
        <v>202.0</v>
      </c>
      <c r="G48" s="31">
        <v>1.35762026E8</v>
      </c>
    </row>
    <row r="49" ht="12.75" customHeight="1">
      <c r="A49" s="27">
        <v>576.0</v>
      </c>
      <c r="B49" s="28" t="s">
        <v>54770</v>
      </c>
      <c r="C49" s="27">
        <v>135.0</v>
      </c>
      <c r="D49" s="28" t="s">
        <v>54771</v>
      </c>
      <c r="E49" s="28" t="s">
        <v>54772</v>
      </c>
      <c r="F49" s="27">
        <v>229.0</v>
      </c>
      <c r="G49" s="27">
        <v>1.35762297E8</v>
      </c>
    </row>
    <row r="50" ht="12.75" customHeight="1">
      <c r="A50" s="31">
        <v>777.0</v>
      </c>
      <c r="B50" s="32" t="s">
        <v>54773</v>
      </c>
      <c r="C50" s="31">
        <v>135.0</v>
      </c>
      <c r="D50" s="32" t="s">
        <v>54774</v>
      </c>
      <c r="E50" s="32" t="s">
        <v>54775</v>
      </c>
      <c r="F50" s="33">
        <v>4.0</v>
      </c>
      <c r="G50" s="31">
        <v>1.35770047E8</v>
      </c>
    </row>
    <row r="51" ht="12.75" customHeight="1">
      <c r="A51" s="27">
        <v>777.0</v>
      </c>
      <c r="B51" s="28" t="s">
        <v>54776</v>
      </c>
      <c r="C51" s="27">
        <v>135.0</v>
      </c>
      <c r="D51" s="28" t="s">
        <v>54777</v>
      </c>
      <c r="E51" s="28" t="s">
        <v>54778</v>
      </c>
      <c r="F51" s="29">
        <v>7.0</v>
      </c>
      <c r="G51" s="27">
        <v>1.35770076E8</v>
      </c>
    </row>
    <row r="52" ht="12.75" customHeight="1">
      <c r="A52" s="31">
        <v>777.0</v>
      </c>
      <c r="B52" s="32" t="s">
        <v>54779</v>
      </c>
      <c r="C52" s="31">
        <v>135.0</v>
      </c>
      <c r="D52" s="32" t="s">
        <v>54780</v>
      </c>
      <c r="E52" s="32" t="s">
        <v>54781</v>
      </c>
      <c r="F52" s="33">
        <v>19.0</v>
      </c>
      <c r="G52" s="31">
        <v>1.35770197E8</v>
      </c>
    </row>
    <row r="53" ht="12.75" customHeight="1">
      <c r="A53" s="27">
        <v>777.0</v>
      </c>
      <c r="B53" s="28" t="s">
        <v>54782</v>
      </c>
      <c r="C53" s="27">
        <v>135.0</v>
      </c>
      <c r="D53" s="28" t="s">
        <v>54783</v>
      </c>
      <c r="E53" s="28" t="s">
        <v>54784</v>
      </c>
      <c r="F53" s="29">
        <v>25.0</v>
      </c>
      <c r="G53" s="27">
        <v>1.3577025E8</v>
      </c>
    </row>
    <row r="54" ht="12.75" customHeight="1">
      <c r="A54" s="31">
        <v>777.0</v>
      </c>
      <c r="B54" s="32" t="s">
        <v>54785</v>
      </c>
      <c r="C54" s="31">
        <v>135.0</v>
      </c>
      <c r="D54" s="32" t="s">
        <v>54786</v>
      </c>
      <c r="E54" s="32" t="s">
        <v>54787</v>
      </c>
      <c r="F54" s="33">
        <v>55.0</v>
      </c>
      <c r="G54" s="31">
        <v>1.35770555E8</v>
      </c>
    </row>
    <row r="55" ht="12.75" customHeight="1">
      <c r="A55" s="27">
        <v>378.0</v>
      </c>
      <c r="B55" s="28" t="s">
        <v>54788</v>
      </c>
      <c r="C55" s="27">
        <v>135.0</v>
      </c>
      <c r="D55" s="28" t="s">
        <v>54789</v>
      </c>
      <c r="E55" s="28" t="s">
        <v>54790</v>
      </c>
      <c r="F55" s="29">
        <v>19.0</v>
      </c>
      <c r="G55" s="27">
        <v>1.3578019E8</v>
      </c>
    </row>
    <row r="56" ht="12.75" customHeight="1">
      <c r="A56" s="31">
        <v>378.0</v>
      </c>
      <c r="B56" s="32" t="s">
        <v>54791</v>
      </c>
      <c r="C56" s="31">
        <v>135.0</v>
      </c>
      <c r="D56" s="32" t="s">
        <v>54792</v>
      </c>
      <c r="E56" s="32" t="s">
        <v>54793</v>
      </c>
      <c r="F56" s="33">
        <v>34.0</v>
      </c>
      <c r="G56" s="31">
        <v>1.35780345E8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378.0</v>
      </c>
      <c r="B1" s="28" t="s">
        <v>54794</v>
      </c>
      <c r="C1" s="27">
        <v>135.0</v>
      </c>
      <c r="D1" s="28" t="s">
        <v>54795</v>
      </c>
      <c r="E1" s="28" t="s">
        <v>54796</v>
      </c>
      <c r="F1" s="29">
        <v>37.0</v>
      </c>
      <c r="G1" s="27">
        <v>1.35780374E8</v>
      </c>
    </row>
    <row r="2" ht="12.75" customHeight="1">
      <c r="A2" s="31">
        <v>378.0</v>
      </c>
      <c r="B2" s="32" t="s">
        <v>54797</v>
      </c>
      <c r="C2" s="31">
        <v>135.0</v>
      </c>
      <c r="D2" s="32" t="s">
        <v>54798</v>
      </c>
      <c r="E2" s="32" t="s">
        <v>54799</v>
      </c>
      <c r="F2" s="33">
        <v>49.0</v>
      </c>
      <c r="G2" s="31">
        <v>1.35780495E8</v>
      </c>
    </row>
    <row r="3" ht="12.75" customHeight="1">
      <c r="A3" s="27">
        <v>378.0</v>
      </c>
      <c r="B3" s="28" t="s">
        <v>54800</v>
      </c>
      <c r="C3" s="27">
        <v>135.0</v>
      </c>
      <c r="D3" s="28" t="s">
        <v>54801</v>
      </c>
      <c r="E3" s="28" t="s">
        <v>54802</v>
      </c>
      <c r="F3" s="29">
        <v>73.0</v>
      </c>
      <c r="G3" s="27">
        <v>1.35780732E8</v>
      </c>
    </row>
    <row r="4" ht="12.75" customHeight="1">
      <c r="A4" s="31">
        <v>378.0</v>
      </c>
      <c r="B4" s="32" t="s">
        <v>54803</v>
      </c>
      <c r="C4" s="31">
        <v>135.0</v>
      </c>
      <c r="D4" s="32" t="s">
        <v>54804</v>
      </c>
      <c r="E4" s="32" t="s">
        <v>54805</v>
      </c>
      <c r="F4" s="33">
        <v>76.0</v>
      </c>
      <c r="G4" s="31">
        <v>1.35780761E8</v>
      </c>
    </row>
    <row r="5" ht="12.75" customHeight="1">
      <c r="A5" s="27">
        <v>378.0</v>
      </c>
      <c r="B5" s="28" t="s">
        <v>54806</v>
      </c>
      <c r="C5" s="27">
        <v>135.0</v>
      </c>
      <c r="D5" s="28" t="s">
        <v>54807</v>
      </c>
      <c r="E5" s="28" t="s">
        <v>54808</v>
      </c>
      <c r="F5" s="27">
        <v>100.0</v>
      </c>
      <c r="G5" s="27">
        <v>1.35781007E8</v>
      </c>
    </row>
    <row r="6" ht="12.75" customHeight="1">
      <c r="A6" s="31">
        <v>378.0</v>
      </c>
      <c r="B6" s="32" t="s">
        <v>54809</v>
      </c>
      <c r="C6" s="31">
        <v>135.0</v>
      </c>
      <c r="D6" s="32" t="s">
        <v>54810</v>
      </c>
      <c r="E6" s="32" t="s">
        <v>54811</v>
      </c>
      <c r="F6" s="31">
        <v>115.0</v>
      </c>
      <c r="G6" s="31">
        <v>1.35781157E8</v>
      </c>
    </row>
    <row r="7" ht="12.75" customHeight="1">
      <c r="A7" s="27">
        <v>378.0</v>
      </c>
      <c r="B7" s="28" t="s">
        <v>54812</v>
      </c>
      <c r="C7" s="27">
        <v>135.0</v>
      </c>
      <c r="D7" s="28" t="s">
        <v>54813</v>
      </c>
      <c r="E7" s="28" t="s">
        <v>54814</v>
      </c>
      <c r="F7" s="27">
        <v>127.0</v>
      </c>
      <c r="G7" s="27">
        <v>1.35781278E8</v>
      </c>
    </row>
    <row r="8" ht="12.75" customHeight="1">
      <c r="A8" s="31">
        <v>379.0</v>
      </c>
      <c r="B8" s="32" t="s">
        <v>54815</v>
      </c>
      <c r="C8" s="31">
        <v>135.0</v>
      </c>
      <c r="D8" s="32" t="s">
        <v>54816</v>
      </c>
      <c r="E8" s="32" t="s">
        <v>54817</v>
      </c>
      <c r="F8" s="33">
        <v>46.0</v>
      </c>
      <c r="G8" s="31">
        <v>1.35790469E8</v>
      </c>
    </row>
    <row r="9" ht="12.75" customHeight="1">
      <c r="A9" s="27">
        <v>379.0</v>
      </c>
      <c r="B9" s="28" t="s">
        <v>54818</v>
      </c>
      <c r="C9" s="27">
        <v>135.0</v>
      </c>
      <c r="D9" s="28" t="s">
        <v>54819</v>
      </c>
      <c r="E9" s="28" t="s">
        <v>54820</v>
      </c>
      <c r="F9" s="29">
        <v>76.0</v>
      </c>
      <c r="G9" s="27">
        <v>1.35790764E8</v>
      </c>
    </row>
    <row r="10" ht="12.75" customHeight="1">
      <c r="A10" s="31">
        <v>581.0</v>
      </c>
      <c r="B10" s="32" t="s">
        <v>54821</v>
      </c>
      <c r="C10" s="31">
        <v>135.0</v>
      </c>
      <c r="D10" s="32" t="s">
        <v>54822</v>
      </c>
      <c r="E10" s="32" t="s">
        <v>54823</v>
      </c>
      <c r="F10" s="33">
        <v>7.0</v>
      </c>
      <c r="G10" s="31">
        <v>1.35810073E8</v>
      </c>
    </row>
    <row r="11" ht="12.75" customHeight="1">
      <c r="A11" s="27">
        <v>581.0</v>
      </c>
      <c r="B11" s="28" t="s">
        <v>54824</v>
      </c>
      <c r="C11" s="27">
        <v>135.0</v>
      </c>
      <c r="D11" s="28" t="s">
        <v>54825</v>
      </c>
      <c r="E11" s="28" t="s">
        <v>54826</v>
      </c>
      <c r="F11" s="29">
        <v>22.0</v>
      </c>
      <c r="G11" s="27">
        <v>1.35810228E8</v>
      </c>
    </row>
    <row r="12" ht="12.75" customHeight="1">
      <c r="A12" s="31">
        <v>581.0</v>
      </c>
      <c r="B12" s="32" t="s">
        <v>54827</v>
      </c>
      <c r="C12" s="31">
        <v>135.0</v>
      </c>
      <c r="D12" s="32" t="s">
        <v>54828</v>
      </c>
      <c r="E12" s="32" t="s">
        <v>54829</v>
      </c>
      <c r="F12" s="33">
        <v>28.0</v>
      </c>
      <c r="G12" s="31">
        <v>1.35810286E8</v>
      </c>
    </row>
    <row r="13" ht="12.75" customHeight="1">
      <c r="A13" s="27">
        <v>581.0</v>
      </c>
      <c r="B13" s="28" t="s">
        <v>54830</v>
      </c>
      <c r="C13" s="27">
        <v>135.0</v>
      </c>
      <c r="D13" s="28" t="s">
        <v>54831</v>
      </c>
      <c r="E13" s="28" t="s">
        <v>54832</v>
      </c>
      <c r="F13" s="29">
        <v>34.0</v>
      </c>
      <c r="G13" s="27">
        <v>1.35810349E8</v>
      </c>
    </row>
    <row r="14" ht="12.75" customHeight="1">
      <c r="A14" s="31">
        <v>581.0</v>
      </c>
      <c r="B14" s="32" t="s">
        <v>54833</v>
      </c>
      <c r="C14" s="31">
        <v>135.0</v>
      </c>
      <c r="D14" s="32" t="s">
        <v>54834</v>
      </c>
      <c r="E14" s="32" t="s">
        <v>54835</v>
      </c>
      <c r="F14" s="33">
        <v>37.0</v>
      </c>
      <c r="G14" s="31">
        <v>1.35810378E8</v>
      </c>
    </row>
    <row r="15" ht="12.75" customHeight="1">
      <c r="A15" s="27">
        <v>581.0</v>
      </c>
      <c r="B15" s="28" t="s">
        <v>54836</v>
      </c>
      <c r="C15" s="27">
        <v>135.0</v>
      </c>
      <c r="D15" s="28" t="s">
        <v>54837</v>
      </c>
      <c r="E15" s="28" t="s">
        <v>54838</v>
      </c>
      <c r="F15" s="29">
        <v>52.0</v>
      </c>
      <c r="G15" s="27">
        <v>1.35810523E8</v>
      </c>
    </row>
    <row r="16" ht="12.75" customHeight="1">
      <c r="A16" s="31">
        <v>581.0</v>
      </c>
      <c r="B16" s="32" t="s">
        <v>54839</v>
      </c>
      <c r="C16" s="31">
        <v>135.0</v>
      </c>
      <c r="D16" s="32" t="s">
        <v>54840</v>
      </c>
      <c r="E16" s="32" t="s">
        <v>54841</v>
      </c>
      <c r="F16" s="33">
        <v>55.0</v>
      </c>
      <c r="G16" s="31">
        <v>1.35810552E8</v>
      </c>
    </row>
    <row r="17" ht="12.75" customHeight="1">
      <c r="A17" s="27">
        <v>581.0</v>
      </c>
      <c r="B17" s="28" t="s">
        <v>54842</v>
      </c>
      <c r="C17" s="27">
        <v>135.0</v>
      </c>
      <c r="D17" s="28" t="s">
        <v>54843</v>
      </c>
      <c r="E17" s="28" t="s">
        <v>54844</v>
      </c>
      <c r="F17" s="29">
        <v>58.0</v>
      </c>
      <c r="G17" s="27">
        <v>1.35810581E8</v>
      </c>
    </row>
    <row r="18" ht="12.75" customHeight="1">
      <c r="A18" s="31">
        <v>581.0</v>
      </c>
      <c r="B18" s="32" t="s">
        <v>54845</v>
      </c>
      <c r="C18" s="31">
        <v>135.0</v>
      </c>
      <c r="D18" s="32" t="s">
        <v>54846</v>
      </c>
      <c r="E18" s="32" t="s">
        <v>54847</v>
      </c>
      <c r="F18" s="33">
        <v>61.0</v>
      </c>
      <c r="G18" s="31">
        <v>1.35810615E8</v>
      </c>
    </row>
    <row r="19" ht="12.75" customHeight="1">
      <c r="A19" s="27">
        <v>581.0</v>
      </c>
      <c r="B19" s="28" t="s">
        <v>54848</v>
      </c>
      <c r="C19" s="27">
        <v>135.0</v>
      </c>
      <c r="D19" s="28" t="s">
        <v>54849</v>
      </c>
      <c r="E19" s="28" t="s">
        <v>54850</v>
      </c>
      <c r="F19" s="29">
        <v>70.0</v>
      </c>
      <c r="G19" s="27">
        <v>1.35810707E8</v>
      </c>
    </row>
    <row r="20" ht="12.75" customHeight="1">
      <c r="A20" s="31">
        <v>581.0</v>
      </c>
      <c r="B20" s="32" t="s">
        <v>54851</v>
      </c>
      <c r="C20" s="31">
        <v>135.0</v>
      </c>
      <c r="D20" s="32" t="s">
        <v>54852</v>
      </c>
      <c r="E20" s="32" t="s">
        <v>54853</v>
      </c>
      <c r="F20" s="33">
        <v>73.0</v>
      </c>
      <c r="G20" s="31">
        <v>1.35810736E8</v>
      </c>
    </row>
    <row r="21" ht="12.75" customHeight="1">
      <c r="A21" s="27">
        <v>581.0</v>
      </c>
      <c r="B21" s="28" t="s">
        <v>54854</v>
      </c>
      <c r="C21" s="27">
        <v>135.0</v>
      </c>
      <c r="D21" s="28" t="s">
        <v>54855</v>
      </c>
      <c r="E21" s="28" t="s">
        <v>54856</v>
      </c>
      <c r="F21" s="29">
        <v>79.0</v>
      </c>
      <c r="G21" s="27">
        <v>1.35810794E8</v>
      </c>
    </row>
    <row r="22" ht="12.75" customHeight="1">
      <c r="A22" s="31">
        <v>581.0</v>
      </c>
      <c r="B22" s="32" t="s">
        <v>54857</v>
      </c>
      <c r="C22" s="31">
        <v>135.0</v>
      </c>
      <c r="D22" s="32" t="s">
        <v>54858</v>
      </c>
      <c r="E22" s="32" t="s">
        <v>54859</v>
      </c>
      <c r="F22" s="33">
        <v>82.0</v>
      </c>
      <c r="G22" s="31">
        <v>1.35810828E8</v>
      </c>
    </row>
    <row r="23" ht="12.75" customHeight="1">
      <c r="A23" s="27">
        <v>581.0</v>
      </c>
      <c r="B23" s="28" t="s">
        <v>54860</v>
      </c>
      <c r="C23" s="27">
        <v>135.0</v>
      </c>
      <c r="D23" s="28" t="s">
        <v>54861</v>
      </c>
      <c r="E23" s="28" t="s">
        <v>54862</v>
      </c>
      <c r="F23" s="29">
        <v>91.0</v>
      </c>
      <c r="G23" s="27">
        <v>1.3581091E8</v>
      </c>
    </row>
    <row r="24" ht="12.75" customHeight="1">
      <c r="A24" s="31">
        <v>581.0</v>
      </c>
      <c r="B24" s="32" t="s">
        <v>54863</v>
      </c>
      <c r="C24" s="31">
        <v>135.0</v>
      </c>
      <c r="D24" s="32" t="s">
        <v>54864</v>
      </c>
      <c r="E24" s="32" t="s">
        <v>54865</v>
      </c>
      <c r="F24" s="33">
        <v>94.0</v>
      </c>
      <c r="G24" s="31">
        <v>1.35810949E8</v>
      </c>
    </row>
    <row r="25" ht="12.75" customHeight="1">
      <c r="A25" s="27">
        <v>581.0</v>
      </c>
      <c r="B25" s="28" t="s">
        <v>54866</v>
      </c>
      <c r="C25" s="27">
        <v>135.0</v>
      </c>
      <c r="D25" s="28" t="s">
        <v>54867</v>
      </c>
      <c r="E25" s="28" t="s">
        <v>54868</v>
      </c>
      <c r="F25" s="27">
        <v>106.0</v>
      </c>
      <c r="G25" s="27">
        <v>1.35811069E8</v>
      </c>
    </row>
    <row r="26" ht="12.75" customHeight="1">
      <c r="A26" s="31">
        <v>581.0</v>
      </c>
      <c r="B26" s="32" t="s">
        <v>54869</v>
      </c>
      <c r="C26" s="31">
        <v>135.0</v>
      </c>
      <c r="D26" s="32" t="s">
        <v>54870</v>
      </c>
      <c r="E26" s="32" t="s">
        <v>54871</v>
      </c>
      <c r="F26" s="31">
        <v>118.0</v>
      </c>
      <c r="G26" s="31">
        <v>1.3581118E8</v>
      </c>
    </row>
    <row r="27" ht="12.75" customHeight="1">
      <c r="A27" s="27">
        <v>581.0</v>
      </c>
      <c r="B27" s="28" t="s">
        <v>54872</v>
      </c>
      <c r="C27" s="27">
        <v>135.0</v>
      </c>
      <c r="D27" s="28" t="s">
        <v>54873</v>
      </c>
      <c r="E27" s="28" t="s">
        <v>54874</v>
      </c>
      <c r="F27" s="27">
        <v>133.0</v>
      </c>
      <c r="G27" s="27">
        <v>1.35811335E8</v>
      </c>
    </row>
    <row r="28" ht="12.75" customHeight="1">
      <c r="A28" s="31">
        <v>581.0</v>
      </c>
      <c r="B28" s="32" t="s">
        <v>54875</v>
      </c>
      <c r="C28" s="31">
        <v>135.0</v>
      </c>
      <c r="D28" s="32" t="s">
        <v>54876</v>
      </c>
      <c r="E28" s="32" t="s">
        <v>54877</v>
      </c>
      <c r="F28" s="31">
        <v>139.0</v>
      </c>
      <c r="G28" s="31">
        <v>1.35811393E8</v>
      </c>
    </row>
    <row r="29" ht="12.75" customHeight="1">
      <c r="A29" s="27">
        <v>581.0</v>
      </c>
      <c r="B29" s="28" t="s">
        <v>54878</v>
      </c>
      <c r="C29" s="27">
        <v>135.0</v>
      </c>
      <c r="D29" s="28" t="s">
        <v>54879</v>
      </c>
      <c r="E29" s="28" t="s">
        <v>54880</v>
      </c>
      <c r="F29" s="27">
        <v>166.0</v>
      </c>
      <c r="G29" s="27">
        <v>1.35811669E8</v>
      </c>
    </row>
    <row r="30" ht="12.75" customHeight="1">
      <c r="A30" s="31">
        <v>581.0</v>
      </c>
      <c r="B30" s="32" t="s">
        <v>54881</v>
      </c>
      <c r="C30" s="31">
        <v>135.0</v>
      </c>
      <c r="D30" s="32" t="s">
        <v>54882</v>
      </c>
      <c r="E30" s="32" t="s">
        <v>54883</v>
      </c>
      <c r="F30" s="31">
        <v>181.0</v>
      </c>
      <c r="G30" s="31">
        <v>1.35811814E8</v>
      </c>
    </row>
    <row r="31" ht="12.75" customHeight="1">
      <c r="A31" s="27">
        <v>581.0</v>
      </c>
      <c r="B31" s="28" t="s">
        <v>54884</v>
      </c>
      <c r="C31" s="27">
        <v>135.0</v>
      </c>
      <c r="D31" s="28" t="s">
        <v>54885</v>
      </c>
      <c r="E31" s="28" t="s">
        <v>54886</v>
      </c>
      <c r="F31" s="27">
        <v>184.0</v>
      </c>
      <c r="G31" s="27">
        <v>1.35811843E8</v>
      </c>
    </row>
    <row r="32" ht="12.75" customHeight="1">
      <c r="A32" s="31">
        <v>581.0</v>
      </c>
      <c r="B32" s="32" t="s">
        <v>54887</v>
      </c>
      <c r="C32" s="31">
        <v>135.0</v>
      </c>
      <c r="D32" s="32" t="s">
        <v>54888</v>
      </c>
      <c r="E32" s="32" t="s">
        <v>54889</v>
      </c>
      <c r="F32" s="31">
        <v>190.0</v>
      </c>
      <c r="G32" s="31">
        <v>1.35811906E8</v>
      </c>
    </row>
    <row r="33" ht="12.75" customHeight="1">
      <c r="A33" s="27">
        <v>581.0</v>
      </c>
      <c r="B33" s="28" t="s">
        <v>54890</v>
      </c>
      <c r="C33" s="27">
        <v>135.0</v>
      </c>
      <c r="D33" s="28" t="s">
        <v>54891</v>
      </c>
      <c r="E33" s="28" t="s">
        <v>54892</v>
      </c>
      <c r="F33" s="27">
        <v>202.0</v>
      </c>
      <c r="G33" s="27">
        <v>1.35812026E8</v>
      </c>
    </row>
    <row r="34" ht="12.75" customHeight="1">
      <c r="A34" s="31">
        <v>581.0</v>
      </c>
      <c r="B34" s="32" t="s">
        <v>54893</v>
      </c>
      <c r="C34" s="31">
        <v>135.0</v>
      </c>
      <c r="D34" s="32" t="s">
        <v>54894</v>
      </c>
      <c r="E34" s="32" t="s">
        <v>54895</v>
      </c>
      <c r="F34" s="31">
        <v>214.0</v>
      </c>
      <c r="G34" s="31">
        <v>1.35812147E8</v>
      </c>
    </row>
    <row r="35" ht="12.75" customHeight="1">
      <c r="A35" s="27">
        <v>581.0</v>
      </c>
      <c r="B35" s="28" t="s">
        <v>54896</v>
      </c>
      <c r="C35" s="27">
        <v>135.0</v>
      </c>
      <c r="D35" s="28" t="s">
        <v>54897</v>
      </c>
      <c r="E35" s="28" t="s">
        <v>54898</v>
      </c>
      <c r="F35" s="27">
        <v>229.0</v>
      </c>
      <c r="G35" s="27">
        <v>1.35812297E8</v>
      </c>
    </row>
    <row r="36" ht="12.75" customHeight="1">
      <c r="A36" s="31">
        <v>581.0</v>
      </c>
      <c r="B36" s="32" t="s">
        <v>54899</v>
      </c>
      <c r="C36" s="31">
        <v>135.0</v>
      </c>
      <c r="D36" s="32" t="s">
        <v>54900</v>
      </c>
      <c r="E36" s="32" t="s">
        <v>54901</v>
      </c>
      <c r="F36" s="31">
        <v>232.0</v>
      </c>
      <c r="G36" s="31">
        <v>1.35812321E8</v>
      </c>
    </row>
    <row r="37" ht="12.75" customHeight="1">
      <c r="A37" s="27">
        <v>581.0</v>
      </c>
      <c r="B37" s="28" t="s">
        <v>54902</v>
      </c>
      <c r="C37" s="27">
        <v>135.0</v>
      </c>
      <c r="D37" s="28" t="s">
        <v>54903</v>
      </c>
      <c r="E37" s="28" t="s">
        <v>54904</v>
      </c>
      <c r="F37" s="27">
        <v>238.0</v>
      </c>
      <c r="G37" s="27">
        <v>1.35812389E8</v>
      </c>
    </row>
    <row r="38" ht="12.75" customHeight="1">
      <c r="A38" s="31">
        <v>382.0</v>
      </c>
      <c r="B38" s="32" t="s">
        <v>54905</v>
      </c>
      <c r="C38" s="31">
        <v>135.0</v>
      </c>
      <c r="D38" s="32" t="s">
        <v>54906</v>
      </c>
      <c r="E38" s="32" t="s">
        <v>54907</v>
      </c>
      <c r="F38" s="33">
        <v>5.0</v>
      </c>
      <c r="G38" s="31">
        <v>1.3582005E8</v>
      </c>
    </row>
    <row r="39" ht="12.75" customHeight="1">
      <c r="A39" s="27">
        <v>382.0</v>
      </c>
      <c r="B39" s="28" t="s">
        <v>54908</v>
      </c>
      <c r="C39" s="27">
        <v>135.0</v>
      </c>
      <c r="D39" s="28" t="s">
        <v>54909</v>
      </c>
      <c r="E39" s="28" t="s">
        <v>54910</v>
      </c>
      <c r="F39" s="29">
        <v>16.0</v>
      </c>
      <c r="G39" s="27">
        <v>1.35820168E8</v>
      </c>
    </row>
    <row r="40" ht="12.75" customHeight="1">
      <c r="A40" s="31">
        <v>382.0</v>
      </c>
      <c r="B40" s="32" t="s">
        <v>54911</v>
      </c>
      <c r="C40" s="31">
        <v>135.0</v>
      </c>
      <c r="D40" s="32" t="s">
        <v>54912</v>
      </c>
      <c r="E40" s="32" t="s">
        <v>54913</v>
      </c>
      <c r="F40" s="33">
        <v>43.0</v>
      </c>
      <c r="G40" s="31">
        <v>1.35820434E8</v>
      </c>
    </row>
    <row r="41" ht="12.75" customHeight="1">
      <c r="A41" s="27">
        <v>382.0</v>
      </c>
      <c r="B41" s="28" t="s">
        <v>54914</v>
      </c>
      <c r="C41" s="27">
        <v>135.0</v>
      </c>
      <c r="D41" s="28" t="s">
        <v>54915</v>
      </c>
      <c r="E41" s="28" t="s">
        <v>54916</v>
      </c>
      <c r="F41" s="29">
        <v>58.0</v>
      </c>
      <c r="G41" s="27">
        <v>1.35820584E8</v>
      </c>
    </row>
    <row r="42" ht="12.75" customHeight="1">
      <c r="A42" s="31">
        <v>382.0</v>
      </c>
      <c r="B42" s="32" t="s">
        <v>54917</v>
      </c>
      <c r="C42" s="31">
        <v>135.0</v>
      </c>
      <c r="D42" s="32" t="s">
        <v>54918</v>
      </c>
      <c r="E42" s="32" t="s">
        <v>54919</v>
      </c>
      <c r="F42" s="33">
        <v>67.0</v>
      </c>
      <c r="G42" s="31">
        <v>1.35820676E8</v>
      </c>
    </row>
    <row r="43" ht="12.75" customHeight="1">
      <c r="A43" s="27">
        <v>382.0</v>
      </c>
      <c r="B43" s="28" t="s">
        <v>54920</v>
      </c>
      <c r="C43" s="27">
        <v>135.0</v>
      </c>
      <c r="D43" s="28" t="s">
        <v>54921</v>
      </c>
      <c r="E43" s="28" t="s">
        <v>54922</v>
      </c>
      <c r="F43" s="29">
        <v>79.0</v>
      </c>
      <c r="G43" s="27">
        <v>1.35820797E8</v>
      </c>
    </row>
    <row r="44" ht="12.75" customHeight="1">
      <c r="A44" s="31">
        <v>284.0</v>
      </c>
      <c r="B44" s="32" t="s">
        <v>54923</v>
      </c>
      <c r="C44" s="31">
        <v>135.0</v>
      </c>
      <c r="D44" s="32" t="s">
        <v>54924</v>
      </c>
      <c r="E44" s="32" t="s">
        <v>54925</v>
      </c>
      <c r="F44" s="33">
        <v>28.0</v>
      </c>
      <c r="G44" s="31">
        <v>1.35840285E8</v>
      </c>
    </row>
    <row r="45" ht="12.75" customHeight="1">
      <c r="A45" s="27">
        <v>284.0</v>
      </c>
      <c r="B45" s="28" t="s">
        <v>54926</v>
      </c>
      <c r="C45" s="27">
        <v>135.0</v>
      </c>
      <c r="D45" s="28" t="s">
        <v>54927</v>
      </c>
      <c r="E45" s="28" t="s">
        <v>54928</v>
      </c>
      <c r="F45" s="29">
        <v>31.0</v>
      </c>
      <c r="G45" s="27">
        <v>1.35840319E8</v>
      </c>
    </row>
    <row r="46" ht="12.75" customHeight="1">
      <c r="A46" s="31">
        <v>785.0</v>
      </c>
      <c r="B46" s="32" t="s">
        <v>54929</v>
      </c>
      <c r="C46" s="31">
        <v>135.0</v>
      </c>
      <c r="D46" s="32" t="s">
        <v>54930</v>
      </c>
      <c r="E46" s="32" t="s">
        <v>54931</v>
      </c>
      <c r="F46" s="33">
        <v>4.0</v>
      </c>
      <c r="G46" s="31">
        <v>1.35850046E8</v>
      </c>
    </row>
    <row r="47" ht="12.75" customHeight="1">
      <c r="A47" s="27">
        <v>785.0</v>
      </c>
      <c r="B47" s="28" t="s">
        <v>54932</v>
      </c>
      <c r="C47" s="27">
        <v>135.0</v>
      </c>
      <c r="D47" s="28" t="s">
        <v>54933</v>
      </c>
      <c r="E47" s="28" t="s">
        <v>54934</v>
      </c>
      <c r="F47" s="29">
        <v>25.0</v>
      </c>
      <c r="G47" s="27">
        <v>1.35850259E8</v>
      </c>
    </row>
    <row r="48" ht="12.75" customHeight="1">
      <c r="A48" s="31">
        <v>785.0</v>
      </c>
      <c r="B48" s="32" t="s">
        <v>54935</v>
      </c>
      <c r="C48" s="31">
        <v>135.0</v>
      </c>
      <c r="D48" s="32" t="s">
        <v>54936</v>
      </c>
      <c r="E48" s="32" t="s">
        <v>54937</v>
      </c>
      <c r="F48" s="33">
        <v>40.0</v>
      </c>
      <c r="G48" s="31">
        <v>1.35850404E8</v>
      </c>
    </row>
    <row r="49" ht="12.75" customHeight="1">
      <c r="A49" s="27">
        <v>785.0</v>
      </c>
      <c r="B49" s="28" t="s">
        <v>54938</v>
      </c>
      <c r="C49" s="27">
        <v>135.0</v>
      </c>
      <c r="D49" s="28" t="s">
        <v>54939</v>
      </c>
      <c r="E49" s="28" t="s">
        <v>54940</v>
      </c>
      <c r="F49" s="29">
        <v>61.0</v>
      </c>
      <c r="G49" s="27">
        <v>1.35850617E8</v>
      </c>
    </row>
    <row r="50" ht="12.75" customHeight="1">
      <c r="A50" s="31">
        <v>785.0</v>
      </c>
      <c r="B50" s="32" t="s">
        <v>54941</v>
      </c>
      <c r="C50" s="31">
        <v>135.0</v>
      </c>
      <c r="D50" s="32" t="s">
        <v>54942</v>
      </c>
      <c r="E50" s="32" t="s">
        <v>54943</v>
      </c>
      <c r="F50" s="33">
        <v>67.0</v>
      </c>
      <c r="G50" s="31">
        <v>1.35850675E8</v>
      </c>
    </row>
    <row r="51" ht="12.75" customHeight="1">
      <c r="A51" s="27">
        <v>785.0</v>
      </c>
      <c r="B51" s="28" t="s">
        <v>54944</v>
      </c>
      <c r="C51" s="27">
        <v>135.0</v>
      </c>
      <c r="D51" s="28" t="s">
        <v>54945</v>
      </c>
      <c r="E51" s="28" t="s">
        <v>54946</v>
      </c>
      <c r="F51" s="29">
        <v>76.0</v>
      </c>
      <c r="G51" s="27">
        <v>1.35850767E8</v>
      </c>
    </row>
    <row r="52" ht="12.75" customHeight="1">
      <c r="A52" s="31">
        <v>785.0</v>
      </c>
      <c r="B52" s="32" t="s">
        <v>54947</v>
      </c>
      <c r="C52" s="31">
        <v>135.0</v>
      </c>
      <c r="D52" s="32" t="s">
        <v>54948</v>
      </c>
      <c r="E52" s="32" t="s">
        <v>54949</v>
      </c>
      <c r="F52" s="33">
        <v>88.0</v>
      </c>
      <c r="G52" s="31">
        <v>1.35850888E8</v>
      </c>
    </row>
    <row r="53" ht="12.75" customHeight="1">
      <c r="A53" s="27">
        <v>785.0</v>
      </c>
      <c r="B53" s="28" t="s">
        <v>54950</v>
      </c>
      <c r="C53" s="27">
        <v>135.0</v>
      </c>
      <c r="D53" s="28" t="s">
        <v>54951</v>
      </c>
      <c r="E53" s="28" t="s">
        <v>54952</v>
      </c>
      <c r="F53" s="29">
        <v>94.0</v>
      </c>
      <c r="G53" s="27">
        <v>1.35850941E8</v>
      </c>
    </row>
    <row r="54" ht="12.75" customHeight="1">
      <c r="A54" s="31">
        <v>785.0</v>
      </c>
      <c r="B54" s="32" t="s">
        <v>54953</v>
      </c>
      <c r="C54" s="31">
        <v>135.0</v>
      </c>
      <c r="D54" s="32" t="s">
        <v>54954</v>
      </c>
      <c r="E54" s="32" t="s">
        <v>54955</v>
      </c>
      <c r="F54" s="31">
        <v>121.0</v>
      </c>
      <c r="G54" s="31">
        <v>1.35851216E8</v>
      </c>
    </row>
    <row r="55" ht="12.75" customHeight="1">
      <c r="A55" s="27">
        <v>785.0</v>
      </c>
      <c r="B55" s="28" t="s">
        <v>54956</v>
      </c>
      <c r="C55" s="27">
        <v>135.0</v>
      </c>
      <c r="D55" s="28" t="s">
        <v>54957</v>
      </c>
      <c r="E55" s="28" t="s">
        <v>54958</v>
      </c>
      <c r="F55" s="27">
        <v>136.0</v>
      </c>
      <c r="G55" s="27">
        <v>1.35851366E8</v>
      </c>
    </row>
    <row r="56" ht="12.75" customHeight="1">
      <c r="A56" s="31">
        <v>785.0</v>
      </c>
      <c r="B56" s="32" t="s">
        <v>54959</v>
      </c>
      <c r="C56" s="31">
        <v>135.0</v>
      </c>
      <c r="D56" s="32" t="s">
        <v>54960</v>
      </c>
      <c r="E56" s="32" t="s">
        <v>54961</v>
      </c>
      <c r="F56" s="31">
        <v>151.0</v>
      </c>
      <c r="G56" s="31">
        <v>1.35851511E8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785.0</v>
      </c>
      <c r="B1" s="28" t="s">
        <v>54962</v>
      </c>
      <c r="C1" s="27">
        <v>135.0</v>
      </c>
      <c r="D1" s="28" t="s">
        <v>54963</v>
      </c>
      <c r="E1" s="28" t="s">
        <v>54964</v>
      </c>
      <c r="F1" s="27">
        <v>169.0</v>
      </c>
      <c r="G1" s="27">
        <v>1.3585169E8</v>
      </c>
    </row>
    <row r="2" ht="12.75" customHeight="1">
      <c r="A2" s="31">
        <v>785.0</v>
      </c>
      <c r="B2" s="32" t="s">
        <v>54965</v>
      </c>
      <c r="C2" s="31">
        <v>135.0</v>
      </c>
      <c r="D2" s="32" t="s">
        <v>54966</v>
      </c>
      <c r="E2" s="32" t="s">
        <v>54967</v>
      </c>
      <c r="F2" s="31">
        <v>178.0</v>
      </c>
      <c r="G2" s="31">
        <v>1.35851782E8</v>
      </c>
    </row>
    <row r="3" ht="12.75" customHeight="1">
      <c r="A3" s="27">
        <v>785.0</v>
      </c>
      <c r="B3" s="28" t="s">
        <v>54968</v>
      </c>
      <c r="C3" s="27">
        <v>135.0</v>
      </c>
      <c r="D3" s="28" t="s">
        <v>54969</v>
      </c>
      <c r="E3" s="28" t="s">
        <v>54970</v>
      </c>
      <c r="F3" s="27">
        <v>184.0</v>
      </c>
      <c r="G3" s="27">
        <v>1.35851845E8</v>
      </c>
    </row>
    <row r="4" ht="12.75" customHeight="1">
      <c r="A4" s="31">
        <v>386.0</v>
      </c>
      <c r="B4" s="32" t="s">
        <v>54971</v>
      </c>
      <c r="C4" s="31">
        <v>135.0</v>
      </c>
      <c r="D4" s="32" t="s">
        <v>54972</v>
      </c>
      <c r="E4" s="32" t="s">
        <v>54973</v>
      </c>
      <c r="F4" s="33">
        <v>10.0</v>
      </c>
      <c r="G4" s="31">
        <v>1.35860102E8</v>
      </c>
    </row>
    <row r="5" ht="12.75" customHeight="1">
      <c r="A5" s="27">
        <v>386.0</v>
      </c>
      <c r="B5" s="28" t="s">
        <v>54974</v>
      </c>
      <c r="C5" s="27">
        <v>135.0</v>
      </c>
      <c r="D5" s="28" t="s">
        <v>54975</v>
      </c>
      <c r="E5" s="28" t="s">
        <v>54976</v>
      </c>
      <c r="F5" s="29">
        <v>13.0</v>
      </c>
      <c r="G5" s="27">
        <v>1.35860131E8</v>
      </c>
    </row>
    <row r="6" ht="12.75" customHeight="1">
      <c r="A6" s="31">
        <v>386.0</v>
      </c>
      <c r="B6" s="32" t="s">
        <v>54977</v>
      </c>
      <c r="C6" s="31">
        <v>135.0</v>
      </c>
      <c r="D6" s="32" t="s">
        <v>54978</v>
      </c>
      <c r="E6" s="32" t="s">
        <v>54979</v>
      </c>
      <c r="F6" s="33">
        <v>19.0</v>
      </c>
      <c r="G6" s="31">
        <v>1.35860199E8</v>
      </c>
    </row>
    <row r="7" ht="12.75" customHeight="1">
      <c r="A7" s="27">
        <v>386.0</v>
      </c>
      <c r="B7" s="28" t="s">
        <v>54980</v>
      </c>
      <c r="C7" s="27">
        <v>135.0</v>
      </c>
      <c r="D7" s="28" t="s">
        <v>54981</v>
      </c>
      <c r="E7" s="28" t="s">
        <v>54982</v>
      </c>
      <c r="F7" s="29">
        <v>28.0</v>
      </c>
      <c r="G7" s="27">
        <v>1.35860281E8</v>
      </c>
    </row>
    <row r="8" ht="12.75" customHeight="1">
      <c r="A8" s="31">
        <v>386.0</v>
      </c>
      <c r="B8" s="32" t="s">
        <v>54983</v>
      </c>
      <c r="C8" s="31">
        <v>135.0</v>
      </c>
      <c r="D8" s="32" t="s">
        <v>54984</v>
      </c>
      <c r="E8" s="32" t="s">
        <v>54985</v>
      </c>
      <c r="F8" s="33">
        <v>61.0</v>
      </c>
      <c r="G8" s="31">
        <v>1.3586061E8</v>
      </c>
    </row>
    <row r="9" ht="12.75" customHeight="1">
      <c r="A9" s="27">
        <v>487.0</v>
      </c>
      <c r="B9" s="28" t="s">
        <v>54986</v>
      </c>
      <c r="C9" s="27">
        <v>135.0</v>
      </c>
      <c r="D9" s="28" t="s">
        <v>54987</v>
      </c>
      <c r="E9" s="28" t="s">
        <v>54988</v>
      </c>
      <c r="F9" s="29">
        <v>4.0</v>
      </c>
      <c r="G9" s="27">
        <v>1.35870042E8</v>
      </c>
    </row>
    <row r="10" ht="12.75" customHeight="1">
      <c r="A10" s="31">
        <v>487.0</v>
      </c>
      <c r="B10" s="32" t="s">
        <v>54989</v>
      </c>
      <c r="C10" s="31">
        <v>135.0</v>
      </c>
      <c r="D10" s="32" t="s">
        <v>54990</v>
      </c>
      <c r="E10" s="32" t="s">
        <v>54991</v>
      </c>
      <c r="F10" s="33">
        <v>7.0</v>
      </c>
      <c r="G10" s="31">
        <v>1.35870071E8</v>
      </c>
    </row>
    <row r="11" ht="12.75" customHeight="1">
      <c r="A11" s="27">
        <v>487.0</v>
      </c>
      <c r="B11" s="28" t="s">
        <v>54992</v>
      </c>
      <c r="C11" s="27">
        <v>135.0</v>
      </c>
      <c r="D11" s="28" t="s">
        <v>54993</v>
      </c>
      <c r="E11" s="28" t="s">
        <v>54994</v>
      </c>
      <c r="F11" s="29">
        <v>10.0</v>
      </c>
      <c r="G11" s="27">
        <v>1.35870105E8</v>
      </c>
    </row>
    <row r="12" ht="12.75" customHeight="1">
      <c r="A12" s="31">
        <v>487.0</v>
      </c>
      <c r="B12" s="32" t="s">
        <v>54995</v>
      </c>
      <c r="C12" s="31">
        <v>135.0</v>
      </c>
      <c r="D12" s="32" t="s">
        <v>54996</v>
      </c>
      <c r="E12" s="32" t="s">
        <v>54997</v>
      </c>
      <c r="F12" s="33">
        <v>19.0</v>
      </c>
      <c r="G12" s="31">
        <v>1.35870192E8</v>
      </c>
    </row>
    <row r="13" ht="12.75" customHeight="1">
      <c r="A13" s="27">
        <v>487.0</v>
      </c>
      <c r="B13" s="28" t="s">
        <v>54998</v>
      </c>
      <c r="C13" s="27">
        <v>135.0</v>
      </c>
      <c r="D13" s="28" t="s">
        <v>54999</v>
      </c>
      <c r="E13" s="28" t="s">
        <v>55000</v>
      </c>
      <c r="F13" s="29">
        <v>31.0</v>
      </c>
      <c r="G13" s="27">
        <v>1.35870318E8</v>
      </c>
    </row>
    <row r="14" ht="12.75" customHeight="1">
      <c r="A14" s="31">
        <v>487.0</v>
      </c>
      <c r="B14" s="32" t="s">
        <v>55001</v>
      </c>
      <c r="C14" s="31">
        <v>135.0</v>
      </c>
      <c r="D14" s="32" t="s">
        <v>55002</v>
      </c>
      <c r="E14" s="32" t="s">
        <v>55003</v>
      </c>
      <c r="F14" s="33">
        <v>61.0</v>
      </c>
      <c r="G14" s="31">
        <v>1.35870613E8</v>
      </c>
    </row>
    <row r="15" ht="12.75" customHeight="1">
      <c r="A15" s="27">
        <v>487.0</v>
      </c>
      <c r="B15" s="28" t="s">
        <v>55004</v>
      </c>
      <c r="C15" s="27">
        <v>135.0</v>
      </c>
      <c r="D15" s="28" t="s">
        <v>55005</v>
      </c>
      <c r="E15" s="28" t="s">
        <v>55006</v>
      </c>
      <c r="F15" s="29">
        <v>97.0</v>
      </c>
      <c r="G15" s="27">
        <v>1.35870976E8</v>
      </c>
    </row>
    <row r="16" ht="12.75" customHeight="1">
      <c r="A16" s="31">
        <v>487.0</v>
      </c>
      <c r="B16" s="32" t="s">
        <v>55007</v>
      </c>
      <c r="C16" s="31">
        <v>135.0</v>
      </c>
      <c r="D16" s="32" t="s">
        <v>55008</v>
      </c>
      <c r="E16" s="32" t="s">
        <v>55009</v>
      </c>
      <c r="F16" s="31">
        <v>103.0</v>
      </c>
      <c r="G16" s="31">
        <v>1.35871038E8</v>
      </c>
    </row>
    <row r="17" ht="12.75" customHeight="1">
      <c r="A17" s="27">
        <v>487.0</v>
      </c>
      <c r="B17" s="28" t="s">
        <v>55010</v>
      </c>
      <c r="C17" s="27">
        <v>135.0</v>
      </c>
      <c r="D17" s="28" t="s">
        <v>55011</v>
      </c>
      <c r="E17" s="28" t="s">
        <v>55012</v>
      </c>
      <c r="F17" s="27">
        <v>112.0</v>
      </c>
      <c r="G17" s="27">
        <v>1.3587112E8</v>
      </c>
    </row>
    <row r="18" ht="12.75" customHeight="1">
      <c r="A18" s="31">
        <v>487.0</v>
      </c>
      <c r="B18" s="32" t="s">
        <v>55013</v>
      </c>
      <c r="C18" s="31">
        <v>135.0</v>
      </c>
      <c r="D18" s="32" t="s">
        <v>55014</v>
      </c>
      <c r="E18" s="32" t="s">
        <v>55015</v>
      </c>
      <c r="F18" s="31">
        <v>115.0</v>
      </c>
      <c r="G18" s="31">
        <v>1.35871159E8</v>
      </c>
    </row>
    <row r="19" ht="12.75" customHeight="1">
      <c r="A19" s="27">
        <v>487.0</v>
      </c>
      <c r="B19" s="28" t="s">
        <v>55016</v>
      </c>
      <c r="C19" s="27">
        <v>135.0</v>
      </c>
      <c r="D19" s="28" t="s">
        <v>55017</v>
      </c>
      <c r="E19" s="28" t="s">
        <v>55018</v>
      </c>
      <c r="F19" s="27">
        <v>121.0</v>
      </c>
      <c r="G19" s="27">
        <v>1.35871212E8</v>
      </c>
    </row>
    <row r="20" ht="12.75" customHeight="1">
      <c r="A20" s="31">
        <v>487.0</v>
      </c>
      <c r="B20" s="32" t="s">
        <v>55019</v>
      </c>
      <c r="C20" s="31">
        <v>135.0</v>
      </c>
      <c r="D20" s="32" t="s">
        <v>55020</v>
      </c>
      <c r="E20" s="32" t="s">
        <v>55021</v>
      </c>
      <c r="F20" s="31">
        <v>127.0</v>
      </c>
      <c r="G20" s="31">
        <v>1.3587127E8</v>
      </c>
    </row>
    <row r="21" ht="12.75" customHeight="1">
      <c r="A21" s="27">
        <v>487.0</v>
      </c>
      <c r="B21" s="28" t="s">
        <v>55022</v>
      </c>
      <c r="C21" s="27">
        <v>135.0</v>
      </c>
      <c r="D21" s="28" t="s">
        <v>55023</v>
      </c>
      <c r="E21" s="28" t="s">
        <v>55024</v>
      </c>
      <c r="F21" s="27">
        <v>130.0</v>
      </c>
      <c r="G21" s="27">
        <v>1.35871304E8</v>
      </c>
    </row>
    <row r="22" ht="12.75" customHeight="1">
      <c r="A22" s="31">
        <v>487.0</v>
      </c>
      <c r="B22" s="32" t="s">
        <v>55025</v>
      </c>
      <c r="C22" s="31">
        <v>135.0</v>
      </c>
      <c r="D22" s="32" t="s">
        <v>55026</v>
      </c>
      <c r="E22" s="32" t="s">
        <v>55027</v>
      </c>
      <c r="F22" s="31">
        <v>133.0</v>
      </c>
      <c r="G22" s="31">
        <v>1.35871333E8</v>
      </c>
    </row>
    <row r="23" ht="12.75" customHeight="1">
      <c r="A23" s="27">
        <v>688.0</v>
      </c>
      <c r="B23" s="28" t="s">
        <v>55028</v>
      </c>
      <c r="C23" s="27">
        <v>135.0</v>
      </c>
      <c r="D23" s="28" t="s">
        <v>55029</v>
      </c>
      <c r="E23" s="28" t="s">
        <v>55030</v>
      </c>
      <c r="F23" s="29">
        <v>4.0</v>
      </c>
      <c r="G23" s="27">
        <v>1.35880045E8</v>
      </c>
    </row>
    <row r="24" ht="12.75" customHeight="1">
      <c r="A24" s="31">
        <v>688.0</v>
      </c>
      <c r="B24" s="32" t="s">
        <v>55031</v>
      </c>
      <c r="C24" s="31">
        <v>135.0</v>
      </c>
      <c r="D24" s="32" t="s">
        <v>55032</v>
      </c>
      <c r="E24" s="32" t="s">
        <v>55033</v>
      </c>
      <c r="F24" s="33">
        <v>10.0</v>
      </c>
      <c r="G24" s="31">
        <v>1.35880108E8</v>
      </c>
    </row>
    <row r="25" ht="12.75" customHeight="1">
      <c r="A25" s="27">
        <v>688.0</v>
      </c>
      <c r="B25" s="28" t="s">
        <v>55034</v>
      </c>
      <c r="C25" s="27">
        <v>135.0</v>
      </c>
      <c r="D25" s="28" t="s">
        <v>55035</v>
      </c>
      <c r="E25" s="28" t="s">
        <v>55036</v>
      </c>
      <c r="F25" s="29">
        <v>13.0</v>
      </c>
      <c r="G25" s="27">
        <v>1.35880137E8</v>
      </c>
    </row>
    <row r="26" ht="12.75" customHeight="1">
      <c r="A26" s="31">
        <v>688.0</v>
      </c>
      <c r="B26" s="32" t="s">
        <v>55037</v>
      </c>
      <c r="C26" s="31">
        <v>135.0</v>
      </c>
      <c r="D26" s="32" t="s">
        <v>55038</v>
      </c>
      <c r="E26" s="32" t="s">
        <v>55039</v>
      </c>
      <c r="F26" s="33">
        <v>19.0</v>
      </c>
      <c r="G26" s="31">
        <v>1.35880195E8</v>
      </c>
    </row>
    <row r="27" ht="12.75" customHeight="1">
      <c r="A27" s="27">
        <v>688.0</v>
      </c>
      <c r="B27" s="28" t="s">
        <v>55040</v>
      </c>
      <c r="C27" s="27">
        <v>135.0</v>
      </c>
      <c r="D27" s="28" t="s">
        <v>55041</v>
      </c>
      <c r="E27" s="28" t="s">
        <v>55042</v>
      </c>
      <c r="F27" s="29">
        <v>56.0</v>
      </c>
      <c r="G27" s="27">
        <v>1.35880566E8</v>
      </c>
    </row>
    <row r="28" ht="12.75" customHeight="1">
      <c r="A28" s="31">
        <v>688.0</v>
      </c>
      <c r="B28" s="32" t="s">
        <v>55043</v>
      </c>
      <c r="C28" s="31">
        <v>135.0</v>
      </c>
      <c r="D28" s="32" t="s">
        <v>55044</v>
      </c>
      <c r="E28" s="32" t="s">
        <v>55045</v>
      </c>
      <c r="F28" s="33">
        <v>61.0</v>
      </c>
      <c r="G28" s="31">
        <v>1.35880616E8</v>
      </c>
    </row>
    <row r="29" ht="12.75" customHeight="1">
      <c r="A29" s="27">
        <v>688.0</v>
      </c>
      <c r="B29" s="28" t="s">
        <v>55046</v>
      </c>
      <c r="C29" s="27">
        <v>135.0</v>
      </c>
      <c r="D29" s="28" t="s">
        <v>55047</v>
      </c>
      <c r="E29" s="28" t="s">
        <v>55048</v>
      </c>
      <c r="F29" s="29">
        <v>64.0</v>
      </c>
      <c r="G29" s="27">
        <v>1.35880645E8</v>
      </c>
    </row>
    <row r="30" ht="12.75" customHeight="1">
      <c r="A30" s="31">
        <v>688.0</v>
      </c>
      <c r="B30" s="32" t="s">
        <v>55049</v>
      </c>
      <c r="C30" s="31">
        <v>135.0</v>
      </c>
      <c r="D30" s="32" t="s">
        <v>55050</v>
      </c>
      <c r="E30" s="32" t="s">
        <v>55051</v>
      </c>
      <c r="F30" s="33">
        <v>67.0</v>
      </c>
      <c r="G30" s="31">
        <v>1.35880674E8</v>
      </c>
    </row>
    <row r="31" ht="12.75" customHeight="1">
      <c r="A31" s="27">
        <v>688.0</v>
      </c>
      <c r="B31" s="28" t="s">
        <v>55052</v>
      </c>
      <c r="C31" s="27">
        <v>135.0</v>
      </c>
      <c r="D31" s="28" t="s">
        <v>55053</v>
      </c>
      <c r="E31" s="28" t="s">
        <v>55054</v>
      </c>
      <c r="F31" s="29">
        <v>70.0</v>
      </c>
      <c r="G31" s="27">
        <v>1.35880708E8</v>
      </c>
    </row>
    <row r="32" ht="12.75" customHeight="1">
      <c r="A32" s="31">
        <v>688.0</v>
      </c>
      <c r="B32" s="32" t="s">
        <v>55055</v>
      </c>
      <c r="C32" s="31">
        <v>135.0</v>
      </c>
      <c r="D32" s="32" t="s">
        <v>55056</v>
      </c>
      <c r="E32" s="32" t="s">
        <v>55057</v>
      </c>
      <c r="F32" s="33">
        <v>76.0</v>
      </c>
      <c r="G32" s="31">
        <v>1.35880766E8</v>
      </c>
    </row>
    <row r="33" ht="12.75" customHeight="1">
      <c r="A33" s="27">
        <v>688.0</v>
      </c>
      <c r="B33" s="28" t="s">
        <v>55058</v>
      </c>
      <c r="C33" s="27">
        <v>135.0</v>
      </c>
      <c r="D33" s="28" t="s">
        <v>55059</v>
      </c>
      <c r="E33" s="28" t="s">
        <v>55060</v>
      </c>
      <c r="F33" s="29">
        <v>79.0</v>
      </c>
      <c r="G33" s="27">
        <v>1.35880795E8</v>
      </c>
    </row>
    <row r="34" ht="12.75" customHeight="1">
      <c r="A34" s="31">
        <v>688.0</v>
      </c>
      <c r="B34" s="32" t="s">
        <v>55061</v>
      </c>
      <c r="C34" s="31">
        <v>135.0</v>
      </c>
      <c r="D34" s="32" t="s">
        <v>55062</v>
      </c>
      <c r="E34" s="32" t="s">
        <v>55063</v>
      </c>
      <c r="F34" s="33">
        <v>91.0</v>
      </c>
      <c r="G34" s="31">
        <v>1.35880911E8</v>
      </c>
    </row>
    <row r="35" ht="12.75" customHeight="1">
      <c r="A35" s="27">
        <v>688.0</v>
      </c>
      <c r="B35" s="28" t="s">
        <v>55064</v>
      </c>
      <c r="C35" s="27">
        <v>135.0</v>
      </c>
      <c r="D35" s="28" t="s">
        <v>55065</v>
      </c>
      <c r="E35" s="28" t="s">
        <v>55066</v>
      </c>
      <c r="F35" s="29">
        <v>97.0</v>
      </c>
      <c r="G35" s="27">
        <v>1.35880979E8</v>
      </c>
    </row>
    <row r="36" ht="12.75" customHeight="1">
      <c r="A36" s="31">
        <v>688.0</v>
      </c>
      <c r="B36" s="32" t="s">
        <v>55067</v>
      </c>
      <c r="C36" s="31">
        <v>135.0</v>
      </c>
      <c r="D36" s="32" t="s">
        <v>55068</v>
      </c>
      <c r="E36" s="32" t="s">
        <v>55069</v>
      </c>
      <c r="F36" s="31">
        <v>127.0</v>
      </c>
      <c r="G36" s="31">
        <v>1.35881273E8</v>
      </c>
    </row>
    <row r="37" ht="12.75" customHeight="1">
      <c r="A37" s="27">
        <v>688.0</v>
      </c>
      <c r="B37" s="28" t="s">
        <v>55070</v>
      </c>
      <c r="C37" s="27">
        <v>135.0</v>
      </c>
      <c r="D37" s="28" t="s">
        <v>55071</v>
      </c>
      <c r="E37" s="28" t="s">
        <v>55072</v>
      </c>
      <c r="F37" s="27">
        <v>133.0</v>
      </c>
      <c r="G37" s="27">
        <v>1.35881336E8</v>
      </c>
    </row>
    <row r="38" ht="12.75" customHeight="1">
      <c r="A38" s="31">
        <v>688.0</v>
      </c>
      <c r="B38" s="32" t="s">
        <v>55073</v>
      </c>
      <c r="C38" s="31">
        <v>135.0</v>
      </c>
      <c r="D38" s="32" t="s">
        <v>55074</v>
      </c>
      <c r="E38" s="32" t="s">
        <v>55075</v>
      </c>
      <c r="F38" s="31">
        <v>172.0</v>
      </c>
      <c r="G38" s="31">
        <v>1.35881723E8</v>
      </c>
    </row>
    <row r="39" ht="12.75" customHeight="1">
      <c r="A39" s="27">
        <v>688.0</v>
      </c>
      <c r="B39" s="28" t="s">
        <v>55076</v>
      </c>
      <c r="C39" s="27">
        <v>135.0</v>
      </c>
      <c r="D39" s="28" t="s">
        <v>55077</v>
      </c>
      <c r="E39" s="28" t="s">
        <v>55078</v>
      </c>
      <c r="F39" s="27">
        <v>175.0</v>
      </c>
      <c r="G39" s="27">
        <v>1.35881752E8</v>
      </c>
    </row>
    <row r="40" ht="12.75" customHeight="1">
      <c r="A40" s="31">
        <v>688.0</v>
      </c>
      <c r="B40" s="32" t="s">
        <v>55079</v>
      </c>
      <c r="C40" s="31">
        <v>135.0</v>
      </c>
      <c r="D40" s="32" t="s">
        <v>55080</v>
      </c>
      <c r="E40" s="32" t="s">
        <v>55081</v>
      </c>
      <c r="F40" s="31">
        <v>184.0</v>
      </c>
      <c r="G40" s="31">
        <v>1.35881844E8</v>
      </c>
    </row>
    <row r="41" ht="12.75" customHeight="1">
      <c r="A41" s="27">
        <v>688.0</v>
      </c>
      <c r="B41" s="28" t="s">
        <v>55082</v>
      </c>
      <c r="C41" s="27">
        <v>135.0</v>
      </c>
      <c r="D41" s="28" t="s">
        <v>55083</v>
      </c>
      <c r="E41" s="28" t="s">
        <v>55084</v>
      </c>
      <c r="F41" s="27">
        <v>187.0</v>
      </c>
      <c r="G41" s="27">
        <v>1.35881873E8</v>
      </c>
    </row>
    <row r="42" ht="12.75" customHeight="1">
      <c r="A42" s="31">
        <v>688.0</v>
      </c>
      <c r="B42" s="32" t="s">
        <v>55085</v>
      </c>
      <c r="C42" s="31">
        <v>135.0</v>
      </c>
      <c r="D42" s="32" t="s">
        <v>55086</v>
      </c>
      <c r="E42" s="32" t="s">
        <v>55087</v>
      </c>
      <c r="F42" s="31">
        <v>190.0</v>
      </c>
      <c r="G42" s="31">
        <v>1.35881907E8</v>
      </c>
    </row>
    <row r="43" ht="12.75" customHeight="1">
      <c r="A43" s="27">
        <v>688.0</v>
      </c>
      <c r="B43" s="28" t="s">
        <v>55088</v>
      </c>
      <c r="C43" s="27">
        <v>135.0</v>
      </c>
      <c r="D43" s="28" t="s">
        <v>55089</v>
      </c>
      <c r="E43" s="28" t="s">
        <v>55090</v>
      </c>
      <c r="F43" s="27">
        <v>196.0</v>
      </c>
      <c r="G43" s="27">
        <v>1.35881965E8</v>
      </c>
    </row>
    <row r="44" ht="12.75" customHeight="1">
      <c r="A44" s="31">
        <v>688.0</v>
      </c>
      <c r="B44" s="32" t="s">
        <v>55091</v>
      </c>
      <c r="C44" s="31">
        <v>135.0</v>
      </c>
      <c r="D44" s="32" t="s">
        <v>55092</v>
      </c>
      <c r="E44" s="32" t="s">
        <v>55093</v>
      </c>
      <c r="F44" s="31">
        <v>214.0</v>
      </c>
      <c r="G44" s="31">
        <v>1.35882148E8</v>
      </c>
    </row>
    <row r="45" ht="12.75" customHeight="1">
      <c r="A45" s="27">
        <v>688.0</v>
      </c>
      <c r="B45" s="28" t="s">
        <v>55094</v>
      </c>
      <c r="C45" s="27">
        <v>135.0</v>
      </c>
      <c r="D45" s="28" t="s">
        <v>55095</v>
      </c>
      <c r="E45" s="28" t="s">
        <v>55096</v>
      </c>
      <c r="F45" s="27">
        <v>217.0</v>
      </c>
      <c r="G45" s="27">
        <v>1.35882177E8</v>
      </c>
    </row>
    <row r="46" ht="12.75" customHeight="1">
      <c r="A46" s="31">
        <v>688.0</v>
      </c>
      <c r="B46" s="32" t="s">
        <v>55097</v>
      </c>
      <c r="C46" s="31">
        <v>135.0</v>
      </c>
      <c r="D46" s="32" t="s">
        <v>55098</v>
      </c>
      <c r="E46" s="32" t="s">
        <v>55099</v>
      </c>
      <c r="F46" s="31">
        <v>223.0</v>
      </c>
      <c r="G46" s="31">
        <v>1.3588223E8</v>
      </c>
    </row>
    <row r="47" ht="12.75" customHeight="1">
      <c r="A47" s="27">
        <v>189.0</v>
      </c>
      <c r="B47" s="28" t="s">
        <v>55100</v>
      </c>
      <c r="C47" s="27">
        <v>135.0</v>
      </c>
      <c r="D47" s="28" t="s">
        <v>55101</v>
      </c>
      <c r="E47" s="28" t="s">
        <v>55102</v>
      </c>
      <c r="F47" s="29">
        <v>10.0</v>
      </c>
      <c r="G47" s="27">
        <v>1.35890101E8</v>
      </c>
    </row>
    <row r="48" ht="12.75" customHeight="1">
      <c r="A48" s="31">
        <v>189.0</v>
      </c>
      <c r="B48" s="32" t="s">
        <v>55103</v>
      </c>
      <c r="C48" s="31">
        <v>135.0</v>
      </c>
      <c r="D48" s="32" t="s">
        <v>55104</v>
      </c>
      <c r="E48" s="32" t="s">
        <v>55105</v>
      </c>
      <c r="F48" s="33">
        <v>16.0</v>
      </c>
      <c r="G48" s="31">
        <v>1.35890169E8</v>
      </c>
    </row>
    <row r="49" ht="12.75" customHeight="1">
      <c r="A49" s="27">
        <v>189.0</v>
      </c>
      <c r="B49" s="28" t="s">
        <v>55106</v>
      </c>
      <c r="C49" s="27">
        <v>135.0</v>
      </c>
      <c r="D49" s="28" t="s">
        <v>55107</v>
      </c>
      <c r="E49" s="28" t="s">
        <v>55108</v>
      </c>
      <c r="F49" s="29">
        <v>22.0</v>
      </c>
      <c r="G49" s="27">
        <v>1.35890222E8</v>
      </c>
    </row>
    <row r="50" ht="12.75" customHeight="1">
      <c r="A50" s="31">
        <v>189.0</v>
      </c>
      <c r="B50" s="32" t="s">
        <v>55109</v>
      </c>
      <c r="C50" s="31">
        <v>135.0</v>
      </c>
      <c r="D50" s="32" t="s">
        <v>55110</v>
      </c>
      <c r="E50" s="32" t="s">
        <v>55111</v>
      </c>
      <c r="F50" s="33">
        <v>46.0</v>
      </c>
      <c r="G50" s="31">
        <v>1.35890464E8</v>
      </c>
    </row>
    <row r="51" ht="12.75" customHeight="1">
      <c r="A51" s="27">
        <v>189.0</v>
      </c>
      <c r="B51" s="28" t="s">
        <v>55112</v>
      </c>
      <c r="C51" s="27">
        <v>135.0</v>
      </c>
      <c r="D51" s="28" t="s">
        <v>55113</v>
      </c>
      <c r="E51" s="28" t="s">
        <v>55114</v>
      </c>
      <c r="F51" s="29">
        <v>61.0</v>
      </c>
      <c r="G51" s="27">
        <v>1.35890619E8</v>
      </c>
    </row>
    <row r="52" ht="12.75" customHeight="1">
      <c r="A52" s="31">
        <v>890.0</v>
      </c>
      <c r="B52" s="32" t="s">
        <v>55115</v>
      </c>
      <c r="C52" s="31">
        <v>135.0</v>
      </c>
      <c r="D52" s="32" t="s">
        <v>55116</v>
      </c>
      <c r="E52" s="32" t="s">
        <v>55117</v>
      </c>
      <c r="F52" s="33">
        <v>13.0</v>
      </c>
      <c r="G52" s="31">
        <v>1.35900138E8</v>
      </c>
    </row>
    <row r="53" ht="12.75" customHeight="1">
      <c r="A53" s="27">
        <v>890.0</v>
      </c>
      <c r="B53" s="28" t="s">
        <v>55118</v>
      </c>
      <c r="C53" s="27">
        <v>135.0</v>
      </c>
      <c r="D53" s="28" t="s">
        <v>55119</v>
      </c>
      <c r="E53" s="28" t="s">
        <v>55120</v>
      </c>
      <c r="F53" s="29">
        <v>22.0</v>
      </c>
      <c r="G53" s="27">
        <v>1.3590022E8</v>
      </c>
    </row>
    <row r="54" ht="12.75" customHeight="1">
      <c r="A54" s="31">
        <v>890.0</v>
      </c>
      <c r="B54" s="32" t="s">
        <v>55121</v>
      </c>
      <c r="C54" s="31">
        <v>135.0</v>
      </c>
      <c r="D54" s="32" t="s">
        <v>55122</v>
      </c>
      <c r="E54" s="32" t="s">
        <v>55123</v>
      </c>
      <c r="F54" s="33">
        <v>25.0</v>
      </c>
      <c r="G54" s="31">
        <v>1.35900259E8</v>
      </c>
    </row>
    <row r="55" ht="12.75" customHeight="1">
      <c r="A55" s="27">
        <v>890.0</v>
      </c>
      <c r="B55" s="28" t="s">
        <v>55124</v>
      </c>
      <c r="C55" s="27">
        <v>135.0</v>
      </c>
      <c r="D55" s="28" t="s">
        <v>55125</v>
      </c>
      <c r="E55" s="28" t="s">
        <v>55126</v>
      </c>
      <c r="F55" s="29">
        <v>40.0</v>
      </c>
      <c r="G55" s="27">
        <v>1.35900404E8</v>
      </c>
    </row>
    <row r="56" ht="12.75" customHeight="1">
      <c r="A56" s="31">
        <v>890.0</v>
      </c>
      <c r="B56" s="32" t="s">
        <v>55127</v>
      </c>
      <c r="C56" s="31">
        <v>135.0</v>
      </c>
      <c r="D56" s="32" t="s">
        <v>55128</v>
      </c>
      <c r="E56" s="32" t="s">
        <v>55129</v>
      </c>
      <c r="F56" s="33">
        <v>49.0</v>
      </c>
      <c r="G56" s="31">
        <v>1.35900491E8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890.0</v>
      </c>
      <c r="B1" s="28" t="s">
        <v>55130</v>
      </c>
      <c r="C1" s="27">
        <v>135.0</v>
      </c>
      <c r="D1" s="28" t="s">
        <v>55131</v>
      </c>
      <c r="E1" s="28" t="s">
        <v>55132</v>
      </c>
      <c r="F1" s="29">
        <v>55.0</v>
      </c>
      <c r="G1" s="27">
        <v>1.35900554E8</v>
      </c>
    </row>
    <row r="2" ht="12.75" customHeight="1">
      <c r="A2" s="31">
        <v>890.0</v>
      </c>
      <c r="B2" s="32" t="s">
        <v>55133</v>
      </c>
      <c r="C2" s="31">
        <v>135.0</v>
      </c>
      <c r="D2" s="32" t="s">
        <v>55134</v>
      </c>
      <c r="E2" s="32" t="s">
        <v>55135</v>
      </c>
      <c r="F2" s="33">
        <v>79.0</v>
      </c>
      <c r="G2" s="31">
        <v>1.35900796E8</v>
      </c>
    </row>
    <row r="3" ht="12.75" customHeight="1">
      <c r="A3" s="27">
        <v>890.0</v>
      </c>
      <c r="B3" s="28" t="s">
        <v>55136</v>
      </c>
      <c r="C3" s="27">
        <v>135.0</v>
      </c>
      <c r="D3" s="28" t="s">
        <v>55137</v>
      </c>
      <c r="E3" s="28" t="s">
        <v>55138</v>
      </c>
      <c r="F3" s="29">
        <v>85.0</v>
      </c>
      <c r="G3" s="27">
        <v>1.35900859E8</v>
      </c>
    </row>
    <row r="4" ht="12.75" customHeight="1">
      <c r="A4" s="31">
        <v>890.0</v>
      </c>
      <c r="B4" s="32" t="s">
        <v>55139</v>
      </c>
      <c r="C4" s="31">
        <v>135.0</v>
      </c>
      <c r="D4" s="32" t="s">
        <v>55140</v>
      </c>
      <c r="E4" s="32" t="s">
        <v>55141</v>
      </c>
      <c r="F4" s="33">
        <v>94.0</v>
      </c>
      <c r="G4" s="31">
        <v>1.35900941E8</v>
      </c>
    </row>
    <row r="5" ht="12.75" customHeight="1">
      <c r="A5" s="27">
        <v>890.0</v>
      </c>
      <c r="B5" s="28" t="s">
        <v>55142</v>
      </c>
      <c r="C5" s="27">
        <v>135.0</v>
      </c>
      <c r="D5" s="28" t="s">
        <v>55143</v>
      </c>
      <c r="E5" s="28" t="s">
        <v>55144</v>
      </c>
      <c r="F5" s="27">
        <v>100.0</v>
      </c>
      <c r="G5" s="27">
        <v>1.35901003E8</v>
      </c>
    </row>
    <row r="6" ht="12.75" customHeight="1">
      <c r="A6" s="31">
        <v>890.0</v>
      </c>
      <c r="B6" s="32" t="s">
        <v>55145</v>
      </c>
      <c r="C6" s="31">
        <v>135.0</v>
      </c>
      <c r="D6" s="32" t="s">
        <v>55146</v>
      </c>
      <c r="E6" s="32" t="s">
        <v>55147</v>
      </c>
      <c r="F6" s="31">
        <v>115.0</v>
      </c>
      <c r="G6" s="31">
        <v>1.35901153E8</v>
      </c>
    </row>
    <row r="7" ht="12.75" customHeight="1">
      <c r="A7" s="27">
        <v>891.0</v>
      </c>
      <c r="B7" s="28" t="s">
        <v>55148</v>
      </c>
      <c r="C7" s="27">
        <v>135.0</v>
      </c>
      <c r="D7" s="28" t="s">
        <v>55149</v>
      </c>
      <c r="E7" s="28" t="s">
        <v>55150</v>
      </c>
      <c r="F7" s="29">
        <v>31.0</v>
      </c>
      <c r="G7" s="27">
        <v>1.35910315E8</v>
      </c>
    </row>
    <row r="8" ht="12.75" customHeight="1">
      <c r="A8" s="31">
        <v>891.0</v>
      </c>
      <c r="B8" s="32" t="s">
        <v>55151</v>
      </c>
      <c r="C8" s="31">
        <v>135.0</v>
      </c>
      <c r="D8" s="32" t="s">
        <v>55152</v>
      </c>
      <c r="E8" s="32" t="s">
        <v>55153</v>
      </c>
      <c r="F8" s="33">
        <v>37.0</v>
      </c>
      <c r="G8" s="31">
        <v>1.35910373E8</v>
      </c>
    </row>
    <row r="9" ht="12.75" customHeight="1">
      <c r="A9" s="27">
        <v>891.0</v>
      </c>
      <c r="B9" s="28" t="s">
        <v>55154</v>
      </c>
      <c r="C9" s="27">
        <v>135.0</v>
      </c>
      <c r="D9" s="28" t="s">
        <v>55155</v>
      </c>
      <c r="E9" s="28" t="s">
        <v>55156</v>
      </c>
      <c r="F9" s="29">
        <v>43.0</v>
      </c>
      <c r="G9" s="27">
        <v>1.35910436E8</v>
      </c>
    </row>
    <row r="10" ht="12.75" customHeight="1">
      <c r="A10" s="31">
        <v>891.0</v>
      </c>
      <c r="B10" s="32" t="s">
        <v>55157</v>
      </c>
      <c r="C10" s="31">
        <v>135.0</v>
      </c>
      <c r="D10" s="32" t="s">
        <v>55158</v>
      </c>
      <c r="E10" s="32" t="s">
        <v>55159</v>
      </c>
      <c r="F10" s="33">
        <v>58.0</v>
      </c>
      <c r="G10" s="31">
        <v>1.35910586E8</v>
      </c>
    </row>
    <row r="11" ht="12.75" customHeight="1">
      <c r="A11" s="27">
        <v>891.0</v>
      </c>
      <c r="B11" s="28" t="s">
        <v>55160</v>
      </c>
      <c r="C11" s="27">
        <v>135.0</v>
      </c>
      <c r="D11" s="28" t="s">
        <v>55161</v>
      </c>
      <c r="E11" s="28" t="s">
        <v>55162</v>
      </c>
      <c r="F11" s="29">
        <v>64.0</v>
      </c>
      <c r="G11" s="27">
        <v>1.35910649E8</v>
      </c>
    </row>
    <row r="12" ht="12.75" customHeight="1">
      <c r="A12" s="31">
        <v>891.0</v>
      </c>
      <c r="B12" s="32" t="s">
        <v>55163</v>
      </c>
      <c r="C12" s="31">
        <v>135.0</v>
      </c>
      <c r="D12" s="32" t="s">
        <v>55164</v>
      </c>
      <c r="E12" s="32" t="s">
        <v>55165</v>
      </c>
      <c r="F12" s="33">
        <v>91.0</v>
      </c>
      <c r="G12" s="31">
        <v>1.35910915E8</v>
      </c>
    </row>
    <row r="13" ht="12.75" customHeight="1">
      <c r="A13" s="27">
        <v>891.0</v>
      </c>
      <c r="B13" s="28" t="s">
        <v>55166</v>
      </c>
      <c r="C13" s="27">
        <v>135.0</v>
      </c>
      <c r="D13" s="28" t="s">
        <v>55167</v>
      </c>
      <c r="E13" s="28" t="s">
        <v>55168</v>
      </c>
      <c r="F13" s="27">
        <v>130.0</v>
      </c>
      <c r="G13" s="27">
        <v>1.35911301E8</v>
      </c>
    </row>
    <row r="14" ht="12.75" customHeight="1">
      <c r="A14" s="31">
        <v>891.0</v>
      </c>
      <c r="B14" s="32" t="s">
        <v>55169</v>
      </c>
      <c r="C14" s="31">
        <v>135.0</v>
      </c>
      <c r="D14" s="32" t="s">
        <v>55170</v>
      </c>
      <c r="E14" s="32" t="s">
        <v>55171</v>
      </c>
      <c r="F14" s="31">
        <v>136.0</v>
      </c>
      <c r="G14" s="31">
        <v>1.35911369E8</v>
      </c>
    </row>
    <row r="15" ht="12.75" customHeight="1">
      <c r="A15" s="27">
        <v>891.0</v>
      </c>
      <c r="B15" s="28" t="s">
        <v>55172</v>
      </c>
      <c r="C15" s="27">
        <v>135.0</v>
      </c>
      <c r="D15" s="28" t="s">
        <v>55173</v>
      </c>
      <c r="E15" s="28" t="s">
        <v>55174</v>
      </c>
      <c r="F15" s="27">
        <v>142.0</v>
      </c>
      <c r="G15" s="27">
        <v>1.35911422E8</v>
      </c>
    </row>
    <row r="16" ht="12.75" customHeight="1">
      <c r="A16" s="31">
        <v>891.0</v>
      </c>
      <c r="B16" s="32" t="s">
        <v>55175</v>
      </c>
      <c r="C16" s="31">
        <v>135.0</v>
      </c>
      <c r="D16" s="32" t="s">
        <v>55176</v>
      </c>
      <c r="E16" s="32" t="s">
        <v>55177</v>
      </c>
      <c r="F16" s="31">
        <v>145.0</v>
      </c>
      <c r="G16" s="31">
        <v>1.35911451E8</v>
      </c>
    </row>
    <row r="17" ht="12.75" customHeight="1">
      <c r="A17" s="27">
        <v>891.0</v>
      </c>
      <c r="B17" s="28" t="s">
        <v>55178</v>
      </c>
      <c r="C17" s="27">
        <v>135.0</v>
      </c>
      <c r="D17" s="28" t="s">
        <v>55179</v>
      </c>
      <c r="E17" s="28" t="s">
        <v>55180</v>
      </c>
      <c r="F17" s="27">
        <v>160.0</v>
      </c>
      <c r="G17" s="27">
        <v>1.35911606E8</v>
      </c>
    </row>
    <row r="18" ht="12.75" customHeight="1">
      <c r="A18" s="31">
        <v>891.0</v>
      </c>
      <c r="B18" s="32" t="s">
        <v>55181</v>
      </c>
      <c r="C18" s="31">
        <v>135.0</v>
      </c>
      <c r="D18" s="32" t="s">
        <v>55182</v>
      </c>
      <c r="E18" s="32" t="s">
        <v>55183</v>
      </c>
      <c r="F18" s="31">
        <v>196.0</v>
      </c>
      <c r="G18" s="31">
        <v>1.35911969E8</v>
      </c>
    </row>
    <row r="19" ht="12.75" customHeight="1">
      <c r="A19" s="27">
        <v>891.0</v>
      </c>
      <c r="B19" s="28" t="s">
        <v>55184</v>
      </c>
      <c r="C19" s="27">
        <v>135.0</v>
      </c>
      <c r="D19" s="28" t="s">
        <v>55185</v>
      </c>
      <c r="E19" s="28" t="s">
        <v>55186</v>
      </c>
      <c r="F19" s="27">
        <v>208.0</v>
      </c>
      <c r="G19" s="27">
        <v>1.35912089E8</v>
      </c>
    </row>
    <row r="20" ht="12.75" customHeight="1">
      <c r="A20" s="31">
        <v>891.0</v>
      </c>
      <c r="B20" s="32" t="s">
        <v>55187</v>
      </c>
      <c r="C20" s="31">
        <v>135.0</v>
      </c>
      <c r="D20" s="32" t="s">
        <v>55188</v>
      </c>
      <c r="E20" s="32" t="s">
        <v>55189</v>
      </c>
      <c r="F20" s="31">
        <v>217.0</v>
      </c>
      <c r="G20" s="31">
        <v>1.35912171E8</v>
      </c>
    </row>
    <row r="21" ht="12.75" customHeight="1">
      <c r="A21" s="27">
        <v>891.0</v>
      </c>
      <c r="B21" s="28" t="s">
        <v>55190</v>
      </c>
      <c r="C21" s="27">
        <v>135.0</v>
      </c>
      <c r="D21" s="28" t="s">
        <v>55191</v>
      </c>
      <c r="E21" s="28" t="s">
        <v>55192</v>
      </c>
      <c r="F21" s="27">
        <v>235.0</v>
      </c>
      <c r="G21" s="27">
        <v>1.35912355E8</v>
      </c>
    </row>
    <row r="22" ht="12.75" customHeight="1">
      <c r="A22" s="31">
        <v>891.0</v>
      </c>
      <c r="B22" s="32" t="s">
        <v>55193</v>
      </c>
      <c r="C22" s="31">
        <v>135.0</v>
      </c>
      <c r="D22" s="32" t="s">
        <v>55194</v>
      </c>
      <c r="E22" s="32" t="s">
        <v>55195</v>
      </c>
      <c r="F22" s="31">
        <v>319.0</v>
      </c>
      <c r="G22" s="31">
        <v>1.35913196E8</v>
      </c>
    </row>
    <row r="23" ht="12.75" customHeight="1">
      <c r="A23" s="27">
        <v>891.0</v>
      </c>
      <c r="B23" s="28" t="s">
        <v>55196</v>
      </c>
      <c r="C23" s="27">
        <v>135.0</v>
      </c>
      <c r="D23" s="28" t="s">
        <v>55197</v>
      </c>
      <c r="E23" s="28" t="s">
        <v>55198</v>
      </c>
      <c r="F23" s="27">
        <v>325.0</v>
      </c>
      <c r="G23" s="27">
        <v>1.35913259E8</v>
      </c>
    </row>
    <row r="24" ht="12.75" customHeight="1">
      <c r="A24" s="31">
        <v>891.0</v>
      </c>
      <c r="B24" s="32" t="s">
        <v>55199</v>
      </c>
      <c r="C24" s="31">
        <v>135.0</v>
      </c>
      <c r="D24" s="32" t="s">
        <v>55200</v>
      </c>
      <c r="E24" s="32" t="s">
        <v>55201</v>
      </c>
      <c r="F24" s="31">
        <v>328.0</v>
      </c>
      <c r="G24" s="31">
        <v>1.35913288E8</v>
      </c>
    </row>
    <row r="25" ht="12.75" customHeight="1">
      <c r="A25" s="27">
        <v>891.0</v>
      </c>
      <c r="B25" s="28" t="s">
        <v>55202</v>
      </c>
      <c r="C25" s="27">
        <v>135.0</v>
      </c>
      <c r="D25" s="28" t="s">
        <v>55203</v>
      </c>
      <c r="E25" s="28" t="s">
        <v>55204</v>
      </c>
      <c r="F25" s="27">
        <v>334.0</v>
      </c>
      <c r="G25" s="27">
        <v>1.35913341E8</v>
      </c>
    </row>
    <row r="26" ht="12.75" customHeight="1">
      <c r="A26" s="31">
        <v>891.0</v>
      </c>
      <c r="B26" s="32" t="s">
        <v>55205</v>
      </c>
      <c r="C26" s="31">
        <v>135.0</v>
      </c>
      <c r="D26" s="32" t="s">
        <v>55206</v>
      </c>
      <c r="E26" s="32" t="s">
        <v>55207</v>
      </c>
      <c r="F26" s="31">
        <v>346.0</v>
      </c>
      <c r="G26" s="31">
        <v>1.35913462E8</v>
      </c>
    </row>
    <row r="27" ht="12.75" customHeight="1">
      <c r="A27" s="27">
        <v>891.0</v>
      </c>
      <c r="B27" s="28" t="s">
        <v>55208</v>
      </c>
      <c r="C27" s="27">
        <v>135.0</v>
      </c>
      <c r="D27" s="28" t="s">
        <v>55209</v>
      </c>
      <c r="E27" s="28" t="s">
        <v>55210</v>
      </c>
      <c r="F27" s="27">
        <v>364.0</v>
      </c>
      <c r="G27" s="27">
        <v>1.35913646E8</v>
      </c>
    </row>
    <row r="28" ht="12.75" customHeight="1">
      <c r="A28" s="31">
        <v>891.0</v>
      </c>
      <c r="B28" s="32" t="s">
        <v>55211</v>
      </c>
      <c r="C28" s="31">
        <v>135.0</v>
      </c>
      <c r="D28" s="32" t="s">
        <v>55212</v>
      </c>
      <c r="E28" s="32" t="s">
        <v>55213</v>
      </c>
      <c r="F28" s="31">
        <v>382.0</v>
      </c>
      <c r="G28" s="31">
        <v>1.3591382E8</v>
      </c>
    </row>
    <row r="29" ht="12.75" customHeight="1">
      <c r="A29" s="27">
        <v>891.0</v>
      </c>
      <c r="B29" s="28" t="s">
        <v>55214</v>
      </c>
      <c r="C29" s="27">
        <v>135.0</v>
      </c>
      <c r="D29" s="28" t="s">
        <v>55215</v>
      </c>
      <c r="E29" s="28" t="s">
        <v>55216</v>
      </c>
      <c r="F29" s="27">
        <v>409.0</v>
      </c>
      <c r="G29" s="27">
        <v>1.3591409E8</v>
      </c>
    </row>
    <row r="30" ht="12.75" customHeight="1">
      <c r="A30" s="31">
        <v>891.0</v>
      </c>
      <c r="B30" s="32" t="s">
        <v>55217</v>
      </c>
      <c r="C30" s="31">
        <v>135.0</v>
      </c>
      <c r="D30" s="32" t="s">
        <v>55218</v>
      </c>
      <c r="E30" s="32" t="s">
        <v>55219</v>
      </c>
      <c r="F30" s="31">
        <v>412.0</v>
      </c>
      <c r="G30" s="31">
        <v>1.35914124E8</v>
      </c>
    </row>
    <row r="31" ht="12.75" customHeight="1">
      <c r="A31" s="27">
        <v>891.0</v>
      </c>
      <c r="B31" s="28" t="s">
        <v>55220</v>
      </c>
      <c r="C31" s="27">
        <v>135.0</v>
      </c>
      <c r="D31" s="28" t="s">
        <v>55221</v>
      </c>
      <c r="E31" s="28" t="s">
        <v>55222</v>
      </c>
      <c r="F31" s="27">
        <v>418.0</v>
      </c>
      <c r="G31" s="27">
        <v>1.35914182E8</v>
      </c>
    </row>
    <row r="32" ht="12.75" customHeight="1">
      <c r="A32" s="31">
        <v>193.0</v>
      </c>
      <c r="B32" s="32" t="s">
        <v>55223</v>
      </c>
      <c r="C32" s="31">
        <v>135.0</v>
      </c>
      <c r="D32" s="32" t="s">
        <v>55224</v>
      </c>
      <c r="E32" s="32" t="s">
        <v>55225</v>
      </c>
      <c r="F32" s="33">
        <v>10.0</v>
      </c>
      <c r="G32" s="31">
        <v>1.35930108E8</v>
      </c>
    </row>
    <row r="33" ht="12.75" customHeight="1">
      <c r="A33" s="27">
        <v>193.0</v>
      </c>
      <c r="B33" s="28" t="s">
        <v>55226</v>
      </c>
      <c r="C33" s="27">
        <v>135.0</v>
      </c>
      <c r="D33" s="28" t="s">
        <v>55227</v>
      </c>
      <c r="E33" s="28" t="s">
        <v>55228</v>
      </c>
      <c r="F33" s="29">
        <v>16.0</v>
      </c>
      <c r="G33" s="27">
        <v>1.35930166E8</v>
      </c>
    </row>
    <row r="34" ht="12.75" customHeight="1">
      <c r="A34" s="31">
        <v>193.0</v>
      </c>
      <c r="B34" s="32" t="s">
        <v>55229</v>
      </c>
      <c r="C34" s="31">
        <v>135.0</v>
      </c>
      <c r="D34" s="32" t="s">
        <v>55230</v>
      </c>
      <c r="E34" s="32" t="s">
        <v>55231</v>
      </c>
      <c r="F34" s="33">
        <v>18.0</v>
      </c>
      <c r="G34" s="31">
        <v>1.35930182E8</v>
      </c>
    </row>
    <row r="35" ht="12.75" customHeight="1">
      <c r="A35" s="27">
        <v>193.0</v>
      </c>
      <c r="B35" s="28" t="s">
        <v>55232</v>
      </c>
      <c r="C35" s="27">
        <v>135.0</v>
      </c>
      <c r="D35" s="28" t="s">
        <v>55233</v>
      </c>
      <c r="E35" s="28" t="s">
        <v>55234</v>
      </c>
      <c r="F35" s="29">
        <v>25.0</v>
      </c>
      <c r="G35" s="27">
        <v>1.35930258E8</v>
      </c>
    </row>
    <row r="36" ht="12.75" customHeight="1">
      <c r="A36" s="31">
        <v>193.0</v>
      </c>
      <c r="B36" s="32" t="s">
        <v>55235</v>
      </c>
      <c r="C36" s="31">
        <v>135.0</v>
      </c>
      <c r="D36" s="32" t="s">
        <v>55236</v>
      </c>
      <c r="E36" s="32" t="s">
        <v>55237</v>
      </c>
      <c r="F36" s="33">
        <v>46.0</v>
      </c>
      <c r="G36" s="31">
        <v>1.35930461E8</v>
      </c>
    </row>
    <row r="37" ht="12.75" customHeight="1">
      <c r="A37" s="27">
        <v>193.0</v>
      </c>
      <c r="B37" s="28" t="s">
        <v>55238</v>
      </c>
      <c r="C37" s="27">
        <v>135.0</v>
      </c>
      <c r="D37" s="28" t="s">
        <v>55239</v>
      </c>
      <c r="E37" s="28" t="s">
        <v>55240</v>
      </c>
      <c r="F37" s="29">
        <v>49.0</v>
      </c>
      <c r="G37" s="27">
        <v>1.3593049E8</v>
      </c>
    </row>
    <row r="38" ht="12.75" customHeight="1">
      <c r="A38" s="31">
        <v>193.0</v>
      </c>
      <c r="B38" s="32" t="s">
        <v>55241</v>
      </c>
      <c r="C38" s="31">
        <v>135.0</v>
      </c>
      <c r="D38" s="32" t="s">
        <v>55242</v>
      </c>
      <c r="E38" s="32" t="s">
        <v>55243</v>
      </c>
      <c r="F38" s="33">
        <v>61.0</v>
      </c>
      <c r="G38" s="31">
        <v>1.35930616E8</v>
      </c>
    </row>
    <row r="39" ht="12.75" customHeight="1">
      <c r="A39" s="27">
        <v>193.0</v>
      </c>
      <c r="B39" s="28" t="s">
        <v>55244</v>
      </c>
      <c r="C39" s="27">
        <v>135.0</v>
      </c>
      <c r="D39" s="28" t="s">
        <v>55245</v>
      </c>
      <c r="E39" s="28" t="s">
        <v>55246</v>
      </c>
      <c r="F39" s="29">
        <v>64.0</v>
      </c>
      <c r="G39" s="27">
        <v>1.35930645E8</v>
      </c>
    </row>
    <row r="40" ht="12.75" customHeight="1">
      <c r="A40" s="31">
        <v>193.0</v>
      </c>
      <c r="B40" s="32" t="s">
        <v>55247</v>
      </c>
      <c r="C40" s="31">
        <v>135.0</v>
      </c>
      <c r="D40" s="32" t="s">
        <v>55248</v>
      </c>
      <c r="E40" s="32" t="s">
        <v>55249</v>
      </c>
      <c r="F40" s="33">
        <v>70.0</v>
      </c>
      <c r="G40" s="31">
        <v>1.35930708E8</v>
      </c>
    </row>
    <row r="41" ht="12.75" customHeight="1">
      <c r="A41" s="27">
        <v>193.0</v>
      </c>
      <c r="B41" s="28" t="s">
        <v>55250</v>
      </c>
      <c r="C41" s="27">
        <v>135.0</v>
      </c>
      <c r="D41" s="28" t="s">
        <v>55251</v>
      </c>
      <c r="E41" s="28" t="s">
        <v>55252</v>
      </c>
      <c r="F41" s="29">
        <v>76.0</v>
      </c>
      <c r="G41" s="27">
        <v>1.35930766E8</v>
      </c>
    </row>
    <row r="42" ht="12.75" customHeight="1">
      <c r="A42" s="31">
        <v>193.0</v>
      </c>
      <c r="B42" s="32" t="s">
        <v>55253</v>
      </c>
      <c r="C42" s="31">
        <v>135.0</v>
      </c>
      <c r="D42" s="32" t="s">
        <v>55254</v>
      </c>
      <c r="E42" s="32" t="s">
        <v>55255</v>
      </c>
      <c r="F42" s="33">
        <v>91.0</v>
      </c>
      <c r="G42" s="31">
        <v>1.35930911E8</v>
      </c>
    </row>
    <row r="43" ht="12.75" customHeight="1">
      <c r="A43" s="27">
        <v>193.0</v>
      </c>
      <c r="B43" s="28" t="s">
        <v>55256</v>
      </c>
      <c r="C43" s="27">
        <v>135.0</v>
      </c>
      <c r="D43" s="28" t="s">
        <v>55257</v>
      </c>
      <c r="E43" s="28" t="s">
        <v>55258</v>
      </c>
      <c r="F43" s="27">
        <v>109.0</v>
      </c>
      <c r="G43" s="27">
        <v>1.35931099E8</v>
      </c>
    </row>
    <row r="44" ht="12.75" customHeight="1">
      <c r="A44" s="31">
        <v>193.0</v>
      </c>
      <c r="B44" s="32" t="s">
        <v>55259</v>
      </c>
      <c r="C44" s="31">
        <v>135.0</v>
      </c>
      <c r="D44" s="32" t="s">
        <v>55260</v>
      </c>
      <c r="E44" s="32" t="s">
        <v>55261</v>
      </c>
      <c r="F44" s="31">
        <v>143.0</v>
      </c>
      <c r="G44" s="31">
        <v>1.35931431E8</v>
      </c>
    </row>
    <row r="45" ht="12.75" customHeight="1">
      <c r="A45" s="27">
        <v>193.0</v>
      </c>
      <c r="B45" s="28" t="s">
        <v>55262</v>
      </c>
      <c r="C45" s="27">
        <v>135.0</v>
      </c>
      <c r="D45" s="28" t="s">
        <v>55263</v>
      </c>
      <c r="E45" s="28" t="s">
        <v>55264</v>
      </c>
      <c r="F45" s="27">
        <v>148.0</v>
      </c>
      <c r="G45" s="27">
        <v>1.35931486E8</v>
      </c>
    </row>
    <row r="46" ht="12.75" customHeight="1">
      <c r="A46" s="31">
        <v>193.0</v>
      </c>
      <c r="B46" s="32" t="s">
        <v>55265</v>
      </c>
      <c r="C46" s="31">
        <v>135.0</v>
      </c>
      <c r="D46" s="32" t="s">
        <v>55266</v>
      </c>
      <c r="E46" s="32" t="s">
        <v>55267</v>
      </c>
      <c r="F46" s="31">
        <v>169.0</v>
      </c>
      <c r="G46" s="31">
        <v>1.35931699E8</v>
      </c>
    </row>
    <row r="47" ht="12.75" customHeight="1">
      <c r="A47" s="27">
        <v>193.0</v>
      </c>
      <c r="B47" s="28" t="s">
        <v>55268</v>
      </c>
      <c r="C47" s="27">
        <v>135.0</v>
      </c>
      <c r="D47" s="28" t="s">
        <v>55269</v>
      </c>
      <c r="E47" s="28" t="s">
        <v>55270</v>
      </c>
      <c r="F47" s="27">
        <v>175.0</v>
      </c>
      <c r="G47" s="27">
        <v>1.35931752E8</v>
      </c>
    </row>
    <row r="48" ht="12.75" customHeight="1">
      <c r="A48" s="31">
        <v>193.0</v>
      </c>
      <c r="B48" s="32" t="s">
        <v>55271</v>
      </c>
      <c r="C48" s="31">
        <v>135.0</v>
      </c>
      <c r="D48" s="32" t="s">
        <v>55272</v>
      </c>
      <c r="E48" s="32" t="s">
        <v>55273</v>
      </c>
      <c r="F48" s="31">
        <v>182.0</v>
      </c>
      <c r="G48" s="31">
        <v>1.35931828E8</v>
      </c>
    </row>
    <row r="49" ht="12.75" customHeight="1">
      <c r="A49" s="27">
        <v>193.0</v>
      </c>
      <c r="B49" s="28" t="s">
        <v>55274</v>
      </c>
      <c r="C49" s="27">
        <v>135.0</v>
      </c>
      <c r="D49" s="28" t="s">
        <v>55275</v>
      </c>
      <c r="E49" s="28" t="s">
        <v>55276</v>
      </c>
      <c r="F49" s="27">
        <v>193.0</v>
      </c>
      <c r="G49" s="27">
        <v>1.35931936E8</v>
      </c>
    </row>
    <row r="50" ht="12.75" customHeight="1">
      <c r="A50" s="31">
        <v>193.0</v>
      </c>
      <c r="B50" s="32" t="s">
        <v>55277</v>
      </c>
      <c r="C50" s="31">
        <v>135.0</v>
      </c>
      <c r="D50" s="32" t="s">
        <v>55278</v>
      </c>
      <c r="E50" s="32" t="s">
        <v>55279</v>
      </c>
      <c r="F50" s="31">
        <v>202.0</v>
      </c>
      <c r="G50" s="31">
        <v>1.35932027E8</v>
      </c>
    </row>
    <row r="51" ht="12.75" customHeight="1">
      <c r="A51" s="27">
        <v>193.0</v>
      </c>
      <c r="B51" s="28" t="s">
        <v>55280</v>
      </c>
      <c r="C51" s="27">
        <v>135.0</v>
      </c>
      <c r="D51" s="28" t="s">
        <v>55281</v>
      </c>
      <c r="E51" s="28" t="s">
        <v>55282</v>
      </c>
      <c r="F51" s="27">
        <v>229.0</v>
      </c>
      <c r="G51" s="27">
        <v>1.35932298E8</v>
      </c>
    </row>
    <row r="52" ht="12.75" customHeight="1">
      <c r="A52" s="31">
        <v>794.0</v>
      </c>
      <c r="B52" s="32" t="s">
        <v>55283</v>
      </c>
      <c r="C52" s="31">
        <v>135.0</v>
      </c>
      <c r="D52" s="32" t="s">
        <v>55284</v>
      </c>
      <c r="E52" s="32" t="s">
        <v>55285</v>
      </c>
      <c r="F52" s="33">
        <v>61.0</v>
      </c>
      <c r="G52" s="31">
        <v>1.35940619E8</v>
      </c>
    </row>
    <row r="53" ht="12.75" customHeight="1">
      <c r="A53" s="27">
        <v>794.0</v>
      </c>
      <c r="B53" s="28" t="s">
        <v>55286</v>
      </c>
      <c r="C53" s="27">
        <v>135.0</v>
      </c>
      <c r="D53" s="28" t="s">
        <v>55287</v>
      </c>
      <c r="E53" s="28" t="s">
        <v>55288</v>
      </c>
      <c r="F53" s="29">
        <v>79.0</v>
      </c>
      <c r="G53" s="27">
        <v>1.35940798E8</v>
      </c>
    </row>
    <row r="54" ht="12.75" customHeight="1">
      <c r="A54" s="31">
        <v>794.0</v>
      </c>
      <c r="B54" s="32" t="s">
        <v>55289</v>
      </c>
      <c r="C54" s="31">
        <v>135.0</v>
      </c>
      <c r="D54" s="32" t="s">
        <v>55290</v>
      </c>
      <c r="E54" s="32" t="s">
        <v>55291</v>
      </c>
      <c r="F54" s="33">
        <v>82.0</v>
      </c>
      <c r="G54" s="31">
        <v>1.35940822E8</v>
      </c>
    </row>
    <row r="55" ht="12.75" customHeight="1">
      <c r="A55" s="27">
        <v>794.0</v>
      </c>
      <c r="B55" s="28" t="s">
        <v>55292</v>
      </c>
      <c r="C55" s="27">
        <v>135.0</v>
      </c>
      <c r="D55" s="28" t="s">
        <v>55293</v>
      </c>
      <c r="E55" s="28" t="s">
        <v>55294</v>
      </c>
      <c r="F55" s="29">
        <v>85.0</v>
      </c>
      <c r="G55" s="27">
        <v>1.35940851E8</v>
      </c>
    </row>
    <row r="56" ht="12.75" customHeight="1">
      <c r="A56" s="31">
        <v>794.0</v>
      </c>
      <c r="B56" s="32" t="s">
        <v>55295</v>
      </c>
      <c r="C56" s="31">
        <v>135.0</v>
      </c>
      <c r="D56" s="32" t="s">
        <v>55296</v>
      </c>
      <c r="E56" s="32" t="s">
        <v>55297</v>
      </c>
      <c r="F56" s="33">
        <v>94.0</v>
      </c>
      <c r="G56" s="31">
        <v>1.35940943E8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794.0</v>
      </c>
      <c r="B1" s="28" t="s">
        <v>55298</v>
      </c>
      <c r="C1" s="27">
        <v>135.0</v>
      </c>
      <c r="D1" s="28" t="s">
        <v>55299</v>
      </c>
      <c r="E1" s="28" t="s">
        <v>55300</v>
      </c>
      <c r="F1" s="29">
        <v>97.0</v>
      </c>
      <c r="G1" s="27">
        <v>1.35940972E8</v>
      </c>
    </row>
    <row r="2" ht="12.75" customHeight="1">
      <c r="A2" s="31">
        <v>306.0</v>
      </c>
      <c r="B2" s="32" t="s">
        <v>55301</v>
      </c>
      <c r="C2" s="31">
        <v>140.0</v>
      </c>
      <c r="D2" s="32" t="s">
        <v>55302</v>
      </c>
      <c r="E2" s="32" t="s">
        <v>55303</v>
      </c>
      <c r="F2" s="33">
        <v>28.0</v>
      </c>
      <c r="G2" s="31">
        <v>1.40060289E8</v>
      </c>
    </row>
    <row r="3" ht="12.75" customHeight="1">
      <c r="A3" s="27">
        <v>309.0</v>
      </c>
      <c r="B3" s="28" t="s">
        <v>55304</v>
      </c>
      <c r="C3" s="27">
        <v>140.0</v>
      </c>
      <c r="D3" s="28" t="s">
        <v>55305</v>
      </c>
      <c r="E3" s="28" t="s">
        <v>55306</v>
      </c>
      <c r="F3" s="29">
        <v>10.0</v>
      </c>
      <c r="G3" s="27">
        <v>1.40090109E8</v>
      </c>
    </row>
    <row r="4" ht="12.75" customHeight="1">
      <c r="A4" s="31">
        <v>610.0</v>
      </c>
      <c r="B4" s="32" t="s">
        <v>55307</v>
      </c>
      <c r="C4" s="31">
        <v>140.0</v>
      </c>
      <c r="D4" s="32" t="s">
        <v>55308</v>
      </c>
      <c r="E4" s="32" t="s">
        <v>55309</v>
      </c>
      <c r="F4" s="33">
        <v>37.0</v>
      </c>
      <c r="G4" s="31">
        <v>1.40100378E8</v>
      </c>
    </row>
    <row r="5" ht="12.75" customHeight="1">
      <c r="A5" s="27">
        <v>112.0</v>
      </c>
      <c r="B5" s="28" t="s">
        <v>55310</v>
      </c>
      <c r="C5" s="27">
        <v>140.0</v>
      </c>
      <c r="D5" s="28" t="s">
        <v>55311</v>
      </c>
      <c r="E5" s="28" t="s">
        <v>55312</v>
      </c>
      <c r="F5" s="29">
        <v>10.0</v>
      </c>
      <c r="G5" s="27">
        <v>1.40120103E8</v>
      </c>
    </row>
    <row r="6" ht="12.75" customHeight="1">
      <c r="A6" s="31">
        <v>113.0</v>
      </c>
      <c r="B6" s="32" t="s">
        <v>55313</v>
      </c>
      <c r="C6" s="31">
        <v>140.0</v>
      </c>
      <c r="D6" s="32" t="s">
        <v>55314</v>
      </c>
      <c r="E6" s="32" t="s">
        <v>55315</v>
      </c>
      <c r="F6" s="33">
        <v>31.0</v>
      </c>
      <c r="G6" s="31">
        <v>1.40130319E8</v>
      </c>
    </row>
    <row r="7" ht="12.75" customHeight="1">
      <c r="A7" s="27">
        <v>113.0</v>
      </c>
      <c r="B7" s="28" t="s">
        <v>55316</v>
      </c>
      <c r="C7" s="27">
        <v>140.0</v>
      </c>
      <c r="D7" s="28" t="s">
        <v>55317</v>
      </c>
      <c r="E7" s="28" t="s">
        <v>55318</v>
      </c>
      <c r="F7" s="29">
        <v>67.0</v>
      </c>
      <c r="G7" s="27">
        <v>1.40130672E8</v>
      </c>
    </row>
    <row r="8" ht="12.75" customHeight="1">
      <c r="A8" s="31">
        <v>215.0</v>
      </c>
      <c r="B8" s="32" t="s">
        <v>55319</v>
      </c>
      <c r="C8" s="31">
        <v>140.0</v>
      </c>
      <c r="D8" s="32" t="s">
        <v>55320</v>
      </c>
      <c r="E8" s="32" t="s">
        <v>55321</v>
      </c>
      <c r="F8" s="33">
        <v>13.0</v>
      </c>
      <c r="G8" s="31">
        <v>1.40150131E8</v>
      </c>
    </row>
    <row r="9" ht="12.75" customHeight="1">
      <c r="A9" s="27">
        <v>215.0</v>
      </c>
      <c r="B9" s="28" t="s">
        <v>55322</v>
      </c>
      <c r="C9" s="27">
        <v>140.0</v>
      </c>
      <c r="D9" s="28" t="s">
        <v>55323</v>
      </c>
      <c r="E9" s="28" t="s">
        <v>55324</v>
      </c>
      <c r="F9" s="29">
        <v>21.0</v>
      </c>
      <c r="G9" s="27">
        <v>1.4015021E8</v>
      </c>
    </row>
    <row r="10" ht="12.75" customHeight="1">
      <c r="A10" s="31">
        <v>215.0</v>
      </c>
      <c r="B10" s="32" t="s">
        <v>55325</v>
      </c>
      <c r="C10" s="31">
        <v>140.0</v>
      </c>
      <c r="D10" s="32" t="s">
        <v>55326</v>
      </c>
      <c r="E10" s="32" t="s">
        <v>55327</v>
      </c>
      <c r="F10" s="31">
        <v>109.0</v>
      </c>
      <c r="G10" s="31">
        <v>1.40151093E8</v>
      </c>
    </row>
    <row r="11" ht="12.75" customHeight="1">
      <c r="A11" s="27">
        <v>215.0</v>
      </c>
      <c r="B11" s="28" t="s">
        <v>55328</v>
      </c>
      <c r="C11" s="27">
        <v>140.0</v>
      </c>
      <c r="D11" s="28" t="s">
        <v>55329</v>
      </c>
      <c r="E11" s="28" t="s">
        <v>55330</v>
      </c>
      <c r="F11" s="27">
        <v>200.0</v>
      </c>
      <c r="G11" s="27">
        <v>1.40152005E8</v>
      </c>
    </row>
    <row r="12" ht="12.75" customHeight="1">
      <c r="A12" s="31">
        <v>215.0</v>
      </c>
      <c r="B12" s="32" t="s">
        <v>55331</v>
      </c>
      <c r="C12" s="31">
        <v>140.0</v>
      </c>
      <c r="D12" s="32" t="s">
        <v>55332</v>
      </c>
      <c r="E12" s="32" t="s">
        <v>55333</v>
      </c>
      <c r="F12" s="31">
        <v>364.0</v>
      </c>
      <c r="G12" s="31">
        <v>1.40153646E8</v>
      </c>
    </row>
    <row r="13" ht="12.75" customHeight="1">
      <c r="A13" s="27">
        <v>215.0</v>
      </c>
      <c r="B13" s="28" t="s">
        <v>55334</v>
      </c>
      <c r="C13" s="27">
        <v>140.0</v>
      </c>
      <c r="D13" s="28" t="s">
        <v>55335</v>
      </c>
      <c r="E13" s="28" t="s">
        <v>55336</v>
      </c>
      <c r="F13" s="27">
        <v>427.0</v>
      </c>
      <c r="G13" s="27">
        <v>1.40154274E8</v>
      </c>
    </row>
    <row r="14" ht="12.75" customHeight="1">
      <c r="A14" s="31">
        <v>215.0</v>
      </c>
      <c r="B14" s="32" t="s">
        <v>55337</v>
      </c>
      <c r="C14" s="31">
        <v>140.0</v>
      </c>
      <c r="D14" s="32" t="s">
        <v>55338</v>
      </c>
      <c r="E14" s="32" t="s">
        <v>55339</v>
      </c>
      <c r="F14" s="31">
        <v>436.0</v>
      </c>
      <c r="G14" s="31">
        <v>1.40154366E8</v>
      </c>
    </row>
    <row r="15" ht="12.75" customHeight="1">
      <c r="A15" s="27">
        <v>215.0</v>
      </c>
      <c r="B15" s="28" t="s">
        <v>55340</v>
      </c>
      <c r="C15" s="27">
        <v>140.0</v>
      </c>
      <c r="D15" s="28" t="s">
        <v>55341</v>
      </c>
      <c r="E15" s="28" t="s">
        <v>55342</v>
      </c>
      <c r="F15" s="27">
        <v>469.0</v>
      </c>
      <c r="G15" s="27">
        <v>1.4015469E8</v>
      </c>
    </row>
    <row r="16" ht="12.75" customHeight="1">
      <c r="A16" s="31">
        <v>215.0</v>
      </c>
      <c r="B16" s="32" t="s">
        <v>55343</v>
      </c>
      <c r="C16" s="31">
        <v>140.0</v>
      </c>
      <c r="D16" s="32" t="s">
        <v>55344</v>
      </c>
      <c r="E16" s="32" t="s">
        <v>55345</v>
      </c>
      <c r="F16" s="31">
        <v>580.0</v>
      </c>
      <c r="G16" s="31">
        <v>1.40155802E8</v>
      </c>
    </row>
    <row r="17" ht="12.75" customHeight="1">
      <c r="A17" s="27">
        <v>215.0</v>
      </c>
      <c r="B17" s="28" t="s">
        <v>55346</v>
      </c>
      <c r="C17" s="27">
        <v>140.0</v>
      </c>
      <c r="D17" s="28" t="s">
        <v>55347</v>
      </c>
      <c r="E17" s="28" t="s">
        <v>55348</v>
      </c>
      <c r="F17" s="27">
        <v>613.0</v>
      </c>
      <c r="G17" s="27">
        <v>1.40156135E8</v>
      </c>
    </row>
    <row r="18" ht="12.75" customHeight="1">
      <c r="A18" s="31">
        <v>215.0</v>
      </c>
      <c r="B18" s="32" t="s">
        <v>55349</v>
      </c>
      <c r="C18" s="31">
        <v>140.0</v>
      </c>
      <c r="D18" s="32" t="s">
        <v>55350</v>
      </c>
      <c r="E18" s="32" t="s">
        <v>55351</v>
      </c>
      <c r="F18" s="31">
        <v>617.0</v>
      </c>
      <c r="G18" s="31">
        <v>1.40156177E8</v>
      </c>
    </row>
    <row r="19" ht="12.75" customHeight="1">
      <c r="A19" s="27">
        <v>215.0</v>
      </c>
      <c r="B19" s="28" t="s">
        <v>55352</v>
      </c>
      <c r="C19" s="27">
        <v>140.0</v>
      </c>
      <c r="D19" s="28" t="s">
        <v>55353</v>
      </c>
      <c r="E19" s="28" t="s">
        <v>55354</v>
      </c>
      <c r="F19" s="27">
        <v>673.0</v>
      </c>
      <c r="G19" s="27">
        <v>1.40156735E8</v>
      </c>
    </row>
    <row r="20" ht="12.75" customHeight="1">
      <c r="A20" s="31">
        <v>215.0</v>
      </c>
      <c r="B20" s="32" t="s">
        <v>55355</v>
      </c>
      <c r="C20" s="31">
        <v>140.0</v>
      </c>
      <c r="D20" s="32" t="s">
        <v>55356</v>
      </c>
      <c r="E20" s="32" t="s">
        <v>55357</v>
      </c>
      <c r="F20" s="31">
        <v>721.0</v>
      </c>
      <c r="G20" s="31">
        <v>1.40157213E8</v>
      </c>
    </row>
    <row r="21" ht="12.75" customHeight="1">
      <c r="A21" s="27">
        <v>418.0</v>
      </c>
      <c r="B21" s="28" t="s">
        <v>55358</v>
      </c>
      <c r="C21" s="27">
        <v>140.0</v>
      </c>
      <c r="D21" s="28" t="s">
        <v>55359</v>
      </c>
      <c r="E21" s="28" t="s">
        <v>55360</v>
      </c>
      <c r="F21" s="29">
        <v>19.0</v>
      </c>
      <c r="G21" s="27">
        <v>1.40180198E8</v>
      </c>
    </row>
    <row r="22" ht="12.75" customHeight="1">
      <c r="A22" s="31">
        <v>119.0</v>
      </c>
      <c r="B22" s="32" t="s">
        <v>55361</v>
      </c>
      <c r="C22" s="31">
        <v>140.0</v>
      </c>
      <c r="D22" s="32" t="s">
        <v>55362</v>
      </c>
      <c r="E22" s="32" t="s">
        <v>55363</v>
      </c>
      <c r="F22" s="33">
        <v>23.0</v>
      </c>
      <c r="G22" s="31">
        <v>1.40190238E8</v>
      </c>
    </row>
    <row r="23" ht="12.75" customHeight="1">
      <c r="A23" s="27">
        <v>119.0</v>
      </c>
      <c r="B23" s="28" t="s">
        <v>55364</v>
      </c>
      <c r="C23" s="27">
        <v>140.0</v>
      </c>
      <c r="D23" s="28" t="s">
        <v>55365</v>
      </c>
      <c r="E23" s="28" t="s">
        <v>55366</v>
      </c>
      <c r="F23" s="27">
        <v>115.0</v>
      </c>
      <c r="G23" s="27">
        <v>1.40191158E8</v>
      </c>
    </row>
    <row r="24" ht="12.75" customHeight="1">
      <c r="A24" s="31">
        <v>222.0</v>
      </c>
      <c r="B24" s="32" t="s">
        <v>55367</v>
      </c>
      <c r="C24" s="31">
        <v>140.0</v>
      </c>
      <c r="D24" s="32" t="s">
        <v>55368</v>
      </c>
      <c r="E24" s="32" t="s">
        <v>55369</v>
      </c>
      <c r="F24" s="33">
        <v>58.0</v>
      </c>
      <c r="G24" s="31">
        <v>1.40220582E8</v>
      </c>
    </row>
    <row r="25" ht="12.75" customHeight="1">
      <c r="A25" s="27">
        <v>126.0</v>
      </c>
      <c r="B25" s="28" t="s">
        <v>55370</v>
      </c>
      <c r="C25" s="27">
        <v>140.0</v>
      </c>
      <c r="D25" s="28" t="s">
        <v>55371</v>
      </c>
      <c r="E25" s="28" t="s">
        <v>55372</v>
      </c>
      <c r="F25" s="29">
        <v>17.0</v>
      </c>
      <c r="G25" s="27">
        <v>1.40260171E8</v>
      </c>
    </row>
    <row r="26" ht="12.75" customHeight="1">
      <c r="A26" s="31">
        <v>126.0</v>
      </c>
      <c r="B26" s="32" t="s">
        <v>55373</v>
      </c>
      <c r="C26" s="31">
        <v>140.0</v>
      </c>
      <c r="D26" s="32" t="s">
        <v>55374</v>
      </c>
      <c r="E26" s="32" t="s">
        <v>55375</v>
      </c>
      <c r="F26" s="33">
        <v>19.0</v>
      </c>
      <c r="G26" s="31">
        <v>1.40260197E8</v>
      </c>
    </row>
    <row r="27" ht="12.75" customHeight="1">
      <c r="A27" s="27">
        <v>126.0</v>
      </c>
      <c r="B27" s="28" t="s">
        <v>55376</v>
      </c>
      <c r="C27" s="27">
        <v>140.0</v>
      </c>
      <c r="D27" s="28" t="s">
        <v>55377</v>
      </c>
      <c r="E27" s="28" t="s">
        <v>55378</v>
      </c>
      <c r="F27" s="29">
        <v>22.0</v>
      </c>
      <c r="G27" s="27">
        <v>1.40260221E8</v>
      </c>
    </row>
    <row r="28" ht="12.75" customHeight="1">
      <c r="A28" s="31">
        <v>126.0</v>
      </c>
      <c r="B28" s="32" t="s">
        <v>55379</v>
      </c>
      <c r="C28" s="31">
        <v>140.0</v>
      </c>
      <c r="D28" s="32" t="s">
        <v>55380</v>
      </c>
      <c r="E28" s="32" t="s">
        <v>55381</v>
      </c>
      <c r="F28" s="33">
        <v>43.0</v>
      </c>
      <c r="G28" s="31">
        <v>1.40260434E8</v>
      </c>
    </row>
    <row r="29" ht="12.75" customHeight="1">
      <c r="A29" s="27">
        <v>126.0</v>
      </c>
      <c r="B29" s="28" t="s">
        <v>55382</v>
      </c>
      <c r="C29" s="27">
        <v>140.0</v>
      </c>
      <c r="D29" s="28" t="s">
        <v>55383</v>
      </c>
      <c r="E29" s="28" t="s">
        <v>55384</v>
      </c>
      <c r="F29" s="29">
        <v>65.0</v>
      </c>
      <c r="G29" s="27">
        <v>1.4026065E8</v>
      </c>
    </row>
    <row r="30" ht="12.75" customHeight="1">
      <c r="A30" s="31">
        <v>126.0</v>
      </c>
      <c r="B30" s="32" t="s">
        <v>55385</v>
      </c>
      <c r="C30" s="31">
        <v>140.0</v>
      </c>
      <c r="D30" s="32" t="s">
        <v>55386</v>
      </c>
      <c r="E30" s="32" t="s">
        <v>55387</v>
      </c>
      <c r="F30" s="33">
        <v>78.0</v>
      </c>
      <c r="G30" s="31">
        <v>1.40260784E8</v>
      </c>
    </row>
    <row r="31" ht="12.75" customHeight="1">
      <c r="A31" s="27">
        <v>126.0</v>
      </c>
      <c r="B31" s="28" t="s">
        <v>55388</v>
      </c>
      <c r="C31" s="27">
        <v>140.0</v>
      </c>
      <c r="D31" s="28" t="s">
        <v>55389</v>
      </c>
      <c r="E31" s="28" t="s">
        <v>55390</v>
      </c>
      <c r="F31" s="27">
        <v>118.0</v>
      </c>
      <c r="G31" s="27">
        <v>1.40261183E8</v>
      </c>
    </row>
    <row r="32" ht="12.75" customHeight="1">
      <c r="A32" s="31">
        <v>126.0</v>
      </c>
      <c r="B32" s="32" t="s">
        <v>55391</v>
      </c>
      <c r="C32" s="31">
        <v>140.0</v>
      </c>
      <c r="D32" s="32" t="s">
        <v>55392</v>
      </c>
      <c r="E32" s="32" t="s">
        <v>55393</v>
      </c>
      <c r="F32" s="31">
        <v>133.0</v>
      </c>
      <c r="G32" s="31">
        <v>1.40261338E8</v>
      </c>
    </row>
    <row r="33" ht="12.75" customHeight="1">
      <c r="A33" s="27">
        <v>126.0</v>
      </c>
      <c r="B33" s="28" t="s">
        <v>55394</v>
      </c>
      <c r="C33" s="27">
        <v>140.0</v>
      </c>
      <c r="D33" s="28" t="s">
        <v>55395</v>
      </c>
      <c r="E33" s="28" t="s">
        <v>55396</v>
      </c>
      <c r="F33" s="27">
        <v>137.0</v>
      </c>
      <c r="G33" s="27">
        <v>1.4026137E8</v>
      </c>
    </row>
    <row r="34" ht="12.75" customHeight="1">
      <c r="A34" s="31">
        <v>126.0</v>
      </c>
      <c r="B34" s="32" t="s">
        <v>55397</v>
      </c>
      <c r="C34" s="31">
        <v>140.0</v>
      </c>
      <c r="D34" s="32" t="s">
        <v>55398</v>
      </c>
      <c r="E34" s="32" t="s">
        <v>55399</v>
      </c>
      <c r="F34" s="31">
        <v>164.0</v>
      </c>
      <c r="G34" s="31">
        <v>1.40261646E8</v>
      </c>
    </row>
    <row r="35" ht="12.75" customHeight="1">
      <c r="A35" s="27">
        <v>126.0</v>
      </c>
      <c r="B35" s="28" t="s">
        <v>55400</v>
      </c>
      <c r="C35" s="27">
        <v>140.0</v>
      </c>
      <c r="D35" s="28" t="s">
        <v>55401</v>
      </c>
      <c r="E35" s="28" t="s">
        <v>55402</v>
      </c>
      <c r="F35" s="27">
        <v>169.0</v>
      </c>
      <c r="G35" s="27">
        <v>1.40261691E8</v>
      </c>
    </row>
    <row r="36" ht="12.75" customHeight="1">
      <c r="A36" s="31">
        <v>126.0</v>
      </c>
      <c r="B36" s="32" t="s">
        <v>55403</v>
      </c>
      <c r="C36" s="31">
        <v>140.0</v>
      </c>
      <c r="D36" s="32" t="s">
        <v>55404</v>
      </c>
      <c r="E36" s="32" t="s">
        <v>55405</v>
      </c>
      <c r="F36" s="31">
        <v>172.0</v>
      </c>
      <c r="G36" s="31">
        <v>1.40261725E8</v>
      </c>
    </row>
    <row r="37" ht="12.75" customHeight="1">
      <c r="A37" s="27">
        <v>126.0</v>
      </c>
      <c r="B37" s="28" t="s">
        <v>55406</v>
      </c>
      <c r="C37" s="27">
        <v>140.0</v>
      </c>
      <c r="D37" s="28" t="s">
        <v>55407</v>
      </c>
      <c r="E37" s="28" t="s">
        <v>55408</v>
      </c>
      <c r="F37" s="27">
        <v>205.0</v>
      </c>
      <c r="G37" s="27">
        <v>1.40262058E8</v>
      </c>
    </row>
    <row r="38" ht="12.75" customHeight="1">
      <c r="A38" s="31">
        <v>126.0</v>
      </c>
      <c r="B38" s="32" t="s">
        <v>55409</v>
      </c>
      <c r="C38" s="31">
        <v>140.0</v>
      </c>
      <c r="D38" s="32" t="s">
        <v>55410</v>
      </c>
      <c r="E38" s="32" t="s">
        <v>55411</v>
      </c>
      <c r="F38" s="31">
        <v>253.0</v>
      </c>
      <c r="G38" s="31">
        <v>1.40262537E8</v>
      </c>
    </row>
    <row r="39" ht="12.75" customHeight="1">
      <c r="A39" s="27">
        <v>126.0</v>
      </c>
      <c r="B39" s="28" t="s">
        <v>55412</v>
      </c>
      <c r="C39" s="27">
        <v>140.0</v>
      </c>
      <c r="D39" s="28" t="s">
        <v>55413</v>
      </c>
      <c r="E39" s="28" t="s">
        <v>55414</v>
      </c>
      <c r="F39" s="27">
        <v>290.0</v>
      </c>
      <c r="G39" s="27">
        <v>1.40262908E8</v>
      </c>
    </row>
    <row r="40" ht="12.75" customHeight="1">
      <c r="A40" s="31">
        <v>126.0</v>
      </c>
      <c r="B40" s="32" t="s">
        <v>55415</v>
      </c>
      <c r="C40" s="31">
        <v>140.0</v>
      </c>
      <c r="D40" s="32" t="s">
        <v>55416</v>
      </c>
      <c r="E40" s="32" t="s">
        <v>55417</v>
      </c>
      <c r="F40" s="31">
        <v>298.0</v>
      </c>
      <c r="G40" s="31">
        <v>1.40262982E8</v>
      </c>
    </row>
    <row r="41" ht="12.75" customHeight="1">
      <c r="A41" s="27">
        <v>126.0</v>
      </c>
      <c r="B41" s="28" t="s">
        <v>55418</v>
      </c>
      <c r="C41" s="27">
        <v>140.0</v>
      </c>
      <c r="D41" s="28" t="s">
        <v>55419</v>
      </c>
      <c r="E41" s="28" t="s">
        <v>55420</v>
      </c>
      <c r="F41" s="27">
        <v>319.0</v>
      </c>
      <c r="G41" s="27">
        <v>1.40263194E8</v>
      </c>
    </row>
    <row r="42" ht="12.75" customHeight="1">
      <c r="A42" s="31">
        <v>126.0</v>
      </c>
      <c r="B42" s="32" t="s">
        <v>55421</v>
      </c>
      <c r="C42" s="31">
        <v>140.0</v>
      </c>
      <c r="D42" s="32" t="s">
        <v>55422</v>
      </c>
      <c r="E42" s="32" t="s">
        <v>55423</v>
      </c>
      <c r="F42" s="31">
        <v>370.0</v>
      </c>
      <c r="G42" s="31">
        <v>1.40263707E8</v>
      </c>
    </row>
    <row r="43" ht="12.75" customHeight="1">
      <c r="A43" s="27">
        <v>126.0</v>
      </c>
      <c r="B43" s="28" t="s">
        <v>55424</v>
      </c>
      <c r="C43" s="27">
        <v>140.0</v>
      </c>
      <c r="D43" s="28" t="s">
        <v>55425</v>
      </c>
      <c r="E43" s="28" t="s">
        <v>55426</v>
      </c>
      <c r="F43" s="27">
        <v>397.0</v>
      </c>
      <c r="G43" s="27">
        <v>1.40263978E8</v>
      </c>
    </row>
    <row r="44" ht="12.75" customHeight="1">
      <c r="A44" s="31">
        <v>126.0</v>
      </c>
      <c r="B44" s="32" t="s">
        <v>55427</v>
      </c>
      <c r="C44" s="31">
        <v>140.0</v>
      </c>
      <c r="D44" s="32" t="s">
        <v>55428</v>
      </c>
      <c r="E44" s="32" t="s">
        <v>55429</v>
      </c>
      <c r="F44" s="31">
        <v>403.0</v>
      </c>
      <c r="G44" s="31">
        <v>1.4026403E8</v>
      </c>
    </row>
    <row r="45" ht="12.75" customHeight="1">
      <c r="A45" s="27">
        <v>126.0</v>
      </c>
      <c r="B45" s="28" t="s">
        <v>55430</v>
      </c>
      <c r="C45" s="27">
        <v>140.0</v>
      </c>
      <c r="D45" s="28" t="s">
        <v>55431</v>
      </c>
      <c r="E45" s="28" t="s">
        <v>55432</v>
      </c>
      <c r="F45" s="27">
        <v>463.0</v>
      </c>
      <c r="G45" s="27">
        <v>1.4026463E8</v>
      </c>
    </row>
    <row r="46" ht="12.75" customHeight="1">
      <c r="A46" s="31">
        <v>127.0</v>
      </c>
      <c r="B46" s="32" t="s">
        <v>55433</v>
      </c>
      <c r="C46" s="31">
        <v>140.0</v>
      </c>
      <c r="D46" s="32" t="s">
        <v>55434</v>
      </c>
      <c r="E46" s="32" t="s">
        <v>55435</v>
      </c>
      <c r="F46" s="33">
        <v>0.0</v>
      </c>
      <c r="G46" s="31">
        <v>1.40270008E8</v>
      </c>
    </row>
    <row r="47" ht="12.75" customHeight="1">
      <c r="A47" s="27">
        <v>127.0</v>
      </c>
      <c r="B47" s="28" t="s">
        <v>55436</v>
      </c>
      <c r="C47" s="27">
        <v>140.0</v>
      </c>
      <c r="D47" s="28" t="s">
        <v>55437</v>
      </c>
      <c r="E47" s="28" t="s">
        <v>55438</v>
      </c>
      <c r="F47" s="29">
        <v>12.0</v>
      </c>
      <c r="G47" s="27">
        <v>1.40270129E8</v>
      </c>
    </row>
    <row r="48" ht="12.75" customHeight="1">
      <c r="A48" s="31">
        <v>127.0</v>
      </c>
      <c r="B48" s="32" t="s">
        <v>55439</v>
      </c>
      <c r="C48" s="31">
        <v>140.0</v>
      </c>
      <c r="D48" s="32" t="s">
        <v>55440</v>
      </c>
      <c r="E48" s="32" t="s">
        <v>55441</v>
      </c>
      <c r="F48" s="33">
        <v>13.0</v>
      </c>
      <c r="G48" s="31">
        <v>1.40270132E8</v>
      </c>
    </row>
    <row r="49" ht="12.75" customHeight="1">
      <c r="A49" s="27">
        <v>127.0</v>
      </c>
      <c r="B49" s="28" t="s">
        <v>55442</v>
      </c>
      <c r="C49" s="27">
        <v>140.0</v>
      </c>
      <c r="D49" s="28" t="s">
        <v>55443</v>
      </c>
      <c r="E49" s="28" t="s">
        <v>55444</v>
      </c>
      <c r="F49" s="29">
        <v>34.0</v>
      </c>
      <c r="G49" s="27">
        <v>1.40270345E8</v>
      </c>
    </row>
    <row r="50" ht="12.75" customHeight="1">
      <c r="A50" s="31">
        <v>127.0</v>
      </c>
      <c r="B50" s="32" t="s">
        <v>55445</v>
      </c>
      <c r="C50" s="31">
        <v>140.0</v>
      </c>
      <c r="D50" s="32" t="s">
        <v>55446</v>
      </c>
      <c r="E50" s="32" t="s">
        <v>55447</v>
      </c>
      <c r="F50" s="31">
        <v>109.0</v>
      </c>
      <c r="G50" s="31">
        <v>1.40271094E8</v>
      </c>
    </row>
    <row r="51" ht="12.75" customHeight="1">
      <c r="A51" s="27">
        <v>127.0</v>
      </c>
      <c r="B51" s="28" t="s">
        <v>55448</v>
      </c>
      <c r="C51" s="27">
        <v>140.0</v>
      </c>
      <c r="D51" s="28" t="s">
        <v>55449</v>
      </c>
      <c r="E51" s="28" t="s">
        <v>55450</v>
      </c>
      <c r="F51" s="27">
        <v>142.0</v>
      </c>
      <c r="G51" s="27">
        <v>1.40271423E8</v>
      </c>
    </row>
    <row r="52" ht="12.75" customHeight="1">
      <c r="A52" s="31">
        <v>127.0</v>
      </c>
      <c r="B52" s="32" t="s">
        <v>55451</v>
      </c>
      <c r="C52" s="31">
        <v>140.0</v>
      </c>
      <c r="D52" s="32" t="s">
        <v>55452</v>
      </c>
      <c r="E52" s="32" t="s">
        <v>55453</v>
      </c>
      <c r="F52" s="31">
        <v>149.0</v>
      </c>
      <c r="G52" s="31">
        <v>1.40271494E8</v>
      </c>
    </row>
    <row r="53" ht="12.75" customHeight="1">
      <c r="A53" s="27">
        <v>127.0</v>
      </c>
      <c r="B53" s="28" t="s">
        <v>55454</v>
      </c>
      <c r="C53" s="27">
        <v>140.0</v>
      </c>
      <c r="D53" s="28" t="s">
        <v>55455</v>
      </c>
      <c r="E53" s="28" t="s">
        <v>55456</v>
      </c>
      <c r="F53" s="27">
        <v>184.0</v>
      </c>
      <c r="G53" s="27">
        <v>1.40271849E8</v>
      </c>
    </row>
    <row r="54" ht="12.75" customHeight="1">
      <c r="A54" s="31">
        <v>127.0</v>
      </c>
      <c r="B54" s="32" t="s">
        <v>55457</v>
      </c>
      <c r="C54" s="31">
        <v>140.0</v>
      </c>
      <c r="D54" s="32" t="s">
        <v>55458</v>
      </c>
      <c r="E54" s="32" t="s">
        <v>55459</v>
      </c>
      <c r="F54" s="31">
        <v>280.0</v>
      </c>
      <c r="G54" s="31">
        <v>1.40272806E8</v>
      </c>
    </row>
    <row r="55" ht="12.75" customHeight="1">
      <c r="A55" s="27">
        <v>127.0</v>
      </c>
      <c r="B55" s="28" t="s">
        <v>55460</v>
      </c>
      <c r="C55" s="27">
        <v>140.0</v>
      </c>
      <c r="D55" s="28" t="s">
        <v>55461</v>
      </c>
      <c r="E55" s="28" t="s">
        <v>55462</v>
      </c>
      <c r="F55" s="27">
        <v>328.0</v>
      </c>
      <c r="G55" s="27">
        <v>1.40273289E8</v>
      </c>
    </row>
    <row r="56" ht="12.75" customHeight="1">
      <c r="A56" s="31">
        <v>127.0</v>
      </c>
      <c r="B56" s="32" t="s">
        <v>55463</v>
      </c>
      <c r="C56" s="31">
        <v>140.0</v>
      </c>
      <c r="D56" s="32" t="s">
        <v>55464</v>
      </c>
      <c r="E56" s="32" t="s">
        <v>55465</v>
      </c>
      <c r="F56" s="31">
        <v>418.0</v>
      </c>
      <c r="G56" s="31">
        <v>1.40274183E8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55466</v>
      </c>
      <c r="C1" s="27">
        <v>140.0</v>
      </c>
      <c r="D1" s="28" t="s">
        <v>55467</v>
      </c>
      <c r="E1" s="28" t="s">
        <v>55468</v>
      </c>
      <c r="F1" s="27">
        <v>424.0</v>
      </c>
      <c r="G1" s="27">
        <v>1.40274246E8</v>
      </c>
    </row>
    <row r="2" ht="12.75" customHeight="1">
      <c r="A2" s="31">
        <v>127.0</v>
      </c>
      <c r="B2" s="32" t="s">
        <v>55469</v>
      </c>
      <c r="C2" s="31">
        <v>140.0</v>
      </c>
      <c r="D2" s="32" t="s">
        <v>55470</v>
      </c>
      <c r="E2" s="32" t="s">
        <v>55471</v>
      </c>
      <c r="F2" s="31">
        <v>472.0</v>
      </c>
      <c r="G2" s="31">
        <v>1.40274725E8</v>
      </c>
    </row>
    <row r="3" ht="12.75" customHeight="1">
      <c r="A3" s="27">
        <v>127.0</v>
      </c>
      <c r="B3" s="28" t="s">
        <v>55472</v>
      </c>
      <c r="C3" s="27">
        <v>140.0</v>
      </c>
      <c r="D3" s="28" t="s">
        <v>55473</v>
      </c>
      <c r="E3" s="28" t="s">
        <v>55474</v>
      </c>
      <c r="F3" s="27">
        <v>481.0</v>
      </c>
      <c r="G3" s="27">
        <v>1.40274817E8</v>
      </c>
    </row>
    <row r="4" ht="12.75" customHeight="1">
      <c r="A4" s="31">
        <v>127.0</v>
      </c>
      <c r="B4" s="32" t="s">
        <v>55475</v>
      </c>
      <c r="C4" s="31">
        <v>140.0</v>
      </c>
      <c r="D4" s="32" t="s">
        <v>55476</v>
      </c>
      <c r="E4" s="32" t="s">
        <v>55477</v>
      </c>
      <c r="F4" s="31">
        <v>535.0</v>
      </c>
      <c r="G4" s="31">
        <v>1.40275353E8</v>
      </c>
    </row>
    <row r="5" ht="12.75" customHeight="1">
      <c r="A5" s="27">
        <v>127.0</v>
      </c>
      <c r="B5" s="28" t="s">
        <v>55478</v>
      </c>
      <c r="C5" s="27">
        <v>140.0</v>
      </c>
      <c r="D5" s="28" t="s">
        <v>55479</v>
      </c>
      <c r="E5" s="28" t="s">
        <v>55480</v>
      </c>
      <c r="F5" s="27">
        <v>574.0</v>
      </c>
      <c r="G5" s="27">
        <v>1.4027574E8</v>
      </c>
    </row>
    <row r="6" ht="12.75" customHeight="1">
      <c r="A6" s="31">
        <v>728.0</v>
      </c>
      <c r="B6" s="32" t="s">
        <v>55481</v>
      </c>
      <c r="C6" s="31">
        <v>140.0</v>
      </c>
      <c r="D6" s="32" t="s">
        <v>55482</v>
      </c>
      <c r="E6" s="32" t="s">
        <v>55483</v>
      </c>
      <c r="F6" s="33">
        <v>67.0</v>
      </c>
      <c r="G6" s="31">
        <v>1.40280672E8</v>
      </c>
    </row>
    <row r="7" ht="12.75" customHeight="1">
      <c r="A7" s="27">
        <v>230.0</v>
      </c>
      <c r="B7" s="28" t="s">
        <v>55484</v>
      </c>
      <c r="C7" s="27">
        <v>140.0</v>
      </c>
      <c r="D7" s="28" t="s">
        <v>55485</v>
      </c>
      <c r="E7" s="28" t="s">
        <v>55486</v>
      </c>
      <c r="F7" s="29">
        <v>37.0</v>
      </c>
      <c r="G7" s="27">
        <v>1.40300378E8</v>
      </c>
    </row>
    <row r="8" ht="12.75" customHeight="1">
      <c r="A8" s="31">
        <v>230.0</v>
      </c>
      <c r="B8" s="32" t="s">
        <v>55487</v>
      </c>
      <c r="C8" s="31">
        <v>140.0</v>
      </c>
      <c r="D8" s="32" t="s">
        <v>55488</v>
      </c>
      <c r="E8" s="32" t="s">
        <v>55489</v>
      </c>
      <c r="F8" s="33">
        <v>52.0</v>
      </c>
      <c r="G8" s="31">
        <v>1.40300523E8</v>
      </c>
    </row>
    <row r="9" ht="12.75" customHeight="1">
      <c r="A9" s="27">
        <v>230.0</v>
      </c>
      <c r="B9" s="28" t="s">
        <v>55490</v>
      </c>
      <c r="C9" s="27">
        <v>140.0</v>
      </c>
      <c r="D9" s="28" t="s">
        <v>55491</v>
      </c>
      <c r="E9" s="28" t="s">
        <v>55492</v>
      </c>
      <c r="F9" s="29">
        <v>92.0</v>
      </c>
      <c r="G9" s="27">
        <v>1.40300923E8</v>
      </c>
    </row>
    <row r="10" ht="12.75" customHeight="1">
      <c r="A10" s="31">
        <v>230.0</v>
      </c>
      <c r="B10" s="32" t="s">
        <v>55493</v>
      </c>
      <c r="C10" s="31">
        <v>140.0</v>
      </c>
      <c r="D10" s="32" t="s">
        <v>55494</v>
      </c>
      <c r="E10" s="32" t="s">
        <v>55495</v>
      </c>
      <c r="F10" s="31">
        <v>140.0</v>
      </c>
      <c r="G10" s="31">
        <v>1.40301401E8</v>
      </c>
    </row>
    <row r="11" ht="12.75" customHeight="1">
      <c r="A11" s="27">
        <v>632.0</v>
      </c>
      <c r="B11" s="28" t="s">
        <v>55496</v>
      </c>
      <c r="C11" s="27">
        <v>140.0</v>
      </c>
      <c r="D11" s="28" t="s">
        <v>55497</v>
      </c>
      <c r="E11" s="28" t="s">
        <v>55498</v>
      </c>
      <c r="F11" s="29">
        <v>58.0</v>
      </c>
      <c r="G11" s="27">
        <v>1.40320587E8</v>
      </c>
    </row>
    <row r="12" ht="12.75" customHeight="1">
      <c r="A12" s="31">
        <v>133.0</v>
      </c>
      <c r="B12" s="32" t="s">
        <v>55499</v>
      </c>
      <c r="C12" s="31">
        <v>140.0</v>
      </c>
      <c r="D12" s="32" t="s">
        <v>55500</v>
      </c>
      <c r="E12" s="32" t="s">
        <v>55501</v>
      </c>
      <c r="F12" s="33">
        <v>22.0</v>
      </c>
      <c r="G12" s="31">
        <v>1.40330227E8</v>
      </c>
    </row>
    <row r="13" ht="12.75" customHeight="1">
      <c r="A13" s="27">
        <v>133.0</v>
      </c>
      <c r="B13" s="28" t="s">
        <v>55502</v>
      </c>
      <c r="C13" s="27">
        <v>140.0</v>
      </c>
      <c r="D13" s="28" t="s">
        <v>55503</v>
      </c>
      <c r="E13" s="28" t="s">
        <v>55504</v>
      </c>
      <c r="F13" s="29">
        <v>55.0</v>
      </c>
      <c r="G13" s="27">
        <v>1.40330551E8</v>
      </c>
    </row>
    <row r="14" ht="12.75" customHeight="1">
      <c r="A14" s="31">
        <v>133.0</v>
      </c>
      <c r="B14" s="32" t="s">
        <v>55505</v>
      </c>
      <c r="C14" s="31">
        <v>140.0</v>
      </c>
      <c r="D14" s="32" t="s">
        <v>55506</v>
      </c>
      <c r="E14" s="32" t="s">
        <v>55507</v>
      </c>
      <c r="F14" s="33">
        <v>94.0</v>
      </c>
      <c r="G14" s="31">
        <v>1.40330948E8</v>
      </c>
    </row>
    <row r="15" ht="12.75" customHeight="1">
      <c r="A15" s="27">
        <v>836.0</v>
      </c>
      <c r="B15" s="28" t="s">
        <v>55508</v>
      </c>
      <c r="C15" s="27">
        <v>140.0</v>
      </c>
      <c r="D15" s="28" t="s">
        <v>55509</v>
      </c>
      <c r="E15" s="28" t="s">
        <v>55510</v>
      </c>
      <c r="F15" s="27">
        <v>109.0</v>
      </c>
      <c r="G15" s="27">
        <v>1.40361096E8</v>
      </c>
    </row>
    <row r="16" ht="12.75" customHeight="1">
      <c r="A16" s="31">
        <v>441.0</v>
      </c>
      <c r="B16" s="32" t="s">
        <v>55511</v>
      </c>
      <c r="C16" s="31">
        <v>140.0</v>
      </c>
      <c r="D16" s="32" t="s">
        <v>55512</v>
      </c>
      <c r="E16" s="32" t="s">
        <v>55513</v>
      </c>
      <c r="F16" s="33">
        <v>94.0</v>
      </c>
      <c r="G16" s="31">
        <v>1.40410947E8</v>
      </c>
    </row>
    <row r="17" ht="12.75" customHeight="1">
      <c r="A17" s="27">
        <v>342.0</v>
      </c>
      <c r="B17" s="28" t="s">
        <v>55514</v>
      </c>
      <c r="C17" s="27">
        <v>140.0</v>
      </c>
      <c r="D17" s="28" t="s">
        <v>55515</v>
      </c>
      <c r="E17" s="28" t="s">
        <v>55516</v>
      </c>
      <c r="F17" s="29">
        <v>31.0</v>
      </c>
      <c r="G17" s="27">
        <v>1.40420311E8</v>
      </c>
    </row>
    <row r="18" ht="12.75" customHeight="1">
      <c r="A18" s="31">
        <v>447.0</v>
      </c>
      <c r="B18" s="32" t="s">
        <v>55517</v>
      </c>
      <c r="C18" s="31">
        <v>140.0</v>
      </c>
      <c r="D18" s="32" t="s">
        <v>55518</v>
      </c>
      <c r="E18" s="32" t="s">
        <v>55519</v>
      </c>
      <c r="F18" s="31">
        <v>262.0</v>
      </c>
      <c r="G18" s="31">
        <v>1.40472622E8</v>
      </c>
    </row>
    <row r="19" ht="12.75" customHeight="1">
      <c r="A19" s="27">
        <v>148.0</v>
      </c>
      <c r="B19" s="28" t="s">
        <v>55520</v>
      </c>
      <c r="C19" s="27">
        <v>140.0</v>
      </c>
      <c r="D19" s="28" t="s">
        <v>55521</v>
      </c>
      <c r="E19" s="28" t="s">
        <v>55522</v>
      </c>
      <c r="F19" s="29">
        <v>67.0</v>
      </c>
      <c r="G19" s="27">
        <v>1.40480672E8</v>
      </c>
    </row>
    <row r="20" ht="12.75" customHeight="1">
      <c r="A20" s="31">
        <v>450.0</v>
      </c>
      <c r="B20" s="32" t="s">
        <v>55523</v>
      </c>
      <c r="C20" s="31">
        <v>140.0</v>
      </c>
      <c r="D20" s="32" t="s">
        <v>55524</v>
      </c>
      <c r="E20" s="32" t="s">
        <v>55525</v>
      </c>
      <c r="F20" s="33">
        <v>94.0</v>
      </c>
      <c r="G20" s="31">
        <v>1.40500949E8</v>
      </c>
    </row>
    <row r="21" ht="12.75" customHeight="1">
      <c r="A21" s="27">
        <v>251.0</v>
      </c>
      <c r="B21" s="28" t="s">
        <v>55526</v>
      </c>
      <c r="C21" s="27">
        <v>140.0</v>
      </c>
      <c r="D21" s="28" t="s">
        <v>55527</v>
      </c>
      <c r="E21" s="28" t="s">
        <v>55528</v>
      </c>
      <c r="F21" s="29">
        <v>73.0</v>
      </c>
      <c r="G21" s="27">
        <v>1.40510739E8</v>
      </c>
    </row>
    <row r="22" ht="12.75" customHeight="1">
      <c r="A22" s="31">
        <v>251.0</v>
      </c>
      <c r="B22" s="32" t="s">
        <v>55529</v>
      </c>
      <c r="C22" s="31">
        <v>140.0</v>
      </c>
      <c r="D22" s="32" t="s">
        <v>55530</v>
      </c>
      <c r="E22" s="32" t="s">
        <v>55531</v>
      </c>
      <c r="F22" s="33">
        <v>82.0</v>
      </c>
      <c r="G22" s="31">
        <v>1.40510821E8</v>
      </c>
    </row>
    <row r="23" ht="12.75" customHeight="1">
      <c r="A23" s="27">
        <v>752.0</v>
      </c>
      <c r="B23" s="28" t="s">
        <v>55532</v>
      </c>
      <c r="C23" s="27">
        <v>140.0</v>
      </c>
      <c r="D23" s="28" t="s">
        <v>55533</v>
      </c>
      <c r="E23" s="28" t="s">
        <v>55534</v>
      </c>
      <c r="F23" s="29">
        <v>46.0</v>
      </c>
      <c r="G23" s="27">
        <v>1.40520466E8</v>
      </c>
    </row>
    <row r="24" ht="12.75" customHeight="1">
      <c r="A24" s="31">
        <v>354.0</v>
      </c>
      <c r="B24" s="32" t="s">
        <v>55535</v>
      </c>
      <c r="C24" s="31">
        <v>140.0</v>
      </c>
      <c r="D24" s="32" t="s">
        <v>55536</v>
      </c>
      <c r="E24" s="32" t="s">
        <v>55537</v>
      </c>
      <c r="F24" s="33">
        <v>40.0</v>
      </c>
      <c r="G24" s="31">
        <v>1.40540404E8</v>
      </c>
    </row>
    <row r="25" ht="12.75" customHeight="1">
      <c r="A25" s="27">
        <v>156.0</v>
      </c>
      <c r="B25" s="28" t="s">
        <v>55538</v>
      </c>
      <c r="C25" s="27">
        <v>140.0</v>
      </c>
      <c r="D25" s="28" t="s">
        <v>55539</v>
      </c>
      <c r="E25" s="28" t="s">
        <v>55540</v>
      </c>
      <c r="F25" s="29">
        <v>55.0</v>
      </c>
      <c r="G25" s="27">
        <v>1.4056055E8</v>
      </c>
    </row>
    <row r="26" ht="12.75" customHeight="1">
      <c r="A26" s="31">
        <v>858.0</v>
      </c>
      <c r="B26" s="32" t="s">
        <v>55541</v>
      </c>
      <c r="C26" s="31">
        <v>140.0</v>
      </c>
      <c r="D26" s="32" t="s">
        <v>55542</v>
      </c>
      <c r="E26" s="32" t="s">
        <v>55543</v>
      </c>
      <c r="F26" s="31">
        <v>118.0</v>
      </c>
      <c r="G26" s="31">
        <v>1.40581184E8</v>
      </c>
    </row>
    <row r="27" ht="12.75" customHeight="1">
      <c r="A27" s="27">
        <v>161.0</v>
      </c>
      <c r="B27" s="28" t="s">
        <v>55544</v>
      </c>
      <c r="C27" s="27">
        <v>140.0</v>
      </c>
      <c r="D27" s="28" t="s">
        <v>55545</v>
      </c>
      <c r="E27" s="28" t="s">
        <v>55546</v>
      </c>
      <c r="F27" s="27">
        <v>175.0</v>
      </c>
      <c r="G27" s="27">
        <v>1.40611759E8</v>
      </c>
    </row>
    <row r="28" ht="12.75" customHeight="1">
      <c r="A28" s="31">
        <v>564.0</v>
      </c>
      <c r="B28" s="32" t="s">
        <v>55547</v>
      </c>
      <c r="C28" s="31">
        <v>140.0</v>
      </c>
      <c r="D28" s="32" t="s">
        <v>55548</v>
      </c>
      <c r="E28" s="32" t="s">
        <v>55549</v>
      </c>
      <c r="F28" s="31">
        <v>118.0</v>
      </c>
      <c r="G28" s="31">
        <v>1.40641187E8</v>
      </c>
    </row>
    <row r="29" ht="12.75" customHeight="1">
      <c r="A29" s="27">
        <v>564.0</v>
      </c>
      <c r="B29" s="28" t="s">
        <v>55550</v>
      </c>
      <c r="C29" s="27">
        <v>140.0</v>
      </c>
      <c r="D29" s="28" t="s">
        <v>55551</v>
      </c>
      <c r="E29" s="28" t="s">
        <v>55552</v>
      </c>
      <c r="F29" s="27">
        <v>124.0</v>
      </c>
      <c r="G29" s="27">
        <v>1.4064124E8</v>
      </c>
    </row>
    <row r="30" ht="12.75" customHeight="1">
      <c r="A30" s="31">
        <v>564.0</v>
      </c>
      <c r="B30" s="32" t="s">
        <v>55553</v>
      </c>
      <c r="C30" s="31">
        <v>140.0</v>
      </c>
      <c r="D30" s="32" t="s">
        <v>55554</v>
      </c>
      <c r="E30" s="32" t="s">
        <v>55555</v>
      </c>
      <c r="F30" s="31">
        <v>127.0</v>
      </c>
      <c r="G30" s="31">
        <v>1.40641279E8</v>
      </c>
    </row>
    <row r="31" ht="12.75" customHeight="1">
      <c r="A31" s="27">
        <v>564.0</v>
      </c>
      <c r="B31" s="28" t="s">
        <v>55556</v>
      </c>
      <c r="C31" s="27">
        <v>140.0</v>
      </c>
      <c r="D31" s="28" t="s">
        <v>55557</v>
      </c>
      <c r="E31" s="28" t="s">
        <v>55558</v>
      </c>
      <c r="F31" s="27">
        <v>175.0</v>
      </c>
      <c r="G31" s="27">
        <v>1.40641758E8</v>
      </c>
    </row>
    <row r="32" ht="12.75" customHeight="1">
      <c r="A32" s="31">
        <v>564.0</v>
      </c>
      <c r="B32" s="32" t="s">
        <v>55559</v>
      </c>
      <c r="C32" s="31">
        <v>140.0</v>
      </c>
      <c r="D32" s="32" t="s">
        <v>55560</v>
      </c>
      <c r="E32" s="32" t="s">
        <v>55561</v>
      </c>
      <c r="F32" s="31">
        <v>189.0</v>
      </c>
      <c r="G32" s="31">
        <v>1.40641895E8</v>
      </c>
    </row>
    <row r="33" ht="12.75" customHeight="1">
      <c r="A33" s="27">
        <v>167.0</v>
      </c>
      <c r="B33" s="28" t="s">
        <v>55562</v>
      </c>
      <c r="C33" s="27">
        <v>140.0</v>
      </c>
      <c r="D33" s="28" t="s">
        <v>55563</v>
      </c>
      <c r="E33" s="28" t="s">
        <v>55564</v>
      </c>
      <c r="F33" s="29">
        <v>22.0</v>
      </c>
      <c r="G33" s="27">
        <v>1.40670224E8</v>
      </c>
    </row>
    <row r="34" ht="12.75" customHeight="1">
      <c r="A34" s="31">
        <v>167.0</v>
      </c>
      <c r="B34" s="32" t="s">
        <v>55565</v>
      </c>
      <c r="C34" s="31">
        <v>140.0</v>
      </c>
      <c r="D34" s="32" t="s">
        <v>55566</v>
      </c>
      <c r="E34" s="32" t="s">
        <v>55567</v>
      </c>
      <c r="F34" s="33">
        <v>97.0</v>
      </c>
      <c r="G34" s="31">
        <v>1.40670974E8</v>
      </c>
    </row>
    <row r="35" ht="12.75" customHeight="1">
      <c r="A35" s="27">
        <v>167.0</v>
      </c>
      <c r="B35" s="28" t="s">
        <v>55568</v>
      </c>
      <c r="C35" s="27">
        <v>140.0</v>
      </c>
      <c r="D35" s="28" t="s">
        <v>55569</v>
      </c>
      <c r="E35" s="28" t="s">
        <v>55570</v>
      </c>
      <c r="F35" s="27">
        <v>124.0</v>
      </c>
      <c r="G35" s="27">
        <v>1.40671249E8</v>
      </c>
    </row>
    <row r="36" ht="12.75" customHeight="1">
      <c r="A36" s="31">
        <v>167.0</v>
      </c>
      <c r="B36" s="32" t="s">
        <v>55571</v>
      </c>
      <c r="C36" s="31">
        <v>140.0</v>
      </c>
      <c r="D36" s="32" t="s">
        <v>55572</v>
      </c>
      <c r="E36" s="32" t="s">
        <v>55573</v>
      </c>
      <c r="F36" s="31">
        <v>157.0</v>
      </c>
      <c r="G36" s="31">
        <v>1.40671573E8</v>
      </c>
    </row>
    <row r="37" ht="12.75" customHeight="1">
      <c r="A37" s="27">
        <v>168.0</v>
      </c>
      <c r="B37" s="28" t="s">
        <v>55574</v>
      </c>
      <c r="C37" s="27">
        <v>140.0</v>
      </c>
      <c r="D37" s="28" t="s">
        <v>55575</v>
      </c>
      <c r="E37" s="28" t="s">
        <v>55576</v>
      </c>
      <c r="F37" s="27">
        <v>139.0</v>
      </c>
      <c r="G37" s="27">
        <v>1.40681392E8</v>
      </c>
    </row>
    <row r="38" ht="12.75" customHeight="1">
      <c r="A38" s="31">
        <v>569.0</v>
      </c>
      <c r="B38" s="32" t="s">
        <v>55577</v>
      </c>
      <c r="C38" s="31">
        <v>140.0</v>
      </c>
      <c r="D38" s="32" t="s">
        <v>55578</v>
      </c>
      <c r="E38" s="32" t="s">
        <v>55579</v>
      </c>
      <c r="F38" s="31">
        <v>109.0</v>
      </c>
      <c r="G38" s="31">
        <v>1.4069109E8</v>
      </c>
    </row>
    <row r="39" ht="12.75" customHeight="1">
      <c r="A39" s="27">
        <v>570.0</v>
      </c>
      <c r="B39" s="28" t="s">
        <v>55580</v>
      </c>
      <c r="C39" s="27">
        <v>140.0</v>
      </c>
      <c r="D39" s="28" t="s">
        <v>55581</v>
      </c>
      <c r="E39" s="28" t="s">
        <v>55582</v>
      </c>
      <c r="F39" s="29">
        <v>25.0</v>
      </c>
      <c r="G39" s="27">
        <v>1.40700257E8</v>
      </c>
    </row>
    <row r="40" ht="12.75" customHeight="1">
      <c r="A40" s="31">
        <v>773.0</v>
      </c>
      <c r="B40" s="32" t="s">
        <v>55583</v>
      </c>
      <c r="C40" s="31">
        <v>140.0</v>
      </c>
      <c r="D40" s="32" t="s">
        <v>55584</v>
      </c>
      <c r="E40" s="32" t="s">
        <v>55585</v>
      </c>
      <c r="F40" s="33">
        <v>73.0</v>
      </c>
      <c r="G40" s="31">
        <v>1.40730735E8</v>
      </c>
    </row>
    <row r="41" ht="12.75" customHeight="1">
      <c r="A41" s="27">
        <v>275.0</v>
      </c>
      <c r="B41" s="28" t="s">
        <v>55586</v>
      </c>
      <c r="C41" s="27">
        <v>140.0</v>
      </c>
      <c r="D41" s="28" t="s">
        <v>55587</v>
      </c>
      <c r="E41" s="28" t="s">
        <v>55588</v>
      </c>
      <c r="F41" s="29">
        <v>10.0</v>
      </c>
      <c r="G41" s="27">
        <v>1.40750102E8</v>
      </c>
    </row>
    <row r="42" ht="12.75" customHeight="1">
      <c r="A42" s="31">
        <v>275.0</v>
      </c>
      <c r="B42" s="32" t="s">
        <v>55589</v>
      </c>
      <c r="C42" s="31">
        <v>140.0</v>
      </c>
      <c r="D42" s="32" t="s">
        <v>55590</v>
      </c>
      <c r="E42" s="32" t="s">
        <v>55591</v>
      </c>
      <c r="F42" s="33">
        <v>19.0</v>
      </c>
      <c r="G42" s="31">
        <v>1.40750199E8</v>
      </c>
    </row>
    <row r="43" ht="12.75" customHeight="1">
      <c r="A43" s="27">
        <v>275.0</v>
      </c>
      <c r="B43" s="28" t="s">
        <v>55592</v>
      </c>
      <c r="C43" s="27">
        <v>140.0</v>
      </c>
      <c r="D43" s="28" t="s">
        <v>55593</v>
      </c>
      <c r="E43" s="28" t="s">
        <v>55594</v>
      </c>
      <c r="F43" s="29">
        <v>31.0</v>
      </c>
      <c r="G43" s="27">
        <v>1.40750315E8</v>
      </c>
    </row>
    <row r="44" ht="12.75" customHeight="1">
      <c r="A44" s="31">
        <v>275.0</v>
      </c>
      <c r="B44" s="32" t="s">
        <v>55595</v>
      </c>
      <c r="C44" s="31">
        <v>140.0</v>
      </c>
      <c r="D44" s="32" t="s">
        <v>55596</v>
      </c>
      <c r="E44" s="32" t="s">
        <v>55597</v>
      </c>
      <c r="F44" s="33">
        <v>67.0</v>
      </c>
      <c r="G44" s="31">
        <v>1.40750678E8</v>
      </c>
    </row>
    <row r="45" ht="12.75" customHeight="1">
      <c r="A45" s="27">
        <v>275.0</v>
      </c>
      <c r="B45" s="28" t="s">
        <v>55598</v>
      </c>
      <c r="C45" s="27">
        <v>140.0</v>
      </c>
      <c r="D45" s="28" t="s">
        <v>55599</v>
      </c>
      <c r="E45" s="28" t="s">
        <v>55600</v>
      </c>
      <c r="F45" s="27">
        <v>130.0</v>
      </c>
      <c r="G45" s="27">
        <v>1.40751301E8</v>
      </c>
    </row>
    <row r="46" ht="12.75" customHeight="1">
      <c r="A46" s="31">
        <v>275.0</v>
      </c>
      <c r="B46" s="32" t="s">
        <v>55601</v>
      </c>
      <c r="C46" s="31">
        <v>140.0</v>
      </c>
      <c r="D46" s="32" t="s">
        <v>55602</v>
      </c>
      <c r="E46" s="32" t="s">
        <v>55603</v>
      </c>
      <c r="F46" s="31">
        <v>157.0</v>
      </c>
      <c r="G46" s="31">
        <v>1.40751572E8</v>
      </c>
    </row>
    <row r="47" ht="12.75" customHeight="1">
      <c r="A47" s="27">
        <v>275.0</v>
      </c>
      <c r="B47" s="28" t="s">
        <v>55604</v>
      </c>
      <c r="C47" s="27">
        <v>140.0</v>
      </c>
      <c r="D47" s="28" t="s">
        <v>55605</v>
      </c>
      <c r="E47" s="28" t="s">
        <v>55606</v>
      </c>
      <c r="F47" s="27">
        <v>199.0</v>
      </c>
      <c r="G47" s="27">
        <v>1.40751998E8</v>
      </c>
    </row>
    <row r="48" ht="12.75" customHeight="1">
      <c r="A48" s="31">
        <v>275.0</v>
      </c>
      <c r="B48" s="32" t="s">
        <v>55607</v>
      </c>
      <c r="C48" s="31">
        <v>140.0</v>
      </c>
      <c r="D48" s="32" t="s">
        <v>55608</v>
      </c>
      <c r="E48" s="32" t="s">
        <v>55609</v>
      </c>
      <c r="F48" s="31">
        <v>235.0</v>
      </c>
      <c r="G48" s="31">
        <v>1.40752355E8</v>
      </c>
    </row>
    <row r="49" ht="12.75" customHeight="1">
      <c r="A49" s="27">
        <v>576.0</v>
      </c>
      <c r="B49" s="28" t="s">
        <v>55610</v>
      </c>
      <c r="C49" s="27">
        <v>140.0</v>
      </c>
      <c r="D49" s="28" t="s">
        <v>55611</v>
      </c>
      <c r="E49" s="28" t="s">
        <v>55612</v>
      </c>
      <c r="F49" s="27">
        <v>178.0</v>
      </c>
      <c r="G49" s="27">
        <v>1.40761788E8</v>
      </c>
    </row>
    <row r="50" ht="12.75" customHeight="1">
      <c r="A50" s="31">
        <v>777.0</v>
      </c>
      <c r="B50" s="32" t="s">
        <v>55613</v>
      </c>
      <c r="C50" s="31">
        <v>140.0</v>
      </c>
      <c r="D50" s="32" t="s">
        <v>55614</v>
      </c>
      <c r="E50" s="32" t="s">
        <v>55615</v>
      </c>
      <c r="F50" s="33">
        <v>19.0</v>
      </c>
      <c r="G50" s="31">
        <v>1.40770195E8</v>
      </c>
    </row>
    <row r="51" ht="12.75" customHeight="1">
      <c r="A51" s="27">
        <v>378.0</v>
      </c>
      <c r="B51" s="28" t="s">
        <v>55616</v>
      </c>
      <c r="C51" s="27">
        <v>140.0</v>
      </c>
      <c r="D51" s="28" t="s">
        <v>55617</v>
      </c>
      <c r="E51" s="28" t="s">
        <v>55618</v>
      </c>
      <c r="F51" s="29">
        <v>9.0</v>
      </c>
      <c r="G51" s="27">
        <v>1.40780093E8</v>
      </c>
    </row>
    <row r="52" ht="12.75" customHeight="1">
      <c r="A52" s="31">
        <v>378.0</v>
      </c>
      <c r="B52" s="32" t="s">
        <v>55619</v>
      </c>
      <c r="C52" s="31">
        <v>140.0</v>
      </c>
      <c r="D52" s="32" t="s">
        <v>55620</v>
      </c>
      <c r="E52" s="32" t="s">
        <v>55621</v>
      </c>
      <c r="F52" s="31">
        <v>109.0</v>
      </c>
      <c r="G52" s="31">
        <v>1.40781092E8</v>
      </c>
    </row>
    <row r="53" ht="12.75" customHeight="1">
      <c r="A53" s="27">
        <v>581.0</v>
      </c>
      <c r="B53" s="28" t="s">
        <v>55622</v>
      </c>
      <c r="C53" s="27">
        <v>140.0</v>
      </c>
      <c r="D53" s="28" t="s">
        <v>55623</v>
      </c>
      <c r="E53" s="28" t="s">
        <v>55624</v>
      </c>
      <c r="F53" s="27">
        <v>193.0</v>
      </c>
      <c r="G53" s="27">
        <v>1.40811933E8</v>
      </c>
    </row>
    <row r="54" ht="12.75" customHeight="1">
      <c r="A54" s="31">
        <v>284.0</v>
      </c>
      <c r="B54" s="32" t="s">
        <v>55625</v>
      </c>
      <c r="C54" s="31">
        <v>140.0</v>
      </c>
      <c r="D54" s="32" t="s">
        <v>55626</v>
      </c>
      <c r="E54" s="32" t="s">
        <v>55627</v>
      </c>
      <c r="F54" s="33">
        <v>52.0</v>
      </c>
      <c r="G54" s="31">
        <v>1.4084052E8</v>
      </c>
    </row>
    <row r="55" ht="12.75" customHeight="1">
      <c r="A55" s="27">
        <v>785.0</v>
      </c>
      <c r="B55" s="28" t="s">
        <v>55628</v>
      </c>
      <c r="C55" s="27">
        <v>140.0</v>
      </c>
      <c r="D55" s="28" t="s">
        <v>55629</v>
      </c>
      <c r="E55" s="28" t="s">
        <v>55630</v>
      </c>
      <c r="F55" s="27">
        <v>145.0</v>
      </c>
      <c r="G55" s="27">
        <v>1.40851456E8</v>
      </c>
    </row>
    <row r="56" ht="12.75" customHeight="1">
      <c r="A56" s="31">
        <v>386.0</v>
      </c>
      <c r="B56" s="32" t="s">
        <v>55631</v>
      </c>
      <c r="C56" s="31">
        <v>140.0</v>
      </c>
      <c r="D56" s="32" t="s">
        <v>55632</v>
      </c>
      <c r="E56" s="32" t="s">
        <v>55633</v>
      </c>
      <c r="F56" s="33">
        <v>7.0</v>
      </c>
      <c r="G56" s="31">
        <v>1.40860076E8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386.0</v>
      </c>
      <c r="B1" s="28" t="s">
        <v>55634</v>
      </c>
      <c r="C1" s="27">
        <v>140.0</v>
      </c>
      <c r="D1" s="28" t="s">
        <v>55635</v>
      </c>
      <c r="E1" s="28" t="s">
        <v>55636</v>
      </c>
      <c r="F1" s="29">
        <v>19.0</v>
      </c>
      <c r="G1" s="27">
        <v>1.40860197E8</v>
      </c>
    </row>
    <row r="2" ht="12.75" customHeight="1">
      <c r="A2" s="31">
        <v>386.0</v>
      </c>
      <c r="B2" s="32" t="s">
        <v>55637</v>
      </c>
      <c r="C2" s="31">
        <v>140.0</v>
      </c>
      <c r="D2" s="32" t="s">
        <v>55638</v>
      </c>
      <c r="E2" s="32" t="s">
        <v>55639</v>
      </c>
      <c r="F2" s="33">
        <v>34.0</v>
      </c>
      <c r="G2" s="31">
        <v>1.40860342E8</v>
      </c>
    </row>
    <row r="3" ht="12.75" customHeight="1">
      <c r="A3" s="27">
        <v>890.0</v>
      </c>
      <c r="B3" s="28" t="s">
        <v>55640</v>
      </c>
      <c r="C3" s="27">
        <v>140.0</v>
      </c>
      <c r="D3" s="28" t="s">
        <v>55641</v>
      </c>
      <c r="E3" s="28" t="s">
        <v>55642</v>
      </c>
      <c r="F3" s="27">
        <v>112.0</v>
      </c>
      <c r="G3" s="27">
        <v>1.40901122E8</v>
      </c>
    </row>
    <row r="4" ht="12.75" customHeight="1">
      <c r="A4" s="31">
        <v>891.0</v>
      </c>
      <c r="B4" s="32" t="s">
        <v>55643</v>
      </c>
      <c r="C4" s="31">
        <v>140.0</v>
      </c>
      <c r="D4" s="32" t="s">
        <v>55644</v>
      </c>
      <c r="E4" s="32" t="s">
        <v>55645</v>
      </c>
      <c r="F4" s="33">
        <v>31.0</v>
      </c>
      <c r="G4" s="31">
        <v>1.40910313E8</v>
      </c>
    </row>
    <row r="5" ht="12.75" customHeight="1">
      <c r="A5" s="27">
        <v>891.0</v>
      </c>
      <c r="B5" s="28" t="s">
        <v>55646</v>
      </c>
      <c r="C5" s="27">
        <v>140.0</v>
      </c>
      <c r="D5" s="28" t="s">
        <v>55647</v>
      </c>
      <c r="E5" s="28" t="s">
        <v>55648</v>
      </c>
      <c r="F5" s="27">
        <v>250.0</v>
      </c>
      <c r="G5" s="27">
        <v>1.40912508E8</v>
      </c>
    </row>
    <row r="6" ht="12.75" customHeight="1">
      <c r="A6" s="31">
        <v>891.0</v>
      </c>
      <c r="B6" s="32" t="s">
        <v>55649</v>
      </c>
      <c r="C6" s="31">
        <v>140.0</v>
      </c>
      <c r="D6" s="32" t="s">
        <v>55650</v>
      </c>
      <c r="E6" s="32" t="s">
        <v>55651</v>
      </c>
      <c r="F6" s="31">
        <v>349.0</v>
      </c>
      <c r="G6" s="31">
        <v>1.40913499E8</v>
      </c>
    </row>
    <row r="7" ht="12.75" customHeight="1">
      <c r="A7" s="27">
        <v>193.0</v>
      </c>
      <c r="B7" s="28" t="s">
        <v>55652</v>
      </c>
      <c r="C7" s="27">
        <v>140.0</v>
      </c>
      <c r="D7" s="28" t="s">
        <v>55653</v>
      </c>
      <c r="E7" s="28" t="s">
        <v>55654</v>
      </c>
      <c r="F7" s="27">
        <v>103.0</v>
      </c>
      <c r="G7" s="27">
        <v>1.40931039E8</v>
      </c>
    </row>
    <row r="8" ht="12.75" customHeight="1">
      <c r="A8" s="31">
        <v>193.0</v>
      </c>
      <c r="B8" s="32" t="s">
        <v>55655</v>
      </c>
      <c r="C8" s="31">
        <v>140.0</v>
      </c>
      <c r="D8" s="32" t="s">
        <v>55656</v>
      </c>
      <c r="E8" s="32" t="s">
        <v>55657</v>
      </c>
      <c r="F8" s="31">
        <v>220.0</v>
      </c>
      <c r="G8" s="31">
        <v>1.40932209E8</v>
      </c>
    </row>
    <row r="9" ht="12.75" customHeight="1">
      <c r="A9" s="27">
        <v>794.0</v>
      </c>
      <c r="B9" s="28" t="s">
        <v>55658</v>
      </c>
      <c r="C9" s="27">
        <v>140.0</v>
      </c>
      <c r="D9" s="28" t="s">
        <v>55659</v>
      </c>
      <c r="E9" s="28" t="s">
        <v>55660</v>
      </c>
      <c r="F9" s="29">
        <v>97.0</v>
      </c>
      <c r="G9" s="27">
        <v>1.4094097E8</v>
      </c>
    </row>
    <row r="10" ht="12.75" customHeight="1">
      <c r="A10" s="31">
        <v>306.0</v>
      </c>
      <c r="B10" s="32" t="s">
        <v>55661</v>
      </c>
      <c r="C10" s="31">
        <v>145.0</v>
      </c>
      <c r="D10" s="32" t="s">
        <v>55662</v>
      </c>
      <c r="E10" s="32" t="s">
        <v>55663</v>
      </c>
      <c r="F10" s="33">
        <v>28.0</v>
      </c>
      <c r="G10" s="31">
        <v>1.45060284E8</v>
      </c>
    </row>
    <row r="11" ht="12.75" customHeight="1">
      <c r="A11" s="27">
        <v>306.0</v>
      </c>
      <c r="B11" s="28" t="s">
        <v>55664</v>
      </c>
      <c r="C11" s="27">
        <v>145.0</v>
      </c>
      <c r="D11" s="28" t="s">
        <v>55665</v>
      </c>
      <c r="E11" s="28" t="s">
        <v>55666</v>
      </c>
      <c r="F11" s="29">
        <v>82.0</v>
      </c>
      <c r="G11" s="27">
        <v>1.45060826E8</v>
      </c>
    </row>
    <row r="12" ht="12.75" customHeight="1">
      <c r="A12" s="31">
        <v>610.0</v>
      </c>
      <c r="B12" s="32" t="s">
        <v>55667</v>
      </c>
      <c r="C12" s="31">
        <v>145.0</v>
      </c>
      <c r="D12" s="32" t="s">
        <v>55668</v>
      </c>
      <c r="E12" s="32" t="s">
        <v>55669</v>
      </c>
      <c r="F12" s="33">
        <v>37.0</v>
      </c>
      <c r="G12" s="31">
        <v>1.45100373E8</v>
      </c>
    </row>
    <row r="13" ht="12.75" customHeight="1">
      <c r="A13" s="27">
        <v>112.0</v>
      </c>
      <c r="B13" s="28" t="s">
        <v>55670</v>
      </c>
      <c r="C13" s="27">
        <v>145.0</v>
      </c>
      <c r="D13" s="28" t="s">
        <v>55671</v>
      </c>
      <c r="E13" s="28" t="s">
        <v>55672</v>
      </c>
      <c r="F13" s="29">
        <v>43.0</v>
      </c>
      <c r="G13" s="27">
        <v>1.45120432E8</v>
      </c>
    </row>
    <row r="14" ht="12.75" customHeight="1">
      <c r="A14" s="31">
        <v>215.0</v>
      </c>
      <c r="B14" s="32" t="s">
        <v>55673</v>
      </c>
      <c r="C14" s="31">
        <v>145.0</v>
      </c>
      <c r="D14" s="32" t="s">
        <v>55674</v>
      </c>
      <c r="E14" s="32" t="s">
        <v>55675</v>
      </c>
      <c r="F14" s="33">
        <v>10.0</v>
      </c>
      <c r="G14" s="31">
        <v>1.45150107E8</v>
      </c>
    </row>
    <row r="15" ht="12.75" customHeight="1">
      <c r="A15" s="27">
        <v>215.0</v>
      </c>
      <c r="B15" s="28" t="s">
        <v>55676</v>
      </c>
      <c r="C15" s="27">
        <v>145.0</v>
      </c>
      <c r="D15" s="28" t="s">
        <v>55677</v>
      </c>
      <c r="E15" s="28" t="s">
        <v>55678</v>
      </c>
      <c r="F15" s="29">
        <v>13.0</v>
      </c>
      <c r="G15" s="27">
        <v>1.45150136E8</v>
      </c>
    </row>
    <row r="16" ht="12.75" customHeight="1">
      <c r="A16" s="31">
        <v>215.0</v>
      </c>
      <c r="B16" s="32" t="s">
        <v>55679</v>
      </c>
      <c r="C16" s="31">
        <v>145.0</v>
      </c>
      <c r="D16" s="32" t="s">
        <v>55680</v>
      </c>
      <c r="E16" s="32" t="s">
        <v>55681</v>
      </c>
      <c r="F16" s="33">
        <v>14.0</v>
      </c>
      <c r="G16" s="31">
        <v>1.45150149E8</v>
      </c>
    </row>
    <row r="17" ht="12.75" customHeight="1">
      <c r="A17" s="27">
        <v>215.0</v>
      </c>
      <c r="B17" s="28" t="s">
        <v>55682</v>
      </c>
      <c r="C17" s="27">
        <v>145.0</v>
      </c>
      <c r="D17" s="28" t="s">
        <v>55683</v>
      </c>
      <c r="E17" s="28" t="s">
        <v>55684</v>
      </c>
      <c r="F17" s="29">
        <v>25.0</v>
      </c>
      <c r="G17" s="27">
        <v>1.45150257E8</v>
      </c>
    </row>
    <row r="18" ht="12.75" customHeight="1">
      <c r="A18" s="31">
        <v>215.0</v>
      </c>
      <c r="B18" s="32" t="s">
        <v>55685</v>
      </c>
      <c r="C18" s="31">
        <v>145.0</v>
      </c>
      <c r="D18" s="32" t="s">
        <v>55686</v>
      </c>
      <c r="E18" s="32" t="s">
        <v>55687</v>
      </c>
      <c r="F18" s="33">
        <v>27.0</v>
      </c>
      <c r="G18" s="31">
        <v>1.45150273E8</v>
      </c>
    </row>
    <row r="19" ht="12.75" customHeight="1">
      <c r="A19" s="27">
        <v>215.0</v>
      </c>
      <c r="B19" s="28" t="s">
        <v>55688</v>
      </c>
      <c r="C19" s="27">
        <v>145.0</v>
      </c>
      <c r="D19" s="28" t="s">
        <v>55689</v>
      </c>
      <c r="E19" s="28" t="s">
        <v>55690</v>
      </c>
      <c r="F19" s="29">
        <v>46.0</v>
      </c>
      <c r="G19" s="27">
        <v>1.4515046E8</v>
      </c>
    </row>
    <row r="20" ht="12.75" customHeight="1">
      <c r="A20" s="31">
        <v>215.0</v>
      </c>
      <c r="B20" s="32" t="s">
        <v>55691</v>
      </c>
      <c r="C20" s="31">
        <v>145.0</v>
      </c>
      <c r="D20" s="32" t="s">
        <v>55692</v>
      </c>
      <c r="E20" s="32" t="s">
        <v>55693</v>
      </c>
      <c r="F20" s="31">
        <v>148.0</v>
      </c>
      <c r="G20" s="31">
        <v>1.45151485E8</v>
      </c>
    </row>
    <row r="21" ht="12.75" customHeight="1">
      <c r="A21" s="27">
        <v>215.0</v>
      </c>
      <c r="B21" s="28" t="s">
        <v>55694</v>
      </c>
      <c r="C21" s="27">
        <v>145.0</v>
      </c>
      <c r="D21" s="28" t="s">
        <v>55695</v>
      </c>
      <c r="E21" s="28" t="s">
        <v>55696</v>
      </c>
      <c r="F21" s="27">
        <v>202.0</v>
      </c>
      <c r="G21" s="27">
        <v>1.45152026E8</v>
      </c>
    </row>
    <row r="22" ht="12.75" customHeight="1">
      <c r="A22" s="31">
        <v>215.0</v>
      </c>
      <c r="B22" s="32" t="s">
        <v>55697</v>
      </c>
      <c r="C22" s="31">
        <v>145.0</v>
      </c>
      <c r="D22" s="32" t="s">
        <v>55698</v>
      </c>
      <c r="E22" s="32" t="s">
        <v>55699</v>
      </c>
      <c r="F22" s="31">
        <v>364.0</v>
      </c>
      <c r="G22" s="31">
        <v>1.45153641E8</v>
      </c>
    </row>
    <row r="23" ht="12.75" customHeight="1">
      <c r="A23" s="27">
        <v>215.0</v>
      </c>
      <c r="B23" s="28" t="s">
        <v>55700</v>
      </c>
      <c r="C23" s="27">
        <v>145.0</v>
      </c>
      <c r="D23" s="28" t="s">
        <v>55701</v>
      </c>
      <c r="E23" s="28" t="s">
        <v>55702</v>
      </c>
      <c r="F23" s="27">
        <v>407.0</v>
      </c>
      <c r="G23" s="27">
        <v>1.45154079E8</v>
      </c>
    </row>
    <row r="24" ht="12.75" customHeight="1">
      <c r="A24" s="31">
        <v>215.0</v>
      </c>
      <c r="B24" s="32" t="s">
        <v>55703</v>
      </c>
      <c r="C24" s="31">
        <v>145.0</v>
      </c>
      <c r="D24" s="32" t="s">
        <v>55704</v>
      </c>
      <c r="E24" s="32" t="s">
        <v>55705</v>
      </c>
      <c r="F24" s="31">
        <v>427.0</v>
      </c>
      <c r="G24" s="31">
        <v>1.45154279E8</v>
      </c>
    </row>
    <row r="25" ht="12.75" customHeight="1">
      <c r="A25" s="27">
        <v>215.0</v>
      </c>
      <c r="B25" s="28" t="s">
        <v>55706</v>
      </c>
      <c r="C25" s="27">
        <v>145.0</v>
      </c>
      <c r="D25" s="28" t="s">
        <v>55707</v>
      </c>
      <c r="E25" s="28" t="s">
        <v>55708</v>
      </c>
      <c r="F25" s="27">
        <v>532.0</v>
      </c>
      <c r="G25" s="27">
        <v>1.45155328E8</v>
      </c>
    </row>
    <row r="26" ht="12.75" customHeight="1">
      <c r="A26" s="31">
        <v>215.0</v>
      </c>
      <c r="B26" s="32" t="s">
        <v>55709</v>
      </c>
      <c r="C26" s="31">
        <v>145.0</v>
      </c>
      <c r="D26" s="32" t="s">
        <v>55710</v>
      </c>
      <c r="E26" s="32" t="s">
        <v>55711</v>
      </c>
      <c r="F26" s="31">
        <v>541.0</v>
      </c>
      <c r="G26" s="31">
        <v>1.4515541E8</v>
      </c>
    </row>
    <row r="27" ht="12.75" customHeight="1">
      <c r="A27" s="27">
        <v>215.0</v>
      </c>
      <c r="B27" s="28" t="s">
        <v>55712</v>
      </c>
      <c r="C27" s="27">
        <v>145.0</v>
      </c>
      <c r="D27" s="28" t="s">
        <v>55713</v>
      </c>
      <c r="E27" s="28" t="s">
        <v>55714</v>
      </c>
      <c r="F27" s="27">
        <v>559.0</v>
      </c>
      <c r="G27" s="27">
        <v>1.45155599E8</v>
      </c>
    </row>
    <row r="28" ht="12.75" customHeight="1">
      <c r="A28" s="31">
        <v>215.0</v>
      </c>
      <c r="B28" s="32" t="s">
        <v>55715</v>
      </c>
      <c r="C28" s="31">
        <v>145.0</v>
      </c>
      <c r="D28" s="32" t="s">
        <v>55716</v>
      </c>
      <c r="E28" s="32" t="s">
        <v>55717</v>
      </c>
      <c r="F28" s="31">
        <v>563.0</v>
      </c>
      <c r="G28" s="31">
        <v>1.45155636E8</v>
      </c>
    </row>
    <row r="29" ht="12.75" customHeight="1">
      <c r="A29" s="27">
        <v>215.0</v>
      </c>
      <c r="B29" s="28" t="s">
        <v>55718</v>
      </c>
      <c r="C29" s="27">
        <v>145.0</v>
      </c>
      <c r="D29" s="28" t="s">
        <v>55719</v>
      </c>
      <c r="E29" s="28" t="s">
        <v>55720</v>
      </c>
      <c r="F29" s="27">
        <v>587.0</v>
      </c>
      <c r="G29" s="27">
        <v>1.45155878E8</v>
      </c>
    </row>
    <row r="30" ht="12.75" customHeight="1">
      <c r="A30" s="31">
        <v>215.0</v>
      </c>
      <c r="B30" s="32" t="s">
        <v>55721</v>
      </c>
      <c r="C30" s="31">
        <v>145.0</v>
      </c>
      <c r="D30" s="32" t="s">
        <v>55722</v>
      </c>
      <c r="E30" s="32" t="s">
        <v>55723</v>
      </c>
      <c r="F30" s="31">
        <v>786.0</v>
      </c>
      <c r="G30" s="31">
        <v>1.45157863E8</v>
      </c>
    </row>
    <row r="31" ht="12.75" customHeight="1">
      <c r="A31" s="27">
        <v>119.0</v>
      </c>
      <c r="B31" s="28" t="s">
        <v>55724</v>
      </c>
      <c r="C31" s="27">
        <v>145.0</v>
      </c>
      <c r="D31" s="28" t="s">
        <v>55725</v>
      </c>
      <c r="E31" s="28" t="s">
        <v>55726</v>
      </c>
      <c r="F31" s="29">
        <v>21.0</v>
      </c>
      <c r="G31" s="27">
        <v>1.45190217E8</v>
      </c>
    </row>
    <row r="32" ht="12.75" customHeight="1">
      <c r="A32" s="31">
        <v>119.0</v>
      </c>
      <c r="B32" s="32" t="s">
        <v>55727</v>
      </c>
      <c r="C32" s="31">
        <v>145.0</v>
      </c>
      <c r="D32" s="32" t="s">
        <v>55728</v>
      </c>
      <c r="E32" s="32" t="s">
        <v>55729</v>
      </c>
      <c r="F32" s="33">
        <v>42.0</v>
      </c>
      <c r="G32" s="31">
        <v>1.4519042E8</v>
      </c>
    </row>
    <row r="33" ht="12.75" customHeight="1">
      <c r="A33" s="27">
        <v>119.0</v>
      </c>
      <c r="B33" s="28" t="s">
        <v>55730</v>
      </c>
      <c r="C33" s="27">
        <v>145.0</v>
      </c>
      <c r="D33" s="28" t="s">
        <v>55731</v>
      </c>
      <c r="E33" s="28" t="s">
        <v>55732</v>
      </c>
      <c r="F33" s="27">
        <v>115.0</v>
      </c>
      <c r="G33" s="27">
        <v>1.45191153E8</v>
      </c>
    </row>
    <row r="34" ht="12.75" customHeight="1">
      <c r="A34" s="31">
        <v>119.0</v>
      </c>
      <c r="B34" s="32" t="s">
        <v>55733</v>
      </c>
      <c r="C34" s="31">
        <v>145.0</v>
      </c>
      <c r="D34" s="32" t="s">
        <v>55734</v>
      </c>
      <c r="E34" s="32" t="s">
        <v>55735</v>
      </c>
      <c r="F34" s="31">
        <v>179.0</v>
      </c>
      <c r="G34" s="31">
        <v>1.45191795E8</v>
      </c>
    </row>
    <row r="35" ht="12.75" customHeight="1">
      <c r="A35" s="27">
        <v>119.0</v>
      </c>
      <c r="B35" s="28" t="s">
        <v>55736</v>
      </c>
      <c r="C35" s="27">
        <v>145.0</v>
      </c>
      <c r="D35" s="28" t="s">
        <v>55737</v>
      </c>
      <c r="E35" s="28" t="s">
        <v>55738</v>
      </c>
      <c r="F35" s="27">
        <v>272.0</v>
      </c>
      <c r="G35" s="27">
        <v>1.45192723E8</v>
      </c>
    </row>
    <row r="36" ht="12.75" customHeight="1">
      <c r="A36" s="31">
        <v>119.0</v>
      </c>
      <c r="B36" s="32" t="s">
        <v>55739</v>
      </c>
      <c r="C36" s="31">
        <v>145.0</v>
      </c>
      <c r="D36" s="32" t="s">
        <v>55740</v>
      </c>
      <c r="E36" s="32" t="s">
        <v>55741</v>
      </c>
      <c r="F36" s="31">
        <v>365.0</v>
      </c>
      <c r="G36" s="31">
        <v>1.45193656E8</v>
      </c>
    </row>
    <row r="37" ht="12.75" customHeight="1">
      <c r="A37" s="27">
        <v>222.0</v>
      </c>
      <c r="B37" s="28" t="s">
        <v>55742</v>
      </c>
      <c r="C37" s="27">
        <v>145.0</v>
      </c>
      <c r="D37" s="28" t="s">
        <v>55743</v>
      </c>
      <c r="E37" s="28" t="s">
        <v>55744</v>
      </c>
      <c r="F37" s="29">
        <v>16.0</v>
      </c>
      <c r="G37" s="27">
        <v>1.45220161E8</v>
      </c>
    </row>
    <row r="38" ht="12.75" customHeight="1">
      <c r="A38" s="31">
        <v>222.0</v>
      </c>
      <c r="B38" s="32" t="s">
        <v>55745</v>
      </c>
      <c r="C38" s="31">
        <v>145.0</v>
      </c>
      <c r="D38" s="32" t="s">
        <v>55746</v>
      </c>
      <c r="E38" s="32" t="s">
        <v>55747</v>
      </c>
      <c r="F38" s="33">
        <v>25.0</v>
      </c>
      <c r="G38" s="31">
        <v>1.45220253E8</v>
      </c>
    </row>
    <row r="39" ht="12.75" customHeight="1">
      <c r="A39" s="27">
        <v>126.0</v>
      </c>
      <c r="B39" s="28" t="s">
        <v>55748</v>
      </c>
      <c r="C39" s="27">
        <v>145.0</v>
      </c>
      <c r="D39" s="28" t="s">
        <v>55749</v>
      </c>
      <c r="E39" s="28" t="s">
        <v>55750</v>
      </c>
      <c r="F39" s="29">
        <v>22.0</v>
      </c>
      <c r="G39" s="27">
        <v>1.45260226E8</v>
      </c>
    </row>
    <row r="40" ht="12.75" customHeight="1">
      <c r="A40" s="31">
        <v>126.0</v>
      </c>
      <c r="B40" s="32" t="s">
        <v>55751</v>
      </c>
      <c r="C40" s="31">
        <v>145.0</v>
      </c>
      <c r="D40" s="32" t="s">
        <v>55752</v>
      </c>
      <c r="E40" s="32" t="s">
        <v>55753</v>
      </c>
      <c r="F40" s="33">
        <v>36.0</v>
      </c>
      <c r="G40" s="31">
        <v>1.45260363E8</v>
      </c>
    </row>
    <row r="41" ht="12.75" customHeight="1">
      <c r="A41" s="27">
        <v>126.0</v>
      </c>
      <c r="B41" s="28" t="s">
        <v>55754</v>
      </c>
      <c r="C41" s="27">
        <v>145.0</v>
      </c>
      <c r="D41" s="28" t="s">
        <v>55755</v>
      </c>
      <c r="E41" s="28" t="s">
        <v>55756</v>
      </c>
      <c r="F41" s="29">
        <v>41.0</v>
      </c>
      <c r="G41" s="27">
        <v>1.45260413E8</v>
      </c>
    </row>
    <row r="42" ht="12.75" customHeight="1">
      <c r="A42" s="31">
        <v>126.0</v>
      </c>
      <c r="B42" s="32" t="s">
        <v>55757</v>
      </c>
      <c r="C42" s="31">
        <v>145.0</v>
      </c>
      <c r="D42" s="32" t="s">
        <v>55758</v>
      </c>
      <c r="E42" s="32" t="s">
        <v>55759</v>
      </c>
      <c r="F42" s="33">
        <v>43.0</v>
      </c>
      <c r="G42" s="31">
        <v>1.45260439E8</v>
      </c>
    </row>
    <row r="43" ht="12.75" customHeight="1">
      <c r="A43" s="27">
        <v>126.0</v>
      </c>
      <c r="B43" s="28" t="s">
        <v>55760</v>
      </c>
      <c r="C43" s="27">
        <v>145.0</v>
      </c>
      <c r="D43" s="28" t="s">
        <v>55761</v>
      </c>
      <c r="E43" s="28" t="s">
        <v>55762</v>
      </c>
      <c r="F43" s="29">
        <v>50.0</v>
      </c>
      <c r="G43" s="27">
        <v>1.45260505E8</v>
      </c>
    </row>
    <row r="44" ht="12.75" customHeight="1">
      <c r="A44" s="31">
        <v>126.0</v>
      </c>
      <c r="B44" s="32" t="s">
        <v>55763</v>
      </c>
      <c r="C44" s="31">
        <v>145.0</v>
      </c>
      <c r="D44" s="32" t="s">
        <v>55764</v>
      </c>
      <c r="E44" s="32" t="s">
        <v>55765</v>
      </c>
      <c r="F44" s="33">
        <v>52.0</v>
      </c>
      <c r="G44" s="31">
        <v>1.45260521E8</v>
      </c>
    </row>
    <row r="45" ht="12.75" customHeight="1">
      <c r="A45" s="27">
        <v>126.0</v>
      </c>
      <c r="B45" s="28" t="s">
        <v>55766</v>
      </c>
      <c r="C45" s="27">
        <v>145.0</v>
      </c>
      <c r="D45" s="28" t="s">
        <v>55767</v>
      </c>
      <c r="E45" s="28" t="s">
        <v>55768</v>
      </c>
      <c r="F45" s="29">
        <v>55.0</v>
      </c>
      <c r="G45" s="27">
        <v>1.4526055E8</v>
      </c>
    </row>
    <row r="46" ht="12.75" customHeight="1">
      <c r="A46" s="31">
        <v>126.0</v>
      </c>
      <c r="B46" s="32" t="s">
        <v>55769</v>
      </c>
      <c r="C46" s="31">
        <v>145.0</v>
      </c>
      <c r="D46" s="32" t="s">
        <v>55770</v>
      </c>
      <c r="E46" s="32" t="s">
        <v>55771</v>
      </c>
      <c r="F46" s="33">
        <v>58.0</v>
      </c>
      <c r="G46" s="31">
        <v>1.45260589E8</v>
      </c>
    </row>
    <row r="47" ht="12.75" customHeight="1">
      <c r="A47" s="27">
        <v>126.0</v>
      </c>
      <c r="B47" s="28" t="s">
        <v>55772</v>
      </c>
      <c r="C47" s="27">
        <v>145.0</v>
      </c>
      <c r="D47" s="28" t="s">
        <v>55773</v>
      </c>
      <c r="E47" s="28" t="s">
        <v>55774</v>
      </c>
      <c r="F47" s="27">
        <v>118.0</v>
      </c>
      <c r="G47" s="27">
        <v>1.45261188E8</v>
      </c>
    </row>
    <row r="48" ht="12.75" customHeight="1">
      <c r="A48" s="31">
        <v>126.0</v>
      </c>
      <c r="B48" s="32" t="s">
        <v>55775</v>
      </c>
      <c r="C48" s="31">
        <v>145.0</v>
      </c>
      <c r="D48" s="32" t="s">
        <v>55776</v>
      </c>
      <c r="E48" s="32" t="s">
        <v>55777</v>
      </c>
      <c r="F48" s="31">
        <v>133.0</v>
      </c>
      <c r="G48" s="31">
        <v>1.45261333E8</v>
      </c>
    </row>
    <row r="49" ht="12.75" customHeight="1">
      <c r="A49" s="27">
        <v>126.0</v>
      </c>
      <c r="B49" s="28" t="s">
        <v>55778</v>
      </c>
      <c r="C49" s="27">
        <v>145.0</v>
      </c>
      <c r="D49" s="28" t="s">
        <v>55779</v>
      </c>
      <c r="E49" s="28" t="s">
        <v>55780</v>
      </c>
      <c r="F49" s="27">
        <v>172.0</v>
      </c>
      <c r="G49" s="27">
        <v>1.4526172E8</v>
      </c>
    </row>
    <row r="50" ht="12.75" customHeight="1">
      <c r="A50" s="31">
        <v>126.0</v>
      </c>
      <c r="B50" s="32" t="s">
        <v>55781</v>
      </c>
      <c r="C50" s="31">
        <v>145.0</v>
      </c>
      <c r="D50" s="32" t="s">
        <v>55782</v>
      </c>
      <c r="E50" s="32" t="s">
        <v>55783</v>
      </c>
      <c r="F50" s="31">
        <v>298.0</v>
      </c>
      <c r="G50" s="31">
        <v>1.45262987E8</v>
      </c>
    </row>
    <row r="51" ht="12.75" customHeight="1">
      <c r="A51" s="27">
        <v>126.0</v>
      </c>
      <c r="B51" s="28" t="s">
        <v>55784</v>
      </c>
      <c r="C51" s="27">
        <v>145.0</v>
      </c>
      <c r="D51" s="28" t="s">
        <v>55785</v>
      </c>
      <c r="E51" s="28" t="s">
        <v>55786</v>
      </c>
      <c r="F51" s="27">
        <v>328.0</v>
      </c>
      <c r="G51" s="27">
        <v>1.45263281E8</v>
      </c>
    </row>
    <row r="52" ht="12.75" customHeight="1">
      <c r="A52" s="31">
        <v>126.0</v>
      </c>
      <c r="B52" s="32" t="s">
        <v>55787</v>
      </c>
      <c r="C52" s="31">
        <v>145.0</v>
      </c>
      <c r="D52" s="32" t="s">
        <v>55788</v>
      </c>
      <c r="E52" s="32" t="s">
        <v>55789</v>
      </c>
      <c r="F52" s="31">
        <v>358.0</v>
      </c>
      <c r="G52" s="31">
        <v>1.45263586E8</v>
      </c>
    </row>
    <row r="53" ht="12.75" customHeight="1">
      <c r="A53" s="27">
        <v>126.0</v>
      </c>
      <c r="B53" s="28" t="s">
        <v>55790</v>
      </c>
      <c r="C53" s="27">
        <v>145.0</v>
      </c>
      <c r="D53" s="28" t="s">
        <v>55791</v>
      </c>
      <c r="E53" s="28" t="s">
        <v>55792</v>
      </c>
      <c r="F53" s="27">
        <v>361.0</v>
      </c>
      <c r="G53" s="27">
        <v>1.4526361E8</v>
      </c>
    </row>
    <row r="54" ht="12.75" customHeight="1">
      <c r="A54" s="31">
        <v>126.0</v>
      </c>
      <c r="B54" s="32" t="s">
        <v>55793</v>
      </c>
      <c r="C54" s="31">
        <v>145.0</v>
      </c>
      <c r="D54" s="32" t="s">
        <v>55794</v>
      </c>
      <c r="E54" s="32" t="s">
        <v>55795</v>
      </c>
      <c r="F54" s="31">
        <v>370.0</v>
      </c>
      <c r="G54" s="31">
        <v>1.45263702E8</v>
      </c>
    </row>
    <row r="55" ht="12.75" customHeight="1">
      <c r="A55" s="27">
        <v>126.0</v>
      </c>
      <c r="B55" s="28" t="s">
        <v>55796</v>
      </c>
      <c r="C55" s="27">
        <v>145.0</v>
      </c>
      <c r="D55" s="28" t="s">
        <v>55797</v>
      </c>
      <c r="E55" s="28" t="s">
        <v>55798</v>
      </c>
      <c r="F55" s="27">
        <v>409.0</v>
      </c>
      <c r="G55" s="27">
        <v>1.45264093E8</v>
      </c>
    </row>
    <row r="56" ht="12.75" customHeight="1">
      <c r="A56" s="31">
        <v>126.0</v>
      </c>
      <c r="B56" s="32" t="s">
        <v>55799</v>
      </c>
      <c r="C56" s="31">
        <v>145.0</v>
      </c>
      <c r="D56" s="32" t="s">
        <v>55800</v>
      </c>
      <c r="E56" s="32" t="s">
        <v>55801</v>
      </c>
      <c r="F56" s="31">
        <v>422.0</v>
      </c>
      <c r="G56" s="31">
        <v>1.45264222E8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55802</v>
      </c>
      <c r="C1" s="27">
        <v>145.0</v>
      </c>
      <c r="D1" s="28" t="s">
        <v>55803</v>
      </c>
      <c r="E1" s="28" t="s">
        <v>55804</v>
      </c>
      <c r="F1" s="27">
        <v>448.0</v>
      </c>
      <c r="G1" s="27">
        <v>1.4526448E8</v>
      </c>
    </row>
    <row r="2" ht="12.75" customHeight="1">
      <c r="A2" s="31">
        <v>126.0</v>
      </c>
      <c r="B2" s="32" t="s">
        <v>55805</v>
      </c>
      <c r="C2" s="31">
        <v>145.0</v>
      </c>
      <c r="D2" s="32" t="s">
        <v>55806</v>
      </c>
      <c r="E2" s="32" t="s">
        <v>55807</v>
      </c>
      <c r="F2" s="31">
        <v>469.0</v>
      </c>
      <c r="G2" s="31">
        <v>1.45264693E8</v>
      </c>
    </row>
    <row r="3" ht="12.75" customHeight="1">
      <c r="A3" s="27">
        <v>126.0</v>
      </c>
      <c r="B3" s="28" t="s">
        <v>55808</v>
      </c>
      <c r="C3" s="27">
        <v>145.0</v>
      </c>
      <c r="D3" s="28" t="s">
        <v>55809</v>
      </c>
      <c r="E3" s="28" t="s">
        <v>55810</v>
      </c>
      <c r="F3" s="27">
        <v>485.0</v>
      </c>
      <c r="G3" s="27">
        <v>1.45264851E8</v>
      </c>
    </row>
    <row r="4" ht="12.75" customHeight="1">
      <c r="A4" s="31">
        <v>127.0</v>
      </c>
      <c r="B4" s="32" t="s">
        <v>55811</v>
      </c>
      <c r="C4" s="31">
        <v>145.0</v>
      </c>
      <c r="D4" s="32" t="s">
        <v>55812</v>
      </c>
      <c r="E4" s="32" t="s">
        <v>55813</v>
      </c>
      <c r="F4" s="33">
        <v>0.0</v>
      </c>
      <c r="G4" s="31">
        <v>1.45270003E8</v>
      </c>
    </row>
    <row r="5" ht="12.75" customHeight="1">
      <c r="A5" s="27">
        <v>127.0</v>
      </c>
      <c r="B5" s="28" t="s">
        <v>55814</v>
      </c>
      <c r="C5" s="27">
        <v>145.0</v>
      </c>
      <c r="D5" s="28" t="s">
        <v>55815</v>
      </c>
      <c r="E5" s="28" t="s">
        <v>55816</v>
      </c>
      <c r="F5" s="29">
        <v>13.0</v>
      </c>
      <c r="G5" s="27">
        <v>1.45270137E8</v>
      </c>
    </row>
    <row r="6" ht="12.75" customHeight="1">
      <c r="A6" s="31">
        <v>127.0</v>
      </c>
      <c r="B6" s="32" t="s">
        <v>55817</v>
      </c>
      <c r="C6" s="31">
        <v>145.0</v>
      </c>
      <c r="D6" s="32" t="s">
        <v>55818</v>
      </c>
      <c r="E6" s="32" t="s">
        <v>55819</v>
      </c>
      <c r="F6" s="33">
        <v>23.0</v>
      </c>
      <c r="G6" s="31">
        <v>1.45270232E8</v>
      </c>
    </row>
    <row r="7" ht="12.75" customHeight="1">
      <c r="A7" s="27">
        <v>127.0</v>
      </c>
      <c r="B7" s="28" t="s">
        <v>55820</v>
      </c>
      <c r="C7" s="27">
        <v>145.0</v>
      </c>
      <c r="D7" s="28" t="s">
        <v>55821</v>
      </c>
      <c r="E7" s="28" t="s">
        <v>55822</v>
      </c>
      <c r="F7" s="29">
        <v>55.0</v>
      </c>
      <c r="G7" s="27">
        <v>1.45270553E8</v>
      </c>
    </row>
    <row r="8" ht="12.75" customHeight="1">
      <c r="A8" s="31">
        <v>127.0</v>
      </c>
      <c r="B8" s="32" t="s">
        <v>55823</v>
      </c>
      <c r="C8" s="31">
        <v>145.0</v>
      </c>
      <c r="D8" s="32" t="s">
        <v>55824</v>
      </c>
      <c r="E8" s="32" t="s">
        <v>55825</v>
      </c>
      <c r="F8" s="31">
        <v>130.0</v>
      </c>
      <c r="G8" s="31">
        <v>1.45271307E8</v>
      </c>
    </row>
    <row r="9" ht="12.75" customHeight="1">
      <c r="A9" s="27">
        <v>127.0</v>
      </c>
      <c r="B9" s="28" t="s">
        <v>55826</v>
      </c>
      <c r="C9" s="27">
        <v>145.0</v>
      </c>
      <c r="D9" s="28" t="s">
        <v>55827</v>
      </c>
      <c r="E9" s="28" t="s">
        <v>55828</v>
      </c>
      <c r="F9" s="27">
        <v>184.0</v>
      </c>
      <c r="G9" s="27">
        <v>1.45271844E8</v>
      </c>
    </row>
    <row r="10" ht="12.75" customHeight="1">
      <c r="A10" s="31">
        <v>127.0</v>
      </c>
      <c r="B10" s="32" t="s">
        <v>55829</v>
      </c>
      <c r="C10" s="31">
        <v>145.0</v>
      </c>
      <c r="D10" s="32" t="s">
        <v>55830</v>
      </c>
      <c r="E10" s="32" t="s">
        <v>55831</v>
      </c>
      <c r="F10" s="31">
        <v>190.0</v>
      </c>
      <c r="G10" s="31">
        <v>1.45271907E8</v>
      </c>
    </row>
    <row r="11" ht="12.75" customHeight="1">
      <c r="A11" s="27">
        <v>127.0</v>
      </c>
      <c r="B11" s="28" t="s">
        <v>55832</v>
      </c>
      <c r="C11" s="27">
        <v>145.0</v>
      </c>
      <c r="D11" s="28" t="s">
        <v>55833</v>
      </c>
      <c r="E11" s="28" t="s">
        <v>55834</v>
      </c>
      <c r="F11" s="27">
        <v>238.0</v>
      </c>
      <c r="G11" s="27">
        <v>1.4527238E8</v>
      </c>
    </row>
    <row r="12" ht="12.75" customHeight="1">
      <c r="A12" s="31">
        <v>127.0</v>
      </c>
      <c r="B12" s="32" t="s">
        <v>55835</v>
      </c>
      <c r="C12" s="31">
        <v>145.0</v>
      </c>
      <c r="D12" s="32" t="s">
        <v>55836</v>
      </c>
      <c r="E12" s="32" t="s">
        <v>55837</v>
      </c>
      <c r="F12" s="31">
        <v>258.0</v>
      </c>
      <c r="G12" s="31">
        <v>1.4527258E8</v>
      </c>
    </row>
    <row r="13" ht="12.75" customHeight="1">
      <c r="A13" s="27">
        <v>127.0</v>
      </c>
      <c r="B13" s="28" t="s">
        <v>55838</v>
      </c>
      <c r="C13" s="27">
        <v>145.0</v>
      </c>
      <c r="D13" s="28" t="s">
        <v>55839</v>
      </c>
      <c r="E13" s="28" t="s">
        <v>55840</v>
      </c>
      <c r="F13" s="27">
        <v>337.0</v>
      </c>
      <c r="G13" s="27">
        <v>1.45273376E8</v>
      </c>
    </row>
    <row r="14" ht="12.75" customHeight="1">
      <c r="A14" s="31">
        <v>127.0</v>
      </c>
      <c r="B14" s="32" t="s">
        <v>55841</v>
      </c>
      <c r="C14" s="31">
        <v>145.0</v>
      </c>
      <c r="D14" s="32" t="s">
        <v>55842</v>
      </c>
      <c r="E14" s="32" t="s">
        <v>55843</v>
      </c>
      <c r="F14" s="31">
        <v>358.0</v>
      </c>
      <c r="G14" s="31">
        <v>1.45273589E8</v>
      </c>
    </row>
    <row r="15" ht="12.75" customHeight="1">
      <c r="A15" s="27">
        <v>127.0</v>
      </c>
      <c r="B15" s="28" t="s">
        <v>55844</v>
      </c>
      <c r="C15" s="27">
        <v>145.0</v>
      </c>
      <c r="D15" s="28" t="s">
        <v>55845</v>
      </c>
      <c r="E15" s="28" t="s">
        <v>55846</v>
      </c>
      <c r="F15" s="27">
        <v>397.0</v>
      </c>
      <c r="G15" s="27">
        <v>1.45273976E8</v>
      </c>
    </row>
    <row r="16" ht="12.75" customHeight="1">
      <c r="A16" s="31">
        <v>127.0</v>
      </c>
      <c r="B16" s="32" t="s">
        <v>55847</v>
      </c>
      <c r="C16" s="31">
        <v>145.0</v>
      </c>
      <c r="D16" s="32" t="s">
        <v>55848</v>
      </c>
      <c r="E16" s="32" t="s">
        <v>55849</v>
      </c>
      <c r="F16" s="31">
        <v>424.0</v>
      </c>
      <c r="G16" s="31">
        <v>1.45274241E8</v>
      </c>
    </row>
    <row r="17" ht="12.75" customHeight="1">
      <c r="A17" s="27">
        <v>127.0</v>
      </c>
      <c r="B17" s="28" t="s">
        <v>55850</v>
      </c>
      <c r="C17" s="27">
        <v>145.0</v>
      </c>
      <c r="D17" s="28" t="s">
        <v>55851</v>
      </c>
      <c r="E17" s="28" t="s">
        <v>55852</v>
      </c>
      <c r="F17" s="27">
        <v>535.0</v>
      </c>
      <c r="G17" s="27">
        <v>1.45275358E8</v>
      </c>
    </row>
    <row r="18" ht="12.75" customHeight="1">
      <c r="A18" s="31">
        <v>127.0</v>
      </c>
      <c r="B18" s="32" t="s">
        <v>55853</v>
      </c>
      <c r="C18" s="31">
        <v>145.0</v>
      </c>
      <c r="D18" s="32" t="s">
        <v>55854</v>
      </c>
      <c r="E18" s="32" t="s">
        <v>55855</v>
      </c>
      <c r="F18" s="31">
        <v>605.0</v>
      </c>
      <c r="G18" s="31">
        <v>1.45276052E8</v>
      </c>
    </row>
    <row r="19" ht="12.75" customHeight="1">
      <c r="A19" s="27">
        <v>127.0</v>
      </c>
      <c r="B19" s="28" t="s">
        <v>55856</v>
      </c>
      <c r="C19" s="27">
        <v>145.0</v>
      </c>
      <c r="D19" s="28" t="s">
        <v>55857</v>
      </c>
      <c r="E19" s="28" t="s">
        <v>55858</v>
      </c>
      <c r="F19" s="27">
        <v>631.0</v>
      </c>
      <c r="G19" s="27">
        <v>1.45276315E8</v>
      </c>
    </row>
    <row r="20" ht="12.75" customHeight="1">
      <c r="A20" s="31">
        <v>728.0</v>
      </c>
      <c r="B20" s="32" t="s">
        <v>55859</v>
      </c>
      <c r="C20" s="31">
        <v>145.0</v>
      </c>
      <c r="D20" s="32" t="s">
        <v>55860</v>
      </c>
      <c r="E20" s="32" t="s">
        <v>55861</v>
      </c>
      <c r="F20" s="33">
        <v>67.0</v>
      </c>
      <c r="G20" s="31">
        <v>1.45280677E8</v>
      </c>
    </row>
    <row r="21" ht="12.75" customHeight="1">
      <c r="A21" s="27">
        <v>329.0</v>
      </c>
      <c r="B21" s="28" t="s">
        <v>55862</v>
      </c>
      <c r="C21" s="27">
        <v>145.0</v>
      </c>
      <c r="D21" s="28" t="s">
        <v>55863</v>
      </c>
      <c r="E21" s="28" t="s">
        <v>55864</v>
      </c>
      <c r="F21" s="29">
        <v>52.0</v>
      </c>
      <c r="G21" s="27">
        <v>1.4529052E8</v>
      </c>
    </row>
    <row r="22" ht="12.75" customHeight="1">
      <c r="A22" s="31">
        <v>230.0</v>
      </c>
      <c r="B22" s="32" t="s">
        <v>55865</v>
      </c>
      <c r="C22" s="31">
        <v>145.0</v>
      </c>
      <c r="D22" s="32" t="s">
        <v>55866</v>
      </c>
      <c r="E22" s="32" t="s">
        <v>55867</v>
      </c>
      <c r="F22" s="33">
        <v>37.0</v>
      </c>
      <c r="G22" s="31">
        <v>1.45300373E8</v>
      </c>
    </row>
    <row r="23" ht="12.75" customHeight="1">
      <c r="A23" s="27">
        <v>230.0</v>
      </c>
      <c r="B23" s="28" t="s">
        <v>55868</v>
      </c>
      <c r="C23" s="27">
        <v>145.0</v>
      </c>
      <c r="D23" s="28" t="s">
        <v>55869</v>
      </c>
      <c r="E23" s="28" t="s">
        <v>55870</v>
      </c>
      <c r="F23" s="29">
        <v>52.0</v>
      </c>
      <c r="G23" s="27">
        <v>1.45300528E8</v>
      </c>
    </row>
    <row r="24" ht="12.75" customHeight="1">
      <c r="A24" s="31">
        <v>632.0</v>
      </c>
      <c r="B24" s="32" t="s">
        <v>55871</v>
      </c>
      <c r="C24" s="31">
        <v>145.0</v>
      </c>
      <c r="D24" s="32" t="s">
        <v>55872</v>
      </c>
      <c r="E24" s="32" t="s">
        <v>55873</v>
      </c>
      <c r="F24" s="33">
        <v>58.0</v>
      </c>
      <c r="G24" s="31">
        <v>1.45320582E8</v>
      </c>
    </row>
    <row r="25" ht="12.75" customHeight="1">
      <c r="A25" s="27">
        <v>133.0</v>
      </c>
      <c r="B25" s="28" t="s">
        <v>55874</v>
      </c>
      <c r="C25" s="27">
        <v>145.0</v>
      </c>
      <c r="D25" s="28" t="s">
        <v>55875</v>
      </c>
      <c r="E25" s="28" t="s">
        <v>55876</v>
      </c>
      <c r="F25" s="29">
        <v>14.0</v>
      </c>
      <c r="G25" s="27">
        <v>1.45330143E8</v>
      </c>
    </row>
    <row r="26" ht="12.75" customHeight="1">
      <c r="A26" s="31">
        <v>133.0</v>
      </c>
      <c r="B26" s="32" t="s">
        <v>55877</v>
      </c>
      <c r="C26" s="31">
        <v>145.0</v>
      </c>
      <c r="D26" s="32" t="s">
        <v>55878</v>
      </c>
      <c r="E26" s="32" t="s">
        <v>55879</v>
      </c>
      <c r="F26" s="33">
        <v>18.0</v>
      </c>
      <c r="G26" s="31">
        <v>1.45330185E8</v>
      </c>
    </row>
    <row r="27" ht="12.75" customHeight="1">
      <c r="A27" s="27">
        <v>133.0</v>
      </c>
      <c r="B27" s="28" t="s">
        <v>55880</v>
      </c>
      <c r="C27" s="27">
        <v>145.0</v>
      </c>
      <c r="D27" s="28" t="s">
        <v>55881</v>
      </c>
      <c r="E27" s="28" t="s">
        <v>55882</v>
      </c>
      <c r="F27" s="29">
        <v>28.0</v>
      </c>
      <c r="G27" s="27">
        <v>1.4533028E8</v>
      </c>
    </row>
    <row r="28" ht="12.75" customHeight="1">
      <c r="A28" s="31">
        <v>133.0</v>
      </c>
      <c r="B28" s="32" t="s">
        <v>55883</v>
      </c>
      <c r="C28" s="31">
        <v>145.0</v>
      </c>
      <c r="D28" s="32" t="s">
        <v>55884</v>
      </c>
      <c r="E28" s="32" t="s">
        <v>55885</v>
      </c>
      <c r="F28" s="33">
        <v>40.0</v>
      </c>
      <c r="G28" s="31">
        <v>1.45330406E8</v>
      </c>
    </row>
    <row r="29" ht="12.75" customHeight="1">
      <c r="A29" s="27">
        <v>133.0</v>
      </c>
      <c r="B29" s="28" t="s">
        <v>55886</v>
      </c>
      <c r="C29" s="27">
        <v>145.0</v>
      </c>
      <c r="D29" s="28" t="s">
        <v>55887</v>
      </c>
      <c r="E29" s="28" t="s">
        <v>55888</v>
      </c>
      <c r="F29" s="29">
        <v>52.0</v>
      </c>
      <c r="G29" s="27">
        <v>1.45330527E8</v>
      </c>
    </row>
    <row r="30" ht="12.75" customHeight="1">
      <c r="A30" s="31">
        <v>133.0</v>
      </c>
      <c r="B30" s="32" t="s">
        <v>55889</v>
      </c>
      <c r="C30" s="31">
        <v>145.0</v>
      </c>
      <c r="D30" s="32" t="s">
        <v>55890</v>
      </c>
      <c r="E30" s="32" t="s">
        <v>55891</v>
      </c>
      <c r="F30" s="33">
        <v>82.0</v>
      </c>
      <c r="G30" s="31">
        <v>1.45330822E8</v>
      </c>
    </row>
    <row r="31" ht="12.75" customHeight="1">
      <c r="A31" s="27">
        <v>133.0</v>
      </c>
      <c r="B31" s="28" t="s">
        <v>55892</v>
      </c>
      <c r="C31" s="27">
        <v>145.0</v>
      </c>
      <c r="D31" s="28" t="s">
        <v>55893</v>
      </c>
      <c r="E31" s="28" t="s">
        <v>55894</v>
      </c>
      <c r="F31" s="29">
        <v>88.0</v>
      </c>
      <c r="G31" s="27">
        <v>1.4533088E8</v>
      </c>
    </row>
    <row r="32" ht="12.75" customHeight="1">
      <c r="A32" s="31">
        <v>133.0</v>
      </c>
      <c r="B32" s="32" t="s">
        <v>55895</v>
      </c>
      <c r="C32" s="31">
        <v>145.0</v>
      </c>
      <c r="D32" s="32" t="s">
        <v>55896</v>
      </c>
      <c r="E32" s="32" t="s">
        <v>55897</v>
      </c>
      <c r="F32" s="31">
        <v>163.0</v>
      </c>
      <c r="G32" s="31">
        <v>1.45331634E8</v>
      </c>
    </row>
    <row r="33" ht="12.75" customHeight="1">
      <c r="A33" s="27">
        <v>836.0</v>
      </c>
      <c r="B33" s="28" t="s">
        <v>55898</v>
      </c>
      <c r="C33" s="27">
        <v>145.0</v>
      </c>
      <c r="D33" s="28" t="s">
        <v>55899</v>
      </c>
      <c r="E33" s="28" t="s">
        <v>55900</v>
      </c>
      <c r="F33" s="29">
        <v>61.0</v>
      </c>
      <c r="G33" s="27">
        <v>1.45360618E8</v>
      </c>
    </row>
    <row r="34" ht="12.75" customHeight="1">
      <c r="A34" s="31">
        <v>638.0</v>
      </c>
      <c r="B34" s="32" t="s">
        <v>55901</v>
      </c>
      <c r="C34" s="31">
        <v>145.0</v>
      </c>
      <c r="D34" s="32" t="s">
        <v>55902</v>
      </c>
      <c r="E34" s="32" t="s">
        <v>55903</v>
      </c>
      <c r="F34" s="33">
        <v>40.0</v>
      </c>
      <c r="G34" s="31">
        <v>1.45380401E8</v>
      </c>
    </row>
    <row r="35" ht="12.75" customHeight="1">
      <c r="A35" s="27">
        <v>441.0</v>
      </c>
      <c r="B35" s="28" t="s">
        <v>55904</v>
      </c>
      <c r="C35" s="27">
        <v>145.0</v>
      </c>
      <c r="D35" s="28" t="s">
        <v>55905</v>
      </c>
      <c r="E35" s="28" t="s">
        <v>55906</v>
      </c>
      <c r="F35" s="29">
        <v>94.0</v>
      </c>
      <c r="G35" s="27">
        <v>1.45410942E8</v>
      </c>
    </row>
    <row r="36" ht="12.75" customHeight="1">
      <c r="A36" s="31">
        <v>447.0</v>
      </c>
      <c r="B36" s="32" t="s">
        <v>55907</v>
      </c>
      <c r="C36" s="31">
        <v>145.0</v>
      </c>
      <c r="D36" s="32" t="s">
        <v>55908</v>
      </c>
      <c r="E36" s="32" t="s">
        <v>55909</v>
      </c>
      <c r="F36" s="31">
        <v>154.0</v>
      </c>
      <c r="G36" s="31">
        <v>1.45471549E8</v>
      </c>
    </row>
    <row r="37" ht="12.75" customHeight="1">
      <c r="A37" s="27">
        <v>749.0</v>
      </c>
      <c r="B37" s="28" t="s">
        <v>55910</v>
      </c>
      <c r="C37" s="27">
        <v>145.0</v>
      </c>
      <c r="D37" s="28" t="s">
        <v>55911</v>
      </c>
      <c r="E37" s="28" t="s">
        <v>55912</v>
      </c>
      <c r="F37" s="29">
        <v>70.0</v>
      </c>
      <c r="G37" s="27">
        <v>1.45490704E8</v>
      </c>
    </row>
    <row r="38" ht="12.75" customHeight="1">
      <c r="A38" s="31">
        <v>450.0</v>
      </c>
      <c r="B38" s="32" t="s">
        <v>55913</v>
      </c>
      <c r="C38" s="31">
        <v>145.0</v>
      </c>
      <c r="D38" s="32" t="s">
        <v>55914</v>
      </c>
      <c r="E38" s="32" t="s">
        <v>55915</v>
      </c>
      <c r="F38" s="33">
        <v>94.0</v>
      </c>
      <c r="G38" s="31">
        <v>1.45500944E8</v>
      </c>
    </row>
    <row r="39" ht="12.75" customHeight="1">
      <c r="A39" s="27">
        <v>251.0</v>
      </c>
      <c r="B39" s="28" t="s">
        <v>55916</v>
      </c>
      <c r="C39" s="27">
        <v>145.0</v>
      </c>
      <c r="D39" s="28" t="s">
        <v>55917</v>
      </c>
      <c r="E39" s="28" t="s">
        <v>55918</v>
      </c>
      <c r="F39" s="29">
        <v>52.0</v>
      </c>
      <c r="G39" s="27">
        <v>1.45510521E8</v>
      </c>
    </row>
    <row r="40" ht="12.75" customHeight="1">
      <c r="A40" s="31">
        <v>251.0</v>
      </c>
      <c r="B40" s="32" t="s">
        <v>55919</v>
      </c>
      <c r="C40" s="31">
        <v>145.0</v>
      </c>
      <c r="D40" s="32" t="s">
        <v>55920</v>
      </c>
      <c r="E40" s="32" t="s">
        <v>55921</v>
      </c>
      <c r="F40" s="33">
        <v>97.0</v>
      </c>
      <c r="G40" s="31">
        <v>1.45510976E8</v>
      </c>
    </row>
    <row r="41" ht="12.75" customHeight="1">
      <c r="A41" s="27">
        <v>354.0</v>
      </c>
      <c r="B41" s="28" t="s">
        <v>55922</v>
      </c>
      <c r="C41" s="27">
        <v>145.0</v>
      </c>
      <c r="D41" s="28" t="s">
        <v>55923</v>
      </c>
      <c r="E41" s="28" t="s">
        <v>55924</v>
      </c>
      <c r="F41" s="29">
        <v>40.0</v>
      </c>
      <c r="G41" s="27">
        <v>1.45540409E8</v>
      </c>
    </row>
    <row r="42" ht="12.75" customHeight="1">
      <c r="A42" s="31">
        <v>858.0</v>
      </c>
      <c r="B42" s="32" t="s">
        <v>55925</v>
      </c>
      <c r="C42" s="31">
        <v>145.0</v>
      </c>
      <c r="D42" s="32" t="s">
        <v>55926</v>
      </c>
      <c r="E42" s="32" t="s">
        <v>55927</v>
      </c>
      <c r="F42" s="31">
        <v>118.0</v>
      </c>
      <c r="G42" s="31">
        <v>1.45581189E8</v>
      </c>
    </row>
    <row r="43" ht="12.75" customHeight="1">
      <c r="A43" s="27">
        <v>159.0</v>
      </c>
      <c r="B43" s="28" t="s">
        <v>55928</v>
      </c>
      <c r="C43" s="27">
        <v>145.0</v>
      </c>
      <c r="D43" s="28" t="s">
        <v>55929</v>
      </c>
      <c r="E43" s="28" t="s">
        <v>55930</v>
      </c>
      <c r="F43" s="27">
        <v>142.0</v>
      </c>
      <c r="G43" s="27">
        <v>1.45591429E8</v>
      </c>
    </row>
    <row r="44" ht="12.75" customHeight="1">
      <c r="A44" s="31">
        <v>161.0</v>
      </c>
      <c r="B44" s="32" t="s">
        <v>55931</v>
      </c>
      <c r="C44" s="31">
        <v>145.0</v>
      </c>
      <c r="D44" s="32" t="s">
        <v>55932</v>
      </c>
      <c r="E44" s="32" t="s">
        <v>55933</v>
      </c>
      <c r="F44" s="31">
        <v>101.0</v>
      </c>
      <c r="G44" s="31">
        <v>1.45611017E8</v>
      </c>
    </row>
    <row r="45" ht="12.75" customHeight="1">
      <c r="A45" s="27">
        <v>161.0</v>
      </c>
      <c r="B45" s="28" t="s">
        <v>55934</v>
      </c>
      <c r="C45" s="27">
        <v>145.0</v>
      </c>
      <c r="D45" s="28" t="s">
        <v>55935</v>
      </c>
      <c r="E45" s="28" t="s">
        <v>55936</v>
      </c>
      <c r="F45" s="27">
        <v>146.0</v>
      </c>
      <c r="G45" s="27">
        <v>1.45611462E8</v>
      </c>
    </row>
    <row r="46" ht="12.75" customHeight="1">
      <c r="A46" s="31">
        <v>161.0</v>
      </c>
      <c r="B46" s="32" t="s">
        <v>55937</v>
      </c>
      <c r="C46" s="31">
        <v>145.0</v>
      </c>
      <c r="D46" s="32" t="s">
        <v>55938</v>
      </c>
      <c r="E46" s="32" t="s">
        <v>55939</v>
      </c>
      <c r="F46" s="31">
        <v>175.0</v>
      </c>
      <c r="G46" s="31">
        <v>1.45611754E8</v>
      </c>
    </row>
    <row r="47" ht="12.75" customHeight="1">
      <c r="A47" s="27">
        <v>564.0</v>
      </c>
      <c r="B47" s="28" t="s">
        <v>55940</v>
      </c>
      <c r="C47" s="27">
        <v>145.0</v>
      </c>
      <c r="D47" s="28" t="s">
        <v>55941</v>
      </c>
      <c r="E47" s="28" t="s">
        <v>55942</v>
      </c>
      <c r="F47" s="27">
        <v>118.0</v>
      </c>
      <c r="G47" s="27">
        <v>1.45641182E8</v>
      </c>
    </row>
    <row r="48" ht="12.75" customHeight="1">
      <c r="A48" s="31">
        <v>167.0</v>
      </c>
      <c r="B48" s="32" t="s">
        <v>55943</v>
      </c>
      <c r="C48" s="31">
        <v>145.0</v>
      </c>
      <c r="D48" s="32" t="s">
        <v>55944</v>
      </c>
      <c r="E48" s="32" t="s">
        <v>55945</v>
      </c>
      <c r="F48" s="33">
        <v>23.0</v>
      </c>
      <c r="G48" s="31">
        <v>1.45670232E8</v>
      </c>
    </row>
    <row r="49" ht="12.75" customHeight="1">
      <c r="A49" s="27">
        <v>167.0</v>
      </c>
      <c r="B49" s="28" t="s">
        <v>55946</v>
      </c>
      <c r="C49" s="27">
        <v>145.0</v>
      </c>
      <c r="D49" s="28" t="s">
        <v>55947</v>
      </c>
      <c r="E49" s="28" t="s">
        <v>55948</v>
      </c>
      <c r="F49" s="27">
        <v>118.0</v>
      </c>
      <c r="G49" s="27">
        <v>1.45671181E8</v>
      </c>
    </row>
    <row r="50" ht="12.75" customHeight="1">
      <c r="A50" s="31">
        <v>167.0</v>
      </c>
      <c r="B50" s="32" t="s">
        <v>55949</v>
      </c>
      <c r="C50" s="31">
        <v>145.0</v>
      </c>
      <c r="D50" s="32" t="s">
        <v>55950</v>
      </c>
      <c r="E50" s="32" t="s">
        <v>55951</v>
      </c>
      <c r="F50" s="31">
        <v>169.0</v>
      </c>
      <c r="G50" s="31">
        <v>1.45671699E8</v>
      </c>
    </row>
    <row r="51" ht="12.75" customHeight="1">
      <c r="A51" s="27">
        <v>167.0</v>
      </c>
      <c r="B51" s="28" t="s">
        <v>55952</v>
      </c>
      <c r="C51" s="27">
        <v>145.0</v>
      </c>
      <c r="D51" s="28" t="s">
        <v>55953</v>
      </c>
      <c r="E51" s="28" t="s">
        <v>55954</v>
      </c>
      <c r="F51" s="27">
        <v>286.0</v>
      </c>
      <c r="G51" s="27">
        <v>1.45672869E8</v>
      </c>
    </row>
    <row r="52" ht="12.75" customHeight="1">
      <c r="A52" s="31">
        <v>168.0</v>
      </c>
      <c r="B52" s="32" t="s">
        <v>55955</v>
      </c>
      <c r="C52" s="31">
        <v>145.0</v>
      </c>
      <c r="D52" s="32" t="s">
        <v>55956</v>
      </c>
      <c r="E52" s="32" t="s">
        <v>55957</v>
      </c>
      <c r="F52" s="33">
        <v>67.0</v>
      </c>
      <c r="G52" s="31">
        <v>1.45680677E8</v>
      </c>
    </row>
    <row r="53" ht="12.75" customHeight="1">
      <c r="A53" s="27">
        <v>275.0</v>
      </c>
      <c r="B53" s="28" t="s">
        <v>55958</v>
      </c>
      <c r="C53" s="27">
        <v>145.0</v>
      </c>
      <c r="D53" s="28" t="s">
        <v>55959</v>
      </c>
      <c r="E53" s="28" t="s">
        <v>55960</v>
      </c>
      <c r="F53" s="27">
        <v>145.0</v>
      </c>
      <c r="G53" s="27">
        <v>1.45751456E8</v>
      </c>
    </row>
    <row r="54" ht="12.75" customHeight="1">
      <c r="A54" s="31">
        <v>576.0</v>
      </c>
      <c r="B54" s="32" t="s">
        <v>55961</v>
      </c>
      <c r="C54" s="31">
        <v>145.0</v>
      </c>
      <c r="D54" s="32" t="s">
        <v>55962</v>
      </c>
      <c r="E54" s="32" t="s">
        <v>55963</v>
      </c>
      <c r="F54" s="31">
        <v>122.0</v>
      </c>
      <c r="G54" s="31">
        <v>1.4576122E8</v>
      </c>
    </row>
    <row r="55" ht="12.75" customHeight="1">
      <c r="A55" s="27">
        <v>576.0</v>
      </c>
      <c r="B55" s="28" t="s">
        <v>55964</v>
      </c>
      <c r="C55" s="27">
        <v>145.0</v>
      </c>
      <c r="D55" s="28" t="s">
        <v>55965</v>
      </c>
      <c r="E55" s="28" t="s">
        <v>55966</v>
      </c>
      <c r="F55" s="27">
        <v>178.0</v>
      </c>
      <c r="G55" s="27">
        <v>1.45761783E8</v>
      </c>
    </row>
    <row r="56" ht="12.75" customHeight="1">
      <c r="A56" s="31">
        <v>581.0</v>
      </c>
      <c r="B56" s="32" t="s">
        <v>55967</v>
      </c>
      <c r="C56" s="31">
        <v>145.0</v>
      </c>
      <c r="D56" s="32" t="s">
        <v>55968</v>
      </c>
      <c r="E56" s="32" t="s">
        <v>55969</v>
      </c>
      <c r="F56" s="31">
        <v>193.0</v>
      </c>
      <c r="G56" s="31">
        <v>1.45811938E8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785.0</v>
      </c>
      <c r="B1" s="28" t="s">
        <v>55970</v>
      </c>
      <c r="C1" s="27">
        <v>145.0</v>
      </c>
      <c r="D1" s="28" t="s">
        <v>55971</v>
      </c>
      <c r="E1" s="28" t="s">
        <v>55972</v>
      </c>
      <c r="F1" s="27">
        <v>145.0</v>
      </c>
      <c r="G1" s="27">
        <v>1.45851451E8</v>
      </c>
    </row>
    <row r="2" ht="12.75" customHeight="1">
      <c r="A2" s="31">
        <v>386.0</v>
      </c>
      <c r="B2" s="32" t="s">
        <v>55973</v>
      </c>
      <c r="C2" s="31">
        <v>145.0</v>
      </c>
      <c r="D2" s="32" t="s">
        <v>55974</v>
      </c>
      <c r="E2" s="32" t="s">
        <v>55975</v>
      </c>
      <c r="F2" s="33">
        <v>59.0</v>
      </c>
      <c r="G2" s="31">
        <v>1.45860592E8</v>
      </c>
    </row>
    <row r="3" ht="12.75" customHeight="1">
      <c r="A3" s="27">
        <v>688.0</v>
      </c>
      <c r="B3" s="28" t="s">
        <v>55976</v>
      </c>
      <c r="C3" s="27">
        <v>145.0</v>
      </c>
      <c r="D3" s="28" t="s">
        <v>55977</v>
      </c>
      <c r="E3" s="28" t="s">
        <v>55978</v>
      </c>
      <c r="F3" s="29">
        <v>23.0</v>
      </c>
      <c r="G3" s="27">
        <v>1.45880235E8</v>
      </c>
    </row>
    <row r="4" ht="12.75" customHeight="1">
      <c r="A4" s="31">
        <v>688.0</v>
      </c>
      <c r="B4" s="32" t="s">
        <v>55979</v>
      </c>
      <c r="C4" s="31">
        <v>145.0</v>
      </c>
      <c r="D4" s="32" t="s">
        <v>55980</v>
      </c>
      <c r="E4" s="32" t="s">
        <v>55981</v>
      </c>
      <c r="F4" s="31">
        <v>187.0</v>
      </c>
      <c r="G4" s="31">
        <v>1.45881876E8</v>
      </c>
    </row>
    <row r="5" ht="12.75" customHeight="1">
      <c r="A5" s="27">
        <v>890.0</v>
      </c>
      <c r="B5" s="28" t="s">
        <v>55982</v>
      </c>
      <c r="C5" s="27">
        <v>145.0</v>
      </c>
      <c r="D5" s="28" t="s">
        <v>55983</v>
      </c>
      <c r="E5" s="28" t="s">
        <v>55984</v>
      </c>
      <c r="F5" s="27">
        <v>119.0</v>
      </c>
      <c r="G5" s="27">
        <v>1.45901198E8</v>
      </c>
    </row>
    <row r="6" ht="12.75" customHeight="1">
      <c r="A6" s="31">
        <v>891.0</v>
      </c>
      <c r="B6" s="32" t="s">
        <v>55985</v>
      </c>
      <c r="C6" s="31">
        <v>145.0</v>
      </c>
      <c r="D6" s="32" t="s">
        <v>55986</v>
      </c>
      <c r="E6" s="32" t="s">
        <v>55987</v>
      </c>
      <c r="F6" s="31">
        <v>250.0</v>
      </c>
      <c r="G6" s="31">
        <v>1.45912503E8</v>
      </c>
    </row>
    <row r="7" ht="12.75" customHeight="1">
      <c r="A7" s="27">
        <v>891.0</v>
      </c>
      <c r="B7" s="28" t="s">
        <v>55988</v>
      </c>
      <c r="C7" s="27">
        <v>145.0</v>
      </c>
      <c r="D7" s="28" t="s">
        <v>55989</v>
      </c>
      <c r="E7" s="28" t="s">
        <v>55990</v>
      </c>
      <c r="F7" s="27">
        <v>313.0</v>
      </c>
      <c r="G7" s="27">
        <v>1.45913131E8</v>
      </c>
    </row>
    <row r="8" ht="12.75" customHeight="1">
      <c r="A8" s="31">
        <v>891.0</v>
      </c>
      <c r="B8" s="32" t="s">
        <v>55991</v>
      </c>
      <c r="C8" s="31">
        <v>145.0</v>
      </c>
      <c r="D8" s="32" t="s">
        <v>55992</v>
      </c>
      <c r="E8" s="32" t="s">
        <v>55993</v>
      </c>
      <c r="F8" s="31">
        <v>355.0</v>
      </c>
      <c r="G8" s="31">
        <v>1.45913557E8</v>
      </c>
    </row>
    <row r="9" ht="12.75" customHeight="1">
      <c r="A9" s="27">
        <v>193.0</v>
      </c>
      <c r="B9" s="28" t="s">
        <v>55994</v>
      </c>
      <c r="C9" s="27">
        <v>145.0</v>
      </c>
      <c r="D9" s="28" t="s">
        <v>55995</v>
      </c>
      <c r="E9" s="28" t="s">
        <v>55996</v>
      </c>
      <c r="F9" s="29">
        <v>68.0</v>
      </c>
      <c r="G9" s="27">
        <v>1.4593068E8</v>
      </c>
    </row>
    <row r="10" ht="12.75" customHeight="1">
      <c r="A10" s="31">
        <v>193.0</v>
      </c>
      <c r="B10" s="32" t="s">
        <v>55997</v>
      </c>
      <c r="C10" s="31">
        <v>145.0</v>
      </c>
      <c r="D10" s="32" t="s">
        <v>55998</v>
      </c>
      <c r="E10" s="32" t="s">
        <v>55999</v>
      </c>
      <c r="F10" s="31">
        <v>229.0</v>
      </c>
      <c r="G10" s="31">
        <v>1.45932291E8</v>
      </c>
    </row>
    <row r="11" ht="12.75" customHeight="1">
      <c r="A11" s="27">
        <v>794.0</v>
      </c>
      <c r="B11" s="28" t="s">
        <v>56000</v>
      </c>
      <c r="C11" s="27">
        <v>145.0</v>
      </c>
      <c r="D11" s="28" t="s">
        <v>56001</v>
      </c>
      <c r="E11" s="28" t="s">
        <v>56002</v>
      </c>
      <c r="F11" s="29">
        <v>97.0</v>
      </c>
      <c r="G11" s="27">
        <v>1.45940975E8</v>
      </c>
    </row>
    <row r="12" ht="12.75" customHeight="1">
      <c r="A12" s="31">
        <v>306.0</v>
      </c>
      <c r="B12" s="32" t="s">
        <v>56003</v>
      </c>
      <c r="C12" s="31">
        <v>150.0</v>
      </c>
      <c r="D12" s="32" t="s">
        <v>56004</v>
      </c>
      <c r="E12" s="32" t="s">
        <v>56005</v>
      </c>
      <c r="F12" s="33">
        <v>28.0</v>
      </c>
      <c r="G12" s="31">
        <v>1.50060282E8</v>
      </c>
    </row>
    <row r="13" ht="12.75" customHeight="1">
      <c r="A13" s="27">
        <v>306.0</v>
      </c>
      <c r="B13" s="28" t="s">
        <v>56006</v>
      </c>
      <c r="C13" s="27">
        <v>150.0</v>
      </c>
      <c r="D13" s="28" t="s">
        <v>56007</v>
      </c>
      <c r="E13" s="28" t="s">
        <v>56008</v>
      </c>
      <c r="F13" s="27">
        <v>221.0</v>
      </c>
      <c r="G13" s="27">
        <v>1.50062219E8</v>
      </c>
    </row>
    <row r="14" ht="12.75" customHeight="1">
      <c r="A14" s="31">
        <v>309.0</v>
      </c>
      <c r="B14" s="32" t="s">
        <v>56009</v>
      </c>
      <c r="C14" s="31">
        <v>150.0</v>
      </c>
      <c r="D14" s="32" t="s">
        <v>56010</v>
      </c>
      <c r="E14" s="32" t="s">
        <v>56011</v>
      </c>
      <c r="F14" s="33">
        <v>10.0</v>
      </c>
      <c r="G14" s="31">
        <v>1.50090102E8</v>
      </c>
    </row>
    <row r="15" ht="12.75" customHeight="1">
      <c r="A15" s="27">
        <v>309.0</v>
      </c>
      <c r="B15" s="28" t="s">
        <v>56012</v>
      </c>
      <c r="C15" s="27">
        <v>150.0</v>
      </c>
      <c r="D15" s="28" t="s">
        <v>56013</v>
      </c>
      <c r="E15" s="28" t="s">
        <v>56014</v>
      </c>
      <c r="F15" s="29">
        <v>22.0</v>
      </c>
      <c r="G15" s="27">
        <v>1.50090223E8</v>
      </c>
    </row>
    <row r="16" ht="12.75" customHeight="1">
      <c r="A16" s="31">
        <v>610.0</v>
      </c>
      <c r="B16" s="32" t="s">
        <v>56015</v>
      </c>
      <c r="C16" s="31">
        <v>150.0</v>
      </c>
      <c r="D16" s="32" t="s">
        <v>56016</v>
      </c>
      <c r="E16" s="32" t="s">
        <v>56017</v>
      </c>
      <c r="F16" s="33">
        <v>37.0</v>
      </c>
      <c r="G16" s="31">
        <v>1.50100371E8</v>
      </c>
    </row>
    <row r="17" ht="12.75" customHeight="1">
      <c r="A17" s="27">
        <v>112.0</v>
      </c>
      <c r="B17" s="28" t="s">
        <v>56018</v>
      </c>
      <c r="C17" s="27">
        <v>150.0</v>
      </c>
      <c r="D17" s="28" t="s">
        <v>56019</v>
      </c>
      <c r="E17" s="28" t="s">
        <v>56020</v>
      </c>
      <c r="F17" s="29">
        <v>43.0</v>
      </c>
      <c r="G17" s="27">
        <v>1.5012043E8</v>
      </c>
    </row>
    <row r="18" ht="12.75" customHeight="1">
      <c r="A18" s="31">
        <v>112.0</v>
      </c>
      <c r="B18" s="32" t="s">
        <v>56021</v>
      </c>
      <c r="C18" s="31">
        <v>150.0</v>
      </c>
      <c r="D18" s="32" t="s">
        <v>56022</v>
      </c>
      <c r="E18" s="32" t="s">
        <v>56023</v>
      </c>
      <c r="F18" s="31">
        <v>130.0</v>
      </c>
      <c r="G18" s="31">
        <v>1.50121305E8</v>
      </c>
    </row>
    <row r="19" ht="12.75" customHeight="1">
      <c r="A19" s="27">
        <v>113.0</v>
      </c>
      <c r="B19" s="28" t="s">
        <v>56024</v>
      </c>
      <c r="C19" s="27">
        <v>150.0</v>
      </c>
      <c r="D19" s="28" t="s">
        <v>56025</v>
      </c>
      <c r="E19" s="28" t="s">
        <v>56026</v>
      </c>
      <c r="F19" s="29">
        <v>37.0</v>
      </c>
      <c r="G19" s="27">
        <v>1.5013037E8</v>
      </c>
    </row>
    <row r="20" ht="12.75" customHeight="1">
      <c r="A20" s="31">
        <v>113.0</v>
      </c>
      <c r="B20" s="32" t="s">
        <v>56027</v>
      </c>
      <c r="C20" s="31">
        <v>150.0</v>
      </c>
      <c r="D20" s="32" t="s">
        <v>56028</v>
      </c>
      <c r="E20" s="32" t="s">
        <v>56029</v>
      </c>
      <c r="F20" s="33">
        <v>88.0</v>
      </c>
      <c r="G20" s="31">
        <v>1.50130888E8</v>
      </c>
    </row>
    <row r="21" ht="12.75" customHeight="1">
      <c r="A21" s="27">
        <v>215.0</v>
      </c>
      <c r="B21" s="28" t="s">
        <v>56030</v>
      </c>
      <c r="C21" s="27">
        <v>150.0</v>
      </c>
      <c r="D21" s="28" t="s">
        <v>56031</v>
      </c>
      <c r="E21" s="28" t="s">
        <v>56032</v>
      </c>
      <c r="F21" s="29">
        <v>13.0</v>
      </c>
      <c r="G21" s="27">
        <v>1.50150134E8</v>
      </c>
    </row>
    <row r="22" ht="12.75" customHeight="1">
      <c r="A22" s="31">
        <v>215.0</v>
      </c>
      <c r="B22" s="32" t="s">
        <v>56033</v>
      </c>
      <c r="C22" s="31">
        <v>150.0</v>
      </c>
      <c r="D22" s="32" t="s">
        <v>56034</v>
      </c>
      <c r="E22" s="32" t="s">
        <v>56035</v>
      </c>
      <c r="F22" s="33">
        <v>46.0</v>
      </c>
      <c r="G22" s="31">
        <v>1.50150468E8</v>
      </c>
    </row>
    <row r="23" ht="12.75" customHeight="1">
      <c r="A23" s="27">
        <v>215.0</v>
      </c>
      <c r="B23" s="28" t="s">
        <v>56036</v>
      </c>
      <c r="C23" s="27">
        <v>150.0</v>
      </c>
      <c r="D23" s="28" t="s">
        <v>56037</v>
      </c>
      <c r="E23" s="28" t="s">
        <v>56038</v>
      </c>
      <c r="F23" s="27">
        <v>121.0</v>
      </c>
      <c r="G23" s="27">
        <v>1.50151212E8</v>
      </c>
    </row>
    <row r="24" ht="12.75" customHeight="1">
      <c r="A24" s="31">
        <v>215.0</v>
      </c>
      <c r="B24" s="32" t="s">
        <v>56039</v>
      </c>
      <c r="C24" s="31">
        <v>150.0</v>
      </c>
      <c r="D24" s="32" t="s">
        <v>56040</v>
      </c>
      <c r="E24" s="32" t="s">
        <v>56041</v>
      </c>
      <c r="F24" s="31">
        <v>148.0</v>
      </c>
      <c r="G24" s="31">
        <v>1.50151483E8</v>
      </c>
    </row>
    <row r="25" ht="12.75" customHeight="1">
      <c r="A25" s="27">
        <v>215.0</v>
      </c>
      <c r="B25" s="28" t="s">
        <v>56042</v>
      </c>
      <c r="C25" s="27">
        <v>150.0</v>
      </c>
      <c r="D25" s="28" t="s">
        <v>56043</v>
      </c>
      <c r="E25" s="28" t="s">
        <v>56044</v>
      </c>
      <c r="F25" s="27">
        <v>175.0</v>
      </c>
      <c r="G25" s="27">
        <v>1.50151759E8</v>
      </c>
    </row>
    <row r="26" ht="12.75" customHeight="1">
      <c r="A26" s="31">
        <v>215.0</v>
      </c>
      <c r="B26" s="32" t="s">
        <v>56045</v>
      </c>
      <c r="C26" s="31">
        <v>150.0</v>
      </c>
      <c r="D26" s="32" t="s">
        <v>56046</v>
      </c>
      <c r="E26" s="32" t="s">
        <v>56047</v>
      </c>
      <c r="F26" s="31">
        <v>193.0</v>
      </c>
      <c r="G26" s="31">
        <v>1.50151933E8</v>
      </c>
    </row>
    <row r="27" ht="12.75" customHeight="1">
      <c r="A27" s="27">
        <v>215.0</v>
      </c>
      <c r="B27" s="28" t="s">
        <v>56048</v>
      </c>
      <c r="C27" s="27">
        <v>150.0</v>
      </c>
      <c r="D27" s="28" t="s">
        <v>56049</v>
      </c>
      <c r="E27" s="28" t="s">
        <v>56050</v>
      </c>
      <c r="F27" s="27">
        <v>316.0</v>
      </c>
      <c r="G27" s="27">
        <v>1.5015316E8</v>
      </c>
    </row>
    <row r="28" ht="12.75" customHeight="1">
      <c r="A28" s="31">
        <v>215.0</v>
      </c>
      <c r="B28" s="32" t="s">
        <v>56051</v>
      </c>
      <c r="C28" s="31">
        <v>150.0</v>
      </c>
      <c r="D28" s="32" t="s">
        <v>56052</v>
      </c>
      <c r="E28" s="32" t="s">
        <v>56053</v>
      </c>
      <c r="F28" s="31">
        <v>323.0</v>
      </c>
      <c r="G28" s="31">
        <v>1.50153236E8</v>
      </c>
    </row>
    <row r="29" ht="12.75" customHeight="1">
      <c r="A29" s="27">
        <v>215.0</v>
      </c>
      <c r="B29" s="28" t="s">
        <v>56054</v>
      </c>
      <c r="C29" s="27">
        <v>150.0</v>
      </c>
      <c r="D29" s="28" t="s">
        <v>56055</v>
      </c>
      <c r="E29" s="28" t="s">
        <v>56056</v>
      </c>
      <c r="F29" s="27">
        <v>364.0</v>
      </c>
      <c r="G29" s="27">
        <v>1.50153649E8</v>
      </c>
    </row>
    <row r="30" ht="12.75" customHeight="1">
      <c r="A30" s="31">
        <v>215.0</v>
      </c>
      <c r="B30" s="32" t="s">
        <v>56057</v>
      </c>
      <c r="C30" s="31">
        <v>150.0</v>
      </c>
      <c r="D30" s="32" t="s">
        <v>56058</v>
      </c>
      <c r="E30" s="32" t="s">
        <v>56059</v>
      </c>
      <c r="F30" s="31">
        <v>427.0</v>
      </c>
      <c r="G30" s="31">
        <v>1.50154277E8</v>
      </c>
    </row>
    <row r="31" ht="12.75" customHeight="1">
      <c r="A31" s="27">
        <v>215.0</v>
      </c>
      <c r="B31" s="28" t="s">
        <v>56060</v>
      </c>
      <c r="C31" s="27">
        <v>150.0</v>
      </c>
      <c r="D31" s="28" t="s">
        <v>56061</v>
      </c>
      <c r="E31" s="28" t="s">
        <v>56062</v>
      </c>
      <c r="F31" s="27">
        <v>505.0</v>
      </c>
      <c r="G31" s="27">
        <v>1.5015505E8</v>
      </c>
    </row>
    <row r="32" ht="12.75" customHeight="1">
      <c r="A32" s="31">
        <v>215.0</v>
      </c>
      <c r="B32" s="32" t="s">
        <v>56063</v>
      </c>
      <c r="C32" s="31">
        <v>150.0</v>
      </c>
      <c r="D32" s="32" t="s">
        <v>56064</v>
      </c>
      <c r="E32" s="32" t="s">
        <v>56065</v>
      </c>
      <c r="F32" s="31">
        <v>532.0</v>
      </c>
      <c r="G32" s="31">
        <v>1.50155326E8</v>
      </c>
    </row>
    <row r="33" ht="12.75" customHeight="1">
      <c r="A33" s="27">
        <v>215.0</v>
      </c>
      <c r="B33" s="28" t="s">
        <v>56066</v>
      </c>
      <c r="C33" s="27">
        <v>150.0</v>
      </c>
      <c r="D33" s="28" t="s">
        <v>56067</v>
      </c>
      <c r="E33" s="28" t="s">
        <v>56068</v>
      </c>
      <c r="F33" s="27">
        <v>592.0</v>
      </c>
      <c r="G33" s="27">
        <v>1.50155926E8</v>
      </c>
    </row>
    <row r="34" ht="12.75" customHeight="1">
      <c r="A34" s="31">
        <v>215.0</v>
      </c>
      <c r="B34" s="32" t="s">
        <v>56069</v>
      </c>
      <c r="C34" s="31">
        <v>150.0</v>
      </c>
      <c r="D34" s="32" t="s">
        <v>56070</v>
      </c>
      <c r="E34" s="32" t="s">
        <v>56071</v>
      </c>
      <c r="F34" s="31">
        <v>616.0</v>
      </c>
      <c r="G34" s="31">
        <v>1.50156167E8</v>
      </c>
    </row>
    <row r="35" ht="12.75" customHeight="1">
      <c r="A35" s="27">
        <v>215.0</v>
      </c>
      <c r="B35" s="28" t="s">
        <v>56072</v>
      </c>
      <c r="C35" s="27">
        <v>150.0</v>
      </c>
      <c r="D35" s="28" t="s">
        <v>56073</v>
      </c>
      <c r="E35" s="28" t="s">
        <v>56074</v>
      </c>
      <c r="F35" s="27">
        <v>640.0</v>
      </c>
      <c r="G35" s="27">
        <v>1.50156404E8</v>
      </c>
    </row>
    <row r="36" ht="12.75" customHeight="1">
      <c r="A36" s="31">
        <v>215.0</v>
      </c>
      <c r="B36" s="32" t="s">
        <v>56075</v>
      </c>
      <c r="C36" s="31">
        <v>150.0</v>
      </c>
      <c r="D36" s="32" t="s">
        <v>56076</v>
      </c>
      <c r="E36" s="32" t="s">
        <v>56077</v>
      </c>
      <c r="F36" s="31">
        <v>691.0</v>
      </c>
      <c r="G36" s="31">
        <v>1.50156912E8</v>
      </c>
    </row>
    <row r="37" ht="12.75" customHeight="1">
      <c r="A37" s="27">
        <v>215.0</v>
      </c>
      <c r="B37" s="28" t="s">
        <v>56078</v>
      </c>
      <c r="C37" s="27">
        <v>150.0</v>
      </c>
      <c r="D37" s="28" t="s">
        <v>56079</v>
      </c>
      <c r="E37" s="28" t="s">
        <v>56080</v>
      </c>
      <c r="F37" s="27">
        <v>742.0</v>
      </c>
      <c r="G37" s="27">
        <v>1.50157429E8</v>
      </c>
    </row>
    <row r="38" ht="12.75" customHeight="1">
      <c r="A38" s="31">
        <v>119.0</v>
      </c>
      <c r="B38" s="32" t="s">
        <v>56081</v>
      </c>
      <c r="C38" s="31">
        <v>150.0</v>
      </c>
      <c r="D38" s="32" t="s">
        <v>56082</v>
      </c>
      <c r="E38" s="32" t="s">
        <v>56083</v>
      </c>
      <c r="F38" s="33">
        <v>49.0</v>
      </c>
      <c r="G38" s="31">
        <v>1.50190499E8</v>
      </c>
    </row>
    <row r="39" ht="12.75" customHeight="1">
      <c r="A39" s="27">
        <v>119.0</v>
      </c>
      <c r="B39" s="28" t="s">
        <v>56084</v>
      </c>
      <c r="C39" s="27">
        <v>150.0</v>
      </c>
      <c r="D39" s="28" t="s">
        <v>56085</v>
      </c>
      <c r="E39" s="28" t="s">
        <v>56086</v>
      </c>
      <c r="F39" s="29">
        <v>50.0</v>
      </c>
      <c r="G39" s="27">
        <v>1.50190507E8</v>
      </c>
    </row>
    <row r="40" ht="12.75" customHeight="1">
      <c r="A40" s="31">
        <v>119.0</v>
      </c>
      <c r="B40" s="32" t="s">
        <v>56087</v>
      </c>
      <c r="C40" s="31">
        <v>150.0</v>
      </c>
      <c r="D40" s="32" t="s">
        <v>56088</v>
      </c>
      <c r="E40" s="32" t="s">
        <v>56089</v>
      </c>
      <c r="F40" s="31">
        <v>106.0</v>
      </c>
      <c r="G40" s="31">
        <v>1.50191069E8</v>
      </c>
    </row>
    <row r="41" ht="12.75" customHeight="1">
      <c r="A41" s="27">
        <v>119.0</v>
      </c>
      <c r="B41" s="28" t="s">
        <v>56090</v>
      </c>
      <c r="C41" s="27">
        <v>150.0</v>
      </c>
      <c r="D41" s="28" t="s">
        <v>56091</v>
      </c>
      <c r="E41" s="28" t="s">
        <v>56092</v>
      </c>
      <c r="F41" s="27">
        <v>115.0</v>
      </c>
      <c r="G41" s="27">
        <v>1.50191151E8</v>
      </c>
    </row>
    <row r="42" ht="12.75" customHeight="1">
      <c r="A42" s="31">
        <v>119.0</v>
      </c>
      <c r="B42" s="32" t="s">
        <v>56093</v>
      </c>
      <c r="C42" s="31">
        <v>150.0</v>
      </c>
      <c r="D42" s="32" t="s">
        <v>56094</v>
      </c>
      <c r="E42" s="32" t="s">
        <v>56095</v>
      </c>
      <c r="F42" s="31">
        <v>214.0</v>
      </c>
      <c r="G42" s="31">
        <v>1.50192147E8</v>
      </c>
    </row>
    <row r="43" ht="12.75" customHeight="1">
      <c r="A43" s="27">
        <v>119.0</v>
      </c>
      <c r="B43" s="28" t="s">
        <v>56096</v>
      </c>
      <c r="C43" s="27">
        <v>150.0</v>
      </c>
      <c r="D43" s="28" t="s">
        <v>56097</v>
      </c>
      <c r="E43" s="28" t="s">
        <v>56098</v>
      </c>
      <c r="F43" s="27">
        <v>313.0</v>
      </c>
      <c r="G43" s="27">
        <v>1.50193133E8</v>
      </c>
    </row>
    <row r="44" ht="12.75" customHeight="1">
      <c r="A44" s="31">
        <v>222.0</v>
      </c>
      <c r="B44" s="32" t="s">
        <v>56099</v>
      </c>
      <c r="C44" s="31">
        <v>150.0</v>
      </c>
      <c r="D44" s="32" t="s">
        <v>56100</v>
      </c>
      <c r="E44" s="32" t="s">
        <v>56101</v>
      </c>
      <c r="F44" s="33">
        <v>25.0</v>
      </c>
      <c r="G44" s="31">
        <v>1.50220251E8</v>
      </c>
    </row>
    <row r="45" ht="12.75" customHeight="1">
      <c r="A45" s="27">
        <v>126.0</v>
      </c>
      <c r="B45" s="28" t="s">
        <v>56102</v>
      </c>
      <c r="C45" s="27">
        <v>150.0</v>
      </c>
      <c r="D45" s="28" t="s">
        <v>56103</v>
      </c>
      <c r="E45" s="28" t="s">
        <v>56104</v>
      </c>
      <c r="F45" s="29">
        <v>3.0</v>
      </c>
      <c r="G45" s="27">
        <v>1.50260037E8</v>
      </c>
    </row>
    <row r="46" ht="12.75" customHeight="1">
      <c r="A46" s="31">
        <v>126.0</v>
      </c>
      <c r="B46" s="32" t="s">
        <v>56105</v>
      </c>
      <c r="C46" s="31">
        <v>150.0</v>
      </c>
      <c r="D46" s="32" t="s">
        <v>56106</v>
      </c>
      <c r="E46" s="32" t="s">
        <v>56107</v>
      </c>
      <c r="F46" s="33">
        <v>19.0</v>
      </c>
      <c r="G46" s="31">
        <v>1.5026019E8</v>
      </c>
    </row>
    <row r="47" ht="12.75" customHeight="1">
      <c r="A47" s="27">
        <v>126.0</v>
      </c>
      <c r="B47" s="28" t="s">
        <v>56108</v>
      </c>
      <c r="C47" s="27">
        <v>150.0</v>
      </c>
      <c r="D47" s="28" t="s">
        <v>56109</v>
      </c>
      <c r="E47" s="28" t="s">
        <v>56110</v>
      </c>
      <c r="F47" s="29">
        <v>22.0</v>
      </c>
      <c r="G47" s="27">
        <v>1.50260224E8</v>
      </c>
    </row>
    <row r="48" ht="12.75" customHeight="1">
      <c r="A48" s="31">
        <v>126.0</v>
      </c>
      <c r="B48" s="32" t="s">
        <v>56111</v>
      </c>
      <c r="C48" s="31">
        <v>150.0</v>
      </c>
      <c r="D48" s="32" t="s">
        <v>56112</v>
      </c>
      <c r="E48" s="32" t="s">
        <v>56113</v>
      </c>
      <c r="F48" s="33">
        <v>24.0</v>
      </c>
      <c r="G48" s="31">
        <v>1.5026024E8</v>
      </c>
    </row>
    <row r="49" ht="12.75" customHeight="1">
      <c r="A49" s="27">
        <v>126.0</v>
      </c>
      <c r="B49" s="28" t="s">
        <v>56114</v>
      </c>
      <c r="C49" s="27">
        <v>150.0</v>
      </c>
      <c r="D49" s="28" t="s">
        <v>56115</v>
      </c>
      <c r="E49" s="28" t="s">
        <v>56116</v>
      </c>
      <c r="F49" s="29">
        <v>26.0</v>
      </c>
      <c r="G49" s="27">
        <v>1.50260266E8</v>
      </c>
    </row>
    <row r="50" ht="12.75" customHeight="1">
      <c r="A50" s="31">
        <v>126.0</v>
      </c>
      <c r="B50" s="32" t="s">
        <v>56117</v>
      </c>
      <c r="C50" s="31">
        <v>150.0</v>
      </c>
      <c r="D50" s="32" t="s">
        <v>56118</v>
      </c>
      <c r="E50" s="32" t="s">
        <v>56119</v>
      </c>
      <c r="F50" s="33">
        <v>43.0</v>
      </c>
      <c r="G50" s="31">
        <v>1.50260437E8</v>
      </c>
    </row>
    <row r="51" ht="12.75" customHeight="1">
      <c r="A51" s="27">
        <v>126.0</v>
      </c>
      <c r="B51" s="28" t="s">
        <v>56120</v>
      </c>
      <c r="C51" s="27">
        <v>150.0</v>
      </c>
      <c r="D51" s="28" t="s">
        <v>56121</v>
      </c>
      <c r="E51" s="28" t="s">
        <v>56122</v>
      </c>
      <c r="F51" s="27">
        <v>118.0</v>
      </c>
      <c r="G51" s="27">
        <v>1.50261186E8</v>
      </c>
    </row>
    <row r="52" ht="12.75" customHeight="1">
      <c r="A52" s="31">
        <v>126.0</v>
      </c>
      <c r="B52" s="32" t="s">
        <v>56123</v>
      </c>
      <c r="C52" s="31">
        <v>150.0</v>
      </c>
      <c r="D52" s="32" t="s">
        <v>56124</v>
      </c>
      <c r="E52" s="32" t="s">
        <v>56125</v>
      </c>
      <c r="F52" s="31">
        <v>133.0</v>
      </c>
      <c r="G52" s="31">
        <v>1.50261331E8</v>
      </c>
    </row>
    <row r="53" ht="12.75" customHeight="1">
      <c r="A53" s="27">
        <v>126.0</v>
      </c>
      <c r="B53" s="28" t="s">
        <v>56126</v>
      </c>
      <c r="C53" s="27">
        <v>150.0</v>
      </c>
      <c r="D53" s="28" t="s">
        <v>56127</v>
      </c>
      <c r="E53" s="28" t="s">
        <v>56128</v>
      </c>
      <c r="F53" s="27">
        <v>172.0</v>
      </c>
      <c r="G53" s="27">
        <v>1.50261728E8</v>
      </c>
    </row>
    <row r="54" ht="12.75" customHeight="1">
      <c r="A54" s="31">
        <v>126.0</v>
      </c>
      <c r="B54" s="32" t="s">
        <v>56129</v>
      </c>
      <c r="C54" s="31">
        <v>150.0</v>
      </c>
      <c r="D54" s="32" t="s">
        <v>56130</v>
      </c>
      <c r="E54" s="32" t="s">
        <v>56131</v>
      </c>
      <c r="F54" s="31">
        <v>253.0</v>
      </c>
      <c r="G54" s="31">
        <v>1.5026253E8</v>
      </c>
    </row>
    <row r="55" ht="12.75" customHeight="1">
      <c r="A55" s="27">
        <v>126.0</v>
      </c>
      <c r="B55" s="28" t="s">
        <v>56132</v>
      </c>
      <c r="C55" s="27">
        <v>150.0</v>
      </c>
      <c r="D55" s="28" t="s">
        <v>56133</v>
      </c>
      <c r="E55" s="28" t="s">
        <v>56134</v>
      </c>
      <c r="F55" s="27">
        <v>280.0</v>
      </c>
      <c r="G55" s="27">
        <v>1.50262806E8</v>
      </c>
    </row>
    <row r="56" ht="12.75" customHeight="1">
      <c r="A56" s="31">
        <v>126.0</v>
      </c>
      <c r="B56" s="32" t="s">
        <v>56135</v>
      </c>
      <c r="C56" s="31">
        <v>150.0</v>
      </c>
      <c r="D56" s="32" t="s">
        <v>56136</v>
      </c>
      <c r="E56" s="32" t="s">
        <v>56137</v>
      </c>
      <c r="F56" s="31">
        <v>298.0</v>
      </c>
      <c r="G56" s="31">
        <v>1.50262985E8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56138</v>
      </c>
      <c r="C1" s="27">
        <v>150.0</v>
      </c>
      <c r="D1" s="28" t="s">
        <v>56139</v>
      </c>
      <c r="E1" s="28" t="s">
        <v>56140</v>
      </c>
      <c r="F1" s="27">
        <v>319.0</v>
      </c>
      <c r="G1" s="27">
        <v>1.50263197E8</v>
      </c>
    </row>
    <row r="2" ht="12.75" customHeight="1">
      <c r="A2" s="31">
        <v>126.0</v>
      </c>
      <c r="B2" s="32" t="s">
        <v>56141</v>
      </c>
      <c r="C2" s="31">
        <v>150.0</v>
      </c>
      <c r="D2" s="32" t="s">
        <v>56142</v>
      </c>
      <c r="E2" s="32" t="s">
        <v>56143</v>
      </c>
      <c r="F2" s="31">
        <v>328.0</v>
      </c>
      <c r="G2" s="31">
        <v>1.50263289E8</v>
      </c>
    </row>
    <row r="3" ht="12.75" customHeight="1">
      <c r="A3" s="27">
        <v>126.0</v>
      </c>
      <c r="B3" s="28" t="s">
        <v>56144</v>
      </c>
      <c r="C3" s="27">
        <v>150.0</v>
      </c>
      <c r="D3" s="28" t="s">
        <v>56145</v>
      </c>
      <c r="E3" s="28" t="s">
        <v>56146</v>
      </c>
      <c r="F3" s="27">
        <v>370.0</v>
      </c>
      <c r="G3" s="27">
        <v>1.502637E8</v>
      </c>
    </row>
    <row r="4" ht="12.75" customHeight="1">
      <c r="A4" s="31">
        <v>126.0</v>
      </c>
      <c r="B4" s="32" t="s">
        <v>56147</v>
      </c>
      <c r="C4" s="31">
        <v>150.0</v>
      </c>
      <c r="D4" s="32" t="s">
        <v>56148</v>
      </c>
      <c r="E4" s="32" t="s">
        <v>56149</v>
      </c>
      <c r="F4" s="31">
        <v>396.0</v>
      </c>
      <c r="G4" s="31">
        <v>1.50263968E8</v>
      </c>
    </row>
    <row r="5" ht="12.75" customHeight="1">
      <c r="A5" s="27">
        <v>126.0</v>
      </c>
      <c r="B5" s="28" t="s">
        <v>56150</v>
      </c>
      <c r="C5" s="27">
        <v>150.0</v>
      </c>
      <c r="D5" s="28" t="s">
        <v>56151</v>
      </c>
      <c r="E5" s="28" t="s">
        <v>56152</v>
      </c>
      <c r="F5" s="27">
        <v>400.0</v>
      </c>
      <c r="G5" s="27">
        <v>1.50264004E8</v>
      </c>
    </row>
    <row r="6" ht="12.75" customHeight="1">
      <c r="A6" s="31">
        <v>126.0</v>
      </c>
      <c r="B6" s="32" t="s">
        <v>56153</v>
      </c>
      <c r="C6" s="31">
        <v>150.0</v>
      </c>
      <c r="D6" s="32" t="s">
        <v>56154</v>
      </c>
      <c r="E6" s="32" t="s">
        <v>56155</v>
      </c>
      <c r="F6" s="31">
        <v>409.0</v>
      </c>
      <c r="G6" s="31">
        <v>1.50264091E8</v>
      </c>
    </row>
    <row r="7" ht="12.75" customHeight="1">
      <c r="A7" s="27">
        <v>126.0</v>
      </c>
      <c r="B7" s="28" t="s">
        <v>56156</v>
      </c>
      <c r="C7" s="27">
        <v>150.0</v>
      </c>
      <c r="D7" s="28" t="s">
        <v>56157</v>
      </c>
      <c r="E7" s="28" t="s">
        <v>56158</v>
      </c>
      <c r="F7" s="27">
        <v>463.0</v>
      </c>
      <c r="G7" s="27">
        <v>1.50264633E8</v>
      </c>
    </row>
    <row r="8" ht="12.75" customHeight="1">
      <c r="A8" s="31">
        <v>126.0</v>
      </c>
      <c r="B8" s="32" t="s">
        <v>56159</v>
      </c>
      <c r="C8" s="31">
        <v>150.0</v>
      </c>
      <c r="D8" s="32" t="s">
        <v>56160</v>
      </c>
      <c r="E8" s="32" t="s">
        <v>56161</v>
      </c>
      <c r="F8" s="31">
        <v>478.0</v>
      </c>
      <c r="G8" s="31">
        <v>1.50264783E8</v>
      </c>
    </row>
    <row r="9" ht="12.75" customHeight="1">
      <c r="A9" s="27">
        <v>127.0</v>
      </c>
      <c r="B9" s="28" t="s">
        <v>56162</v>
      </c>
      <c r="C9" s="27">
        <v>150.0</v>
      </c>
      <c r="D9" s="28" t="s">
        <v>56163</v>
      </c>
      <c r="E9" s="28" t="s">
        <v>56164</v>
      </c>
      <c r="F9" s="29">
        <v>0.0</v>
      </c>
      <c r="G9" s="27">
        <v>1.50270001E8</v>
      </c>
    </row>
    <row r="10" ht="12.75" customHeight="1">
      <c r="A10" s="31">
        <v>127.0</v>
      </c>
      <c r="B10" s="32" t="s">
        <v>56165</v>
      </c>
      <c r="C10" s="31">
        <v>150.0</v>
      </c>
      <c r="D10" s="32" t="s">
        <v>56166</v>
      </c>
      <c r="E10" s="32" t="s">
        <v>56167</v>
      </c>
      <c r="F10" s="33">
        <v>29.0</v>
      </c>
      <c r="G10" s="31">
        <v>1.50270298E8</v>
      </c>
    </row>
    <row r="11" ht="12.75" customHeight="1">
      <c r="A11" s="27">
        <v>127.0</v>
      </c>
      <c r="B11" s="28" t="s">
        <v>56168</v>
      </c>
      <c r="C11" s="27">
        <v>150.0</v>
      </c>
      <c r="D11" s="28" t="s">
        <v>56169</v>
      </c>
      <c r="E11" s="28" t="s">
        <v>56170</v>
      </c>
      <c r="F11" s="29">
        <v>34.0</v>
      </c>
      <c r="G11" s="27">
        <v>1.50270348E8</v>
      </c>
    </row>
    <row r="12" ht="12.75" customHeight="1">
      <c r="A12" s="31">
        <v>127.0</v>
      </c>
      <c r="B12" s="32" t="s">
        <v>56171</v>
      </c>
      <c r="C12" s="31">
        <v>150.0</v>
      </c>
      <c r="D12" s="32" t="s">
        <v>56172</v>
      </c>
      <c r="E12" s="32" t="s">
        <v>56173</v>
      </c>
      <c r="F12" s="33">
        <v>55.0</v>
      </c>
      <c r="G12" s="31">
        <v>1.50270551E8</v>
      </c>
    </row>
    <row r="13" ht="12.75" customHeight="1">
      <c r="A13" s="27">
        <v>127.0</v>
      </c>
      <c r="B13" s="28" t="s">
        <v>56174</v>
      </c>
      <c r="C13" s="27">
        <v>150.0</v>
      </c>
      <c r="D13" s="28" t="s">
        <v>56175</v>
      </c>
      <c r="E13" s="28" t="s">
        <v>56176</v>
      </c>
      <c r="F13" s="29">
        <v>64.0</v>
      </c>
      <c r="G13" s="27">
        <v>1.50270643E8</v>
      </c>
    </row>
    <row r="14" ht="12.75" customHeight="1">
      <c r="A14" s="31">
        <v>127.0</v>
      </c>
      <c r="B14" s="32" t="s">
        <v>56177</v>
      </c>
      <c r="C14" s="31">
        <v>150.0</v>
      </c>
      <c r="D14" s="32" t="s">
        <v>56178</v>
      </c>
      <c r="E14" s="32" t="s">
        <v>56179</v>
      </c>
      <c r="F14" s="33">
        <v>88.0</v>
      </c>
      <c r="G14" s="31">
        <v>1.50270885E8</v>
      </c>
    </row>
    <row r="15" ht="12.75" customHeight="1">
      <c r="A15" s="27">
        <v>127.0</v>
      </c>
      <c r="B15" s="28" t="s">
        <v>56180</v>
      </c>
      <c r="C15" s="27">
        <v>150.0</v>
      </c>
      <c r="D15" s="28" t="s">
        <v>56181</v>
      </c>
      <c r="E15" s="28" t="s">
        <v>56182</v>
      </c>
      <c r="F15" s="27">
        <v>190.0</v>
      </c>
      <c r="G15" s="27">
        <v>1.50271905E8</v>
      </c>
    </row>
    <row r="16" ht="12.75" customHeight="1">
      <c r="A16" s="31">
        <v>127.0</v>
      </c>
      <c r="B16" s="32" t="s">
        <v>56183</v>
      </c>
      <c r="C16" s="31">
        <v>150.0</v>
      </c>
      <c r="D16" s="32" t="s">
        <v>56184</v>
      </c>
      <c r="E16" s="32" t="s">
        <v>56185</v>
      </c>
      <c r="F16" s="31">
        <v>232.0</v>
      </c>
      <c r="G16" s="31">
        <v>1.5027232E8</v>
      </c>
    </row>
    <row r="17" ht="12.75" customHeight="1">
      <c r="A17" s="27">
        <v>127.0</v>
      </c>
      <c r="B17" s="28" t="s">
        <v>56186</v>
      </c>
      <c r="C17" s="27">
        <v>150.0</v>
      </c>
      <c r="D17" s="28" t="s">
        <v>56187</v>
      </c>
      <c r="E17" s="28" t="s">
        <v>56188</v>
      </c>
      <c r="F17" s="27">
        <v>268.0</v>
      </c>
      <c r="G17" s="27">
        <v>1.50272683E8</v>
      </c>
    </row>
    <row r="18" ht="12.75" customHeight="1">
      <c r="A18" s="31">
        <v>127.0</v>
      </c>
      <c r="B18" s="32" t="s">
        <v>56189</v>
      </c>
      <c r="C18" s="31">
        <v>150.0</v>
      </c>
      <c r="D18" s="32" t="s">
        <v>56190</v>
      </c>
      <c r="E18" s="32" t="s">
        <v>56191</v>
      </c>
      <c r="F18" s="31">
        <v>280.0</v>
      </c>
      <c r="G18" s="31">
        <v>1.50272809E8</v>
      </c>
    </row>
    <row r="19" ht="12.75" customHeight="1">
      <c r="A19" s="27">
        <v>127.0</v>
      </c>
      <c r="B19" s="28" t="s">
        <v>56192</v>
      </c>
      <c r="C19" s="27">
        <v>150.0</v>
      </c>
      <c r="D19" s="28" t="s">
        <v>56193</v>
      </c>
      <c r="E19" s="28" t="s">
        <v>56194</v>
      </c>
      <c r="F19" s="27">
        <v>298.0</v>
      </c>
      <c r="G19" s="27">
        <v>1.50272988E8</v>
      </c>
    </row>
    <row r="20" ht="12.75" customHeight="1">
      <c r="A20" s="31">
        <v>127.0</v>
      </c>
      <c r="B20" s="32" t="s">
        <v>56195</v>
      </c>
      <c r="C20" s="31">
        <v>150.0</v>
      </c>
      <c r="D20" s="32" t="s">
        <v>56196</v>
      </c>
      <c r="E20" s="32" t="s">
        <v>56197</v>
      </c>
      <c r="F20" s="31">
        <v>322.0</v>
      </c>
      <c r="G20" s="31">
        <v>1.50273224E8</v>
      </c>
    </row>
    <row r="21" ht="12.75" customHeight="1">
      <c r="A21" s="27">
        <v>127.0</v>
      </c>
      <c r="B21" s="28" t="s">
        <v>56198</v>
      </c>
      <c r="C21" s="27">
        <v>150.0</v>
      </c>
      <c r="D21" s="28" t="s">
        <v>56199</v>
      </c>
      <c r="E21" s="28" t="s">
        <v>56200</v>
      </c>
      <c r="F21" s="27">
        <v>331.0</v>
      </c>
      <c r="G21" s="27">
        <v>1.50273316E8</v>
      </c>
    </row>
    <row r="22" ht="12.75" customHeight="1">
      <c r="A22" s="31">
        <v>127.0</v>
      </c>
      <c r="B22" s="32" t="s">
        <v>56201</v>
      </c>
      <c r="C22" s="31">
        <v>150.0</v>
      </c>
      <c r="D22" s="32" t="s">
        <v>56202</v>
      </c>
      <c r="E22" s="32" t="s">
        <v>56203</v>
      </c>
      <c r="F22" s="31">
        <v>334.0</v>
      </c>
      <c r="G22" s="31">
        <v>1.50273345E8</v>
      </c>
    </row>
    <row r="23" ht="12.75" customHeight="1">
      <c r="A23" s="27">
        <v>127.0</v>
      </c>
      <c r="B23" s="28" t="s">
        <v>56204</v>
      </c>
      <c r="C23" s="27">
        <v>150.0</v>
      </c>
      <c r="D23" s="28" t="s">
        <v>56205</v>
      </c>
      <c r="E23" s="28" t="s">
        <v>56206</v>
      </c>
      <c r="F23" s="27">
        <v>368.0</v>
      </c>
      <c r="G23" s="27">
        <v>1.50273682E8</v>
      </c>
    </row>
    <row r="24" ht="12.75" customHeight="1">
      <c r="A24" s="31">
        <v>127.0</v>
      </c>
      <c r="B24" s="32" t="s">
        <v>56207</v>
      </c>
      <c r="C24" s="31">
        <v>150.0</v>
      </c>
      <c r="D24" s="32" t="s">
        <v>56208</v>
      </c>
      <c r="E24" s="32" t="s">
        <v>56209</v>
      </c>
      <c r="F24" s="31">
        <v>394.0</v>
      </c>
      <c r="G24" s="31">
        <v>1.50273945E8</v>
      </c>
    </row>
    <row r="25" ht="12.75" customHeight="1">
      <c r="A25" s="27">
        <v>127.0</v>
      </c>
      <c r="B25" s="28" t="s">
        <v>56210</v>
      </c>
      <c r="C25" s="27">
        <v>150.0</v>
      </c>
      <c r="D25" s="28" t="s">
        <v>56211</v>
      </c>
      <c r="E25" s="28" t="s">
        <v>56212</v>
      </c>
      <c r="F25" s="27">
        <v>404.0</v>
      </c>
      <c r="G25" s="27">
        <v>1.50274049E8</v>
      </c>
    </row>
    <row r="26" ht="12.75" customHeight="1">
      <c r="A26" s="31">
        <v>127.0</v>
      </c>
      <c r="B26" s="32" t="s">
        <v>56213</v>
      </c>
      <c r="C26" s="31">
        <v>150.0</v>
      </c>
      <c r="D26" s="32" t="s">
        <v>56214</v>
      </c>
      <c r="E26" s="32" t="s">
        <v>56215</v>
      </c>
      <c r="F26" s="31">
        <v>407.0</v>
      </c>
      <c r="G26" s="31">
        <v>1.50274078E8</v>
      </c>
    </row>
    <row r="27" ht="12.75" customHeight="1">
      <c r="A27" s="27">
        <v>127.0</v>
      </c>
      <c r="B27" s="28" t="s">
        <v>56216</v>
      </c>
      <c r="C27" s="27">
        <v>150.0</v>
      </c>
      <c r="D27" s="28" t="s">
        <v>56217</v>
      </c>
      <c r="E27" s="28" t="s">
        <v>56218</v>
      </c>
      <c r="F27" s="27">
        <v>424.0</v>
      </c>
      <c r="G27" s="27">
        <v>1.50274249E8</v>
      </c>
    </row>
    <row r="28" ht="12.75" customHeight="1">
      <c r="A28" s="31">
        <v>127.0</v>
      </c>
      <c r="B28" s="32" t="s">
        <v>56219</v>
      </c>
      <c r="C28" s="31">
        <v>150.0</v>
      </c>
      <c r="D28" s="32" t="s">
        <v>56220</v>
      </c>
      <c r="E28" s="32" t="s">
        <v>56221</v>
      </c>
      <c r="F28" s="31">
        <v>503.0</v>
      </c>
      <c r="G28" s="31">
        <v>1.50275035E8</v>
      </c>
    </row>
    <row r="29" ht="12.75" customHeight="1">
      <c r="A29" s="27">
        <v>127.0</v>
      </c>
      <c r="B29" s="28" t="s">
        <v>56222</v>
      </c>
      <c r="C29" s="27">
        <v>150.0</v>
      </c>
      <c r="D29" s="28" t="s">
        <v>56223</v>
      </c>
      <c r="E29" s="28" t="s">
        <v>56224</v>
      </c>
      <c r="F29" s="27">
        <v>505.0</v>
      </c>
      <c r="G29" s="27">
        <v>1.50275051E8</v>
      </c>
    </row>
    <row r="30" ht="12.75" customHeight="1">
      <c r="A30" s="31">
        <v>728.0</v>
      </c>
      <c r="B30" s="32" t="s">
        <v>56225</v>
      </c>
      <c r="C30" s="31">
        <v>150.0</v>
      </c>
      <c r="D30" s="32" t="s">
        <v>56226</v>
      </c>
      <c r="E30" s="32" t="s">
        <v>56227</v>
      </c>
      <c r="F30" s="33">
        <v>34.0</v>
      </c>
      <c r="G30" s="31">
        <v>1.50280341E8</v>
      </c>
    </row>
    <row r="31" ht="12.75" customHeight="1">
      <c r="A31" s="27">
        <v>728.0</v>
      </c>
      <c r="B31" s="28" t="s">
        <v>56228</v>
      </c>
      <c r="C31" s="27">
        <v>150.0</v>
      </c>
      <c r="D31" s="28" t="s">
        <v>56229</v>
      </c>
      <c r="E31" s="28" t="s">
        <v>56230</v>
      </c>
      <c r="F31" s="29">
        <v>67.0</v>
      </c>
      <c r="G31" s="27">
        <v>1.50280675E8</v>
      </c>
    </row>
    <row r="32" ht="12.75" customHeight="1">
      <c r="A32" s="31">
        <v>329.0</v>
      </c>
      <c r="B32" s="32" t="s">
        <v>56231</v>
      </c>
      <c r="C32" s="31">
        <v>150.0</v>
      </c>
      <c r="D32" s="32" t="s">
        <v>56232</v>
      </c>
      <c r="E32" s="32" t="s">
        <v>56233</v>
      </c>
      <c r="F32" s="33">
        <v>28.0</v>
      </c>
      <c r="G32" s="31">
        <v>1.50290281E8</v>
      </c>
    </row>
    <row r="33" ht="12.75" customHeight="1">
      <c r="A33" s="27">
        <v>329.0</v>
      </c>
      <c r="B33" s="28" t="s">
        <v>56234</v>
      </c>
      <c r="C33" s="27">
        <v>150.0</v>
      </c>
      <c r="D33" s="28" t="s">
        <v>56235</v>
      </c>
      <c r="E33" s="28" t="s">
        <v>56236</v>
      </c>
      <c r="F33" s="29">
        <v>35.0</v>
      </c>
      <c r="G33" s="27">
        <v>1.50290357E8</v>
      </c>
    </row>
    <row r="34" ht="12.75" customHeight="1">
      <c r="A34" s="31">
        <v>329.0</v>
      </c>
      <c r="B34" s="32" t="s">
        <v>56237</v>
      </c>
      <c r="C34" s="31">
        <v>150.0</v>
      </c>
      <c r="D34" s="32" t="s">
        <v>56238</v>
      </c>
      <c r="E34" s="32" t="s">
        <v>56239</v>
      </c>
      <c r="F34" s="33">
        <v>52.0</v>
      </c>
      <c r="G34" s="31">
        <v>1.50290528E8</v>
      </c>
    </row>
    <row r="35" ht="12.75" customHeight="1">
      <c r="A35" s="27">
        <v>329.0</v>
      </c>
      <c r="B35" s="28" t="s">
        <v>56240</v>
      </c>
      <c r="C35" s="27">
        <v>150.0</v>
      </c>
      <c r="D35" s="28" t="s">
        <v>56241</v>
      </c>
      <c r="E35" s="28" t="s">
        <v>56242</v>
      </c>
      <c r="F35" s="29">
        <v>61.0</v>
      </c>
      <c r="G35" s="27">
        <v>1.5029061E8</v>
      </c>
    </row>
    <row r="36" ht="12.75" customHeight="1">
      <c r="A36" s="31">
        <v>329.0</v>
      </c>
      <c r="B36" s="32" t="s">
        <v>56243</v>
      </c>
      <c r="C36" s="31">
        <v>150.0</v>
      </c>
      <c r="D36" s="32" t="s">
        <v>56244</v>
      </c>
      <c r="E36" s="32" t="s">
        <v>56245</v>
      </c>
      <c r="F36" s="33">
        <v>92.0</v>
      </c>
      <c r="G36" s="31">
        <v>1.50290928E8</v>
      </c>
    </row>
    <row r="37" ht="12.75" customHeight="1">
      <c r="A37" s="27">
        <v>230.0</v>
      </c>
      <c r="B37" s="28" t="s">
        <v>56246</v>
      </c>
      <c r="C37" s="27">
        <v>150.0</v>
      </c>
      <c r="D37" s="28" t="s">
        <v>56247</v>
      </c>
      <c r="E37" s="28" t="s">
        <v>56248</v>
      </c>
      <c r="F37" s="29">
        <v>37.0</v>
      </c>
      <c r="G37" s="27">
        <v>1.50300371E8</v>
      </c>
    </row>
    <row r="38" ht="12.75" customHeight="1">
      <c r="A38" s="31">
        <v>230.0</v>
      </c>
      <c r="B38" s="32" t="s">
        <v>56249</v>
      </c>
      <c r="C38" s="31">
        <v>150.0</v>
      </c>
      <c r="D38" s="32" t="s">
        <v>56250</v>
      </c>
      <c r="E38" s="32" t="s">
        <v>56251</v>
      </c>
      <c r="F38" s="33">
        <v>52.0</v>
      </c>
      <c r="G38" s="31">
        <v>1.50300526E8</v>
      </c>
    </row>
    <row r="39" ht="12.75" customHeight="1">
      <c r="A39" s="27">
        <v>230.0</v>
      </c>
      <c r="B39" s="28" t="s">
        <v>56252</v>
      </c>
      <c r="C39" s="27">
        <v>150.0</v>
      </c>
      <c r="D39" s="28" t="s">
        <v>56253</v>
      </c>
      <c r="E39" s="28" t="s">
        <v>56254</v>
      </c>
      <c r="F39" s="27">
        <v>148.0</v>
      </c>
      <c r="G39" s="27">
        <v>1.50301488E8</v>
      </c>
    </row>
    <row r="40" ht="12.75" customHeight="1">
      <c r="A40" s="31">
        <v>632.0</v>
      </c>
      <c r="B40" s="32" t="s">
        <v>56255</v>
      </c>
      <c r="C40" s="31">
        <v>150.0</v>
      </c>
      <c r="D40" s="32" t="s">
        <v>56256</v>
      </c>
      <c r="E40" s="32" t="s">
        <v>56257</v>
      </c>
      <c r="F40" s="33">
        <v>52.0</v>
      </c>
      <c r="G40" s="31">
        <v>1.50320522E8</v>
      </c>
    </row>
    <row r="41" ht="12.75" customHeight="1">
      <c r="A41" s="27">
        <v>133.0</v>
      </c>
      <c r="B41" s="28" t="s">
        <v>56258</v>
      </c>
      <c r="C41" s="27">
        <v>150.0</v>
      </c>
      <c r="D41" s="28" t="s">
        <v>56259</v>
      </c>
      <c r="E41" s="28" t="s">
        <v>56260</v>
      </c>
      <c r="F41" s="29">
        <v>52.0</v>
      </c>
      <c r="G41" s="27">
        <v>1.50330525E8</v>
      </c>
    </row>
    <row r="42" ht="12.75" customHeight="1">
      <c r="A42" s="31">
        <v>133.0</v>
      </c>
      <c r="B42" s="32" t="s">
        <v>56261</v>
      </c>
      <c r="C42" s="31">
        <v>150.0</v>
      </c>
      <c r="D42" s="32" t="s">
        <v>56262</v>
      </c>
      <c r="E42" s="32" t="s">
        <v>56263</v>
      </c>
      <c r="F42" s="33">
        <v>67.0</v>
      </c>
      <c r="G42" s="31">
        <v>1.50330675E8</v>
      </c>
    </row>
    <row r="43" ht="12.75" customHeight="1">
      <c r="A43" s="27">
        <v>133.0</v>
      </c>
      <c r="B43" s="28" t="s">
        <v>56264</v>
      </c>
      <c r="C43" s="27">
        <v>150.0</v>
      </c>
      <c r="D43" s="28" t="s">
        <v>56265</v>
      </c>
      <c r="E43" s="28" t="s">
        <v>56266</v>
      </c>
      <c r="F43" s="29">
        <v>79.0</v>
      </c>
      <c r="G43" s="27">
        <v>1.50330796E8</v>
      </c>
    </row>
    <row r="44" ht="12.75" customHeight="1">
      <c r="A44" s="31">
        <v>133.0</v>
      </c>
      <c r="B44" s="32" t="s">
        <v>56267</v>
      </c>
      <c r="C44" s="31">
        <v>150.0</v>
      </c>
      <c r="D44" s="32" t="s">
        <v>56268</v>
      </c>
      <c r="E44" s="32" t="s">
        <v>56269</v>
      </c>
      <c r="F44" s="33">
        <v>88.0</v>
      </c>
      <c r="G44" s="31">
        <v>1.50330888E8</v>
      </c>
    </row>
    <row r="45" ht="12.75" customHeight="1">
      <c r="A45" s="27">
        <v>133.0</v>
      </c>
      <c r="B45" s="28" t="s">
        <v>56270</v>
      </c>
      <c r="C45" s="27">
        <v>150.0</v>
      </c>
      <c r="D45" s="28" t="s">
        <v>56271</v>
      </c>
      <c r="E45" s="28" t="s">
        <v>56272</v>
      </c>
      <c r="F45" s="27">
        <v>167.0</v>
      </c>
      <c r="G45" s="27">
        <v>1.50331674E8</v>
      </c>
    </row>
    <row r="46" ht="12.75" customHeight="1">
      <c r="A46" s="31">
        <v>435.0</v>
      </c>
      <c r="B46" s="32" t="s">
        <v>56273</v>
      </c>
      <c r="C46" s="31">
        <v>150.0</v>
      </c>
      <c r="D46" s="32" t="s">
        <v>56274</v>
      </c>
      <c r="E46" s="32" t="s">
        <v>56275</v>
      </c>
      <c r="F46" s="33">
        <v>37.0</v>
      </c>
      <c r="G46" s="31">
        <v>1.50350376E8</v>
      </c>
    </row>
    <row r="47" ht="12.75" customHeight="1">
      <c r="A47" s="27">
        <v>836.0</v>
      </c>
      <c r="B47" s="28" t="s">
        <v>56276</v>
      </c>
      <c r="C47" s="27">
        <v>150.0</v>
      </c>
      <c r="D47" s="28" t="s">
        <v>56277</v>
      </c>
      <c r="E47" s="28" t="s">
        <v>56278</v>
      </c>
      <c r="F47" s="29">
        <v>61.0</v>
      </c>
      <c r="G47" s="27">
        <v>1.50360616E8</v>
      </c>
    </row>
    <row r="48" ht="12.75" customHeight="1">
      <c r="A48" s="31">
        <v>638.0</v>
      </c>
      <c r="B48" s="32" t="s">
        <v>56279</v>
      </c>
      <c r="C48" s="31">
        <v>150.0</v>
      </c>
      <c r="D48" s="32" t="s">
        <v>56280</v>
      </c>
      <c r="E48" s="32" t="s">
        <v>56281</v>
      </c>
      <c r="F48" s="33">
        <v>40.0</v>
      </c>
      <c r="G48" s="31">
        <v>1.50380409E8</v>
      </c>
    </row>
    <row r="49" ht="12.75" customHeight="1">
      <c r="A49" s="27">
        <v>139.0</v>
      </c>
      <c r="B49" s="28" t="s">
        <v>56282</v>
      </c>
      <c r="C49" s="27">
        <v>150.0</v>
      </c>
      <c r="D49" s="28" t="s">
        <v>56283</v>
      </c>
      <c r="E49" s="28" t="s">
        <v>56284</v>
      </c>
      <c r="F49" s="29">
        <v>85.0</v>
      </c>
      <c r="G49" s="27">
        <v>1.50390857E8</v>
      </c>
    </row>
    <row r="50" ht="12.75" customHeight="1">
      <c r="A50" s="31">
        <v>441.0</v>
      </c>
      <c r="B50" s="32" t="s">
        <v>56285</v>
      </c>
      <c r="C50" s="31">
        <v>150.0</v>
      </c>
      <c r="D50" s="32" t="s">
        <v>56286</v>
      </c>
      <c r="E50" s="32" t="s">
        <v>56287</v>
      </c>
      <c r="F50" s="33">
        <v>55.0</v>
      </c>
      <c r="G50" s="31">
        <v>1.50410553E8</v>
      </c>
    </row>
    <row r="51" ht="12.75" customHeight="1">
      <c r="A51" s="27">
        <v>441.0</v>
      </c>
      <c r="B51" s="28" t="s">
        <v>56288</v>
      </c>
      <c r="C51" s="27">
        <v>150.0</v>
      </c>
      <c r="D51" s="28" t="s">
        <v>56289</v>
      </c>
      <c r="E51" s="28" t="s">
        <v>56290</v>
      </c>
      <c r="F51" s="29">
        <v>94.0</v>
      </c>
      <c r="G51" s="27">
        <v>1.5041094E8</v>
      </c>
    </row>
    <row r="52" ht="12.75" customHeight="1">
      <c r="A52" s="31">
        <v>342.0</v>
      </c>
      <c r="B52" s="32" t="s">
        <v>56291</v>
      </c>
      <c r="C52" s="31">
        <v>150.0</v>
      </c>
      <c r="D52" s="32" t="s">
        <v>56292</v>
      </c>
      <c r="E52" s="32" t="s">
        <v>56293</v>
      </c>
      <c r="F52" s="33">
        <v>31.0</v>
      </c>
      <c r="G52" s="31">
        <v>1.50420314E8</v>
      </c>
    </row>
    <row r="53" ht="12.75" customHeight="1">
      <c r="A53" s="27">
        <v>444.0</v>
      </c>
      <c r="B53" s="28" t="s">
        <v>56294</v>
      </c>
      <c r="C53" s="27">
        <v>150.0</v>
      </c>
      <c r="D53" s="28" t="s">
        <v>56295</v>
      </c>
      <c r="E53" s="28" t="s">
        <v>56296</v>
      </c>
      <c r="F53" s="29">
        <v>64.0</v>
      </c>
      <c r="G53" s="27">
        <v>1.50440644E8</v>
      </c>
    </row>
    <row r="54" ht="12.75" customHeight="1">
      <c r="A54" s="31">
        <v>444.0</v>
      </c>
      <c r="B54" s="32" t="s">
        <v>56297</v>
      </c>
      <c r="C54" s="31">
        <v>150.0</v>
      </c>
      <c r="D54" s="32" t="s">
        <v>56298</v>
      </c>
      <c r="E54" s="32" t="s">
        <v>56299</v>
      </c>
      <c r="F54" s="33">
        <v>80.0</v>
      </c>
      <c r="G54" s="31">
        <v>1.50440802E8</v>
      </c>
    </row>
    <row r="55" ht="12.75" customHeight="1">
      <c r="A55" s="27">
        <v>447.0</v>
      </c>
      <c r="B55" s="28" t="s">
        <v>56300</v>
      </c>
      <c r="C55" s="27">
        <v>150.0</v>
      </c>
      <c r="D55" s="28" t="s">
        <v>56301</v>
      </c>
      <c r="E55" s="28" t="s">
        <v>56302</v>
      </c>
      <c r="F55" s="27">
        <v>139.0</v>
      </c>
      <c r="G55" s="27">
        <v>1.50471392E8</v>
      </c>
    </row>
    <row r="56" ht="12.75" customHeight="1">
      <c r="A56" s="31">
        <v>447.0</v>
      </c>
      <c r="B56" s="32" t="s">
        <v>56303</v>
      </c>
      <c r="C56" s="31">
        <v>150.0</v>
      </c>
      <c r="D56" s="32" t="s">
        <v>56304</v>
      </c>
      <c r="E56" s="32" t="s">
        <v>56305</v>
      </c>
      <c r="F56" s="31">
        <v>154.0</v>
      </c>
      <c r="G56" s="31">
        <v>1.50471547E8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148.0</v>
      </c>
      <c r="B1" s="28" t="s">
        <v>56306</v>
      </c>
      <c r="C1" s="27">
        <v>150.0</v>
      </c>
      <c r="D1" s="28" t="s">
        <v>56307</v>
      </c>
      <c r="E1" s="28" t="s">
        <v>56308</v>
      </c>
      <c r="F1" s="29">
        <v>22.0</v>
      </c>
      <c r="G1" s="27">
        <v>1.5048022E8</v>
      </c>
    </row>
    <row r="2" ht="12.75" customHeight="1">
      <c r="A2" s="31">
        <v>148.0</v>
      </c>
      <c r="B2" s="32" t="s">
        <v>56309</v>
      </c>
      <c r="C2" s="31">
        <v>150.0</v>
      </c>
      <c r="D2" s="32" t="s">
        <v>56310</v>
      </c>
      <c r="E2" s="32" t="s">
        <v>56311</v>
      </c>
      <c r="F2" s="33">
        <v>32.0</v>
      </c>
      <c r="G2" s="31">
        <v>1.50480325E8</v>
      </c>
    </row>
    <row r="3" ht="12.75" customHeight="1">
      <c r="A3" s="27">
        <v>148.0</v>
      </c>
      <c r="B3" s="28" t="s">
        <v>56312</v>
      </c>
      <c r="C3" s="27">
        <v>150.0</v>
      </c>
      <c r="D3" s="28" t="s">
        <v>56313</v>
      </c>
      <c r="E3" s="28" t="s">
        <v>56314</v>
      </c>
      <c r="F3" s="29">
        <v>67.0</v>
      </c>
      <c r="G3" s="27">
        <v>1.50480675E8</v>
      </c>
    </row>
    <row r="4" ht="12.75" customHeight="1">
      <c r="A4" s="31">
        <v>148.0</v>
      </c>
      <c r="B4" s="32" t="s">
        <v>56315</v>
      </c>
      <c r="C4" s="31">
        <v>150.0</v>
      </c>
      <c r="D4" s="32" t="s">
        <v>56316</v>
      </c>
      <c r="E4" s="32" t="s">
        <v>56317</v>
      </c>
      <c r="F4" s="31">
        <v>108.0</v>
      </c>
      <c r="G4" s="31">
        <v>1.50481087E8</v>
      </c>
    </row>
    <row r="5" ht="12.75" customHeight="1">
      <c r="A5" s="27">
        <v>749.0</v>
      </c>
      <c r="B5" s="28" t="s">
        <v>56318</v>
      </c>
      <c r="C5" s="27">
        <v>150.0</v>
      </c>
      <c r="D5" s="28" t="s">
        <v>56319</v>
      </c>
      <c r="E5" s="28" t="s">
        <v>56320</v>
      </c>
      <c r="F5" s="29">
        <v>40.0</v>
      </c>
      <c r="G5" s="27">
        <v>1.50490407E8</v>
      </c>
    </row>
    <row r="6" ht="12.75" customHeight="1">
      <c r="A6" s="31">
        <v>749.0</v>
      </c>
      <c r="B6" s="32" t="s">
        <v>56321</v>
      </c>
      <c r="C6" s="31">
        <v>150.0</v>
      </c>
      <c r="D6" s="32" t="s">
        <v>56322</v>
      </c>
      <c r="E6" s="32" t="s">
        <v>56323</v>
      </c>
      <c r="F6" s="33">
        <v>64.0</v>
      </c>
      <c r="G6" s="31">
        <v>1.50490649E8</v>
      </c>
    </row>
    <row r="7" ht="12.75" customHeight="1">
      <c r="A7" s="27">
        <v>450.0</v>
      </c>
      <c r="B7" s="28" t="s">
        <v>56324</v>
      </c>
      <c r="C7" s="27">
        <v>150.0</v>
      </c>
      <c r="D7" s="28" t="s">
        <v>56325</v>
      </c>
      <c r="E7" s="28" t="s">
        <v>56326</v>
      </c>
      <c r="F7" s="29">
        <v>94.0</v>
      </c>
      <c r="G7" s="27">
        <v>1.50500942E8</v>
      </c>
    </row>
    <row r="8" ht="12.75" customHeight="1">
      <c r="A8" s="31">
        <v>752.0</v>
      </c>
      <c r="B8" s="32" t="s">
        <v>56327</v>
      </c>
      <c r="C8" s="31">
        <v>150.0</v>
      </c>
      <c r="D8" s="32" t="s">
        <v>56328</v>
      </c>
      <c r="E8" s="32" t="s">
        <v>56329</v>
      </c>
      <c r="F8" s="33">
        <v>19.0</v>
      </c>
      <c r="G8" s="31">
        <v>1.50520193E8</v>
      </c>
    </row>
    <row r="9" ht="12.75" customHeight="1">
      <c r="A9" s="27">
        <v>354.0</v>
      </c>
      <c r="B9" s="28" t="s">
        <v>56330</v>
      </c>
      <c r="C9" s="27">
        <v>150.0</v>
      </c>
      <c r="D9" s="28" t="s">
        <v>56331</v>
      </c>
      <c r="E9" s="28" t="s">
        <v>56332</v>
      </c>
      <c r="F9" s="29">
        <v>40.0</v>
      </c>
      <c r="G9" s="27">
        <v>1.50540407E8</v>
      </c>
    </row>
    <row r="10" ht="12.75" customHeight="1">
      <c r="A10" s="31">
        <v>354.0</v>
      </c>
      <c r="B10" s="32" t="s">
        <v>56333</v>
      </c>
      <c r="C10" s="31">
        <v>150.0</v>
      </c>
      <c r="D10" s="32" t="s">
        <v>56334</v>
      </c>
      <c r="E10" s="32" t="s">
        <v>56335</v>
      </c>
      <c r="F10" s="33">
        <v>70.0</v>
      </c>
      <c r="G10" s="31">
        <v>1.50540702E8</v>
      </c>
    </row>
    <row r="11" ht="12.75" customHeight="1">
      <c r="A11" s="27">
        <v>156.0</v>
      </c>
      <c r="B11" s="28" t="s">
        <v>56336</v>
      </c>
      <c r="C11" s="27">
        <v>150.0</v>
      </c>
      <c r="D11" s="28" t="s">
        <v>56337</v>
      </c>
      <c r="E11" s="28" t="s">
        <v>56338</v>
      </c>
      <c r="F11" s="29">
        <v>61.0</v>
      </c>
      <c r="G11" s="27">
        <v>1.50560616E8</v>
      </c>
    </row>
    <row r="12" ht="12.75" customHeight="1">
      <c r="A12" s="31">
        <v>156.0</v>
      </c>
      <c r="B12" s="32" t="s">
        <v>56339</v>
      </c>
      <c r="C12" s="31">
        <v>150.0</v>
      </c>
      <c r="D12" s="32" t="s">
        <v>56340</v>
      </c>
      <c r="E12" s="32" t="s">
        <v>56341</v>
      </c>
      <c r="F12" s="33">
        <v>83.0</v>
      </c>
      <c r="G12" s="31">
        <v>1.50560832E8</v>
      </c>
    </row>
    <row r="13" ht="12.75" customHeight="1">
      <c r="A13" s="27">
        <v>858.0</v>
      </c>
      <c r="B13" s="28" t="s">
        <v>56342</v>
      </c>
      <c r="C13" s="27">
        <v>150.0</v>
      </c>
      <c r="D13" s="28" t="s">
        <v>56343</v>
      </c>
      <c r="E13" s="28" t="s">
        <v>56344</v>
      </c>
      <c r="F13" s="29">
        <v>94.0</v>
      </c>
      <c r="G13" s="27">
        <v>1.50580946E8</v>
      </c>
    </row>
    <row r="14" ht="12.75" customHeight="1">
      <c r="A14" s="31">
        <v>858.0</v>
      </c>
      <c r="B14" s="32" t="s">
        <v>56345</v>
      </c>
      <c r="C14" s="31">
        <v>150.0</v>
      </c>
      <c r="D14" s="32" t="s">
        <v>56346</v>
      </c>
      <c r="E14" s="32" t="s">
        <v>56347</v>
      </c>
      <c r="F14" s="31">
        <v>118.0</v>
      </c>
      <c r="G14" s="31">
        <v>1.50581187E8</v>
      </c>
    </row>
    <row r="15" ht="12.75" customHeight="1">
      <c r="A15" s="27">
        <v>858.0</v>
      </c>
      <c r="B15" s="28" t="s">
        <v>56348</v>
      </c>
      <c r="C15" s="27">
        <v>150.0</v>
      </c>
      <c r="D15" s="28" t="s">
        <v>56349</v>
      </c>
      <c r="E15" s="28" t="s">
        <v>56350</v>
      </c>
      <c r="F15" s="27">
        <v>172.0</v>
      </c>
      <c r="G15" s="27">
        <v>1.50581729E8</v>
      </c>
    </row>
    <row r="16" ht="12.75" customHeight="1">
      <c r="A16" s="31">
        <v>159.0</v>
      </c>
      <c r="B16" s="32" t="s">
        <v>56351</v>
      </c>
      <c r="C16" s="31">
        <v>150.0</v>
      </c>
      <c r="D16" s="32" t="s">
        <v>56352</v>
      </c>
      <c r="E16" s="32" t="s">
        <v>56353</v>
      </c>
      <c r="F16" s="33">
        <v>5.0</v>
      </c>
      <c r="G16" s="31">
        <v>1.50590057E8</v>
      </c>
    </row>
    <row r="17" ht="12.75" customHeight="1">
      <c r="A17" s="27">
        <v>159.0</v>
      </c>
      <c r="B17" s="28" t="s">
        <v>56354</v>
      </c>
      <c r="C17" s="27">
        <v>150.0</v>
      </c>
      <c r="D17" s="28" t="s">
        <v>56355</v>
      </c>
      <c r="E17" s="28" t="s">
        <v>56356</v>
      </c>
      <c r="F17" s="29">
        <v>9.0</v>
      </c>
      <c r="G17" s="27">
        <v>1.50590099E8</v>
      </c>
    </row>
    <row r="18" ht="12.75" customHeight="1">
      <c r="A18" s="31">
        <v>159.0</v>
      </c>
      <c r="B18" s="32" t="s">
        <v>56357</v>
      </c>
      <c r="C18" s="31">
        <v>150.0</v>
      </c>
      <c r="D18" s="32" t="s">
        <v>56358</v>
      </c>
      <c r="E18" s="32" t="s">
        <v>56359</v>
      </c>
      <c r="F18" s="33">
        <v>16.0</v>
      </c>
      <c r="G18" s="31">
        <v>1.50590165E8</v>
      </c>
    </row>
    <row r="19" ht="12.75" customHeight="1">
      <c r="A19" s="27">
        <v>159.0</v>
      </c>
      <c r="B19" s="28" t="s">
        <v>56360</v>
      </c>
      <c r="C19" s="27">
        <v>150.0</v>
      </c>
      <c r="D19" s="28" t="s">
        <v>56361</v>
      </c>
      <c r="E19" s="28" t="s">
        <v>56362</v>
      </c>
      <c r="F19" s="29">
        <v>31.0</v>
      </c>
      <c r="G19" s="27">
        <v>1.5059031E8</v>
      </c>
    </row>
    <row r="20" ht="12.75" customHeight="1">
      <c r="A20" s="31">
        <v>159.0</v>
      </c>
      <c r="B20" s="32" t="s">
        <v>56363</v>
      </c>
      <c r="C20" s="31">
        <v>150.0</v>
      </c>
      <c r="D20" s="32" t="s">
        <v>56364</v>
      </c>
      <c r="E20" s="32" t="s">
        <v>56365</v>
      </c>
      <c r="F20" s="33">
        <v>46.0</v>
      </c>
      <c r="G20" s="31">
        <v>1.5059046E8</v>
      </c>
    </row>
    <row r="21" ht="12.75" customHeight="1">
      <c r="A21" s="27">
        <v>159.0</v>
      </c>
      <c r="B21" s="28" t="s">
        <v>56366</v>
      </c>
      <c r="C21" s="27">
        <v>150.0</v>
      </c>
      <c r="D21" s="28" t="s">
        <v>56367</v>
      </c>
      <c r="E21" s="28" t="s">
        <v>56368</v>
      </c>
      <c r="F21" s="29">
        <v>69.0</v>
      </c>
      <c r="G21" s="27">
        <v>1.50590699E8</v>
      </c>
    </row>
    <row r="22" ht="12.75" customHeight="1">
      <c r="A22" s="31">
        <v>159.0</v>
      </c>
      <c r="B22" s="32" t="s">
        <v>56369</v>
      </c>
      <c r="C22" s="31">
        <v>150.0</v>
      </c>
      <c r="D22" s="32" t="s">
        <v>56370</v>
      </c>
      <c r="E22" s="32" t="s">
        <v>56371</v>
      </c>
      <c r="F22" s="33">
        <v>85.0</v>
      </c>
      <c r="G22" s="31">
        <v>1.50590857E8</v>
      </c>
    </row>
    <row r="23" ht="12.75" customHeight="1">
      <c r="A23" s="27">
        <v>159.0</v>
      </c>
      <c r="B23" s="28" t="s">
        <v>56372</v>
      </c>
      <c r="C23" s="27">
        <v>150.0</v>
      </c>
      <c r="D23" s="28" t="s">
        <v>56373</v>
      </c>
      <c r="E23" s="28" t="s">
        <v>56374</v>
      </c>
      <c r="F23" s="27">
        <v>103.0</v>
      </c>
      <c r="G23" s="27">
        <v>1.5059103E8</v>
      </c>
    </row>
    <row r="24" ht="12.75" customHeight="1">
      <c r="A24" s="31">
        <v>159.0</v>
      </c>
      <c r="B24" s="32" t="s">
        <v>56375</v>
      </c>
      <c r="C24" s="31">
        <v>150.0</v>
      </c>
      <c r="D24" s="32" t="s">
        <v>56376</v>
      </c>
      <c r="E24" s="32" t="s">
        <v>56377</v>
      </c>
      <c r="F24" s="31">
        <v>127.0</v>
      </c>
      <c r="G24" s="31">
        <v>1.50591272E8</v>
      </c>
    </row>
    <row r="25" ht="12.75" customHeight="1">
      <c r="A25" s="27">
        <v>159.0</v>
      </c>
      <c r="B25" s="28" t="s">
        <v>56378</v>
      </c>
      <c r="C25" s="27">
        <v>150.0</v>
      </c>
      <c r="D25" s="28" t="s">
        <v>56379</v>
      </c>
      <c r="E25" s="28" t="s">
        <v>56380</v>
      </c>
      <c r="F25" s="27">
        <v>142.0</v>
      </c>
      <c r="G25" s="27">
        <v>1.50591427E8</v>
      </c>
    </row>
    <row r="26" ht="12.75" customHeight="1">
      <c r="A26" s="31">
        <v>159.0</v>
      </c>
      <c r="B26" s="32" t="s">
        <v>56381</v>
      </c>
      <c r="C26" s="31">
        <v>150.0</v>
      </c>
      <c r="D26" s="32" t="s">
        <v>56382</v>
      </c>
      <c r="E26" s="32" t="s">
        <v>56383</v>
      </c>
      <c r="F26" s="31">
        <v>154.0</v>
      </c>
      <c r="G26" s="31">
        <v>1.50591548E8</v>
      </c>
    </row>
    <row r="27" ht="12.75" customHeight="1">
      <c r="A27" s="27">
        <v>161.0</v>
      </c>
      <c r="B27" s="28" t="s">
        <v>56384</v>
      </c>
      <c r="C27" s="27">
        <v>150.0</v>
      </c>
      <c r="D27" s="28" t="s">
        <v>56385</v>
      </c>
      <c r="E27" s="28" t="s">
        <v>56386</v>
      </c>
      <c r="F27" s="29">
        <v>31.0</v>
      </c>
      <c r="G27" s="27">
        <v>1.50610311E8</v>
      </c>
    </row>
    <row r="28" ht="12.75" customHeight="1">
      <c r="A28" s="31">
        <v>161.0</v>
      </c>
      <c r="B28" s="32" t="s">
        <v>56387</v>
      </c>
      <c r="C28" s="31">
        <v>150.0</v>
      </c>
      <c r="D28" s="32" t="s">
        <v>56388</v>
      </c>
      <c r="E28" s="32" t="s">
        <v>56389</v>
      </c>
      <c r="F28" s="33">
        <v>97.0</v>
      </c>
      <c r="G28" s="31">
        <v>1.50610979E8</v>
      </c>
    </row>
    <row r="29" ht="12.75" customHeight="1">
      <c r="A29" s="27">
        <v>161.0</v>
      </c>
      <c r="B29" s="28" t="s">
        <v>56390</v>
      </c>
      <c r="C29" s="27">
        <v>150.0</v>
      </c>
      <c r="D29" s="28" t="s">
        <v>56391</v>
      </c>
      <c r="E29" s="28" t="s">
        <v>56392</v>
      </c>
      <c r="F29" s="27">
        <v>169.0</v>
      </c>
      <c r="G29" s="27">
        <v>1.50611699E8</v>
      </c>
    </row>
    <row r="30" ht="12.75" customHeight="1">
      <c r="A30" s="31">
        <v>161.0</v>
      </c>
      <c r="B30" s="32" t="s">
        <v>56393</v>
      </c>
      <c r="C30" s="31">
        <v>150.0</v>
      </c>
      <c r="D30" s="32" t="s">
        <v>56394</v>
      </c>
      <c r="E30" s="32" t="s">
        <v>56395</v>
      </c>
      <c r="F30" s="31">
        <v>175.0</v>
      </c>
      <c r="G30" s="31">
        <v>1.50611752E8</v>
      </c>
    </row>
    <row r="31" ht="12.75" customHeight="1">
      <c r="A31" s="27">
        <v>161.0</v>
      </c>
      <c r="B31" s="28" t="s">
        <v>56396</v>
      </c>
      <c r="C31" s="27">
        <v>150.0</v>
      </c>
      <c r="D31" s="28" t="s">
        <v>56397</v>
      </c>
      <c r="E31" s="28" t="s">
        <v>56398</v>
      </c>
      <c r="F31" s="27">
        <v>235.0</v>
      </c>
      <c r="G31" s="27">
        <v>1.50612351E8</v>
      </c>
    </row>
    <row r="32" ht="12.75" customHeight="1">
      <c r="A32" s="31">
        <v>564.0</v>
      </c>
      <c r="B32" s="32" t="s">
        <v>56399</v>
      </c>
      <c r="C32" s="31">
        <v>150.0</v>
      </c>
      <c r="D32" s="32" t="s">
        <v>56400</v>
      </c>
      <c r="E32" s="32" t="s">
        <v>56401</v>
      </c>
      <c r="F32" s="31">
        <v>118.0</v>
      </c>
      <c r="G32" s="31">
        <v>1.5064118E8</v>
      </c>
    </row>
    <row r="33" ht="12.75" customHeight="1">
      <c r="A33" s="27">
        <v>564.0</v>
      </c>
      <c r="B33" s="28" t="s">
        <v>56402</v>
      </c>
      <c r="C33" s="27">
        <v>150.0</v>
      </c>
      <c r="D33" s="28" t="s">
        <v>56403</v>
      </c>
      <c r="E33" s="28" t="s">
        <v>56404</v>
      </c>
      <c r="F33" s="27">
        <v>120.0</v>
      </c>
      <c r="G33" s="27">
        <v>1.50641201E8</v>
      </c>
    </row>
    <row r="34" ht="12.75" customHeight="1">
      <c r="A34" s="31">
        <v>167.0</v>
      </c>
      <c r="B34" s="32" t="s">
        <v>56405</v>
      </c>
      <c r="C34" s="31">
        <v>150.0</v>
      </c>
      <c r="D34" s="32" t="s">
        <v>56406</v>
      </c>
      <c r="E34" s="32" t="s">
        <v>56407</v>
      </c>
      <c r="F34" s="31">
        <v>118.0</v>
      </c>
      <c r="G34" s="31">
        <v>1.50671189E8</v>
      </c>
    </row>
    <row r="35" ht="12.75" customHeight="1">
      <c r="A35" s="27">
        <v>167.0</v>
      </c>
      <c r="B35" s="28" t="s">
        <v>56408</v>
      </c>
      <c r="C35" s="27">
        <v>150.0</v>
      </c>
      <c r="D35" s="28" t="s">
        <v>56409</v>
      </c>
      <c r="E35" s="28" t="s">
        <v>56410</v>
      </c>
      <c r="F35" s="27">
        <v>127.0</v>
      </c>
      <c r="G35" s="27">
        <v>1.50671271E8</v>
      </c>
    </row>
    <row r="36" ht="12.75" customHeight="1">
      <c r="A36" s="31">
        <v>167.0</v>
      </c>
      <c r="B36" s="32" t="s">
        <v>56411</v>
      </c>
      <c r="C36" s="31">
        <v>150.0</v>
      </c>
      <c r="D36" s="32" t="s">
        <v>56412</v>
      </c>
      <c r="E36" s="32" t="s">
        <v>56413</v>
      </c>
      <c r="F36" s="31">
        <v>133.0</v>
      </c>
      <c r="G36" s="31">
        <v>1.50671334E8</v>
      </c>
    </row>
    <row r="37" ht="12.75" customHeight="1">
      <c r="A37" s="27">
        <v>168.0</v>
      </c>
      <c r="B37" s="28" t="s">
        <v>56414</v>
      </c>
      <c r="C37" s="27">
        <v>150.0</v>
      </c>
      <c r="D37" s="28" t="s">
        <v>56415</v>
      </c>
      <c r="E37" s="28" t="s">
        <v>56416</v>
      </c>
      <c r="F37" s="29">
        <v>67.0</v>
      </c>
      <c r="G37" s="27">
        <v>1.50680675E8</v>
      </c>
    </row>
    <row r="38" ht="12.75" customHeight="1">
      <c r="A38" s="31">
        <v>168.0</v>
      </c>
      <c r="B38" s="32" t="s">
        <v>56417</v>
      </c>
      <c r="C38" s="31">
        <v>150.0</v>
      </c>
      <c r="D38" s="32" t="s">
        <v>56418</v>
      </c>
      <c r="E38" s="32" t="s">
        <v>56419</v>
      </c>
      <c r="F38" s="33">
        <v>85.0</v>
      </c>
      <c r="G38" s="31">
        <v>1.50680859E8</v>
      </c>
    </row>
    <row r="39" ht="12.75" customHeight="1">
      <c r="A39" s="27">
        <v>569.0</v>
      </c>
      <c r="B39" s="28" t="s">
        <v>56420</v>
      </c>
      <c r="C39" s="27">
        <v>150.0</v>
      </c>
      <c r="D39" s="28" t="s">
        <v>56421</v>
      </c>
      <c r="E39" s="28" t="s">
        <v>56422</v>
      </c>
      <c r="F39" s="27">
        <v>109.0</v>
      </c>
      <c r="G39" s="27">
        <v>1.50691093E8</v>
      </c>
    </row>
    <row r="40" ht="12.75" customHeight="1">
      <c r="A40" s="31">
        <v>570.0</v>
      </c>
      <c r="B40" s="32" t="s">
        <v>56423</v>
      </c>
      <c r="C40" s="31">
        <v>150.0</v>
      </c>
      <c r="D40" s="32" t="s">
        <v>56424</v>
      </c>
      <c r="E40" s="32" t="s">
        <v>56425</v>
      </c>
      <c r="F40" s="33">
        <v>25.0</v>
      </c>
      <c r="G40" s="31">
        <v>1.5070025E8</v>
      </c>
    </row>
    <row r="41" ht="12.75" customHeight="1">
      <c r="A41" s="27">
        <v>172.0</v>
      </c>
      <c r="B41" s="28" t="s">
        <v>56426</v>
      </c>
      <c r="C41" s="27">
        <v>150.0</v>
      </c>
      <c r="D41" s="28" t="s">
        <v>56427</v>
      </c>
      <c r="E41" s="28" t="s">
        <v>56428</v>
      </c>
      <c r="F41" s="29">
        <v>73.0</v>
      </c>
      <c r="G41" s="27">
        <v>1.50720735E8</v>
      </c>
    </row>
    <row r="42" ht="12.75" customHeight="1">
      <c r="A42" s="31">
        <v>773.0</v>
      </c>
      <c r="B42" s="32" t="s">
        <v>56429</v>
      </c>
      <c r="C42" s="31">
        <v>150.0</v>
      </c>
      <c r="D42" s="32" t="s">
        <v>56430</v>
      </c>
      <c r="E42" s="32" t="s">
        <v>56431</v>
      </c>
      <c r="F42" s="33">
        <v>79.0</v>
      </c>
      <c r="G42" s="31">
        <v>1.50730796E8</v>
      </c>
    </row>
    <row r="43" ht="12.75" customHeight="1">
      <c r="A43" s="27">
        <v>275.0</v>
      </c>
      <c r="B43" s="28" t="s">
        <v>56432</v>
      </c>
      <c r="C43" s="27">
        <v>150.0</v>
      </c>
      <c r="D43" s="28" t="s">
        <v>56433</v>
      </c>
      <c r="E43" s="28" t="s">
        <v>56434</v>
      </c>
      <c r="F43" s="29">
        <v>25.0</v>
      </c>
      <c r="G43" s="27">
        <v>1.50750255E8</v>
      </c>
    </row>
    <row r="44" ht="12.75" customHeight="1">
      <c r="A44" s="31">
        <v>275.0</v>
      </c>
      <c r="B44" s="32" t="s">
        <v>56435</v>
      </c>
      <c r="C44" s="31">
        <v>150.0</v>
      </c>
      <c r="D44" s="32" t="s">
        <v>56436</v>
      </c>
      <c r="E44" s="32" t="s">
        <v>56437</v>
      </c>
      <c r="F44" s="33">
        <v>67.0</v>
      </c>
      <c r="G44" s="31">
        <v>1.50750671E8</v>
      </c>
    </row>
    <row r="45" ht="12.75" customHeight="1">
      <c r="A45" s="27">
        <v>275.0</v>
      </c>
      <c r="B45" s="28" t="s">
        <v>56438</v>
      </c>
      <c r="C45" s="27">
        <v>150.0</v>
      </c>
      <c r="D45" s="28" t="s">
        <v>56439</v>
      </c>
      <c r="E45" s="28" t="s">
        <v>56440</v>
      </c>
      <c r="F45" s="27">
        <v>157.0</v>
      </c>
      <c r="G45" s="27">
        <v>1.50751575E8</v>
      </c>
    </row>
    <row r="46" ht="12.75" customHeight="1">
      <c r="A46" s="31">
        <v>576.0</v>
      </c>
      <c r="B46" s="32" t="s">
        <v>56441</v>
      </c>
      <c r="C46" s="31">
        <v>150.0</v>
      </c>
      <c r="D46" s="32" t="s">
        <v>56442</v>
      </c>
      <c r="E46" s="32" t="s">
        <v>56443</v>
      </c>
      <c r="F46" s="31">
        <v>121.0</v>
      </c>
      <c r="G46" s="31">
        <v>1.50761215E8</v>
      </c>
    </row>
    <row r="47" ht="12.75" customHeight="1">
      <c r="A47" s="27">
        <v>576.0</v>
      </c>
      <c r="B47" s="28" t="s">
        <v>56444</v>
      </c>
      <c r="C47" s="27">
        <v>150.0</v>
      </c>
      <c r="D47" s="28" t="s">
        <v>56445</v>
      </c>
      <c r="E47" s="28" t="s">
        <v>56446</v>
      </c>
      <c r="F47" s="27">
        <v>178.0</v>
      </c>
      <c r="G47" s="27">
        <v>1.50761781E8</v>
      </c>
    </row>
    <row r="48" ht="12.75" customHeight="1">
      <c r="A48" s="31">
        <v>777.0</v>
      </c>
      <c r="B48" s="32" t="s">
        <v>56447</v>
      </c>
      <c r="C48" s="31">
        <v>150.0</v>
      </c>
      <c r="D48" s="32" t="s">
        <v>56448</v>
      </c>
      <c r="E48" s="32" t="s">
        <v>56449</v>
      </c>
      <c r="F48" s="33">
        <v>6.0</v>
      </c>
      <c r="G48" s="31">
        <v>1.50770064E8</v>
      </c>
    </row>
    <row r="49" ht="12.75" customHeight="1">
      <c r="A49" s="27">
        <v>777.0</v>
      </c>
      <c r="B49" s="28" t="s">
        <v>56450</v>
      </c>
      <c r="C49" s="27">
        <v>150.0</v>
      </c>
      <c r="D49" s="28" t="s">
        <v>56451</v>
      </c>
      <c r="E49" s="28" t="s">
        <v>56452</v>
      </c>
      <c r="F49" s="29">
        <v>55.0</v>
      </c>
      <c r="G49" s="27">
        <v>1.50770556E8</v>
      </c>
    </row>
    <row r="50" ht="12.75" customHeight="1">
      <c r="A50" s="31">
        <v>378.0</v>
      </c>
      <c r="B50" s="32" t="s">
        <v>56453</v>
      </c>
      <c r="C50" s="31">
        <v>150.0</v>
      </c>
      <c r="D50" s="32" t="s">
        <v>56454</v>
      </c>
      <c r="E50" s="32" t="s">
        <v>56455</v>
      </c>
      <c r="F50" s="33">
        <v>5.0</v>
      </c>
      <c r="G50" s="31">
        <v>1.50780054E8</v>
      </c>
    </row>
    <row r="51" ht="12.75" customHeight="1">
      <c r="A51" s="27">
        <v>378.0</v>
      </c>
      <c r="B51" s="28" t="s">
        <v>56456</v>
      </c>
      <c r="C51" s="27">
        <v>150.0</v>
      </c>
      <c r="D51" s="28" t="s">
        <v>56457</v>
      </c>
      <c r="E51" s="28" t="s">
        <v>56458</v>
      </c>
      <c r="F51" s="29">
        <v>79.0</v>
      </c>
      <c r="G51" s="27">
        <v>1.50780791E8</v>
      </c>
    </row>
    <row r="52" ht="12.75" customHeight="1">
      <c r="A52" s="31">
        <v>378.0</v>
      </c>
      <c r="B52" s="32" t="s">
        <v>56459</v>
      </c>
      <c r="C52" s="31">
        <v>150.0</v>
      </c>
      <c r="D52" s="32" t="s">
        <v>56460</v>
      </c>
      <c r="E52" s="32" t="s">
        <v>56461</v>
      </c>
      <c r="F52" s="31">
        <v>109.0</v>
      </c>
      <c r="G52" s="31">
        <v>1.50781095E8</v>
      </c>
    </row>
    <row r="53" ht="12.75" customHeight="1">
      <c r="A53" s="27">
        <v>581.0</v>
      </c>
      <c r="B53" s="28" t="s">
        <v>56462</v>
      </c>
      <c r="C53" s="27">
        <v>150.0</v>
      </c>
      <c r="D53" s="28" t="s">
        <v>56463</v>
      </c>
      <c r="E53" s="28" t="s">
        <v>56464</v>
      </c>
      <c r="F53" s="29">
        <v>9.0</v>
      </c>
      <c r="G53" s="27">
        <v>1.5081009E8</v>
      </c>
    </row>
    <row r="54" ht="12.75" customHeight="1">
      <c r="A54" s="31">
        <v>581.0</v>
      </c>
      <c r="B54" s="32" t="s">
        <v>56465</v>
      </c>
      <c r="C54" s="31">
        <v>150.0</v>
      </c>
      <c r="D54" s="32" t="s">
        <v>56466</v>
      </c>
      <c r="E54" s="32" t="s">
        <v>56467</v>
      </c>
      <c r="F54" s="33">
        <v>61.0</v>
      </c>
      <c r="G54" s="31">
        <v>1.50810616E8</v>
      </c>
    </row>
    <row r="55" ht="12.75" customHeight="1">
      <c r="A55" s="27">
        <v>581.0</v>
      </c>
      <c r="B55" s="28" t="s">
        <v>56468</v>
      </c>
      <c r="C55" s="27">
        <v>150.0</v>
      </c>
      <c r="D55" s="28" t="s">
        <v>56469</v>
      </c>
      <c r="E55" s="28" t="s">
        <v>56470</v>
      </c>
      <c r="F55" s="27">
        <v>193.0</v>
      </c>
      <c r="G55" s="27">
        <v>1.50811936E8</v>
      </c>
    </row>
    <row r="56" ht="12.75" customHeight="1">
      <c r="A56" s="31">
        <v>382.0</v>
      </c>
      <c r="B56" s="32" t="s">
        <v>56471</v>
      </c>
      <c r="C56" s="31">
        <v>150.0</v>
      </c>
      <c r="D56" s="32" t="s">
        <v>56472</v>
      </c>
      <c r="E56" s="32" t="s">
        <v>56473</v>
      </c>
      <c r="F56" s="33">
        <v>67.0</v>
      </c>
      <c r="G56" s="31">
        <v>1.50820677E8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382.0</v>
      </c>
      <c r="B1" s="28" t="s">
        <v>56474</v>
      </c>
      <c r="C1" s="27">
        <v>150.0</v>
      </c>
      <c r="D1" s="28" t="s">
        <v>56475</v>
      </c>
      <c r="E1" s="28" t="s">
        <v>56476</v>
      </c>
      <c r="F1" s="29">
        <v>73.0</v>
      </c>
      <c r="G1" s="27">
        <v>1.5082073E8</v>
      </c>
    </row>
    <row r="2" ht="12.75" customHeight="1">
      <c r="A2" s="31">
        <v>785.0</v>
      </c>
      <c r="B2" s="32" t="s">
        <v>56477</v>
      </c>
      <c r="C2" s="31">
        <v>150.0</v>
      </c>
      <c r="D2" s="32" t="s">
        <v>56478</v>
      </c>
      <c r="E2" s="32" t="s">
        <v>56479</v>
      </c>
      <c r="F2" s="31">
        <v>145.0</v>
      </c>
      <c r="G2" s="31">
        <v>1.50851459E8</v>
      </c>
    </row>
    <row r="3" ht="12.75" customHeight="1">
      <c r="A3" s="27">
        <v>785.0</v>
      </c>
      <c r="B3" s="28" t="s">
        <v>56480</v>
      </c>
      <c r="C3" s="27">
        <v>150.0</v>
      </c>
      <c r="D3" s="28" t="s">
        <v>56481</v>
      </c>
      <c r="E3" s="28" t="s">
        <v>56482</v>
      </c>
      <c r="F3" s="27">
        <v>161.0</v>
      </c>
      <c r="G3" s="27">
        <v>1.50851617E8</v>
      </c>
    </row>
    <row r="4" ht="12.75" customHeight="1">
      <c r="A4" s="31">
        <v>386.0</v>
      </c>
      <c r="B4" s="32" t="s">
        <v>56483</v>
      </c>
      <c r="C4" s="31">
        <v>150.0</v>
      </c>
      <c r="D4" s="32" t="s">
        <v>56484</v>
      </c>
      <c r="E4" s="32" t="s">
        <v>56485</v>
      </c>
      <c r="F4" s="33">
        <v>5.0</v>
      </c>
      <c r="G4" s="31">
        <v>1.50860053E8</v>
      </c>
    </row>
    <row r="5" ht="12.75" customHeight="1">
      <c r="A5" s="27">
        <v>386.0</v>
      </c>
      <c r="B5" s="28" t="s">
        <v>56486</v>
      </c>
      <c r="C5" s="27">
        <v>150.0</v>
      </c>
      <c r="D5" s="28" t="s">
        <v>56487</v>
      </c>
      <c r="E5" s="28" t="s">
        <v>56488</v>
      </c>
      <c r="F5" s="29">
        <v>6.0</v>
      </c>
      <c r="G5" s="27">
        <v>1.50860066E8</v>
      </c>
    </row>
    <row r="6" ht="12.75" customHeight="1">
      <c r="A6" s="31">
        <v>386.0</v>
      </c>
      <c r="B6" s="32" t="s">
        <v>56489</v>
      </c>
      <c r="C6" s="31">
        <v>150.0</v>
      </c>
      <c r="D6" s="32" t="s">
        <v>56490</v>
      </c>
      <c r="E6" s="32" t="s">
        <v>56491</v>
      </c>
      <c r="F6" s="33">
        <v>10.0</v>
      </c>
      <c r="G6" s="31">
        <v>1.50860103E8</v>
      </c>
    </row>
    <row r="7" ht="12.75" customHeight="1">
      <c r="A7" s="27">
        <v>386.0</v>
      </c>
      <c r="B7" s="28" t="s">
        <v>56492</v>
      </c>
      <c r="C7" s="27">
        <v>150.0</v>
      </c>
      <c r="D7" s="28" t="s">
        <v>56493</v>
      </c>
      <c r="E7" s="28" t="s">
        <v>56494</v>
      </c>
      <c r="F7" s="29">
        <v>14.0</v>
      </c>
      <c r="G7" s="27">
        <v>1.50860145E8</v>
      </c>
    </row>
    <row r="8" ht="12.75" customHeight="1">
      <c r="A8" s="31">
        <v>386.0</v>
      </c>
      <c r="B8" s="32" t="s">
        <v>56495</v>
      </c>
      <c r="C8" s="31">
        <v>150.0</v>
      </c>
      <c r="D8" s="32" t="s">
        <v>56496</v>
      </c>
      <c r="E8" s="32" t="s">
        <v>56497</v>
      </c>
      <c r="F8" s="33">
        <v>28.0</v>
      </c>
      <c r="G8" s="31">
        <v>1.50860282E8</v>
      </c>
    </row>
    <row r="9" ht="12.75" customHeight="1">
      <c r="A9" s="27">
        <v>386.0</v>
      </c>
      <c r="B9" s="28" t="s">
        <v>56498</v>
      </c>
      <c r="C9" s="27">
        <v>150.0</v>
      </c>
      <c r="D9" s="28" t="s">
        <v>56499</v>
      </c>
      <c r="E9" s="28" t="s">
        <v>56500</v>
      </c>
      <c r="F9" s="29">
        <v>34.0</v>
      </c>
      <c r="G9" s="27">
        <v>1.50860345E8</v>
      </c>
    </row>
    <row r="10" ht="12.75" customHeight="1">
      <c r="A10" s="31">
        <v>386.0</v>
      </c>
      <c r="B10" s="32" t="s">
        <v>56501</v>
      </c>
      <c r="C10" s="31">
        <v>150.0</v>
      </c>
      <c r="D10" s="32" t="s">
        <v>56502</v>
      </c>
      <c r="E10" s="32" t="s">
        <v>56503</v>
      </c>
      <c r="F10" s="33">
        <v>39.0</v>
      </c>
      <c r="G10" s="31">
        <v>1.5086039E8</v>
      </c>
    </row>
    <row r="11" ht="12.75" customHeight="1">
      <c r="A11" s="27">
        <v>386.0</v>
      </c>
      <c r="B11" s="28" t="s">
        <v>56504</v>
      </c>
      <c r="C11" s="27">
        <v>150.0</v>
      </c>
      <c r="D11" s="28" t="s">
        <v>56505</v>
      </c>
      <c r="E11" s="28" t="s">
        <v>56506</v>
      </c>
      <c r="F11" s="29">
        <v>41.0</v>
      </c>
      <c r="G11" s="27">
        <v>1.50860411E8</v>
      </c>
    </row>
    <row r="12" ht="12.75" customHeight="1">
      <c r="A12" s="31">
        <v>386.0</v>
      </c>
      <c r="B12" s="32" t="s">
        <v>56507</v>
      </c>
      <c r="C12" s="31">
        <v>150.0</v>
      </c>
      <c r="D12" s="32" t="s">
        <v>56508</v>
      </c>
      <c r="E12" s="32" t="s">
        <v>56509</v>
      </c>
      <c r="F12" s="33">
        <v>58.0</v>
      </c>
      <c r="G12" s="31">
        <v>1.50860587E8</v>
      </c>
    </row>
    <row r="13" ht="12.75" customHeight="1">
      <c r="A13" s="27">
        <v>386.0</v>
      </c>
      <c r="B13" s="28" t="s">
        <v>56510</v>
      </c>
      <c r="C13" s="27">
        <v>150.0</v>
      </c>
      <c r="D13" s="28" t="s">
        <v>56511</v>
      </c>
      <c r="E13" s="28" t="s">
        <v>56512</v>
      </c>
      <c r="F13" s="29">
        <v>67.0</v>
      </c>
      <c r="G13" s="27">
        <v>1.50860679E8</v>
      </c>
    </row>
    <row r="14" ht="12.75" customHeight="1">
      <c r="A14" s="31">
        <v>487.0</v>
      </c>
      <c r="B14" s="32" t="s">
        <v>56513</v>
      </c>
      <c r="C14" s="31">
        <v>150.0</v>
      </c>
      <c r="D14" s="32" t="s">
        <v>56514</v>
      </c>
      <c r="E14" s="32" t="s">
        <v>56515</v>
      </c>
      <c r="F14" s="31">
        <v>109.0</v>
      </c>
      <c r="G14" s="31">
        <v>1.50871097E8</v>
      </c>
    </row>
    <row r="15" ht="12.75" customHeight="1">
      <c r="A15" s="27">
        <v>688.0</v>
      </c>
      <c r="B15" s="28" t="s">
        <v>56516</v>
      </c>
      <c r="C15" s="27">
        <v>150.0</v>
      </c>
      <c r="D15" s="28" t="s">
        <v>56517</v>
      </c>
      <c r="E15" s="28" t="s">
        <v>56518</v>
      </c>
      <c r="F15" s="29">
        <v>23.0</v>
      </c>
      <c r="G15" s="27">
        <v>1.50880233E8</v>
      </c>
    </row>
    <row r="16" ht="12.75" customHeight="1">
      <c r="A16" s="31">
        <v>688.0</v>
      </c>
      <c r="B16" s="32" t="s">
        <v>56519</v>
      </c>
      <c r="C16" s="31">
        <v>150.0</v>
      </c>
      <c r="D16" s="32" t="s">
        <v>56520</v>
      </c>
      <c r="E16" s="32" t="s">
        <v>56521</v>
      </c>
      <c r="F16" s="31">
        <v>187.0</v>
      </c>
      <c r="G16" s="31">
        <v>1.50881874E8</v>
      </c>
    </row>
    <row r="17" ht="12.75" customHeight="1">
      <c r="A17" s="27">
        <v>688.0</v>
      </c>
      <c r="B17" s="28" t="s">
        <v>56522</v>
      </c>
      <c r="C17" s="27">
        <v>150.0</v>
      </c>
      <c r="D17" s="28" t="s">
        <v>56523</v>
      </c>
      <c r="E17" s="28" t="s">
        <v>56524</v>
      </c>
      <c r="F17" s="27">
        <v>190.0</v>
      </c>
      <c r="G17" s="27">
        <v>1.50881908E8</v>
      </c>
    </row>
    <row r="18" ht="12.75" customHeight="1">
      <c r="A18" s="31">
        <v>189.0</v>
      </c>
      <c r="B18" s="32" t="s">
        <v>56525</v>
      </c>
      <c r="C18" s="31">
        <v>150.0</v>
      </c>
      <c r="D18" s="32" t="s">
        <v>56526</v>
      </c>
      <c r="E18" s="32" t="s">
        <v>56527</v>
      </c>
      <c r="F18" s="33">
        <v>55.0</v>
      </c>
      <c r="G18" s="31">
        <v>1.50890557E8</v>
      </c>
    </row>
    <row r="19" ht="12.75" customHeight="1">
      <c r="A19" s="27">
        <v>890.0</v>
      </c>
      <c r="B19" s="28" t="s">
        <v>56528</v>
      </c>
      <c r="C19" s="27">
        <v>150.0</v>
      </c>
      <c r="D19" s="28" t="s">
        <v>56529</v>
      </c>
      <c r="E19" s="28" t="s">
        <v>56530</v>
      </c>
      <c r="F19" s="29">
        <v>22.0</v>
      </c>
      <c r="G19" s="27">
        <v>1.50900221E8</v>
      </c>
    </row>
    <row r="20" ht="12.75" customHeight="1">
      <c r="A20" s="31">
        <v>890.0</v>
      </c>
      <c r="B20" s="32" t="s">
        <v>56531</v>
      </c>
      <c r="C20" s="31">
        <v>150.0</v>
      </c>
      <c r="D20" s="32" t="s">
        <v>56532</v>
      </c>
      <c r="E20" s="32" t="s">
        <v>56533</v>
      </c>
      <c r="F20" s="33">
        <v>73.0</v>
      </c>
      <c r="G20" s="31">
        <v>1.50900739E8</v>
      </c>
    </row>
    <row r="21" ht="12.75" customHeight="1">
      <c r="A21" s="27">
        <v>890.0</v>
      </c>
      <c r="B21" s="28" t="s">
        <v>56534</v>
      </c>
      <c r="C21" s="27">
        <v>150.0</v>
      </c>
      <c r="D21" s="28" t="s">
        <v>56535</v>
      </c>
      <c r="E21" s="28" t="s">
        <v>56536</v>
      </c>
      <c r="F21" s="27">
        <v>112.0</v>
      </c>
      <c r="G21" s="27">
        <v>1.50901125E8</v>
      </c>
    </row>
    <row r="22" ht="12.75" customHeight="1">
      <c r="A22" s="31">
        <v>891.0</v>
      </c>
      <c r="B22" s="32" t="s">
        <v>56537</v>
      </c>
      <c r="C22" s="31">
        <v>150.0</v>
      </c>
      <c r="D22" s="32" t="s">
        <v>56538</v>
      </c>
      <c r="E22" s="32" t="s">
        <v>56539</v>
      </c>
      <c r="F22" s="33">
        <v>31.0</v>
      </c>
      <c r="G22" s="31">
        <v>1.50910316E8</v>
      </c>
    </row>
    <row r="23" ht="12.75" customHeight="1">
      <c r="A23" s="27">
        <v>891.0</v>
      </c>
      <c r="B23" s="28" t="s">
        <v>56540</v>
      </c>
      <c r="C23" s="27">
        <v>150.0</v>
      </c>
      <c r="D23" s="28" t="s">
        <v>56541</v>
      </c>
      <c r="E23" s="28" t="s">
        <v>56542</v>
      </c>
      <c r="F23" s="29">
        <v>43.0</v>
      </c>
      <c r="G23" s="27">
        <v>1.50910437E8</v>
      </c>
    </row>
    <row r="24" ht="12.75" customHeight="1">
      <c r="A24" s="31">
        <v>891.0</v>
      </c>
      <c r="B24" s="32" t="s">
        <v>56543</v>
      </c>
      <c r="C24" s="31">
        <v>150.0</v>
      </c>
      <c r="D24" s="32" t="s">
        <v>56544</v>
      </c>
      <c r="E24" s="32" t="s">
        <v>56545</v>
      </c>
      <c r="F24" s="31">
        <v>136.0</v>
      </c>
      <c r="G24" s="31">
        <v>1.5091136E8</v>
      </c>
    </row>
    <row r="25" ht="12.75" customHeight="1">
      <c r="A25" s="27">
        <v>891.0</v>
      </c>
      <c r="B25" s="28" t="s">
        <v>56546</v>
      </c>
      <c r="C25" s="27">
        <v>150.0</v>
      </c>
      <c r="D25" s="28" t="s">
        <v>56547</v>
      </c>
      <c r="E25" s="28" t="s">
        <v>56548</v>
      </c>
      <c r="F25" s="27">
        <v>160.0</v>
      </c>
      <c r="G25" s="27">
        <v>1.50911607E8</v>
      </c>
    </row>
    <row r="26" ht="12.75" customHeight="1">
      <c r="A26" s="31">
        <v>891.0</v>
      </c>
      <c r="B26" s="32" t="s">
        <v>56549</v>
      </c>
      <c r="C26" s="31">
        <v>150.0</v>
      </c>
      <c r="D26" s="32" t="s">
        <v>56550</v>
      </c>
      <c r="E26" s="32" t="s">
        <v>56551</v>
      </c>
      <c r="F26" s="31">
        <v>190.0</v>
      </c>
      <c r="G26" s="31">
        <v>1.50911902E8</v>
      </c>
    </row>
    <row r="27" ht="12.75" customHeight="1">
      <c r="A27" s="27">
        <v>891.0</v>
      </c>
      <c r="B27" s="28" t="s">
        <v>56552</v>
      </c>
      <c r="C27" s="27">
        <v>150.0</v>
      </c>
      <c r="D27" s="28" t="s">
        <v>56553</v>
      </c>
      <c r="E27" s="28" t="s">
        <v>56554</v>
      </c>
      <c r="F27" s="27">
        <v>208.0</v>
      </c>
      <c r="G27" s="27">
        <v>1.5091208E8</v>
      </c>
    </row>
    <row r="28" ht="12.75" customHeight="1">
      <c r="A28" s="31">
        <v>891.0</v>
      </c>
      <c r="B28" s="32" t="s">
        <v>56555</v>
      </c>
      <c r="C28" s="31">
        <v>150.0</v>
      </c>
      <c r="D28" s="32" t="s">
        <v>56556</v>
      </c>
      <c r="E28" s="32" t="s">
        <v>56557</v>
      </c>
      <c r="F28" s="31">
        <v>259.0</v>
      </c>
      <c r="G28" s="31">
        <v>1.50912598E8</v>
      </c>
    </row>
    <row r="29" ht="12.75" customHeight="1">
      <c r="A29" s="27">
        <v>891.0</v>
      </c>
      <c r="B29" s="28" t="s">
        <v>56558</v>
      </c>
      <c r="C29" s="27">
        <v>150.0</v>
      </c>
      <c r="D29" s="28" t="s">
        <v>56559</v>
      </c>
      <c r="E29" s="28" t="s">
        <v>56560</v>
      </c>
      <c r="F29" s="27">
        <v>340.0</v>
      </c>
      <c r="G29" s="27">
        <v>1.50913405E8</v>
      </c>
    </row>
    <row r="30" ht="12.75" customHeight="1">
      <c r="A30" s="31">
        <v>891.0</v>
      </c>
      <c r="B30" s="32" t="s">
        <v>56561</v>
      </c>
      <c r="C30" s="31">
        <v>150.0</v>
      </c>
      <c r="D30" s="32" t="s">
        <v>56562</v>
      </c>
      <c r="E30" s="32" t="s">
        <v>56563</v>
      </c>
      <c r="F30" s="31">
        <v>349.0</v>
      </c>
      <c r="G30" s="31">
        <v>1.50913492E8</v>
      </c>
    </row>
    <row r="31" ht="12.75" customHeight="1">
      <c r="A31" s="27">
        <v>891.0</v>
      </c>
      <c r="B31" s="28" t="s">
        <v>56564</v>
      </c>
      <c r="C31" s="27">
        <v>150.0</v>
      </c>
      <c r="D31" s="28" t="s">
        <v>56565</v>
      </c>
      <c r="E31" s="28" t="s">
        <v>56566</v>
      </c>
      <c r="F31" s="27">
        <v>355.0</v>
      </c>
      <c r="G31" s="27">
        <v>1.50913555E8</v>
      </c>
    </row>
    <row r="32" ht="12.75" customHeight="1">
      <c r="A32" s="31">
        <v>891.0</v>
      </c>
      <c r="B32" s="32" t="s">
        <v>56567</v>
      </c>
      <c r="C32" s="31">
        <v>150.0</v>
      </c>
      <c r="D32" s="32" t="s">
        <v>56568</v>
      </c>
      <c r="E32" s="32" t="s">
        <v>56569</v>
      </c>
      <c r="F32" s="31">
        <v>382.0</v>
      </c>
      <c r="G32" s="31">
        <v>1.50913821E8</v>
      </c>
    </row>
    <row r="33" ht="12.75" customHeight="1">
      <c r="A33" s="27">
        <v>891.0</v>
      </c>
      <c r="B33" s="28" t="s">
        <v>56570</v>
      </c>
      <c r="C33" s="27">
        <v>150.0</v>
      </c>
      <c r="D33" s="28" t="s">
        <v>56571</v>
      </c>
      <c r="E33" s="28" t="s">
        <v>56572</v>
      </c>
      <c r="F33" s="27">
        <v>415.0</v>
      </c>
      <c r="G33" s="27">
        <v>1.50914154E8</v>
      </c>
    </row>
    <row r="34" ht="12.75" customHeight="1">
      <c r="A34" s="31">
        <v>193.0</v>
      </c>
      <c r="B34" s="32" t="s">
        <v>56573</v>
      </c>
      <c r="C34" s="31">
        <v>150.0</v>
      </c>
      <c r="D34" s="32" t="s">
        <v>56574</v>
      </c>
      <c r="E34" s="32" t="s">
        <v>56575</v>
      </c>
      <c r="F34" s="33">
        <v>82.0</v>
      </c>
      <c r="G34" s="31">
        <v>1.5093082E8</v>
      </c>
    </row>
    <row r="35" ht="12.75" customHeight="1">
      <c r="A35" s="27">
        <v>193.0</v>
      </c>
      <c r="B35" s="28" t="s">
        <v>56576</v>
      </c>
      <c r="C35" s="27">
        <v>150.0</v>
      </c>
      <c r="D35" s="28" t="s">
        <v>56577</v>
      </c>
      <c r="E35" s="28" t="s">
        <v>56578</v>
      </c>
      <c r="F35" s="27">
        <v>101.0</v>
      </c>
      <c r="G35" s="27">
        <v>1.50931016E8</v>
      </c>
    </row>
    <row r="36" ht="12.75" customHeight="1">
      <c r="A36" s="31">
        <v>193.0</v>
      </c>
      <c r="B36" s="32" t="s">
        <v>56579</v>
      </c>
      <c r="C36" s="31">
        <v>150.0</v>
      </c>
      <c r="D36" s="32" t="s">
        <v>56580</v>
      </c>
      <c r="E36" s="32" t="s">
        <v>56581</v>
      </c>
      <c r="F36" s="31">
        <v>130.0</v>
      </c>
      <c r="G36" s="31">
        <v>1.50931308E8</v>
      </c>
    </row>
    <row r="37" ht="12.75" customHeight="1">
      <c r="A37" s="27">
        <v>193.0</v>
      </c>
      <c r="B37" s="28" t="s">
        <v>56582</v>
      </c>
      <c r="C37" s="27">
        <v>150.0</v>
      </c>
      <c r="D37" s="28" t="s">
        <v>56583</v>
      </c>
      <c r="E37" s="28" t="s">
        <v>56584</v>
      </c>
      <c r="F37" s="27">
        <v>152.0</v>
      </c>
      <c r="G37" s="27">
        <v>1.50931524E8</v>
      </c>
    </row>
    <row r="38" ht="12.75" customHeight="1">
      <c r="A38" s="31">
        <v>193.0</v>
      </c>
      <c r="B38" s="32" t="s">
        <v>56585</v>
      </c>
      <c r="C38" s="31">
        <v>150.0</v>
      </c>
      <c r="D38" s="32" t="s">
        <v>56586</v>
      </c>
      <c r="E38" s="32" t="s">
        <v>56587</v>
      </c>
      <c r="F38" s="31">
        <v>157.0</v>
      </c>
      <c r="G38" s="31">
        <v>1.50931579E8</v>
      </c>
    </row>
    <row r="39" ht="12.75" customHeight="1">
      <c r="A39" s="27">
        <v>193.0</v>
      </c>
      <c r="B39" s="28" t="s">
        <v>56588</v>
      </c>
      <c r="C39" s="27">
        <v>150.0</v>
      </c>
      <c r="D39" s="28" t="s">
        <v>56589</v>
      </c>
      <c r="E39" s="28" t="s">
        <v>56590</v>
      </c>
      <c r="F39" s="27">
        <v>220.0</v>
      </c>
      <c r="G39" s="27">
        <v>1.50932202E8</v>
      </c>
    </row>
    <row r="40" ht="12.75" customHeight="1">
      <c r="A40" s="31">
        <v>193.0</v>
      </c>
      <c r="B40" s="32" t="s">
        <v>56591</v>
      </c>
      <c r="C40" s="31">
        <v>150.0</v>
      </c>
      <c r="D40" s="32" t="s">
        <v>56592</v>
      </c>
      <c r="E40" s="32" t="s">
        <v>56593</v>
      </c>
      <c r="F40" s="31">
        <v>229.0</v>
      </c>
      <c r="G40" s="31">
        <v>1.50932299E8</v>
      </c>
    </row>
    <row r="41" ht="12.75" customHeight="1">
      <c r="A41" s="27">
        <v>794.0</v>
      </c>
      <c r="B41" s="28" t="s">
        <v>56594</v>
      </c>
      <c r="C41" s="27">
        <v>150.0</v>
      </c>
      <c r="D41" s="28" t="s">
        <v>56595</v>
      </c>
      <c r="E41" s="28" t="s">
        <v>56596</v>
      </c>
      <c r="F41" s="29">
        <v>97.0</v>
      </c>
      <c r="G41" s="27">
        <v>1.50940973E8</v>
      </c>
    </row>
    <row r="42" ht="12.75" customHeight="1">
      <c r="A42" s="31">
        <v>215.0</v>
      </c>
      <c r="B42" s="32" t="s">
        <v>56597</v>
      </c>
      <c r="C42" s="31">
        <v>155.0</v>
      </c>
      <c r="D42" s="32" t="s">
        <v>56598</v>
      </c>
      <c r="E42" s="32" t="s">
        <v>56599</v>
      </c>
      <c r="F42" s="31">
        <v>196.0</v>
      </c>
      <c r="G42" s="31">
        <v>1.55151967E8</v>
      </c>
    </row>
    <row r="43" ht="12.75" customHeight="1">
      <c r="A43" s="27">
        <v>126.0</v>
      </c>
      <c r="B43" s="28" t="s">
        <v>56600</v>
      </c>
      <c r="C43" s="27">
        <v>155.0</v>
      </c>
      <c r="D43" s="28" t="s">
        <v>56601</v>
      </c>
      <c r="E43" s="28" t="s">
        <v>56602</v>
      </c>
      <c r="F43" s="27">
        <v>172.0</v>
      </c>
      <c r="G43" s="27">
        <v>1.55261723E8</v>
      </c>
    </row>
    <row r="44" ht="12.75" customHeight="1">
      <c r="A44" s="31">
        <v>127.0</v>
      </c>
      <c r="B44" s="32" t="s">
        <v>56603</v>
      </c>
      <c r="C44" s="31">
        <v>155.0</v>
      </c>
      <c r="D44" s="32" t="s">
        <v>56604</v>
      </c>
      <c r="E44" s="32" t="s">
        <v>56605</v>
      </c>
      <c r="F44" s="33">
        <v>0.0</v>
      </c>
      <c r="G44" s="31">
        <v>1.55270006E8</v>
      </c>
    </row>
    <row r="45" ht="12.75" customHeight="1">
      <c r="A45" s="27">
        <v>127.0</v>
      </c>
      <c r="B45" s="28" t="s">
        <v>56606</v>
      </c>
      <c r="C45" s="27">
        <v>155.0</v>
      </c>
      <c r="D45" s="28" t="s">
        <v>56607</v>
      </c>
      <c r="E45" s="28" t="s">
        <v>56608</v>
      </c>
      <c r="F45" s="27">
        <v>178.0</v>
      </c>
      <c r="G45" s="27">
        <v>1.55271784E8</v>
      </c>
    </row>
    <row r="46" ht="12.75" customHeight="1">
      <c r="A46" s="31">
        <v>891.0</v>
      </c>
      <c r="B46" s="32" t="s">
        <v>56609</v>
      </c>
      <c r="C46" s="31">
        <v>155.0</v>
      </c>
      <c r="D46" s="32" t="s">
        <v>56610</v>
      </c>
      <c r="E46" s="32" t="s">
        <v>56611</v>
      </c>
      <c r="F46" s="31">
        <v>355.0</v>
      </c>
      <c r="G46" s="31">
        <v>1.5591355E8</v>
      </c>
    </row>
    <row r="47" ht="12.75" customHeight="1">
      <c r="A47" s="27">
        <v>306.0</v>
      </c>
      <c r="B47" s="28" t="s">
        <v>56612</v>
      </c>
      <c r="C47" s="27">
        <v>160.0</v>
      </c>
      <c r="D47" s="28" t="s">
        <v>56613</v>
      </c>
      <c r="E47" s="28" t="s">
        <v>56614</v>
      </c>
      <c r="F47" s="29">
        <v>28.0</v>
      </c>
      <c r="G47" s="27">
        <v>1.60060285E8</v>
      </c>
    </row>
    <row r="48" ht="12.75" customHeight="1">
      <c r="A48" s="31">
        <v>610.0</v>
      </c>
      <c r="B48" s="32" t="s">
        <v>56615</v>
      </c>
      <c r="C48" s="31">
        <v>160.0</v>
      </c>
      <c r="D48" s="32" t="s">
        <v>56616</v>
      </c>
      <c r="E48" s="32" t="s">
        <v>56617</v>
      </c>
      <c r="F48" s="33">
        <v>37.0</v>
      </c>
      <c r="G48" s="31">
        <v>1.60100374E8</v>
      </c>
    </row>
    <row r="49" ht="12.75" customHeight="1">
      <c r="A49" s="27">
        <v>112.0</v>
      </c>
      <c r="B49" s="28" t="s">
        <v>56618</v>
      </c>
      <c r="C49" s="27">
        <v>160.0</v>
      </c>
      <c r="D49" s="28" t="s">
        <v>56619</v>
      </c>
      <c r="E49" s="28" t="s">
        <v>56620</v>
      </c>
      <c r="F49" s="29">
        <v>4.0</v>
      </c>
      <c r="G49" s="27">
        <v>1.60120046E8</v>
      </c>
    </row>
    <row r="50" ht="12.75" customHeight="1">
      <c r="A50" s="31">
        <v>112.0</v>
      </c>
      <c r="B50" s="32" t="s">
        <v>56621</v>
      </c>
      <c r="C50" s="31">
        <v>160.0</v>
      </c>
      <c r="D50" s="32" t="s">
        <v>56622</v>
      </c>
      <c r="E50" s="32" t="s">
        <v>56623</v>
      </c>
      <c r="F50" s="33">
        <v>6.0</v>
      </c>
      <c r="G50" s="31">
        <v>1.60120062E8</v>
      </c>
    </row>
    <row r="51" ht="12.75" customHeight="1">
      <c r="A51" s="27">
        <v>112.0</v>
      </c>
      <c r="B51" s="28" t="s">
        <v>56624</v>
      </c>
      <c r="C51" s="27">
        <v>160.0</v>
      </c>
      <c r="D51" s="28" t="s">
        <v>56625</v>
      </c>
      <c r="E51" s="28" t="s">
        <v>56626</v>
      </c>
      <c r="F51" s="29">
        <v>44.0</v>
      </c>
      <c r="G51" s="27">
        <v>1.60120446E8</v>
      </c>
    </row>
    <row r="52" ht="12.75" customHeight="1">
      <c r="A52" s="31">
        <v>113.0</v>
      </c>
      <c r="B52" s="32" t="s">
        <v>56627</v>
      </c>
      <c r="C52" s="31">
        <v>160.0</v>
      </c>
      <c r="D52" s="32" t="s">
        <v>56628</v>
      </c>
      <c r="E52" s="32" t="s">
        <v>56629</v>
      </c>
      <c r="F52" s="33">
        <v>68.0</v>
      </c>
      <c r="G52" s="31">
        <v>1.60130681E8</v>
      </c>
    </row>
    <row r="53" ht="12.75" customHeight="1">
      <c r="A53" s="27">
        <v>113.0</v>
      </c>
      <c r="B53" s="28" t="s">
        <v>56630</v>
      </c>
      <c r="C53" s="27">
        <v>160.0</v>
      </c>
      <c r="D53" s="28" t="s">
        <v>56631</v>
      </c>
      <c r="E53" s="28" t="s">
        <v>56632</v>
      </c>
      <c r="F53" s="29">
        <v>88.0</v>
      </c>
      <c r="G53" s="27">
        <v>1.60130881E8</v>
      </c>
    </row>
    <row r="54" ht="12.75" customHeight="1">
      <c r="A54" s="31">
        <v>113.0</v>
      </c>
      <c r="B54" s="32" t="s">
        <v>56633</v>
      </c>
      <c r="C54" s="31">
        <v>160.0</v>
      </c>
      <c r="D54" s="32" t="s">
        <v>56634</v>
      </c>
      <c r="E54" s="32" t="s">
        <v>56635</v>
      </c>
      <c r="F54" s="33">
        <v>91.0</v>
      </c>
      <c r="G54" s="31">
        <v>1.60130915E8</v>
      </c>
    </row>
    <row r="55" ht="12.75" customHeight="1">
      <c r="A55" s="27">
        <v>215.0</v>
      </c>
      <c r="B55" s="28" t="s">
        <v>56636</v>
      </c>
      <c r="C55" s="27">
        <v>160.0</v>
      </c>
      <c r="D55" s="28" t="s">
        <v>56637</v>
      </c>
      <c r="E55" s="28" t="s">
        <v>56638</v>
      </c>
      <c r="F55" s="29">
        <v>13.0</v>
      </c>
      <c r="G55" s="27">
        <v>1.60150137E8</v>
      </c>
    </row>
    <row r="56" ht="12.75" customHeight="1">
      <c r="A56" s="31">
        <v>215.0</v>
      </c>
      <c r="B56" s="32" t="s">
        <v>56639</v>
      </c>
      <c r="C56" s="31">
        <v>160.0</v>
      </c>
      <c r="D56" s="32" t="s">
        <v>56640</v>
      </c>
      <c r="E56" s="32" t="s">
        <v>56641</v>
      </c>
      <c r="F56" s="33">
        <v>14.0</v>
      </c>
      <c r="G56" s="31">
        <v>1.6015014E8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56642</v>
      </c>
      <c r="C1" s="27">
        <v>160.0</v>
      </c>
      <c r="D1" s="28" t="s">
        <v>56643</v>
      </c>
      <c r="E1" s="28" t="s">
        <v>56644</v>
      </c>
      <c r="F1" s="29">
        <v>25.0</v>
      </c>
      <c r="G1" s="27">
        <v>1.60150258E8</v>
      </c>
    </row>
    <row r="2" ht="12.75" customHeight="1">
      <c r="A2" s="31">
        <v>215.0</v>
      </c>
      <c r="B2" s="32" t="s">
        <v>56645</v>
      </c>
      <c r="C2" s="31">
        <v>160.0</v>
      </c>
      <c r="D2" s="32" t="s">
        <v>56646</v>
      </c>
      <c r="E2" s="32" t="s">
        <v>56647</v>
      </c>
      <c r="F2" s="33">
        <v>46.0</v>
      </c>
      <c r="G2" s="31">
        <v>1.60150461E8</v>
      </c>
    </row>
    <row r="3" ht="12.75" customHeight="1">
      <c r="A3" s="27">
        <v>215.0</v>
      </c>
      <c r="B3" s="28" t="s">
        <v>56648</v>
      </c>
      <c r="C3" s="27">
        <v>160.0</v>
      </c>
      <c r="D3" s="28" t="s">
        <v>56649</v>
      </c>
      <c r="E3" s="28" t="s">
        <v>56650</v>
      </c>
      <c r="F3" s="27">
        <v>109.0</v>
      </c>
      <c r="G3" s="27">
        <v>1.60151099E8</v>
      </c>
    </row>
    <row r="4" ht="12.75" customHeight="1">
      <c r="A4" s="31">
        <v>215.0</v>
      </c>
      <c r="B4" s="32" t="s">
        <v>56651</v>
      </c>
      <c r="C4" s="31">
        <v>160.0</v>
      </c>
      <c r="D4" s="32" t="s">
        <v>56652</v>
      </c>
      <c r="E4" s="32" t="s">
        <v>56653</v>
      </c>
      <c r="F4" s="31">
        <v>130.0</v>
      </c>
      <c r="G4" s="31">
        <v>1.60151307E8</v>
      </c>
    </row>
    <row r="5" ht="12.75" customHeight="1">
      <c r="A5" s="27">
        <v>215.0</v>
      </c>
      <c r="B5" s="28" t="s">
        <v>56654</v>
      </c>
      <c r="C5" s="27">
        <v>160.0</v>
      </c>
      <c r="D5" s="28" t="s">
        <v>56655</v>
      </c>
      <c r="E5" s="28" t="s">
        <v>56656</v>
      </c>
      <c r="F5" s="27">
        <v>157.0</v>
      </c>
      <c r="G5" s="27">
        <v>1.60151578E8</v>
      </c>
    </row>
    <row r="6" ht="12.75" customHeight="1">
      <c r="A6" s="31">
        <v>215.0</v>
      </c>
      <c r="B6" s="32" t="s">
        <v>56657</v>
      </c>
      <c r="C6" s="31">
        <v>160.0</v>
      </c>
      <c r="D6" s="32" t="s">
        <v>56658</v>
      </c>
      <c r="E6" s="32" t="s">
        <v>56659</v>
      </c>
      <c r="F6" s="31">
        <v>316.0</v>
      </c>
      <c r="G6" s="31">
        <v>1.60153163E8</v>
      </c>
    </row>
    <row r="7" ht="12.75" customHeight="1">
      <c r="A7" s="27">
        <v>215.0</v>
      </c>
      <c r="B7" s="28" t="s">
        <v>56660</v>
      </c>
      <c r="C7" s="27">
        <v>160.0</v>
      </c>
      <c r="D7" s="28" t="s">
        <v>56661</v>
      </c>
      <c r="E7" s="28" t="s">
        <v>56662</v>
      </c>
      <c r="F7" s="27">
        <v>364.0</v>
      </c>
      <c r="G7" s="27">
        <v>1.60153642E8</v>
      </c>
    </row>
    <row r="8" ht="12.75" customHeight="1">
      <c r="A8" s="31">
        <v>215.0</v>
      </c>
      <c r="B8" s="32" t="s">
        <v>56663</v>
      </c>
      <c r="C8" s="31">
        <v>160.0</v>
      </c>
      <c r="D8" s="32" t="s">
        <v>56664</v>
      </c>
      <c r="E8" s="32" t="s">
        <v>56665</v>
      </c>
      <c r="F8" s="31">
        <v>373.0</v>
      </c>
      <c r="G8" s="31">
        <v>1.60153734E8</v>
      </c>
    </row>
    <row r="9" ht="12.75" customHeight="1">
      <c r="A9" s="27">
        <v>215.0</v>
      </c>
      <c r="B9" s="28" t="s">
        <v>56666</v>
      </c>
      <c r="C9" s="27">
        <v>160.0</v>
      </c>
      <c r="D9" s="28" t="s">
        <v>56667</v>
      </c>
      <c r="E9" s="28" t="s">
        <v>56668</v>
      </c>
      <c r="F9" s="27">
        <v>397.0</v>
      </c>
      <c r="G9" s="27">
        <v>1.60153976E8</v>
      </c>
    </row>
    <row r="10" ht="12.75" customHeight="1">
      <c r="A10" s="31">
        <v>215.0</v>
      </c>
      <c r="B10" s="32" t="s">
        <v>56669</v>
      </c>
      <c r="C10" s="31">
        <v>160.0</v>
      </c>
      <c r="D10" s="32" t="s">
        <v>56670</v>
      </c>
      <c r="E10" s="32" t="s">
        <v>56671</v>
      </c>
      <c r="F10" s="31">
        <v>418.0</v>
      </c>
      <c r="G10" s="31">
        <v>1.60154188E8</v>
      </c>
    </row>
    <row r="11" ht="12.75" customHeight="1">
      <c r="A11" s="27">
        <v>215.0</v>
      </c>
      <c r="B11" s="28" t="s">
        <v>56672</v>
      </c>
      <c r="C11" s="27">
        <v>160.0</v>
      </c>
      <c r="D11" s="28" t="s">
        <v>56673</v>
      </c>
      <c r="E11" s="28" t="s">
        <v>56674</v>
      </c>
      <c r="F11" s="27">
        <v>427.0</v>
      </c>
      <c r="G11" s="27">
        <v>1.6015427E8</v>
      </c>
    </row>
    <row r="12" ht="12.75" customHeight="1">
      <c r="A12" s="31">
        <v>215.0</v>
      </c>
      <c r="B12" s="32" t="s">
        <v>56675</v>
      </c>
      <c r="C12" s="31">
        <v>160.0</v>
      </c>
      <c r="D12" s="32" t="s">
        <v>56676</v>
      </c>
      <c r="E12" s="32" t="s">
        <v>56677</v>
      </c>
      <c r="F12" s="31">
        <v>469.0</v>
      </c>
      <c r="G12" s="31">
        <v>1.60154696E8</v>
      </c>
    </row>
    <row r="13" ht="12.75" customHeight="1">
      <c r="A13" s="27">
        <v>215.0</v>
      </c>
      <c r="B13" s="28" t="s">
        <v>56678</v>
      </c>
      <c r="C13" s="27">
        <v>160.0</v>
      </c>
      <c r="D13" s="28" t="s">
        <v>56679</v>
      </c>
      <c r="E13" s="28" t="s">
        <v>56680</v>
      </c>
      <c r="F13" s="27">
        <v>475.0</v>
      </c>
      <c r="G13" s="27">
        <v>1.60154759E8</v>
      </c>
    </row>
    <row r="14" ht="12.75" customHeight="1">
      <c r="A14" s="31">
        <v>215.0</v>
      </c>
      <c r="B14" s="32" t="s">
        <v>56681</v>
      </c>
      <c r="C14" s="31">
        <v>160.0</v>
      </c>
      <c r="D14" s="32" t="s">
        <v>56682</v>
      </c>
      <c r="E14" s="32" t="s">
        <v>56683</v>
      </c>
      <c r="F14" s="31">
        <v>481.0</v>
      </c>
      <c r="G14" s="31">
        <v>1.60154812E8</v>
      </c>
    </row>
    <row r="15" ht="12.75" customHeight="1">
      <c r="A15" s="27">
        <v>215.0</v>
      </c>
      <c r="B15" s="28" t="s">
        <v>56684</v>
      </c>
      <c r="C15" s="27">
        <v>160.0</v>
      </c>
      <c r="D15" s="28" t="s">
        <v>56685</v>
      </c>
      <c r="E15" s="28" t="s">
        <v>56686</v>
      </c>
      <c r="F15" s="27">
        <v>559.0</v>
      </c>
      <c r="G15" s="27">
        <v>1.6015559E8</v>
      </c>
    </row>
    <row r="16" ht="12.75" customHeight="1">
      <c r="A16" s="31">
        <v>215.0</v>
      </c>
      <c r="B16" s="32" t="s">
        <v>56687</v>
      </c>
      <c r="C16" s="31">
        <v>160.0</v>
      </c>
      <c r="D16" s="32" t="s">
        <v>56688</v>
      </c>
      <c r="E16" s="32" t="s">
        <v>56689</v>
      </c>
      <c r="F16" s="31">
        <v>580.0</v>
      </c>
      <c r="G16" s="31">
        <v>1.60155808E8</v>
      </c>
    </row>
    <row r="17" ht="12.75" customHeight="1">
      <c r="A17" s="27">
        <v>215.0</v>
      </c>
      <c r="B17" s="28" t="s">
        <v>56690</v>
      </c>
      <c r="C17" s="27">
        <v>160.0</v>
      </c>
      <c r="D17" s="28" t="s">
        <v>56691</v>
      </c>
      <c r="E17" s="28" t="s">
        <v>56692</v>
      </c>
      <c r="F17" s="27">
        <v>587.0</v>
      </c>
      <c r="G17" s="27">
        <v>1.60155879E8</v>
      </c>
    </row>
    <row r="18" ht="12.75" customHeight="1">
      <c r="A18" s="31">
        <v>215.0</v>
      </c>
      <c r="B18" s="32" t="s">
        <v>56693</v>
      </c>
      <c r="C18" s="31">
        <v>160.0</v>
      </c>
      <c r="D18" s="32" t="s">
        <v>56694</v>
      </c>
      <c r="E18" s="32" t="s">
        <v>56695</v>
      </c>
      <c r="F18" s="31">
        <v>595.0</v>
      </c>
      <c r="G18" s="31">
        <v>1.60155958E8</v>
      </c>
    </row>
    <row r="19" ht="12.75" customHeight="1">
      <c r="A19" s="27">
        <v>119.0</v>
      </c>
      <c r="B19" s="28" t="s">
        <v>56696</v>
      </c>
      <c r="C19" s="27">
        <v>160.0</v>
      </c>
      <c r="D19" s="28" t="s">
        <v>56697</v>
      </c>
      <c r="E19" s="28" t="s">
        <v>56698</v>
      </c>
      <c r="F19" s="27">
        <v>115.0</v>
      </c>
      <c r="G19" s="27">
        <v>1.60191154E8</v>
      </c>
    </row>
    <row r="20" ht="12.75" customHeight="1">
      <c r="A20" s="31">
        <v>119.0</v>
      </c>
      <c r="B20" s="32" t="s">
        <v>56699</v>
      </c>
      <c r="C20" s="31">
        <v>160.0</v>
      </c>
      <c r="D20" s="32" t="s">
        <v>56700</v>
      </c>
      <c r="E20" s="32" t="s">
        <v>56701</v>
      </c>
      <c r="F20" s="31">
        <v>211.0</v>
      </c>
      <c r="G20" s="31">
        <v>1.60192111E8</v>
      </c>
    </row>
    <row r="21" ht="12.75" customHeight="1">
      <c r="A21" s="27">
        <v>119.0</v>
      </c>
      <c r="B21" s="28" t="s">
        <v>56702</v>
      </c>
      <c r="C21" s="27">
        <v>160.0</v>
      </c>
      <c r="D21" s="28" t="s">
        <v>56703</v>
      </c>
      <c r="E21" s="28" t="s">
        <v>56704</v>
      </c>
      <c r="F21" s="27">
        <v>325.0</v>
      </c>
      <c r="G21" s="27">
        <v>1.60193257E8</v>
      </c>
    </row>
    <row r="22" ht="12.75" customHeight="1">
      <c r="A22" s="31">
        <v>222.0</v>
      </c>
      <c r="B22" s="32" t="s">
        <v>56705</v>
      </c>
      <c r="C22" s="31">
        <v>160.0</v>
      </c>
      <c r="D22" s="32" t="s">
        <v>56706</v>
      </c>
      <c r="E22" s="32" t="s">
        <v>56707</v>
      </c>
      <c r="F22" s="33">
        <v>16.0</v>
      </c>
      <c r="G22" s="31">
        <v>1.60220162E8</v>
      </c>
    </row>
    <row r="23" ht="12.75" customHeight="1">
      <c r="A23" s="27">
        <v>222.0</v>
      </c>
      <c r="B23" s="28" t="s">
        <v>56708</v>
      </c>
      <c r="C23" s="27">
        <v>160.0</v>
      </c>
      <c r="D23" s="28" t="s">
        <v>56709</v>
      </c>
      <c r="E23" s="28" t="s">
        <v>56710</v>
      </c>
      <c r="F23" s="29">
        <v>25.0</v>
      </c>
      <c r="G23" s="27">
        <v>1.60220254E8</v>
      </c>
    </row>
    <row r="24" ht="12.75" customHeight="1">
      <c r="A24" s="31">
        <v>126.0</v>
      </c>
      <c r="B24" s="32" t="s">
        <v>56711</v>
      </c>
      <c r="C24" s="31">
        <v>160.0</v>
      </c>
      <c r="D24" s="32" t="s">
        <v>56712</v>
      </c>
      <c r="E24" s="32" t="s">
        <v>56713</v>
      </c>
      <c r="F24" s="33">
        <v>43.0</v>
      </c>
      <c r="G24" s="31">
        <v>1.6026043E8</v>
      </c>
    </row>
    <row r="25" ht="12.75" customHeight="1">
      <c r="A25" s="27">
        <v>126.0</v>
      </c>
      <c r="B25" s="28" t="s">
        <v>56714</v>
      </c>
      <c r="C25" s="27">
        <v>160.0</v>
      </c>
      <c r="D25" s="28" t="s">
        <v>56715</v>
      </c>
      <c r="E25" s="28" t="s">
        <v>56716</v>
      </c>
      <c r="F25" s="29">
        <v>52.0</v>
      </c>
      <c r="G25" s="27">
        <v>1.60260522E8</v>
      </c>
    </row>
    <row r="26" ht="12.75" customHeight="1">
      <c r="A26" s="31">
        <v>126.0</v>
      </c>
      <c r="B26" s="32" t="s">
        <v>56717</v>
      </c>
      <c r="C26" s="31">
        <v>160.0</v>
      </c>
      <c r="D26" s="32" t="s">
        <v>56718</v>
      </c>
      <c r="E26" s="32" t="s">
        <v>56719</v>
      </c>
      <c r="F26" s="33">
        <v>55.0</v>
      </c>
      <c r="G26" s="31">
        <v>1.60260551E8</v>
      </c>
    </row>
    <row r="27" ht="12.75" customHeight="1">
      <c r="A27" s="27">
        <v>126.0</v>
      </c>
      <c r="B27" s="28" t="s">
        <v>56720</v>
      </c>
      <c r="C27" s="27">
        <v>160.0</v>
      </c>
      <c r="D27" s="28" t="s">
        <v>56721</v>
      </c>
      <c r="E27" s="28" t="s">
        <v>56722</v>
      </c>
      <c r="F27" s="29">
        <v>91.0</v>
      </c>
      <c r="G27" s="27">
        <v>1.60260919E8</v>
      </c>
    </row>
    <row r="28" ht="12.75" customHeight="1">
      <c r="A28" s="31">
        <v>126.0</v>
      </c>
      <c r="B28" s="32" t="s">
        <v>56723</v>
      </c>
      <c r="C28" s="31">
        <v>160.0</v>
      </c>
      <c r="D28" s="32" t="s">
        <v>56724</v>
      </c>
      <c r="E28" s="32" t="s">
        <v>56725</v>
      </c>
      <c r="F28" s="33">
        <v>94.0</v>
      </c>
      <c r="G28" s="31">
        <v>1.60260948E8</v>
      </c>
    </row>
    <row r="29" ht="12.75" customHeight="1">
      <c r="A29" s="27">
        <v>126.0</v>
      </c>
      <c r="B29" s="28" t="s">
        <v>56726</v>
      </c>
      <c r="C29" s="27">
        <v>160.0</v>
      </c>
      <c r="D29" s="28" t="s">
        <v>56727</v>
      </c>
      <c r="E29" s="28" t="s">
        <v>56728</v>
      </c>
      <c r="F29" s="27">
        <v>118.0</v>
      </c>
      <c r="G29" s="27">
        <v>1.60261189E8</v>
      </c>
    </row>
    <row r="30" ht="12.75" customHeight="1">
      <c r="A30" s="31">
        <v>126.0</v>
      </c>
      <c r="B30" s="32" t="s">
        <v>56729</v>
      </c>
      <c r="C30" s="31">
        <v>160.0</v>
      </c>
      <c r="D30" s="32" t="s">
        <v>56730</v>
      </c>
      <c r="E30" s="32" t="s">
        <v>56731</v>
      </c>
      <c r="F30" s="31">
        <v>133.0</v>
      </c>
      <c r="G30" s="31">
        <v>1.60261334E8</v>
      </c>
    </row>
    <row r="31" ht="12.75" customHeight="1">
      <c r="A31" s="27">
        <v>126.0</v>
      </c>
      <c r="B31" s="28" t="s">
        <v>56732</v>
      </c>
      <c r="C31" s="27">
        <v>160.0</v>
      </c>
      <c r="D31" s="28" t="s">
        <v>56733</v>
      </c>
      <c r="E31" s="28" t="s">
        <v>56734</v>
      </c>
      <c r="F31" s="27">
        <v>172.0</v>
      </c>
      <c r="G31" s="27">
        <v>1.60261721E8</v>
      </c>
    </row>
    <row r="32" ht="12.75" customHeight="1">
      <c r="A32" s="31">
        <v>126.0</v>
      </c>
      <c r="B32" s="32" t="s">
        <v>56735</v>
      </c>
      <c r="C32" s="31">
        <v>160.0</v>
      </c>
      <c r="D32" s="32" t="s">
        <v>56736</v>
      </c>
      <c r="E32" s="32" t="s">
        <v>56737</v>
      </c>
      <c r="F32" s="31">
        <v>253.0</v>
      </c>
      <c r="G32" s="31">
        <v>1.60262533E8</v>
      </c>
    </row>
    <row r="33" ht="12.75" customHeight="1">
      <c r="A33" s="27">
        <v>126.0</v>
      </c>
      <c r="B33" s="28" t="s">
        <v>56738</v>
      </c>
      <c r="C33" s="27">
        <v>160.0</v>
      </c>
      <c r="D33" s="28" t="s">
        <v>56739</v>
      </c>
      <c r="E33" s="28" t="s">
        <v>56740</v>
      </c>
      <c r="F33" s="27">
        <v>298.0</v>
      </c>
      <c r="G33" s="27">
        <v>1.60262988E8</v>
      </c>
    </row>
    <row r="34" ht="12.75" customHeight="1">
      <c r="A34" s="31">
        <v>126.0</v>
      </c>
      <c r="B34" s="32" t="s">
        <v>56741</v>
      </c>
      <c r="C34" s="31">
        <v>160.0</v>
      </c>
      <c r="D34" s="32" t="s">
        <v>56742</v>
      </c>
      <c r="E34" s="32" t="s">
        <v>56743</v>
      </c>
      <c r="F34" s="31">
        <v>361.0</v>
      </c>
      <c r="G34" s="31">
        <v>1.60263611E8</v>
      </c>
    </row>
    <row r="35" ht="12.75" customHeight="1">
      <c r="A35" s="27">
        <v>126.0</v>
      </c>
      <c r="B35" s="28" t="s">
        <v>56744</v>
      </c>
      <c r="C35" s="27">
        <v>160.0</v>
      </c>
      <c r="D35" s="28" t="s">
        <v>56745</v>
      </c>
      <c r="E35" s="28" t="s">
        <v>56746</v>
      </c>
      <c r="F35" s="27">
        <v>370.0</v>
      </c>
      <c r="G35" s="27">
        <v>1.60263703E8</v>
      </c>
    </row>
    <row r="36" ht="12.75" customHeight="1">
      <c r="A36" s="31">
        <v>126.0</v>
      </c>
      <c r="B36" s="32" t="s">
        <v>56747</v>
      </c>
      <c r="C36" s="31">
        <v>160.0</v>
      </c>
      <c r="D36" s="32" t="s">
        <v>56748</v>
      </c>
      <c r="E36" s="32" t="s">
        <v>56749</v>
      </c>
      <c r="F36" s="31">
        <v>409.0</v>
      </c>
      <c r="G36" s="31">
        <v>1.60264094E8</v>
      </c>
    </row>
    <row r="37" ht="12.75" customHeight="1">
      <c r="A37" s="27">
        <v>126.0</v>
      </c>
      <c r="B37" s="28" t="s">
        <v>56750</v>
      </c>
      <c r="C37" s="27">
        <v>160.0</v>
      </c>
      <c r="D37" s="28" t="s">
        <v>56751</v>
      </c>
      <c r="E37" s="28" t="s">
        <v>56752</v>
      </c>
      <c r="F37" s="27">
        <v>430.0</v>
      </c>
      <c r="G37" s="27">
        <v>1.60264302E8</v>
      </c>
    </row>
    <row r="38" ht="12.75" customHeight="1">
      <c r="A38" s="31">
        <v>126.0</v>
      </c>
      <c r="B38" s="32" t="s">
        <v>56753</v>
      </c>
      <c r="C38" s="31">
        <v>160.0</v>
      </c>
      <c r="D38" s="32" t="s">
        <v>56754</v>
      </c>
      <c r="E38" s="32" t="s">
        <v>56755</v>
      </c>
      <c r="F38" s="31">
        <v>463.0</v>
      </c>
      <c r="G38" s="31">
        <v>1.60264636E8</v>
      </c>
    </row>
    <row r="39" ht="12.75" customHeight="1">
      <c r="A39" s="27">
        <v>127.0</v>
      </c>
      <c r="B39" s="28" t="s">
        <v>56756</v>
      </c>
      <c r="C39" s="27">
        <v>160.0</v>
      </c>
      <c r="D39" s="28" t="s">
        <v>56757</v>
      </c>
      <c r="E39" s="28" t="s">
        <v>56758</v>
      </c>
      <c r="F39" s="29">
        <v>0.0</v>
      </c>
      <c r="G39" s="27">
        <v>1.60270004E8</v>
      </c>
    </row>
    <row r="40" ht="12.75" customHeight="1">
      <c r="A40" s="31">
        <v>127.0</v>
      </c>
      <c r="B40" s="32" t="s">
        <v>56759</v>
      </c>
      <c r="C40" s="31">
        <v>160.0</v>
      </c>
      <c r="D40" s="32" t="s">
        <v>56760</v>
      </c>
      <c r="E40" s="32" t="s">
        <v>56761</v>
      </c>
      <c r="F40" s="33">
        <v>17.0</v>
      </c>
      <c r="G40" s="31">
        <v>1.6027017E8</v>
      </c>
    </row>
    <row r="41" ht="12.75" customHeight="1">
      <c r="A41" s="27">
        <v>127.0</v>
      </c>
      <c r="B41" s="28" t="s">
        <v>56762</v>
      </c>
      <c r="C41" s="27">
        <v>160.0</v>
      </c>
      <c r="D41" s="28" t="s">
        <v>56763</v>
      </c>
      <c r="E41" s="28" t="s">
        <v>56764</v>
      </c>
      <c r="F41" s="29">
        <v>55.0</v>
      </c>
      <c r="G41" s="27">
        <v>1.60270554E8</v>
      </c>
    </row>
    <row r="42" ht="12.75" customHeight="1">
      <c r="A42" s="31">
        <v>127.0</v>
      </c>
      <c r="B42" s="32" t="s">
        <v>56765</v>
      </c>
      <c r="C42" s="31">
        <v>160.0</v>
      </c>
      <c r="D42" s="32" t="s">
        <v>56766</v>
      </c>
      <c r="E42" s="32" t="s">
        <v>56767</v>
      </c>
      <c r="F42" s="33">
        <v>88.0</v>
      </c>
      <c r="G42" s="31">
        <v>1.60270888E8</v>
      </c>
    </row>
    <row r="43" ht="12.75" customHeight="1">
      <c r="A43" s="27">
        <v>127.0</v>
      </c>
      <c r="B43" s="28" t="s">
        <v>56768</v>
      </c>
      <c r="C43" s="27">
        <v>160.0</v>
      </c>
      <c r="D43" s="28" t="s">
        <v>56769</v>
      </c>
      <c r="E43" s="28" t="s">
        <v>56770</v>
      </c>
      <c r="F43" s="27">
        <v>109.0</v>
      </c>
      <c r="G43" s="27">
        <v>1.6027109E8</v>
      </c>
    </row>
    <row r="44" ht="12.75" customHeight="1">
      <c r="A44" s="31">
        <v>127.0</v>
      </c>
      <c r="B44" s="32" t="s">
        <v>56771</v>
      </c>
      <c r="C44" s="31">
        <v>160.0</v>
      </c>
      <c r="D44" s="32" t="s">
        <v>56772</v>
      </c>
      <c r="E44" s="32" t="s">
        <v>56773</v>
      </c>
      <c r="F44" s="31">
        <v>190.0</v>
      </c>
      <c r="G44" s="31">
        <v>1.60271908E8</v>
      </c>
    </row>
    <row r="45" ht="12.75" customHeight="1">
      <c r="A45" s="27">
        <v>127.0</v>
      </c>
      <c r="B45" s="28" t="s">
        <v>56774</v>
      </c>
      <c r="C45" s="27">
        <v>160.0</v>
      </c>
      <c r="D45" s="28" t="s">
        <v>56775</v>
      </c>
      <c r="E45" s="28" t="s">
        <v>56776</v>
      </c>
      <c r="F45" s="27">
        <v>232.0</v>
      </c>
      <c r="G45" s="27">
        <v>1.60272323E8</v>
      </c>
    </row>
    <row r="46" ht="12.75" customHeight="1">
      <c r="A46" s="31">
        <v>127.0</v>
      </c>
      <c r="B46" s="32" t="s">
        <v>56777</v>
      </c>
      <c r="C46" s="31">
        <v>160.0</v>
      </c>
      <c r="D46" s="32" t="s">
        <v>56778</v>
      </c>
      <c r="E46" s="32" t="s">
        <v>56779</v>
      </c>
      <c r="F46" s="31">
        <v>268.0</v>
      </c>
      <c r="G46" s="31">
        <v>1.60272686E8</v>
      </c>
    </row>
    <row r="47" ht="12.75" customHeight="1">
      <c r="A47" s="27">
        <v>127.0</v>
      </c>
      <c r="B47" s="28" t="s">
        <v>56780</v>
      </c>
      <c r="C47" s="27">
        <v>160.0</v>
      </c>
      <c r="D47" s="28" t="s">
        <v>56781</v>
      </c>
      <c r="E47" s="28" t="s">
        <v>56782</v>
      </c>
      <c r="F47" s="27">
        <v>298.0</v>
      </c>
      <c r="G47" s="27">
        <v>1.60272981E8</v>
      </c>
    </row>
    <row r="48" ht="12.75" customHeight="1">
      <c r="A48" s="31">
        <v>127.0</v>
      </c>
      <c r="B48" s="32" t="s">
        <v>56783</v>
      </c>
      <c r="C48" s="31">
        <v>160.0</v>
      </c>
      <c r="D48" s="32" t="s">
        <v>56784</v>
      </c>
      <c r="E48" s="32" t="s">
        <v>56785</v>
      </c>
      <c r="F48" s="31">
        <v>322.0</v>
      </c>
      <c r="G48" s="31">
        <v>1.60273227E8</v>
      </c>
    </row>
    <row r="49" ht="12.75" customHeight="1">
      <c r="A49" s="27">
        <v>127.0</v>
      </c>
      <c r="B49" s="28" t="s">
        <v>56786</v>
      </c>
      <c r="C49" s="27">
        <v>160.0</v>
      </c>
      <c r="D49" s="28" t="s">
        <v>56787</v>
      </c>
      <c r="E49" s="28" t="s">
        <v>56788</v>
      </c>
      <c r="F49" s="27">
        <v>394.0</v>
      </c>
      <c r="G49" s="27">
        <v>1.60273948E8</v>
      </c>
    </row>
    <row r="50" ht="12.75" customHeight="1">
      <c r="A50" s="31">
        <v>127.0</v>
      </c>
      <c r="B50" s="32" t="s">
        <v>56789</v>
      </c>
      <c r="C50" s="31">
        <v>160.0</v>
      </c>
      <c r="D50" s="32" t="s">
        <v>56790</v>
      </c>
      <c r="E50" s="32" t="s">
        <v>56791</v>
      </c>
      <c r="F50" s="31">
        <v>412.0</v>
      </c>
      <c r="G50" s="31">
        <v>1.60274121E8</v>
      </c>
    </row>
    <row r="51" ht="12.75" customHeight="1">
      <c r="A51" s="27">
        <v>127.0</v>
      </c>
      <c r="B51" s="28" t="s">
        <v>56792</v>
      </c>
      <c r="C51" s="27">
        <v>160.0</v>
      </c>
      <c r="D51" s="28" t="s">
        <v>56793</v>
      </c>
      <c r="E51" s="28" t="s">
        <v>56794</v>
      </c>
      <c r="F51" s="27">
        <v>418.0</v>
      </c>
      <c r="G51" s="27">
        <v>1.60274189E8</v>
      </c>
    </row>
    <row r="52" ht="12.75" customHeight="1">
      <c r="A52" s="31">
        <v>127.0</v>
      </c>
      <c r="B52" s="32" t="s">
        <v>56795</v>
      </c>
      <c r="C52" s="31">
        <v>160.0</v>
      </c>
      <c r="D52" s="32" t="s">
        <v>56796</v>
      </c>
      <c r="E52" s="32" t="s">
        <v>56797</v>
      </c>
      <c r="F52" s="31">
        <v>424.0</v>
      </c>
      <c r="G52" s="31">
        <v>1.60274242E8</v>
      </c>
    </row>
    <row r="53" ht="12.75" customHeight="1">
      <c r="A53" s="27">
        <v>127.0</v>
      </c>
      <c r="B53" s="28" t="s">
        <v>56798</v>
      </c>
      <c r="C53" s="27">
        <v>160.0</v>
      </c>
      <c r="D53" s="28" t="s">
        <v>56799</v>
      </c>
      <c r="E53" s="28" t="s">
        <v>56800</v>
      </c>
      <c r="F53" s="27">
        <v>469.0</v>
      </c>
      <c r="G53" s="27">
        <v>1.60274697E8</v>
      </c>
    </row>
    <row r="54" ht="12.75" customHeight="1">
      <c r="A54" s="31">
        <v>127.0</v>
      </c>
      <c r="B54" s="32" t="s">
        <v>56801</v>
      </c>
      <c r="C54" s="31">
        <v>160.0</v>
      </c>
      <c r="D54" s="32" t="s">
        <v>56802</v>
      </c>
      <c r="E54" s="32" t="s">
        <v>56803</v>
      </c>
      <c r="F54" s="31">
        <v>475.0</v>
      </c>
      <c r="G54" s="31">
        <v>1.6027475E8</v>
      </c>
    </row>
    <row r="55" ht="12.75" customHeight="1">
      <c r="A55" s="27">
        <v>728.0</v>
      </c>
      <c r="B55" s="28" t="s">
        <v>56804</v>
      </c>
      <c r="C55" s="27">
        <v>160.0</v>
      </c>
      <c r="D55" s="28" t="s">
        <v>56805</v>
      </c>
      <c r="E55" s="28" t="s">
        <v>56806</v>
      </c>
      <c r="F55" s="29">
        <v>67.0</v>
      </c>
      <c r="G55" s="27">
        <v>1.60280678E8</v>
      </c>
    </row>
    <row r="56" ht="12.75" customHeight="1">
      <c r="A56" s="31">
        <v>230.0</v>
      </c>
      <c r="B56" s="32" t="s">
        <v>56807</v>
      </c>
      <c r="C56" s="31">
        <v>160.0</v>
      </c>
      <c r="D56" s="32" t="s">
        <v>56808</v>
      </c>
      <c r="E56" s="32" t="s">
        <v>56809</v>
      </c>
      <c r="F56" s="33">
        <v>31.0</v>
      </c>
      <c r="G56" s="31">
        <v>1.60300316E8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230.0</v>
      </c>
      <c r="B1" s="28" t="s">
        <v>56810</v>
      </c>
      <c r="C1" s="27">
        <v>160.0</v>
      </c>
      <c r="D1" s="28" t="s">
        <v>56811</v>
      </c>
      <c r="E1" s="28" t="s">
        <v>56812</v>
      </c>
      <c r="F1" s="29">
        <v>52.0</v>
      </c>
      <c r="G1" s="27">
        <v>1.60300529E8</v>
      </c>
    </row>
    <row r="2" ht="12.75" customHeight="1">
      <c r="A2" s="31">
        <v>230.0</v>
      </c>
      <c r="B2" s="32" t="s">
        <v>56813</v>
      </c>
      <c r="C2" s="31">
        <v>160.0</v>
      </c>
      <c r="D2" s="32" t="s">
        <v>56814</v>
      </c>
      <c r="E2" s="32" t="s">
        <v>56815</v>
      </c>
      <c r="F2" s="31">
        <v>106.0</v>
      </c>
      <c r="G2" s="31">
        <v>1.60301065E8</v>
      </c>
    </row>
    <row r="3" ht="12.75" customHeight="1">
      <c r="A3" s="27">
        <v>230.0</v>
      </c>
      <c r="B3" s="28" t="s">
        <v>56816</v>
      </c>
      <c r="C3" s="27">
        <v>160.0</v>
      </c>
      <c r="D3" s="28" t="s">
        <v>56817</v>
      </c>
      <c r="E3" s="28" t="s">
        <v>56818</v>
      </c>
      <c r="F3" s="27">
        <v>127.0</v>
      </c>
      <c r="G3" s="27">
        <v>1.60301278E8</v>
      </c>
    </row>
    <row r="4" ht="12.75" customHeight="1">
      <c r="A4" s="31">
        <v>230.0</v>
      </c>
      <c r="B4" s="32" t="s">
        <v>56819</v>
      </c>
      <c r="C4" s="31">
        <v>160.0</v>
      </c>
      <c r="D4" s="32" t="s">
        <v>56820</v>
      </c>
      <c r="E4" s="32" t="s">
        <v>56821</v>
      </c>
      <c r="F4" s="31">
        <v>149.0</v>
      </c>
      <c r="G4" s="31">
        <v>1.60301494E8</v>
      </c>
    </row>
    <row r="5" ht="12.75" customHeight="1">
      <c r="A5" s="27">
        <v>133.0</v>
      </c>
      <c r="B5" s="28" t="s">
        <v>56822</v>
      </c>
      <c r="C5" s="27">
        <v>160.0</v>
      </c>
      <c r="D5" s="28" t="s">
        <v>56823</v>
      </c>
      <c r="E5" s="28" t="s">
        <v>56824</v>
      </c>
      <c r="F5" s="29">
        <v>73.0</v>
      </c>
      <c r="G5" s="27">
        <v>1.60330731E8</v>
      </c>
    </row>
    <row r="6" ht="12.75" customHeight="1">
      <c r="A6" s="31">
        <v>133.0</v>
      </c>
      <c r="B6" s="32" t="s">
        <v>56825</v>
      </c>
      <c r="C6" s="31">
        <v>160.0</v>
      </c>
      <c r="D6" s="32" t="s">
        <v>56826</v>
      </c>
      <c r="E6" s="32" t="s">
        <v>56827</v>
      </c>
      <c r="F6" s="31">
        <v>163.0</v>
      </c>
      <c r="G6" s="31">
        <v>1.60331635E8</v>
      </c>
    </row>
    <row r="7" ht="12.75" customHeight="1">
      <c r="A7" s="27">
        <v>836.0</v>
      </c>
      <c r="B7" s="28" t="s">
        <v>56828</v>
      </c>
      <c r="C7" s="27">
        <v>160.0</v>
      </c>
      <c r="D7" s="28" t="s">
        <v>56829</v>
      </c>
      <c r="E7" s="28" t="s">
        <v>56830</v>
      </c>
      <c r="F7" s="27">
        <v>109.0</v>
      </c>
      <c r="G7" s="27">
        <v>1.60361092E8</v>
      </c>
    </row>
    <row r="8" ht="12.75" customHeight="1">
      <c r="A8" s="31">
        <v>441.0</v>
      </c>
      <c r="B8" s="32" t="s">
        <v>56831</v>
      </c>
      <c r="C8" s="31">
        <v>160.0</v>
      </c>
      <c r="D8" s="32" t="s">
        <v>56832</v>
      </c>
      <c r="E8" s="32" t="s">
        <v>56833</v>
      </c>
      <c r="F8" s="33">
        <v>94.0</v>
      </c>
      <c r="G8" s="31">
        <v>1.60410943E8</v>
      </c>
    </row>
    <row r="9" ht="12.75" customHeight="1">
      <c r="A9" s="27">
        <v>447.0</v>
      </c>
      <c r="B9" s="28" t="s">
        <v>56834</v>
      </c>
      <c r="C9" s="27">
        <v>160.0</v>
      </c>
      <c r="D9" s="28" t="s">
        <v>56835</v>
      </c>
      <c r="E9" s="28" t="s">
        <v>56836</v>
      </c>
      <c r="F9" s="27">
        <v>172.0</v>
      </c>
      <c r="G9" s="27">
        <v>1.60471724E8</v>
      </c>
    </row>
    <row r="10" ht="12.75" customHeight="1">
      <c r="A10" s="31">
        <v>148.0</v>
      </c>
      <c r="B10" s="32" t="s">
        <v>56837</v>
      </c>
      <c r="C10" s="31">
        <v>160.0</v>
      </c>
      <c r="D10" s="32" t="s">
        <v>56838</v>
      </c>
      <c r="E10" s="32" t="s">
        <v>56839</v>
      </c>
      <c r="F10" s="33">
        <v>40.0</v>
      </c>
      <c r="G10" s="31">
        <v>1.60480407E8</v>
      </c>
    </row>
    <row r="11" ht="12.75" customHeight="1">
      <c r="A11" s="27">
        <v>450.0</v>
      </c>
      <c r="B11" s="28" t="s">
        <v>56840</v>
      </c>
      <c r="C11" s="27">
        <v>160.0</v>
      </c>
      <c r="D11" s="28" t="s">
        <v>56841</v>
      </c>
      <c r="E11" s="28" t="s">
        <v>56842</v>
      </c>
      <c r="F11" s="29">
        <v>94.0</v>
      </c>
      <c r="G11" s="27">
        <v>1.60500945E8</v>
      </c>
    </row>
    <row r="12" ht="12.75" customHeight="1">
      <c r="A12" s="31">
        <v>251.0</v>
      </c>
      <c r="B12" s="32" t="s">
        <v>56843</v>
      </c>
      <c r="C12" s="31">
        <v>160.0</v>
      </c>
      <c r="D12" s="32" t="s">
        <v>56844</v>
      </c>
      <c r="E12" s="32" t="s">
        <v>56845</v>
      </c>
      <c r="F12" s="33">
        <v>73.0</v>
      </c>
      <c r="G12" s="31">
        <v>1.60510735E8</v>
      </c>
    </row>
    <row r="13" ht="12.75" customHeight="1">
      <c r="A13" s="27">
        <v>251.0</v>
      </c>
      <c r="B13" s="28" t="s">
        <v>56846</v>
      </c>
      <c r="C13" s="27">
        <v>160.0</v>
      </c>
      <c r="D13" s="28" t="s">
        <v>56847</v>
      </c>
      <c r="E13" s="28" t="s">
        <v>56848</v>
      </c>
      <c r="F13" s="29">
        <v>97.0</v>
      </c>
      <c r="G13" s="27">
        <v>1.60510977E8</v>
      </c>
    </row>
    <row r="14" ht="12.75" customHeight="1">
      <c r="A14" s="31">
        <v>251.0</v>
      </c>
      <c r="B14" s="32" t="s">
        <v>56849</v>
      </c>
      <c r="C14" s="31">
        <v>160.0</v>
      </c>
      <c r="D14" s="32" t="s">
        <v>56850</v>
      </c>
      <c r="E14" s="32" t="s">
        <v>56851</v>
      </c>
      <c r="F14" s="31">
        <v>105.0</v>
      </c>
      <c r="G14" s="31">
        <v>1.60511055E8</v>
      </c>
    </row>
    <row r="15" ht="12.75" customHeight="1">
      <c r="A15" s="27">
        <v>752.0</v>
      </c>
      <c r="B15" s="28" t="s">
        <v>56852</v>
      </c>
      <c r="C15" s="27">
        <v>160.0</v>
      </c>
      <c r="D15" s="28" t="s">
        <v>56853</v>
      </c>
      <c r="E15" s="28" t="s">
        <v>56854</v>
      </c>
      <c r="F15" s="29">
        <v>58.0</v>
      </c>
      <c r="G15" s="27">
        <v>1.60520583E8</v>
      </c>
    </row>
    <row r="16" ht="12.75" customHeight="1">
      <c r="A16" s="31">
        <v>354.0</v>
      </c>
      <c r="B16" s="32" t="s">
        <v>56855</v>
      </c>
      <c r="C16" s="31">
        <v>160.0</v>
      </c>
      <c r="D16" s="32" t="s">
        <v>56856</v>
      </c>
      <c r="E16" s="32" t="s">
        <v>56857</v>
      </c>
      <c r="F16" s="33">
        <v>40.0</v>
      </c>
      <c r="G16" s="31">
        <v>1.605404E8</v>
      </c>
    </row>
    <row r="17" ht="12.75" customHeight="1">
      <c r="A17" s="27">
        <v>858.0</v>
      </c>
      <c r="B17" s="28" t="s">
        <v>56858</v>
      </c>
      <c r="C17" s="27">
        <v>160.0</v>
      </c>
      <c r="D17" s="28" t="s">
        <v>56859</v>
      </c>
      <c r="E17" s="28" t="s">
        <v>56860</v>
      </c>
      <c r="F17" s="29">
        <v>10.0</v>
      </c>
      <c r="G17" s="27">
        <v>1.60580107E8</v>
      </c>
    </row>
    <row r="18" ht="12.75" customHeight="1">
      <c r="A18" s="31">
        <v>858.0</v>
      </c>
      <c r="B18" s="32" t="s">
        <v>56861</v>
      </c>
      <c r="C18" s="31">
        <v>160.0</v>
      </c>
      <c r="D18" s="32" t="s">
        <v>56862</v>
      </c>
      <c r="E18" s="32" t="s">
        <v>56863</v>
      </c>
      <c r="F18" s="33">
        <v>67.0</v>
      </c>
      <c r="G18" s="31">
        <v>1.60580673E8</v>
      </c>
    </row>
    <row r="19" ht="12.75" customHeight="1">
      <c r="A19" s="27">
        <v>858.0</v>
      </c>
      <c r="B19" s="28" t="s">
        <v>56864</v>
      </c>
      <c r="C19" s="27">
        <v>160.0</v>
      </c>
      <c r="D19" s="28" t="s">
        <v>56865</v>
      </c>
      <c r="E19" s="28" t="s">
        <v>56866</v>
      </c>
      <c r="F19" s="27">
        <v>118.0</v>
      </c>
      <c r="G19" s="27">
        <v>1.6058118E8</v>
      </c>
    </row>
    <row r="20" ht="12.75" customHeight="1">
      <c r="A20" s="31">
        <v>858.0</v>
      </c>
      <c r="B20" s="32" t="s">
        <v>56867</v>
      </c>
      <c r="C20" s="31">
        <v>160.0</v>
      </c>
      <c r="D20" s="32" t="s">
        <v>56868</v>
      </c>
      <c r="E20" s="32" t="s">
        <v>56869</v>
      </c>
      <c r="F20" s="31">
        <v>172.0</v>
      </c>
      <c r="G20" s="31">
        <v>1.60581722E8</v>
      </c>
    </row>
    <row r="21" ht="12.75" customHeight="1">
      <c r="A21" s="27">
        <v>159.0</v>
      </c>
      <c r="B21" s="28" t="s">
        <v>56870</v>
      </c>
      <c r="C21" s="27">
        <v>160.0</v>
      </c>
      <c r="D21" s="28" t="s">
        <v>56871</v>
      </c>
      <c r="E21" s="28" t="s">
        <v>56872</v>
      </c>
      <c r="F21" s="27">
        <v>142.0</v>
      </c>
      <c r="G21" s="27">
        <v>1.6059142E8</v>
      </c>
    </row>
    <row r="22" ht="12.75" customHeight="1">
      <c r="A22" s="31">
        <v>161.0</v>
      </c>
      <c r="B22" s="32" t="s">
        <v>56873</v>
      </c>
      <c r="C22" s="31">
        <v>160.0</v>
      </c>
      <c r="D22" s="32" t="s">
        <v>56874</v>
      </c>
      <c r="E22" s="32" t="s">
        <v>56875</v>
      </c>
      <c r="F22" s="31">
        <v>175.0</v>
      </c>
      <c r="G22" s="31">
        <v>1.60611755E8</v>
      </c>
    </row>
    <row r="23" ht="12.75" customHeight="1">
      <c r="A23" s="27">
        <v>161.0</v>
      </c>
      <c r="B23" s="28" t="s">
        <v>56876</v>
      </c>
      <c r="C23" s="27">
        <v>160.0</v>
      </c>
      <c r="D23" s="28" t="s">
        <v>56877</v>
      </c>
      <c r="E23" s="28" t="s">
        <v>56878</v>
      </c>
      <c r="F23" s="27">
        <v>190.0</v>
      </c>
      <c r="G23" s="27">
        <v>1.606119E8</v>
      </c>
    </row>
    <row r="24" ht="12.75" customHeight="1">
      <c r="A24" s="31">
        <v>161.0</v>
      </c>
      <c r="B24" s="32" t="s">
        <v>56879</v>
      </c>
      <c r="C24" s="31">
        <v>160.0</v>
      </c>
      <c r="D24" s="32" t="s">
        <v>56880</v>
      </c>
      <c r="E24" s="32" t="s">
        <v>56881</v>
      </c>
      <c r="F24" s="31">
        <v>394.0</v>
      </c>
      <c r="G24" s="31">
        <v>1.6061394E8</v>
      </c>
    </row>
    <row r="25" ht="12.75" customHeight="1">
      <c r="A25" s="27">
        <v>564.0</v>
      </c>
      <c r="B25" s="28" t="s">
        <v>56882</v>
      </c>
      <c r="C25" s="27">
        <v>160.0</v>
      </c>
      <c r="D25" s="28" t="s">
        <v>56883</v>
      </c>
      <c r="E25" s="28" t="s">
        <v>56884</v>
      </c>
      <c r="F25" s="27">
        <v>118.0</v>
      </c>
      <c r="G25" s="27">
        <v>1.60641183E8</v>
      </c>
    </row>
    <row r="26" ht="12.75" customHeight="1">
      <c r="A26" s="31">
        <v>167.0</v>
      </c>
      <c r="B26" s="32" t="s">
        <v>56885</v>
      </c>
      <c r="C26" s="31">
        <v>160.0</v>
      </c>
      <c r="D26" s="32" t="s">
        <v>56886</v>
      </c>
      <c r="E26" s="32" t="s">
        <v>56887</v>
      </c>
      <c r="F26" s="31">
        <v>118.0</v>
      </c>
      <c r="G26" s="31">
        <v>1.60671182E8</v>
      </c>
    </row>
    <row r="27" ht="12.75" customHeight="1">
      <c r="A27" s="27">
        <v>168.0</v>
      </c>
      <c r="B27" s="28" t="s">
        <v>56888</v>
      </c>
      <c r="C27" s="27">
        <v>160.0</v>
      </c>
      <c r="D27" s="28" t="s">
        <v>56889</v>
      </c>
      <c r="E27" s="28" t="s">
        <v>56890</v>
      </c>
      <c r="F27" s="29">
        <v>67.0</v>
      </c>
      <c r="G27" s="27">
        <v>1.60680678E8</v>
      </c>
    </row>
    <row r="28" ht="12.75" customHeight="1">
      <c r="A28" s="31">
        <v>168.0</v>
      </c>
      <c r="B28" s="32" t="s">
        <v>56891</v>
      </c>
      <c r="C28" s="31">
        <v>160.0</v>
      </c>
      <c r="D28" s="32" t="s">
        <v>56892</v>
      </c>
      <c r="E28" s="32" t="s">
        <v>56893</v>
      </c>
      <c r="F28" s="33">
        <v>85.0</v>
      </c>
      <c r="G28" s="31">
        <v>1.60680852E8</v>
      </c>
    </row>
    <row r="29" ht="12.75" customHeight="1">
      <c r="A29" s="27">
        <v>773.0</v>
      </c>
      <c r="B29" s="28" t="s">
        <v>56894</v>
      </c>
      <c r="C29" s="27">
        <v>160.0</v>
      </c>
      <c r="D29" s="28" t="s">
        <v>56895</v>
      </c>
      <c r="E29" s="28" t="s">
        <v>56896</v>
      </c>
      <c r="F29" s="29">
        <v>79.0</v>
      </c>
      <c r="G29" s="27">
        <v>1.60730799E8</v>
      </c>
    </row>
    <row r="30" ht="12.75" customHeight="1">
      <c r="A30" s="31">
        <v>275.0</v>
      </c>
      <c r="B30" s="32" t="s">
        <v>56897</v>
      </c>
      <c r="C30" s="31">
        <v>160.0</v>
      </c>
      <c r="D30" s="32" t="s">
        <v>56898</v>
      </c>
      <c r="E30" s="32" t="s">
        <v>56899</v>
      </c>
      <c r="F30" s="33">
        <v>67.0</v>
      </c>
      <c r="G30" s="31">
        <v>1.60750674E8</v>
      </c>
    </row>
    <row r="31" ht="12.75" customHeight="1">
      <c r="A31" s="27">
        <v>275.0</v>
      </c>
      <c r="B31" s="28" t="s">
        <v>56900</v>
      </c>
      <c r="C31" s="27">
        <v>160.0</v>
      </c>
      <c r="D31" s="28" t="s">
        <v>56901</v>
      </c>
      <c r="E31" s="28" t="s">
        <v>56902</v>
      </c>
      <c r="F31" s="27">
        <v>158.0</v>
      </c>
      <c r="G31" s="27">
        <v>1.60751581E8</v>
      </c>
    </row>
    <row r="32" ht="12.75" customHeight="1">
      <c r="A32" s="31">
        <v>581.0</v>
      </c>
      <c r="B32" s="32" t="s">
        <v>56903</v>
      </c>
      <c r="C32" s="31">
        <v>160.0</v>
      </c>
      <c r="D32" s="32" t="s">
        <v>56904</v>
      </c>
      <c r="E32" s="32" t="s">
        <v>56905</v>
      </c>
      <c r="F32" s="33">
        <v>23.0</v>
      </c>
      <c r="G32" s="31">
        <v>1.60810235E8</v>
      </c>
    </row>
    <row r="33" ht="12.75" customHeight="1">
      <c r="A33" s="27">
        <v>581.0</v>
      </c>
      <c r="B33" s="28" t="s">
        <v>56906</v>
      </c>
      <c r="C33" s="27">
        <v>160.0</v>
      </c>
      <c r="D33" s="28" t="s">
        <v>56907</v>
      </c>
      <c r="E33" s="28" t="s">
        <v>56908</v>
      </c>
      <c r="F33" s="27">
        <v>193.0</v>
      </c>
      <c r="G33" s="27">
        <v>1.60811939E8</v>
      </c>
    </row>
    <row r="34" ht="12.75" customHeight="1">
      <c r="A34" s="31">
        <v>785.0</v>
      </c>
      <c r="B34" s="32" t="s">
        <v>56909</v>
      </c>
      <c r="C34" s="31">
        <v>160.0</v>
      </c>
      <c r="D34" s="32" t="s">
        <v>56910</v>
      </c>
      <c r="E34" s="32" t="s">
        <v>56911</v>
      </c>
      <c r="F34" s="31">
        <v>145.0</v>
      </c>
      <c r="G34" s="31">
        <v>1.60851452E8</v>
      </c>
    </row>
    <row r="35" ht="12.75" customHeight="1">
      <c r="A35" s="27">
        <v>386.0</v>
      </c>
      <c r="B35" s="28" t="s">
        <v>56912</v>
      </c>
      <c r="C35" s="27">
        <v>160.0</v>
      </c>
      <c r="D35" s="28" t="s">
        <v>56913</v>
      </c>
      <c r="E35" s="28" t="s">
        <v>56914</v>
      </c>
      <c r="F35" s="29">
        <v>59.0</v>
      </c>
      <c r="G35" s="27">
        <v>1.60860593E8</v>
      </c>
    </row>
    <row r="36" ht="12.75" customHeight="1">
      <c r="A36" s="31">
        <v>487.0</v>
      </c>
      <c r="B36" s="32" t="s">
        <v>56915</v>
      </c>
      <c r="C36" s="31">
        <v>160.0</v>
      </c>
      <c r="D36" s="32" t="s">
        <v>56916</v>
      </c>
      <c r="E36" s="32" t="s">
        <v>56917</v>
      </c>
      <c r="F36" s="31">
        <v>100.0</v>
      </c>
      <c r="G36" s="31">
        <v>1.60871003E8</v>
      </c>
    </row>
    <row r="37" ht="12.75" customHeight="1">
      <c r="A37" s="27">
        <v>890.0</v>
      </c>
      <c r="B37" s="28" t="s">
        <v>56918</v>
      </c>
      <c r="C37" s="27">
        <v>160.0</v>
      </c>
      <c r="D37" s="28" t="s">
        <v>56919</v>
      </c>
      <c r="E37" s="28" t="s">
        <v>56920</v>
      </c>
      <c r="F37" s="29">
        <v>49.0</v>
      </c>
      <c r="G37" s="27">
        <v>1.60900495E8</v>
      </c>
    </row>
    <row r="38" ht="12.75" customHeight="1">
      <c r="A38" s="31">
        <v>891.0</v>
      </c>
      <c r="B38" s="32" t="s">
        <v>56921</v>
      </c>
      <c r="C38" s="31">
        <v>160.0</v>
      </c>
      <c r="D38" s="32" t="s">
        <v>56922</v>
      </c>
      <c r="E38" s="32" t="s">
        <v>56923</v>
      </c>
      <c r="F38" s="33">
        <v>6.0</v>
      </c>
      <c r="G38" s="31">
        <v>1.60910069E8</v>
      </c>
    </row>
    <row r="39" ht="12.75" customHeight="1">
      <c r="A39" s="27">
        <v>891.0</v>
      </c>
      <c r="B39" s="28" t="s">
        <v>56924</v>
      </c>
      <c r="C39" s="27">
        <v>160.0</v>
      </c>
      <c r="D39" s="28" t="s">
        <v>56925</v>
      </c>
      <c r="E39" s="28" t="s">
        <v>56926</v>
      </c>
      <c r="F39" s="29">
        <v>79.0</v>
      </c>
      <c r="G39" s="27">
        <v>1.60910793E8</v>
      </c>
    </row>
    <row r="40" ht="12.75" customHeight="1">
      <c r="A40" s="31">
        <v>891.0</v>
      </c>
      <c r="B40" s="32" t="s">
        <v>56927</v>
      </c>
      <c r="C40" s="31">
        <v>160.0</v>
      </c>
      <c r="D40" s="32" t="s">
        <v>56928</v>
      </c>
      <c r="E40" s="32" t="s">
        <v>56929</v>
      </c>
      <c r="F40" s="31">
        <v>250.0</v>
      </c>
      <c r="G40" s="31">
        <v>1.60912504E8</v>
      </c>
    </row>
    <row r="41" ht="12.75" customHeight="1">
      <c r="A41" s="27">
        <v>193.0</v>
      </c>
      <c r="B41" s="28" t="s">
        <v>56930</v>
      </c>
      <c r="C41" s="27">
        <v>160.0</v>
      </c>
      <c r="D41" s="28" t="s">
        <v>56931</v>
      </c>
      <c r="E41" s="28" t="s">
        <v>56932</v>
      </c>
      <c r="F41" s="27">
        <v>157.0</v>
      </c>
      <c r="G41" s="27">
        <v>1.60931572E8</v>
      </c>
    </row>
    <row r="42" ht="12.75" customHeight="1">
      <c r="A42" s="31">
        <v>193.0</v>
      </c>
      <c r="B42" s="32" t="s">
        <v>56933</v>
      </c>
      <c r="C42" s="31">
        <v>160.0</v>
      </c>
      <c r="D42" s="32" t="s">
        <v>56934</v>
      </c>
      <c r="E42" s="32" t="s">
        <v>56935</v>
      </c>
      <c r="F42" s="31">
        <v>206.0</v>
      </c>
      <c r="G42" s="31">
        <v>1.6093205E8</v>
      </c>
    </row>
    <row r="43" ht="12.75" customHeight="1">
      <c r="A43" s="27">
        <v>193.0</v>
      </c>
      <c r="B43" s="28" t="s">
        <v>56936</v>
      </c>
      <c r="C43" s="27">
        <v>160.0</v>
      </c>
      <c r="D43" s="28" t="s">
        <v>56937</v>
      </c>
      <c r="E43" s="28" t="s">
        <v>56938</v>
      </c>
      <c r="F43" s="27">
        <v>229.0</v>
      </c>
      <c r="G43" s="27">
        <v>1.60932292E8</v>
      </c>
    </row>
    <row r="44" ht="12.75" customHeight="1">
      <c r="A44" s="31">
        <v>306.0</v>
      </c>
      <c r="B44" s="32" t="s">
        <v>56939</v>
      </c>
      <c r="C44" s="31">
        <v>165.0</v>
      </c>
      <c r="D44" s="32" t="s">
        <v>56940</v>
      </c>
      <c r="E44" s="32" t="s">
        <v>56941</v>
      </c>
      <c r="F44" s="33">
        <v>28.0</v>
      </c>
      <c r="G44" s="31">
        <v>1.6506028E8</v>
      </c>
    </row>
    <row r="45" ht="12.75" customHeight="1">
      <c r="A45" s="27">
        <v>610.0</v>
      </c>
      <c r="B45" s="28" t="s">
        <v>56942</v>
      </c>
      <c r="C45" s="27">
        <v>165.0</v>
      </c>
      <c r="D45" s="28" t="s">
        <v>56943</v>
      </c>
      <c r="E45" s="28" t="s">
        <v>56944</v>
      </c>
      <c r="F45" s="29">
        <v>37.0</v>
      </c>
      <c r="G45" s="27">
        <v>1.65100379E8</v>
      </c>
    </row>
    <row r="46" ht="12.75" customHeight="1">
      <c r="A46" s="31">
        <v>112.0</v>
      </c>
      <c r="B46" s="32" t="s">
        <v>56945</v>
      </c>
      <c r="C46" s="31">
        <v>165.0</v>
      </c>
      <c r="D46" s="32" t="s">
        <v>56946</v>
      </c>
      <c r="E46" s="32" t="s">
        <v>56947</v>
      </c>
      <c r="F46" s="33">
        <v>44.0</v>
      </c>
      <c r="G46" s="31">
        <v>1.65120441E8</v>
      </c>
    </row>
    <row r="47" ht="12.75" customHeight="1">
      <c r="A47" s="27">
        <v>215.0</v>
      </c>
      <c r="B47" s="28" t="s">
        <v>56948</v>
      </c>
      <c r="C47" s="27">
        <v>165.0</v>
      </c>
      <c r="D47" s="28" t="s">
        <v>56949</v>
      </c>
      <c r="E47" s="28" t="s">
        <v>56950</v>
      </c>
      <c r="F47" s="29">
        <v>13.0</v>
      </c>
      <c r="G47" s="27">
        <v>1.65150132E8</v>
      </c>
    </row>
    <row r="48" ht="12.75" customHeight="1">
      <c r="A48" s="31">
        <v>215.0</v>
      </c>
      <c r="B48" s="32" t="s">
        <v>56951</v>
      </c>
      <c r="C48" s="31">
        <v>165.0</v>
      </c>
      <c r="D48" s="32" t="s">
        <v>56952</v>
      </c>
      <c r="E48" s="32" t="s">
        <v>56953</v>
      </c>
      <c r="F48" s="33">
        <v>18.0</v>
      </c>
      <c r="G48" s="31">
        <v>1.65150187E8</v>
      </c>
    </row>
    <row r="49" ht="12.75" customHeight="1">
      <c r="A49" s="27">
        <v>215.0</v>
      </c>
      <c r="B49" s="28" t="s">
        <v>56954</v>
      </c>
      <c r="C49" s="27">
        <v>165.0</v>
      </c>
      <c r="D49" s="28" t="s">
        <v>56955</v>
      </c>
      <c r="E49" s="28" t="s">
        <v>56956</v>
      </c>
      <c r="F49" s="29">
        <v>46.0</v>
      </c>
      <c r="G49" s="27">
        <v>1.65150466E8</v>
      </c>
    </row>
    <row r="50" ht="12.75" customHeight="1">
      <c r="A50" s="31">
        <v>215.0</v>
      </c>
      <c r="B50" s="32" t="s">
        <v>56957</v>
      </c>
      <c r="C50" s="31">
        <v>165.0</v>
      </c>
      <c r="D50" s="32" t="s">
        <v>56958</v>
      </c>
      <c r="E50" s="32" t="s">
        <v>56959</v>
      </c>
      <c r="F50" s="33">
        <v>52.0</v>
      </c>
      <c r="G50" s="31">
        <v>1.65150529E8</v>
      </c>
    </row>
    <row r="51" ht="12.75" customHeight="1">
      <c r="A51" s="27">
        <v>215.0</v>
      </c>
      <c r="B51" s="28" t="s">
        <v>56960</v>
      </c>
      <c r="C51" s="27">
        <v>165.0</v>
      </c>
      <c r="D51" s="28" t="s">
        <v>56961</v>
      </c>
      <c r="E51" s="28" t="s">
        <v>56962</v>
      </c>
      <c r="F51" s="27">
        <v>124.0</v>
      </c>
      <c r="G51" s="27">
        <v>1.65151249E8</v>
      </c>
    </row>
    <row r="52" ht="12.75" customHeight="1">
      <c r="A52" s="31">
        <v>215.0</v>
      </c>
      <c r="B52" s="32" t="s">
        <v>56963</v>
      </c>
      <c r="C52" s="31">
        <v>165.0</v>
      </c>
      <c r="D52" s="32" t="s">
        <v>56964</v>
      </c>
      <c r="E52" s="32" t="s">
        <v>56965</v>
      </c>
      <c r="F52" s="31">
        <v>130.0</v>
      </c>
      <c r="G52" s="31">
        <v>1.65151302E8</v>
      </c>
    </row>
    <row r="53" ht="12.75" customHeight="1">
      <c r="A53" s="27">
        <v>215.0</v>
      </c>
      <c r="B53" s="28" t="s">
        <v>56966</v>
      </c>
      <c r="C53" s="27">
        <v>165.0</v>
      </c>
      <c r="D53" s="28" t="s">
        <v>56967</v>
      </c>
      <c r="E53" s="28" t="s">
        <v>56968</v>
      </c>
      <c r="F53" s="27">
        <v>148.0</v>
      </c>
      <c r="G53" s="27">
        <v>1.65151481E8</v>
      </c>
    </row>
    <row r="54" ht="12.75" customHeight="1">
      <c r="A54" s="31">
        <v>215.0</v>
      </c>
      <c r="B54" s="32" t="s">
        <v>56969</v>
      </c>
      <c r="C54" s="31">
        <v>165.0</v>
      </c>
      <c r="D54" s="32" t="s">
        <v>56970</v>
      </c>
      <c r="E54" s="32" t="s">
        <v>56971</v>
      </c>
      <c r="F54" s="31">
        <v>184.0</v>
      </c>
      <c r="G54" s="31">
        <v>1.65151849E8</v>
      </c>
    </row>
    <row r="55" ht="12.75" customHeight="1">
      <c r="A55" s="27">
        <v>215.0</v>
      </c>
      <c r="B55" s="28" t="s">
        <v>56972</v>
      </c>
      <c r="C55" s="27">
        <v>165.0</v>
      </c>
      <c r="D55" s="28" t="s">
        <v>56973</v>
      </c>
      <c r="E55" s="28" t="s">
        <v>56974</v>
      </c>
      <c r="F55" s="27">
        <v>200.0</v>
      </c>
      <c r="G55" s="27">
        <v>1.65152006E8</v>
      </c>
    </row>
    <row r="56" ht="12.75" customHeight="1">
      <c r="A56" s="31">
        <v>215.0</v>
      </c>
      <c r="B56" s="32" t="s">
        <v>56975</v>
      </c>
      <c r="C56" s="31">
        <v>165.0</v>
      </c>
      <c r="D56" s="32" t="s">
        <v>56976</v>
      </c>
      <c r="E56" s="32" t="s">
        <v>56977</v>
      </c>
      <c r="F56" s="31">
        <v>257.0</v>
      </c>
      <c r="G56" s="31">
        <v>1.65152572E8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56978</v>
      </c>
      <c r="C1" s="27">
        <v>165.0</v>
      </c>
      <c r="D1" s="28" t="s">
        <v>56979</v>
      </c>
      <c r="E1" s="28" t="s">
        <v>56980</v>
      </c>
      <c r="F1" s="27">
        <v>316.0</v>
      </c>
      <c r="G1" s="27">
        <v>1.65153168E8</v>
      </c>
    </row>
    <row r="2" ht="12.75" customHeight="1">
      <c r="A2" s="31">
        <v>215.0</v>
      </c>
      <c r="B2" s="32" t="s">
        <v>56981</v>
      </c>
      <c r="C2" s="31">
        <v>165.0</v>
      </c>
      <c r="D2" s="32" t="s">
        <v>56982</v>
      </c>
      <c r="E2" s="32" t="s">
        <v>56983</v>
      </c>
      <c r="F2" s="31">
        <v>322.0</v>
      </c>
      <c r="G2" s="31">
        <v>1.65153221E8</v>
      </c>
    </row>
    <row r="3" ht="12.75" customHeight="1">
      <c r="A3" s="27">
        <v>215.0</v>
      </c>
      <c r="B3" s="28" t="s">
        <v>56984</v>
      </c>
      <c r="C3" s="27">
        <v>165.0</v>
      </c>
      <c r="D3" s="28" t="s">
        <v>56985</v>
      </c>
      <c r="E3" s="28" t="s">
        <v>56986</v>
      </c>
      <c r="F3" s="27">
        <v>364.0</v>
      </c>
      <c r="G3" s="27">
        <v>1.65153647E8</v>
      </c>
    </row>
    <row r="4" ht="12.75" customHeight="1">
      <c r="A4" s="31">
        <v>215.0</v>
      </c>
      <c r="B4" s="32" t="s">
        <v>56987</v>
      </c>
      <c r="C4" s="31">
        <v>165.0</v>
      </c>
      <c r="D4" s="32" t="s">
        <v>56988</v>
      </c>
      <c r="E4" s="32" t="s">
        <v>56989</v>
      </c>
      <c r="F4" s="31">
        <v>427.0</v>
      </c>
      <c r="G4" s="31">
        <v>1.65154275E8</v>
      </c>
    </row>
    <row r="5" ht="12.75" customHeight="1">
      <c r="A5" s="27">
        <v>215.0</v>
      </c>
      <c r="B5" s="28" t="s">
        <v>56990</v>
      </c>
      <c r="C5" s="27">
        <v>165.0</v>
      </c>
      <c r="D5" s="28" t="s">
        <v>56991</v>
      </c>
      <c r="E5" s="28" t="s">
        <v>56992</v>
      </c>
      <c r="F5" s="27">
        <v>532.0</v>
      </c>
      <c r="G5" s="27">
        <v>1.65155324E8</v>
      </c>
    </row>
    <row r="6" ht="12.75" customHeight="1">
      <c r="A6" s="31">
        <v>215.0</v>
      </c>
      <c r="B6" s="32" t="s">
        <v>56993</v>
      </c>
      <c r="C6" s="31">
        <v>165.0</v>
      </c>
      <c r="D6" s="32" t="s">
        <v>56994</v>
      </c>
      <c r="E6" s="32" t="s">
        <v>56995</v>
      </c>
      <c r="F6" s="31">
        <v>545.0</v>
      </c>
      <c r="G6" s="31">
        <v>1.65155458E8</v>
      </c>
    </row>
    <row r="7" ht="12.75" customHeight="1">
      <c r="A7" s="27">
        <v>215.0</v>
      </c>
      <c r="B7" s="28" t="s">
        <v>56996</v>
      </c>
      <c r="C7" s="27">
        <v>165.0</v>
      </c>
      <c r="D7" s="28" t="s">
        <v>56997</v>
      </c>
      <c r="E7" s="28" t="s">
        <v>56998</v>
      </c>
      <c r="F7" s="27">
        <v>592.0</v>
      </c>
      <c r="G7" s="27">
        <v>1.65155924E8</v>
      </c>
    </row>
    <row r="8" ht="12.75" customHeight="1">
      <c r="A8" s="31">
        <v>215.0</v>
      </c>
      <c r="B8" s="32" t="s">
        <v>56999</v>
      </c>
      <c r="C8" s="31">
        <v>165.0</v>
      </c>
      <c r="D8" s="32" t="s">
        <v>57000</v>
      </c>
      <c r="E8" s="32" t="s">
        <v>57001</v>
      </c>
      <c r="F8" s="31">
        <v>646.0</v>
      </c>
      <c r="G8" s="31">
        <v>1.6515646E8</v>
      </c>
    </row>
    <row r="9" ht="12.75" customHeight="1">
      <c r="A9" s="27">
        <v>215.0</v>
      </c>
      <c r="B9" s="28" t="s">
        <v>57002</v>
      </c>
      <c r="C9" s="27">
        <v>165.0</v>
      </c>
      <c r="D9" s="28" t="s">
        <v>57003</v>
      </c>
      <c r="E9" s="28" t="s">
        <v>57004</v>
      </c>
      <c r="F9" s="27">
        <v>649.0</v>
      </c>
      <c r="G9" s="27">
        <v>1.65156499E8</v>
      </c>
    </row>
    <row r="10" ht="12.75" customHeight="1">
      <c r="A10" s="31">
        <v>215.0</v>
      </c>
      <c r="B10" s="32" t="s">
        <v>57005</v>
      </c>
      <c r="C10" s="31">
        <v>165.0</v>
      </c>
      <c r="D10" s="32" t="s">
        <v>57006</v>
      </c>
      <c r="E10" s="32" t="s">
        <v>57007</v>
      </c>
      <c r="F10" s="31">
        <v>739.0</v>
      </c>
      <c r="G10" s="31">
        <v>1.65157393E8</v>
      </c>
    </row>
    <row r="11" ht="12.75" customHeight="1">
      <c r="A11" s="27">
        <v>215.0</v>
      </c>
      <c r="B11" s="28" t="s">
        <v>57008</v>
      </c>
      <c r="C11" s="27">
        <v>165.0</v>
      </c>
      <c r="D11" s="28" t="s">
        <v>57009</v>
      </c>
      <c r="E11" s="28" t="s">
        <v>57010</v>
      </c>
      <c r="F11" s="27">
        <v>751.0</v>
      </c>
      <c r="G11" s="27">
        <v>1.65157519E8</v>
      </c>
    </row>
    <row r="12" ht="12.75" customHeight="1">
      <c r="A12" s="31">
        <v>119.0</v>
      </c>
      <c r="B12" s="32" t="s">
        <v>57011</v>
      </c>
      <c r="C12" s="31">
        <v>165.0</v>
      </c>
      <c r="D12" s="32" t="s">
        <v>57012</v>
      </c>
      <c r="E12" s="32" t="s">
        <v>57013</v>
      </c>
      <c r="F12" s="31">
        <v>115.0</v>
      </c>
      <c r="G12" s="31">
        <v>1.65191159E8</v>
      </c>
    </row>
    <row r="13" ht="12.75" customHeight="1">
      <c r="A13" s="27">
        <v>119.0</v>
      </c>
      <c r="B13" s="28" t="s">
        <v>57014</v>
      </c>
      <c r="C13" s="27">
        <v>165.0</v>
      </c>
      <c r="D13" s="28" t="s">
        <v>57015</v>
      </c>
      <c r="E13" s="28" t="s">
        <v>57016</v>
      </c>
      <c r="F13" s="27">
        <v>271.0</v>
      </c>
      <c r="G13" s="27">
        <v>1.65192716E8</v>
      </c>
    </row>
    <row r="14" ht="12.75" customHeight="1">
      <c r="A14" s="31">
        <v>222.0</v>
      </c>
      <c r="B14" s="32" t="s">
        <v>57017</v>
      </c>
      <c r="C14" s="31">
        <v>165.0</v>
      </c>
      <c r="D14" s="32" t="s">
        <v>57018</v>
      </c>
      <c r="E14" s="32" t="s">
        <v>57019</v>
      </c>
      <c r="F14" s="33">
        <v>25.0</v>
      </c>
      <c r="G14" s="31">
        <v>1.65220259E8</v>
      </c>
    </row>
    <row r="15" ht="12.75" customHeight="1">
      <c r="A15" s="27">
        <v>126.0</v>
      </c>
      <c r="B15" s="28" t="s">
        <v>57020</v>
      </c>
      <c r="C15" s="27">
        <v>165.0</v>
      </c>
      <c r="D15" s="28" t="s">
        <v>57021</v>
      </c>
      <c r="E15" s="28" t="s">
        <v>57022</v>
      </c>
      <c r="F15" s="29">
        <v>20.0</v>
      </c>
      <c r="G15" s="27">
        <v>1.65260206E8</v>
      </c>
    </row>
    <row r="16" ht="12.75" customHeight="1">
      <c r="A16" s="31">
        <v>126.0</v>
      </c>
      <c r="B16" s="32" t="s">
        <v>57023</v>
      </c>
      <c r="C16" s="31">
        <v>165.0</v>
      </c>
      <c r="D16" s="32" t="s">
        <v>57024</v>
      </c>
      <c r="E16" s="32" t="s">
        <v>57025</v>
      </c>
      <c r="F16" s="33">
        <v>24.0</v>
      </c>
      <c r="G16" s="31">
        <v>1.65260248E8</v>
      </c>
    </row>
    <row r="17" ht="12.75" customHeight="1">
      <c r="A17" s="27">
        <v>126.0</v>
      </c>
      <c r="B17" s="28" t="s">
        <v>57026</v>
      </c>
      <c r="C17" s="27">
        <v>165.0</v>
      </c>
      <c r="D17" s="28" t="s">
        <v>57027</v>
      </c>
      <c r="E17" s="28" t="s">
        <v>57028</v>
      </c>
      <c r="F17" s="29">
        <v>43.0</v>
      </c>
      <c r="G17" s="27">
        <v>1.65260435E8</v>
      </c>
    </row>
    <row r="18" ht="12.75" customHeight="1">
      <c r="A18" s="31">
        <v>126.0</v>
      </c>
      <c r="B18" s="32" t="s">
        <v>57029</v>
      </c>
      <c r="C18" s="31">
        <v>165.0</v>
      </c>
      <c r="D18" s="32" t="s">
        <v>57030</v>
      </c>
      <c r="E18" s="32" t="s">
        <v>57031</v>
      </c>
      <c r="F18" s="33">
        <v>49.0</v>
      </c>
      <c r="G18" s="31">
        <v>1.65260493E8</v>
      </c>
    </row>
    <row r="19" ht="12.75" customHeight="1">
      <c r="A19" s="27">
        <v>126.0</v>
      </c>
      <c r="B19" s="28" t="s">
        <v>57032</v>
      </c>
      <c r="C19" s="27">
        <v>165.0</v>
      </c>
      <c r="D19" s="28" t="s">
        <v>57033</v>
      </c>
      <c r="E19" s="28" t="s">
        <v>57034</v>
      </c>
      <c r="F19" s="29">
        <v>50.0</v>
      </c>
      <c r="G19" s="27">
        <v>1.65260501E8</v>
      </c>
    </row>
    <row r="20" ht="12.75" customHeight="1">
      <c r="A20" s="31">
        <v>126.0</v>
      </c>
      <c r="B20" s="32" t="s">
        <v>57035</v>
      </c>
      <c r="C20" s="31">
        <v>165.0</v>
      </c>
      <c r="D20" s="32" t="s">
        <v>57036</v>
      </c>
      <c r="E20" s="32" t="s">
        <v>57037</v>
      </c>
      <c r="F20" s="33">
        <v>72.0</v>
      </c>
      <c r="G20" s="31">
        <v>1.65260727E8</v>
      </c>
    </row>
    <row r="21" ht="12.75" customHeight="1">
      <c r="A21" s="27">
        <v>126.0</v>
      </c>
      <c r="B21" s="28" t="s">
        <v>57038</v>
      </c>
      <c r="C21" s="27">
        <v>165.0</v>
      </c>
      <c r="D21" s="28" t="s">
        <v>57039</v>
      </c>
      <c r="E21" s="28" t="s">
        <v>57040</v>
      </c>
      <c r="F21" s="27">
        <v>118.0</v>
      </c>
      <c r="G21" s="27">
        <v>1.65261184E8</v>
      </c>
    </row>
    <row r="22" ht="12.75" customHeight="1">
      <c r="A22" s="31">
        <v>126.0</v>
      </c>
      <c r="B22" s="32" t="s">
        <v>57041</v>
      </c>
      <c r="C22" s="31">
        <v>165.0</v>
      </c>
      <c r="D22" s="32" t="s">
        <v>57042</v>
      </c>
      <c r="E22" s="32" t="s">
        <v>57043</v>
      </c>
      <c r="F22" s="31">
        <v>133.0</v>
      </c>
      <c r="G22" s="31">
        <v>1.65261339E8</v>
      </c>
    </row>
    <row r="23" ht="12.75" customHeight="1">
      <c r="A23" s="27">
        <v>126.0</v>
      </c>
      <c r="B23" s="28" t="s">
        <v>57044</v>
      </c>
      <c r="C23" s="27">
        <v>165.0</v>
      </c>
      <c r="D23" s="28" t="s">
        <v>57045</v>
      </c>
      <c r="E23" s="28" t="s">
        <v>57046</v>
      </c>
      <c r="F23" s="27">
        <v>163.0</v>
      </c>
      <c r="G23" s="27">
        <v>1.65261634E8</v>
      </c>
    </row>
    <row r="24" ht="12.75" customHeight="1">
      <c r="A24" s="31">
        <v>126.0</v>
      </c>
      <c r="B24" s="32" t="s">
        <v>57047</v>
      </c>
      <c r="C24" s="31">
        <v>165.0</v>
      </c>
      <c r="D24" s="32" t="s">
        <v>57048</v>
      </c>
      <c r="E24" s="32" t="s">
        <v>57049</v>
      </c>
      <c r="F24" s="31">
        <v>172.0</v>
      </c>
      <c r="G24" s="31">
        <v>1.65261726E8</v>
      </c>
    </row>
    <row r="25" ht="12.75" customHeight="1">
      <c r="A25" s="27">
        <v>126.0</v>
      </c>
      <c r="B25" s="28" t="s">
        <v>57050</v>
      </c>
      <c r="C25" s="27">
        <v>165.0</v>
      </c>
      <c r="D25" s="28" t="s">
        <v>57051</v>
      </c>
      <c r="E25" s="28" t="s">
        <v>57052</v>
      </c>
      <c r="F25" s="27">
        <v>253.0</v>
      </c>
      <c r="G25" s="27">
        <v>1.65262538E8</v>
      </c>
    </row>
    <row r="26" ht="12.75" customHeight="1">
      <c r="A26" s="31">
        <v>126.0</v>
      </c>
      <c r="B26" s="32" t="s">
        <v>57053</v>
      </c>
      <c r="C26" s="31">
        <v>165.0</v>
      </c>
      <c r="D26" s="32" t="s">
        <v>57054</v>
      </c>
      <c r="E26" s="32" t="s">
        <v>57055</v>
      </c>
      <c r="F26" s="31">
        <v>298.0</v>
      </c>
      <c r="G26" s="31">
        <v>1.65262983E8</v>
      </c>
    </row>
    <row r="27" ht="12.75" customHeight="1">
      <c r="A27" s="27">
        <v>126.0</v>
      </c>
      <c r="B27" s="28" t="s">
        <v>57056</v>
      </c>
      <c r="C27" s="27">
        <v>165.0</v>
      </c>
      <c r="D27" s="28" t="s">
        <v>57057</v>
      </c>
      <c r="E27" s="28" t="s">
        <v>57058</v>
      </c>
      <c r="F27" s="27">
        <v>370.0</v>
      </c>
      <c r="G27" s="27">
        <v>1.65263708E8</v>
      </c>
    </row>
    <row r="28" ht="12.75" customHeight="1">
      <c r="A28" s="31">
        <v>126.0</v>
      </c>
      <c r="B28" s="32" t="s">
        <v>57059</v>
      </c>
      <c r="C28" s="31">
        <v>165.0</v>
      </c>
      <c r="D28" s="32" t="s">
        <v>57060</v>
      </c>
      <c r="E28" s="32" t="s">
        <v>57061</v>
      </c>
      <c r="F28" s="31">
        <v>397.0</v>
      </c>
      <c r="G28" s="31">
        <v>1.65263979E8</v>
      </c>
    </row>
    <row r="29" ht="12.75" customHeight="1">
      <c r="A29" s="27">
        <v>126.0</v>
      </c>
      <c r="B29" s="28" t="s">
        <v>57062</v>
      </c>
      <c r="C29" s="27">
        <v>165.0</v>
      </c>
      <c r="D29" s="28" t="s">
        <v>57063</v>
      </c>
      <c r="E29" s="28" t="s">
        <v>57064</v>
      </c>
      <c r="F29" s="27">
        <v>463.0</v>
      </c>
      <c r="G29" s="27">
        <v>1.65264631E8</v>
      </c>
    </row>
    <row r="30" ht="12.75" customHeight="1">
      <c r="A30" s="31">
        <v>127.0</v>
      </c>
      <c r="B30" s="32" t="s">
        <v>57065</v>
      </c>
      <c r="C30" s="31">
        <v>165.0</v>
      </c>
      <c r="D30" s="32" t="s">
        <v>57066</v>
      </c>
      <c r="E30" s="32" t="s">
        <v>57067</v>
      </c>
      <c r="F30" s="33">
        <v>0.0</v>
      </c>
      <c r="G30" s="31">
        <v>1.65270009E8</v>
      </c>
    </row>
    <row r="31" ht="12.75" customHeight="1">
      <c r="A31" s="27">
        <v>127.0</v>
      </c>
      <c r="B31" s="28" t="s">
        <v>57068</v>
      </c>
      <c r="C31" s="27">
        <v>165.0</v>
      </c>
      <c r="D31" s="28" t="s">
        <v>57069</v>
      </c>
      <c r="E31" s="28" t="s">
        <v>57070</v>
      </c>
      <c r="F31" s="29">
        <v>88.0</v>
      </c>
      <c r="G31" s="27">
        <v>1.65270883E8</v>
      </c>
    </row>
    <row r="32" ht="12.75" customHeight="1">
      <c r="A32" s="31">
        <v>127.0</v>
      </c>
      <c r="B32" s="32" t="s">
        <v>57071</v>
      </c>
      <c r="C32" s="31">
        <v>165.0</v>
      </c>
      <c r="D32" s="32" t="s">
        <v>57072</v>
      </c>
      <c r="E32" s="32" t="s">
        <v>57073</v>
      </c>
      <c r="F32" s="33">
        <v>97.0</v>
      </c>
      <c r="G32" s="31">
        <v>1.65270975E8</v>
      </c>
    </row>
    <row r="33" ht="12.75" customHeight="1">
      <c r="A33" s="27">
        <v>127.0</v>
      </c>
      <c r="B33" s="28" t="s">
        <v>57074</v>
      </c>
      <c r="C33" s="27">
        <v>165.0</v>
      </c>
      <c r="D33" s="28" t="s">
        <v>57075</v>
      </c>
      <c r="E33" s="28" t="s">
        <v>57076</v>
      </c>
      <c r="F33" s="27">
        <v>280.0</v>
      </c>
      <c r="G33" s="27">
        <v>1.65272807E8</v>
      </c>
    </row>
    <row r="34" ht="12.75" customHeight="1">
      <c r="A34" s="31">
        <v>127.0</v>
      </c>
      <c r="B34" s="32" t="s">
        <v>57077</v>
      </c>
      <c r="C34" s="31">
        <v>165.0</v>
      </c>
      <c r="D34" s="32" t="s">
        <v>57078</v>
      </c>
      <c r="E34" s="32" t="s">
        <v>57079</v>
      </c>
      <c r="F34" s="31">
        <v>322.0</v>
      </c>
      <c r="G34" s="31">
        <v>1.65273222E8</v>
      </c>
    </row>
    <row r="35" ht="12.75" customHeight="1">
      <c r="A35" s="27">
        <v>127.0</v>
      </c>
      <c r="B35" s="28" t="s">
        <v>57080</v>
      </c>
      <c r="C35" s="27">
        <v>165.0</v>
      </c>
      <c r="D35" s="28" t="s">
        <v>57081</v>
      </c>
      <c r="E35" s="28" t="s">
        <v>57082</v>
      </c>
      <c r="F35" s="27">
        <v>328.0</v>
      </c>
      <c r="G35" s="27">
        <v>1.6527328E8</v>
      </c>
    </row>
    <row r="36" ht="12.75" customHeight="1">
      <c r="A36" s="31">
        <v>127.0</v>
      </c>
      <c r="B36" s="32" t="s">
        <v>57083</v>
      </c>
      <c r="C36" s="31">
        <v>165.0</v>
      </c>
      <c r="D36" s="32" t="s">
        <v>57084</v>
      </c>
      <c r="E36" s="32" t="s">
        <v>57085</v>
      </c>
      <c r="F36" s="31">
        <v>337.0</v>
      </c>
      <c r="G36" s="31">
        <v>1.65273372E8</v>
      </c>
    </row>
    <row r="37" ht="12.75" customHeight="1">
      <c r="A37" s="27">
        <v>127.0</v>
      </c>
      <c r="B37" s="28" t="s">
        <v>57086</v>
      </c>
      <c r="C37" s="27">
        <v>165.0</v>
      </c>
      <c r="D37" s="28" t="s">
        <v>57087</v>
      </c>
      <c r="E37" s="28" t="s">
        <v>57088</v>
      </c>
      <c r="F37" s="27">
        <v>382.0</v>
      </c>
      <c r="G37" s="27">
        <v>1.65273822E8</v>
      </c>
    </row>
    <row r="38" ht="12.75" customHeight="1">
      <c r="A38" s="31">
        <v>127.0</v>
      </c>
      <c r="B38" s="32" t="s">
        <v>57089</v>
      </c>
      <c r="C38" s="31">
        <v>165.0</v>
      </c>
      <c r="D38" s="32" t="s">
        <v>57090</v>
      </c>
      <c r="E38" s="32" t="s">
        <v>57091</v>
      </c>
      <c r="F38" s="31">
        <v>418.0</v>
      </c>
      <c r="G38" s="31">
        <v>1.65274184E8</v>
      </c>
    </row>
    <row r="39" ht="12.75" customHeight="1">
      <c r="A39" s="27">
        <v>127.0</v>
      </c>
      <c r="B39" s="28" t="s">
        <v>57092</v>
      </c>
      <c r="C39" s="27">
        <v>165.0</v>
      </c>
      <c r="D39" s="28" t="s">
        <v>57093</v>
      </c>
      <c r="E39" s="28" t="s">
        <v>57094</v>
      </c>
      <c r="F39" s="27">
        <v>424.0</v>
      </c>
      <c r="G39" s="27">
        <v>1.65274247E8</v>
      </c>
    </row>
    <row r="40" ht="12.75" customHeight="1">
      <c r="A40" s="31">
        <v>127.0</v>
      </c>
      <c r="B40" s="32" t="s">
        <v>57095</v>
      </c>
      <c r="C40" s="31">
        <v>165.0</v>
      </c>
      <c r="D40" s="32" t="s">
        <v>57096</v>
      </c>
      <c r="E40" s="32" t="s">
        <v>57097</v>
      </c>
      <c r="F40" s="31">
        <v>460.0</v>
      </c>
      <c r="G40" s="31">
        <v>1.65274605E8</v>
      </c>
    </row>
    <row r="41" ht="12.75" customHeight="1">
      <c r="A41" s="27">
        <v>127.0</v>
      </c>
      <c r="B41" s="28" t="s">
        <v>57098</v>
      </c>
      <c r="C41" s="27">
        <v>165.0</v>
      </c>
      <c r="D41" s="28" t="s">
        <v>57099</v>
      </c>
      <c r="E41" s="28" t="s">
        <v>57100</v>
      </c>
      <c r="F41" s="27">
        <v>469.0</v>
      </c>
      <c r="G41" s="27">
        <v>1.65274692E8</v>
      </c>
    </row>
    <row r="42" ht="12.75" customHeight="1">
      <c r="A42" s="31">
        <v>127.0</v>
      </c>
      <c r="B42" s="32" t="s">
        <v>57101</v>
      </c>
      <c r="C42" s="31">
        <v>165.0</v>
      </c>
      <c r="D42" s="32" t="s">
        <v>57102</v>
      </c>
      <c r="E42" s="32" t="s">
        <v>57103</v>
      </c>
      <c r="F42" s="31">
        <v>535.0</v>
      </c>
      <c r="G42" s="31">
        <v>1.65275354E8</v>
      </c>
    </row>
    <row r="43" ht="12.75" customHeight="1">
      <c r="A43" s="27">
        <v>127.0</v>
      </c>
      <c r="B43" s="28" t="s">
        <v>57104</v>
      </c>
      <c r="C43" s="27">
        <v>165.0</v>
      </c>
      <c r="D43" s="28" t="s">
        <v>57105</v>
      </c>
      <c r="E43" s="28" t="s">
        <v>57106</v>
      </c>
      <c r="F43" s="27">
        <v>670.0</v>
      </c>
      <c r="G43" s="27">
        <v>1.65276708E8</v>
      </c>
    </row>
    <row r="44" ht="12.75" customHeight="1">
      <c r="A44" s="31">
        <v>127.0</v>
      </c>
      <c r="B44" s="32" t="s">
        <v>57107</v>
      </c>
      <c r="C44" s="31">
        <v>165.0</v>
      </c>
      <c r="D44" s="32" t="s">
        <v>57108</v>
      </c>
      <c r="E44" s="32" t="s">
        <v>57109</v>
      </c>
      <c r="F44" s="31">
        <v>709.0</v>
      </c>
      <c r="G44" s="31">
        <v>1.65277099E8</v>
      </c>
    </row>
    <row r="45" ht="12.75" customHeight="1">
      <c r="A45" s="27">
        <v>329.0</v>
      </c>
      <c r="B45" s="28" t="s">
        <v>57110</v>
      </c>
      <c r="C45" s="27">
        <v>165.0</v>
      </c>
      <c r="D45" s="28" t="s">
        <v>57111</v>
      </c>
      <c r="E45" s="28" t="s">
        <v>57112</v>
      </c>
      <c r="F45" s="29">
        <v>52.0</v>
      </c>
      <c r="G45" s="27">
        <v>1.65290526E8</v>
      </c>
    </row>
    <row r="46" ht="12.75" customHeight="1">
      <c r="A46" s="31">
        <v>230.0</v>
      </c>
      <c r="B46" s="32" t="s">
        <v>57113</v>
      </c>
      <c r="C46" s="31">
        <v>165.0</v>
      </c>
      <c r="D46" s="32" t="s">
        <v>57114</v>
      </c>
      <c r="E46" s="32" t="s">
        <v>57115</v>
      </c>
      <c r="F46" s="33">
        <v>37.0</v>
      </c>
      <c r="G46" s="31">
        <v>1.65300379E8</v>
      </c>
    </row>
    <row r="47" ht="12.75" customHeight="1">
      <c r="A47" s="27">
        <v>230.0</v>
      </c>
      <c r="B47" s="28" t="s">
        <v>57116</v>
      </c>
      <c r="C47" s="27">
        <v>165.0</v>
      </c>
      <c r="D47" s="28" t="s">
        <v>57117</v>
      </c>
      <c r="E47" s="28" t="s">
        <v>57118</v>
      </c>
      <c r="F47" s="29">
        <v>52.0</v>
      </c>
      <c r="G47" s="27">
        <v>1.65300524E8</v>
      </c>
    </row>
    <row r="48" ht="12.75" customHeight="1">
      <c r="A48" s="31">
        <v>133.0</v>
      </c>
      <c r="B48" s="32" t="s">
        <v>57119</v>
      </c>
      <c r="C48" s="31">
        <v>165.0</v>
      </c>
      <c r="D48" s="32" t="s">
        <v>57120</v>
      </c>
      <c r="E48" s="32" t="s">
        <v>57121</v>
      </c>
      <c r="F48" s="31">
        <v>100.0</v>
      </c>
      <c r="G48" s="31">
        <v>1.65331001E8</v>
      </c>
    </row>
    <row r="49" ht="12.75" customHeight="1">
      <c r="A49" s="27">
        <v>133.0</v>
      </c>
      <c r="B49" s="28" t="s">
        <v>57122</v>
      </c>
      <c r="C49" s="27">
        <v>165.0</v>
      </c>
      <c r="D49" s="28" t="s">
        <v>57123</v>
      </c>
      <c r="E49" s="28" t="s">
        <v>57124</v>
      </c>
      <c r="F49" s="27">
        <v>165.0</v>
      </c>
      <c r="G49" s="27">
        <v>1.65331656E8</v>
      </c>
    </row>
    <row r="50" ht="12.75" customHeight="1">
      <c r="A50" s="31">
        <v>441.0</v>
      </c>
      <c r="B50" s="32" t="s">
        <v>57125</v>
      </c>
      <c r="C50" s="31">
        <v>165.0</v>
      </c>
      <c r="D50" s="32" t="s">
        <v>57126</v>
      </c>
      <c r="E50" s="32" t="s">
        <v>57127</v>
      </c>
      <c r="F50" s="33">
        <v>94.0</v>
      </c>
      <c r="G50" s="31">
        <v>1.65410948E8</v>
      </c>
    </row>
    <row r="51" ht="12.75" customHeight="1">
      <c r="A51" s="27">
        <v>447.0</v>
      </c>
      <c r="B51" s="28" t="s">
        <v>57128</v>
      </c>
      <c r="C51" s="27">
        <v>165.0</v>
      </c>
      <c r="D51" s="28" t="s">
        <v>57129</v>
      </c>
      <c r="E51" s="28" t="s">
        <v>57130</v>
      </c>
      <c r="F51" s="27">
        <v>154.0</v>
      </c>
      <c r="G51" s="27">
        <v>1.65471545E8</v>
      </c>
    </row>
    <row r="52" ht="12.75" customHeight="1">
      <c r="A52" s="31">
        <v>450.0</v>
      </c>
      <c r="B52" s="32" t="s">
        <v>57131</v>
      </c>
      <c r="C52" s="31">
        <v>165.0</v>
      </c>
      <c r="D52" s="32" t="s">
        <v>57132</v>
      </c>
      <c r="E52" s="32" t="s">
        <v>57133</v>
      </c>
      <c r="F52" s="33">
        <v>94.0</v>
      </c>
      <c r="G52" s="31">
        <v>1.6550094E8</v>
      </c>
    </row>
    <row r="53" ht="12.75" customHeight="1">
      <c r="A53" s="27">
        <v>450.0</v>
      </c>
      <c r="B53" s="28" t="s">
        <v>57134</v>
      </c>
      <c r="C53" s="27">
        <v>165.0</v>
      </c>
      <c r="D53" s="28" t="s">
        <v>57135</v>
      </c>
      <c r="E53" s="28" t="s">
        <v>57136</v>
      </c>
      <c r="F53" s="27">
        <v>136.0</v>
      </c>
      <c r="G53" s="27">
        <v>1.65501365E8</v>
      </c>
    </row>
    <row r="54" ht="12.75" customHeight="1">
      <c r="A54" s="31">
        <v>251.0</v>
      </c>
      <c r="B54" s="32" t="s">
        <v>57137</v>
      </c>
      <c r="C54" s="31">
        <v>165.0</v>
      </c>
      <c r="D54" s="32" t="s">
        <v>57138</v>
      </c>
      <c r="E54" s="32" t="s">
        <v>57139</v>
      </c>
      <c r="F54" s="33">
        <v>5.0</v>
      </c>
      <c r="G54" s="31">
        <v>1.65510051E8</v>
      </c>
    </row>
    <row r="55" ht="12.75" customHeight="1">
      <c r="A55" s="27">
        <v>251.0</v>
      </c>
      <c r="B55" s="28" t="s">
        <v>57140</v>
      </c>
      <c r="C55" s="27">
        <v>165.0</v>
      </c>
      <c r="D55" s="28" t="s">
        <v>57141</v>
      </c>
      <c r="E55" s="28" t="s">
        <v>57142</v>
      </c>
      <c r="F55" s="29">
        <v>19.0</v>
      </c>
      <c r="G55" s="27">
        <v>1.65510198E8</v>
      </c>
    </row>
    <row r="56" ht="12.75" customHeight="1">
      <c r="A56" s="31">
        <v>251.0</v>
      </c>
      <c r="B56" s="32" t="s">
        <v>57143</v>
      </c>
      <c r="C56" s="31">
        <v>165.0</v>
      </c>
      <c r="D56" s="32" t="s">
        <v>57144</v>
      </c>
      <c r="E56" s="32" t="s">
        <v>57145</v>
      </c>
      <c r="F56" s="33">
        <v>82.0</v>
      </c>
      <c r="G56" s="31">
        <v>1.65510822E8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251.0</v>
      </c>
      <c r="B1" s="28" t="s">
        <v>57146</v>
      </c>
      <c r="C1" s="27">
        <v>165.0</v>
      </c>
      <c r="D1" s="28" t="s">
        <v>57147</v>
      </c>
      <c r="E1" s="28" t="s">
        <v>57148</v>
      </c>
      <c r="F1" s="29">
        <v>97.0</v>
      </c>
      <c r="G1" s="27">
        <v>1.65510972E8</v>
      </c>
    </row>
    <row r="2" ht="12.75" customHeight="1">
      <c r="A2" s="31">
        <v>251.0</v>
      </c>
      <c r="B2" s="32" t="s">
        <v>57149</v>
      </c>
      <c r="C2" s="31">
        <v>165.0</v>
      </c>
      <c r="D2" s="32" t="s">
        <v>57150</v>
      </c>
      <c r="E2" s="32" t="s">
        <v>57151</v>
      </c>
      <c r="F2" s="31">
        <v>103.0</v>
      </c>
      <c r="G2" s="31">
        <v>1.65511034E8</v>
      </c>
    </row>
    <row r="3" ht="12.75" customHeight="1">
      <c r="A3" s="27">
        <v>858.0</v>
      </c>
      <c r="B3" s="28" t="s">
        <v>57152</v>
      </c>
      <c r="C3" s="27">
        <v>165.0</v>
      </c>
      <c r="D3" s="28" t="s">
        <v>57153</v>
      </c>
      <c r="E3" s="28" t="s">
        <v>57154</v>
      </c>
      <c r="F3" s="27">
        <v>163.0</v>
      </c>
      <c r="G3" s="27">
        <v>1.65581635E8</v>
      </c>
    </row>
    <row r="4" ht="12.75" customHeight="1">
      <c r="A4" s="31">
        <v>167.0</v>
      </c>
      <c r="B4" s="32" t="s">
        <v>57155</v>
      </c>
      <c r="C4" s="31">
        <v>165.0</v>
      </c>
      <c r="D4" s="32" t="s">
        <v>57156</v>
      </c>
      <c r="E4" s="32" t="s">
        <v>57157</v>
      </c>
      <c r="F4" s="31">
        <v>118.0</v>
      </c>
      <c r="G4" s="31">
        <v>1.65671187E8</v>
      </c>
    </row>
    <row r="5" ht="12.75" customHeight="1">
      <c r="A5" s="27">
        <v>167.0</v>
      </c>
      <c r="B5" s="28" t="s">
        <v>57158</v>
      </c>
      <c r="C5" s="27">
        <v>165.0</v>
      </c>
      <c r="D5" s="28" t="s">
        <v>57159</v>
      </c>
      <c r="E5" s="28" t="s">
        <v>57160</v>
      </c>
      <c r="F5" s="27">
        <v>169.0</v>
      </c>
      <c r="G5" s="27">
        <v>1.65671695E8</v>
      </c>
    </row>
    <row r="6" ht="12.75" customHeight="1">
      <c r="A6" s="31">
        <v>167.0</v>
      </c>
      <c r="B6" s="32" t="s">
        <v>57161</v>
      </c>
      <c r="C6" s="31">
        <v>165.0</v>
      </c>
      <c r="D6" s="32" t="s">
        <v>57162</v>
      </c>
      <c r="E6" s="32" t="s">
        <v>57163</v>
      </c>
      <c r="F6" s="31">
        <v>178.0</v>
      </c>
      <c r="G6" s="31">
        <v>1.65671787E8</v>
      </c>
    </row>
    <row r="7" ht="12.75" customHeight="1">
      <c r="A7" s="27">
        <v>168.0</v>
      </c>
      <c r="B7" s="28" t="s">
        <v>57164</v>
      </c>
      <c r="C7" s="27">
        <v>165.0</v>
      </c>
      <c r="D7" s="28" t="s">
        <v>57165</v>
      </c>
      <c r="E7" s="28" t="s">
        <v>57166</v>
      </c>
      <c r="F7" s="29">
        <v>67.0</v>
      </c>
      <c r="G7" s="27">
        <v>1.65680673E8</v>
      </c>
    </row>
    <row r="8" ht="12.75" customHeight="1">
      <c r="A8" s="31">
        <v>275.0</v>
      </c>
      <c r="B8" s="32" t="s">
        <v>57167</v>
      </c>
      <c r="C8" s="31">
        <v>165.0</v>
      </c>
      <c r="D8" s="32" t="s">
        <v>57168</v>
      </c>
      <c r="E8" s="32" t="s">
        <v>57169</v>
      </c>
      <c r="F8" s="33">
        <v>10.0</v>
      </c>
      <c r="G8" s="31">
        <v>1.65750103E8</v>
      </c>
    </row>
    <row r="9" ht="12.75" customHeight="1">
      <c r="A9" s="27">
        <v>275.0</v>
      </c>
      <c r="B9" s="28" t="s">
        <v>57170</v>
      </c>
      <c r="C9" s="27">
        <v>165.0</v>
      </c>
      <c r="D9" s="28" t="s">
        <v>57171</v>
      </c>
      <c r="E9" s="28" t="s">
        <v>57172</v>
      </c>
      <c r="F9" s="29">
        <v>14.0</v>
      </c>
      <c r="G9" s="27">
        <v>1.65750145E8</v>
      </c>
    </row>
    <row r="10" ht="12.75" customHeight="1">
      <c r="A10" s="31">
        <v>275.0</v>
      </c>
      <c r="B10" s="32" t="s">
        <v>57173</v>
      </c>
      <c r="C10" s="31">
        <v>165.0</v>
      </c>
      <c r="D10" s="32" t="s">
        <v>57174</v>
      </c>
      <c r="E10" s="32" t="s">
        <v>57175</v>
      </c>
      <c r="F10" s="33">
        <v>25.0</v>
      </c>
      <c r="G10" s="31">
        <v>1.65750253E8</v>
      </c>
    </row>
    <row r="11" ht="12.75" customHeight="1">
      <c r="A11" s="27">
        <v>275.0</v>
      </c>
      <c r="B11" s="28" t="s">
        <v>57176</v>
      </c>
      <c r="C11" s="27">
        <v>165.0</v>
      </c>
      <c r="D11" s="28" t="s">
        <v>57177</v>
      </c>
      <c r="E11" s="28" t="s">
        <v>57178</v>
      </c>
      <c r="F11" s="29">
        <v>44.0</v>
      </c>
      <c r="G11" s="27">
        <v>1.6575044E8</v>
      </c>
    </row>
    <row r="12" ht="12.75" customHeight="1">
      <c r="A12" s="31">
        <v>275.0</v>
      </c>
      <c r="B12" s="32" t="s">
        <v>57179</v>
      </c>
      <c r="C12" s="31">
        <v>165.0</v>
      </c>
      <c r="D12" s="32" t="s">
        <v>57180</v>
      </c>
      <c r="E12" s="32" t="s">
        <v>57181</v>
      </c>
      <c r="F12" s="33">
        <v>58.0</v>
      </c>
      <c r="G12" s="31">
        <v>1.65750587E8</v>
      </c>
    </row>
    <row r="13" ht="12.75" customHeight="1">
      <c r="A13" s="27">
        <v>275.0</v>
      </c>
      <c r="B13" s="28" t="s">
        <v>57182</v>
      </c>
      <c r="C13" s="27">
        <v>165.0</v>
      </c>
      <c r="D13" s="28" t="s">
        <v>57183</v>
      </c>
      <c r="E13" s="28" t="s">
        <v>57184</v>
      </c>
      <c r="F13" s="29">
        <v>67.0</v>
      </c>
      <c r="G13" s="27">
        <v>1.65750679E8</v>
      </c>
    </row>
    <row r="14" ht="12.75" customHeight="1">
      <c r="A14" s="31">
        <v>275.0</v>
      </c>
      <c r="B14" s="32" t="s">
        <v>57185</v>
      </c>
      <c r="C14" s="31">
        <v>165.0</v>
      </c>
      <c r="D14" s="32" t="s">
        <v>57186</v>
      </c>
      <c r="E14" s="32" t="s">
        <v>57187</v>
      </c>
      <c r="F14" s="31">
        <v>157.0</v>
      </c>
      <c r="G14" s="31">
        <v>1.65751573E8</v>
      </c>
    </row>
    <row r="15" ht="12.75" customHeight="1">
      <c r="A15" s="27">
        <v>275.0</v>
      </c>
      <c r="B15" s="28" t="s">
        <v>57188</v>
      </c>
      <c r="C15" s="27">
        <v>165.0</v>
      </c>
      <c r="D15" s="28" t="s">
        <v>57189</v>
      </c>
      <c r="E15" s="28" t="s">
        <v>57190</v>
      </c>
      <c r="F15" s="27">
        <v>235.0</v>
      </c>
      <c r="G15" s="27">
        <v>1.65752356E8</v>
      </c>
    </row>
    <row r="16" ht="12.75" customHeight="1">
      <c r="A16" s="31">
        <v>581.0</v>
      </c>
      <c r="B16" s="32" t="s">
        <v>57191</v>
      </c>
      <c r="C16" s="31">
        <v>165.0</v>
      </c>
      <c r="D16" s="32" t="s">
        <v>57192</v>
      </c>
      <c r="E16" s="32" t="s">
        <v>57193</v>
      </c>
      <c r="F16" s="31">
        <v>193.0</v>
      </c>
      <c r="G16" s="31">
        <v>1.65811934E8</v>
      </c>
    </row>
    <row r="17" ht="12.75" customHeight="1">
      <c r="A17" s="27">
        <v>284.0</v>
      </c>
      <c r="B17" s="28" t="s">
        <v>57194</v>
      </c>
      <c r="C17" s="27">
        <v>165.0</v>
      </c>
      <c r="D17" s="28" t="s">
        <v>57195</v>
      </c>
      <c r="E17" s="28" t="s">
        <v>57196</v>
      </c>
      <c r="F17" s="29">
        <v>52.0</v>
      </c>
      <c r="G17" s="27">
        <v>1.65840521E8</v>
      </c>
    </row>
    <row r="18" ht="12.75" customHeight="1">
      <c r="A18" s="31">
        <v>785.0</v>
      </c>
      <c r="B18" s="32" t="s">
        <v>57197</v>
      </c>
      <c r="C18" s="31">
        <v>165.0</v>
      </c>
      <c r="D18" s="32" t="s">
        <v>57198</v>
      </c>
      <c r="E18" s="32" t="s">
        <v>57199</v>
      </c>
      <c r="F18" s="31">
        <v>145.0</v>
      </c>
      <c r="G18" s="31">
        <v>1.65851457E8</v>
      </c>
    </row>
    <row r="19" ht="12.75" customHeight="1">
      <c r="A19" s="27">
        <v>487.0</v>
      </c>
      <c r="B19" s="28" t="s">
        <v>57200</v>
      </c>
      <c r="C19" s="27">
        <v>165.0</v>
      </c>
      <c r="D19" s="28" t="s">
        <v>57201</v>
      </c>
      <c r="E19" s="28" t="s">
        <v>57202</v>
      </c>
      <c r="F19" s="27">
        <v>109.0</v>
      </c>
      <c r="G19" s="27">
        <v>1.65871095E8</v>
      </c>
    </row>
    <row r="20" ht="12.75" customHeight="1">
      <c r="A20" s="31">
        <v>688.0</v>
      </c>
      <c r="B20" s="32" t="s">
        <v>57203</v>
      </c>
      <c r="C20" s="31">
        <v>165.0</v>
      </c>
      <c r="D20" s="32" t="s">
        <v>57204</v>
      </c>
      <c r="E20" s="32" t="s">
        <v>57205</v>
      </c>
      <c r="F20" s="31">
        <v>185.0</v>
      </c>
      <c r="G20" s="31">
        <v>1.65881856E8</v>
      </c>
    </row>
    <row r="21" ht="12.75" customHeight="1">
      <c r="A21" s="27">
        <v>688.0</v>
      </c>
      <c r="B21" s="28" t="s">
        <v>57206</v>
      </c>
      <c r="C21" s="27">
        <v>165.0</v>
      </c>
      <c r="D21" s="28" t="s">
        <v>57207</v>
      </c>
      <c r="E21" s="28" t="s">
        <v>57208</v>
      </c>
      <c r="F21" s="27">
        <v>193.0</v>
      </c>
      <c r="G21" s="27">
        <v>1.65881935E8</v>
      </c>
    </row>
    <row r="22" ht="12.75" customHeight="1">
      <c r="A22" s="31">
        <v>891.0</v>
      </c>
      <c r="B22" s="32" t="s">
        <v>57209</v>
      </c>
      <c r="C22" s="31">
        <v>165.0</v>
      </c>
      <c r="D22" s="32" t="s">
        <v>57210</v>
      </c>
      <c r="E22" s="32" t="s">
        <v>57211</v>
      </c>
      <c r="F22" s="31">
        <v>178.0</v>
      </c>
      <c r="G22" s="31">
        <v>1.65911784E8</v>
      </c>
    </row>
    <row r="23" ht="12.75" customHeight="1">
      <c r="A23" s="27">
        <v>891.0</v>
      </c>
      <c r="B23" s="28" t="s">
        <v>57212</v>
      </c>
      <c r="C23" s="27">
        <v>165.0</v>
      </c>
      <c r="D23" s="28" t="s">
        <v>57213</v>
      </c>
      <c r="E23" s="28" t="s">
        <v>57214</v>
      </c>
      <c r="F23" s="27">
        <v>250.0</v>
      </c>
      <c r="G23" s="27">
        <v>1.65912509E8</v>
      </c>
    </row>
    <row r="24" ht="12.75" customHeight="1">
      <c r="A24" s="31">
        <v>891.0</v>
      </c>
      <c r="B24" s="32" t="s">
        <v>57215</v>
      </c>
      <c r="C24" s="31">
        <v>165.0</v>
      </c>
      <c r="D24" s="32" t="s">
        <v>57216</v>
      </c>
      <c r="E24" s="32" t="s">
        <v>57217</v>
      </c>
      <c r="F24" s="31">
        <v>355.0</v>
      </c>
      <c r="G24" s="31">
        <v>1.65913553E8</v>
      </c>
    </row>
    <row r="25" ht="12.75" customHeight="1">
      <c r="A25" s="27">
        <v>306.0</v>
      </c>
      <c r="B25" s="28" t="s">
        <v>57218</v>
      </c>
      <c r="C25" s="27">
        <v>170.0</v>
      </c>
      <c r="D25" s="28" t="s">
        <v>57219</v>
      </c>
      <c r="E25" s="28" t="s">
        <v>57220</v>
      </c>
      <c r="F25" s="29">
        <v>28.0</v>
      </c>
      <c r="G25" s="27">
        <v>1.70060288E8</v>
      </c>
    </row>
    <row r="26" ht="12.75" customHeight="1">
      <c r="A26" s="31">
        <v>610.0</v>
      </c>
      <c r="B26" s="32" t="s">
        <v>57221</v>
      </c>
      <c r="C26" s="31">
        <v>170.0</v>
      </c>
      <c r="D26" s="32" t="s">
        <v>57222</v>
      </c>
      <c r="E26" s="32" t="s">
        <v>57223</v>
      </c>
      <c r="F26" s="33">
        <v>37.0</v>
      </c>
      <c r="G26" s="31">
        <v>1.70100377E8</v>
      </c>
    </row>
    <row r="27" ht="12.75" customHeight="1">
      <c r="A27" s="27">
        <v>610.0</v>
      </c>
      <c r="B27" s="28" t="s">
        <v>57224</v>
      </c>
      <c r="C27" s="27">
        <v>170.0</v>
      </c>
      <c r="D27" s="28" t="s">
        <v>57225</v>
      </c>
      <c r="E27" s="28" t="s">
        <v>57226</v>
      </c>
      <c r="F27" s="27">
        <v>274.0</v>
      </c>
      <c r="G27" s="27">
        <v>1.70102746E8</v>
      </c>
    </row>
    <row r="28" ht="12.75" customHeight="1">
      <c r="A28" s="31">
        <v>112.0</v>
      </c>
      <c r="B28" s="32" t="s">
        <v>57227</v>
      </c>
      <c r="C28" s="31">
        <v>170.0</v>
      </c>
      <c r="D28" s="32" t="s">
        <v>57228</v>
      </c>
      <c r="E28" s="32" t="s">
        <v>57229</v>
      </c>
      <c r="F28" s="33">
        <v>10.0</v>
      </c>
      <c r="G28" s="31">
        <v>1.70120102E8</v>
      </c>
    </row>
    <row r="29" ht="12.75" customHeight="1">
      <c r="A29" s="27">
        <v>112.0</v>
      </c>
      <c r="B29" s="28" t="s">
        <v>57230</v>
      </c>
      <c r="C29" s="27">
        <v>170.0</v>
      </c>
      <c r="D29" s="28" t="s">
        <v>57231</v>
      </c>
      <c r="E29" s="28" t="s">
        <v>57232</v>
      </c>
      <c r="F29" s="29">
        <v>43.0</v>
      </c>
      <c r="G29" s="27">
        <v>1.70120436E8</v>
      </c>
    </row>
    <row r="30" ht="12.75" customHeight="1">
      <c r="A30" s="31">
        <v>113.0</v>
      </c>
      <c r="B30" s="32" t="s">
        <v>57233</v>
      </c>
      <c r="C30" s="31">
        <v>170.0</v>
      </c>
      <c r="D30" s="32" t="s">
        <v>57234</v>
      </c>
      <c r="E30" s="32" t="s">
        <v>57235</v>
      </c>
      <c r="F30" s="33">
        <v>88.0</v>
      </c>
      <c r="G30" s="31">
        <v>1.70130884E8</v>
      </c>
    </row>
    <row r="31" ht="12.75" customHeight="1">
      <c r="A31" s="27">
        <v>215.0</v>
      </c>
      <c r="B31" s="28" t="s">
        <v>57236</v>
      </c>
      <c r="C31" s="27">
        <v>170.0</v>
      </c>
      <c r="D31" s="28" t="s">
        <v>57237</v>
      </c>
      <c r="E31" s="28" t="s">
        <v>57238</v>
      </c>
      <c r="F31" s="29">
        <v>13.0</v>
      </c>
      <c r="G31" s="27">
        <v>1.7015013E8</v>
      </c>
    </row>
    <row r="32" ht="12.75" customHeight="1">
      <c r="A32" s="31">
        <v>215.0</v>
      </c>
      <c r="B32" s="32" t="s">
        <v>57239</v>
      </c>
      <c r="C32" s="31">
        <v>170.0</v>
      </c>
      <c r="D32" s="32" t="s">
        <v>57240</v>
      </c>
      <c r="E32" s="32" t="s">
        <v>57241</v>
      </c>
      <c r="F32" s="33">
        <v>97.0</v>
      </c>
      <c r="G32" s="31">
        <v>1.70150972E8</v>
      </c>
    </row>
    <row r="33" ht="12.75" customHeight="1">
      <c r="A33" s="27">
        <v>215.0</v>
      </c>
      <c r="B33" s="28" t="s">
        <v>57242</v>
      </c>
      <c r="C33" s="27">
        <v>170.0</v>
      </c>
      <c r="D33" s="28" t="s">
        <v>57243</v>
      </c>
      <c r="E33" s="28" t="s">
        <v>57244</v>
      </c>
      <c r="F33" s="27">
        <v>121.0</v>
      </c>
      <c r="G33" s="27">
        <v>1.70151218E8</v>
      </c>
    </row>
    <row r="34" ht="12.75" customHeight="1">
      <c r="A34" s="31">
        <v>215.0</v>
      </c>
      <c r="B34" s="32" t="s">
        <v>57245</v>
      </c>
      <c r="C34" s="31">
        <v>170.0</v>
      </c>
      <c r="D34" s="32" t="s">
        <v>57246</v>
      </c>
      <c r="E34" s="32" t="s">
        <v>57247</v>
      </c>
      <c r="F34" s="31">
        <v>123.0</v>
      </c>
      <c r="G34" s="31">
        <v>1.70151234E8</v>
      </c>
    </row>
    <row r="35" ht="12.75" customHeight="1">
      <c r="A35" s="27">
        <v>215.0</v>
      </c>
      <c r="B35" s="28" t="s">
        <v>57248</v>
      </c>
      <c r="C35" s="27">
        <v>170.0</v>
      </c>
      <c r="D35" s="28" t="s">
        <v>57249</v>
      </c>
      <c r="E35" s="28" t="s">
        <v>57250</v>
      </c>
      <c r="F35" s="27">
        <v>274.0</v>
      </c>
      <c r="G35" s="27">
        <v>1.70152741E8</v>
      </c>
    </row>
    <row r="36" ht="12.75" customHeight="1">
      <c r="A36" s="31">
        <v>215.0</v>
      </c>
      <c r="B36" s="32" t="s">
        <v>57251</v>
      </c>
      <c r="C36" s="31">
        <v>170.0</v>
      </c>
      <c r="D36" s="32" t="s">
        <v>57252</v>
      </c>
      <c r="E36" s="32" t="s">
        <v>57253</v>
      </c>
      <c r="F36" s="31">
        <v>316.0</v>
      </c>
      <c r="G36" s="31">
        <v>1.70153166E8</v>
      </c>
    </row>
    <row r="37" ht="12.75" customHeight="1">
      <c r="A37" s="27">
        <v>215.0</v>
      </c>
      <c r="B37" s="28" t="s">
        <v>57254</v>
      </c>
      <c r="C37" s="27">
        <v>170.0</v>
      </c>
      <c r="D37" s="28" t="s">
        <v>57255</v>
      </c>
      <c r="E37" s="28" t="s">
        <v>57256</v>
      </c>
      <c r="F37" s="27">
        <v>322.0</v>
      </c>
      <c r="G37" s="27">
        <v>1.70153229E8</v>
      </c>
    </row>
    <row r="38" ht="12.75" customHeight="1">
      <c r="A38" s="31">
        <v>215.0</v>
      </c>
      <c r="B38" s="32" t="s">
        <v>57257</v>
      </c>
      <c r="C38" s="31">
        <v>170.0</v>
      </c>
      <c r="D38" s="32" t="s">
        <v>57258</v>
      </c>
      <c r="E38" s="32" t="s">
        <v>57259</v>
      </c>
      <c r="F38" s="31">
        <v>328.0</v>
      </c>
      <c r="G38" s="31">
        <v>1.70153287E8</v>
      </c>
    </row>
    <row r="39" ht="12.75" customHeight="1">
      <c r="A39" s="27">
        <v>215.0</v>
      </c>
      <c r="B39" s="28" t="s">
        <v>57260</v>
      </c>
      <c r="C39" s="27">
        <v>170.0</v>
      </c>
      <c r="D39" s="28" t="s">
        <v>57261</v>
      </c>
      <c r="E39" s="28" t="s">
        <v>57262</v>
      </c>
      <c r="F39" s="27">
        <v>364.0</v>
      </c>
      <c r="G39" s="27">
        <v>1.70153645E8</v>
      </c>
    </row>
    <row r="40" ht="12.75" customHeight="1">
      <c r="A40" s="31">
        <v>215.0</v>
      </c>
      <c r="B40" s="32" t="s">
        <v>57263</v>
      </c>
      <c r="C40" s="31">
        <v>170.0</v>
      </c>
      <c r="D40" s="32" t="s">
        <v>57264</v>
      </c>
      <c r="E40" s="32" t="s">
        <v>57265</v>
      </c>
      <c r="F40" s="31">
        <v>407.0</v>
      </c>
      <c r="G40" s="31">
        <v>1.70154073E8</v>
      </c>
    </row>
    <row r="41" ht="12.75" customHeight="1">
      <c r="A41" s="27">
        <v>215.0</v>
      </c>
      <c r="B41" s="28" t="s">
        <v>57266</v>
      </c>
      <c r="C41" s="27">
        <v>170.0</v>
      </c>
      <c r="D41" s="28" t="s">
        <v>57267</v>
      </c>
      <c r="E41" s="28" t="s">
        <v>57268</v>
      </c>
      <c r="F41" s="27">
        <v>418.0</v>
      </c>
      <c r="G41" s="27">
        <v>1.70154181E8</v>
      </c>
    </row>
    <row r="42" ht="12.75" customHeight="1">
      <c r="A42" s="31">
        <v>215.0</v>
      </c>
      <c r="B42" s="32" t="s">
        <v>57269</v>
      </c>
      <c r="C42" s="31">
        <v>170.0</v>
      </c>
      <c r="D42" s="32" t="s">
        <v>57270</v>
      </c>
      <c r="E42" s="32" t="s">
        <v>57271</v>
      </c>
      <c r="F42" s="31">
        <v>427.0</v>
      </c>
      <c r="G42" s="31">
        <v>1.70154273E8</v>
      </c>
    </row>
    <row r="43" ht="12.75" customHeight="1">
      <c r="A43" s="27">
        <v>215.0</v>
      </c>
      <c r="B43" s="28" t="s">
        <v>57272</v>
      </c>
      <c r="C43" s="27">
        <v>170.0</v>
      </c>
      <c r="D43" s="28" t="s">
        <v>57273</v>
      </c>
      <c r="E43" s="28" t="s">
        <v>57274</v>
      </c>
      <c r="F43" s="27">
        <v>454.0</v>
      </c>
      <c r="G43" s="27">
        <v>1.70154549E8</v>
      </c>
    </row>
    <row r="44" ht="12.75" customHeight="1">
      <c r="A44" s="31">
        <v>215.0</v>
      </c>
      <c r="B44" s="32" t="s">
        <v>57275</v>
      </c>
      <c r="C44" s="31">
        <v>170.0</v>
      </c>
      <c r="D44" s="32" t="s">
        <v>57276</v>
      </c>
      <c r="E44" s="32" t="s">
        <v>57277</v>
      </c>
      <c r="F44" s="31">
        <v>475.0</v>
      </c>
      <c r="G44" s="31">
        <v>1.70154752E8</v>
      </c>
    </row>
    <row r="45" ht="12.75" customHeight="1">
      <c r="A45" s="27">
        <v>215.0</v>
      </c>
      <c r="B45" s="28" t="s">
        <v>57278</v>
      </c>
      <c r="C45" s="27">
        <v>170.0</v>
      </c>
      <c r="D45" s="28" t="s">
        <v>57279</v>
      </c>
      <c r="E45" s="28" t="s">
        <v>57280</v>
      </c>
      <c r="F45" s="27">
        <v>532.0</v>
      </c>
      <c r="G45" s="27">
        <v>1.70155322E8</v>
      </c>
    </row>
    <row r="46" ht="12.75" customHeight="1">
      <c r="A46" s="31">
        <v>215.0</v>
      </c>
      <c r="B46" s="32" t="s">
        <v>57281</v>
      </c>
      <c r="C46" s="31">
        <v>170.0</v>
      </c>
      <c r="D46" s="32" t="s">
        <v>57282</v>
      </c>
      <c r="E46" s="32" t="s">
        <v>57283</v>
      </c>
      <c r="F46" s="31">
        <v>580.0</v>
      </c>
      <c r="G46" s="31">
        <v>1.70155801E8</v>
      </c>
    </row>
    <row r="47" ht="12.75" customHeight="1">
      <c r="A47" s="27">
        <v>215.0</v>
      </c>
      <c r="B47" s="28" t="s">
        <v>57284</v>
      </c>
      <c r="C47" s="27">
        <v>170.0</v>
      </c>
      <c r="D47" s="28" t="s">
        <v>57285</v>
      </c>
      <c r="E47" s="28" t="s">
        <v>57286</v>
      </c>
      <c r="F47" s="27">
        <v>587.0</v>
      </c>
      <c r="G47" s="27">
        <v>1.70155872E8</v>
      </c>
    </row>
    <row r="48" ht="12.75" customHeight="1">
      <c r="A48" s="31">
        <v>215.0</v>
      </c>
      <c r="B48" s="32" t="s">
        <v>57287</v>
      </c>
      <c r="C48" s="31">
        <v>170.0</v>
      </c>
      <c r="D48" s="32" t="s">
        <v>57288</v>
      </c>
      <c r="E48" s="32" t="s">
        <v>57289</v>
      </c>
      <c r="F48" s="31">
        <v>601.0</v>
      </c>
      <c r="G48" s="31">
        <v>1.70156013E8</v>
      </c>
    </row>
    <row r="49" ht="12.75" customHeight="1">
      <c r="A49" s="27">
        <v>215.0</v>
      </c>
      <c r="B49" s="28" t="s">
        <v>57290</v>
      </c>
      <c r="C49" s="27">
        <v>170.0</v>
      </c>
      <c r="D49" s="28" t="s">
        <v>57291</v>
      </c>
      <c r="E49" s="28" t="s">
        <v>57292</v>
      </c>
      <c r="F49" s="27">
        <v>633.0</v>
      </c>
      <c r="G49" s="27">
        <v>1.70156334E8</v>
      </c>
    </row>
    <row r="50" ht="12.75" customHeight="1">
      <c r="A50" s="31">
        <v>215.0</v>
      </c>
      <c r="B50" s="32" t="s">
        <v>57293</v>
      </c>
      <c r="C50" s="31">
        <v>170.0</v>
      </c>
      <c r="D50" s="32" t="s">
        <v>57294</v>
      </c>
      <c r="E50" s="32" t="s">
        <v>57295</v>
      </c>
      <c r="F50" s="31">
        <v>649.0</v>
      </c>
      <c r="G50" s="31">
        <v>1.70156497E8</v>
      </c>
    </row>
    <row r="51" ht="12.75" customHeight="1">
      <c r="A51" s="27">
        <v>119.0</v>
      </c>
      <c r="B51" s="28" t="s">
        <v>57296</v>
      </c>
      <c r="C51" s="27">
        <v>170.0</v>
      </c>
      <c r="D51" s="28" t="s">
        <v>57297</v>
      </c>
      <c r="E51" s="28" t="s">
        <v>57298</v>
      </c>
      <c r="F51" s="29">
        <v>39.0</v>
      </c>
      <c r="G51" s="27">
        <v>1.7019039E8</v>
      </c>
    </row>
    <row r="52" ht="12.75" customHeight="1">
      <c r="A52" s="31">
        <v>119.0</v>
      </c>
      <c r="B52" s="32" t="s">
        <v>57299</v>
      </c>
      <c r="C52" s="31">
        <v>170.0</v>
      </c>
      <c r="D52" s="32" t="s">
        <v>57300</v>
      </c>
      <c r="E52" s="32" t="s">
        <v>57301</v>
      </c>
      <c r="F52" s="31">
        <v>106.0</v>
      </c>
      <c r="G52" s="31">
        <v>1.70191065E8</v>
      </c>
    </row>
    <row r="53" ht="12.75" customHeight="1">
      <c r="A53" s="27">
        <v>119.0</v>
      </c>
      <c r="B53" s="28" t="s">
        <v>57302</v>
      </c>
      <c r="C53" s="27">
        <v>170.0</v>
      </c>
      <c r="D53" s="28" t="s">
        <v>57303</v>
      </c>
      <c r="E53" s="28" t="s">
        <v>57304</v>
      </c>
      <c r="F53" s="27">
        <v>115.0</v>
      </c>
      <c r="G53" s="27">
        <v>1.70191157E8</v>
      </c>
    </row>
    <row r="54" ht="12.75" customHeight="1">
      <c r="A54" s="31">
        <v>119.0</v>
      </c>
      <c r="B54" s="32" t="s">
        <v>57305</v>
      </c>
      <c r="C54" s="31">
        <v>170.0</v>
      </c>
      <c r="D54" s="32" t="s">
        <v>57306</v>
      </c>
      <c r="E54" s="32" t="s">
        <v>57307</v>
      </c>
      <c r="F54" s="31">
        <v>143.0</v>
      </c>
      <c r="G54" s="31">
        <v>1.70191436E8</v>
      </c>
    </row>
    <row r="55" ht="12.75" customHeight="1">
      <c r="A55" s="27">
        <v>222.0</v>
      </c>
      <c r="B55" s="28" t="s">
        <v>57308</v>
      </c>
      <c r="C55" s="27">
        <v>170.0</v>
      </c>
      <c r="D55" s="28" t="s">
        <v>57309</v>
      </c>
      <c r="E55" s="28" t="s">
        <v>57310</v>
      </c>
      <c r="F55" s="29">
        <v>25.0</v>
      </c>
      <c r="G55" s="27">
        <v>1.70220257E8</v>
      </c>
    </row>
    <row r="56" ht="12.75" customHeight="1">
      <c r="A56" s="31">
        <v>126.0</v>
      </c>
      <c r="B56" s="32" t="s">
        <v>57311</v>
      </c>
      <c r="C56" s="31">
        <v>170.0</v>
      </c>
      <c r="D56" s="32" t="s">
        <v>57312</v>
      </c>
      <c r="E56" s="32" t="s">
        <v>57313</v>
      </c>
      <c r="F56" s="33">
        <v>19.0</v>
      </c>
      <c r="G56" s="31">
        <v>1.70260196E8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57314</v>
      </c>
      <c r="C1" s="27">
        <v>170.0</v>
      </c>
      <c r="D1" s="28" t="s">
        <v>57315</v>
      </c>
      <c r="E1" s="28" t="s">
        <v>57316</v>
      </c>
      <c r="F1" s="29">
        <v>22.0</v>
      </c>
      <c r="G1" s="27">
        <v>1.7026022E8</v>
      </c>
    </row>
    <row r="2" ht="12.75" customHeight="1">
      <c r="A2" s="31">
        <v>126.0</v>
      </c>
      <c r="B2" s="32" t="s">
        <v>57317</v>
      </c>
      <c r="C2" s="31">
        <v>170.0</v>
      </c>
      <c r="D2" s="32" t="s">
        <v>57318</v>
      </c>
      <c r="E2" s="32" t="s">
        <v>57319</v>
      </c>
      <c r="F2" s="33">
        <v>43.0</v>
      </c>
      <c r="G2" s="31">
        <v>1.70260433E8</v>
      </c>
    </row>
    <row r="3" ht="12.75" customHeight="1">
      <c r="A3" s="27">
        <v>126.0</v>
      </c>
      <c r="B3" s="28" t="s">
        <v>57320</v>
      </c>
      <c r="C3" s="27">
        <v>170.0</v>
      </c>
      <c r="D3" s="28" t="s">
        <v>57321</v>
      </c>
      <c r="E3" s="28" t="s">
        <v>57322</v>
      </c>
      <c r="F3" s="29">
        <v>52.0</v>
      </c>
      <c r="G3" s="27">
        <v>1.70260525E8</v>
      </c>
    </row>
    <row r="4" ht="12.75" customHeight="1">
      <c r="A4" s="31">
        <v>126.0</v>
      </c>
      <c r="B4" s="32" t="s">
        <v>57323</v>
      </c>
      <c r="C4" s="31">
        <v>170.0</v>
      </c>
      <c r="D4" s="32" t="s">
        <v>57324</v>
      </c>
      <c r="E4" s="32" t="s">
        <v>57325</v>
      </c>
      <c r="F4" s="33">
        <v>55.0</v>
      </c>
      <c r="G4" s="31">
        <v>1.70260554E8</v>
      </c>
    </row>
    <row r="5" ht="12.75" customHeight="1">
      <c r="A5" s="27">
        <v>126.0</v>
      </c>
      <c r="B5" s="28" t="s">
        <v>57326</v>
      </c>
      <c r="C5" s="27">
        <v>170.0</v>
      </c>
      <c r="D5" s="28" t="s">
        <v>57327</v>
      </c>
      <c r="E5" s="28" t="s">
        <v>57328</v>
      </c>
      <c r="F5" s="29">
        <v>72.0</v>
      </c>
      <c r="G5" s="27">
        <v>1.70260725E8</v>
      </c>
    </row>
    <row r="6" ht="12.75" customHeight="1">
      <c r="A6" s="31">
        <v>126.0</v>
      </c>
      <c r="B6" s="32" t="s">
        <v>57329</v>
      </c>
      <c r="C6" s="31">
        <v>170.0</v>
      </c>
      <c r="D6" s="32" t="s">
        <v>57330</v>
      </c>
      <c r="E6" s="32" t="s">
        <v>57331</v>
      </c>
      <c r="F6" s="31">
        <v>118.0</v>
      </c>
      <c r="G6" s="31">
        <v>1.70261182E8</v>
      </c>
    </row>
    <row r="7" ht="12.75" customHeight="1">
      <c r="A7" s="27">
        <v>126.0</v>
      </c>
      <c r="B7" s="28" t="s">
        <v>57332</v>
      </c>
      <c r="C7" s="27">
        <v>170.0</v>
      </c>
      <c r="D7" s="28" t="s">
        <v>57333</v>
      </c>
      <c r="E7" s="28" t="s">
        <v>57334</v>
      </c>
      <c r="F7" s="27">
        <v>133.0</v>
      </c>
      <c r="G7" s="27">
        <v>1.70261337E8</v>
      </c>
    </row>
    <row r="8" ht="12.75" customHeight="1">
      <c r="A8" s="31">
        <v>126.0</v>
      </c>
      <c r="B8" s="32" t="s">
        <v>57335</v>
      </c>
      <c r="C8" s="31">
        <v>170.0</v>
      </c>
      <c r="D8" s="32" t="s">
        <v>57336</v>
      </c>
      <c r="E8" s="32" t="s">
        <v>57337</v>
      </c>
      <c r="F8" s="31">
        <v>163.0</v>
      </c>
      <c r="G8" s="31">
        <v>1.70261632E8</v>
      </c>
    </row>
    <row r="9" ht="12.75" customHeight="1">
      <c r="A9" s="27">
        <v>126.0</v>
      </c>
      <c r="B9" s="28" t="s">
        <v>57338</v>
      </c>
      <c r="C9" s="27">
        <v>170.0</v>
      </c>
      <c r="D9" s="28" t="s">
        <v>57339</v>
      </c>
      <c r="E9" s="28" t="s">
        <v>57340</v>
      </c>
      <c r="F9" s="27">
        <v>164.0</v>
      </c>
      <c r="G9" s="27">
        <v>1.70261645E8</v>
      </c>
    </row>
    <row r="10" ht="12.75" customHeight="1">
      <c r="A10" s="31">
        <v>126.0</v>
      </c>
      <c r="B10" s="32" t="s">
        <v>57341</v>
      </c>
      <c r="C10" s="31">
        <v>170.0</v>
      </c>
      <c r="D10" s="32" t="s">
        <v>57342</v>
      </c>
      <c r="E10" s="32" t="s">
        <v>57343</v>
      </c>
      <c r="F10" s="31">
        <v>172.0</v>
      </c>
      <c r="G10" s="31">
        <v>1.70261724E8</v>
      </c>
    </row>
    <row r="11" ht="12.75" customHeight="1">
      <c r="A11" s="27">
        <v>126.0</v>
      </c>
      <c r="B11" s="28" t="s">
        <v>57344</v>
      </c>
      <c r="C11" s="27">
        <v>170.0</v>
      </c>
      <c r="D11" s="28" t="s">
        <v>57345</v>
      </c>
      <c r="E11" s="28" t="s">
        <v>57346</v>
      </c>
      <c r="F11" s="27">
        <v>205.0</v>
      </c>
      <c r="G11" s="27">
        <v>1.70262057E8</v>
      </c>
    </row>
    <row r="12" ht="12.75" customHeight="1">
      <c r="A12" s="31">
        <v>126.0</v>
      </c>
      <c r="B12" s="32" t="s">
        <v>57347</v>
      </c>
      <c r="C12" s="31">
        <v>170.0</v>
      </c>
      <c r="D12" s="32" t="s">
        <v>57348</v>
      </c>
      <c r="E12" s="32" t="s">
        <v>57349</v>
      </c>
      <c r="F12" s="31">
        <v>208.0</v>
      </c>
      <c r="G12" s="31">
        <v>1.70262086E8</v>
      </c>
    </row>
    <row r="13" ht="12.75" customHeight="1">
      <c r="A13" s="27">
        <v>126.0</v>
      </c>
      <c r="B13" s="28" t="s">
        <v>57350</v>
      </c>
      <c r="C13" s="27">
        <v>170.0</v>
      </c>
      <c r="D13" s="28" t="s">
        <v>57351</v>
      </c>
      <c r="E13" s="28" t="s">
        <v>57352</v>
      </c>
      <c r="F13" s="27">
        <v>223.0</v>
      </c>
      <c r="G13" s="27">
        <v>1.70262231E8</v>
      </c>
    </row>
    <row r="14" ht="12.75" customHeight="1">
      <c r="A14" s="31">
        <v>126.0</v>
      </c>
      <c r="B14" s="32" t="s">
        <v>57353</v>
      </c>
      <c r="C14" s="31">
        <v>170.0</v>
      </c>
      <c r="D14" s="32" t="s">
        <v>57354</v>
      </c>
      <c r="E14" s="32" t="s">
        <v>57355</v>
      </c>
      <c r="F14" s="31">
        <v>253.0</v>
      </c>
      <c r="G14" s="31">
        <v>1.70262536E8</v>
      </c>
    </row>
    <row r="15" ht="12.75" customHeight="1">
      <c r="A15" s="27">
        <v>126.0</v>
      </c>
      <c r="B15" s="28" t="s">
        <v>57356</v>
      </c>
      <c r="C15" s="27">
        <v>170.0</v>
      </c>
      <c r="D15" s="28" t="s">
        <v>57357</v>
      </c>
      <c r="E15" s="28" t="s">
        <v>57358</v>
      </c>
      <c r="F15" s="27">
        <v>310.0</v>
      </c>
      <c r="G15" s="27">
        <v>1.70263106E8</v>
      </c>
    </row>
    <row r="16" ht="12.75" customHeight="1">
      <c r="A16" s="31">
        <v>126.0</v>
      </c>
      <c r="B16" s="32" t="s">
        <v>57359</v>
      </c>
      <c r="C16" s="31">
        <v>170.0</v>
      </c>
      <c r="D16" s="32" t="s">
        <v>57360</v>
      </c>
      <c r="E16" s="32" t="s">
        <v>57361</v>
      </c>
      <c r="F16" s="31">
        <v>319.0</v>
      </c>
      <c r="G16" s="31">
        <v>1.70263193E8</v>
      </c>
    </row>
    <row r="17" ht="12.75" customHeight="1">
      <c r="A17" s="27">
        <v>126.0</v>
      </c>
      <c r="B17" s="28" t="s">
        <v>57362</v>
      </c>
      <c r="C17" s="27">
        <v>170.0</v>
      </c>
      <c r="D17" s="28" t="s">
        <v>57363</v>
      </c>
      <c r="E17" s="28" t="s">
        <v>57364</v>
      </c>
      <c r="F17" s="27">
        <v>358.0</v>
      </c>
      <c r="G17" s="27">
        <v>1.7026358E8</v>
      </c>
    </row>
    <row r="18" ht="12.75" customHeight="1">
      <c r="A18" s="31">
        <v>126.0</v>
      </c>
      <c r="B18" s="32" t="s">
        <v>57365</v>
      </c>
      <c r="C18" s="31">
        <v>170.0</v>
      </c>
      <c r="D18" s="32" t="s">
        <v>57366</v>
      </c>
      <c r="E18" s="32" t="s">
        <v>57367</v>
      </c>
      <c r="F18" s="31">
        <v>361.0</v>
      </c>
      <c r="G18" s="31">
        <v>1.70263614E8</v>
      </c>
    </row>
    <row r="19" ht="12.75" customHeight="1">
      <c r="A19" s="27">
        <v>126.0</v>
      </c>
      <c r="B19" s="28" t="s">
        <v>57368</v>
      </c>
      <c r="C19" s="27">
        <v>170.0</v>
      </c>
      <c r="D19" s="28" t="s">
        <v>57369</v>
      </c>
      <c r="E19" s="28" t="s">
        <v>57370</v>
      </c>
      <c r="F19" s="27">
        <v>370.0</v>
      </c>
      <c r="G19" s="27">
        <v>1.70263706E8</v>
      </c>
    </row>
    <row r="20" ht="12.75" customHeight="1">
      <c r="A20" s="31">
        <v>126.0</v>
      </c>
      <c r="B20" s="32" t="s">
        <v>57371</v>
      </c>
      <c r="C20" s="31">
        <v>170.0</v>
      </c>
      <c r="D20" s="32" t="s">
        <v>57372</v>
      </c>
      <c r="E20" s="32" t="s">
        <v>57373</v>
      </c>
      <c r="F20" s="31">
        <v>397.0</v>
      </c>
      <c r="G20" s="31">
        <v>1.70263977E8</v>
      </c>
    </row>
    <row r="21" ht="12.75" customHeight="1">
      <c r="A21" s="27">
        <v>126.0</v>
      </c>
      <c r="B21" s="28" t="s">
        <v>57374</v>
      </c>
      <c r="C21" s="27">
        <v>170.0</v>
      </c>
      <c r="D21" s="28" t="s">
        <v>57375</v>
      </c>
      <c r="E21" s="28" t="s">
        <v>57376</v>
      </c>
      <c r="F21" s="27">
        <v>403.0</v>
      </c>
      <c r="G21" s="27">
        <v>1.70264039E8</v>
      </c>
    </row>
    <row r="22" ht="12.75" customHeight="1">
      <c r="A22" s="31">
        <v>126.0</v>
      </c>
      <c r="B22" s="32" t="s">
        <v>57377</v>
      </c>
      <c r="C22" s="31">
        <v>170.0</v>
      </c>
      <c r="D22" s="32" t="s">
        <v>57378</v>
      </c>
      <c r="E22" s="32" t="s">
        <v>57379</v>
      </c>
      <c r="F22" s="31">
        <v>412.0</v>
      </c>
      <c r="G22" s="31">
        <v>1.70264121E8</v>
      </c>
    </row>
    <row r="23" ht="12.75" customHeight="1">
      <c r="A23" s="27">
        <v>126.0</v>
      </c>
      <c r="B23" s="28" t="s">
        <v>57380</v>
      </c>
      <c r="C23" s="27">
        <v>170.0</v>
      </c>
      <c r="D23" s="28" t="s">
        <v>57381</v>
      </c>
      <c r="E23" s="28" t="s">
        <v>57382</v>
      </c>
      <c r="F23" s="27">
        <v>448.0</v>
      </c>
      <c r="G23" s="27">
        <v>1.70264484E8</v>
      </c>
    </row>
    <row r="24" ht="12.75" customHeight="1">
      <c r="A24" s="31">
        <v>126.0</v>
      </c>
      <c r="B24" s="32" t="s">
        <v>57383</v>
      </c>
      <c r="C24" s="31">
        <v>170.0</v>
      </c>
      <c r="D24" s="32" t="s">
        <v>57384</v>
      </c>
      <c r="E24" s="32" t="s">
        <v>57385</v>
      </c>
      <c r="F24" s="31">
        <v>463.0</v>
      </c>
      <c r="G24" s="31">
        <v>1.70264639E8</v>
      </c>
    </row>
    <row r="25" ht="12.75" customHeight="1">
      <c r="A25" s="27">
        <v>127.0</v>
      </c>
      <c r="B25" s="28" t="s">
        <v>57386</v>
      </c>
      <c r="C25" s="27">
        <v>170.0</v>
      </c>
      <c r="D25" s="28" t="s">
        <v>57387</v>
      </c>
      <c r="E25" s="28" t="s">
        <v>57388</v>
      </c>
      <c r="F25" s="29">
        <v>0.0</v>
      </c>
      <c r="G25" s="27">
        <v>1.70270007E8</v>
      </c>
    </row>
    <row r="26" ht="12.75" customHeight="1">
      <c r="A26" s="31">
        <v>127.0</v>
      </c>
      <c r="B26" s="32" t="s">
        <v>57389</v>
      </c>
      <c r="C26" s="31">
        <v>170.0</v>
      </c>
      <c r="D26" s="32" t="s">
        <v>57390</v>
      </c>
      <c r="E26" s="32" t="s">
        <v>57391</v>
      </c>
      <c r="F26" s="33">
        <v>14.0</v>
      </c>
      <c r="G26" s="31">
        <v>1.70270144E8</v>
      </c>
    </row>
    <row r="27" ht="12.75" customHeight="1">
      <c r="A27" s="27">
        <v>127.0</v>
      </c>
      <c r="B27" s="28" t="s">
        <v>57392</v>
      </c>
      <c r="C27" s="27">
        <v>170.0</v>
      </c>
      <c r="D27" s="28" t="s">
        <v>57393</v>
      </c>
      <c r="E27" s="28" t="s">
        <v>57394</v>
      </c>
      <c r="F27" s="29">
        <v>88.0</v>
      </c>
      <c r="G27" s="27">
        <v>1.70270881E8</v>
      </c>
    </row>
    <row r="28" ht="12.75" customHeight="1">
      <c r="A28" s="31">
        <v>127.0</v>
      </c>
      <c r="B28" s="32" t="s">
        <v>57395</v>
      </c>
      <c r="C28" s="31">
        <v>170.0</v>
      </c>
      <c r="D28" s="32" t="s">
        <v>57396</v>
      </c>
      <c r="E28" s="32" t="s">
        <v>57397</v>
      </c>
      <c r="F28" s="33">
        <v>97.0</v>
      </c>
      <c r="G28" s="31">
        <v>1.70270973E8</v>
      </c>
    </row>
    <row r="29" ht="12.75" customHeight="1">
      <c r="A29" s="27">
        <v>127.0</v>
      </c>
      <c r="B29" s="28" t="s">
        <v>57398</v>
      </c>
      <c r="C29" s="27">
        <v>170.0</v>
      </c>
      <c r="D29" s="28" t="s">
        <v>57399</v>
      </c>
      <c r="E29" s="28" t="s">
        <v>57400</v>
      </c>
      <c r="F29" s="27">
        <v>109.0</v>
      </c>
      <c r="G29" s="27">
        <v>1.70271093E8</v>
      </c>
    </row>
    <row r="30" ht="12.75" customHeight="1">
      <c r="A30" s="31">
        <v>127.0</v>
      </c>
      <c r="B30" s="32" t="s">
        <v>57401</v>
      </c>
      <c r="C30" s="31">
        <v>170.0</v>
      </c>
      <c r="D30" s="32" t="s">
        <v>57402</v>
      </c>
      <c r="E30" s="32" t="s">
        <v>57403</v>
      </c>
      <c r="F30" s="31">
        <v>185.0</v>
      </c>
      <c r="G30" s="31">
        <v>1.70271851E8</v>
      </c>
    </row>
    <row r="31" ht="12.75" customHeight="1">
      <c r="A31" s="27">
        <v>127.0</v>
      </c>
      <c r="B31" s="28" t="s">
        <v>57404</v>
      </c>
      <c r="C31" s="27">
        <v>170.0</v>
      </c>
      <c r="D31" s="28" t="s">
        <v>57405</v>
      </c>
      <c r="E31" s="28" t="s">
        <v>57406</v>
      </c>
      <c r="F31" s="27">
        <v>232.0</v>
      </c>
      <c r="G31" s="27">
        <v>1.70272326E8</v>
      </c>
    </row>
    <row r="32" ht="12.75" customHeight="1">
      <c r="A32" s="31">
        <v>127.0</v>
      </c>
      <c r="B32" s="32" t="s">
        <v>57407</v>
      </c>
      <c r="C32" s="31">
        <v>170.0</v>
      </c>
      <c r="D32" s="32" t="s">
        <v>57408</v>
      </c>
      <c r="E32" s="32" t="s">
        <v>57409</v>
      </c>
      <c r="F32" s="31">
        <v>268.0</v>
      </c>
      <c r="G32" s="31">
        <v>1.70272689E8</v>
      </c>
    </row>
    <row r="33" ht="12.75" customHeight="1">
      <c r="A33" s="27">
        <v>127.0</v>
      </c>
      <c r="B33" s="28" t="s">
        <v>57410</v>
      </c>
      <c r="C33" s="27">
        <v>170.0</v>
      </c>
      <c r="D33" s="28" t="s">
        <v>57411</v>
      </c>
      <c r="E33" s="28" t="s">
        <v>57412</v>
      </c>
      <c r="F33" s="27">
        <v>289.0</v>
      </c>
      <c r="G33" s="27">
        <v>1.70272892E8</v>
      </c>
    </row>
    <row r="34" ht="12.75" customHeight="1">
      <c r="A34" s="31">
        <v>127.0</v>
      </c>
      <c r="B34" s="32" t="s">
        <v>57413</v>
      </c>
      <c r="C34" s="31">
        <v>170.0</v>
      </c>
      <c r="D34" s="32" t="s">
        <v>57414</v>
      </c>
      <c r="E34" s="32" t="s">
        <v>57415</v>
      </c>
      <c r="F34" s="31">
        <v>322.0</v>
      </c>
      <c r="G34" s="31">
        <v>1.7027322E8</v>
      </c>
    </row>
    <row r="35" ht="12.75" customHeight="1">
      <c r="A35" s="27">
        <v>127.0</v>
      </c>
      <c r="B35" s="28" t="s">
        <v>57416</v>
      </c>
      <c r="C35" s="27">
        <v>170.0</v>
      </c>
      <c r="D35" s="28" t="s">
        <v>57417</v>
      </c>
      <c r="E35" s="28" t="s">
        <v>57418</v>
      </c>
      <c r="F35" s="27">
        <v>328.0</v>
      </c>
      <c r="G35" s="27">
        <v>1.70273288E8</v>
      </c>
    </row>
    <row r="36" ht="12.75" customHeight="1">
      <c r="A36" s="31">
        <v>127.0</v>
      </c>
      <c r="B36" s="32" t="s">
        <v>57419</v>
      </c>
      <c r="C36" s="31">
        <v>170.0</v>
      </c>
      <c r="D36" s="32" t="s">
        <v>57420</v>
      </c>
      <c r="E36" s="32" t="s">
        <v>57421</v>
      </c>
      <c r="F36" s="31">
        <v>424.0</v>
      </c>
      <c r="G36" s="31">
        <v>1.70274245E8</v>
      </c>
    </row>
    <row r="37" ht="12.75" customHeight="1">
      <c r="A37" s="27">
        <v>127.0</v>
      </c>
      <c r="B37" s="28" t="s">
        <v>57422</v>
      </c>
      <c r="C37" s="27">
        <v>170.0</v>
      </c>
      <c r="D37" s="28" t="s">
        <v>57423</v>
      </c>
      <c r="E37" s="28" t="s">
        <v>57424</v>
      </c>
      <c r="F37" s="27">
        <v>439.0</v>
      </c>
      <c r="G37" s="27">
        <v>1.70274395E8</v>
      </c>
    </row>
    <row r="38" ht="12.75" customHeight="1">
      <c r="A38" s="31">
        <v>127.0</v>
      </c>
      <c r="B38" s="32" t="s">
        <v>57425</v>
      </c>
      <c r="C38" s="31">
        <v>170.0</v>
      </c>
      <c r="D38" s="32" t="s">
        <v>57426</v>
      </c>
      <c r="E38" s="32" t="s">
        <v>57427</v>
      </c>
      <c r="F38" s="31">
        <v>442.0</v>
      </c>
      <c r="G38" s="31">
        <v>1.70274429E8</v>
      </c>
    </row>
    <row r="39" ht="12.75" customHeight="1">
      <c r="A39" s="27">
        <v>127.0</v>
      </c>
      <c r="B39" s="28" t="s">
        <v>57428</v>
      </c>
      <c r="C39" s="27">
        <v>170.0</v>
      </c>
      <c r="D39" s="28" t="s">
        <v>57429</v>
      </c>
      <c r="E39" s="28" t="s">
        <v>57430</v>
      </c>
      <c r="F39" s="27">
        <v>469.0</v>
      </c>
      <c r="G39" s="27">
        <v>1.7027469E8</v>
      </c>
    </row>
    <row r="40" ht="12.75" customHeight="1">
      <c r="A40" s="31">
        <v>127.0</v>
      </c>
      <c r="B40" s="32" t="s">
        <v>57431</v>
      </c>
      <c r="C40" s="31">
        <v>170.0</v>
      </c>
      <c r="D40" s="32" t="s">
        <v>57432</v>
      </c>
      <c r="E40" s="32" t="s">
        <v>57433</v>
      </c>
      <c r="F40" s="31">
        <v>502.0</v>
      </c>
      <c r="G40" s="31">
        <v>1.70275028E8</v>
      </c>
    </row>
    <row r="41" ht="12.75" customHeight="1">
      <c r="A41" s="27">
        <v>127.0</v>
      </c>
      <c r="B41" s="28" t="s">
        <v>57434</v>
      </c>
      <c r="C41" s="27">
        <v>170.0</v>
      </c>
      <c r="D41" s="28" t="s">
        <v>57435</v>
      </c>
      <c r="E41" s="28" t="s">
        <v>57436</v>
      </c>
      <c r="F41" s="27">
        <v>523.0</v>
      </c>
      <c r="G41" s="27">
        <v>1.70275231E8</v>
      </c>
    </row>
    <row r="42" ht="12.75" customHeight="1">
      <c r="A42" s="31">
        <v>127.0</v>
      </c>
      <c r="B42" s="32" t="s">
        <v>57437</v>
      </c>
      <c r="C42" s="31">
        <v>170.0</v>
      </c>
      <c r="D42" s="32" t="s">
        <v>57438</v>
      </c>
      <c r="E42" s="32" t="s">
        <v>57439</v>
      </c>
      <c r="F42" s="31">
        <v>530.0</v>
      </c>
      <c r="G42" s="31">
        <v>1.70275307E8</v>
      </c>
    </row>
    <row r="43" ht="12.75" customHeight="1">
      <c r="A43" s="27">
        <v>127.0</v>
      </c>
      <c r="B43" s="28" t="s">
        <v>57440</v>
      </c>
      <c r="C43" s="27">
        <v>170.0</v>
      </c>
      <c r="D43" s="28" t="s">
        <v>57441</v>
      </c>
      <c r="E43" s="28" t="s">
        <v>57442</v>
      </c>
      <c r="F43" s="27">
        <v>610.0</v>
      </c>
      <c r="G43" s="27">
        <v>1.70276106E8</v>
      </c>
    </row>
    <row r="44" ht="12.75" customHeight="1">
      <c r="A44" s="31">
        <v>127.0</v>
      </c>
      <c r="B44" s="32" t="s">
        <v>57443</v>
      </c>
      <c r="C44" s="31">
        <v>170.0</v>
      </c>
      <c r="D44" s="32" t="s">
        <v>57444</v>
      </c>
      <c r="E44" s="32" t="s">
        <v>57445</v>
      </c>
      <c r="F44" s="31">
        <v>700.0</v>
      </c>
      <c r="G44" s="31">
        <v>1.70277E8</v>
      </c>
    </row>
    <row r="45" ht="12.75" customHeight="1">
      <c r="A45" s="27">
        <v>728.0</v>
      </c>
      <c r="B45" s="28" t="s">
        <v>57446</v>
      </c>
      <c r="C45" s="27">
        <v>170.0</v>
      </c>
      <c r="D45" s="28" t="s">
        <v>57447</v>
      </c>
      <c r="E45" s="28" t="s">
        <v>57448</v>
      </c>
      <c r="F45" s="29">
        <v>67.0</v>
      </c>
      <c r="G45" s="27">
        <v>1.70280671E8</v>
      </c>
    </row>
    <row r="46" ht="12.75" customHeight="1">
      <c r="A46" s="31">
        <v>329.0</v>
      </c>
      <c r="B46" s="32" t="s">
        <v>57449</v>
      </c>
      <c r="C46" s="31">
        <v>170.0</v>
      </c>
      <c r="D46" s="32" t="s">
        <v>57450</v>
      </c>
      <c r="E46" s="32" t="s">
        <v>57451</v>
      </c>
      <c r="F46" s="33">
        <v>34.0</v>
      </c>
      <c r="G46" s="31">
        <v>1.7029034E8</v>
      </c>
    </row>
    <row r="47" ht="12.75" customHeight="1">
      <c r="A47" s="27">
        <v>329.0</v>
      </c>
      <c r="B47" s="28" t="s">
        <v>57452</v>
      </c>
      <c r="C47" s="27">
        <v>170.0</v>
      </c>
      <c r="D47" s="28" t="s">
        <v>57453</v>
      </c>
      <c r="E47" s="28" t="s">
        <v>57454</v>
      </c>
      <c r="F47" s="29">
        <v>52.0</v>
      </c>
      <c r="G47" s="27">
        <v>1.70290524E8</v>
      </c>
    </row>
    <row r="48" ht="12.75" customHeight="1">
      <c r="A48" s="31">
        <v>329.0</v>
      </c>
      <c r="B48" s="32" t="s">
        <v>57455</v>
      </c>
      <c r="C48" s="31">
        <v>170.0</v>
      </c>
      <c r="D48" s="32" t="s">
        <v>57456</v>
      </c>
      <c r="E48" s="32" t="s">
        <v>57457</v>
      </c>
      <c r="F48" s="31">
        <v>109.0</v>
      </c>
      <c r="G48" s="31">
        <v>1.70291099E8</v>
      </c>
    </row>
    <row r="49" ht="12.75" customHeight="1">
      <c r="A49" s="27">
        <v>230.0</v>
      </c>
      <c r="B49" s="28" t="s">
        <v>57458</v>
      </c>
      <c r="C49" s="27">
        <v>170.0</v>
      </c>
      <c r="D49" s="28" t="s">
        <v>57459</v>
      </c>
      <c r="E49" s="28" t="s">
        <v>57460</v>
      </c>
      <c r="F49" s="29">
        <v>37.0</v>
      </c>
      <c r="G49" s="27">
        <v>1.70300377E8</v>
      </c>
    </row>
    <row r="50" ht="12.75" customHeight="1">
      <c r="A50" s="31">
        <v>230.0</v>
      </c>
      <c r="B50" s="32" t="s">
        <v>57461</v>
      </c>
      <c r="C50" s="31">
        <v>170.0</v>
      </c>
      <c r="D50" s="32" t="s">
        <v>57462</v>
      </c>
      <c r="E50" s="32" t="s">
        <v>57463</v>
      </c>
      <c r="F50" s="33">
        <v>52.0</v>
      </c>
      <c r="G50" s="31">
        <v>1.70300522E8</v>
      </c>
    </row>
    <row r="51" ht="12.75" customHeight="1">
      <c r="A51" s="27">
        <v>133.0</v>
      </c>
      <c r="B51" s="28" t="s">
        <v>57464</v>
      </c>
      <c r="C51" s="27">
        <v>170.0</v>
      </c>
      <c r="D51" s="28" t="s">
        <v>57465</v>
      </c>
      <c r="E51" s="28" t="s">
        <v>57466</v>
      </c>
      <c r="F51" s="29">
        <v>73.0</v>
      </c>
      <c r="G51" s="27">
        <v>1.70330734E8</v>
      </c>
    </row>
    <row r="52" ht="12.75" customHeight="1">
      <c r="A52" s="31">
        <v>133.0</v>
      </c>
      <c r="B52" s="32" t="s">
        <v>57467</v>
      </c>
      <c r="C52" s="31">
        <v>170.0</v>
      </c>
      <c r="D52" s="32" t="s">
        <v>57468</v>
      </c>
      <c r="E52" s="32" t="s">
        <v>57469</v>
      </c>
      <c r="F52" s="33">
        <v>79.0</v>
      </c>
      <c r="G52" s="31">
        <v>1.70330792E8</v>
      </c>
    </row>
    <row r="53" ht="12.75" customHeight="1">
      <c r="A53" s="27">
        <v>133.0</v>
      </c>
      <c r="B53" s="28" t="s">
        <v>57470</v>
      </c>
      <c r="C53" s="27">
        <v>170.0</v>
      </c>
      <c r="D53" s="28" t="s">
        <v>57471</v>
      </c>
      <c r="E53" s="28" t="s">
        <v>57472</v>
      </c>
      <c r="F53" s="27">
        <v>163.0</v>
      </c>
      <c r="G53" s="27">
        <v>1.70331638E8</v>
      </c>
    </row>
    <row r="54" ht="12.75" customHeight="1">
      <c r="A54" s="31">
        <v>836.0</v>
      </c>
      <c r="B54" s="32" t="s">
        <v>57473</v>
      </c>
      <c r="C54" s="31">
        <v>170.0</v>
      </c>
      <c r="D54" s="32" t="s">
        <v>57474</v>
      </c>
      <c r="E54" s="32" t="s">
        <v>57475</v>
      </c>
      <c r="F54" s="33">
        <v>61.0</v>
      </c>
      <c r="G54" s="31">
        <v>1.70360612E8</v>
      </c>
    </row>
    <row r="55" ht="12.75" customHeight="1">
      <c r="A55" s="27">
        <v>836.0</v>
      </c>
      <c r="B55" s="28" t="s">
        <v>57476</v>
      </c>
      <c r="C55" s="27">
        <v>170.0</v>
      </c>
      <c r="D55" s="28" t="s">
        <v>57477</v>
      </c>
      <c r="E55" s="28" t="s">
        <v>57478</v>
      </c>
      <c r="F55" s="29">
        <v>89.0</v>
      </c>
      <c r="G55" s="27">
        <v>1.70360896E8</v>
      </c>
    </row>
    <row r="56" ht="12.75" customHeight="1">
      <c r="A56" s="31">
        <v>836.0</v>
      </c>
      <c r="B56" s="32" t="s">
        <v>57479</v>
      </c>
      <c r="C56" s="31">
        <v>170.0</v>
      </c>
      <c r="D56" s="32" t="s">
        <v>57480</v>
      </c>
      <c r="E56" s="32" t="s">
        <v>57481</v>
      </c>
      <c r="F56" s="31">
        <v>109.0</v>
      </c>
      <c r="G56" s="31">
        <v>1.70361095E8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638.0</v>
      </c>
      <c r="B1" s="28" t="s">
        <v>57482</v>
      </c>
      <c r="C1" s="27">
        <v>170.0</v>
      </c>
      <c r="D1" s="28" t="s">
        <v>57483</v>
      </c>
      <c r="E1" s="28" t="s">
        <v>57484</v>
      </c>
      <c r="F1" s="29">
        <v>40.0</v>
      </c>
      <c r="G1" s="27">
        <v>1.70380405E8</v>
      </c>
    </row>
    <row r="2" ht="12.75" customHeight="1">
      <c r="A2" s="31">
        <v>139.0</v>
      </c>
      <c r="B2" s="32" t="s">
        <v>57485</v>
      </c>
      <c r="C2" s="31">
        <v>170.0</v>
      </c>
      <c r="D2" s="32" t="s">
        <v>57486</v>
      </c>
      <c r="E2" s="32" t="s">
        <v>57487</v>
      </c>
      <c r="F2" s="33">
        <v>85.0</v>
      </c>
      <c r="G2" s="31">
        <v>1.70390853E8</v>
      </c>
    </row>
    <row r="3" ht="12.75" customHeight="1">
      <c r="A3" s="27">
        <v>441.0</v>
      </c>
      <c r="B3" s="28" t="s">
        <v>57488</v>
      </c>
      <c r="C3" s="27">
        <v>170.0</v>
      </c>
      <c r="D3" s="28" t="s">
        <v>57489</v>
      </c>
      <c r="E3" s="28" t="s">
        <v>57490</v>
      </c>
      <c r="F3" s="29">
        <v>94.0</v>
      </c>
      <c r="G3" s="27">
        <v>1.70410946E8</v>
      </c>
    </row>
    <row r="4" ht="12.75" customHeight="1">
      <c r="A4" s="31">
        <v>441.0</v>
      </c>
      <c r="B4" s="32" t="s">
        <v>57491</v>
      </c>
      <c r="C4" s="31">
        <v>170.0</v>
      </c>
      <c r="D4" s="32" t="s">
        <v>57492</v>
      </c>
      <c r="E4" s="32" t="s">
        <v>57493</v>
      </c>
      <c r="F4" s="31">
        <v>110.0</v>
      </c>
      <c r="G4" s="31">
        <v>1.70411103E8</v>
      </c>
    </row>
    <row r="5" ht="12.75" customHeight="1">
      <c r="A5" s="27">
        <v>246.0</v>
      </c>
      <c r="B5" s="28" t="s">
        <v>57494</v>
      </c>
      <c r="C5" s="27">
        <v>170.0</v>
      </c>
      <c r="D5" s="28" t="s">
        <v>57495</v>
      </c>
      <c r="E5" s="28" t="s">
        <v>57496</v>
      </c>
      <c r="F5" s="29">
        <v>5.0</v>
      </c>
      <c r="G5" s="27">
        <v>1.70460059E8</v>
      </c>
    </row>
    <row r="6" ht="12.75" customHeight="1">
      <c r="A6" s="31">
        <v>447.0</v>
      </c>
      <c r="B6" s="32" t="s">
        <v>57497</v>
      </c>
      <c r="C6" s="31">
        <v>170.0</v>
      </c>
      <c r="D6" s="32" t="s">
        <v>57498</v>
      </c>
      <c r="E6" s="32" t="s">
        <v>57499</v>
      </c>
      <c r="F6" s="33">
        <v>70.0</v>
      </c>
      <c r="G6" s="31">
        <v>1.70470702E8</v>
      </c>
    </row>
    <row r="7" ht="12.75" customHeight="1">
      <c r="A7" s="27">
        <v>447.0</v>
      </c>
      <c r="B7" s="28" t="s">
        <v>57500</v>
      </c>
      <c r="C7" s="27">
        <v>170.0</v>
      </c>
      <c r="D7" s="28" t="s">
        <v>57501</v>
      </c>
      <c r="E7" s="28" t="s">
        <v>57502</v>
      </c>
      <c r="F7" s="27">
        <v>154.0</v>
      </c>
      <c r="G7" s="27">
        <v>1.70471543E8</v>
      </c>
    </row>
    <row r="8" ht="12.75" customHeight="1">
      <c r="A8" s="31">
        <v>148.0</v>
      </c>
      <c r="B8" s="32" t="s">
        <v>57503</v>
      </c>
      <c r="C8" s="31">
        <v>170.0</v>
      </c>
      <c r="D8" s="32" t="s">
        <v>57504</v>
      </c>
      <c r="E8" s="32" t="s">
        <v>57505</v>
      </c>
      <c r="F8" s="33">
        <v>22.0</v>
      </c>
      <c r="G8" s="31">
        <v>1.70480226E8</v>
      </c>
    </row>
    <row r="9" ht="12.75" customHeight="1">
      <c r="A9" s="27">
        <v>148.0</v>
      </c>
      <c r="B9" s="28" t="s">
        <v>57506</v>
      </c>
      <c r="C9" s="27">
        <v>170.0</v>
      </c>
      <c r="D9" s="28" t="s">
        <v>57507</v>
      </c>
      <c r="E9" s="28" t="s">
        <v>57508</v>
      </c>
      <c r="F9" s="29">
        <v>67.0</v>
      </c>
      <c r="G9" s="27">
        <v>1.70480671E8</v>
      </c>
    </row>
    <row r="10" ht="12.75" customHeight="1">
      <c r="A10" s="31">
        <v>450.0</v>
      </c>
      <c r="B10" s="32" t="s">
        <v>57509</v>
      </c>
      <c r="C10" s="31">
        <v>170.0</v>
      </c>
      <c r="D10" s="32" t="s">
        <v>57510</v>
      </c>
      <c r="E10" s="32" t="s">
        <v>57511</v>
      </c>
      <c r="F10" s="33">
        <v>1.0</v>
      </c>
      <c r="G10" s="31">
        <v>1.70500014E8</v>
      </c>
    </row>
    <row r="11" ht="12.75" customHeight="1">
      <c r="A11" s="27">
        <v>450.0</v>
      </c>
      <c r="B11" s="28" t="s">
        <v>57512</v>
      </c>
      <c r="C11" s="27">
        <v>170.0</v>
      </c>
      <c r="D11" s="28" t="s">
        <v>57513</v>
      </c>
      <c r="E11" s="28" t="s">
        <v>57514</v>
      </c>
      <c r="F11" s="29">
        <v>94.0</v>
      </c>
      <c r="G11" s="27">
        <v>1.70500948E8</v>
      </c>
    </row>
    <row r="12" ht="12.75" customHeight="1">
      <c r="A12" s="31">
        <v>251.0</v>
      </c>
      <c r="B12" s="32" t="s">
        <v>57515</v>
      </c>
      <c r="C12" s="31">
        <v>170.0</v>
      </c>
      <c r="D12" s="32" t="s">
        <v>57516</v>
      </c>
      <c r="E12" s="32" t="s">
        <v>57517</v>
      </c>
      <c r="F12" s="33">
        <v>97.0</v>
      </c>
      <c r="G12" s="31">
        <v>1.7051097E8</v>
      </c>
    </row>
    <row r="13" ht="12.75" customHeight="1">
      <c r="A13" s="27">
        <v>752.0</v>
      </c>
      <c r="B13" s="28" t="s">
        <v>57518</v>
      </c>
      <c r="C13" s="27">
        <v>170.0</v>
      </c>
      <c r="D13" s="28" t="s">
        <v>57519</v>
      </c>
      <c r="E13" s="28" t="s">
        <v>57520</v>
      </c>
      <c r="F13" s="29">
        <v>40.0</v>
      </c>
      <c r="G13" s="27">
        <v>1.70520407E8</v>
      </c>
    </row>
    <row r="14" ht="12.75" customHeight="1">
      <c r="A14" s="31">
        <v>354.0</v>
      </c>
      <c r="B14" s="32" t="s">
        <v>57521</v>
      </c>
      <c r="C14" s="31">
        <v>170.0</v>
      </c>
      <c r="D14" s="32" t="s">
        <v>57522</v>
      </c>
      <c r="E14" s="32" t="s">
        <v>57523</v>
      </c>
      <c r="F14" s="33">
        <v>77.0</v>
      </c>
      <c r="G14" s="31">
        <v>1.70540779E8</v>
      </c>
    </row>
    <row r="15" ht="12.75" customHeight="1">
      <c r="A15" s="27">
        <v>455.0</v>
      </c>
      <c r="B15" s="28" t="s">
        <v>57524</v>
      </c>
      <c r="C15" s="27">
        <v>170.0</v>
      </c>
      <c r="D15" s="28" t="s">
        <v>57525</v>
      </c>
      <c r="E15" s="28" t="s">
        <v>57526</v>
      </c>
      <c r="F15" s="29">
        <v>55.0</v>
      </c>
      <c r="G15" s="27">
        <v>1.70550556E8</v>
      </c>
    </row>
    <row r="16" ht="12.75" customHeight="1">
      <c r="A16" s="31">
        <v>858.0</v>
      </c>
      <c r="B16" s="32" t="s">
        <v>57527</v>
      </c>
      <c r="C16" s="31">
        <v>170.0</v>
      </c>
      <c r="D16" s="32" t="s">
        <v>57528</v>
      </c>
      <c r="E16" s="32" t="s">
        <v>57529</v>
      </c>
      <c r="F16" s="33">
        <v>10.0</v>
      </c>
      <c r="G16" s="31">
        <v>1.705801E8</v>
      </c>
    </row>
    <row r="17" ht="12.75" customHeight="1">
      <c r="A17" s="27">
        <v>858.0</v>
      </c>
      <c r="B17" s="28" t="s">
        <v>57530</v>
      </c>
      <c r="C17" s="27">
        <v>170.0</v>
      </c>
      <c r="D17" s="28" t="s">
        <v>57531</v>
      </c>
      <c r="E17" s="28" t="s">
        <v>57532</v>
      </c>
      <c r="F17" s="29">
        <v>40.0</v>
      </c>
      <c r="G17" s="27">
        <v>1.70580405E8</v>
      </c>
    </row>
    <row r="18" ht="12.75" customHeight="1">
      <c r="A18" s="31">
        <v>858.0</v>
      </c>
      <c r="B18" s="32" t="s">
        <v>57533</v>
      </c>
      <c r="C18" s="31">
        <v>170.0</v>
      </c>
      <c r="D18" s="32" t="s">
        <v>57534</v>
      </c>
      <c r="E18" s="32" t="s">
        <v>57535</v>
      </c>
      <c r="F18" s="33">
        <v>94.0</v>
      </c>
      <c r="G18" s="31">
        <v>1.70580942E8</v>
      </c>
    </row>
    <row r="19" ht="12.75" customHeight="1">
      <c r="A19" s="27">
        <v>858.0</v>
      </c>
      <c r="B19" s="28" t="s">
        <v>57536</v>
      </c>
      <c r="C19" s="27">
        <v>170.0</v>
      </c>
      <c r="D19" s="28" t="s">
        <v>57537</v>
      </c>
      <c r="E19" s="28" t="s">
        <v>57538</v>
      </c>
      <c r="F19" s="27">
        <v>172.0</v>
      </c>
      <c r="G19" s="27">
        <v>1.70581725E8</v>
      </c>
    </row>
    <row r="20" ht="12.75" customHeight="1">
      <c r="A20" s="31">
        <v>159.0</v>
      </c>
      <c r="B20" s="32" t="s">
        <v>57539</v>
      </c>
      <c r="C20" s="31">
        <v>170.0</v>
      </c>
      <c r="D20" s="32" t="s">
        <v>57540</v>
      </c>
      <c r="E20" s="32" t="s">
        <v>57541</v>
      </c>
      <c r="F20" s="31">
        <v>139.0</v>
      </c>
      <c r="G20" s="31">
        <v>1.70591399E8</v>
      </c>
    </row>
    <row r="21" ht="12.75" customHeight="1">
      <c r="A21" s="27">
        <v>159.0</v>
      </c>
      <c r="B21" s="28" t="s">
        <v>57542</v>
      </c>
      <c r="C21" s="27">
        <v>170.0</v>
      </c>
      <c r="D21" s="28" t="s">
        <v>57543</v>
      </c>
      <c r="E21" s="28" t="s">
        <v>57544</v>
      </c>
      <c r="F21" s="27">
        <v>142.0</v>
      </c>
      <c r="G21" s="27">
        <v>1.70591423E8</v>
      </c>
    </row>
    <row r="22" ht="12.75" customHeight="1">
      <c r="A22" s="31">
        <v>161.0</v>
      </c>
      <c r="B22" s="32" t="s">
        <v>57545</v>
      </c>
      <c r="C22" s="31">
        <v>170.0</v>
      </c>
      <c r="D22" s="32" t="s">
        <v>57546</v>
      </c>
      <c r="E22" s="32" t="s">
        <v>57547</v>
      </c>
      <c r="F22" s="31">
        <v>175.0</v>
      </c>
      <c r="G22" s="31">
        <v>1.70611758E8</v>
      </c>
    </row>
    <row r="23" ht="12.75" customHeight="1">
      <c r="A23" s="27">
        <v>564.0</v>
      </c>
      <c r="B23" s="28" t="s">
        <v>57548</v>
      </c>
      <c r="C23" s="27">
        <v>170.0</v>
      </c>
      <c r="D23" s="28" t="s">
        <v>57549</v>
      </c>
      <c r="E23" s="28" t="s">
        <v>57550</v>
      </c>
      <c r="F23" s="27">
        <v>109.0</v>
      </c>
      <c r="G23" s="27">
        <v>1.70641094E8</v>
      </c>
    </row>
    <row r="24" ht="12.75" customHeight="1">
      <c r="A24" s="31">
        <v>564.0</v>
      </c>
      <c r="B24" s="32" t="s">
        <v>57551</v>
      </c>
      <c r="C24" s="31">
        <v>170.0</v>
      </c>
      <c r="D24" s="32" t="s">
        <v>57552</v>
      </c>
      <c r="E24" s="32" t="s">
        <v>57553</v>
      </c>
      <c r="F24" s="31">
        <v>118.0</v>
      </c>
      <c r="G24" s="31">
        <v>1.70641186E8</v>
      </c>
    </row>
    <row r="25" ht="12.75" customHeight="1">
      <c r="A25" s="27">
        <v>167.0</v>
      </c>
      <c r="B25" s="28" t="s">
        <v>57554</v>
      </c>
      <c r="C25" s="27">
        <v>170.0</v>
      </c>
      <c r="D25" s="28" t="s">
        <v>57555</v>
      </c>
      <c r="E25" s="28" t="s">
        <v>57556</v>
      </c>
      <c r="F25" s="29">
        <v>3.0</v>
      </c>
      <c r="G25" s="27">
        <v>1.70670036E8</v>
      </c>
    </row>
    <row r="26" ht="12.75" customHeight="1">
      <c r="A26" s="31">
        <v>167.0</v>
      </c>
      <c r="B26" s="32" t="s">
        <v>57557</v>
      </c>
      <c r="C26" s="31">
        <v>170.0</v>
      </c>
      <c r="D26" s="32" t="s">
        <v>57558</v>
      </c>
      <c r="E26" s="32" t="s">
        <v>57559</v>
      </c>
      <c r="F26" s="31">
        <v>118.0</v>
      </c>
      <c r="G26" s="31">
        <v>1.70671185E8</v>
      </c>
    </row>
    <row r="27" ht="12.75" customHeight="1">
      <c r="A27" s="27">
        <v>167.0</v>
      </c>
      <c r="B27" s="28" t="s">
        <v>57560</v>
      </c>
      <c r="C27" s="27">
        <v>170.0</v>
      </c>
      <c r="D27" s="28" t="s">
        <v>57561</v>
      </c>
      <c r="E27" s="28" t="s">
        <v>57562</v>
      </c>
      <c r="F27" s="27">
        <v>157.0</v>
      </c>
      <c r="G27" s="27">
        <v>1.70671572E8</v>
      </c>
    </row>
    <row r="28" ht="12.75" customHeight="1">
      <c r="A28" s="31">
        <v>167.0</v>
      </c>
      <c r="B28" s="32" t="s">
        <v>57563</v>
      </c>
      <c r="C28" s="31">
        <v>170.0</v>
      </c>
      <c r="D28" s="32" t="s">
        <v>57564</v>
      </c>
      <c r="E28" s="32" t="s">
        <v>57565</v>
      </c>
      <c r="F28" s="31">
        <v>170.0</v>
      </c>
      <c r="G28" s="31">
        <v>1.70671701E8</v>
      </c>
    </row>
    <row r="29" ht="12.75" customHeight="1">
      <c r="A29" s="27">
        <v>168.0</v>
      </c>
      <c r="B29" s="28" t="s">
        <v>57566</v>
      </c>
      <c r="C29" s="27">
        <v>170.0</v>
      </c>
      <c r="D29" s="28" t="s">
        <v>57567</v>
      </c>
      <c r="E29" s="28" t="s">
        <v>57568</v>
      </c>
      <c r="F29" s="29">
        <v>67.0</v>
      </c>
      <c r="G29" s="27">
        <v>1.70680671E8</v>
      </c>
    </row>
    <row r="30" ht="12.75" customHeight="1">
      <c r="A30" s="31">
        <v>168.0</v>
      </c>
      <c r="B30" s="32" t="s">
        <v>57569</v>
      </c>
      <c r="C30" s="31">
        <v>170.0</v>
      </c>
      <c r="D30" s="32" t="s">
        <v>57570</v>
      </c>
      <c r="E30" s="32" t="s">
        <v>57571</v>
      </c>
      <c r="F30" s="33">
        <v>86.0</v>
      </c>
      <c r="G30" s="31">
        <v>1.70680868E8</v>
      </c>
    </row>
    <row r="31" ht="12.75" customHeight="1">
      <c r="A31" s="27">
        <v>168.0</v>
      </c>
      <c r="B31" s="28" t="s">
        <v>57572</v>
      </c>
      <c r="C31" s="27">
        <v>170.0</v>
      </c>
      <c r="D31" s="28" t="s">
        <v>57573</v>
      </c>
      <c r="E31" s="28" t="s">
        <v>57574</v>
      </c>
      <c r="F31" s="27">
        <v>130.0</v>
      </c>
      <c r="G31" s="27">
        <v>1.70681304E8</v>
      </c>
    </row>
    <row r="32" ht="12.75" customHeight="1">
      <c r="A32" s="31">
        <v>569.0</v>
      </c>
      <c r="B32" s="32" t="s">
        <v>57575</v>
      </c>
      <c r="C32" s="31">
        <v>170.0</v>
      </c>
      <c r="D32" s="32" t="s">
        <v>57576</v>
      </c>
      <c r="E32" s="32" t="s">
        <v>57577</v>
      </c>
      <c r="F32" s="31">
        <v>109.0</v>
      </c>
      <c r="G32" s="31">
        <v>1.70691099E8</v>
      </c>
    </row>
    <row r="33" ht="12.75" customHeight="1">
      <c r="A33" s="27">
        <v>570.0</v>
      </c>
      <c r="B33" s="28" t="s">
        <v>57578</v>
      </c>
      <c r="C33" s="27">
        <v>170.0</v>
      </c>
      <c r="D33" s="28" t="s">
        <v>57579</v>
      </c>
      <c r="E33" s="28" t="s">
        <v>57580</v>
      </c>
      <c r="F33" s="29">
        <v>25.0</v>
      </c>
      <c r="G33" s="27">
        <v>1.70700256E8</v>
      </c>
    </row>
    <row r="34" ht="12.75" customHeight="1">
      <c r="A34" s="31">
        <v>773.0</v>
      </c>
      <c r="B34" s="32" t="s">
        <v>57581</v>
      </c>
      <c r="C34" s="31">
        <v>170.0</v>
      </c>
      <c r="D34" s="32" t="s">
        <v>57582</v>
      </c>
      <c r="E34" s="32" t="s">
        <v>57583</v>
      </c>
      <c r="F34" s="33">
        <v>79.0</v>
      </c>
      <c r="G34" s="31">
        <v>1.70730792E8</v>
      </c>
    </row>
    <row r="35" ht="12.75" customHeight="1">
      <c r="A35" s="27">
        <v>275.0</v>
      </c>
      <c r="B35" s="28" t="s">
        <v>57584</v>
      </c>
      <c r="C35" s="27">
        <v>170.0</v>
      </c>
      <c r="D35" s="28" t="s">
        <v>57585</v>
      </c>
      <c r="E35" s="28" t="s">
        <v>57586</v>
      </c>
      <c r="F35" s="29">
        <v>58.0</v>
      </c>
      <c r="G35" s="27">
        <v>1.70750585E8</v>
      </c>
    </row>
    <row r="36" ht="12.75" customHeight="1">
      <c r="A36" s="31">
        <v>275.0</v>
      </c>
      <c r="B36" s="32" t="s">
        <v>57587</v>
      </c>
      <c r="C36" s="31">
        <v>170.0</v>
      </c>
      <c r="D36" s="32" t="s">
        <v>57588</v>
      </c>
      <c r="E36" s="32" t="s">
        <v>57589</v>
      </c>
      <c r="F36" s="33">
        <v>67.0</v>
      </c>
      <c r="G36" s="31">
        <v>1.70750677E8</v>
      </c>
    </row>
    <row r="37" ht="12.75" customHeight="1">
      <c r="A37" s="27">
        <v>576.0</v>
      </c>
      <c r="B37" s="28" t="s">
        <v>57590</v>
      </c>
      <c r="C37" s="27">
        <v>170.0</v>
      </c>
      <c r="D37" s="28" t="s">
        <v>57591</v>
      </c>
      <c r="E37" s="28" t="s">
        <v>57592</v>
      </c>
      <c r="F37" s="27">
        <v>121.0</v>
      </c>
      <c r="G37" s="27">
        <v>1.70761211E8</v>
      </c>
    </row>
    <row r="38" ht="12.75" customHeight="1">
      <c r="A38" s="31">
        <v>576.0</v>
      </c>
      <c r="B38" s="32" t="s">
        <v>57593</v>
      </c>
      <c r="C38" s="31">
        <v>170.0</v>
      </c>
      <c r="D38" s="32" t="s">
        <v>57594</v>
      </c>
      <c r="E38" s="32" t="s">
        <v>57595</v>
      </c>
      <c r="F38" s="31">
        <v>178.0</v>
      </c>
      <c r="G38" s="31">
        <v>1.70761787E8</v>
      </c>
    </row>
    <row r="39" ht="12.75" customHeight="1">
      <c r="A39" s="27">
        <v>581.0</v>
      </c>
      <c r="B39" s="28" t="s">
        <v>57596</v>
      </c>
      <c r="C39" s="27">
        <v>170.0</v>
      </c>
      <c r="D39" s="28" t="s">
        <v>57597</v>
      </c>
      <c r="E39" s="28" t="s">
        <v>57598</v>
      </c>
      <c r="F39" s="29">
        <v>22.0</v>
      </c>
      <c r="G39" s="27">
        <v>1.70810225E8</v>
      </c>
    </row>
    <row r="40" ht="12.75" customHeight="1">
      <c r="A40" s="31">
        <v>581.0</v>
      </c>
      <c r="B40" s="32" t="s">
        <v>57599</v>
      </c>
      <c r="C40" s="31">
        <v>170.0</v>
      </c>
      <c r="D40" s="32" t="s">
        <v>57600</v>
      </c>
      <c r="E40" s="32" t="s">
        <v>57601</v>
      </c>
      <c r="F40" s="31">
        <v>193.0</v>
      </c>
      <c r="G40" s="31">
        <v>1.70811932E8</v>
      </c>
    </row>
    <row r="41" ht="12.75" customHeight="1">
      <c r="A41" s="27">
        <v>785.0</v>
      </c>
      <c r="B41" s="28" t="s">
        <v>57602</v>
      </c>
      <c r="C41" s="27">
        <v>170.0</v>
      </c>
      <c r="D41" s="28" t="s">
        <v>57603</v>
      </c>
      <c r="E41" s="28" t="s">
        <v>57604</v>
      </c>
      <c r="F41" s="27">
        <v>145.0</v>
      </c>
      <c r="G41" s="27">
        <v>1.70851455E8</v>
      </c>
    </row>
    <row r="42" ht="12.75" customHeight="1">
      <c r="A42" s="31">
        <v>386.0</v>
      </c>
      <c r="B42" s="32" t="s">
        <v>57605</v>
      </c>
      <c r="C42" s="31">
        <v>170.0</v>
      </c>
      <c r="D42" s="32" t="s">
        <v>57606</v>
      </c>
      <c r="E42" s="32" t="s">
        <v>57607</v>
      </c>
      <c r="F42" s="33">
        <v>19.0</v>
      </c>
      <c r="G42" s="31">
        <v>1.70860196E8</v>
      </c>
    </row>
    <row r="43" ht="12.75" customHeight="1">
      <c r="A43" s="27">
        <v>487.0</v>
      </c>
      <c r="B43" s="28" t="s">
        <v>57608</v>
      </c>
      <c r="C43" s="27">
        <v>170.0</v>
      </c>
      <c r="D43" s="28" t="s">
        <v>57609</v>
      </c>
      <c r="E43" s="28" t="s">
        <v>57610</v>
      </c>
      <c r="F43" s="27">
        <v>109.0</v>
      </c>
      <c r="G43" s="27">
        <v>1.70871093E8</v>
      </c>
    </row>
    <row r="44" ht="12.75" customHeight="1">
      <c r="A44" s="31">
        <v>189.0</v>
      </c>
      <c r="B44" s="32" t="s">
        <v>57611</v>
      </c>
      <c r="C44" s="31">
        <v>170.0</v>
      </c>
      <c r="D44" s="32" t="s">
        <v>57612</v>
      </c>
      <c r="E44" s="32" t="s">
        <v>57613</v>
      </c>
      <c r="F44" s="33">
        <v>56.0</v>
      </c>
      <c r="G44" s="31">
        <v>1.70890566E8</v>
      </c>
    </row>
    <row r="45" ht="12.75" customHeight="1">
      <c r="A45" s="27">
        <v>890.0</v>
      </c>
      <c r="B45" s="28" t="s">
        <v>57614</v>
      </c>
      <c r="C45" s="27">
        <v>170.0</v>
      </c>
      <c r="D45" s="28" t="s">
        <v>57615</v>
      </c>
      <c r="E45" s="28" t="s">
        <v>57616</v>
      </c>
      <c r="F45" s="27">
        <v>115.0</v>
      </c>
      <c r="G45" s="27">
        <v>1.7090115E8</v>
      </c>
    </row>
    <row r="46" ht="12.75" customHeight="1">
      <c r="A46" s="31">
        <v>890.0</v>
      </c>
      <c r="B46" s="32" t="s">
        <v>57617</v>
      </c>
      <c r="C46" s="31">
        <v>170.0</v>
      </c>
      <c r="D46" s="32" t="s">
        <v>57618</v>
      </c>
      <c r="E46" s="32" t="s">
        <v>57619</v>
      </c>
      <c r="F46" s="31">
        <v>119.0</v>
      </c>
      <c r="G46" s="31">
        <v>1.70901192E8</v>
      </c>
    </row>
    <row r="47" ht="12.75" customHeight="1">
      <c r="A47" s="27">
        <v>891.0</v>
      </c>
      <c r="B47" s="28" t="s">
        <v>57620</v>
      </c>
      <c r="C47" s="27">
        <v>170.0</v>
      </c>
      <c r="D47" s="28" t="s">
        <v>57621</v>
      </c>
      <c r="E47" s="28" t="s">
        <v>57622</v>
      </c>
      <c r="F47" s="29">
        <v>4.0</v>
      </c>
      <c r="G47" s="27">
        <v>1.70910046E8</v>
      </c>
    </row>
    <row r="48" ht="12.75" customHeight="1">
      <c r="A48" s="31">
        <v>891.0</v>
      </c>
      <c r="B48" s="32" t="s">
        <v>57623</v>
      </c>
      <c r="C48" s="31">
        <v>170.0</v>
      </c>
      <c r="D48" s="32" t="s">
        <v>57624</v>
      </c>
      <c r="E48" s="32" t="s">
        <v>57625</v>
      </c>
      <c r="F48" s="33">
        <v>31.0</v>
      </c>
      <c r="G48" s="31">
        <v>1.70910312E8</v>
      </c>
    </row>
    <row r="49" ht="12.75" customHeight="1">
      <c r="A49" s="27">
        <v>891.0</v>
      </c>
      <c r="B49" s="28" t="s">
        <v>57626</v>
      </c>
      <c r="C49" s="27">
        <v>170.0</v>
      </c>
      <c r="D49" s="28" t="s">
        <v>57627</v>
      </c>
      <c r="E49" s="28" t="s">
        <v>57628</v>
      </c>
      <c r="F49" s="29">
        <v>43.0</v>
      </c>
      <c r="G49" s="27">
        <v>1.70910433E8</v>
      </c>
    </row>
    <row r="50" ht="12.75" customHeight="1">
      <c r="A50" s="31">
        <v>891.0</v>
      </c>
      <c r="B50" s="32" t="s">
        <v>57629</v>
      </c>
      <c r="C50" s="31">
        <v>170.0</v>
      </c>
      <c r="D50" s="32" t="s">
        <v>57630</v>
      </c>
      <c r="E50" s="32" t="s">
        <v>57631</v>
      </c>
      <c r="F50" s="31">
        <v>130.0</v>
      </c>
      <c r="G50" s="31">
        <v>1.70911308E8</v>
      </c>
    </row>
    <row r="51" ht="12.75" customHeight="1">
      <c r="A51" s="27">
        <v>891.0</v>
      </c>
      <c r="B51" s="28" t="s">
        <v>57632</v>
      </c>
      <c r="C51" s="27">
        <v>170.0</v>
      </c>
      <c r="D51" s="28" t="s">
        <v>57633</v>
      </c>
      <c r="E51" s="28" t="s">
        <v>57634</v>
      </c>
      <c r="F51" s="27">
        <v>136.0</v>
      </c>
      <c r="G51" s="27">
        <v>1.70911366E8</v>
      </c>
    </row>
    <row r="52" ht="12.75" customHeight="1">
      <c r="A52" s="31">
        <v>891.0</v>
      </c>
      <c r="B52" s="32" t="s">
        <v>57635</v>
      </c>
      <c r="C52" s="31">
        <v>170.0</v>
      </c>
      <c r="D52" s="32" t="s">
        <v>57636</v>
      </c>
      <c r="E52" s="32" t="s">
        <v>57637</v>
      </c>
      <c r="F52" s="31">
        <v>178.0</v>
      </c>
      <c r="G52" s="31">
        <v>1.70911782E8</v>
      </c>
    </row>
    <row r="53" ht="12.75" customHeight="1">
      <c r="A53" s="27">
        <v>891.0</v>
      </c>
      <c r="B53" s="28" t="s">
        <v>57638</v>
      </c>
      <c r="C53" s="27">
        <v>170.0</v>
      </c>
      <c r="D53" s="28" t="s">
        <v>57639</v>
      </c>
      <c r="E53" s="28" t="s">
        <v>57640</v>
      </c>
      <c r="F53" s="27">
        <v>190.0</v>
      </c>
      <c r="G53" s="27">
        <v>1.70911908E8</v>
      </c>
    </row>
    <row r="54" ht="12.75" customHeight="1">
      <c r="A54" s="31">
        <v>891.0</v>
      </c>
      <c r="B54" s="32" t="s">
        <v>57641</v>
      </c>
      <c r="C54" s="31">
        <v>170.0</v>
      </c>
      <c r="D54" s="32" t="s">
        <v>57642</v>
      </c>
      <c r="E54" s="32" t="s">
        <v>57643</v>
      </c>
      <c r="F54" s="31">
        <v>349.0</v>
      </c>
      <c r="G54" s="31">
        <v>1.70913498E8</v>
      </c>
    </row>
    <row r="55" ht="12.75" customHeight="1">
      <c r="A55" s="27">
        <v>891.0</v>
      </c>
      <c r="B55" s="28" t="s">
        <v>57644</v>
      </c>
      <c r="C55" s="27">
        <v>170.0</v>
      </c>
      <c r="D55" s="28" t="s">
        <v>57645</v>
      </c>
      <c r="E55" s="28" t="s">
        <v>57646</v>
      </c>
      <c r="F55" s="27">
        <v>355.0</v>
      </c>
      <c r="G55" s="27">
        <v>1.70913551E8</v>
      </c>
    </row>
    <row r="56" ht="12.75" customHeight="1">
      <c r="A56" s="31">
        <v>891.0</v>
      </c>
      <c r="B56" s="32" t="s">
        <v>57647</v>
      </c>
      <c r="C56" s="31">
        <v>170.0</v>
      </c>
      <c r="D56" s="32" t="s">
        <v>57648</v>
      </c>
      <c r="E56" s="32" t="s">
        <v>57649</v>
      </c>
      <c r="F56" s="31">
        <v>382.0</v>
      </c>
      <c r="G56" s="31">
        <v>1.70913827E8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891.0</v>
      </c>
      <c r="B1" s="28" t="s">
        <v>57650</v>
      </c>
      <c r="C1" s="27">
        <v>170.0</v>
      </c>
      <c r="D1" s="28" t="s">
        <v>57651</v>
      </c>
      <c r="E1" s="28" t="s">
        <v>57652</v>
      </c>
      <c r="F1" s="27">
        <v>403.0</v>
      </c>
      <c r="G1" s="27">
        <v>1.70914039E8</v>
      </c>
    </row>
    <row r="2" ht="12.75" customHeight="1">
      <c r="A2" s="31">
        <v>193.0</v>
      </c>
      <c r="B2" s="32" t="s">
        <v>57653</v>
      </c>
      <c r="C2" s="31">
        <v>170.0</v>
      </c>
      <c r="D2" s="32" t="s">
        <v>57654</v>
      </c>
      <c r="E2" s="32" t="s">
        <v>57655</v>
      </c>
      <c r="F2" s="31">
        <v>151.0</v>
      </c>
      <c r="G2" s="31">
        <v>1.70931517E8</v>
      </c>
    </row>
    <row r="3" ht="12.75" customHeight="1">
      <c r="A3" s="27">
        <v>193.0</v>
      </c>
      <c r="B3" s="28" t="s">
        <v>57656</v>
      </c>
      <c r="C3" s="27">
        <v>170.0</v>
      </c>
      <c r="D3" s="28" t="s">
        <v>57657</v>
      </c>
      <c r="E3" s="28" t="s">
        <v>57658</v>
      </c>
      <c r="F3" s="27">
        <v>229.0</v>
      </c>
      <c r="G3" s="27">
        <v>1.70932295E8</v>
      </c>
    </row>
    <row r="4" ht="12.75" customHeight="1">
      <c r="A4" s="31">
        <v>794.0</v>
      </c>
      <c r="B4" s="32" t="s">
        <v>57659</v>
      </c>
      <c r="C4" s="31">
        <v>170.0</v>
      </c>
      <c r="D4" s="32" t="s">
        <v>57660</v>
      </c>
      <c r="E4" s="32" t="s">
        <v>57661</v>
      </c>
      <c r="F4" s="33">
        <v>98.0</v>
      </c>
      <c r="G4" s="31">
        <v>1.70940982E8</v>
      </c>
    </row>
    <row r="5" ht="12.75" customHeight="1">
      <c r="A5" s="27">
        <v>401.0</v>
      </c>
      <c r="B5" s="28" t="s">
        <v>57662</v>
      </c>
      <c r="C5" s="27">
        <v>175.0</v>
      </c>
      <c r="D5" s="28" t="s">
        <v>57663</v>
      </c>
      <c r="E5" s="28" t="s">
        <v>57664</v>
      </c>
      <c r="F5" s="29">
        <v>7.0</v>
      </c>
      <c r="G5" s="27">
        <v>1.75010075E8</v>
      </c>
    </row>
    <row r="6" ht="12.75" customHeight="1">
      <c r="A6" s="31">
        <v>401.0</v>
      </c>
      <c r="B6" s="32" t="s">
        <v>57665</v>
      </c>
      <c r="C6" s="31">
        <v>175.0</v>
      </c>
      <c r="D6" s="32" t="s">
        <v>57666</v>
      </c>
      <c r="E6" s="32" t="s">
        <v>57667</v>
      </c>
      <c r="F6" s="33">
        <v>94.0</v>
      </c>
      <c r="G6" s="31">
        <v>1.75010941E8</v>
      </c>
    </row>
    <row r="7" ht="12.75" customHeight="1">
      <c r="A7" s="27">
        <v>203.0</v>
      </c>
      <c r="B7" s="28" t="s">
        <v>57668</v>
      </c>
      <c r="C7" s="27">
        <v>175.0</v>
      </c>
      <c r="D7" s="28" t="s">
        <v>57669</v>
      </c>
      <c r="E7" s="28" t="s">
        <v>57670</v>
      </c>
      <c r="F7" s="29">
        <v>13.0</v>
      </c>
      <c r="G7" s="27">
        <v>1.75030134E8</v>
      </c>
    </row>
    <row r="8" ht="12.75" customHeight="1">
      <c r="A8" s="31">
        <v>304.0</v>
      </c>
      <c r="B8" s="32" t="s">
        <v>57671</v>
      </c>
      <c r="C8" s="31">
        <v>175.0</v>
      </c>
      <c r="D8" s="32" t="s">
        <v>57672</v>
      </c>
      <c r="E8" s="32" t="s">
        <v>57673</v>
      </c>
      <c r="F8" s="33">
        <v>10.0</v>
      </c>
      <c r="G8" s="31">
        <v>1.75040108E8</v>
      </c>
    </row>
    <row r="9" ht="12.75" customHeight="1">
      <c r="A9" s="27">
        <v>304.0</v>
      </c>
      <c r="B9" s="28" t="s">
        <v>57674</v>
      </c>
      <c r="C9" s="27">
        <v>175.0</v>
      </c>
      <c r="D9" s="28" t="s">
        <v>57675</v>
      </c>
      <c r="E9" s="28" t="s">
        <v>57676</v>
      </c>
      <c r="F9" s="29">
        <v>13.0</v>
      </c>
      <c r="G9" s="27">
        <v>1.75040137E8</v>
      </c>
    </row>
    <row r="10" ht="12.75" customHeight="1">
      <c r="A10" s="31">
        <v>306.0</v>
      </c>
      <c r="B10" s="32" t="s">
        <v>57677</v>
      </c>
      <c r="C10" s="31">
        <v>175.0</v>
      </c>
      <c r="D10" s="32" t="s">
        <v>57678</v>
      </c>
      <c r="E10" s="32" t="s">
        <v>57679</v>
      </c>
      <c r="F10" s="33">
        <v>16.0</v>
      </c>
      <c r="G10" s="31">
        <v>1.75060162E8</v>
      </c>
    </row>
    <row r="11" ht="12.75" customHeight="1">
      <c r="A11" s="27">
        <v>306.0</v>
      </c>
      <c r="B11" s="28" t="s">
        <v>57680</v>
      </c>
      <c r="C11" s="27">
        <v>175.0</v>
      </c>
      <c r="D11" s="28" t="s">
        <v>57681</v>
      </c>
      <c r="E11" s="28" t="s">
        <v>57682</v>
      </c>
      <c r="F11" s="29">
        <v>28.0</v>
      </c>
      <c r="G11" s="27">
        <v>1.75060283E8</v>
      </c>
    </row>
    <row r="12" ht="12.75" customHeight="1">
      <c r="A12" s="31">
        <v>306.0</v>
      </c>
      <c r="B12" s="32" t="s">
        <v>57683</v>
      </c>
      <c r="C12" s="31">
        <v>175.0</v>
      </c>
      <c r="D12" s="32" t="s">
        <v>57684</v>
      </c>
      <c r="E12" s="32" t="s">
        <v>57685</v>
      </c>
      <c r="F12" s="33">
        <v>40.0</v>
      </c>
      <c r="G12" s="31">
        <v>1.75060409E8</v>
      </c>
    </row>
    <row r="13" ht="12.75" customHeight="1">
      <c r="A13" s="27">
        <v>306.0</v>
      </c>
      <c r="B13" s="28" t="s">
        <v>57686</v>
      </c>
      <c r="C13" s="27">
        <v>175.0</v>
      </c>
      <c r="D13" s="28" t="s">
        <v>57687</v>
      </c>
      <c r="E13" s="28" t="s">
        <v>57688</v>
      </c>
      <c r="F13" s="29">
        <v>97.0</v>
      </c>
      <c r="G13" s="27">
        <v>1.75060975E8</v>
      </c>
    </row>
    <row r="14" ht="12.75" customHeight="1">
      <c r="A14" s="31">
        <v>306.0</v>
      </c>
      <c r="B14" s="32" t="s">
        <v>57689</v>
      </c>
      <c r="C14" s="31">
        <v>175.0</v>
      </c>
      <c r="D14" s="32" t="s">
        <v>57690</v>
      </c>
      <c r="E14" s="32" t="s">
        <v>57691</v>
      </c>
      <c r="F14" s="31">
        <v>100.0</v>
      </c>
      <c r="G14" s="31">
        <v>1.75061008E8</v>
      </c>
    </row>
    <row r="15" ht="12.75" customHeight="1">
      <c r="A15" s="27">
        <v>306.0</v>
      </c>
      <c r="B15" s="28" t="s">
        <v>57692</v>
      </c>
      <c r="C15" s="27">
        <v>175.0</v>
      </c>
      <c r="D15" s="28" t="s">
        <v>57693</v>
      </c>
      <c r="E15" s="28" t="s">
        <v>57694</v>
      </c>
      <c r="F15" s="27">
        <v>124.0</v>
      </c>
      <c r="G15" s="27">
        <v>1.7506124E8</v>
      </c>
    </row>
    <row r="16" ht="12.75" customHeight="1">
      <c r="A16" s="31">
        <v>306.0</v>
      </c>
      <c r="B16" s="32" t="s">
        <v>57695</v>
      </c>
      <c r="C16" s="31">
        <v>175.0</v>
      </c>
      <c r="D16" s="32" t="s">
        <v>57696</v>
      </c>
      <c r="E16" s="32" t="s">
        <v>57697</v>
      </c>
      <c r="F16" s="31">
        <v>136.0</v>
      </c>
      <c r="G16" s="31">
        <v>1.75061361E8</v>
      </c>
    </row>
    <row r="17" ht="12.75" customHeight="1">
      <c r="A17" s="27">
        <v>306.0</v>
      </c>
      <c r="B17" s="28" t="s">
        <v>57698</v>
      </c>
      <c r="C17" s="27">
        <v>175.0</v>
      </c>
      <c r="D17" s="28" t="s">
        <v>57699</v>
      </c>
      <c r="E17" s="28" t="s">
        <v>57700</v>
      </c>
      <c r="F17" s="27">
        <v>145.0</v>
      </c>
      <c r="G17" s="27">
        <v>1.75061453E8</v>
      </c>
    </row>
    <row r="18" ht="12.75" customHeight="1">
      <c r="A18" s="31">
        <v>306.0</v>
      </c>
      <c r="B18" s="32" t="s">
        <v>57701</v>
      </c>
      <c r="C18" s="31">
        <v>175.0</v>
      </c>
      <c r="D18" s="32" t="s">
        <v>57702</v>
      </c>
      <c r="E18" s="32" t="s">
        <v>57703</v>
      </c>
      <c r="F18" s="31">
        <v>199.0</v>
      </c>
      <c r="G18" s="31">
        <v>1.7506199E8</v>
      </c>
    </row>
    <row r="19" ht="12.75" customHeight="1">
      <c r="A19" s="27">
        <v>306.0</v>
      </c>
      <c r="B19" s="28" t="s">
        <v>57704</v>
      </c>
      <c r="C19" s="27">
        <v>175.0</v>
      </c>
      <c r="D19" s="28" t="s">
        <v>57705</v>
      </c>
      <c r="E19" s="28" t="s">
        <v>57706</v>
      </c>
      <c r="F19" s="27">
        <v>217.0</v>
      </c>
      <c r="G19" s="27">
        <v>1.75062173E8</v>
      </c>
    </row>
    <row r="20" ht="12.75" customHeight="1">
      <c r="A20" s="31">
        <v>309.0</v>
      </c>
      <c r="B20" s="32" t="s">
        <v>57707</v>
      </c>
      <c r="C20" s="31">
        <v>175.0</v>
      </c>
      <c r="D20" s="32" t="s">
        <v>57708</v>
      </c>
      <c r="E20" s="32" t="s">
        <v>57709</v>
      </c>
      <c r="F20" s="33">
        <v>10.0</v>
      </c>
      <c r="G20" s="31">
        <v>1.75090103E8</v>
      </c>
    </row>
    <row r="21" ht="12.75" customHeight="1">
      <c r="A21" s="27">
        <v>309.0</v>
      </c>
      <c r="B21" s="28" t="s">
        <v>57710</v>
      </c>
      <c r="C21" s="27">
        <v>175.0</v>
      </c>
      <c r="D21" s="28" t="s">
        <v>57711</v>
      </c>
      <c r="E21" s="28" t="s">
        <v>57712</v>
      </c>
      <c r="F21" s="29">
        <v>22.0</v>
      </c>
      <c r="G21" s="27">
        <v>1.75090224E8</v>
      </c>
    </row>
    <row r="22" ht="12.75" customHeight="1">
      <c r="A22" s="31">
        <v>610.0</v>
      </c>
      <c r="B22" s="32" t="s">
        <v>57713</v>
      </c>
      <c r="C22" s="31">
        <v>175.0</v>
      </c>
      <c r="D22" s="32" t="s">
        <v>57714</v>
      </c>
      <c r="E22" s="32" t="s">
        <v>57715</v>
      </c>
      <c r="F22" s="33">
        <v>5.0</v>
      </c>
      <c r="G22" s="31">
        <v>1.75100051E8</v>
      </c>
    </row>
    <row r="23" ht="12.75" customHeight="1">
      <c r="A23" s="27">
        <v>610.0</v>
      </c>
      <c r="B23" s="28" t="s">
        <v>57716</v>
      </c>
      <c r="C23" s="27">
        <v>175.0</v>
      </c>
      <c r="D23" s="28" t="s">
        <v>57717</v>
      </c>
      <c r="E23" s="28" t="s">
        <v>57718</v>
      </c>
      <c r="F23" s="29">
        <v>37.0</v>
      </c>
      <c r="G23" s="27">
        <v>1.75100372E8</v>
      </c>
    </row>
    <row r="24" ht="12.75" customHeight="1">
      <c r="A24" s="31">
        <v>610.0</v>
      </c>
      <c r="B24" s="32" t="s">
        <v>57719</v>
      </c>
      <c r="C24" s="31">
        <v>175.0</v>
      </c>
      <c r="D24" s="32" t="s">
        <v>57720</v>
      </c>
      <c r="E24" s="32" t="s">
        <v>57721</v>
      </c>
      <c r="F24" s="33">
        <v>58.0</v>
      </c>
      <c r="G24" s="31">
        <v>1.75100585E8</v>
      </c>
    </row>
    <row r="25" ht="12.75" customHeight="1">
      <c r="A25" s="27">
        <v>610.0</v>
      </c>
      <c r="B25" s="28" t="s">
        <v>57722</v>
      </c>
      <c r="C25" s="27">
        <v>175.0</v>
      </c>
      <c r="D25" s="28" t="s">
        <v>57723</v>
      </c>
      <c r="E25" s="28" t="s">
        <v>57724</v>
      </c>
      <c r="F25" s="27">
        <v>241.0</v>
      </c>
      <c r="G25" s="27">
        <v>1.75102417E8</v>
      </c>
    </row>
    <row r="26" ht="12.75" customHeight="1">
      <c r="A26" s="31">
        <v>610.0</v>
      </c>
      <c r="B26" s="32" t="s">
        <v>57725</v>
      </c>
      <c r="C26" s="31">
        <v>175.0</v>
      </c>
      <c r="D26" s="32" t="s">
        <v>57726</v>
      </c>
      <c r="E26" s="32" t="s">
        <v>57727</v>
      </c>
      <c r="F26" s="31">
        <v>250.0</v>
      </c>
      <c r="G26" s="31">
        <v>1.75102509E8</v>
      </c>
    </row>
    <row r="27" ht="12.75" customHeight="1">
      <c r="A27" s="27">
        <v>112.0</v>
      </c>
      <c r="B27" s="28" t="s">
        <v>57728</v>
      </c>
      <c r="C27" s="27">
        <v>175.0</v>
      </c>
      <c r="D27" s="28" t="s">
        <v>57729</v>
      </c>
      <c r="E27" s="28" t="s">
        <v>57730</v>
      </c>
      <c r="F27" s="29">
        <v>4.0</v>
      </c>
      <c r="G27" s="27">
        <v>1.75120044E8</v>
      </c>
    </row>
    <row r="28" ht="12.75" customHeight="1">
      <c r="A28" s="31">
        <v>112.0</v>
      </c>
      <c r="B28" s="32" t="s">
        <v>57731</v>
      </c>
      <c r="C28" s="31">
        <v>175.0</v>
      </c>
      <c r="D28" s="32" t="s">
        <v>57732</v>
      </c>
      <c r="E28" s="32" t="s">
        <v>57733</v>
      </c>
      <c r="F28" s="33">
        <v>10.0</v>
      </c>
      <c r="G28" s="31">
        <v>1.75120107E8</v>
      </c>
    </row>
    <row r="29" ht="12.75" customHeight="1">
      <c r="A29" s="27">
        <v>112.0</v>
      </c>
      <c r="B29" s="28" t="s">
        <v>57734</v>
      </c>
      <c r="C29" s="27">
        <v>175.0</v>
      </c>
      <c r="D29" s="28" t="s">
        <v>57735</v>
      </c>
      <c r="E29" s="28" t="s">
        <v>57736</v>
      </c>
      <c r="F29" s="29">
        <v>43.0</v>
      </c>
      <c r="G29" s="27">
        <v>1.75120431E8</v>
      </c>
    </row>
    <row r="30" ht="12.75" customHeight="1">
      <c r="A30" s="31">
        <v>112.0</v>
      </c>
      <c r="B30" s="32" t="s">
        <v>57737</v>
      </c>
      <c r="C30" s="31">
        <v>175.0</v>
      </c>
      <c r="D30" s="32" t="s">
        <v>57738</v>
      </c>
      <c r="E30" s="32" t="s">
        <v>57739</v>
      </c>
      <c r="F30" s="31">
        <v>109.0</v>
      </c>
      <c r="G30" s="31">
        <v>1.75121098E8</v>
      </c>
    </row>
    <row r="31" ht="12.75" customHeight="1">
      <c r="A31" s="27">
        <v>112.0</v>
      </c>
      <c r="B31" s="28" t="s">
        <v>57740</v>
      </c>
      <c r="C31" s="27">
        <v>175.0</v>
      </c>
      <c r="D31" s="28" t="s">
        <v>57741</v>
      </c>
      <c r="E31" s="28" t="s">
        <v>57742</v>
      </c>
      <c r="F31" s="27">
        <v>166.0</v>
      </c>
      <c r="G31" s="27">
        <v>1.75121669E8</v>
      </c>
    </row>
    <row r="32" ht="12.75" customHeight="1">
      <c r="A32" s="31">
        <v>113.0</v>
      </c>
      <c r="B32" s="32" t="s">
        <v>57743</v>
      </c>
      <c r="C32" s="31">
        <v>175.0</v>
      </c>
      <c r="D32" s="32" t="s">
        <v>57744</v>
      </c>
      <c r="E32" s="32" t="s">
        <v>57745</v>
      </c>
      <c r="F32" s="33">
        <v>7.0</v>
      </c>
      <c r="G32" s="31">
        <v>1.75130076E8</v>
      </c>
    </row>
    <row r="33" ht="12.75" customHeight="1">
      <c r="A33" s="27">
        <v>113.0</v>
      </c>
      <c r="B33" s="28" t="s">
        <v>57746</v>
      </c>
      <c r="C33" s="27">
        <v>175.0</v>
      </c>
      <c r="D33" s="28" t="s">
        <v>57747</v>
      </c>
      <c r="E33" s="28" t="s">
        <v>57748</v>
      </c>
      <c r="F33" s="29">
        <v>13.0</v>
      </c>
      <c r="G33" s="27">
        <v>1.75130139E8</v>
      </c>
    </row>
    <row r="34" ht="12.75" customHeight="1">
      <c r="A34" s="31">
        <v>113.0</v>
      </c>
      <c r="B34" s="32" t="s">
        <v>57749</v>
      </c>
      <c r="C34" s="31">
        <v>175.0</v>
      </c>
      <c r="D34" s="32" t="s">
        <v>57750</v>
      </c>
      <c r="E34" s="32" t="s">
        <v>57751</v>
      </c>
      <c r="F34" s="33">
        <v>43.0</v>
      </c>
      <c r="G34" s="31">
        <v>1.75130434E8</v>
      </c>
    </row>
    <row r="35" ht="12.75" customHeight="1">
      <c r="A35" s="27">
        <v>113.0</v>
      </c>
      <c r="B35" s="28" t="s">
        <v>57752</v>
      </c>
      <c r="C35" s="27">
        <v>175.0</v>
      </c>
      <c r="D35" s="28" t="s">
        <v>57753</v>
      </c>
      <c r="E35" s="28" t="s">
        <v>57754</v>
      </c>
      <c r="F35" s="29">
        <v>49.0</v>
      </c>
      <c r="G35" s="27">
        <v>1.75130492E8</v>
      </c>
    </row>
    <row r="36" ht="12.75" customHeight="1">
      <c r="A36" s="31">
        <v>113.0</v>
      </c>
      <c r="B36" s="32" t="s">
        <v>57755</v>
      </c>
      <c r="C36" s="31">
        <v>175.0</v>
      </c>
      <c r="D36" s="32" t="s">
        <v>57756</v>
      </c>
      <c r="E36" s="32" t="s">
        <v>57757</v>
      </c>
      <c r="F36" s="33">
        <v>79.0</v>
      </c>
      <c r="G36" s="31">
        <v>1.75130797E8</v>
      </c>
    </row>
    <row r="37" ht="12.75" customHeight="1">
      <c r="A37" s="27">
        <v>113.0</v>
      </c>
      <c r="B37" s="28" t="s">
        <v>57758</v>
      </c>
      <c r="C37" s="27">
        <v>175.0</v>
      </c>
      <c r="D37" s="28" t="s">
        <v>57759</v>
      </c>
      <c r="E37" s="28" t="s">
        <v>57760</v>
      </c>
      <c r="F37" s="29">
        <v>88.0</v>
      </c>
      <c r="G37" s="27">
        <v>1.75130889E8</v>
      </c>
    </row>
    <row r="38" ht="12.75" customHeight="1">
      <c r="A38" s="31">
        <v>113.0</v>
      </c>
      <c r="B38" s="32" t="s">
        <v>57761</v>
      </c>
      <c r="C38" s="31">
        <v>175.0</v>
      </c>
      <c r="D38" s="32" t="s">
        <v>57762</v>
      </c>
      <c r="E38" s="32" t="s">
        <v>57763</v>
      </c>
      <c r="F38" s="33">
        <v>91.0</v>
      </c>
      <c r="G38" s="31">
        <v>1.75130913E8</v>
      </c>
    </row>
    <row r="39" ht="12.75" customHeight="1">
      <c r="A39" s="27">
        <v>113.0</v>
      </c>
      <c r="B39" s="28" t="s">
        <v>57764</v>
      </c>
      <c r="C39" s="27">
        <v>175.0</v>
      </c>
      <c r="D39" s="28" t="s">
        <v>57765</v>
      </c>
      <c r="E39" s="28" t="s">
        <v>57766</v>
      </c>
      <c r="F39" s="27">
        <v>121.0</v>
      </c>
      <c r="G39" s="27">
        <v>1.75131217E8</v>
      </c>
    </row>
    <row r="40" ht="12.75" customHeight="1">
      <c r="A40" s="31">
        <v>113.0</v>
      </c>
      <c r="B40" s="32" t="s">
        <v>57767</v>
      </c>
      <c r="C40" s="31">
        <v>175.0</v>
      </c>
      <c r="D40" s="32" t="s">
        <v>57768</v>
      </c>
      <c r="E40" s="32" t="s">
        <v>57769</v>
      </c>
      <c r="F40" s="31">
        <v>148.0</v>
      </c>
      <c r="G40" s="31">
        <v>1.75131488E8</v>
      </c>
    </row>
    <row r="41" ht="12.75" customHeight="1">
      <c r="A41" s="27">
        <v>113.0</v>
      </c>
      <c r="B41" s="28" t="s">
        <v>57770</v>
      </c>
      <c r="C41" s="27">
        <v>175.0</v>
      </c>
      <c r="D41" s="28" t="s">
        <v>57771</v>
      </c>
      <c r="E41" s="28" t="s">
        <v>57772</v>
      </c>
      <c r="F41" s="27">
        <v>154.0</v>
      </c>
      <c r="G41" s="27">
        <v>1.75131541E8</v>
      </c>
    </row>
    <row r="42" ht="12.75" customHeight="1">
      <c r="A42" s="31">
        <v>113.0</v>
      </c>
      <c r="B42" s="32" t="s">
        <v>57773</v>
      </c>
      <c r="C42" s="31">
        <v>175.0</v>
      </c>
      <c r="D42" s="32" t="s">
        <v>57774</v>
      </c>
      <c r="E42" s="32" t="s">
        <v>57775</v>
      </c>
      <c r="F42" s="31">
        <v>175.0</v>
      </c>
      <c r="G42" s="31">
        <v>1.75131754E8</v>
      </c>
    </row>
    <row r="43" ht="12.75" customHeight="1">
      <c r="A43" s="27">
        <v>215.0</v>
      </c>
      <c r="B43" s="28" t="s">
        <v>57776</v>
      </c>
      <c r="C43" s="27">
        <v>175.0</v>
      </c>
      <c r="D43" s="28" t="s">
        <v>57777</v>
      </c>
      <c r="E43" s="28" t="s">
        <v>57778</v>
      </c>
      <c r="F43" s="29">
        <v>13.0</v>
      </c>
      <c r="G43" s="27">
        <v>1.75150135E8</v>
      </c>
    </row>
    <row r="44" ht="12.75" customHeight="1">
      <c r="A44" s="31">
        <v>215.0</v>
      </c>
      <c r="B44" s="32" t="s">
        <v>57779</v>
      </c>
      <c r="C44" s="31">
        <v>175.0</v>
      </c>
      <c r="D44" s="32" t="s">
        <v>57780</v>
      </c>
      <c r="E44" s="32" t="s">
        <v>57781</v>
      </c>
      <c r="F44" s="33">
        <v>25.0</v>
      </c>
      <c r="G44" s="31">
        <v>1.75150256E8</v>
      </c>
    </row>
    <row r="45" ht="12.75" customHeight="1">
      <c r="A45" s="27">
        <v>215.0</v>
      </c>
      <c r="B45" s="28" t="s">
        <v>57782</v>
      </c>
      <c r="C45" s="27">
        <v>175.0</v>
      </c>
      <c r="D45" s="28" t="s">
        <v>57783</v>
      </c>
      <c r="E45" s="28" t="s">
        <v>57784</v>
      </c>
      <c r="F45" s="29">
        <v>46.0</v>
      </c>
      <c r="G45" s="27">
        <v>1.75150469E8</v>
      </c>
    </row>
    <row r="46" ht="12.75" customHeight="1">
      <c r="A46" s="31">
        <v>215.0</v>
      </c>
      <c r="B46" s="32" t="s">
        <v>57785</v>
      </c>
      <c r="C46" s="31">
        <v>175.0</v>
      </c>
      <c r="D46" s="32" t="s">
        <v>57786</v>
      </c>
      <c r="E46" s="32" t="s">
        <v>57787</v>
      </c>
      <c r="F46" s="33">
        <v>52.0</v>
      </c>
      <c r="G46" s="31">
        <v>1.75150522E8</v>
      </c>
    </row>
    <row r="47" ht="12.75" customHeight="1">
      <c r="A47" s="27">
        <v>215.0</v>
      </c>
      <c r="B47" s="28" t="s">
        <v>57788</v>
      </c>
      <c r="C47" s="27">
        <v>175.0</v>
      </c>
      <c r="D47" s="28" t="s">
        <v>57789</v>
      </c>
      <c r="E47" s="28" t="s">
        <v>57790</v>
      </c>
      <c r="F47" s="29">
        <v>64.0</v>
      </c>
      <c r="G47" s="27">
        <v>1.75150643E8</v>
      </c>
    </row>
    <row r="48" ht="12.75" customHeight="1">
      <c r="A48" s="31">
        <v>215.0</v>
      </c>
      <c r="B48" s="32" t="s">
        <v>57791</v>
      </c>
      <c r="C48" s="31">
        <v>175.0</v>
      </c>
      <c r="D48" s="32" t="s">
        <v>57792</v>
      </c>
      <c r="E48" s="32" t="s">
        <v>57793</v>
      </c>
      <c r="F48" s="33">
        <v>79.0</v>
      </c>
      <c r="G48" s="31">
        <v>1.75150793E8</v>
      </c>
    </row>
    <row r="49" ht="12.75" customHeight="1">
      <c r="A49" s="27">
        <v>215.0</v>
      </c>
      <c r="B49" s="28" t="s">
        <v>57794</v>
      </c>
      <c r="C49" s="27">
        <v>175.0</v>
      </c>
      <c r="D49" s="28" t="s">
        <v>57795</v>
      </c>
      <c r="E49" s="28" t="s">
        <v>57796</v>
      </c>
      <c r="F49" s="29">
        <v>97.0</v>
      </c>
      <c r="G49" s="27">
        <v>1.75150977E8</v>
      </c>
    </row>
    <row r="50" ht="12.75" customHeight="1">
      <c r="A50" s="31">
        <v>215.0</v>
      </c>
      <c r="B50" s="32" t="s">
        <v>57797</v>
      </c>
      <c r="C50" s="31">
        <v>175.0</v>
      </c>
      <c r="D50" s="32" t="s">
        <v>57798</v>
      </c>
      <c r="E50" s="32" t="s">
        <v>57799</v>
      </c>
      <c r="F50" s="31">
        <v>109.0</v>
      </c>
      <c r="G50" s="31">
        <v>1.75151097E8</v>
      </c>
    </row>
    <row r="51" ht="12.75" customHeight="1">
      <c r="A51" s="27">
        <v>215.0</v>
      </c>
      <c r="B51" s="28" t="s">
        <v>57800</v>
      </c>
      <c r="C51" s="27">
        <v>175.0</v>
      </c>
      <c r="D51" s="28" t="s">
        <v>57801</v>
      </c>
      <c r="E51" s="28" t="s">
        <v>57802</v>
      </c>
      <c r="F51" s="27">
        <v>115.0</v>
      </c>
      <c r="G51" s="27">
        <v>1.7515115E8</v>
      </c>
    </row>
    <row r="52" ht="12.75" customHeight="1">
      <c r="A52" s="31">
        <v>215.0</v>
      </c>
      <c r="B52" s="32" t="s">
        <v>57803</v>
      </c>
      <c r="C52" s="31">
        <v>175.0</v>
      </c>
      <c r="D52" s="32" t="s">
        <v>57804</v>
      </c>
      <c r="E52" s="32" t="s">
        <v>57805</v>
      </c>
      <c r="F52" s="31">
        <v>124.0</v>
      </c>
      <c r="G52" s="31">
        <v>1.75151242E8</v>
      </c>
    </row>
    <row r="53" ht="12.75" customHeight="1">
      <c r="A53" s="27">
        <v>215.0</v>
      </c>
      <c r="B53" s="28" t="s">
        <v>57806</v>
      </c>
      <c r="C53" s="27">
        <v>175.0</v>
      </c>
      <c r="D53" s="28" t="s">
        <v>57807</v>
      </c>
      <c r="E53" s="28" t="s">
        <v>57808</v>
      </c>
      <c r="F53" s="27">
        <v>148.0</v>
      </c>
      <c r="G53" s="27">
        <v>1.75151484E8</v>
      </c>
    </row>
    <row r="54" ht="12.75" customHeight="1">
      <c r="A54" s="31">
        <v>215.0</v>
      </c>
      <c r="B54" s="32" t="s">
        <v>57809</v>
      </c>
      <c r="C54" s="31">
        <v>175.0</v>
      </c>
      <c r="D54" s="32" t="s">
        <v>57810</v>
      </c>
      <c r="E54" s="32" t="s">
        <v>57811</v>
      </c>
      <c r="F54" s="31">
        <v>175.0</v>
      </c>
      <c r="G54" s="31">
        <v>1.7515175E8</v>
      </c>
    </row>
    <row r="55" ht="12.75" customHeight="1">
      <c r="A55" s="27">
        <v>215.0</v>
      </c>
      <c r="B55" s="28" t="s">
        <v>57812</v>
      </c>
      <c r="C55" s="27">
        <v>175.0</v>
      </c>
      <c r="D55" s="28" t="s">
        <v>57813</v>
      </c>
      <c r="E55" s="28" t="s">
        <v>57814</v>
      </c>
      <c r="F55" s="27">
        <v>181.0</v>
      </c>
      <c r="G55" s="27">
        <v>1.75151813E8</v>
      </c>
    </row>
    <row r="56" ht="12.75" customHeight="1">
      <c r="A56" s="31">
        <v>215.0</v>
      </c>
      <c r="B56" s="32" t="s">
        <v>57815</v>
      </c>
      <c r="C56" s="31">
        <v>175.0</v>
      </c>
      <c r="D56" s="32" t="s">
        <v>57816</v>
      </c>
      <c r="E56" s="32" t="s">
        <v>57817</v>
      </c>
      <c r="F56" s="31">
        <v>193.0</v>
      </c>
      <c r="G56" s="31">
        <v>1.75151934E8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57818</v>
      </c>
      <c r="C1" s="27">
        <v>175.0</v>
      </c>
      <c r="D1" s="28" t="s">
        <v>57819</v>
      </c>
      <c r="E1" s="28" t="s">
        <v>57820</v>
      </c>
      <c r="F1" s="27">
        <v>226.0</v>
      </c>
      <c r="G1" s="27">
        <v>1.75152267E8</v>
      </c>
    </row>
    <row r="2" ht="12.75" customHeight="1">
      <c r="A2" s="31">
        <v>215.0</v>
      </c>
      <c r="B2" s="32" t="s">
        <v>57821</v>
      </c>
      <c r="C2" s="31">
        <v>175.0</v>
      </c>
      <c r="D2" s="32" t="s">
        <v>57822</v>
      </c>
      <c r="E2" s="32" t="s">
        <v>57823</v>
      </c>
      <c r="F2" s="31">
        <v>229.0</v>
      </c>
      <c r="G2" s="31">
        <v>1.75152296E8</v>
      </c>
    </row>
    <row r="3" ht="12.75" customHeight="1">
      <c r="A3" s="27">
        <v>215.0</v>
      </c>
      <c r="B3" s="28" t="s">
        <v>57824</v>
      </c>
      <c r="C3" s="27">
        <v>175.0</v>
      </c>
      <c r="D3" s="28" t="s">
        <v>57825</v>
      </c>
      <c r="E3" s="28" t="s">
        <v>57826</v>
      </c>
      <c r="F3" s="27">
        <v>244.0</v>
      </c>
      <c r="G3" s="27">
        <v>1.75152441E8</v>
      </c>
    </row>
    <row r="4" ht="12.75" customHeight="1">
      <c r="A4" s="31">
        <v>215.0</v>
      </c>
      <c r="B4" s="32" t="s">
        <v>57827</v>
      </c>
      <c r="C4" s="31">
        <v>175.0</v>
      </c>
      <c r="D4" s="32" t="s">
        <v>57828</v>
      </c>
      <c r="E4" s="32" t="s">
        <v>57829</v>
      </c>
      <c r="F4" s="31">
        <v>250.0</v>
      </c>
      <c r="G4" s="31">
        <v>1.75152504E8</v>
      </c>
    </row>
    <row r="5" ht="12.75" customHeight="1">
      <c r="A5" s="27">
        <v>215.0</v>
      </c>
      <c r="B5" s="28" t="s">
        <v>57830</v>
      </c>
      <c r="C5" s="27">
        <v>175.0</v>
      </c>
      <c r="D5" s="28" t="s">
        <v>57831</v>
      </c>
      <c r="E5" s="28" t="s">
        <v>57832</v>
      </c>
      <c r="F5" s="27">
        <v>313.0</v>
      </c>
      <c r="G5" s="27">
        <v>1.75153132E8</v>
      </c>
    </row>
    <row r="6" ht="12.75" customHeight="1">
      <c r="A6" s="31">
        <v>215.0</v>
      </c>
      <c r="B6" s="32" t="s">
        <v>57833</v>
      </c>
      <c r="C6" s="31">
        <v>175.0</v>
      </c>
      <c r="D6" s="32" t="s">
        <v>57834</v>
      </c>
      <c r="E6" s="32" t="s">
        <v>57835</v>
      </c>
      <c r="F6" s="31">
        <v>316.0</v>
      </c>
      <c r="G6" s="31">
        <v>1.75153161E8</v>
      </c>
    </row>
    <row r="7" ht="12.75" customHeight="1">
      <c r="A7" s="27">
        <v>215.0</v>
      </c>
      <c r="B7" s="28" t="s">
        <v>57836</v>
      </c>
      <c r="C7" s="27">
        <v>175.0</v>
      </c>
      <c r="D7" s="28" t="s">
        <v>57837</v>
      </c>
      <c r="E7" s="28" t="s">
        <v>57838</v>
      </c>
      <c r="F7" s="27">
        <v>322.0</v>
      </c>
      <c r="G7" s="27">
        <v>1.75153224E8</v>
      </c>
    </row>
    <row r="8" ht="12.75" customHeight="1">
      <c r="A8" s="31">
        <v>215.0</v>
      </c>
      <c r="B8" s="32" t="s">
        <v>57839</v>
      </c>
      <c r="C8" s="31">
        <v>175.0</v>
      </c>
      <c r="D8" s="32" t="s">
        <v>57840</v>
      </c>
      <c r="E8" s="32" t="s">
        <v>57841</v>
      </c>
      <c r="F8" s="31">
        <v>331.0</v>
      </c>
      <c r="G8" s="31">
        <v>1.75153316E8</v>
      </c>
    </row>
    <row r="9" ht="12.75" customHeight="1">
      <c r="A9" s="27">
        <v>215.0</v>
      </c>
      <c r="B9" s="28" t="s">
        <v>57842</v>
      </c>
      <c r="C9" s="27">
        <v>175.0</v>
      </c>
      <c r="D9" s="28" t="s">
        <v>57843</v>
      </c>
      <c r="E9" s="28" t="s">
        <v>57844</v>
      </c>
      <c r="F9" s="27">
        <v>373.0</v>
      </c>
      <c r="G9" s="27">
        <v>1.75153732E8</v>
      </c>
    </row>
    <row r="10" ht="12.75" customHeight="1">
      <c r="A10" s="31">
        <v>215.0</v>
      </c>
      <c r="B10" s="32" t="s">
        <v>57845</v>
      </c>
      <c r="C10" s="31">
        <v>175.0</v>
      </c>
      <c r="D10" s="32" t="s">
        <v>57846</v>
      </c>
      <c r="E10" s="32" t="s">
        <v>57847</v>
      </c>
      <c r="F10" s="31">
        <v>412.0</v>
      </c>
      <c r="G10" s="31">
        <v>1.75154128E8</v>
      </c>
    </row>
    <row r="11" ht="12.75" customHeight="1">
      <c r="A11" s="27">
        <v>215.0</v>
      </c>
      <c r="B11" s="28" t="s">
        <v>57848</v>
      </c>
      <c r="C11" s="27">
        <v>175.0</v>
      </c>
      <c r="D11" s="28" t="s">
        <v>57849</v>
      </c>
      <c r="E11" s="28" t="s">
        <v>57850</v>
      </c>
      <c r="F11" s="27">
        <v>418.0</v>
      </c>
      <c r="G11" s="27">
        <v>1.75154186E8</v>
      </c>
    </row>
    <row r="12" ht="12.75" customHeight="1">
      <c r="A12" s="31">
        <v>215.0</v>
      </c>
      <c r="B12" s="32" t="s">
        <v>57851</v>
      </c>
      <c r="C12" s="31">
        <v>175.0</v>
      </c>
      <c r="D12" s="32" t="s">
        <v>57852</v>
      </c>
      <c r="E12" s="32" t="s">
        <v>57853</v>
      </c>
      <c r="F12" s="31">
        <v>427.0</v>
      </c>
      <c r="G12" s="31">
        <v>1.75154278E8</v>
      </c>
    </row>
    <row r="13" ht="12.75" customHeight="1">
      <c r="A13" s="27">
        <v>215.0</v>
      </c>
      <c r="B13" s="28" t="s">
        <v>57854</v>
      </c>
      <c r="C13" s="27">
        <v>175.0</v>
      </c>
      <c r="D13" s="28" t="s">
        <v>57855</v>
      </c>
      <c r="E13" s="28" t="s">
        <v>57856</v>
      </c>
      <c r="F13" s="27">
        <v>439.0</v>
      </c>
      <c r="G13" s="27">
        <v>1.75154399E8</v>
      </c>
    </row>
    <row r="14" ht="12.75" customHeight="1">
      <c r="A14" s="31">
        <v>215.0</v>
      </c>
      <c r="B14" s="32" t="s">
        <v>57857</v>
      </c>
      <c r="C14" s="31">
        <v>175.0</v>
      </c>
      <c r="D14" s="32" t="s">
        <v>57858</v>
      </c>
      <c r="E14" s="32" t="s">
        <v>57859</v>
      </c>
      <c r="F14" s="31">
        <v>442.0</v>
      </c>
      <c r="G14" s="31">
        <v>1.75154423E8</v>
      </c>
    </row>
    <row r="15" ht="12.75" customHeight="1">
      <c r="A15" s="27">
        <v>215.0</v>
      </c>
      <c r="B15" s="28" t="s">
        <v>57860</v>
      </c>
      <c r="C15" s="27">
        <v>175.0</v>
      </c>
      <c r="D15" s="28" t="s">
        <v>57861</v>
      </c>
      <c r="E15" s="28" t="s">
        <v>57862</v>
      </c>
      <c r="F15" s="27">
        <v>454.0</v>
      </c>
      <c r="G15" s="27">
        <v>1.75154544E8</v>
      </c>
    </row>
    <row r="16" ht="12.75" customHeight="1">
      <c r="A16" s="31">
        <v>215.0</v>
      </c>
      <c r="B16" s="32" t="s">
        <v>57863</v>
      </c>
      <c r="C16" s="31">
        <v>175.0</v>
      </c>
      <c r="D16" s="32" t="s">
        <v>57864</v>
      </c>
      <c r="E16" s="32" t="s">
        <v>57865</v>
      </c>
      <c r="F16" s="31">
        <v>466.0</v>
      </c>
      <c r="G16" s="31">
        <v>1.75154665E8</v>
      </c>
    </row>
    <row r="17" ht="12.75" customHeight="1">
      <c r="A17" s="27">
        <v>215.0</v>
      </c>
      <c r="B17" s="28" t="s">
        <v>57866</v>
      </c>
      <c r="C17" s="27">
        <v>175.0</v>
      </c>
      <c r="D17" s="28" t="s">
        <v>57867</v>
      </c>
      <c r="E17" s="28" t="s">
        <v>57868</v>
      </c>
      <c r="F17" s="27">
        <v>475.0</v>
      </c>
      <c r="G17" s="27">
        <v>1.75154757E8</v>
      </c>
    </row>
    <row r="18" ht="12.75" customHeight="1">
      <c r="A18" s="31">
        <v>215.0</v>
      </c>
      <c r="B18" s="32" t="s">
        <v>57869</v>
      </c>
      <c r="C18" s="31">
        <v>175.0</v>
      </c>
      <c r="D18" s="32" t="s">
        <v>57870</v>
      </c>
      <c r="E18" s="32" t="s">
        <v>57871</v>
      </c>
      <c r="F18" s="31">
        <v>496.0</v>
      </c>
      <c r="G18" s="31">
        <v>1.7515496E8</v>
      </c>
    </row>
    <row r="19" ht="12.75" customHeight="1">
      <c r="A19" s="27">
        <v>215.0</v>
      </c>
      <c r="B19" s="28" t="s">
        <v>57872</v>
      </c>
      <c r="C19" s="27">
        <v>175.0</v>
      </c>
      <c r="D19" s="28" t="s">
        <v>57873</v>
      </c>
      <c r="E19" s="28" t="s">
        <v>57874</v>
      </c>
      <c r="F19" s="27">
        <v>514.0</v>
      </c>
      <c r="G19" s="27">
        <v>1.75155143E8</v>
      </c>
    </row>
    <row r="20" ht="12.75" customHeight="1">
      <c r="A20" s="31">
        <v>215.0</v>
      </c>
      <c r="B20" s="32" t="s">
        <v>57875</v>
      </c>
      <c r="C20" s="31">
        <v>175.0</v>
      </c>
      <c r="D20" s="32" t="s">
        <v>57876</v>
      </c>
      <c r="E20" s="32" t="s">
        <v>57877</v>
      </c>
      <c r="F20" s="31">
        <v>544.0</v>
      </c>
      <c r="G20" s="31">
        <v>1.75155448E8</v>
      </c>
    </row>
    <row r="21" ht="12.75" customHeight="1">
      <c r="A21" s="27">
        <v>215.0</v>
      </c>
      <c r="B21" s="28" t="s">
        <v>57878</v>
      </c>
      <c r="C21" s="27">
        <v>175.0</v>
      </c>
      <c r="D21" s="28" t="s">
        <v>57879</v>
      </c>
      <c r="E21" s="28" t="s">
        <v>57880</v>
      </c>
      <c r="F21" s="27">
        <v>559.0</v>
      </c>
      <c r="G21" s="27">
        <v>1.75155598E8</v>
      </c>
    </row>
    <row r="22" ht="12.75" customHeight="1">
      <c r="A22" s="31">
        <v>215.0</v>
      </c>
      <c r="B22" s="32" t="s">
        <v>57881</v>
      </c>
      <c r="C22" s="31">
        <v>175.0</v>
      </c>
      <c r="D22" s="32" t="s">
        <v>57882</v>
      </c>
      <c r="E22" s="32" t="s">
        <v>57883</v>
      </c>
      <c r="F22" s="31">
        <v>577.0</v>
      </c>
      <c r="G22" s="31">
        <v>1.75155772E8</v>
      </c>
    </row>
    <row r="23" ht="12.75" customHeight="1">
      <c r="A23" s="27">
        <v>215.0</v>
      </c>
      <c r="B23" s="28" t="s">
        <v>57884</v>
      </c>
      <c r="C23" s="27">
        <v>175.0</v>
      </c>
      <c r="D23" s="28" t="s">
        <v>57885</v>
      </c>
      <c r="E23" s="28" t="s">
        <v>57886</v>
      </c>
      <c r="F23" s="27">
        <v>583.0</v>
      </c>
      <c r="G23" s="27">
        <v>1.75155835E8</v>
      </c>
    </row>
    <row r="24" ht="12.75" customHeight="1">
      <c r="A24" s="31">
        <v>215.0</v>
      </c>
      <c r="B24" s="32" t="s">
        <v>57887</v>
      </c>
      <c r="C24" s="31">
        <v>175.0</v>
      </c>
      <c r="D24" s="32" t="s">
        <v>57888</v>
      </c>
      <c r="E24" s="32" t="s">
        <v>57889</v>
      </c>
      <c r="F24" s="31">
        <v>589.0</v>
      </c>
      <c r="G24" s="31">
        <v>1.75155893E8</v>
      </c>
    </row>
    <row r="25" ht="12.75" customHeight="1">
      <c r="A25" s="27">
        <v>215.0</v>
      </c>
      <c r="B25" s="28" t="s">
        <v>57890</v>
      </c>
      <c r="C25" s="27">
        <v>175.0</v>
      </c>
      <c r="D25" s="28" t="s">
        <v>57891</v>
      </c>
      <c r="E25" s="28" t="s">
        <v>57892</v>
      </c>
      <c r="F25" s="27">
        <v>592.0</v>
      </c>
      <c r="G25" s="27">
        <v>1.75155927E8</v>
      </c>
    </row>
    <row r="26" ht="12.75" customHeight="1">
      <c r="A26" s="31">
        <v>215.0</v>
      </c>
      <c r="B26" s="32" t="s">
        <v>57893</v>
      </c>
      <c r="C26" s="31">
        <v>175.0</v>
      </c>
      <c r="D26" s="32" t="s">
        <v>57894</v>
      </c>
      <c r="E26" s="32" t="s">
        <v>57895</v>
      </c>
      <c r="F26" s="31">
        <v>610.0</v>
      </c>
      <c r="G26" s="31">
        <v>1.751561E8</v>
      </c>
    </row>
    <row r="27" ht="12.75" customHeight="1">
      <c r="A27" s="27">
        <v>215.0</v>
      </c>
      <c r="B27" s="28" t="s">
        <v>57896</v>
      </c>
      <c r="C27" s="27">
        <v>175.0</v>
      </c>
      <c r="D27" s="28" t="s">
        <v>57897</v>
      </c>
      <c r="E27" s="28" t="s">
        <v>57898</v>
      </c>
      <c r="F27" s="27">
        <v>616.0</v>
      </c>
      <c r="G27" s="27">
        <v>1.75156168E8</v>
      </c>
    </row>
    <row r="28" ht="12.75" customHeight="1">
      <c r="A28" s="31">
        <v>215.0</v>
      </c>
      <c r="B28" s="32" t="s">
        <v>57899</v>
      </c>
      <c r="C28" s="31">
        <v>175.0</v>
      </c>
      <c r="D28" s="32" t="s">
        <v>57900</v>
      </c>
      <c r="E28" s="32" t="s">
        <v>57901</v>
      </c>
      <c r="F28" s="31">
        <v>622.0</v>
      </c>
      <c r="G28" s="31">
        <v>1.75156221E8</v>
      </c>
    </row>
    <row r="29" ht="12.75" customHeight="1">
      <c r="A29" s="27">
        <v>215.0</v>
      </c>
      <c r="B29" s="28" t="s">
        <v>57902</v>
      </c>
      <c r="C29" s="27">
        <v>175.0</v>
      </c>
      <c r="D29" s="28" t="s">
        <v>57903</v>
      </c>
      <c r="E29" s="28" t="s">
        <v>57904</v>
      </c>
      <c r="F29" s="27">
        <v>640.0</v>
      </c>
      <c r="G29" s="27">
        <v>1.75156405E8</v>
      </c>
    </row>
    <row r="30" ht="12.75" customHeight="1">
      <c r="A30" s="31">
        <v>215.0</v>
      </c>
      <c r="B30" s="32" t="s">
        <v>57905</v>
      </c>
      <c r="C30" s="31">
        <v>175.0</v>
      </c>
      <c r="D30" s="32" t="s">
        <v>57906</v>
      </c>
      <c r="E30" s="32" t="s">
        <v>57907</v>
      </c>
      <c r="F30" s="31">
        <v>646.0</v>
      </c>
      <c r="G30" s="31">
        <v>1.75156463E8</v>
      </c>
    </row>
    <row r="31" ht="12.75" customHeight="1">
      <c r="A31" s="27">
        <v>215.0</v>
      </c>
      <c r="B31" s="28" t="s">
        <v>57908</v>
      </c>
      <c r="C31" s="27">
        <v>175.0</v>
      </c>
      <c r="D31" s="28" t="s">
        <v>57909</v>
      </c>
      <c r="E31" s="28" t="s">
        <v>57910</v>
      </c>
      <c r="F31" s="27">
        <v>649.0</v>
      </c>
      <c r="G31" s="27">
        <v>1.75156492E8</v>
      </c>
    </row>
    <row r="32" ht="12.75" customHeight="1">
      <c r="A32" s="31">
        <v>215.0</v>
      </c>
      <c r="B32" s="32" t="s">
        <v>57911</v>
      </c>
      <c r="C32" s="31">
        <v>175.0</v>
      </c>
      <c r="D32" s="32" t="s">
        <v>57912</v>
      </c>
      <c r="E32" s="32" t="s">
        <v>57913</v>
      </c>
      <c r="F32" s="31">
        <v>652.0</v>
      </c>
      <c r="G32" s="31">
        <v>1.75156526E8</v>
      </c>
    </row>
    <row r="33" ht="12.75" customHeight="1">
      <c r="A33" s="27">
        <v>215.0</v>
      </c>
      <c r="B33" s="28" t="s">
        <v>57914</v>
      </c>
      <c r="C33" s="27">
        <v>175.0</v>
      </c>
      <c r="D33" s="28" t="s">
        <v>57915</v>
      </c>
      <c r="E33" s="28" t="s">
        <v>57916</v>
      </c>
      <c r="F33" s="27">
        <v>673.0</v>
      </c>
      <c r="G33" s="27">
        <v>1.75156739E8</v>
      </c>
    </row>
    <row r="34" ht="12.75" customHeight="1">
      <c r="A34" s="31">
        <v>215.0</v>
      </c>
      <c r="B34" s="32" t="s">
        <v>57917</v>
      </c>
      <c r="C34" s="31">
        <v>175.0</v>
      </c>
      <c r="D34" s="32" t="s">
        <v>57918</v>
      </c>
      <c r="E34" s="32" t="s">
        <v>57919</v>
      </c>
      <c r="F34" s="31">
        <v>679.0</v>
      </c>
      <c r="G34" s="31">
        <v>1.75156797E8</v>
      </c>
    </row>
    <row r="35" ht="12.75" customHeight="1">
      <c r="A35" s="27">
        <v>215.0</v>
      </c>
      <c r="B35" s="28" t="s">
        <v>57920</v>
      </c>
      <c r="C35" s="27">
        <v>175.0</v>
      </c>
      <c r="D35" s="28" t="s">
        <v>57921</v>
      </c>
      <c r="E35" s="28" t="s">
        <v>57922</v>
      </c>
      <c r="F35" s="27">
        <v>691.0</v>
      </c>
      <c r="G35" s="27">
        <v>1.75156913E8</v>
      </c>
    </row>
    <row r="36" ht="12.75" customHeight="1">
      <c r="A36" s="31">
        <v>215.0</v>
      </c>
      <c r="B36" s="32" t="s">
        <v>57923</v>
      </c>
      <c r="C36" s="31">
        <v>175.0</v>
      </c>
      <c r="D36" s="32" t="s">
        <v>57924</v>
      </c>
      <c r="E36" s="32" t="s">
        <v>57925</v>
      </c>
      <c r="F36" s="31">
        <v>706.0</v>
      </c>
      <c r="G36" s="31">
        <v>1.75157062E8</v>
      </c>
    </row>
    <row r="37" ht="12.75" customHeight="1">
      <c r="A37" s="27">
        <v>215.0</v>
      </c>
      <c r="B37" s="28" t="s">
        <v>57926</v>
      </c>
      <c r="C37" s="27">
        <v>175.0</v>
      </c>
      <c r="D37" s="28" t="s">
        <v>57927</v>
      </c>
      <c r="E37" s="28" t="s">
        <v>57928</v>
      </c>
      <c r="F37" s="27">
        <v>724.0</v>
      </c>
      <c r="G37" s="27">
        <v>1.75157246E8</v>
      </c>
    </row>
    <row r="38" ht="12.75" customHeight="1">
      <c r="A38" s="31">
        <v>215.0</v>
      </c>
      <c r="B38" s="32" t="s">
        <v>57929</v>
      </c>
      <c r="C38" s="31">
        <v>175.0</v>
      </c>
      <c r="D38" s="32" t="s">
        <v>57930</v>
      </c>
      <c r="E38" s="32" t="s">
        <v>57931</v>
      </c>
      <c r="F38" s="31">
        <v>730.0</v>
      </c>
      <c r="G38" s="31">
        <v>1.75157309E8</v>
      </c>
    </row>
    <row r="39" ht="12.75" customHeight="1">
      <c r="A39" s="27">
        <v>215.0</v>
      </c>
      <c r="B39" s="28" t="s">
        <v>57932</v>
      </c>
      <c r="C39" s="27">
        <v>175.0</v>
      </c>
      <c r="D39" s="28" t="s">
        <v>57933</v>
      </c>
      <c r="E39" s="28" t="s">
        <v>57934</v>
      </c>
      <c r="F39" s="27">
        <v>740.0</v>
      </c>
      <c r="G39" s="27">
        <v>1.75157404E8</v>
      </c>
    </row>
    <row r="40" ht="12.75" customHeight="1">
      <c r="A40" s="31">
        <v>215.0</v>
      </c>
      <c r="B40" s="32" t="s">
        <v>57935</v>
      </c>
      <c r="C40" s="31">
        <v>175.0</v>
      </c>
      <c r="D40" s="32" t="s">
        <v>57936</v>
      </c>
      <c r="E40" s="32" t="s">
        <v>57937</v>
      </c>
      <c r="F40" s="31">
        <v>763.0</v>
      </c>
      <c r="G40" s="31">
        <v>1.75157633E8</v>
      </c>
    </row>
    <row r="41" ht="12.75" customHeight="1">
      <c r="A41" s="27">
        <v>418.0</v>
      </c>
      <c r="B41" s="28" t="s">
        <v>57938</v>
      </c>
      <c r="C41" s="27">
        <v>175.0</v>
      </c>
      <c r="D41" s="28" t="s">
        <v>57939</v>
      </c>
      <c r="E41" s="28" t="s">
        <v>57940</v>
      </c>
      <c r="F41" s="29">
        <v>4.0</v>
      </c>
      <c r="G41" s="27">
        <v>1.75180042E8</v>
      </c>
    </row>
    <row r="42" ht="12.75" customHeight="1">
      <c r="A42" s="31">
        <v>418.0</v>
      </c>
      <c r="B42" s="32" t="s">
        <v>57941</v>
      </c>
      <c r="C42" s="31">
        <v>175.0</v>
      </c>
      <c r="D42" s="32" t="s">
        <v>57942</v>
      </c>
      <c r="E42" s="32" t="s">
        <v>57943</v>
      </c>
      <c r="F42" s="33">
        <v>7.0</v>
      </c>
      <c r="G42" s="31">
        <v>1.75180071E8</v>
      </c>
    </row>
    <row r="43" ht="12.75" customHeight="1">
      <c r="A43" s="27">
        <v>418.0</v>
      </c>
      <c r="B43" s="28" t="s">
        <v>57944</v>
      </c>
      <c r="C43" s="27">
        <v>175.0</v>
      </c>
      <c r="D43" s="28" t="s">
        <v>57945</v>
      </c>
      <c r="E43" s="28" t="s">
        <v>57946</v>
      </c>
      <c r="F43" s="29">
        <v>19.0</v>
      </c>
      <c r="G43" s="27">
        <v>1.75180192E8</v>
      </c>
    </row>
    <row r="44" ht="12.75" customHeight="1">
      <c r="A44" s="31">
        <v>418.0</v>
      </c>
      <c r="B44" s="32" t="s">
        <v>57947</v>
      </c>
      <c r="C44" s="31">
        <v>175.0</v>
      </c>
      <c r="D44" s="32" t="s">
        <v>57948</v>
      </c>
      <c r="E44" s="32" t="s">
        <v>57949</v>
      </c>
      <c r="F44" s="33">
        <v>85.0</v>
      </c>
      <c r="G44" s="31">
        <v>1.75180855E8</v>
      </c>
    </row>
    <row r="45" ht="12.75" customHeight="1">
      <c r="A45" s="27">
        <v>119.0</v>
      </c>
      <c r="B45" s="28" t="s">
        <v>57950</v>
      </c>
      <c r="C45" s="27">
        <v>175.0</v>
      </c>
      <c r="D45" s="28" t="s">
        <v>57951</v>
      </c>
      <c r="E45" s="28" t="s">
        <v>57952</v>
      </c>
      <c r="F45" s="29">
        <v>36.0</v>
      </c>
      <c r="G45" s="27">
        <v>1.75190366E8</v>
      </c>
    </row>
    <row r="46" ht="12.75" customHeight="1">
      <c r="A46" s="31">
        <v>119.0</v>
      </c>
      <c r="B46" s="32" t="s">
        <v>57953</v>
      </c>
      <c r="C46" s="31">
        <v>175.0</v>
      </c>
      <c r="D46" s="32" t="s">
        <v>57954</v>
      </c>
      <c r="E46" s="32" t="s">
        <v>57955</v>
      </c>
      <c r="F46" s="33">
        <v>38.0</v>
      </c>
      <c r="G46" s="31">
        <v>1.75190382E8</v>
      </c>
    </row>
    <row r="47" ht="12.75" customHeight="1">
      <c r="A47" s="27">
        <v>119.0</v>
      </c>
      <c r="B47" s="28" t="s">
        <v>57956</v>
      </c>
      <c r="C47" s="27">
        <v>175.0</v>
      </c>
      <c r="D47" s="28" t="s">
        <v>57957</v>
      </c>
      <c r="E47" s="28" t="s">
        <v>57958</v>
      </c>
      <c r="F47" s="29">
        <v>40.0</v>
      </c>
      <c r="G47" s="27">
        <v>1.75190403E8</v>
      </c>
    </row>
    <row r="48" ht="12.75" customHeight="1">
      <c r="A48" s="31">
        <v>119.0</v>
      </c>
      <c r="B48" s="32" t="s">
        <v>57959</v>
      </c>
      <c r="C48" s="31">
        <v>175.0</v>
      </c>
      <c r="D48" s="32" t="s">
        <v>57960</v>
      </c>
      <c r="E48" s="32" t="s">
        <v>57961</v>
      </c>
      <c r="F48" s="33">
        <v>97.0</v>
      </c>
      <c r="G48" s="31">
        <v>1.75190979E8</v>
      </c>
    </row>
    <row r="49" ht="12.75" customHeight="1">
      <c r="A49" s="27">
        <v>119.0</v>
      </c>
      <c r="B49" s="28" t="s">
        <v>57962</v>
      </c>
      <c r="C49" s="27">
        <v>175.0</v>
      </c>
      <c r="D49" s="28" t="s">
        <v>57963</v>
      </c>
      <c r="E49" s="28" t="s">
        <v>57964</v>
      </c>
      <c r="F49" s="27">
        <v>100.0</v>
      </c>
      <c r="G49" s="27">
        <v>1.75191002E8</v>
      </c>
    </row>
    <row r="50" ht="12.75" customHeight="1">
      <c r="A50" s="31">
        <v>119.0</v>
      </c>
      <c r="B50" s="32" t="s">
        <v>57965</v>
      </c>
      <c r="C50" s="31">
        <v>175.0</v>
      </c>
      <c r="D50" s="32" t="s">
        <v>57966</v>
      </c>
      <c r="E50" s="32" t="s">
        <v>57967</v>
      </c>
      <c r="F50" s="31">
        <v>106.0</v>
      </c>
      <c r="G50" s="31">
        <v>1.7519106E8</v>
      </c>
    </row>
    <row r="51" ht="12.75" customHeight="1">
      <c r="A51" s="27">
        <v>119.0</v>
      </c>
      <c r="B51" s="28" t="s">
        <v>57968</v>
      </c>
      <c r="C51" s="27">
        <v>175.0</v>
      </c>
      <c r="D51" s="28" t="s">
        <v>57969</v>
      </c>
      <c r="E51" s="28" t="s">
        <v>57970</v>
      </c>
      <c r="F51" s="27">
        <v>139.0</v>
      </c>
      <c r="G51" s="27">
        <v>1.75191394E8</v>
      </c>
    </row>
    <row r="52" ht="12.75" customHeight="1">
      <c r="A52" s="31">
        <v>119.0</v>
      </c>
      <c r="B52" s="32" t="s">
        <v>57971</v>
      </c>
      <c r="C52" s="31">
        <v>175.0</v>
      </c>
      <c r="D52" s="32" t="s">
        <v>57972</v>
      </c>
      <c r="E52" s="32" t="s">
        <v>57973</v>
      </c>
      <c r="F52" s="31">
        <v>151.0</v>
      </c>
      <c r="G52" s="31">
        <v>1.7519151E8</v>
      </c>
    </row>
    <row r="53" ht="12.75" customHeight="1">
      <c r="A53" s="27">
        <v>119.0</v>
      </c>
      <c r="B53" s="28" t="s">
        <v>57974</v>
      </c>
      <c r="C53" s="27">
        <v>175.0</v>
      </c>
      <c r="D53" s="28" t="s">
        <v>57975</v>
      </c>
      <c r="E53" s="28" t="s">
        <v>57976</v>
      </c>
      <c r="F53" s="27">
        <v>154.0</v>
      </c>
      <c r="G53" s="27">
        <v>1.75191549E8</v>
      </c>
    </row>
    <row r="54" ht="12.75" customHeight="1">
      <c r="A54" s="31">
        <v>119.0</v>
      </c>
      <c r="B54" s="32" t="s">
        <v>57977</v>
      </c>
      <c r="C54" s="31">
        <v>175.0</v>
      </c>
      <c r="D54" s="32" t="s">
        <v>57978</v>
      </c>
      <c r="E54" s="32" t="s">
        <v>57979</v>
      </c>
      <c r="F54" s="31">
        <v>160.0</v>
      </c>
      <c r="G54" s="31">
        <v>1.75191602E8</v>
      </c>
    </row>
    <row r="55" ht="12.75" customHeight="1">
      <c r="A55" s="27">
        <v>119.0</v>
      </c>
      <c r="B55" s="28" t="s">
        <v>57980</v>
      </c>
      <c r="C55" s="27">
        <v>175.0</v>
      </c>
      <c r="D55" s="28" t="s">
        <v>57981</v>
      </c>
      <c r="E55" s="28" t="s">
        <v>57982</v>
      </c>
      <c r="F55" s="27">
        <v>178.0</v>
      </c>
      <c r="G55" s="27">
        <v>1.75191781E8</v>
      </c>
    </row>
    <row r="56" ht="12.75" customHeight="1">
      <c r="A56" s="31">
        <v>119.0</v>
      </c>
      <c r="B56" s="32" t="s">
        <v>57983</v>
      </c>
      <c r="C56" s="31">
        <v>175.0</v>
      </c>
      <c r="D56" s="32" t="s">
        <v>57984</v>
      </c>
      <c r="E56" s="32" t="s">
        <v>57985</v>
      </c>
      <c r="F56" s="31">
        <v>181.0</v>
      </c>
      <c r="G56" s="31">
        <v>1.75191815E8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119.0</v>
      </c>
      <c r="B1" s="28" t="s">
        <v>57986</v>
      </c>
      <c r="C1" s="27">
        <v>175.0</v>
      </c>
      <c r="D1" s="28" t="s">
        <v>57987</v>
      </c>
      <c r="E1" s="28" t="s">
        <v>57988</v>
      </c>
      <c r="F1" s="27">
        <v>214.0</v>
      </c>
      <c r="G1" s="27">
        <v>1.75192148E8</v>
      </c>
    </row>
    <row r="2" ht="12.75" customHeight="1">
      <c r="A2" s="31">
        <v>119.0</v>
      </c>
      <c r="B2" s="32" t="s">
        <v>57989</v>
      </c>
      <c r="C2" s="31">
        <v>175.0</v>
      </c>
      <c r="D2" s="32" t="s">
        <v>57990</v>
      </c>
      <c r="E2" s="32" t="s">
        <v>57991</v>
      </c>
      <c r="F2" s="31">
        <v>282.0</v>
      </c>
      <c r="G2" s="31">
        <v>1.75192827E8</v>
      </c>
    </row>
    <row r="3" ht="12.75" customHeight="1">
      <c r="A3" s="27">
        <v>119.0</v>
      </c>
      <c r="B3" s="28" t="s">
        <v>57992</v>
      </c>
      <c r="C3" s="27">
        <v>175.0</v>
      </c>
      <c r="D3" s="28" t="s">
        <v>57993</v>
      </c>
      <c r="E3" s="28" t="s">
        <v>57994</v>
      </c>
      <c r="F3" s="27">
        <v>292.0</v>
      </c>
      <c r="G3" s="27">
        <v>1.75192922E8</v>
      </c>
    </row>
    <row r="4" ht="12.75" customHeight="1">
      <c r="A4" s="31">
        <v>119.0</v>
      </c>
      <c r="B4" s="32" t="s">
        <v>57995</v>
      </c>
      <c r="C4" s="31">
        <v>175.0</v>
      </c>
      <c r="D4" s="32" t="s">
        <v>57996</v>
      </c>
      <c r="E4" s="32" t="s">
        <v>57997</v>
      </c>
      <c r="F4" s="31">
        <v>340.0</v>
      </c>
      <c r="G4" s="31">
        <v>1.751934E8</v>
      </c>
    </row>
    <row r="5" ht="12.75" customHeight="1">
      <c r="A5" s="27">
        <v>119.0</v>
      </c>
      <c r="B5" s="28" t="s">
        <v>57998</v>
      </c>
      <c r="C5" s="27">
        <v>175.0</v>
      </c>
      <c r="D5" s="28" t="s">
        <v>57999</v>
      </c>
      <c r="E5" s="28" t="s">
        <v>58000</v>
      </c>
      <c r="F5" s="27">
        <v>415.0</v>
      </c>
      <c r="G5" s="27">
        <v>1.75194159E8</v>
      </c>
    </row>
    <row r="6" ht="12.75" customHeight="1">
      <c r="A6" s="31">
        <v>119.0</v>
      </c>
      <c r="B6" s="32" t="s">
        <v>58001</v>
      </c>
      <c r="C6" s="31">
        <v>175.0</v>
      </c>
      <c r="D6" s="32" t="s">
        <v>58002</v>
      </c>
      <c r="E6" s="32" t="s">
        <v>58003</v>
      </c>
      <c r="F6" s="31">
        <v>421.0</v>
      </c>
      <c r="G6" s="31">
        <v>1.75194212E8</v>
      </c>
    </row>
    <row r="7" ht="12.75" customHeight="1">
      <c r="A7" s="27">
        <v>222.0</v>
      </c>
      <c r="B7" s="28" t="s">
        <v>58004</v>
      </c>
      <c r="C7" s="27">
        <v>175.0</v>
      </c>
      <c r="D7" s="28" t="s">
        <v>58005</v>
      </c>
      <c r="E7" s="28" t="s">
        <v>58006</v>
      </c>
      <c r="F7" s="29">
        <v>16.0</v>
      </c>
      <c r="G7" s="27">
        <v>1.7522016E8</v>
      </c>
    </row>
    <row r="8" ht="12.75" customHeight="1">
      <c r="A8" s="31">
        <v>222.0</v>
      </c>
      <c r="B8" s="32" t="s">
        <v>58007</v>
      </c>
      <c r="C8" s="31">
        <v>175.0</v>
      </c>
      <c r="D8" s="32" t="s">
        <v>58008</v>
      </c>
      <c r="E8" s="32" t="s">
        <v>58009</v>
      </c>
      <c r="F8" s="33">
        <v>25.0</v>
      </c>
      <c r="G8" s="31">
        <v>1.75220252E8</v>
      </c>
    </row>
    <row r="9" ht="12.75" customHeight="1">
      <c r="A9" s="27">
        <v>222.0</v>
      </c>
      <c r="B9" s="28" t="s">
        <v>58010</v>
      </c>
      <c r="C9" s="27">
        <v>175.0</v>
      </c>
      <c r="D9" s="28" t="s">
        <v>58011</v>
      </c>
      <c r="E9" s="28" t="s">
        <v>58012</v>
      </c>
      <c r="F9" s="29">
        <v>79.0</v>
      </c>
      <c r="G9" s="27">
        <v>1.75220799E8</v>
      </c>
    </row>
    <row r="10" ht="12.75" customHeight="1">
      <c r="A10" s="31">
        <v>222.0</v>
      </c>
      <c r="B10" s="32" t="s">
        <v>58013</v>
      </c>
      <c r="C10" s="31">
        <v>175.0</v>
      </c>
      <c r="D10" s="32" t="s">
        <v>58014</v>
      </c>
      <c r="E10" s="32" t="s">
        <v>58015</v>
      </c>
      <c r="F10" s="33">
        <v>94.0</v>
      </c>
      <c r="G10" s="31">
        <v>1.75220944E8</v>
      </c>
    </row>
    <row r="11" ht="12.75" customHeight="1">
      <c r="A11" s="27">
        <v>126.0</v>
      </c>
      <c r="B11" s="28" t="s">
        <v>58016</v>
      </c>
      <c r="C11" s="27">
        <v>175.0</v>
      </c>
      <c r="D11" s="28" t="s">
        <v>58017</v>
      </c>
      <c r="E11" s="28" t="s">
        <v>58018</v>
      </c>
      <c r="F11" s="29">
        <v>7.0</v>
      </c>
      <c r="G11" s="27">
        <v>1.7526007E8</v>
      </c>
    </row>
    <row r="12" ht="12.75" customHeight="1">
      <c r="A12" s="31">
        <v>126.0</v>
      </c>
      <c r="B12" s="32" t="s">
        <v>58019</v>
      </c>
      <c r="C12" s="31">
        <v>175.0</v>
      </c>
      <c r="D12" s="32" t="s">
        <v>58020</v>
      </c>
      <c r="E12" s="32" t="s">
        <v>58021</v>
      </c>
      <c r="F12" s="33">
        <v>16.0</v>
      </c>
      <c r="G12" s="31">
        <v>1.75260162E8</v>
      </c>
    </row>
    <row r="13" ht="12.75" customHeight="1">
      <c r="A13" s="27">
        <v>126.0</v>
      </c>
      <c r="B13" s="28" t="s">
        <v>58022</v>
      </c>
      <c r="C13" s="27">
        <v>175.0</v>
      </c>
      <c r="D13" s="28" t="s">
        <v>58023</v>
      </c>
      <c r="E13" s="28" t="s">
        <v>58024</v>
      </c>
      <c r="F13" s="29">
        <v>22.0</v>
      </c>
      <c r="G13" s="27">
        <v>1.75260225E8</v>
      </c>
    </row>
    <row r="14" ht="12.75" customHeight="1">
      <c r="A14" s="31">
        <v>126.0</v>
      </c>
      <c r="B14" s="32" t="s">
        <v>58025</v>
      </c>
      <c r="C14" s="31">
        <v>175.0</v>
      </c>
      <c r="D14" s="32" t="s">
        <v>58026</v>
      </c>
      <c r="E14" s="32" t="s">
        <v>58027</v>
      </c>
      <c r="F14" s="33">
        <v>34.0</v>
      </c>
      <c r="G14" s="31">
        <v>1.75260346E8</v>
      </c>
    </row>
    <row r="15" ht="12.75" customHeight="1">
      <c r="A15" s="27">
        <v>126.0</v>
      </c>
      <c r="B15" s="28" t="s">
        <v>58028</v>
      </c>
      <c r="C15" s="27">
        <v>175.0</v>
      </c>
      <c r="D15" s="28" t="s">
        <v>58029</v>
      </c>
      <c r="E15" s="28" t="s">
        <v>58030</v>
      </c>
      <c r="F15" s="29">
        <v>43.0</v>
      </c>
      <c r="G15" s="27">
        <v>1.75260438E8</v>
      </c>
    </row>
    <row r="16" ht="12.75" customHeight="1">
      <c r="A16" s="31">
        <v>126.0</v>
      </c>
      <c r="B16" s="32" t="s">
        <v>58031</v>
      </c>
      <c r="C16" s="31">
        <v>175.0</v>
      </c>
      <c r="D16" s="32" t="s">
        <v>58032</v>
      </c>
      <c r="E16" s="32" t="s">
        <v>58033</v>
      </c>
      <c r="F16" s="33">
        <v>52.0</v>
      </c>
      <c r="G16" s="31">
        <v>1.7526052E8</v>
      </c>
    </row>
    <row r="17" ht="12.75" customHeight="1">
      <c r="A17" s="27">
        <v>126.0</v>
      </c>
      <c r="B17" s="28" t="s">
        <v>58034</v>
      </c>
      <c r="C17" s="27">
        <v>175.0</v>
      </c>
      <c r="D17" s="28" t="s">
        <v>58035</v>
      </c>
      <c r="E17" s="28" t="s">
        <v>58036</v>
      </c>
      <c r="F17" s="29">
        <v>72.0</v>
      </c>
      <c r="G17" s="27">
        <v>1.7526072E8</v>
      </c>
    </row>
    <row r="18" ht="12.75" customHeight="1">
      <c r="A18" s="31">
        <v>126.0</v>
      </c>
      <c r="B18" s="32" t="s">
        <v>58037</v>
      </c>
      <c r="C18" s="31">
        <v>175.0</v>
      </c>
      <c r="D18" s="32" t="s">
        <v>58038</v>
      </c>
      <c r="E18" s="32" t="s">
        <v>58039</v>
      </c>
      <c r="F18" s="33">
        <v>76.0</v>
      </c>
      <c r="G18" s="31">
        <v>1.75260762E8</v>
      </c>
    </row>
    <row r="19" ht="12.75" customHeight="1">
      <c r="A19" s="27">
        <v>126.0</v>
      </c>
      <c r="B19" s="28" t="s">
        <v>58040</v>
      </c>
      <c r="C19" s="27">
        <v>175.0</v>
      </c>
      <c r="D19" s="28" t="s">
        <v>58041</v>
      </c>
      <c r="E19" s="28" t="s">
        <v>58042</v>
      </c>
      <c r="F19" s="29">
        <v>91.0</v>
      </c>
      <c r="G19" s="27">
        <v>1.75260917E8</v>
      </c>
    </row>
    <row r="20" ht="12.75" customHeight="1">
      <c r="A20" s="31">
        <v>126.0</v>
      </c>
      <c r="B20" s="32" t="s">
        <v>58043</v>
      </c>
      <c r="C20" s="31">
        <v>175.0</v>
      </c>
      <c r="D20" s="32" t="s">
        <v>58044</v>
      </c>
      <c r="E20" s="32" t="s">
        <v>58045</v>
      </c>
      <c r="F20" s="31">
        <v>133.0</v>
      </c>
      <c r="G20" s="31">
        <v>1.75261332E8</v>
      </c>
    </row>
    <row r="21" ht="12.75" customHeight="1">
      <c r="A21" s="27">
        <v>126.0</v>
      </c>
      <c r="B21" s="28" t="s">
        <v>58046</v>
      </c>
      <c r="C21" s="27">
        <v>175.0</v>
      </c>
      <c r="D21" s="28" t="s">
        <v>58047</v>
      </c>
      <c r="E21" s="28" t="s">
        <v>58048</v>
      </c>
      <c r="F21" s="27">
        <v>145.0</v>
      </c>
      <c r="G21" s="27">
        <v>1.75261453E8</v>
      </c>
    </row>
    <row r="22" ht="12.75" customHeight="1">
      <c r="A22" s="31">
        <v>126.0</v>
      </c>
      <c r="B22" s="32" t="s">
        <v>58049</v>
      </c>
      <c r="C22" s="31">
        <v>175.0</v>
      </c>
      <c r="D22" s="32" t="s">
        <v>58050</v>
      </c>
      <c r="E22" s="32" t="s">
        <v>58051</v>
      </c>
      <c r="F22" s="31">
        <v>175.0</v>
      </c>
      <c r="G22" s="31">
        <v>1.75261758E8</v>
      </c>
    </row>
    <row r="23" ht="12.75" customHeight="1">
      <c r="A23" s="27">
        <v>126.0</v>
      </c>
      <c r="B23" s="28" t="s">
        <v>58052</v>
      </c>
      <c r="C23" s="27">
        <v>175.0</v>
      </c>
      <c r="D23" s="28" t="s">
        <v>58053</v>
      </c>
      <c r="E23" s="28" t="s">
        <v>58054</v>
      </c>
      <c r="F23" s="27">
        <v>184.0</v>
      </c>
      <c r="G23" s="27">
        <v>1.7526184E8</v>
      </c>
    </row>
    <row r="24" ht="12.75" customHeight="1">
      <c r="A24" s="31">
        <v>126.0</v>
      </c>
      <c r="B24" s="32" t="s">
        <v>58055</v>
      </c>
      <c r="C24" s="31">
        <v>175.0</v>
      </c>
      <c r="D24" s="32" t="s">
        <v>58056</v>
      </c>
      <c r="E24" s="32" t="s">
        <v>58057</v>
      </c>
      <c r="F24" s="31">
        <v>220.0</v>
      </c>
      <c r="G24" s="31">
        <v>1.75262207E8</v>
      </c>
    </row>
    <row r="25" ht="12.75" customHeight="1">
      <c r="A25" s="27">
        <v>126.0</v>
      </c>
      <c r="B25" s="28" t="s">
        <v>58058</v>
      </c>
      <c r="C25" s="27">
        <v>175.0</v>
      </c>
      <c r="D25" s="28" t="s">
        <v>58059</v>
      </c>
      <c r="E25" s="28" t="s">
        <v>58060</v>
      </c>
      <c r="F25" s="27">
        <v>238.0</v>
      </c>
      <c r="G25" s="27">
        <v>1.75262386E8</v>
      </c>
    </row>
    <row r="26" ht="12.75" customHeight="1">
      <c r="A26" s="31">
        <v>126.0</v>
      </c>
      <c r="B26" s="32" t="s">
        <v>58061</v>
      </c>
      <c r="C26" s="31">
        <v>175.0</v>
      </c>
      <c r="D26" s="32" t="s">
        <v>58062</v>
      </c>
      <c r="E26" s="32" t="s">
        <v>58063</v>
      </c>
      <c r="F26" s="31">
        <v>253.0</v>
      </c>
      <c r="G26" s="31">
        <v>1.75262531E8</v>
      </c>
    </row>
    <row r="27" ht="12.75" customHeight="1">
      <c r="A27" s="27">
        <v>126.0</v>
      </c>
      <c r="B27" s="28" t="s">
        <v>58064</v>
      </c>
      <c r="C27" s="27">
        <v>175.0</v>
      </c>
      <c r="D27" s="28" t="s">
        <v>58065</v>
      </c>
      <c r="E27" s="28" t="s">
        <v>58066</v>
      </c>
      <c r="F27" s="27">
        <v>263.0</v>
      </c>
      <c r="G27" s="27">
        <v>1.75262636E8</v>
      </c>
    </row>
    <row r="28" ht="12.75" customHeight="1">
      <c r="A28" s="31">
        <v>126.0</v>
      </c>
      <c r="B28" s="32" t="s">
        <v>58067</v>
      </c>
      <c r="C28" s="31">
        <v>175.0</v>
      </c>
      <c r="D28" s="32" t="s">
        <v>58068</v>
      </c>
      <c r="E28" s="32" t="s">
        <v>58069</v>
      </c>
      <c r="F28" s="31">
        <v>271.0</v>
      </c>
      <c r="G28" s="31">
        <v>1.75262715E8</v>
      </c>
    </row>
    <row r="29" ht="12.75" customHeight="1">
      <c r="A29" s="27">
        <v>126.0</v>
      </c>
      <c r="B29" s="28" t="s">
        <v>58070</v>
      </c>
      <c r="C29" s="27">
        <v>175.0</v>
      </c>
      <c r="D29" s="28" t="s">
        <v>58071</v>
      </c>
      <c r="E29" s="28" t="s">
        <v>58072</v>
      </c>
      <c r="F29" s="27">
        <v>298.0</v>
      </c>
      <c r="G29" s="27">
        <v>1.75262986E8</v>
      </c>
    </row>
    <row r="30" ht="12.75" customHeight="1">
      <c r="A30" s="31">
        <v>126.0</v>
      </c>
      <c r="B30" s="32" t="s">
        <v>58073</v>
      </c>
      <c r="C30" s="31">
        <v>175.0</v>
      </c>
      <c r="D30" s="32" t="s">
        <v>58074</v>
      </c>
      <c r="E30" s="32" t="s">
        <v>58075</v>
      </c>
      <c r="F30" s="31">
        <v>319.0</v>
      </c>
      <c r="G30" s="31">
        <v>1.75263198E8</v>
      </c>
    </row>
    <row r="31" ht="12.75" customHeight="1">
      <c r="A31" s="27">
        <v>126.0</v>
      </c>
      <c r="B31" s="28" t="s">
        <v>58076</v>
      </c>
      <c r="C31" s="27">
        <v>175.0</v>
      </c>
      <c r="D31" s="28" t="s">
        <v>58077</v>
      </c>
      <c r="E31" s="28" t="s">
        <v>58078</v>
      </c>
      <c r="F31" s="27">
        <v>328.0</v>
      </c>
      <c r="G31" s="27">
        <v>1.7526328E8</v>
      </c>
    </row>
    <row r="32" ht="12.75" customHeight="1">
      <c r="A32" s="31">
        <v>126.0</v>
      </c>
      <c r="B32" s="32" t="s">
        <v>58079</v>
      </c>
      <c r="C32" s="31">
        <v>175.0</v>
      </c>
      <c r="D32" s="32" t="s">
        <v>58080</v>
      </c>
      <c r="E32" s="32" t="s">
        <v>58081</v>
      </c>
      <c r="F32" s="31">
        <v>352.0</v>
      </c>
      <c r="G32" s="31">
        <v>1.75263527E8</v>
      </c>
    </row>
    <row r="33" ht="12.75" customHeight="1">
      <c r="A33" s="27">
        <v>126.0</v>
      </c>
      <c r="B33" s="28" t="s">
        <v>58082</v>
      </c>
      <c r="C33" s="27">
        <v>175.0</v>
      </c>
      <c r="D33" s="28" t="s">
        <v>58083</v>
      </c>
      <c r="E33" s="28" t="s">
        <v>58084</v>
      </c>
      <c r="F33" s="27">
        <v>358.0</v>
      </c>
      <c r="G33" s="27">
        <v>1.75263585E8</v>
      </c>
    </row>
    <row r="34" ht="12.75" customHeight="1">
      <c r="A34" s="31">
        <v>126.0</v>
      </c>
      <c r="B34" s="32" t="s">
        <v>58085</v>
      </c>
      <c r="C34" s="31">
        <v>175.0</v>
      </c>
      <c r="D34" s="32" t="s">
        <v>58086</v>
      </c>
      <c r="E34" s="32" t="s">
        <v>58087</v>
      </c>
      <c r="F34" s="31">
        <v>361.0</v>
      </c>
      <c r="G34" s="31">
        <v>1.75263619E8</v>
      </c>
    </row>
    <row r="35" ht="12.75" customHeight="1">
      <c r="A35" s="27">
        <v>126.0</v>
      </c>
      <c r="B35" s="28" t="s">
        <v>58088</v>
      </c>
      <c r="C35" s="27">
        <v>175.0</v>
      </c>
      <c r="D35" s="28" t="s">
        <v>58089</v>
      </c>
      <c r="E35" s="28" t="s">
        <v>58090</v>
      </c>
      <c r="F35" s="27">
        <v>391.0</v>
      </c>
      <c r="G35" s="27">
        <v>1.75263914E8</v>
      </c>
    </row>
    <row r="36" ht="12.75" customHeight="1">
      <c r="A36" s="31">
        <v>126.0</v>
      </c>
      <c r="B36" s="32" t="s">
        <v>58091</v>
      </c>
      <c r="C36" s="31">
        <v>175.0</v>
      </c>
      <c r="D36" s="32" t="s">
        <v>58092</v>
      </c>
      <c r="E36" s="32" t="s">
        <v>58093</v>
      </c>
      <c r="F36" s="31">
        <v>397.0</v>
      </c>
      <c r="G36" s="31">
        <v>1.75263972E8</v>
      </c>
    </row>
    <row r="37" ht="12.75" customHeight="1">
      <c r="A37" s="27">
        <v>126.0</v>
      </c>
      <c r="B37" s="28" t="s">
        <v>58094</v>
      </c>
      <c r="C37" s="27">
        <v>175.0</v>
      </c>
      <c r="D37" s="28" t="s">
        <v>58095</v>
      </c>
      <c r="E37" s="28" t="s">
        <v>58096</v>
      </c>
      <c r="F37" s="27">
        <v>403.0</v>
      </c>
      <c r="G37" s="27">
        <v>1.75264034E8</v>
      </c>
    </row>
    <row r="38" ht="12.75" customHeight="1">
      <c r="A38" s="31">
        <v>126.0</v>
      </c>
      <c r="B38" s="32" t="s">
        <v>58097</v>
      </c>
      <c r="C38" s="31">
        <v>175.0</v>
      </c>
      <c r="D38" s="32" t="s">
        <v>58098</v>
      </c>
      <c r="E38" s="32" t="s">
        <v>58099</v>
      </c>
      <c r="F38" s="31">
        <v>409.0</v>
      </c>
      <c r="G38" s="31">
        <v>1.75264092E8</v>
      </c>
    </row>
    <row r="39" ht="12.75" customHeight="1">
      <c r="A39" s="27">
        <v>126.0</v>
      </c>
      <c r="B39" s="28" t="s">
        <v>58100</v>
      </c>
      <c r="C39" s="27">
        <v>175.0</v>
      </c>
      <c r="D39" s="28" t="s">
        <v>58101</v>
      </c>
      <c r="E39" s="28" t="s">
        <v>58102</v>
      </c>
      <c r="F39" s="27">
        <v>427.0</v>
      </c>
      <c r="G39" s="27">
        <v>1.75264276E8</v>
      </c>
    </row>
    <row r="40" ht="12.75" customHeight="1">
      <c r="A40" s="31">
        <v>126.0</v>
      </c>
      <c r="B40" s="32" t="s">
        <v>58103</v>
      </c>
      <c r="C40" s="31">
        <v>175.0</v>
      </c>
      <c r="D40" s="32" t="s">
        <v>58104</v>
      </c>
      <c r="E40" s="32" t="s">
        <v>58105</v>
      </c>
      <c r="F40" s="31">
        <v>439.0</v>
      </c>
      <c r="G40" s="31">
        <v>1.75264397E8</v>
      </c>
    </row>
    <row r="41" ht="12.75" customHeight="1">
      <c r="A41" s="27">
        <v>126.0</v>
      </c>
      <c r="B41" s="28" t="s">
        <v>58106</v>
      </c>
      <c r="C41" s="27">
        <v>175.0</v>
      </c>
      <c r="D41" s="28" t="s">
        <v>58107</v>
      </c>
      <c r="E41" s="28" t="s">
        <v>58108</v>
      </c>
      <c r="F41" s="27">
        <v>448.0</v>
      </c>
      <c r="G41" s="27">
        <v>1.75264489E8</v>
      </c>
    </row>
    <row r="42" ht="12.75" customHeight="1">
      <c r="A42" s="31">
        <v>126.0</v>
      </c>
      <c r="B42" s="32" t="s">
        <v>58109</v>
      </c>
      <c r="C42" s="31">
        <v>175.0</v>
      </c>
      <c r="D42" s="32" t="s">
        <v>58110</v>
      </c>
      <c r="E42" s="32" t="s">
        <v>58111</v>
      </c>
      <c r="F42" s="31">
        <v>469.0</v>
      </c>
      <c r="G42" s="31">
        <v>1.75264692E8</v>
      </c>
    </row>
    <row r="43" ht="12.75" customHeight="1">
      <c r="A43" s="27">
        <v>127.0</v>
      </c>
      <c r="B43" s="28" t="s">
        <v>58112</v>
      </c>
      <c r="C43" s="27">
        <v>175.0</v>
      </c>
      <c r="D43" s="28" t="s">
        <v>58113</v>
      </c>
      <c r="E43" s="28" t="s">
        <v>58114</v>
      </c>
      <c r="F43" s="29">
        <v>0.0</v>
      </c>
      <c r="G43" s="27">
        <v>1.75270002E8</v>
      </c>
    </row>
    <row r="44" ht="12.75" customHeight="1">
      <c r="A44" s="31">
        <v>127.0</v>
      </c>
      <c r="B44" s="32" t="s">
        <v>58115</v>
      </c>
      <c r="C44" s="31">
        <v>175.0</v>
      </c>
      <c r="D44" s="32" t="s">
        <v>58116</v>
      </c>
      <c r="E44" s="32" t="s">
        <v>58117</v>
      </c>
      <c r="F44" s="33">
        <v>13.0</v>
      </c>
      <c r="G44" s="31">
        <v>1.75270136E8</v>
      </c>
    </row>
    <row r="45" ht="12.75" customHeight="1">
      <c r="A45" s="27">
        <v>127.0</v>
      </c>
      <c r="B45" s="28" t="s">
        <v>58118</v>
      </c>
      <c r="C45" s="27">
        <v>175.0</v>
      </c>
      <c r="D45" s="28" t="s">
        <v>58119</v>
      </c>
      <c r="E45" s="28" t="s">
        <v>58120</v>
      </c>
      <c r="F45" s="29">
        <v>34.0</v>
      </c>
      <c r="G45" s="27">
        <v>1.75270349E8</v>
      </c>
    </row>
    <row r="46" ht="12.75" customHeight="1">
      <c r="A46" s="31">
        <v>127.0</v>
      </c>
      <c r="B46" s="32" t="s">
        <v>58121</v>
      </c>
      <c r="C46" s="31">
        <v>175.0</v>
      </c>
      <c r="D46" s="32" t="s">
        <v>58122</v>
      </c>
      <c r="E46" s="32" t="s">
        <v>58123</v>
      </c>
      <c r="F46" s="33">
        <v>43.0</v>
      </c>
      <c r="G46" s="31">
        <v>1.75270431E8</v>
      </c>
    </row>
    <row r="47" ht="12.75" customHeight="1">
      <c r="A47" s="27">
        <v>127.0</v>
      </c>
      <c r="B47" s="28" t="s">
        <v>58124</v>
      </c>
      <c r="C47" s="27">
        <v>175.0</v>
      </c>
      <c r="D47" s="28" t="s">
        <v>58125</v>
      </c>
      <c r="E47" s="28" t="s">
        <v>58126</v>
      </c>
      <c r="F47" s="29">
        <v>55.0</v>
      </c>
      <c r="G47" s="27">
        <v>1.75270552E8</v>
      </c>
    </row>
    <row r="48" ht="12.75" customHeight="1">
      <c r="A48" s="31">
        <v>127.0</v>
      </c>
      <c r="B48" s="32" t="s">
        <v>58127</v>
      </c>
      <c r="C48" s="31">
        <v>175.0</v>
      </c>
      <c r="D48" s="32" t="s">
        <v>58128</v>
      </c>
      <c r="E48" s="32" t="s">
        <v>58129</v>
      </c>
      <c r="F48" s="33">
        <v>88.0</v>
      </c>
      <c r="G48" s="31">
        <v>1.75270886E8</v>
      </c>
    </row>
    <row r="49" ht="12.75" customHeight="1">
      <c r="A49" s="27">
        <v>127.0</v>
      </c>
      <c r="B49" s="28" t="s">
        <v>58130</v>
      </c>
      <c r="C49" s="27">
        <v>175.0</v>
      </c>
      <c r="D49" s="28" t="s">
        <v>58131</v>
      </c>
      <c r="E49" s="28" t="s">
        <v>58132</v>
      </c>
      <c r="F49" s="29">
        <v>94.0</v>
      </c>
      <c r="G49" s="27">
        <v>1.75270949E8</v>
      </c>
    </row>
    <row r="50" ht="12.75" customHeight="1">
      <c r="A50" s="31">
        <v>127.0</v>
      </c>
      <c r="B50" s="32" t="s">
        <v>58133</v>
      </c>
      <c r="C50" s="31">
        <v>175.0</v>
      </c>
      <c r="D50" s="32" t="s">
        <v>58134</v>
      </c>
      <c r="E50" s="32" t="s">
        <v>58135</v>
      </c>
      <c r="F50" s="33">
        <v>97.0</v>
      </c>
      <c r="G50" s="31">
        <v>1.75270978E8</v>
      </c>
    </row>
    <row r="51" ht="12.75" customHeight="1">
      <c r="A51" s="27">
        <v>127.0</v>
      </c>
      <c r="B51" s="28" t="s">
        <v>58136</v>
      </c>
      <c r="C51" s="27">
        <v>175.0</v>
      </c>
      <c r="D51" s="28" t="s">
        <v>58137</v>
      </c>
      <c r="E51" s="28" t="s">
        <v>58138</v>
      </c>
      <c r="F51" s="27">
        <v>106.0</v>
      </c>
      <c r="G51" s="27">
        <v>1.75271069E8</v>
      </c>
    </row>
    <row r="52" ht="12.75" customHeight="1">
      <c r="A52" s="31">
        <v>127.0</v>
      </c>
      <c r="B52" s="32" t="s">
        <v>58139</v>
      </c>
      <c r="C52" s="31">
        <v>175.0</v>
      </c>
      <c r="D52" s="32" t="s">
        <v>58140</v>
      </c>
      <c r="E52" s="32" t="s">
        <v>58141</v>
      </c>
      <c r="F52" s="31">
        <v>127.0</v>
      </c>
      <c r="G52" s="31">
        <v>1.75271272E8</v>
      </c>
    </row>
    <row r="53" ht="12.75" customHeight="1">
      <c r="A53" s="27">
        <v>127.0</v>
      </c>
      <c r="B53" s="28" t="s">
        <v>58142</v>
      </c>
      <c r="C53" s="27">
        <v>175.0</v>
      </c>
      <c r="D53" s="28" t="s">
        <v>58143</v>
      </c>
      <c r="E53" s="28" t="s">
        <v>58144</v>
      </c>
      <c r="F53" s="27">
        <v>142.0</v>
      </c>
      <c r="G53" s="27">
        <v>1.75271427E8</v>
      </c>
    </row>
    <row r="54" ht="12.75" customHeight="1">
      <c r="A54" s="31">
        <v>127.0</v>
      </c>
      <c r="B54" s="32" t="s">
        <v>58145</v>
      </c>
      <c r="C54" s="31">
        <v>175.0</v>
      </c>
      <c r="D54" s="32" t="s">
        <v>58146</v>
      </c>
      <c r="E54" s="32" t="s">
        <v>58147</v>
      </c>
      <c r="F54" s="31">
        <v>160.0</v>
      </c>
      <c r="G54" s="31">
        <v>1.75271601E8</v>
      </c>
    </row>
    <row r="55" ht="12.75" customHeight="1">
      <c r="A55" s="27">
        <v>127.0</v>
      </c>
      <c r="B55" s="28" t="s">
        <v>58148</v>
      </c>
      <c r="C55" s="27">
        <v>175.0</v>
      </c>
      <c r="D55" s="28" t="s">
        <v>58149</v>
      </c>
      <c r="E55" s="28" t="s">
        <v>58150</v>
      </c>
      <c r="F55" s="27">
        <v>169.0</v>
      </c>
      <c r="G55" s="27">
        <v>1.75271698E8</v>
      </c>
    </row>
    <row r="56" ht="12.75" customHeight="1">
      <c r="A56" s="31">
        <v>127.0</v>
      </c>
      <c r="B56" s="32" t="s">
        <v>58151</v>
      </c>
      <c r="C56" s="31">
        <v>175.0</v>
      </c>
      <c r="D56" s="32" t="s">
        <v>58152</v>
      </c>
      <c r="E56" s="32" t="s">
        <v>58153</v>
      </c>
      <c r="F56" s="31">
        <v>187.0</v>
      </c>
      <c r="G56" s="31">
        <v>1.75271872E8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58154</v>
      </c>
      <c r="C1" s="27">
        <v>175.0</v>
      </c>
      <c r="D1" s="28" t="s">
        <v>58155</v>
      </c>
      <c r="E1" s="28" t="s">
        <v>58156</v>
      </c>
      <c r="F1" s="27">
        <v>220.0</v>
      </c>
      <c r="G1" s="27">
        <v>1.752722E8</v>
      </c>
    </row>
    <row r="2" ht="12.75" customHeight="1">
      <c r="A2" s="31">
        <v>127.0</v>
      </c>
      <c r="B2" s="32" t="s">
        <v>58157</v>
      </c>
      <c r="C2" s="31">
        <v>175.0</v>
      </c>
      <c r="D2" s="32" t="s">
        <v>58158</v>
      </c>
      <c r="E2" s="32" t="s">
        <v>58159</v>
      </c>
      <c r="F2" s="31">
        <v>232.0</v>
      </c>
      <c r="G2" s="31">
        <v>1.75272321E8</v>
      </c>
    </row>
    <row r="3" ht="12.75" customHeight="1">
      <c r="A3" s="27">
        <v>127.0</v>
      </c>
      <c r="B3" s="28" t="s">
        <v>58160</v>
      </c>
      <c r="C3" s="27">
        <v>175.0</v>
      </c>
      <c r="D3" s="28" t="s">
        <v>58161</v>
      </c>
      <c r="E3" s="28" t="s">
        <v>58162</v>
      </c>
      <c r="F3" s="27">
        <v>250.0</v>
      </c>
      <c r="G3" s="27">
        <v>1.75272505E8</v>
      </c>
    </row>
    <row r="4" ht="12.75" customHeight="1">
      <c r="A4" s="31">
        <v>127.0</v>
      </c>
      <c r="B4" s="32" t="s">
        <v>58163</v>
      </c>
      <c r="C4" s="31">
        <v>175.0</v>
      </c>
      <c r="D4" s="32" t="s">
        <v>58164</v>
      </c>
      <c r="E4" s="32" t="s">
        <v>58165</v>
      </c>
      <c r="F4" s="31">
        <v>274.0</v>
      </c>
      <c r="G4" s="31">
        <v>1.75272747E8</v>
      </c>
    </row>
    <row r="5" ht="12.75" customHeight="1">
      <c r="A5" s="27">
        <v>127.0</v>
      </c>
      <c r="B5" s="28" t="s">
        <v>58166</v>
      </c>
      <c r="C5" s="27">
        <v>175.0</v>
      </c>
      <c r="D5" s="28" t="s">
        <v>58167</v>
      </c>
      <c r="E5" s="28" t="s">
        <v>58168</v>
      </c>
      <c r="F5" s="27">
        <v>280.0</v>
      </c>
      <c r="G5" s="27">
        <v>1.752728E8</v>
      </c>
    </row>
    <row r="6" ht="12.75" customHeight="1">
      <c r="A6" s="31">
        <v>127.0</v>
      </c>
      <c r="B6" s="32" t="s">
        <v>58169</v>
      </c>
      <c r="C6" s="31">
        <v>175.0</v>
      </c>
      <c r="D6" s="32" t="s">
        <v>58170</v>
      </c>
      <c r="E6" s="32" t="s">
        <v>58171</v>
      </c>
      <c r="F6" s="31">
        <v>298.0</v>
      </c>
      <c r="G6" s="31">
        <v>1.75272989E8</v>
      </c>
    </row>
    <row r="7" ht="12.75" customHeight="1">
      <c r="A7" s="27">
        <v>127.0</v>
      </c>
      <c r="B7" s="28" t="s">
        <v>58172</v>
      </c>
      <c r="C7" s="27">
        <v>175.0</v>
      </c>
      <c r="D7" s="28" t="s">
        <v>58173</v>
      </c>
      <c r="E7" s="28" t="s">
        <v>58174</v>
      </c>
      <c r="F7" s="27">
        <v>325.0</v>
      </c>
      <c r="G7" s="27">
        <v>1.75273254E8</v>
      </c>
    </row>
    <row r="8" ht="12.75" customHeight="1">
      <c r="A8" s="31">
        <v>127.0</v>
      </c>
      <c r="B8" s="32" t="s">
        <v>58175</v>
      </c>
      <c r="C8" s="31">
        <v>175.0</v>
      </c>
      <c r="D8" s="32" t="s">
        <v>58176</v>
      </c>
      <c r="E8" s="32" t="s">
        <v>58177</v>
      </c>
      <c r="F8" s="31">
        <v>331.0</v>
      </c>
      <c r="G8" s="31">
        <v>1.75273317E8</v>
      </c>
    </row>
    <row r="9" ht="12.75" customHeight="1">
      <c r="A9" s="27">
        <v>127.0</v>
      </c>
      <c r="B9" s="28" t="s">
        <v>58178</v>
      </c>
      <c r="C9" s="27">
        <v>175.0</v>
      </c>
      <c r="D9" s="28" t="s">
        <v>58179</v>
      </c>
      <c r="E9" s="28" t="s">
        <v>58180</v>
      </c>
      <c r="F9" s="27">
        <v>358.0</v>
      </c>
      <c r="G9" s="27">
        <v>1.75273588E8</v>
      </c>
    </row>
    <row r="10" ht="12.75" customHeight="1">
      <c r="A10" s="31">
        <v>127.0</v>
      </c>
      <c r="B10" s="32" t="s">
        <v>58181</v>
      </c>
      <c r="C10" s="31">
        <v>175.0</v>
      </c>
      <c r="D10" s="32" t="s">
        <v>58182</v>
      </c>
      <c r="E10" s="32" t="s">
        <v>58183</v>
      </c>
      <c r="F10" s="31">
        <v>373.0</v>
      </c>
      <c r="G10" s="31">
        <v>1.75273733E8</v>
      </c>
    </row>
    <row r="11" ht="12.75" customHeight="1">
      <c r="A11" s="27">
        <v>127.0</v>
      </c>
      <c r="B11" s="28" t="s">
        <v>58184</v>
      </c>
      <c r="C11" s="27">
        <v>175.0</v>
      </c>
      <c r="D11" s="28" t="s">
        <v>58185</v>
      </c>
      <c r="E11" s="28" t="s">
        <v>58186</v>
      </c>
      <c r="F11" s="27">
        <v>394.0</v>
      </c>
      <c r="G11" s="27">
        <v>1.75273946E8</v>
      </c>
    </row>
    <row r="12" ht="12.75" customHeight="1">
      <c r="A12" s="31">
        <v>127.0</v>
      </c>
      <c r="B12" s="32" t="s">
        <v>58187</v>
      </c>
      <c r="C12" s="31">
        <v>175.0</v>
      </c>
      <c r="D12" s="32" t="s">
        <v>58188</v>
      </c>
      <c r="E12" s="32" t="s">
        <v>58189</v>
      </c>
      <c r="F12" s="31">
        <v>415.0</v>
      </c>
      <c r="G12" s="31">
        <v>1.75274158E8</v>
      </c>
    </row>
    <row r="13" ht="12.75" customHeight="1">
      <c r="A13" s="27">
        <v>127.0</v>
      </c>
      <c r="B13" s="28" t="s">
        <v>58190</v>
      </c>
      <c r="C13" s="27">
        <v>175.0</v>
      </c>
      <c r="D13" s="28" t="s">
        <v>58191</v>
      </c>
      <c r="E13" s="28" t="s">
        <v>58192</v>
      </c>
      <c r="F13" s="27">
        <v>418.0</v>
      </c>
      <c r="G13" s="27">
        <v>1.75274187E8</v>
      </c>
    </row>
    <row r="14" ht="12.75" customHeight="1">
      <c r="A14" s="31">
        <v>127.0</v>
      </c>
      <c r="B14" s="32" t="s">
        <v>58193</v>
      </c>
      <c r="C14" s="31">
        <v>175.0</v>
      </c>
      <c r="D14" s="32" t="s">
        <v>58194</v>
      </c>
      <c r="E14" s="32" t="s">
        <v>58195</v>
      </c>
      <c r="F14" s="31">
        <v>424.0</v>
      </c>
      <c r="G14" s="31">
        <v>1.7527424E8</v>
      </c>
    </row>
    <row r="15" ht="12.75" customHeight="1">
      <c r="A15" s="27">
        <v>127.0</v>
      </c>
      <c r="B15" s="28" t="s">
        <v>58196</v>
      </c>
      <c r="C15" s="27">
        <v>175.0</v>
      </c>
      <c r="D15" s="28" t="s">
        <v>58197</v>
      </c>
      <c r="E15" s="28" t="s">
        <v>58198</v>
      </c>
      <c r="F15" s="27">
        <v>434.0</v>
      </c>
      <c r="G15" s="27">
        <v>1.75274345E8</v>
      </c>
    </row>
    <row r="16" ht="12.75" customHeight="1">
      <c r="A16" s="31">
        <v>127.0</v>
      </c>
      <c r="B16" s="32" t="s">
        <v>58199</v>
      </c>
      <c r="C16" s="31">
        <v>175.0</v>
      </c>
      <c r="D16" s="32" t="s">
        <v>58200</v>
      </c>
      <c r="E16" s="32" t="s">
        <v>58201</v>
      </c>
      <c r="F16" s="31">
        <v>475.0</v>
      </c>
      <c r="G16" s="31">
        <v>1.75274758E8</v>
      </c>
    </row>
    <row r="17" ht="12.75" customHeight="1">
      <c r="A17" s="27">
        <v>127.0</v>
      </c>
      <c r="B17" s="28" t="s">
        <v>58202</v>
      </c>
      <c r="C17" s="27">
        <v>175.0</v>
      </c>
      <c r="D17" s="28" t="s">
        <v>58203</v>
      </c>
      <c r="E17" s="28" t="s">
        <v>58204</v>
      </c>
      <c r="F17" s="27">
        <v>481.0</v>
      </c>
      <c r="G17" s="27">
        <v>1.75274811E8</v>
      </c>
    </row>
    <row r="18" ht="12.75" customHeight="1">
      <c r="A18" s="31">
        <v>127.0</v>
      </c>
      <c r="B18" s="32" t="s">
        <v>58205</v>
      </c>
      <c r="C18" s="31">
        <v>175.0</v>
      </c>
      <c r="D18" s="32" t="s">
        <v>58206</v>
      </c>
      <c r="E18" s="32" t="s">
        <v>58207</v>
      </c>
      <c r="F18" s="31">
        <v>487.0</v>
      </c>
      <c r="G18" s="31">
        <v>1.75274879E8</v>
      </c>
    </row>
    <row r="19" ht="12.75" customHeight="1">
      <c r="A19" s="27">
        <v>127.0</v>
      </c>
      <c r="B19" s="28" t="s">
        <v>58208</v>
      </c>
      <c r="C19" s="27">
        <v>175.0</v>
      </c>
      <c r="D19" s="28" t="s">
        <v>58209</v>
      </c>
      <c r="E19" s="28" t="s">
        <v>58210</v>
      </c>
      <c r="F19" s="27">
        <v>493.0</v>
      </c>
      <c r="G19" s="27">
        <v>1.75274932E8</v>
      </c>
    </row>
    <row r="20" ht="12.75" customHeight="1">
      <c r="A20" s="31">
        <v>127.0</v>
      </c>
      <c r="B20" s="32" t="s">
        <v>58211</v>
      </c>
      <c r="C20" s="31">
        <v>175.0</v>
      </c>
      <c r="D20" s="32" t="s">
        <v>58212</v>
      </c>
      <c r="E20" s="32" t="s">
        <v>58213</v>
      </c>
      <c r="F20" s="31">
        <v>526.0</v>
      </c>
      <c r="G20" s="31">
        <v>1.75275265E8</v>
      </c>
    </row>
    <row r="21" ht="12.75" customHeight="1">
      <c r="A21" s="27">
        <v>127.0</v>
      </c>
      <c r="B21" s="28" t="s">
        <v>58214</v>
      </c>
      <c r="C21" s="27">
        <v>175.0</v>
      </c>
      <c r="D21" s="28" t="s">
        <v>58215</v>
      </c>
      <c r="E21" s="28" t="s">
        <v>58216</v>
      </c>
      <c r="F21" s="27">
        <v>535.0</v>
      </c>
      <c r="G21" s="27">
        <v>1.75275357E8</v>
      </c>
    </row>
    <row r="22" ht="12.75" customHeight="1">
      <c r="A22" s="31">
        <v>127.0</v>
      </c>
      <c r="B22" s="32" t="s">
        <v>58217</v>
      </c>
      <c r="C22" s="31">
        <v>175.0</v>
      </c>
      <c r="D22" s="32" t="s">
        <v>58218</v>
      </c>
      <c r="E22" s="32" t="s">
        <v>58219</v>
      </c>
      <c r="F22" s="31">
        <v>547.0</v>
      </c>
      <c r="G22" s="31">
        <v>1.75275478E8</v>
      </c>
    </row>
    <row r="23" ht="12.75" customHeight="1">
      <c r="A23" s="27">
        <v>127.0</v>
      </c>
      <c r="B23" s="28" t="s">
        <v>58220</v>
      </c>
      <c r="C23" s="27">
        <v>175.0</v>
      </c>
      <c r="D23" s="28" t="s">
        <v>58221</v>
      </c>
      <c r="E23" s="28" t="s">
        <v>58222</v>
      </c>
      <c r="F23" s="27">
        <v>592.0</v>
      </c>
      <c r="G23" s="27">
        <v>1.75275928E8</v>
      </c>
    </row>
    <row r="24" ht="12.75" customHeight="1">
      <c r="A24" s="31">
        <v>127.0</v>
      </c>
      <c r="B24" s="32" t="s">
        <v>58223</v>
      </c>
      <c r="C24" s="31">
        <v>175.0</v>
      </c>
      <c r="D24" s="32" t="s">
        <v>58224</v>
      </c>
      <c r="E24" s="32" t="s">
        <v>58225</v>
      </c>
      <c r="F24" s="31">
        <v>622.0</v>
      </c>
      <c r="G24" s="31">
        <v>1.75276222E8</v>
      </c>
    </row>
    <row r="25" ht="12.75" customHeight="1">
      <c r="A25" s="27">
        <v>127.0</v>
      </c>
      <c r="B25" s="28" t="s">
        <v>58226</v>
      </c>
      <c r="C25" s="27">
        <v>175.0</v>
      </c>
      <c r="D25" s="28" t="s">
        <v>58227</v>
      </c>
      <c r="E25" s="28" t="s">
        <v>58228</v>
      </c>
      <c r="F25" s="27">
        <v>634.0</v>
      </c>
      <c r="G25" s="27">
        <v>1.75276343E8</v>
      </c>
    </row>
    <row r="26" ht="12.75" customHeight="1">
      <c r="A26" s="31">
        <v>127.0</v>
      </c>
      <c r="B26" s="32" t="s">
        <v>58229</v>
      </c>
      <c r="C26" s="31">
        <v>175.0</v>
      </c>
      <c r="D26" s="32" t="s">
        <v>58230</v>
      </c>
      <c r="E26" s="32" t="s">
        <v>58231</v>
      </c>
      <c r="F26" s="31">
        <v>646.0</v>
      </c>
      <c r="G26" s="31">
        <v>1.75276464E8</v>
      </c>
    </row>
    <row r="27" ht="12.75" customHeight="1">
      <c r="A27" s="27">
        <v>127.0</v>
      </c>
      <c r="B27" s="28" t="s">
        <v>58232</v>
      </c>
      <c r="C27" s="27">
        <v>175.0</v>
      </c>
      <c r="D27" s="28" t="s">
        <v>58233</v>
      </c>
      <c r="E27" s="28" t="s">
        <v>58234</v>
      </c>
      <c r="F27" s="27">
        <v>658.0</v>
      </c>
      <c r="G27" s="27">
        <v>1.75276585E8</v>
      </c>
    </row>
    <row r="28" ht="12.75" customHeight="1">
      <c r="A28" s="31">
        <v>127.0</v>
      </c>
      <c r="B28" s="32" t="s">
        <v>58235</v>
      </c>
      <c r="C28" s="31">
        <v>175.0</v>
      </c>
      <c r="D28" s="32" t="s">
        <v>58236</v>
      </c>
      <c r="E28" s="32" t="s">
        <v>58237</v>
      </c>
      <c r="F28" s="31">
        <v>664.0</v>
      </c>
      <c r="G28" s="31">
        <v>1.75276648E8</v>
      </c>
    </row>
    <row r="29" ht="12.75" customHeight="1">
      <c r="A29" s="27">
        <v>728.0</v>
      </c>
      <c r="B29" s="28" t="s">
        <v>58238</v>
      </c>
      <c r="C29" s="27">
        <v>175.0</v>
      </c>
      <c r="D29" s="28" t="s">
        <v>58239</v>
      </c>
      <c r="E29" s="28" t="s">
        <v>58240</v>
      </c>
      <c r="F29" s="29">
        <v>67.0</v>
      </c>
      <c r="G29" s="27">
        <v>1.75280676E8</v>
      </c>
    </row>
    <row r="30" ht="12.75" customHeight="1">
      <c r="A30" s="31">
        <v>728.0</v>
      </c>
      <c r="B30" s="32" t="s">
        <v>58241</v>
      </c>
      <c r="C30" s="31">
        <v>175.0</v>
      </c>
      <c r="D30" s="32" t="s">
        <v>58242</v>
      </c>
      <c r="E30" s="32" t="s">
        <v>58243</v>
      </c>
      <c r="F30" s="31">
        <v>181.0</v>
      </c>
      <c r="G30" s="31">
        <v>1.75281817E8</v>
      </c>
    </row>
    <row r="31" ht="12.75" customHeight="1">
      <c r="A31" s="27">
        <v>728.0</v>
      </c>
      <c r="B31" s="28" t="s">
        <v>58244</v>
      </c>
      <c r="C31" s="27">
        <v>175.0</v>
      </c>
      <c r="D31" s="28" t="s">
        <v>58245</v>
      </c>
      <c r="E31" s="28" t="s">
        <v>58246</v>
      </c>
      <c r="F31" s="27">
        <v>187.0</v>
      </c>
      <c r="G31" s="27">
        <v>1.75281875E8</v>
      </c>
    </row>
    <row r="32" ht="12.75" customHeight="1">
      <c r="A32" s="31">
        <v>728.0</v>
      </c>
      <c r="B32" s="32" t="s">
        <v>58247</v>
      </c>
      <c r="C32" s="31">
        <v>175.0</v>
      </c>
      <c r="D32" s="32" t="s">
        <v>58248</v>
      </c>
      <c r="E32" s="32" t="s">
        <v>58249</v>
      </c>
      <c r="F32" s="31">
        <v>193.0</v>
      </c>
      <c r="G32" s="31">
        <v>1.75281938E8</v>
      </c>
    </row>
    <row r="33" ht="12.75" customHeight="1">
      <c r="A33" s="27">
        <v>329.0</v>
      </c>
      <c r="B33" s="28" t="s">
        <v>58250</v>
      </c>
      <c r="C33" s="27">
        <v>175.0</v>
      </c>
      <c r="D33" s="28" t="s">
        <v>58251</v>
      </c>
      <c r="E33" s="28" t="s">
        <v>58252</v>
      </c>
      <c r="F33" s="29">
        <v>28.0</v>
      </c>
      <c r="G33" s="27">
        <v>1.75290282E8</v>
      </c>
    </row>
    <row r="34" ht="12.75" customHeight="1">
      <c r="A34" s="31">
        <v>329.0</v>
      </c>
      <c r="B34" s="32" t="s">
        <v>58253</v>
      </c>
      <c r="C34" s="31">
        <v>175.0</v>
      </c>
      <c r="D34" s="32" t="s">
        <v>58254</v>
      </c>
      <c r="E34" s="32" t="s">
        <v>58255</v>
      </c>
      <c r="F34" s="33">
        <v>52.0</v>
      </c>
      <c r="G34" s="31">
        <v>1.75290529E8</v>
      </c>
    </row>
    <row r="35" ht="12.75" customHeight="1">
      <c r="A35" s="27">
        <v>329.0</v>
      </c>
      <c r="B35" s="28" t="s">
        <v>58256</v>
      </c>
      <c r="C35" s="27">
        <v>175.0</v>
      </c>
      <c r="D35" s="28" t="s">
        <v>58257</v>
      </c>
      <c r="E35" s="28" t="s">
        <v>58258</v>
      </c>
      <c r="F35" s="29">
        <v>91.0</v>
      </c>
      <c r="G35" s="27">
        <v>1.75290916E8</v>
      </c>
    </row>
    <row r="36" ht="12.75" customHeight="1">
      <c r="A36" s="31">
        <v>329.0</v>
      </c>
      <c r="B36" s="32" t="s">
        <v>58259</v>
      </c>
      <c r="C36" s="31">
        <v>175.0</v>
      </c>
      <c r="D36" s="32" t="s">
        <v>58260</v>
      </c>
      <c r="E36" s="32" t="s">
        <v>58261</v>
      </c>
      <c r="F36" s="31">
        <v>127.0</v>
      </c>
      <c r="G36" s="31">
        <v>1.75291278E8</v>
      </c>
    </row>
    <row r="37" ht="12.75" customHeight="1">
      <c r="A37" s="27">
        <v>230.0</v>
      </c>
      <c r="B37" s="28" t="s">
        <v>58262</v>
      </c>
      <c r="C37" s="27">
        <v>175.0</v>
      </c>
      <c r="D37" s="28" t="s">
        <v>58263</v>
      </c>
      <c r="E37" s="28" t="s">
        <v>58264</v>
      </c>
      <c r="F37" s="29">
        <v>22.0</v>
      </c>
      <c r="G37" s="27">
        <v>1.75300222E8</v>
      </c>
    </row>
    <row r="38" ht="12.75" customHeight="1">
      <c r="A38" s="31">
        <v>230.0</v>
      </c>
      <c r="B38" s="32" t="s">
        <v>58265</v>
      </c>
      <c r="C38" s="31">
        <v>175.0</v>
      </c>
      <c r="D38" s="32" t="s">
        <v>58266</v>
      </c>
      <c r="E38" s="32" t="s">
        <v>58267</v>
      </c>
      <c r="F38" s="33">
        <v>31.0</v>
      </c>
      <c r="G38" s="31">
        <v>1.75300314E8</v>
      </c>
    </row>
    <row r="39" ht="12.75" customHeight="1">
      <c r="A39" s="27">
        <v>230.0</v>
      </c>
      <c r="B39" s="28" t="s">
        <v>58268</v>
      </c>
      <c r="C39" s="27">
        <v>175.0</v>
      </c>
      <c r="D39" s="28" t="s">
        <v>58269</v>
      </c>
      <c r="E39" s="28" t="s">
        <v>58270</v>
      </c>
      <c r="F39" s="29">
        <v>37.0</v>
      </c>
      <c r="G39" s="27">
        <v>1.75300372E8</v>
      </c>
    </row>
    <row r="40" ht="12.75" customHeight="1">
      <c r="A40" s="31">
        <v>230.0</v>
      </c>
      <c r="B40" s="32" t="s">
        <v>58271</v>
      </c>
      <c r="C40" s="31">
        <v>175.0</v>
      </c>
      <c r="D40" s="32" t="s">
        <v>58272</v>
      </c>
      <c r="E40" s="32" t="s">
        <v>58273</v>
      </c>
      <c r="F40" s="33">
        <v>52.0</v>
      </c>
      <c r="G40" s="31">
        <v>1.75300527E8</v>
      </c>
    </row>
    <row r="41" ht="12.75" customHeight="1">
      <c r="A41" s="27">
        <v>230.0</v>
      </c>
      <c r="B41" s="28" t="s">
        <v>58274</v>
      </c>
      <c r="C41" s="27">
        <v>175.0</v>
      </c>
      <c r="D41" s="28" t="s">
        <v>58275</v>
      </c>
      <c r="E41" s="28" t="s">
        <v>58276</v>
      </c>
      <c r="F41" s="29">
        <v>55.0</v>
      </c>
      <c r="G41" s="27">
        <v>1.75300556E8</v>
      </c>
    </row>
    <row r="42" ht="12.75" customHeight="1">
      <c r="A42" s="31">
        <v>230.0</v>
      </c>
      <c r="B42" s="32" t="s">
        <v>58277</v>
      </c>
      <c r="C42" s="31">
        <v>175.0</v>
      </c>
      <c r="D42" s="32" t="s">
        <v>58278</v>
      </c>
      <c r="E42" s="32" t="s">
        <v>58279</v>
      </c>
      <c r="F42" s="33">
        <v>61.0</v>
      </c>
      <c r="G42" s="31">
        <v>1.75300619E8</v>
      </c>
    </row>
    <row r="43" ht="12.75" customHeight="1">
      <c r="A43" s="27">
        <v>230.0</v>
      </c>
      <c r="B43" s="28" t="s">
        <v>58280</v>
      </c>
      <c r="C43" s="27">
        <v>175.0</v>
      </c>
      <c r="D43" s="28" t="s">
        <v>58281</v>
      </c>
      <c r="E43" s="28" t="s">
        <v>58282</v>
      </c>
      <c r="F43" s="29">
        <v>85.0</v>
      </c>
      <c r="G43" s="27">
        <v>1.75300851E8</v>
      </c>
    </row>
    <row r="44" ht="12.75" customHeight="1">
      <c r="A44" s="31">
        <v>230.0</v>
      </c>
      <c r="B44" s="32" t="s">
        <v>58283</v>
      </c>
      <c r="C44" s="31">
        <v>175.0</v>
      </c>
      <c r="D44" s="32" t="s">
        <v>58284</v>
      </c>
      <c r="E44" s="32" t="s">
        <v>58285</v>
      </c>
      <c r="F44" s="31">
        <v>100.0</v>
      </c>
      <c r="G44" s="31">
        <v>1.75301005E8</v>
      </c>
    </row>
    <row r="45" ht="12.75" customHeight="1">
      <c r="A45" s="27">
        <v>230.0</v>
      </c>
      <c r="B45" s="28" t="s">
        <v>58286</v>
      </c>
      <c r="C45" s="27">
        <v>175.0</v>
      </c>
      <c r="D45" s="28" t="s">
        <v>58287</v>
      </c>
      <c r="E45" s="28" t="s">
        <v>58288</v>
      </c>
      <c r="F45" s="27">
        <v>148.0</v>
      </c>
      <c r="G45" s="27">
        <v>1.75301489E8</v>
      </c>
    </row>
    <row r="46" ht="12.75" customHeight="1">
      <c r="A46" s="31">
        <v>632.0</v>
      </c>
      <c r="B46" s="32" t="s">
        <v>58289</v>
      </c>
      <c r="C46" s="31">
        <v>175.0</v>
      </c>
      <c r="D46" s="32" t="s">
        <v>58290</v>
      </c>
      <c r="E46" s="32" t="s">
        <v>58291</v>
      </c>
      <c r="F46" s="33">
        <v>52.0</v>
      </c>
      <c r="G46" s="31">
        <v>1.75320523E8</v>
      </c>
    </row>
    <row r="47" ht="12.75" customHeight="1">
      <c r="A47" s="27">
        <v>632.0</v>
      </c>
      <c r="B47" s="28" t="s">
        <v>58292</v>
      </c>
      <c r="C47" s="27">
        <v>175.0</v>
      </c>
      <c r="D47" s="28" t="s">
        <v>58293</v>
      </c>
      <c r="E47" s="28" t="s">
        <v>58294</v>
      </c>
      <c r="F47" s="29">
        <v>58.0</v>
      </c>
      <c r="G47" s="27">
        <v>1.75320581E8</v>
      </c>
    </row>
    <row r="48" ht="12.75" customHeight="1">
      <c r="A48" s="31">
        <v>632.0</v>
      </c>
      <c r="B48" s="32" t="s">
        <v>58295</v>
      </c>
      <c r="C48" s="31">
        <v>175.0</v>
      </c>
      <c r="D48" s="32" t="s">
        <v>58296</v>
      </c>
      <c r="E48" s="32" t="s">
        <v>58297</v>
      </c>
      <c r="F48" s="33">
        <v>97.0</v>
      </c>
      <c r="G48" s="31">
        <v>1.75320978E8</v>
      </c>
    </row>
    <row r="49" ht="12.75" customHeight="1">
      <c r="A49" s="27">
        <v>632.0</v>
      </c>
      <c r="B49" s="28" t="s">
        <v>58298</v>
      </c>
      <c r="C49" s="27">
        <v>175.0</v>
      </c>
      <c r="D49" s="28" t="s">
        <v>58299</v>
      </c>
      <c r="E49" s="28" t="s">
        <v>58300</v>
      </c>
      <c r="F49" s="27">
        <v>115.0</v>
      </c>
      <c r="G49" s="27">
        <v>1.75321151E8</v>
      </c>
    </row>
    <row r="50" ht="12.75" customHeight="1">
      <c r="A50" s="31">
        <v>133.0</v>
      </c>
      <c r="B50" s="32" t="s">
        <v>58301</v>
      </c>
      <c r="C50" s="31">
        <v>175.0</v>
      </c>
      <c r="D50" s="32" t="s">
        <v>58302</v>
      </c>
      <c r="E50" s="32" t="s">
        <v>58303</v>
      </c>
      <c r="F50" s="33">
        <v>17.0</v>
      </c>
      <c r="G50" s="31">
        <v>1.75330171E8</v>
      </c>
    </row>
    <row r="51" ht="12.75" customHeight="1">
      <c r="A51" s="27">
        <v>133.0</v>
      </c>
      <c r="B51" s="28" t="s">
        <v>58304</v>
      </c>
      <c r="C51" s="27">
        <v>175.0</v>
      </c>
      <c r="D51" s="28" t="s">
        <v>58305</v>
      </c>
      <c r="E51" s="28" t="s">
        <v>58306</v>
      </c>
      <c r="F51" s="29">
        <v>73.0</v>
      </c>
      <c r="G51" s="27">
        <v>1.75330739E8</v>
      </c>
    </row>
    <row r="52" ht="12.75" customHeight="1">
      <c r="A52" s="31">
        <v>133.0</v>
      </c>
      <c r="B52" s="32" t="s">
        <v>58307</v>
      </c>
      <c r="C52" s="31">
        <v>175.0</v>
      </c>
      <c r="D52" s="32" t="s">
        <v>58308</v>
      </c>
      <c r="E52" s="32" t="s">
        <v>58309</v>
      </c>
      <c r="F52" s="33">
        <v>82.0</v>
      </c>
      <c r="G52" s="31">
        <v>1.75330821E8</v>
      </c>
    </row>
    <row r="53" ht="12.75" customHeight="1">
      <c r="A53" s="27">
        <v>133.0</v>
      </c>
      <c r="B53" s="28" t="s">
        <v>58310</v>
      </c>
      <c r="C53" s="27">
        <v>175.0</v>
      </c>
      <c r="D53" s="28" t="s">
        <v>58311</v>
      </c>
      <c r="E53" s="28" t="s">
        <v>58312</v>
      </c>
      <c r="F53" s="29">
        <v>91.0</v>
      </c>
      <c r="G53" s="27">
        <v>1.75330913E8</v>
      </c>
    </row>
    <row r="54" ht="12.75" customHeight="1">
      <c r="A54" s="31">
        <v>133.0</v>
      </c>
      <c r="B54" s="32" t="s">
        <v>58313</v>
      </c>
      <c r="C54" s="31">
        <v>175.0</v>
      </c>
      <c r="D54" s="32" t="s">
        <v>58314</v>
      </c>
      <c r="E54" s="32" t="s">
        <v>58315</v>
      </c>
      <c r="F54" s="31">
        <v>100.0</v>
      </c>
      <c r="G54" s="31">
        <v>1.75331004E8</v>
      </c>
    </row>
    <row r="55" ht="12.75" customHeight="1">
      <c r="A55" s="27">
        <v>133.0</v>
      </c>
      <c r="B55" s="28" t="s">
        <v>58316</v>
      </c>
      <c r="C55" s="27">
        <v>175.0</v>
      </c>
      <c r="D55" s="28" t="s">
        <v>58317</v>
      </c>
      <c r="E55" s="28" t="s">
        <v>58318</v>
      </c>
      <c r="F55" s="27">
        <v>163.0</v>
      </c>
      <c r="G55" s="27">
        <v>1.75331633E8</v>
      </c>
    </row>
    <row r="56" ht="12.75" customHeight="1">
      <c r="A56" s="31">
        <v>435.0</v>
      </c>
      <c r="B56" s="32" t="s">
        <v>58319</v>
      </c>
      <c r="C56" s="31">
        <v>175.0</v>
      </c>
      <c r="D56" s="32" t="s">
        <v>58320</v>
      </c>
      <c r="E56" s="32" t="s">
        <v>58321</v>
      </c>
      <c r="F56" s="33">
        <v>37.0</v>
      </c>
      <c r="G56" s="31">
        <v>1.75350377E8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836.0</v>
      </c>
      <c r="B1" s="28" t="s">
        <v>58322</v>
      </c>
      <c r="C1" s="27">
        <v>175.0</v>
      </c>
      <c r="D1" s="28" t="s">
        <v>58323</v>
      </c>
      <c r="E1" s="28" t="s">
        <v>58324</v>
      </c>
      <c r="F1" s="29">
        <v>1.0</v>
      </c>
      <c r="G1" s="27">
        <v>1.75360017E8</v>
      </c>
    </row>
    <row r="2" ht="12.75" customHeight="1">
      <c r="A2" s="31">
        <v>836.0</v>
      </c>
      <c r="B2" s="32" t="s">
        <v>58325</v>
      </c>
      <c r="C2" s="31">
        <v>175.0</v>
      </c>
      <c r="D2" s="32" t="s">
        <v>58326</v>
      </c>
      <c r="E2" s="32" t="s">
        <v>58327</v>
      </c>
      <c r="F2" s="33">
        <v>4.0</v>
      </c>
      <c r="G2" s="31">
        <v>1.75360046E8</v>
      </c>
    </row>
    <row r="3" ht="12.75" customHeight="1">
      <c r="A3" s="27">
        <v>836.0</v>
      </c>
      <c r="B3" s="28" t="s">
        <v>58328</v>
      </c>
      <c r="C3" s="27">
        <v>175.0</v>
      </c>
      <c r="D3" s="28" t="s">
        <v>58329</v>
      </c>
      <c r="E3" s="28" t="s">
        <v>58330</v>
      </c>
      <c r="F3" s="29">
        <v>5.0</v>
      </c>
      <c r="G3" s="27">
        <v>1.75360059E8</v>
      </c>
    </row>
    <row r="4" ht="12.75" customHeight="1">
      <c r="A4" s="31">
        <v>836.0</v>
      </c>
      <c r="B4" s="32" t="s">
        <v>58331</v>
      </c>
      <c r="C4" s="31">
        <v>175.0</v>
      </c>
      <c r="D4" s="32" t="s">
        <v>58332</v>
      </c>
      <c r="E4" s="32" t="s">
        <v>58333</v>
      </c>
      <c r="F4" s="33">
        <v>16.0</v>
      </c>
      <c r="G4" s="31">
        <v>1.75360167E8</v>
      </c>
    </row>
    <row r="5" ht="12.75" customHeight="1">
      <c r="A5" s="27">
        <v>836.0</v>
      </c>
      <c r="B5" s="28" t="s">
        <v>58334</v>
      </c>
      <c r="C5" s="27">
        <v>175.0</v>
      </c>
      <c r="D5" s="28" t="s">
        <v>58335</v>
      </c>
      <c r="E5" s="28" t="s">
        <v>58336</v>
      </c>
      <c r="F5" s="29">
        <v>19.0</v>
      </c>
      <c r="G5" s="27">
        <v>1.75360196E8</v>
      </c>
    </row>
    <row r="6" ht="12.75" customHeight="1">
      <c r="A6" s="31">
        <v>836.0</v>
      </c>
      <c r="B6" s="32" t="s">
        <v>58337</v>
      </c>
      <c r="C6" s="31">
        <v>175.0</v>
      </c>
      <c r="D6" s="32" t="s">
        <v>58338</v>
      </c>
      <c r="E6" s="32" t="s">
        <v>58339</v>
      </c>
      <c r="F6" s="33">
        <v>34.0</v>
      </c>
      <c r="G6" s="31">
        <v>1.75360341E8</v>
      </c>
    </row>
    <row r="7" ht="12.75" customHeight="1">
      <c r="A7" s="27">
        <v>836.0</v>
      </c>
      <c r="B7" s="28" t="s">
        <v>58340</v>
      </c>
      <c r="C7" s="27">
        <v>175.0</v>
      </c>
      <c r="D7" s="28" t="s">
        <v>58341</v>
      </c>
      <c r="E7" s="28" t="s">
        <v>58342</v>
      </c>
      <c r="F7" s="29">
        <v>37.0</v>
      </c>
      <c r="G7" s="27">
        <v>1.7536037E8</v>
      </c>
    </row>
    <row r="8" ht="12.75" customHeight="1">
      <c r="A8" s="31">
        <v>836.0</v>
      </c>
      <c r="B8" s="32" t="s">
        <v>58343</v>
      </c>
      <c r="C8" s="31">
        <v>175.0</v>
      </c>
      <c r="D8" s="32" t="s">
        <v>58344</v>
      </c>
      <c r="E8" s="32" t="s">
        <v>58345</v>
      </c>
      <c r="F8" s="33">
        <v>46.0</v>
      </c>
      <c r="G8" s="31">
        <v>1.75360462E8</v>
      </c>
    </row>
    <row r="9" ht="12.75" customHeight="1">
      <c r="A9" s="27">
        <v>836.0</v>
      </c>
      <c r="B9" s="28" t="s">
        <v>58346</v>
      </c>
      <c r="C9" s="27">
        <v>175.0</v>
      </c>
      <c r="D9" s="28" t="s">
        <v>58347</v>
      </c>
      <c r="E9" s="28" t="s">
        <v>58348</v>
      </c>
      <c r="F9" s="29">
        <v>49.0</v>
      </c>
      <c r="G9" s="27">
        <v>1.75360491E8</v>
      </c>
    </row>
    <row r="10" ht="12.75" customHeight="1">
      <c r="A10" s="31">
        <v>836.0</v>
      </c>
      <c r="B10" s="32" t="s">
        <v>58349</v>
      </c>
      <c r="C10" s="31">
        <v>175.0</v>
      </c>
      <c r="D10" s="32" t="s">
        <v>58350</v>
      </c>
      <c r="E10" s="32" t="s">
        <v>58351</v>
      </c>
      <c r="F10" s="33">
        <v>58.0</v>
      </c>
      <c r="G10" s="31">
        <v>1.75360583E8</v>
      </c>
    </row>
    <row r="11" ht="12.75" customHeight="1">
      <c r="A11" s="27">
        <v>836.0</v>
      </c>
      <c r="B11" s="28" t="s">
        <v>58352</v>
      </c>
      <c r="C11" s="27">
        <v>175.0</v>
      </c>
      <c r="D11" s="28" t="s">
        <v>58353</v>
      </c>
      <c r="E11" s="28" t="s">
        <v>58354</v>
      </c>
      <c r="F11" s="29">
        <v>61.0</v>
      </c>
      <c r="G11" s="27">
        <v>1.75360617E8</v>
      </c>
    </row>
    <row r="12" ht="12.75" customHeight="1">
      <c r="A12" s="31">
        <v>836.0</v>
      </c>
      <c r="B12" s="32" t="s">
        <v>58355</v>
      </c>
      <c r="C12" s="31">
        <v>175.0</v>
      </c>
      <c r="D12" s="32" t="s">
        <v>58356</v>
      </c>
      <c r="E12" s="32" t="s">
        <v>58357</v>
      </c>
      <c r="F12" s="33">
        <v>88.0</v>
      </c>
      <c r="G12" s="31">
        <v>1.75360888E8</v>
      </c>
    </row>
    <row r="13" ht="12.75" customHeight="1">
      <c r="A13" s="27">
        <v>836.0</v>
      </c>
      <c r="B13" s="28" t="s">
        <v>58358</v>
      </c>
      <c r="C13" s="27">
        <v>175.0</v>
      </c>
      <c r="D13" s="28" t="s">
        <v>58359</v>
      </c>
      <c r="E13" s="28" t="s">
        <v>58360</v>
      </c>
      <c r="F13" s="27">
        <v>109.0</v>
      </c>
      <c r="G13" s="27">
        <v>1.7536109E8</v>
      </c>
    </row>
    <row r="14" ht="12.75" customHeight="1">
      <c r="A14" s="31">
        <v>836.0</v>
      </c>
      <c r="B14" s="32" t="s">
        <v>58361</v>
      </c>
      <c r="C14" s="31">
        <v>175.0</v>
      </c>
      <c r="D14" s="32" t="s">
        <v>58362</v>
      </c>
      <c r="E14" s="32" t="s">
        <v>58363</v>
      </c>
      <c r="F14" s="31">
        <v>139.0</v>
      </c>
      <c r="G14" s="31">
        <v>1.75361395E8</v>
      </c>
    </row>
    <row r="15" ht="12.75" customHeight="1">
      <c r="A15" s="27">
        <v>836.0</v>
      </c>
      <c r="B15" s="28" t="s">
        <v>58364</v>
      </c>
      <c r="C15" s="27">
        <v>175.0</v>
      </c>
      <c r="D15" s="28" t="s">
        <v>58365</v>
      </c>
      <c r="E15" s="28" t="s">
        <v>58366</v>
      </c>
      <c r="F15" s="27">
        <v>147.0</v>
      </c>
      <c r="G15" s="27">
        <v>1.75361474E8</v>
      </c>
    </row>
    <row r="16" ht="12.75" customHeight="1">
      <c r="A16" s="31">
        <v>836.0</v>
      </c>
      <c r="B16" s="32" t="s">
        <v>58367</v>
      </c>
      <c r="C16" s="31">
        <v>175.0</v>
      </c>
      <c r="D16" s="32" t="s">
        <v>58368</v>
      </c>
      <c r="E16" s="32" t="s">
        <v>58369</v>
      </c>
      <c r="F16" s="31">
        <v>148.0</v>
      </c>
      <c r="G16" s="31">
        <v>1.75361487E8</v>
      </c>
    </row>
    <row r="17" ht="12.75" customHeight="1">
      <c r="A17" s="27">
        <v>836.0</v>
      </c>
      <c r="B17" s="28" t="s">
        <v>58370</v>
      </c>
      <c r="C17" s="27">
        <v>175.0</v>
      </c>
      <c r="D17" s="28" t="s">
        <v>58371</v>
      </c>
      <c r="E17" s="28" t="s">
        <v>58372</v>
      </c>
      <c r="F17" s="27">
        <v>151.0</v>
      </c>
      <c r="G17" s="27">
        <v>1.75361511E8</v>
      </c>
    </row>
    <row r="18" ht="12.75" customHeight="1">
      <c r="A18" s="31">
        <v>836.0</v>
      </c>
      <c r="B18" s="32" t="s">
        <v>58373</v>
      </c>
      <c r="C18" s="31">
        <v>175.0</v>
      </c>
      <c r="D18" s="32" t="s">
        <v>58374</v>
      </c>
      <c r="E18" s="32" t="s">
        <v>58375</v>
      </c>
      <c r="F18" s="31">
        <v>157.0</v>
      </c>
      <c r="G18" s="31">
        <v>1.75361579E8</v>
      </c>
    </row>
    <row r="19" ht="12.75" customHeight="1">
      <c r="A19" s="27">
        <v>638.0</v>
      </c>
      <c r="B19" s="28" t="s">
        <v>58376</v>
      </c>
      <c r="C19" s="27">
        <v>175.0</v>
      </c>
      <c r="D19" s="28" t="s">
        <v>58377</v>
      </c>
      <c r="E19" s="28" t="s">
        <v>58378</v>
      </c>
      <c r="F19" s="29">
        <v>37.0</v>
      </c>
      <c r="G19" s="27">
        <v>1.75380376E8</v>
      </c>
    </row>
    <row r="20" ht="12.75" customHeight="1">
      <c r="A20" s="31">
        <v>638.0</v>
      </c>
      <c r="B20" s="32" t="s">
        <v>58379</v>
      </c>
      <c r="C20" s="31">
        <v>175.0</v>
      </c>
      <c r="D20" s="32" t="s">
        <v>58380</v>
      </c>
      <c r="E20" s="32" t="s">
        <v>58381</v>
      </c>
      <c r="F20" s="33">
        <v>40.0</v>
      </c>
      <c r="G20" s="31">
        <v>1.753804E8</v>
      </c>
    </row>
    <row r="21" ht="12.75" customHeight="1">
      <c r="A21" s="27">
        <v>139.0</v>
      </c>
      <c r="B21" s="28" t="s">
        <v>58382</v>
      </c>
      <c r="C21" s="27">
        <v>175.0</v>
      </c>
      <c r="D21" s="28" t="s">
        <v>58383</v>
      </c>
      <c r="E21" s="28" t="s">
        <v>58384</v>
      </c>
      <c r="F21" s="29">
        <v>16.0</v>
      </c>
      <c r="G21" s="27">
        <v>1.75390166E8</v>
      </c>
    </row>
    <row r="22" ht="12.75" customHeight="1">
      <c r="A22" s="31">
        <v>139.0</v>
      </c>
      <c r="B22" s="32" t="s">
        <v>58385</v>
      </c>
      <c r="C22" s="31">
        <v>175.0</v>
      </c>
      <c r="D22" s="32" t="s">
        <v>58386</v>
      </c>
      <c r="E22" s="32" t="s">
        <v>58387</v>
      </c>
      <c r="F22" s="33">
        <v>85.0</v>
      </c>
      <c r="G22" s="31">
        <v>1.75390858E8</v>
      </c>
    </row>
    <row r="23" ht="12.75" customHeight="1">
      <c r="A23" s="27">
        <v>139.0</v>
      </c>
      <c r="B23" s="28" t="s">
        <v>58388</v>
      </c>
      <c r="C23" s="27">
        <v>175.0</v>
      </c>
      <c r="D23" s="28" t="s">
        <v>58389</v>
      </c>
      <c r="E23" s="28" t="s">
        <v>58390</v>
      </c>
      <c r="F23" s="27">
        <v>130.0</v>
      </c>
      <c r="G23" s="27">
        <v>1.75391307E8</v>
      </c>
    </row>
    <row r="24" ht="12.75" customHeight="1">
      <c r="A24" s="31">
        <v>139.0</v>
      </c>
      <c r="B24" s="32" t="s">
        <v>58391</v>
      </c>
      <c r="C24" s="31">
        <v>175.0</v>
      </c>
      <c r="D24" s="32" t="s">
        <v>58392</v>
      </c>
      <c r="E24" s="32" t="s">
        <v>58393</v>
      </c>
      <c r="F24" s="31">
        <v>148.0</v>
      </c>
      <c r="G24" s="31">
        <v>1.75391486E8</v>
      </c>
    </row>
    <row r="25" ht="12.75" customHeight="1">
      <c r="A25" s="27">
        <v>441.0</v>
      </c>
      <c r="B25" s="28" t="s">
        <v>58394</v>
      </c>
      <c r="C25" s="27">
        <v>175.0</v>
      </c>
      <c r="D25" s="28" t="s">
        <v>58395</v>
      </c>
      <c r="E25" s="28" t="s">
        <v>58396</v>
      </c>
      <c r="F25" s="29">
        <v>28.0</v>
      </c>
      <c r="G25" s="27">
        <v>1.75410288E8</v>
      </c>
    </row>
    <row r="26" ht="12.75" customHeight="1">
      <c r="A26" s="31">
        <v>441.0</v>
      </c>
      <c r="B26" s="32" t="s">
        <v>58397</v>
      </c>
      <c r="C26" s="31">
        <v>175.0</v>
      </c>
      <c r="D26" s="32" t="s">
        <v>58398</v>
      </c>
      <c r="E26" s="32" t="s">
        <v>58399</v>
      </c>
      <c r="F26" s="33">
        <v>94.0</v>
      </c>
      <c r="G26" s="31">
        <v>1.75410941E8</v>
      </c>
    </row>
    <row r="27" ht="12.75" customHeight="1">
      <c r="A27" s="27">
        <v>441.0</v>
      </c>
      <c r="B27" s="28" t="s">
        <v>58400</v>
      </c>
      <c r="C27" s="27">
        <v>175.0</v>
      </c>
      <c r="D27" s="28" t="s">
        <v>58401</v>
      </c>
      <c r="E27" s="28" t="s">
        <v>58402</v>
      </c>
      <c r="F27" s="27">
        <v>161.0</v>
      </c>
      <c r="G27" s="27">
        <v>1.75411616E8</v>
      </c>
    </row>
    <row r="28" ht="12.75" customHeight="1">
      <c r="A28" s="31">
        <v>441.0</v>
      </c>
      <c r="B28" s="32" t="s">
        <v>58403</v>
      </c>
      <c r="C28" s="31">
        <v>175.0</v>
      </c>
      <c r="D28" s="32" t="s">
        <v>58404</v>
      </c>
      <c r="E28" s="32" t="s">
        <v>58405</v>
      </c>
      <c r="F28" s="31">
        <v>166.0</v>
      </c>
      <c r="G28" s="31">
        <v>1.75411661E8</v>
      </c>
    </row>
    <row r="29" ht="12.75" customHeight="1">
      <c r="A29" s="27">
        <v>342.0</v>
      </c>
      <c r="B29" s="28" t="s">
        <v>58406</v>
      </c>
      <c r="C29" s="27">
        <v>175.0</v>
      </c>
      <c r="D29" s="28" t="s">
        <v>58407</v>
      </c>
      <c r="E29" s="28" t="s">
        <v>58408</v>
      </c>
      <c r="F29" s="29">
        <v>31.0</v>
      </c>
      <c r="G29" s="27">
        <v>1.75420315E8</v>
      </c>
    </row>
    <row r="30" ht="12.75" customHeight="1">
      <c r="A30" s="31">
        <v>342.0</v>
      </c>
      <c r="B30" s="32" t="s">
        <v>58409</v>
      </c>
      <c r="C30" s="31">
        <v>175.0</v>
      </c>
      <c r="D30" s="32" t="s">
        <v>58410</v>
      </c>
      <c r="E30" s="32" t="s">
        <v>58411</v>
      </c>
      <c r="F30" s="33">
        <v>49.0</v>
      </c>
      <c r="G30" s="31">
        <v>1.75420494E8</v>
      </c>
    </row>
    <row r="31" ht="12.75" customHeight="1">
      <c r="A31" s="27">
        <v>342.0</v>
      </c>
      <c r="B31" s="28" t="s">
        <v>58412</v>
      </c>
      <c r="C31" s="27">
        <v>175.0</v>
      </c>
      <c r="D31" s="28" t="s">
        <v>58413</v>
      </c>
      <c r="E31" s="28" t="s">
        <v>58414</v>
      </c>
      <c r="F31" s="29">
        <v>55.0</v>
      </c>
      <c r="G31" s="27">
        <v>1.75420557E8</v>
      </c>
    </row>
    <row r="32" ht="12.75" customHeight="1">
      <c r="A32" s="31">
        <v>444.0</v>
      </c>
      <c r="B32" s="32" t="s">
        <v>58415</v>
      </c>
      <c r="C32" s="31">
        <v>175.0</v>
      </c>
      <c r="D32" s="32" t="s">
        <v>58416</v>
      </c>
      <c r="E32" s="32" t="s">
        <v>58417</v>
      </c>
      <c r="F32" s="33">
        <v>64.0</v>
      </c>
      <c r="G32" s="31">
        <v>1.75440645E8</v>
      </c>
    </row>
    <row r="33" ht="12.75" customHeight="1">
      <c r="A33" s="27">
        <v>246.0</v>
      </c>
      <c r="B33" s="28" t="s">
        <v>58418</v>
      </c>
      <c r="C33" s="27">
        <v>175.0</v>
      </c>
      <c r="D33" s="28" t="s">
        <v>58419</v>
      </c>
      <c r="E33" s="28" t="s">
        <v>58420</v>
      </c>
      <c r="F33" s="29">
        <v>7.0</v>
      </c>
      <c r="G33" s="27">
        <v>1.7546007E8</v>
      </c>
    </row>
    <row r="34" ht="12.75" customHeight="1">
      <c r="A34" s="31">
        <v>447.0</v>
      </c>
      <c r="B34" s="32" t="s">
        <v>58421</v>
      </c>
      <c r="C34" s="31">
        <v>175.0</v>
      </c>
      <c r="D34" s="32" t="s">
        <v>58422</v>
      </c>
      <c r="E34" s="32" t="s">
        <v>58423</v>
      </c>
      <c r="F34" s="33">
        <v>31.0</v>
      </c>
      <c r="G34" s="31">
        <v>1.7547031E8</v>
      </c>
    </row>
    <row r="35" ht="12.75" customHeight="1">
      <c r="A35" s="27">
        <v>447.0</v>
      </c>
      <c r="B35" s="28" t="s">
        <v>58424</v>
      </c>
      <c r="C35" s="27">
        <v>175.0</v>
      </c>
      <c r="D35" s="28" t="s">
        <v>58425</v>
      </c>
      <c r="E35" s="28" t="s">
        <v>58426</v>
      </c>
      <c r="F35" s="29">
        <v>55.0</v>
      </c>
      <c r="G35" s="27">
        <v>1.75470552E8</v>
      </c>
    </row>
    <row r="36" ht="12.75" customHeight="1">
      <c r="A36" s="31">
        <v>447.0</v>
      </c>
      <c r="B36" s="32" t="s">
        <v>58427</v>
      </c>
      <c r="C36" s="31">
        <v>175.0</v>
      </c>
      <c r="D36" s="32" t="s">
        <v>58428</v>
      </c>
      <c r="E36" s="32" t="s">
        <v>58429</v>
      </c>
      <c r="F36" s="33">
        <v>70.0</v>
      </c>
      <c r="G36" s="31">
        <v>1.75470707E8</v>
      </c>
    </row>
    <row r="37" ht="12.75" customHeight="1">
      <c r="A37" s="27">
        <v>447.0</v>
      </c>
      <c r="B37" s="28" t="s">
        <v>58430</v>
      </c>
      <c r="C37" s="27">
        <v>175.0</v>
      </c>
      <c r="D37" s="28" t="s">
        <v>58431</v>
      </c>
      <c r="E37" s="28" t="s">
        <v>58432</v>
      </c>
      <c r="F37" s="29">
        <v>87.0</v>
      </c>
      <c r="G37" s="27">
        <v>1.75470873E8</v>
      </c>
    </row>
    <row r="38" ht="12.75" customHeight="1">
      <c r="A38" s="31">
        <v>447.0</v>
      </c>
      <c r="B38" s="32" t="s">
        <v>58433</v>
      </c>
      <c r="C38" s="31">
        <v>175.0</v>
      </c>
      <c r="D38" s="32" t="s">
        <v>58434</v>
      </c>
      <c r="E38" s="32" t="s">
        <v>58435</v>
      </c>
      <c r="F38" s="31">
        <v>133.0</v>
      </c>
      <c r="G38" s="31">
        <v>1.75471335E8</v>
      </c>
    </row>
    <row r="39" ht="12.75" customHeight="1">
      <c r="A39" s="27">
        <v>447.0</v>
      </c>
      <c r="B39" s="28" t="s">
        <v>58436</v>
      </c>
      <c r="C39" s="27">
        <v>175.0</v>
      </c>
      <c r="D39" s="28" t="s">
        <v>58437</v>
      </c>
      <c r="E39" s="28" t="s">
        <v>58438</v>
      </c>
      <c r="F39" s="27">
        <v>145.0</v>
      </c>
      <c r="G39" s="27">
        <v>1.75471456E8</v>
      </c>
    </row>
    <row r="40" ht="12.75" customHeight="1">
      <c r="A40" s="31">
        <v>447.0</v>
      </c>
      <c r="B40" s="32" t="s">
        <v>58439</v>
      </c>
      <c r="C40" s="31">
        <v>175.0</v>
      </c>
      <c r="D40" s="32" t="s">
        <v>58440</v>
      </c>
      <c r="E40" s="32" t="s">
        <v>58441</v>
      </c>
      <c r="F40" s="31">
        <v>172.0</v>
      </c>
      <c r="G40" s="31">
        <v>1.75471722E8</v>
      </c>
    </row>
    <row r="41" ht="12.75" customHeight="1">
      <c r="A41" s="27">
        <v>447.0</v>
      </c>
      <c r="B41" s="28" t="s">
        <v>58442</v>
      </c>
      <c r="C41" s="27">
        <v>175.0</v>
      </c>
      <c r="D41" s="28" t="s">
        <v>58443</v>
      </c>
      <c r="E41" s="28" t="s">
        <v>58444</v>
      </c>
      <c r="F41" s="27">
        <v>187.0</v>
      </c>
      <c r="G41" s="27">
        <v>1.75471872E8</v>
      </c>
    </row>
    <row r="42" ht="12.75" customHeight="1">
      <c r="A42" s="31">
        <v>447.0</v>
      </c>
      <c r="B42" s="32" t="s">
        <v>58445</v>
      </c>
      <c r="C42" s="31">
        <v>175.0</v>
      </c>
      <c r="D42" s="32" t="s">
        <v>58446</v>
      </c>
      <c r="E42" s="32" t="s">
        <v>58447</v>
      </c>
      <c r="F42" s="31">
        <v>247.0</v>
      </c>
      <c r="G42" s="31">
        <v>1.75472471E8</v>
      </c>
    </row>
    <row r="43" ht="12.75" customHeight="1">
      <c r="A43" s="27">
        <v>447.0</v>
      </c>
      <c r="B43" s="28" t="s">
        <v>58448</v>
      </c>
      <c r="C43" s="27">
        <v>175.0</v>
      </c>
      <c r="D43" s="28" t="s">
        <v>58449</v>
      </c>
      <c r="E43" s="28" t="s">
        <v>58450</v>
      </c>
      <c r="F43" s="27">
        <v>268.0</v>
      </c>
      <c r="G43" s="27">
        <v>1.75472684E8</v>
      </c>
    </row>
    <row r="44" ht="12.75" customHeight="1">
      <c r="A44" s="31">
        <v>148.0</v>
      </c>
      <c r="B44" s="32" t="s">
        <v>58451</v>
      </c>
      <c r="C44" s="31">
        <v>175.0</v>
      </c>
      <c r="D44" s="32" t="s">
        <v>58452</v>
      </c>
      <c r="E44" s="32" t="s">
        <v>58453</v>
      </c>
      <c r="F44" s="33">
        <v>22.0</v>
      </c>
      <c r="G44" s="31">
        <v>1.75480221E8</v>
      </c>
    </row>
    <row r="45" ht="12.75" customHeight="1">
      <c r="A45" s="27">
        <v>148.0</v>
      </c>
      <c r="B45" s="28" t="s">
        <v>58454</v>
      </c>
      <c r="C45" s="27">
        <v>175.0</v>
      </c>
      <c r="D45" s="28" t="s">
        <v>58455</v>
      </c>
      <c r="E45" s="28" t="s">
        <v>58456</v>
      </c>
      <c r="F45" s="29">
        <v>52.0</v>
      </c>
      <c r="G45" s="27">
        <v>1.75480526E8</v>
      </c>
    </row>
    <row r="46" ht="12.75" customHeight="1">
      <c r="A46" s="31">
        <v>148.0</v>
      </c>
      <c r="B46" s="32" t="s">
        <v>58457</v>
      </c>
      <c r="C46" s="31">
        <v>175.0</v>
      </c>
      <c r="D46" s="32" t="s">
        <v>58458</v>
      </c>
      <c r="E46" s="32" t="s">
        <v>58459</v>
      </c>
      <c r="F46" s="33">
        <v>58.0</v>
      </c>
      <c r="G46" s="31">
        <v>1.75480584E8</v>
      </c>
    </row>
    <row r="47" ht="12.75" customHeight="1">
      <c r="A47" s="27">
        <v>148.0</v>
      </c>
      <c r="B47" s="28" t="s">
        <v>58460</v>
      </c>
      <c r="C47" s="27">
        <v>175.0</v>
      </c>
      <c r="D47" s="28" t="s">
        <v>58461</v>
      </c>
      <c r="E47" s="28" t="s">
        <v>58462</v>
      </c>
      <c r="F47" s="29">
        <v>67.0</v>
      </c>
      <c r="G47" s="27">
        <v>1.75480676E8</v>
      </c>
    </row>
    <row r="48" ht="12.75" customHeight="1">
      <c r="A48" s="31">
        <v>749.0</v>
      </c>
      <c r="B48" s="32" t="s">
        <v>58463</v>
      </c>
      <c r="C48" s="31">
        <v>175.0</v>
      </c>
      <c r="D48" s="32" t="s">
        <v>58464</v>
      </c>
      <c r="E48" s="32" t="s">
        <v>58465</v>
      </c>
      <c r="F48" s="33">
        <v>19.0</v>
      </c>
      <c r="G48" s="31">
        <v>1.7549019E8</v>
      </c>
    </row>
    <row r="49" ht="12.75" customHeight="1">
      <c r="A49" s="27">
        <v>749.0</v>
      </c>
      <c r="B49" s="28" t="s">
        <v>58466</v>
      </c>
      <c r="C49" s="27">
        <v>175.0</v>
      </c>
      <c r="D49" s="28" t="s">
        <v>58467</v>
      </c>
      <c r="E49" s="28" t="s">
        <v>58468</v>
      </c>
      <c r="F49" s="29">
        <v>40.0</v>
      </c>
      <c r="G49" s="27">
        <v>1.75490408E8</v>
      </c>
    </row>
    <row r="50" ht="12.75" customHeight="1">
      <c r="A50" s="31">
        <v>450.0</v>
      </c>
      <c r="B50" s="32" t="s">
        <v>58469</v>
      </c>
      <c r="C50" s="31">
        <v>175.0</v>
      </c>
      <c r="D50" s="32" t="s">
        <v>58470</v>
      </c>
      <c r="E50" s="32" t="s">
        <v>58471</v>
      </c>
      <c r="F50" s="33">
        <v>28.0</v>
      </c>
      <c r="G50" s="31">
        <v>1.7550028E8</v>
      </c>
    </row>
    <row r="51" ht="12.75" customHeight="1">
      <c r="A51" s="27">
        <v>450.0</v>
      </c>
      <c r="B51" s="28" t="s">
        <v>58472</v>
      </c>
      <c r="C51" s="27">
        <v>175.0</v>
      </c>
      <c r="D51" s="28" t="s">
        <v>58473</v>
      </c>
      <c r="E51" s="28" t="s">
        <v>58474</v>
      </c>
      <c r="F51" s="29">
        <v>94.0</v>
      </c>
      <c r="G51" s="27">
        <v>1.75500943E8</v>
      </c>
    </row>
    <row r="52" ht="12.75" customHeight="1">
      <c r="A52" s="31">
        <v>251.0</v>
      </c>
      <c r="B52" s="32" t="s">
        <v>58475</v>
      </c>
      <c r="C52" s="31">
        <v>175.0</v>
      </c>
      <c r="D52" s="32" t="s">
        <v>58476</v>
      </c>
      <c r="E52" s="32" t="s">
        <v>58477</v>
      </c>
      <c r="F52" s="33">
        <v>73.0</v>
      </c>
      <c r="G52" s="31">
        <v>1.75510733E8</v>
      </c>
    </row>
    <row r="53" ht="12.75" customHeight="1">
      <c r="A53" s="27">
        <v>251.0</v>
      </c>
      <c r="B53" s="28" t="s">
        <v>58478</v>
      </c>
      <c r="C53" s="27">
        <v>175.0</v>
      </c>
      <c r="D53" s="28" t="s">
        <v>58479</v>
      </c>
      <c r="E53" s="28" t="s">
        <v>58480</v>
      </c>
      <c r="F53" s="29">
        <v>85.0</v>
      </c>
      <c r="G53" s="27">
        <v>1.75510854E8</v>
      </c>
    </row>
    <row r="54" ht="12.75" customHeight="1">
      <c r="A54" s="31">
        <v>251.0</v>
      </c>
      <c r="B54" s="32" t="s">
        <v>58481</v>
      </c>
      <c r="C54" s="31">
        <v>175.0</v>
      </c>
      <c r="D54" s="32" t="s">
        <v>58482</v>
      </c>
      <c r="E54" s="32" t="s">
        <v>58483</v>
      </c>
      <c r="F54" s="33">
        <v>97.0</v>
      </c>
      <c r="G54" s="31">
        <v>1.75510975E8</v>
      </c>
    </row>
    <row r="55" ht="12.75" customHeight="1">
      <c r="A55" s="27">
        <v>251.0</v>
      </c>
      <c r="B55" s="28" t="s">
        <v>58484</v>
      </c>
      <c r="C55" s="27">
        <v>175.0</v>
      </c>
      <c r="D55" s="28" t="s">
        <v>58485</v>
      </c>
      <c r="E55" s="28" t="s">
        <v>58486</v>
      </c>
      <c r="F55" s="27">
        <v>103.0</v>
      </c>
      <c r="G55" s="27">
        <v>1.75511037E8</v>
      </c>
    </row>
    <row r="56" ht="12.75" customHeight="1">
      <c r="A56" s="31">
        <v>752.0</v>
      </c>
      <c r="B56" s="32" t="s">
        <v>58487</v>
      </c>
      <c r="C56" s="31">
        <v>175.0</v>
      </c>
      <c r="D56" s="32" t="s">
        <v>58488</v>
      </c>
      <c r="E56" s="32" t="s">
        <v>58489</v>
      </c>
      <c r="F56" s="33">
        <v>46.0</v>
      </c>
      <c r="G56" s="31">
        <v>1.7552046E8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752.0</v>
      </c>
      <c r="B1" s="28" t="s">
        <v>58490</v>
      </c>
      <c r="C1" s="27">
        <v>175.0</v>
      </c>
      <c r="D1" s="28" t="s">
        <v>58491</v>
      </c>
      <c r="E1" s="28" t="s">
        <v>58492</v>
      </c>
      <c r="F1" s="29">
        <v>70.0</v>
      </c>
      <c r="G1" s="27">
        <v>1.75520707E8</v>
      </c>
    </row>
    <row r="2" ht="12.75" customHeight="1">
      <c r="A2" s="31">
        <v>354.0</v>
      </c>
      <c r="B2" s="32" t="s">
        <v>58493</v>
      </c>
      <c r="C2" s="31">
        <v>175.0</v>
      </c>
      <c r="D2" s="32" t="s">
        <v>58494</v>
      </c>
      <c r="E2" s="32" t="s">
        <v>58495</v>
      </c>
      <c r="F2" s="33">
        <v>40.0</v>
      </c>
      <c r="G2" s="31">
        <v>1.75540408E8</v>
      </c>
    </row>
    <row r="3" ht="12.75" customHeight="1">
      <c r="A3" s="27">
        <v>354.0</v>
      </c>
      <c r="B3" s="28" t="s">
        <v>58496</v>
      </c>
      <c r="C3" s="27">
        <v>175.0</v>
      </c>
      <c r="D3" s="28" t="s">
        <v>58497</v>
      </c>
      <c r="E3" s="28" t="s">
        <v>58498</v>
      </c>
      <c r="F3" s="29">
        <v>70.0</v>
      </c>
      <c r="G3" s="27">
        <v>1.75540703E8</v>
      </c>
    </row>
    <row r="4" ht="12.75" customHeight="1">
      <c r="A4" s="31">
        <v>455.0</v>
      </c>
      <c r="B4" s="32" t="s">
        <v>58499</v>
      </c>
      <c r="C4" s="31">
        <v>175.0</v>
      </c>
      <c r="D4" s="32" t="s">
        <v>58500</v>
      </c>
      <c r="E4" s="32" t="s">
        <v>58501</v>
      </c>
      <c r="F4" s="33">
        <v>55.0</v>
      </c>
      <c r="G4" s="31">
        <v>1.75550551E8</v>
      </c>
    </row>
    <row r="5" ht="12.75" customHeight="1">
      <c r="A5" s="27">
        <v>156.0</v>
      </c>
      <c r="B5" s="28" t="s">
        <v>58502</v>
      </c>
      <c r="C5" s="27">
        <v>175.0</v>
      </c>
      <c r="D5" s="28" t="s">
        <v>58503</v>
      </c>
      <c r="E5" s="28" t="s">
        <v>58504</v>
      </c>
      <c r="F5" s="29">
        <v>28.0</v>
      </c>
      <c r="G5" s="27">
        <v>1.75560288E8</v>
      </c>
    </row>
    <row r="6" ht="12.75" customHeight="1">
      <c r="A6" s="31">
        <v>156.0</v>
      </c>
      <c r="B6" s="32" t="s">
        <v>58505</v>
      </c>
      <c r="C6" s="31">
        <v>175.0</v>
      </c>
      <c r="D6" s="32" t="s">
        <v>58506</v>
      </c>
      <c r="E6" s="32" t="s">
        <v>58507</v>
      </c>
      <c r="F6" s="33">
        <v>61.0</v>
      </c>
      <c r="G6" s="31">
        <v>1.75560617E8</v>
      </c>
    </row>
    <row r="7" ht="12.75" customHeight="1">
      <c r="A7" s="27">
        <v>156.0</v>
      </c>
      <c r="B7" s="28" t="s">
        <v>58508</v>
      </c>
      <c r="C7" s="27">
        <v>175.0</v>
      </c>
      <c r="D7" s="28" t="s">
        <v>58509</v>
      </c>
      <c r="E7" s="28" t="s">
        <v>58510</v>
      </c>
      <c r="F7" s="29">
        <v>82.0</v>
      </c>
      <c r="G7" s="27">
        <v>1.7556082E8</v>
      </c>
    </row>
    <row r="8" ht="12.75" customHeight="1">
      <c r="A8" s="31">
        <v>457.0</v>
      </c>
      <c r="B8" s="32" t="s">
        <v>58511</v>
      </c>
      <c r="C8" s="31">
        <v>175.0</v>
      </c>
      <c r="D8" s="32" t="s">
        <v>58512</v>
      </c>
      <c r="E8" s="32" t="s">
        <v>58513</v>
      </c>
      <c r="F8" s="33">
        <v>37.0</v>
      </c>
      <c r="G8" s="31">
        <v>1.75570373E8</v>
      </c>
    </row>
    <row r="9" ht="12.75" customHeight="1">
      <c r="A9" s="27">
        <v>858.0</v>
      </c>
      <c r="B9" s="28" t="s">
        <v>58514</v>
      </c>
      <c r="C9" s="27">
        <v>175.0</v>
      </c>
      <c r="D9" s="28" t="s">
        <v>58515</v>
      </c>
      <c r="E9" s="28" t="s">
        <v>58516</v>
      </c>
      <c r="F9" s="29">
        <v>4.0</v>
      </c>
      <c r="G9" s="27">
        <v>1.75580042E8</v>
      </c>
    </row>
    <row r="10" ht="12.75" customHeight="1">
      <c r="A10" s="31">
        <v>858.0</v>
      </c>
      <c r="B10" s="32" t="s">
        <v>58517</v>
      </c>
      <c r="C10" s="31">
        <v>175.0</v>
      </c>
      <c r="D10" s="32" t="s">
        <v>58518</v>
      </c>
      <c r="E10" s="32" t="s">
        <v>58519</v>
      </c>
      <c r="F10" s="33">
        <v>6.0</v>
      </c>
      <c r="G10" s="31">
        <v>1.75580068E8</v>
      </c>
    </row>
    <row r="11" ht="12.75" customHeight="1">
      <c r="A11" s="27">
        <v>858.0</v>
      </c>
      <c r="B11" s="28" t="s">
        <v>58520</v>
      </c>
      <c r="C11" s="27">
        <v>175.0</v>
      </c>
      <c r="D11" s="28" t="s">
        <v>58521</v>
      </c>
      <c r="E11" s="28" t="s">
        <v>58522</v>
      </c>
      <c r="F11" s="29">
        <v>10.0</v>
      </c>
      <c r="G11" s="27">
        <v>1.75580105E8</v>
      </c>
    </row>
    <row r="12" ht="12.75" customHeight="1">
      <c r="A12" s="31">
        <v>858.0</v>
      </c>
      <c r="B12" s="32" t="s">
        <v>58523</v>
      </c>
      <c r="C12" s="31">
        <v>175.0</v>
      </c>
      <c r="D12" s="32" t="s">
        <v>58524</v>
      </c>
      <c r="E12" s="32" t="s">
        <v>58525</v>
      </c>
      <c r="F12" s="33">
        <v>25.0</v>
      </c>
      <c r="G12" s="31">
        <v>1.75580255E8</v>
      </c>
    </row>
    <row r="13" ht="12.75" customHeight="1">
      <c r="A13" s="27">
        <v>858.0</v>
      </c>
      <c r="B13" s="28" t="s">
        <v>58526</v>
      </c>
      <c r="C13" s="27">
        <v>175.0</v>
      </c>
      <c r="D13" s="28" t="s">
        <v>58527</v>
      </c>
      <c r="E13" s="28" t="s">
        <v>58528</v>
      </c>
      <c r="F13" s="29">
        <v>37.0</v>
      </c>
      <c r="G13" s="27">
        <v>1.75580376E8</v>
      </c>
    </row>
    <row r="14" ht="12.75" customHeight="1">
      <c r="A14" s="31">
        <v>858.0</v>
      </c>
      <c r="B14" s="32" t="s">
        <v>58529</v>
      </c>
      <c r="C14" s="31">
        <v>175.0</v>
      </c>
      <c r="D14" s="32" t="s">
        <v>58530</v>
      </c>
      <c r="E14" s="32" t="s">
        <v>58531</v>
      </c>
      <c r="F14" s="33">
        <v>43.0</v>
      </c>
      <c r="G14" s="31">
        <v>1.75580439E8</v>
      </c>
    </row>
    <row r="15" ht="12.75" customHeight="1">
      <c r="A15" s="27">
        <v>858.0</v>
      </c>
      <c r="B15" s="28" t="s">
        <v>58532</v>
      </c>
      <c r="C15" s="27">
        <v>175.0</v>
      </c>
      <c r="D15" s="28" t="s">
        <v>58533</v>
      </c>
      <c r="E15" s="28" t="s">
        <v>58534</v>
      </c>
      <c r="F15" s="29">
        <v>49.0</v>
      </c>
      <c r="G15" s="27">
        <v>1.75580497E8</v>
      </c>
    </row>
    <row r="16" ht="12.75" customHeight="1">
      <c r="A16" s="31">
        <v>858.0</v>
      </c>
      <c r="B16" s="32" t="s">
        <v>58535</v>
      </c>
      <c r="C16" s="31">
        <v>175.0</v>
      </c>
      <c r="D16" s="32" t="s">
        <v>58536</v>
      </c>
      <c r="E16" s="32" t="s">
        <v>58537</v>
      </c>
      <c r="F16" s="33">
        <v>65.0</v>
      </c>
      <c r="G16" s="31">
        <v>1.75580655E8</v>
      </c>
    </row>
    <row r="17" ht="12.75" customHeight="1">
      <c r="A17" s="27">
        <v>858.0</v>
      </c>
      <c r="B17" s="28" t="s">
        <v>58538</v>
      </c>
      <c r="C17" s="27">
        <v>175.0</v>
      </c>
      <c r="D17" s="28" t="s">
        <v>58539</v>
      </c>
      <c r="E17" s="28" t="s">
        <v>58540</v>
      </c>
      <c r="F17" s="29">
        <v>67.0</v>
      </c>
      <c r="G17" s="27">
        <v>1.75580671E8</v>
      </c>
    </row>
    <row r="18" ht="12.75" customHeight="1">
      <c r="A18" s="31">
        <v>858.0</v>
      </c>
      <c r="B18" s="32" t="s">
        <v>58541</v>
      </c>
      <c r="C18" s="31">
        <v>175.0</v>
      </c>
      <c r="D18" s="32" t="s">
        <v>58542</v>
      </c>
      <c r="E18" s="32" t="s">
        <v>58543</v>
      </c>
      <c r="F18" s="33">
        <v>76.0</v>
      </c>
      <c r="G18" s="31">
        <v>1.75580763E8</v>
      </c>
    </row>
    <row r="19" ht="12.75" customHeight="1">
      <c r="A19" s="27">
        <v>858.0</v>
      </c>
      <c r="B19" s="28" t="s">
        <v>58544</v>
      </c>
      <c r="C19" s="27">
        <v>175.0</v>
      </c>
      <c r="D19" s="28" t="s">
        <v>58545</v>
      </c>
      <c r="E19" s="28" t="s">
        <v>58546</v>
      </c>
      <c r="F19" s="29">
        <v>94.0</v>
      </c>
      <c r="G19" s="27">
        <v>1.75580947E8</v>
      </c>
    </row>
    <row r="20" ht="12.75" customHeight="1">
      <c r="A20" s="31">
        <v>858.0</v>
      </c>
      <c r="B20" s="32" t="s">
        <v>58547</v>
      </c>
      <c r="C20" s="31">
        <v>175.0</v>
      </c>
      <c r="D20" s="32" t="s">
        <v>58548</v>
      </c>
      <c r="E20" s="32" t="s">
        <v>58549</v>
      </c>
      <c r="F20" s="31">
        <v>118.0</v>
      </c>
      <c r="G20" s="31">
        <v>1.75581188E8</v>
      </c>
    </row>
    <row r="21" ht="12.75" customHeight="1">
      <c r="A21" s="27">
        <v>858.0</v>
      </c>
      <c r="B21" s="28" t="s">
        <v>58550</v>
      </c>
      <c r="C21" s="27">
        <v>175.0</v>
      </c>
      <c r="D21" s="28" t="s">
        <v>58551</v>
      </c>
      <c r="E21" s="28" t="s">
        <v>58552</v>
      </c>
      <c r="F21" s="27">
        <v>124.0</v>
      </c>
      <c r="G21" s="27">
        <v>1.75581241E8</v>
      </c>
    </row>
    <row r="22" ht="12.75" customHeight="1">
      <c r="A22" s="31">
        <v>858.0</v>
      </c>
      <c r="B22" s="32" t="s">
        <v>58553</v>
      </c>
      <c r="C22" s="31">
        <v>175.0</v>
      </c>
      <c r="D22" s="32" t="s">
        <v>58554</v>
      </c>
      <c r="E22" s="32" t="s">
        <v>58555</v>
      </c>
      <c r="F22" s="31">
        <v>160.0</v>
      </c>
      <c r="G22" s="31">
        <v>1.75581609E8</v>
      </c>
    </row>
    <row r="23" ht="12.75" customHeight="1">
      <c r="A23" s="27">
        <v>858.0</v>
      </c>
      <c r="B23" s="28" t="s">
        <v>58556</v>
      </c>
      <c r="C23" s="27">
        <v>175.0</v>
      </c>
      <c r="D23" s="28" t="s">
        <v>58557</v>
      </c>
      <c r="E23" s="28" t="s">
        <v>58558</v>
      </c>
      <c r="F23" s="27">
        <v>166.0</v>
      </c>
      <c r="G23" s="27">
        <v>1.75581667E8</v>
      </c>
    </row>
    <row r="24" ht="12.75" customHeight="1">
      <c r="A24" s="31">
        <v>858.0</v>
      </c>
      <c r="B24" s="32" t="s">
        <v>58559</v>
      </c>
      <c r="C24" s="31">
        <v>175.0</v>
      </c>
      <c r="D24" s="32" t="s">
        <v>58560</v>
      </c>
      <c r="E24" s="32" t="s">
        <v>58561</v>
      </c>
      <c r="F24" s="31">
        <v>172.0</v>
      </c>
      <c r="G24" s="31">
        <v>1.7558172E8</v>
      </c>
    </row>
    <row r="25" ht="12.75" customHeight="1">
      <c r="A25" s="27">
        <v>858.0</v>
      </c>
      <c r="B25" s="28" t="s">
        <v>58562</v>
      </c>
      <c r="C25" s="27">
        <v>175.0</v>
      </c>
      <c r="D25" s="28" t="s">
        <v>58563</v>
      </c>
      <c r="E25" s="28" t="s">
        <v>58564</v>
      </c>
      <c r="F25" s="27">
        <v>178.0</v>
      </c>
      <c r="G25" s="27">
        <v>1.75581788E8</v>
      </c>
    </row>
    <row r="26" ht="12.75" customHeight="1">
      <c r="A26" s="31">
        <v>858.0</v>
      </c>
      <c r="B26" s="32" t="s">
        <v>58565</v>
      </c>
      <c r="C26" s="31">
        <v>175.0</v>
      </c>
      <c r="D26" s="32" t="s">
        <v>58566</v>
      </c>
      <c r="E26" s="32" t="s">
        <v>58567</v>
      </c>
      <c r="F26" s="31">
        <v>184.0</v>
      </c>
      <c r="G26" s="31">
        <v>1.75581841E8</v>
      </c>
    </row>
    <row r="27" ht="12.75" customHeight="1">
      <c r="A27" s="27">
        <v>159.0</v>
      </c>
      <c r="B27" s="28" t="s">
        <v>58568</v>
      </c>
      <c r="C27" s="27">
        <v>175.0</v>
      </c>
      <c r="D27" s="28" t="s">
        <v>58569</v>
      </c>
      <c r="E27" s="28" t="s">
        <v>58570</v>
      </c>
      <c r="F27" s="29">
        <v>28.0</v>
      </c>
      <c r="G27" s="27">
        <v>1.75590287E8</v>
      </c>
    </row>
    <row r="28" ht="12.75" customHeight="1">
      <c r="A28" s="31">
        <v>159.0</v>
      </c>
      <c r="B28" s="32" t="s">
        <v>58571</v>
      </c>
      <c r="C28" s="31">
        <v>175.0</v>
      </c>
      <c r="D28" s="32" t="s">
        <v>58572</v>
      </c>
      <c r="E28" s="32" t="s">
        <v>58573</v>
      </c>
      <c r="F28" s="33">
        <v>37.0</v>
      </c>
      <c r="G28" s="31">
        <v>1.75590379E8</v>
      </c>
    </row>
    <row r="29" ht="12.75" customHeight="1">
      <c r="A29" s="27">
        <v>159.0</v>
      </c>
      <c r="B29" s="28" t="s">
        <v>58574</v>
      </c>
      <c r="C29" s="27">
        <v>175.0</v>
      </c>
      <c r="D29" s="28" t="s">
        <v>58575</v>
      </c>
      <c r="E29" s="28" t="s">
        <v>58576</v>
      </c>
      <c r="F29" s="29">
        <v>46.0</v>
      </c>
      <c r="G29" s="27">
        <v>1.75590461E8</v>
      </c>
    </row>
    <row r="30" ht="12.75" customHeight="1">
      <c r="A30" s="31">
        <v>159.0</v>
      </c>
      <c r="B30" s="32" t="s">
        <v>58577</v>
      </c>
      <c r="C30" s="31">
        <v>175.0</v>
      </c>
      <c r="D30" s="32" t="s">
        <v>58578</v>
      </c>
      <c r="E30" s="32" t="s">
        <v>58579</v>
      </c>
      <c r="F30" s="33">
        <v>76.0</v>
      </c>
      <c r="G30" s="31">
        <v>1.75590766E8</v>
      </c>
    </row>
    <row r="31" ht="12.75" customHeight="1">
      <c r="A31" s="27">
        <v>159.0</v>
      </c>
      <c r="B31" s="28" t="s">
        <v>58580</v>
      </c>
      <c r="C31" s="27">
        <v>175.0</v>
      </c>
      <c r="D31" s="28" t="s">
        <v>58581</v>
      </c>
      <c r="E31" s="28" t="s">
        <v>58582</v>
      </c>
      <c r="F31" s="27">
        <v>103.0</v>
      </c>
      <c r="G31" s="27">
        <v>1.75591031E8</v>
      </c>
    </row>
    <row r="32" ht="12.75" customHeight="1">
      <c r="A32" s="31">
        <v>159.0</v>
      </c>
      <c r="B32" s="32" t="s">
        <v>58583</v>
      </c>
      <c r="C32" s="31">
        <v>175.0</v>
      </c>
      <c r="D32" s="32" t="s">
        <v>58584</v>
      </c>
      <c r="E32" s="32" t="s">
        <v>58585</v>
      </c>
      <c r="F32" s="31">
        <v>109.0</v>
      </c>
      <c r="G32" s="31">
        <v>1.75591099E8</v>
      </c>
    </row>
    <row r="33" ht="12.75" customHeight="1">
      <c r="A33" s="27">
        <v>159.0</v>
      </c>
      <c r="B33" s="28" t="s">
        <v>58586</v>
      </c>
      <c r="C33" s="27">
        <v>175.0</v>
      </c>
      <c r="D33" s="28" t="s">
        <v>58587</v>
      </c>
      <c r="E33" s="28" t="s">
        <v>58588</v>
      </c>
      <c r="F33" s="27">
        <v>112.0</v>
      </c>
      <c r="G33" s="27">
        <v>1.75591123E8</v>
      </c>
    </row>
    <row r="34" ht="12.75" customHeight="1">
      <c r="A34" s="31">
        <v>159.0</v>
      </c>
      <c r="B34" s="32" t="s">
        <v>58589</v>
      </c>
      <c r="C34" s="31">
        <v>175.0</v>
      </c>
      <c r="D34" s="32" t="s">
        <v>58590</v>
      </c>
      <c r="E34" s="32" t="s">
        <v>58591</v>
      </c>
      <c r="F34" s="31">
        <v>143.0</v>
      </c>
      <c r="G34" s="31">
        <v>1.75591431E8</v>
      </c>
    </row>
    <row r="35" ht="12.75" customHeight="1">
      <c r="A35" s="27">
        <v>161.0</v>
      </c>
      <c r="B35" s="28" t="s">
        <v>58592</v>
      </c>
      <c r="C35" s="27">
        <v>175.0</v>
      </c>
      <c r="D35" s="28" t="s">
        <v>58593</v>
      </c>
      <c r="E35" s="28" t="s">
        <v>58594</v>
      </c>
      <c r="F35" s="29">
        <v>31.0</v>
      </c>
      <c r="G35" s="27">
        <v>1.75610312E8</v>
      </c>
    </row>
    <row r="36" ht="12.75" customHeight="1">
      <c r="A36" s="31">
        <v>161.0</v>
      </c>
      <c r="B36" s="32" t="s">
        <v>58595</v>
      </c>
      <c r="C36" s="31">
        <v>175.0</v>
      </c>
      <c r="D36" s="32" t="s">
        <v>58596</v>
      </c>
      <c r="E36" s="32" t="s">
        <v>58597</v>
      </c>
      <c r="F36" s="33">
        <v>49.0</v>
      </c>
      <c r="G36" s="31">
        <v>1.75610491E8</v>
      </c>
    </row>
    <row r="37" ht="12.75" customHeight="1">
      <c r="A37" s="27">
        <v>161.0</v>
      </c>
      <c r="B37" s="28" t="s">
        <v>58598</v>
      </c>
      <c r="C37" s="27">
        <v>175.0</v>
      </c>
      <c r="D37" s="28" t="s">
        <v>58599</v>
      </c>
      <c r="E37" s="28" t="s">
        <v>58600</v>
      </c>
      <c r="F37" s="29">
        <v>64.0</v>
      </c>
      <c r="G37" s="27">
        <v>1.75610646E8</v>
      </c>
    </row>
    <row r="38" ht="12.75" customHeight="1">
      <c r="A38" s="31">
        <v>161.0</v>
      </c>
      <c r="B38" s="32" t="s">
        <v>58601</v>
      </c>
      <c r="C38" s="31">
        <v>175.0</v>
      </c>
      <c r="D38" s="32" t="s">
        <v>58602</v>
      </c>
      <c r="E38" s="32" t="s">
        <v>58603</v>
      </c>
      <c r="F38" s="31">
        <v>169.0</v>
      </c>
      <c r="G38" s="31">
        <v>1.7561169E8</v>
      </c>
    </row>
    <row r="39" ht="12.75" customHeight="1">
      <c r="A39" s="27">
        <v>161.0</v>
      </c>
      <c r="B39" s="28" t="s">
        <v>58604</v>
      </c>
      <c r="C39" s="27">
        <v>175.0</v>
      </c>
      <c r="D39" s="28" t="s">
        <v>58605</v>
      </c>
      <c r="E39" s="28" t="s">
        <v>58606</v>
      </c>
      <c r="F39" s="27">
        <v>184.0</v>
      </c>
      <c r="G39" s="27">
        <v>1.75611845E8</v>
      </c>
    </row>
    <row r="40" ht="12.75" customHeight="1">
      <c r="A40" s="31">
        <v>161.0</v>
      </c>
      <c r="B40" s="32" t="s">
        <v>58607</v>
      </c>
      <c r="C40" s="31">
        <v>175.0</v>
      </c>
      <c r="D40" s="32" t="s">
        <v>58608</v>
      </c>
      <c r="E40" s="32" t="s">
        <v>58609</v>
      </c>
      <c r="F40" s="31">
        <v>220.0</v>
      </c>
      <c r="G40" s="31">
        <v>1.75612202E8</v>
      </c>
    </row>
    <row r="41" ht="12.75" customHeight="1">
      <c r="A41" s="27">
        <v>161.0</v>
      </c>
      <c r="B41" s="28" t="s">
        <v>58610</v>
      </c>
      <c r="C41" s="27">
        <v>175.0</v>
      </c>
      <c r="D41" s="28" t="s">
        <v>58611</v>
      </c>
      <c r="E41" s="28" t="s">
        <v>58612</v>
      </c>
      <c r="F41" s="27">
        <v>223.0</v>
      </c>
      <c r="G41" s="27">
        <v>1.75612231E8</v>
      </c>
    </row>
    <row r="42" ht="12.75" customHeight="1">
      <c r="A42" s="31">
        <v>161.0</v>
      </c>
      <c r="B42" s="32" t="s">
        <v>58613</v>
      </c>
      <c r="C42" s="31">
        <v>175.0</v>
      </c>
      <c r="D42" s="32" t="s">
        <v>58614</v>
      </c>
      <c r="E42" s="32" t="s">
        <v>58615</v>
      </c>
      <c r="F42" s="31">
        <v>241.0</v>
      </c>
      <c r="G42" s="31">
        <v>1.75612415E8</v>
      </c>
    </row>
    <row r="43" ht="12.75" customHeight="1">
      <c r="A43" s="27">
        <v>564.0</v>
      </c>
      <c r="B43" s="28" t="s">
        <v>58616</v>
      </c>
      <c r="C43" s="27">
        <v>175.0</v>
      </c>
      <c r="D43" s="28" t="s">
        <v>58617</v>
      </c>
      <c r="E43" s="28" t="s">
        <v>58618</v>
      </c>
      <c r="F43" s="29">
        <v>5.0</v>
      </c>
      <c r="G43" s="27">
        <v>1.75640058E8</v>
      </c>
    </row>
    <row r="44" ht="12.75" customHeight="1">
      <c r="A44" s="31">
        <v>564.0</v>
      </c>
      <c r="B44" s="32" t="s">
        <v>58619</v>
      </c>
      <c r="C44" s="31">
        <v>175.0</v>
      </c>
      <c r="D44" s="32" t="s">
        <v>58620</v>
      </c>
      <c r="E44" s="32" t="s">
        <v>58621</v>
      </c>
      <c r="F44" s="31">
        <v>109.0</v>
      </c>
      <c r="G44" s="31">
        <v>1.75641099E8</v>
      </c>
    </row>
    <row r="45" ht="12.75" customHeight="1">
      <c r="A45" s="27">
        <v>564.0</v>
      </c>
      <c r="B45" s="28" t="s">
        <v>58622</v>
      </c>
      <c r="C45" s="27">
        <v>175.0</v>
      </c>
      <c r="D45" s="28" t="s">
        <v>58623</v>
      </c>
      <c r="E45" s="28" t="s">
        <v>58624</v>
      </c>
      <c r="F45" s="27">
        <v>118.0</v>
      </c>
      <c r="G45" s="27">
        <v>1.75641181E8</v>
      </c>
    </row>
    <row r="46" ht="12.75" customHeight="1">
      <c r="A46" s="31">
        <v>465.0</v>
      </c>
      <c r="B46" s="32" t="s">
        <v>58625</v>
      </c>
      <c r="C46" s="31">
        <v>175.0</v>
      </c>
      <c r="D46" s="32" t="s">
        <v>58626</v>
      </c>
      <c r="E46" s="32" t="s">
        <v>58627</v>
      </c>
      <c r="F46" s="33">
        <v>64.0</v>
      </c>
      <c r="G46" s="31">
        <v>1.75650648E8</v>
      </c>
    </row>
    <row r="47" ht="12.75" customHeight="1">
      <c r="A47" s="27">
        <v>167.0</v>
      </c>
      <c r="B47" s="28" t="s">
        <v>58628</v>
      </c>
      <c r="C47" s="27">
        <v>175.0</v>
      </c>
      <c r="D47" s="28" t="s">
        <v>58629</v>
      </c>
      <c r="E47" s="28" t="s">
        <v>58630</v>
      </c>
      <c r="F47" s="29">
        <v>4.0</v>
      </c>
      <c r="G47" s="27">
        <v>1.75670044E8</v>
      </c>
    </row>
    <row r="48" ht="12.75" customHeight="1">
      <c r="A48" s="31">
        <v>167.0</v>
      </c>
      <c r="B48" s="32" t="s">
        <v>58631</v>
      </c>
      <c r="C48" s="31">
        <v>175.0</v>
      </c>
      <c r="D48" s="32" t="s">
        <v>58632</v>
      </c>
      <c r="E48" s="32" t="s">
        <v>58633</v>
      </c>
      <c r="F48" s="33">
        <v>49.0</v>
      </c>
      <c r="G48" s="31">
        <v>1.75670499E8</v>
      </c>
    </row>
    <row r="49" ht="12.75" customHeight="1">
      <c r="A49" s="27">
        <v>167.0</v>
      </c>
      <c r="B49" s="28" t="s">
        <v>58634</v>
      </c>
      <c r="C49" s="27">
        <v>175.0</v>
      </c>
      <c r="D49" s="28" t="s">
        <v>58635</v>
      </c>
      <c r="E49" s="28" t="s">
        <v>58636</v>
      </c>
      <c r="F49" s="29">
        <v>73.0</v>
      </c>
      <c r="G49" s="27">
        <v>1.75670736E8</v>
      </c>
    </row>
    <row r="50" ht="12.75" customHeight="1">
      <c r="A50" s="31">
        <v>167.0</v>
      </c>
      <c r="B50" s="32" t="s">
        <v>58637</v>
      </c>
      <c r="C50" s="31">
        <v>175.0</v>
      </c>
      <c r="D50" s="32" t="s">
        <v>58638</v>
      </c>
      <c r="E50" s="32" t="s">
        <v>58639</v>
      </c>
      <c r="F50" s="31">
        <v>118.0</v>
      </c>
      <c r="G50" s="31">
        <v>1.7567118E8</v>
      </c>
    </row>
    <row r="51" ht="12.75" customHeight="1">
      <c r="A51" s="27">
        <v>167.0</v>
      </c>
      <c r="B51" s="28" t="s">
        <v>58640</v>
      </c>
      <c r="C51" s="27">
        <v>175.0</v>
      </c>
      <c r="D51" s="28" t="s">
        <v>58641</v>
      </c>
      <c r="E51" s="28" t="s">
        <v>58642</v>
      </c>
      <c r="F51" s="27">
        <v>127.0</v>
      </c>
      <c r="G51" s="27">
        <v>1.75671272E8</v>
      </c>
    </row>
    <row r="52" ht="12.75" customHeight="1">
      <c r="A52" s="31">
        <v>167.0</v>
      </c>
      <c r="B52" s="32" t="s">
        <v>58643</v>
      </c>
      <c r="C52" s="31">
        <v>175.0</v>
      </c>
      <c r="D52" s="32" t="s">
        <v>58644</v>
      </c>
      <c r="E52" s="32" t="s">
        <v>58645</v>
      </c>
      <c r="F52" s="31">
        <v>155.0</v>
      </c>
      <c r="G52" s="31">
        <v>1.75671551E8</v>
      </c>
    </row>
    <row r="53" ht="12.75" customHeight="1">
      <c r="A53" s="27">
        <v>167.0</v>
      </c>
      <c r="B53" s="28" t="s">
        <v>58646</v>
      </c>
      <c r="C53" s="27">
        <v>175.0</v>
      </c>
      <c r="D53" s="28" t="s">
        <v>58647</v>
      </c>
      <c r="E53" s="28" t="s">
        <v>58648</v>
      </c>
      <c r="F53" s="27">
        <v>175.0</v>
      </c>
      <c r="G53" s="27">
        <v>1.75671751E8</v>
      </c>
    </row>
    <row r="54" ht="12.75" customHeight="1">
      <c r="A54" s="31">
        <v>168.0</v>
      </c>
      <c r="B54" s="32" t="s">
        <v>58649</v>
      </c>
      <c r="C54" s="31">
        <v>175.0</v>
      </c>
      <c r="D54" s="32" t="s">
        <v>58650</v>
      </c>
      <c r="E54" s="32" t="s">
        <v>58651</v>
      </c>
      <c r="F54" s="33">
        <v>25.0</v>
      </c>
      <c r="G54" s="31">
        <v>1.7568025E8</v>
      </c>
    </row>
    <row r="55" ht="12.75" customHeight="1">
      <c r="A55" s="27">
        <v>168.0</v>
      </c>
      <c r="B55" s="28" t="s">
        <v>58652</v>
      </c>
      <c r="C55" s="27">
        <v>175.0</v>
      </c>
      <c r="D55" s="28" t="s">
        <v>58653</v>
      </c>
      <c r="E55" s="28" t="s">
        <v>58654</v>
      </c>
      <c r="F55" s="29">
        <v>34.0</v>
      </c>
      <c r="G55" s="27">
        <v>1.75680342E8</v>
      </c>
    </row>
    <row r="56" ht="12.75" customHeight="1">
      <c r="A56" s="31">
        <v>168.0</v>
      </c>
      <c r="B56" s="32" t="s">
        <v>58655</v>
      </c>
      <c r="C56" s="31">
        <v>175.0</v>
      </c>
      <c r="D56" s="32" t="s">
        <v>58656</v>
      </c>
      <c r="E56" s="32" t="s">
        <v>58657</v>
      </c>
      <c r="F56" s="33">
        <v>49.0</v>
      </c>
      <c r="G56" s="31">
        <v>1.75680492E8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168.0</v>
      </c>
      <c r="B1" s="28" t="s">
        <v>58658</v>
      </c>
      <c r="C1" s="27">
        <v>175.0</v>
      </c>
      <c r="D1" s="28" t="s">
        <v>58659</v>
      </c>
      <c r="E1" s="28" t="s">
        <v>58660</v>
      </c>
      <c r="F1" s="29">
        <v>67.0</v>
      </c>
      <c r="G1" s="27">
        <v>1.75680676E8</v>
      </c>
    </row>
    <row r="2" ht="12.75" customHeight="1">
      <c r="A2" s="31">
        <v>168.0</v>
      </c>
      <c r="B2" s="32" t="s">
        <v>58661</v>
      </c>
      <c r="C2" s="31">
        <v>175.0</v>
      </c>
      <c r="D2" s="32" t="s">
        <v>58662</v>
      </c>
      <c r="E2" s="32" t="s">
        <v>58663</v>
      </c>
      <c r="F2" s="33">
        <v>85.0</v>
      </c>
      <c r="G2" s="31">
        <v>1.7568085E8</v>
      </c>
    </row>
    <row r="3" ht="12.75" customHeight="1">
      <c r="A3" s="27">
        <v>168.0</v>
      </c>
      <c r="B3" s="28" t="s">
        <v>58664</v>
      </c>
      <c r="C3" s="27">
        <v>175.0</v>
      </c>
      <c r="D3" s="28" t="s">
        <v>58665</v>
      </c>
      <c r="E3" s="28" t="s">
        <v>58666</v>
      </c>
      <c r="F3" s="29">
        <v>91.0</v>
      </c>
      <c r="G3" s="27">
        <v>1.75680913E8</v>
      </c>
    </row>
    <row r="4" ht="12.75" customHeight="1">
      <c r="A4" s="31">
        <v>168.0</v>
      </c>
      <c r="B4" s="32" t="s">
        <v>58667</v>
      </c>
      <c r="C4" s="31">
        <v>175.0</v>
      </c>
      <c r="D4" s="32" t="s">
        <v>58668</v>
      </c>
      <c r="E4" s="32" t="s">
        <v>58669</v>
      </c>
      <c r="F4" s="31">
        <v>109.0</v>
      </c>
      <c r="G4" s="31">
        <v>1.75681091E8</v>
      </c>
    </row>
    <row r="5" ht="12.75" customHeight="1">
      <c r="A5" s="27">
        <v>569.0</v>
      </c>
      <c r="B5" s="28" t="s">
        <v>58670</v>
      </c>
      <c r="C5" s="27">
        <v>175.0</v>
      </c>
      <c r="D5" s="28" t="s">
        <v>58671</v>
      </c>
      <c r="E5" s="28" t="s">
        <v>58672</v>
      </c>
      <c r="F5" s="29">
        <v>85.0</v>
      </c>
      <c r="G5" s="27">
        <v>1.75690853E8</v>
      </c>
    </row>
    <row r="6" ht="12.75" customHeight="1">
      <c r="A6" s="31">
        <v>569.0</v>
      </c>
      <c r="B6" s="32" t="s">
        <v>58673</v>
      </c>
      <c r="C6" s="31">
        <v>175.0</v>
      </c>
      <c r="D6" s="32" t="s">
        <v>58674</v>
      </c>
      <c r="E6" s="32" t="s">
        <v>58675</v>
      </c>
      <c r="F6" s="31">
        <v>109.0</v>
      </c>
      <c r="G6" s="31">
        <v>1.75691094E8</v>
      </c>
    </row>
    <row r="7" ht="12.75" customHeight="1">
      <c r="A7" s="27">
        <v>570.0</v>
      </c>
      <c r="B7" s="28" t="s">
        <v>58676</v>
      </c>
      <c r="C7" s="27">
        <v>175.0</v>
      </c>
      <c r="D7" s="28" t="s">
        <v>58677</v>
      </c>
      <c r="E7" s="28" t="s">
        <v>58678</v>
      </c>
      <c r="F7" s="29">
        <v>25.0</v>
      </c>
      <c r="G7" s="27">
        <v>1.75700251E8</v>
      </c>
    </row>
    <row r="8" ht="12.75" customHeight="1">
      <c r="A8" s="31">
        <v>570.0</v>
      </c>
      <c r="B8" s="32" t="s">
        <v>58679</v>
      </c>
      <c r="C8" s="31">
        <v>175.0</v>
      </c>
      <c r="D8" s="32" t="s">
        <v>58680</v>
      </c>
      <c r="E8" s="32" t="s">
        <v>58681</v>
      </c>
      <c r="F8" s="33">
        <v>64.0</v>
      </c>
      <c r="G8" s="31">
        <v>1.75700648E8</v>
      </c>
    </row>
    <row r="9" ht="12.75" customHeight="1">
      <c r="A9" s="27">
        <v>172.0</v>
      </c>
      <c r="B9" s="28" t="s">
        <v>58682</v>
      </c>
      <c r="C9" s="27">
        <v>175.0</v>
      </c>
      <c r="D9" s="28" t="s">
        <v>58683</v>
      </c>
      <c r="E9" s="28" t="s">
        <v>58684</v>
      </c>
      <c r="F9" s="29">
        <v>61.0</v>
      </c>
      <c r="G9" s="27">
        <v>1.75720615E8</v>
      </c>
    </row>
    <row r="10" ht="12.75" customHeight="1">
      <c r="A10" s="31">
        <v>172.0</v>
      </c>
      <c r="B10" s="32" t="s">
        <v>58685</v>
      </c>
      <c r="C10" s="31">
        <v>175.0</v>
      </c>
      <c r="D10" s="32" t="s">
        <v>58686</v>
      </c>
      <c r="E10" s="32" t="s">
        <v>58687</v>
      </c>
      <c r="F10" s="33">
        <v>67.0</v>
      </c>
      <c r="G10" s="31">
        <v>1.75720673E8</v>
      </c>
    </row>
    <row r="11" ht="12.75" customHeight="1">
      <c r="A11" s="27">
        <v>172.0</v>
      </c>
      <c r="B11" s="28" t="s">
        <v>58688</v>
      </c>
      <c r="C11" s="27">
        <v>175.0</v>
      </c>
      <c r="D11" s="28" t="s">
        <v>58689</v>
      </c>
      <c r="E11" s="28" t="s">
        <v>58690</v>
      </c>
      <c r="F11" s="29">
        <v>73.0</v>
      </c>
      <c r="G11" s="27">
        <v>1.75720736E8</v>
      </c>
    </row>
    <row r="12" ht="12.75" customHeight="1">
      <c r="A12" s="31">
        <v>773.0</v>
      </c>
      <c r="B12" s="32" t="s">
        <v>58691</v>
      </c>
      <c r="C12" s="31">
        <v>175.0</v>
      </c>
      <c r="D12" s="32" t="s">
        <v>58692</v>
      </c>
      <c r="E12" s="32" t="s">
        <v>58693</v>
      </c>
      <c r="F12" s="33">
        <v>5.0</v>
      </c>
      <c r="G12" s="31">
        <v>1.7573005E8</v>
      </c>
    </row>
    <row r="13" ht="12.75" customHeight="1">
      <c r="A13" s="27">
        <v>773.0</v>
      </c>
      <c r="B13" s="28" t="s">
        <v>58694</v>
      </c>
      <c r="C13" s="27">
        <v>175.0</v>
      </c>
      <c r="D13" s="28" t="s">
        <v>58695</v>
      </c>
      <c r="E13" s="28" t="s">
        <v>58696</v>
      </c>
      <c r="F13" s="29">
        <v>73.0</v>
      </c>
      <c r="G13" s="27">
        <v>1.75730739E8</v>
      </c>
    </row>
    <row r="14" ht="12.75" customHeight="1">
      <c r="A14" s="31">
        <v>773.0</v>
      </c>
      <c r="B14" s="32" t="s">
        <v>58697</v>
      </c>
      <c r="C14" s="31">
        <v>175.0</v>
      </c>
      <c r="D14" s="32" t="s">
        <v>58698</v>
      </c>
      <c r="E14" s="32" t="s">
        <v>58699</v>
      </c>
      <c r="F14" s="33">
        <v>79.0</v>
      </c>
      <c r="G14" s="31">
        <v>1.75730797E8</v>
      </c>
    </row>
    <row r="15" ht="12.75" customHeight="1">
      <c r="A15" s="27">
        <v>275.0</v>
      </c>
      <c r="B15" s="28" t="s">
        <v>58700</v>
      </c>
      <c r="C15" s="27">
        <v>175.0</v>
      </c>
      <c r="D15" s="28" t="s">
        <v>58701</v>
      </c>
      <c r="E15" s="28" t="s">
        <v>58702</v>
      </c>
      <c r="F15" s="29">
        <v>4.0</v>
      </c>
      <c r="G15" s="27">
        <v>1.75750043E8</v>
      </c>
    </row>
    <row r="16" ht="12.75" customHeight="1">
      <c r="A16" s="31">
        <v>275.0</v>
      </c>
      <c r="B16" s="32" t="s">
        <v>58703</v>
      </c>
      <c r="C16" s="31">
        <v>175.0</v>
      </c>
      <c r="D16" s="32" t="s">
        <v>58704</v>
      </c>
      <c r="E16" s="32" t="s">
        <v>58705</v>
      </c>
      <c r="F16" s="33">
        <v>25.0</v>
      </c>
      <c r="G16" s="31">
        <v>1.75750256E8</v>
      </c>
    </row>
    <row r="17" ht="12.75" customHeight="1">
      <c r="A17" s="27">
        <v>275.0</v>
      </c>
      <c r="B17" s="28" t="s">
        <v>58706</v>
      </c>
      <c r="C17" s="27">
        <v>175.0</v>
      </c>
      <c r="D17" s="28" t="s">
        <v>58707</v>
      </c>
      <c r="E17" s="28" t="s">
        <v>58708</v>
      </c>
      <c r="F17" s="29">
        <v>67.0</v>
      </c>
      <c r="G17" s="27">
        <v>1.75750672E8</v>
      </c>
    </row>
    <row r="18" ht="12.75" customHeight="1">
      <c r="A18" s="31">
        <v>275.0</v>
      </c>
      <c r="B18" s="32" t="s">
        <v>58709</v>
      </c>
      <c r="C18" s="31">
        <v>175.0</v>
      </c>
      <c r="D18" s="32" t="s">
        <v>58710</v>
      </c>
      <c r="E18" s="32" t="s">
        <v>58711</v>
      </c>
      <c r="F18" s="33">
        <v>79.0</v>
      </c>
      <c r="G18" s="31">
        <v>1.75750793E8</v>
      </c>
    </row>
    <row r="19" ht="12.75" customHeight="1">
      <c r="A19" s="27">
        <v>275.0</v>
      </c>
      <c r="B19" s="28" t="s">
        <v>58712</v>
      </c>
      <c r="C19" s="27">
        <v>175.0</v>
      </c>
      <c r="D19" s="28" t="s">
        <v>58713</v>
      </c>
      <c r="E19" s="28" t="s">
        <v>58714</v>
      </c>
      <c r="F19" s="27">
        <v>157.0</v>
      </c>
      <c r="G19" s="27">
        <v>1.75751576E8</v>
      </c>
    </row>
    <row r="20" ht="12.75" customHeight="1">
      <c r="A20" s="31">
        <v>275.0</v>
      </c>
      <c r="B20" s="32" t="s">
        <v>58715</v>
      </c>
      <c r="C20" s="31">
        <v>175.0</v>
      </c>
      <c r="D20" s="32" t="s">
        <v>58716</v>
      </c>
      <c r="E20" s="32" t="s">
        <v>58717</v>
      </c>
      <c r="F20" s="31">
        <v>199.0</v>
      </c>
      <c r="G20" s="31">
        <v>1.75751992E8</v>
      </c>
    </row>
    <row r="21" ht="12.75" customHeight="1">
      <c r="A21" s="27">
        <v>275.0</v>
      </c>
      <c r="B21" s="28" t="s">
        <v>58718</v>
      </c>
      <c r="C21" s="27">
        <v>175.0</v>
      </c>
      <c r="D21" s="28" t="s">
        <v>58719</v>
      </c>
      <c r="E21" s="28" t="s">
        <v>58720</v>
      </c>
      <c r="F21" s="27">
        <v>242.0</v>
      </c>
      <c r="G21" s="27">
        <v>1.75752425E8</v>
      </c>
    </row>
    <row r="22" ht="12.75" customHeight="1">
      <c r="A22" s="31">
        <v>576.0</v>
      </c>
      <c r="B22" s="32" t="s">
        <v>58721</v>
      </c>
      <c r="C22" s="31">
        <v>175.0</v>
      </c>
      <c r="D22" s="32" t="s">
        <v>58722</v>
      </c>
      <c r="E22" s="32" t="s">
        <v>58723</v>
      </c>
      <c r="F22" s="33">
        <v>22.0</v>
      </c>
      <c r="G22" s="31">
        <v>1.7576022E8</v>
      </c>
    </row>
    <row r="23" ht="12.75" customHeight="1">
      <c r="A23" s="27">
        <v>576.0</v>
      </c>
      <c r="B23" s="28" t="s">
        <v>58724</v>
      </c>
      <c r="C23" s="27">
        <v>175.0</v>
      </c>
      <c r="D23" s="28" t="s">
        <v>58725</v>
      </c>
      <c r="E23" s="28" t="s">
        <v>58726</v>
      </c>
      <c r="F23" s="27">
        <v>121.0</v>
      </c>
      <c r="G23" s="27">
        <v>1.75761216E8</v>
      </c>
    </row>
    <row r="24" ht="12.75" customHeight="1">
      <c r="A24" s="31">
        <v>576.0</v>
      </c>
      <c r="B24" s="32" t="s">
        <v>58727</v>
      </c>
      <c r="C24" s="31">
        <v>175.0</v>
      </c>
      <c r="D24" s="32" t="s">
        <v>58728</v>
      </c>
      <c r="E24" s="32" t="s">
        <v>58729</v>
      </c>
      <c r="F24" s="31">
        <v>145.0</v>
      </c>
      <c r="G24" s="31">
        <v>1.75761458E8</v>
      </c>
    </row>
    <row r="25" ht="12.75" customHeight="1">
      <c r="A25" s="27">
        <v>576.0</v>
      </c>
      <c r="B25" s="28" t="s">
        <v>58730</v>
      </c>
      <c r="C25" s="27">
        <v>175.0</v>
      </c>
      <c r="D25" s="28" t="s">
        <v>58731</v>
      </c>
      <c r="E25" s="28" t="s">
        <v>58732</v>
      </c>
      <c r="F25" s="27">
        <v>178.0</v>
      </c>
      <c r="G25" s="27">
        <v>1.75761782E8</v>
      </c>
    </row>
    <row r="26" ht="12.75" customHeight="1">
      <c r="A26" s="31">
        <v>576.0</v>
      </c>
      <c r="B26" s="32" t="s">
        <v>58733</v>
      </c>
      <c r="C26" s="31">
        <v>175.0</v>
      </c>
      <c r="D26" s="32" t="s">
        <v>58734</v>
      </c>
      <c r="E26" s="32" t="s">
        <v>58735</v>
      </c>
      <c r="F26" s="31">
        <v>211.0</v>
      </c>
      <c r="G26" s="31">
        <v>1.7576211E8</v>
      </c>
    </row>
    <row r="27" ht="12.75" customHeight="1">
      <c r="A27" s="27">
        <v>777.0</v>
      </c>
      <c r="B27" s="28" t="s">
        <v>58736</v>
      </c>
      <c r="C27" s="27">
        <v>175.0</v>
      </c>
      <c r="D27" s="28" t="s">
        <v>58737</v>
      </c>
      <c r="E27" s="28" t="s">
        <v>58738</v>
      </c>
      <c r="F27" s="29">
        <v>55.0</v>
      </c>
      <c r="G27" s="27">
        <v>1.75770557E8</v>
      </c>
    </row>
    <row r="28" ht="12.75" customHeight="1">
      <c r="A28" s="31">
        <v>378.0</v>
      </c>
      <c r="B28" s="32" t="s">
        <v>58739</v>
      </c>
      <c r="C28" s="31">
        <v>175.0</v>
      </c>
      <c r="D28" s="32" t="s">
        <v>58740</v>
      </c>
      <c r="E28" s="32" t="s">
        <v>58741</v>
      </c>
      <c r="F28" s="33">
        <v>49.0</v>
      </c>
      <c r="G28" s="31">
        <v>1.75780497E8</v>
      </c>
    </row>
    <row r="29" ht="12.75" customHeight="1">
      <c r="A29" s="27">
        <v>378.0</v>
      </c>
      <c r="B29" s="28" t="s">
        <v>58742</v>
      </c>
      <c r="C29" s="27">
        <v>175.0</v>
      </c>
      <c r="D29" s="28" t="s">
        <v>58743</v>
      </c>
      <c r="E29" s="28" t="s">
        <v>58744</v>
      </c>
      <c r="F29" s="29">
        <v>58.0</v>
      </c>
      <c r="G29" s="27">
        <v>1.75780589E8</v>
      </c>
    </row>
    <row r="30" ht="12.75" customHeight="1">
      <c r="A30" s="31">
        <v>378.0</v>
      </c>
      <c r="B30" s="32" t="s">
        <v>58745</v>
      </c>
      <c r="C30" s="31">
        <v>175.0</v>
      </c>
      <c r="D30" s="32" t="s">
        <v>58746</v>
      </c>
      <c r="E30" s="32" t="s">
        <v>58747</v>
      </c>
      <c r="F30" s="31">
        <v>109.0</v>
      </c>
      <c r="G30" s="31">
        <v>1.75781096E8</v>
      </c>
    </row>
    <row r="31" ht="12.75" customHeight="1">
      <c r="A31" s="27">
        <v>378.0</v>
      </c>
      <c r="B31" s="28" t="s">
        <v>58748</v>
      </c>
      <c r="C31" s="27">
        <v>175.0</v>
      </c>
      <c r="D31" s="28" t="s">
        <v>58749</v>
      </c>
      <c r="E31" s="28" t="s">
        <v>58750</v>
      </c>
      <c r="F31" s="27">
        <v>127.0</v>
      </c>
      <c r="G31" s="27">
        <v>1.7578127E8</v>
      </c>
    </row>
    <row r="32" ht="12.75" customHeight="1">
      <c r="A32" s="31">
        <v>379.0</v>
      </c>
      <c r="B32" s="32" t="s">
        <v>58751</v>
      </c>
      <c r="C32" s="31">
        <v>175.0</v>
      </c>
      <c r="D32" s="32" t="s">
        <v>58752</v>
      </c>
      <c r="E32" s="32" t="s">
        <v>58753</v>
      </c>
      <c r="F32" s="33">
        <v>13.0</v>
      </c>
      <c r="G32" s="31">
        <v>1.75790137E8</v>
      </c>
    </row>
    <row r="33" ht="12.75" customHeight="1">
      <c r="A33" s="27">
        <v>379.0</v>
      </c>
      <c r="B33" s="28" t="s">
        <v>58754</v>
      </c>
      <c r="C33" s="27">
        <v>175.0</v>
      </c>
      <c r="D33" s="28" t="s">
        <v>58755</v>
      </c>
      <c r="E33" s="28" t="s">
        <v>58756</v>
      </c>
      <c r="F33" s="29">
        <v>52.0</v>
      </c>
      <c r="G33" s="27">
        <v>1.75790524E8</v>
      </c>
    </row>
    <row r="34" ht="12.75" customHeight="1">
      <c r="A34" s="31">
        <v>379.0</v>
      </c>
      <c r="B34" s="32" t="s">
        <v>58757</v>
      </c>
      <c r="C34" s="31">
        <v>175.0</v>
      </c>
      <c r="D34" s="32" t="s">
        <v>58758</v>
      </c>
      <c r="E34" s="32" t="s">
        <v>58759</v>
      </c>
      <c r="F34" s="33">
        <v>58.0</v>
      </c>
      <c r="G34" s="31">
        <v>1.75790582E8</v>
      </c>
    </row>
    <row r="35" ht="12.75" customHeight="1">
      <c r="A35" s="27">
        <v>379.0</v>
      </c>
      <c r="B35" s="28" t="s">
        <v>58760</v>
      </c>
      <c r="C35" s="27">
        <v>175.0</v>
      </c>
      <c r="D35" s="28" t="s">
        <v>58761</v>
      </c>
      <c r="E35" s="28" t="s">
        <v>58762</v>
      </c>
      <c r="F35" s="29">
        <v>70.0</v>
      </c>
      <c r="G35" s="27">
        <v>1.75790708E8</v>
      </c>
    </row>
    <row r="36" ht="12.75" customHeight="1">
      <c r="A36" s="31">
        <v>379.0</v>
      </c>
      <c r="B36" s="32" t="s">
        <v>58763</v>
      </c>
      <c r="C36" s="31">
        <v>175.0</v>
      </c>
      <c r="D36" s="32" t="s">
        <v>58764</v>
      </c>
      <c r="E36" s="32" t="s">
        <v>58765</v>
      </c>
      <c r="F36" s="33">
        <v>76.0</v>
      </c>
      <c r="G36" s="31">
        <v>1.75790766E8</v>
      </c>
    </row>
    <row r="37" ht="12.75" customHeight="1">
      <c r="A37" s="27">
        <v>379.0</v>
      </c>
      <c r="B37" s="28" t="s">
        <v>58766</v>
      </c>
      <c r="C37" s="27">
        <v>175.0</v>
      </c>
      <c r="D37" s="28" t="s">
        <v>58767</v>
      </c>
      <c r="E37" s="28" t="s">
        <v>58768</v>
      </c>
      <c r="F37" s="29">
        <v>85.0</v>
      </c>
      <c r="G37" s="27">
        <v>1.75790858E8</v>
      </c>
    </row>
    <row r="38" ht="12.75" customHeight="1">
      <c r="A38" s="31">
        <v>581.0</v>
      </c>
      <c r="B38" s="32" t="s">
        <v>58769</v>
      </c>
      <c r="C38" s="31">
        <v>175.0</v>
      </c>
      <c r="D38" s="32" t="s">
        <v>58770</v>
      </c>
      <c r="E38" s="32" t="s">
        <v>58771</v>
      </c>
      <c r="F38" s="33">
        <v>22.0</v>
      </c>
      <c r="G38" s="31">
        <v>1.7581022E8</v>
      </c>
    </row>
    <row r="39" ht="12.75" customHeight="1">
      <c r="A39" s="27">
        <v>581.0</v>
      </c>
      <c r="B39" s="28" t="s">
        <v>58772</v>
      </c>
      <c r="C39" s="27">
        <v>175.0</v>
      </c>
      <c r="D39" s="28" t="s">
        <v>58773</v>
      </c>
      <c r="E39" s="28" t="s">
        <v>58774</v>
      </c>
      <c r="F39" s="29">
        <v>34.0</v>
      </c>
      <c r="G39" s="27">
        <v>1.75810341E8</v>
      </c>
    </row>
    <row r="40" ht="12.75" customHeight="1">
      <c r="A40" s="31">
        <v>581.0</v>
      </c>
      <c r="B40" s="32" t="s">
        <v>58775</v>
      </c>
      <c r="C40" s="31">
        <v>175.0</v>
      </c>
      <c r="D40" s="32" t="s">
        <v>58776</v>
      </c>
      <c r="E40" s="32" t="s">
        <v>58777</v>
      </c>
      <c r="F40" s="31">
        <v>136.0</v>
      </c>
      <c r="G40" s="31">
        <v>1.75811366E8</v>
      </c>
    </row>
    <row r="41" ht="12.75" customHeight="1">
      <c r="A41" s="27">
        <v>581.0</v>
      </c>
      <c r="B41" s="28" t="s">
        <v>58778</v>
      </c>
      <c r="C41" s="27">
        <v>175.0</v>
      </c>
      <c r="D41" s="28" t="s">
        <v>58779</v>
      </c>
      <c r="E41" s="28" t="s">
        <v>58780</v>
      </c>
      <c r="F41" s="27">
        <v>163.0</v>
      </c>
      <c r="G41" s="27">
        <v>1.75811632E8</v>
      </c>
    </row>
    <row r="42" ht="12.75" customHeight="1">
      <c r="A42" s="31">
        <v>581.0</v>
      </c>
      <c r="B42" s="32" t="s">
        <v>58781</v>
      </c>
      <c r="C42" s="31">
        <v>175.0</v>
      </c>
      <c r="D42" s="32" t="s">
        <v>58782</v>
      </c>
      <c r="E42" s="32" t="s">
        <v>58783</v>
      </c>
      <c r="F42" s="31">
        <v>193.0</v>
      </c>
      <c r="G42" s="31">
        <v>1.75811937E8</v>
      </c>
    </row>
    <row r="43" ht="12.75" customHeight="1">
      <c r="A43" s="27">
        <v>581.0</v>
      </c>
      <c r="B43" s="28" t="s">
        <v>58784</v>
      </c>
      <c r="C43" s="27">
        <v>175.0</v>
      </c>
      <c r="D43" s="28" t="s">
        <v>58785</v>
      </c>
      <c r="E43" s="28" t="s">
        <v>58786</v>
      </c>
      <c r="F43" s="27">
        <v>223.0</v>
      </c>
      <c r="G43" s="27">
        <v>1.75812231E8</v>
      </c>
    </row>
    <row r="44" ht="12.75" customHeight="1">
      <c r="A44" s="31">
        <v>382.0</v>
      </c>
      <c r="B44" s="32" t="s">
        <v>58787</v>
      </c>
      <c r="C44" s="31">
        <v>175.0</v>
      </c>
      <c r="D44" s="32" t="s">
        <v>58788</v>
      </c>
      <c r="E44" s="32" t="s">
        <v>58789</v>
      </c>
      <c r="F44" s="33">
        <v>68.0</v>
      </c>
      <c r="G44" s="31">
        <v>1.75820681E8</v>
      </c>
    </row>
    <row r="45" ht="12.75" customHeight="1">
      <c r="A45" s="27">
        <v>382.0</v>
      </c>
      <c r="B45" s="28" t="s">
        <v>58790</v>
      </c>
      <c r="C45" s="27">
        <v>175.0</v>
      </c>
      <c r="D45" s="28" t="s">
        <v>58791</v>
      </c>
      <c r="E45" s="28" t="s">
        <v>58792</v>
      </c>
      <c r="F45" s="29">
        <v>73.0</v>
      </c>
      <c r="G45" s="27">
        <v>1.75820731E8</v>
      </c>
    </row>
    <row r="46" ht="12.75" customHeight="1">
      <c r="A46" s="31">
        <v>284.0</v>
      </c>
      <c r="B46" s="32" t="s">
        <v>58793</v>
      </c>
      <c r="C46" s="31">
        <v>175.0</v>
      </c>
      <c r="D46" s="32" t="s">
        <v>58794</v>
      </c>
      <c r="E46" s="32" t="s">
        <v>58795</v>
      </c>
      <c r="F46" s="33">
        <v>52.0</v>
      </c>
      <c r="G46" s="31">
        <v>1.75840524E8</v>
      </c>
    </row>
    <row r="47" ht="12.75" customHeight="1">
      <c r="A47" s="27">
        <v>785.0</v>
      </c>
      <c r="B47" s="28" t="s">
        <v>58796</v>
      </c>
      <c r="C47" s="27">
        <v>175.0</v>
      </c>
      <c r="D47" s="28" t="s">
        <v>58797</v>
      </c>
      <c r="E47" s="28" t="s">
        <v>58798</v>
      </c>
      <c r="F47" s="29">
        <v>5.0</v>
      </c>
      <c r="G47" s="27">
        <v>1.75850051E8</v>
      </c>
    </row>
    <row r="48" ht="12.75" customHeight="1">
      <c r="A48" s="31">
        <v>785.0</v>
      </c>
      <c r="B48" s="32" t="s">
        <v>58799</v>
      </c>
      <c r="C48" s="31">
        <v>175.0</v>
      </c>
      <c r="D48" s="32" t="s">
        <v>58800</v>
      </c>
      <c r="E48" s="32" t="s">
        <v>58801</v>
      </c>
      <c r="F48" s="31">
        <v>145.0</v>
      </c>
      <c r="G48" s="31">
        <v>1.7585145E8</v>
      </c>
    </row>
    <row r="49" ht="12.75" customHeight="1">
      <c r="A49" s="27">
        <v>785.0</v>
      </c>
      <c r="B49" s="28" t="s">
        <v>58802</v>
      </c>
      <c r="C49" s="27">
        <v>175.0</v>
      </c>
      <c r="D49" s="28" t="s">
        <v>58803</v>
      </c>
      <c r="E49" s="28" t="s">
        <v>58804</v>
      </c>
      <c r="F49" s="27">
        <v>175.0</v>
      </c>
      <c r="G49" s="27">
        <v>1.75851755E8</v>
      </c>
    </row>
    <row r="50" ht="12.75" customHeight="1">
      <c r="A50" s="31">
        <v>785.0</v>
      </c>
      <c r="B50" s="32" t="s">
        <v>58805</v>
      </c>
      <c r="C50" s="31">
        <v>175.0</v>
      </c>
      <c r="D50" s="32" t="s">
        <v>58806</v>
      </c>
      <c r="E50" s="32" t="s">
        <v>58807</v>
      </c>
      <c r="F50" s="31">
        <v>187.0</v>
      </c>
      <c r="G50" s="31">
        <v>1.75851876E8</v>
      </c>
    </row>
    <row r="51" ht="12.75" customHeight="1">
      <c r="A51" s="27">
        <v>386.0</v>
      </c>
      <c r="B51" s="28" t="s">
        <v>58808</v>
      </c>
      <c r="C51" s="27">
        <v>175.0</v>
      </c>
      <c r="D51" s="28" t="s">
        <v>58809</v>
      </c>
      <c r="E51" s="28" t="s">
        <v>58810</v>
      </c>
      <c r="F51" s="29">
        <v>59.0</v>
      </c>
      <c r="G51" s="27">
        <v>1.75860591E8</v>
      </c>
    </row>
    <row r="52" ht="12.75" customHeight="1">
      <c r="A52" s="31">
        <v>386.0</v>
      </c>
      <c r="B52" s="32" t="s">
        <v>58811</v>
      </c>
      <c r="C52" s="31">
        <v>175.0</v>
      </c>
      <c r="D52" s="32" t="s">
        <v>58812</v>
      </c>
      <c r="E52" s="32" t="s">
        <v>58813</v>
      </c>
      <c r="F52" s="33">
        <v>67.0</v>
      </c>
      <c r="G52" s="31">
        <v>1.7586067E8</v>
      </c>
    </row>
    <row r="53" ht="12.75" customHeight="1">
      <c r="A53" s="27">
        <v>487.0</v>
      </c>
      <c r="B53" s="28" t="s">
        <v>58814</v>
      </c>
      <c r="C53" s="27">
        <v>175.0</v>
      </c>
      <c r="D53" s="28" t="s">
        <v>58815</v>
      </c>
      <c r="E53" s="28" t="s">
        <v>58816</v>
      </c>
      <c r="F53" s="29">
        <v>58.0</v>
      </c>
      <c r="G53" s="27">
        <v>1.75870581E8</v>
      </c>
    </row>
    <row r="54" ht="12.75" customHeight="1">
      <c r="A54" s="31">
        <v>487.0</v>
      </c>
      <c r="B54" s="32" t="s">
        <v>58817</v>
      </c>
      <c r="C54" s="31">
        <v>175.0</v>
      </c>
      <c r="D54" s="32" t="s">
        <v>58818</v>
      </c>
      <c r="E54" s="32" t="s">
        <v>58819</v>
      </c>
      <c r="F54" s="31">
        <v>103.0</v>
      </c>
      <c r="G54" s="31">
        <v>1.7587103E8</v>
      </c>
    </row>
    <row r="55" ht="12.75" customHeight="1">
      <c r="A55" s="27">
        <v>487.0</v>
      </c>
      <c r="B55" s="28" t="s">
        <v>58820</v>
      </c>
      <c r="C55" s="27">
        <v>175.0</v>
      </c>
      <c r="D55" s="28" t="s">
        <v>58821</v>
      </c>
      <c r="E55" s="28" t="s">
        <v>58822</v>
      </c>
      <c r="F55" s="27">
        <v>109.0</v>
      </c>
      <c r="G55" s="27">
        <v>1.75871098E8</v>
      </c>
    </row>
    <row r="56" ht="12.75" customHeight="1">
      <c r="A56" s="31">
        <v>688.0</v>
      </c>
      <c r="B56" s="32" t="s">
        <v>58823</v>
      </c>
      <c r="C56" s="31">
        <v>175.0</v>
      </c>
      <c r="D56" s="32" t="s">
        <v>58824</v>
      </c>
      <c r="E56" s="32" t="s">
        <v>58825</v>
      </c>
      <c r="F56" s="31">
        <v>112.0</v>
      </c>
      <c r="G56" s="31">
        <v>1.75881125E8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688.0</v>
      </c>
      <c r="B1" s="28" t="s">
        <v>58826</v>
      </c>
      <c r="C1" s="27">
        <v>175.0</v>
      </c>
      <c r="D1" s="28" t="s">
        <v>58827</v>
      </c>
      <c r="E1" s="28" t="s">
        <v>58828</v>
      </c>
      <c r="F1" s="27">
        <v>187.0</v>
      </c>
      <c r="G1" s="27">
        <v>1.75881875E8</v>
      </c>
    </row>
    <row r="2" ht="12.75" customHeight="1">
      <c r="A2" s="31">
        <v>688.0</v>
      </c>
      <c r="B2" s="32" t="s">
        <v>58829</v>
      </c>
      <c r="C2" s="31">
        <v>175.0</v>
      </c>
      <c r="D2" s="32" t="s">
        <v>58830</v>
      </c>
      <c r="E2" s="32" t="s">
        <v>58831</v>
      </c>
      <c r="F2" s="31">
        <v>217.0</v>
      </c>
      <c r="G2" s="31">
        <v>1.75882179E8</v>
      </c>
    </row>
    <row r="3" ht="12.75" customHeight="1">
      <c r="A3" s="27">
        <v>189.0</v>
      </c>
      <c r="B3" s="28" t="s">
        <v>58832</v>
      </c>
      <c r="C3" s="27">
        <v>175.0</v>
      </c>
      <c r="D3" s="28" t="s">
        <v>58833</v>
      </c>
      <c r="E3" s="28" t="s">
        <v>58834</v>
      </c>
      <c r="F3" s="29">
        <v>58.0</v>
      </c>
      <c r="G3" s="27">
        <v>1.75890587E8</v>
      </c>
    </row>
    <row r="4" ht="12.75" customHeight="1">
      <c r="A4" s="31">
        <v>890.0</v>
      </c>
      <c r="B4" s="32" t="s">
        <v>58835</v>
      </c>
      <c r="C4" s="31">
        <v>175.0</v>
      </c>
      <c r="D4" s="32" t="s">
        <v>58836</v>
      </c>
      <c r="E4" s="32" t="s">
        <v>58837</v>
      </c>
      <c r="F4" s="33">
        <v>22.0</v>
      </c>
      <c r="G4" s="31">
        <v>1.75900222E8</v>
      </c>
    </row>
    <row r="5" ht="12.75" customHeight="1">
      <c r="A5" s="27">
        <v>890.0</v>
      </c>
      <c r="B5" s="28" t="s">
        <v>58838</v>
      </c>
      <c r="C5" s="27">
        <v>175.0</v>
      </c>
      <c r="D5" s="28" t="s">
        <v>58839</v>
      </c>
      <c r="E5" s="28" t="s">
        <v>58840</v>
      </c>
      <c r="F5" s="29">
        <v>25.0</v>
      </c>
      <c r="G5" s="27">
        <v>1.75900251E8</v>
      </c>
    </row>
    <row r="6" ht="12.75" customHeight="1">
      <c r="A6" s="31">
        <v>890.0</v>
      </c>
      <c r="B6" s="32" t="s">
        <v>58841</v>
      </c>
      <c r="C6" s="31">
        <v>175.0</v>
      </c>
      <c r="D6" s="32" t="s">
        <v>58842</v>
      </c>
      <c r="E6" s="32" t="s">
        <v>58843</v>
      </c>
      <c r="F6" s="33">
        <v>43.0</v>
      </c>
      <c r="G6" s="31">
        <v>1.75900435E8</v>
      </c>
    </row>
    <row r="7" ht="12.75" customHeight="1">
      <c r="A7" s="27">
        <v>890.0</v>
      </c>
      <c r="B7" s="28" t="s">
        <v>58844</v>
      </c>
      <c r="C7" s="27">
        <v>175.0</v>
      </c>
      <c r="D7" s="28" t="s">
        <v>58845</v>
      </c>
      <c r="E7" s="28" t="s">
        <v>58846</v>
      </c>
      <c r="F7" s="29">
        <v>49.0</v>
      </c>
      <c r="G7" s="27">
        <v>1.75900493E8</v>
      </c>
    </row>
    <row r="8" ht="12.75" customHeight="1">
      <c r="A8" s="31">
        <v>890.0</v>
      </c>
      <c r="B8" s="32" t="s">
        <v>58847</v>
      </c>
      <c r="C8" s="31">
        <v>175.0</v>
      </c>
      <c r="D8" s="32" t="s">
        <v>58848</v>
      </c>
      <c r="E8" s="32" t="s">
        <v>58849</v>
      </c>
      <c r="F8" s="33">
        <v>52.0</v>
      </c>
      <c r="G8" s="31">
        <v>1.75900527E8</v>
      </c>
    </row>
    <row r="9" ht="12.75" customHeight="1">
      <c r="A9" s="27">
        <v>890.0</v>
      </c>
      <c r="B9" s="28" t="s">
        <v>58850</v>
      </c>
      <c r="C9" s="27">
        <v>175.0</v>
      </c>
      <c r="D9" s="28" t="s">
        <v>58851</v>
      </c>
      <c r="E9" s="28" t="s">
        <v>58852</v>
      </c>
      <c r="F9" s="29">
        <v>82.0</v>
      </c>
      <c r="G9" s="27">
        <v>1.75900822E8</v>
      </c>
    </row>
    <row r="10" ht="12.75" customHeight="1">
      <c r="A10" s="31">
        <v>890.0</v>
      </c>
      <c r="B10" s="32" t="s">
        <v>58853</v>
      </c>
      <c r="C10" s="31">
        <v>175.0</v>
      </c>
      <c r="D10" s="32" t="s">
        <v>58854</v>
      </c>
      <c r="E10" s="32" t="s">
        <v>58855</v>
      </c>
      <c r="F10" s="33">
        <v>97.0</v>
      </c>
      <c r="G10" s="31">
        <v>1.75900972E8</v>
      </c>
    </row>
    <row r="11" ht="12.75" customHeight="1">
      <c r="A11" s="27">
        <v>890.0</v>
      </c>
      <c r="B11" s="28" t="s">
        <v>58856</v>
      </c>
      <c r="C11" s="27">
        <v>175.0</v>
      </c>
      <c r="D11" s="28" t="s">
        <v>58857</v>
      </c>
      <c r="E11" s="28" t="s">
        <v>58858</v>
      </c>
      <c r="F11" s="27">
        <v>109.0</v>
      </c>
      <c r="G11" s="27">
        <v>1.75901092E8</v>
      </c>
    </row>
    <row r="12" ht="12.75" customHeight="1">
      <c r="A12" s="31">
        <v>890.0</v>
      </c>
      <c r="B12" s="32" t="s">
        <v>58859</v>
      </c>
      <c r="C12" s="31">
        <v>175.0</v>
      </c>
      <c r="D12" s="32" t="s">
        <v>58860</v>
      </c>
      <c r="E12" s="32" t="s">
        <v>58861</v>
      </c>
      <c r="F12" s="31">
        <v>112.0</v>
      </c>
      <c r="G12" s="31">
        <v>1.75901126E8</v>
      </c>
    </row>
    <row r="13" ht="12.75" customHeight="1">
      <c r="A13" s="27">
        <v>890.0</v>
      </c>
      <c r="B13" s="28" t="s">
        <v>58862</v>
      </c>
      <c r="C13" s="27">
        <v>175.0</v>
      </c>
      <c r="D13" s="28" t="s">
        <v>58863</v>
      </c>
      <c r="E13" s="28" t="s">
        <v>58864</v>
      </c>
      <c r="F13" s="27">
        <v>124.0</v>
      </c>
      <c r="G13" s="27">
        <v>1.75901247E8</v>
      </c>
    </row>
    <row r="14" ht="12.75" customHeight="1">
      <c r="A14" s="31">
        <v>891.0</v>
      </c>
      <c r="B14" s="32" t="s">
        <v>58865</v>
      </c>
      <c r="C14" s="31">
        <v>175.0</v>
      </c>
      <c r="D14" s="32" t="s">
        <v>58866</v>
      </c>
      <c r="E14" s="32" t="s">
        <v>58867</v>
      </c>
      <c r="F14" s="33">
        <v>8.0</v>
      </c>
      <c r="G14" s="31">
        <v>1.75910083E8</v>
      </c>
    </row>
    <row r="15" ht="12.75" customHeight="1">
      <c r="A15" s="27">
        <v>891.0</v>
      </c>
      <c r="B15" s="28" t="s">
        <v>58868</v>
      </c>
      <c r="C15" s="27">
        <v>175.0</v>
      </c>
      <c r="D15" s="28" t="s">
        <v>58869</v>
      </c>
      <c r="E15" s="28" t="s">
        <v>58870</v>
      </c>
      <c r="F15" s="29">
        <v>10.0</v>
      </c>
      <c r="G15" s="27">
        <v>1.75910104E8</v>
      </c>
    </row>
    <row r="16" ht="12.75" customHeight="1">
      <c r="A16" s="31">
        <v>891.0</v>
      </c>
      <c r="B16" s="32" t="s">
        <v>58871</v>
      </c>
      <c r="C16" s="31">
        <v>175.0</v>
      </c>
      <c r="D16" s="32" t="s">
        <v>58872</v>
      </c>
      <c r="E16" s="32" t="s">
        <v>58873</v>
      </c>
      <c r="F16" s="33">
        <v>16.0</v>
      </c>
      <c r="G16" s="31">
        <v>1.75910162E8</v>
      </c>
    </row>
    <row r="17" ht="12.75" customHeight="1">
      <c r="A17" s="27">
        <v>891.0</v>
      </c>
      <c r="B17" s="28" t="s">
        <v>58874</v>
      </c>
      <c r="C17" s="27">
        <v>175.0</v>
      </c>
      <c r="D17" s="28" t="s">
        <v>58875</v>
      </c>
      <c r="E17" s="28" t="s">
        <v>58876</v>
      </c>
      <c r="F17" s="29">
        <v>19.0</v>
      </c>
      <c r="G17" s="27">
        <v>1.75910191E8</v>
      </c>
    </row>
    <row r="18" ht="12.75" customHeight="1">
      <c r="A18" s="31">
        <v>891.0</v>
      </c>
      <c r="B18" s="32" t="s">
        <v>58877</v>
      </c>
      <c r="C18" s="31">
        <v>175.0</v>
      </c>
      <c r="D18" s="32" t="s">
        <v>58878</v>
      </c>
      <c r="E18" s="32" t="s">
        <v>58879</v>
      </c>
      <c r="F18" s="33">
        <v>25.0</v>
      </c>
      <c r="G18" s="31">
        <v>1.75910254E8</v>
      </c>
    </row>
    <row r="19" ht="12.75" customHeight="1">
      <c r="A19" s="27">
        <v>891.0</v>
      </c>
      <c r="B19" s="28" t="s">
        <v>58880</v>
      </c>
      <c r="C19" s="27">
        <v>175.0</v>
      </c>
      <c r="D19" s="28" t="s">
        <v>58881</v>
      </c>
      <c r="E19" s="28" t="s">
        <v>58882</v>
      </c>
      <c r="F19" s="29">
        <v>28.0</v>
      </c>
      <c r="G19" s="27">
        <v>1.75910283E8</v>
      </c>
    </row>
    <row r="20" ht="12.75" customHeight="1">
      <c r="A20" s="31">
        <v>891.0</v>
      </c>
      <c r="B20" s="32" t="s">
        <v>58883</v>
      </c>
      <c r="C20" s="31">
        <v>175.0</v>
      </c>
      <c r="D20" s="32" t="s">
        <v>58884</v>
      </c>
      <c r="E20" s="32" t="s">
        <v>58885</v>
      </c>
      <c r="F20" s="33">
        <v>31.0</v>
      </c>
      <c r="G20" s="31">
        <v>1.75910317E8</v>
      </c>
    </row>
    <row r="21" ht="12.75" customHeight="1">
      <c r="A21" s="27">
        <v>891.0</v>
      </c>
      <c r="B21" s="28" t="s">
        <v>58886</v>
      </c>
      <c r="C21" s="27">
        <v>175.0</v>
      </c>
      <c r="D21" s="28" t="s">
        <v>58887</v>
      </c>
      <c r="E21" s="28" t="s">
        <v>58888</v>
      </c>
      <c r="F21" s="29">
        <v>43.0</v>
      </c>
      <c r="G21" s="27">
        <v>1.75910438E8</v>
      </c>
    </row>
    <row r="22" ht="12.75" customHeight="1">
      <c r="A22" s="31">
        <v>891.0</v>
      </c>
      <c r="B22" s="32" t="s">
        <v>58889</v>
      </c>
      <c r="C22" s="31">
        <v>175.0</v>
      </c>
      <c r="D22" s="32" t="s">
        <v>58890</v>
      </c>
      <c r="E22" s="32" t="s">
        <v>58891</v>
      </c>
      <c r="F22" s="33">
        <v>55.0</v>
      </c>
      <c r="G22" s="31">
        <v>1.75910559E8</v>
      </c>
    </row>
    <row r="23" ht="12.75" customHeight="1">
      <c r="A23" s="27">
        <v>891.0</v>
      </c>
      <c r="B23" s="28" t="s">
        <v>58892</v>
      </c>
      <c r="C23" s="27">
        <v>175.0</v>
      </c>
      <c r="D23" s="28" t="s">
        <v>58893</v>
      </c>
      <c r="E23" s="28" t="s">
        <v>58894</v>
      </c>
      <c r="F23" s="29">
        <v>67.0</v>
      </c>
      <c r="G23" s="27">
        <v>1.7591067E8</v>
      </c>
    </row>
    <row r="24" ht="12.75" customHeight="1">
      <c r="A24" s="31">
        <v>891.0</v>
      </c>
      <c r="B24" s="32" t="s">
        <v>58895</v>
      </c>
      <c r="C24" s="31">
        <v>175.0</v>
      </c>
      <c r="D24" s="32" t="s">
        <v>58896</v>
      </c>
      <c r="E24" s="32" t="s">
        <v>58897</v>
      </c>
      <c r="F24" s="33">
        <v>82.0</v>
      </c>
      <c r="G24" s="31">
        <v>1.75910825E8</v>
      </c>
    </row>
    <row r="25" ht="12.75" customHeight="1">
      <c r="A25" s="27">
        <v>891.0</v>
      </c>
      <c r="B25" s="28" t="s">
        <v>58898</v>
      </c>
      <c r="C25" s="27">
        <v>175.0</v>
      </c>
      <c r="D25" s="28" t="s">
        <v>58899</v>
      </c>
      <c r="E25" s="28" t="s">
        <v>58900</v>
      </c>
      <c r="F25" s="29">
        <v>88.0</v>
      </c>
      <c r="G25" s="27">
        <v>1.75910883E8</v>
      </c>
    </row>
    <row r="26" ht="12.75" customHeight="1">
      <c r="A26" s="31">
        <v>891.0</v>
      </c>
      <c r="B26" s="32" t="s">
        <v>58901</v>
      </c>
      <c r="C26" s="31">
        <v>175.0</v>
      </c>
      <c r="D26" s="32" t="s">
        <v>58902</v>
      </c>
      <c r="E26" s="32" t="s">
        <v>58903</v>
      </c>
      <c r="F26" s="33">
        <v>91.0</v>
      </c>
      <c r="G26" s="31">
        <v>1.75910917E8</v>
      </c>
    </row>
    <row r="27" ht="12.75" customHeight="1">
      <c r="A27" s="27">
        <v>891.0</v>
      </c>
      <c r="B27" s="28" t="s">
        <v>58904</v>
      </c>
      <c r="C27" s="27">
        <v>175.0</v>
      </c>
      <c r="D27" s="28" t="s">
        <v>58905</v>
      </c>
      <c r="E27" s="28" t="s">
        <v>58906</v>
      </c>
      <c r="F27" s="27">
        <v>100.0</v>
      </c>
      <c r="G27" s="27">
        <v>1.75911008E8</v>
      </c>
    </row>
    <row r="28" ht="12.75" customHeight="1">
      <c r="A28" s="31">
        <v>891.0</v>
      </c>
      <c r="B28" s="32" t="s">
        <v>58907</v>
      </c>
      <c r="C28" s="31">
        <v>175.0</v>
      </c>
      <c r="D28" s="32" t="s">
        <v>58908</v>
      </c>
      <c r="E28" s="32" t="s">
        <v>58909</v>
      </c>
      <c r="F28" s="31">
        <v>103.0</v>
      </c>
      <c r="G28" s="31">
        <v>1.75911037E8</v>
      </c>
    </row>
    <row r="29" ht="12.75" customHeight="1">
      <c r="A29" s="27">
        <v>891.0</v>
      </c>
      <c r="B29" s="28" t="s">
        <v>58910</v>
      </c>
      <c r="C29" s="27">
        <v>175.0</v>
      </c>
      <c r="D29" s="28" t="s">
        <v>58911</v>
      </c>
      <c r="E29" s="28" t="s">
        <v>58912</v>
      </c>
      <c r="F29" s="27">
        <v>115.0</v>
      </c>
      <c r="G29" s="27">
        <v>1.75911158E8</v>
      </c>
    </row>
    <row r="30" ht="12.75" customHeight="1">
      <c r="A30" s="31">
        <v>891.0</v>
      </c>
      <c r="B30" s="32" t="s">
        <v>58913</v>
      </c>
      <c r="C30" s="31">
        <v>175.0</v>
      </c>
      <c r="D30" s="32" t="s">
        <v>58914</v>
      </c>
      <c r="E30" s="32" t="s">
        <v>58915</v>
      </c>
      <c r="F30" s="31">
        <v>130.0</v>
      </c>
      <c r="G30" s="31">
        <v>1.75911303E8</v>
      </c>
    </row>
    <row r="31" ht="12.75" customHeight="1">
      <c r="A31" s="27">
        <v>891.0</v>
      </c>
      <c r="B31" s="28" t="s">
        <v>58916</v>
      </c>
      <c r="C31" s="27">
        <v>175.0</v>
      </c>
      <c r="D31" s="28" t="s">
        <v>58917</v>
      </c>
      <c r="E31" s="28" t="s">
        <v>58918</v>
      </c>
      <c r="F31" s="27">
        <v>136.0</v>
      </c>
      <c r="G31" s="27">
        <v>1.75911361E8</v>
      </c>
    </row>
    <row r="32" ht="12.75" customHeight="1">
      <c r="A32" s="31">
        <v>891.0</v>
      </c>
      <c r="B32" s="32" t="s">
        <v>58919</v>
      </c>
      <c r="C32" s="31">
        <v>175.0</v>
      </c>
      <c r="D32" s="32" t="s">
        <v>58920</v>
      </c>
      <c r="E32" s="32" t="s">
        <v>58921</v>
      </c>
      <c r="F32" s="31">
        <v>151.0</v>
      </c>
      <c r="G32" s="31">
        <v>1.75911516E8</v>
      </c>
    </row>
    <row r="33" ht="12.75" customHeight="1">
      <c r="A33" s="27">
        <v>891.0</v>
      </c>
      <c r="B33" s="28" t="s">
        <v>58922</v>
      </c>
      <c r="C33" s="27">
        <v>175.0</v>
      </c>
      <c r="D33" s="28" t="s">
        <v>58923</v>
      </c>
      <c r="E33" s="28" t="s">
        <v>58924</v>
      </c>
      <c r="F33" s="27">
        <v>154.0</v>
      </c>
      <c r="G33" s="27">
        <v>1.75911545E8</v>
      </c>
    </row>
    <row r="34" ht="12.75" customHeight="1">
      <c r="A34" s="31">
        <v>891.0</v>
      </c>
      <c r="B34" s="32" t="s">
        <v>58925</v>
      </c>
      <c r="C34" s="31">
        <v>175.0</v>
      </c>
      <c r="D34" s="32" t="s">
        <v>58926</v>
      </c>
      <c r="E34" s="32" t="s">
        <v>58927</v>
      </c>
      <c r="F34" s="31">
        <v>160.0</v>
      </c>
      <c r="G34" s="31">
        <v>1.75911608E8</v>
      </c>
    </row>
    <row r="35" ht="12.75" customHeight="1">
      <c r="A35" s="27">
        <v>891.0</v>
      </c>
      <c r="B35" s="28" t="s">
        <v>58928</v>
      </c>
      <c r="C35" s="27">
        <v>175.0</v>
      </c>
      <c r="D35" s="28" t="s">
        <v>58929</v>
      </c>
      <c r="E35" s="28" t="s">
        <v>58930</v>
      </c>
      <c r="F35" s="27">
        <v>166.0</v>
      </c>
      <c r="G35" s="27">
        <v>1.75911666E8</v>
      </c>
    </row>
    <row r="36" ht="12.75" customHeight="1">
      <c r="A36" s="31">
        <v>891.0</v>
      </c>
      <c r="B36" s="32" t="s">
        <v>58931</v>
      </c>
      <c r="C36" s="31">
        <v>175.0</v>
      </c>
      <c r="D36" s="32" t="s">
        <v>58932</v>
      </c>
      <c r="E36" s="32" t="s">
        <v>58933</v>
      </c>
      <c r="F36" s="31">
        <v>175.0</v>
      </c>
      <c r="G36" s="31">
        <v>1.75911758E8</v>
      </c>
    </row>
    <row r="37" ht="12.75" customHeight="1">
      <c r="A37" s="27">
        <v>891.0</v>
      </c>
      <c r="B37" s="28" t="s">
        <v>58934</v>
      </c>
      <c r="C37" s="27">
        <v>175.0</v>
      </c>
      <c r="D37" s="28" t="s">
        <v>58935</v>
      </c>
      <c r="E37" s="28" t="s">
        <v>58936</v>
      </c>
      <c r="F37" s="27">
        <v>186.0</v>
      </c>
      <c r="G37" s="27">
        <v>1.75911866E8</v>
      </c>
    </row>
    <row r="38" ht="12.75" customHeight="1">
      <c r="A38" s="31">
        <v>891.0</v>
      </c>
      <c r="B38" s="32" t="s">
        <v>58937</v>
      </c>
      <c r="C38" s="31">
        <v>175.0</v>
      </c>
      <c r="D38" s="32" t="s">
        <v>58938</v>
      </c>
      <c r="E38" s="32" t="s">
        <v>58939</v>
      </c>
      <c r="F38" s="31">
        <v>190.0</v>
      </c>
      <c r="G38" s="31">
        <v>1.75911903E8</v>
      </c>
    </row>
    <row r="39" ht="12.75" customHeight="1">
      <c r="A39" s="27">
        <v>891.0</v>
      </c>
      <c r="B39" s="28" t="s">
        <v>58940</v>
      </c>
      <c r="C39" s="27">
        <v>175.0</v>
      </c>
      <c r="D39" s="28" t="s">
        <v>58941</v>
      </c>
      <c r="E39" s="28" t="s">
        <v>58942</v>
      </c>
      <c r="F39" s="27">
        <v>199.0</v>
      </c>
      <c r="G39" s="27">
        <v>1.7591199E8</v>
      </c>
    </row>
    <row r="40" ht="12.75" customHeight="1">
      <c r="A40" s="31">
        <v>891.0</v>
      </c>
      <c r="B40" s="32" t="s">
        <v>58943</v>
      </c>
      <c r="C40" s="31">
        <v>175.0</v>
      </c>
      <c r="D40" s="32" t="s">
        <v>58944</v>
      </c>
      <c r="E40" s="32" t="s">
        <v>58945</v>
      </c>
      <c r="F40" s="31">
        <v>202.0</v>
      </c>
      <c r="G40" s="31">
        <v>1.75912023E8</v>
      </c>
    </row>
    <row r="41" ht="12.75" customHeight="1">
      <c r="A41" s="27">
        <v>891.0</v>
      </c>
      <c r="B41" s="28" t="s">
        <v>58946</v>
      </c>
      <c r="C41" s="27">
        <v>175.0</v>
      </c>
      <c r="D41" s="28" t="s">
        <v>58947</v>
      </c>
      <c r="E41" s="28" t="s">
        <v>58948</v>
      </c>
      <c r="F41" s="27">
        <v>208.0</v>
      </c>
      <c r="G41" s="27">
        <v>1.75912081E8</v>
      </c>
    </row>
    <row r="42" ht="12.75" customHeight="1">
      <c r="A42" s="31">
        <v>891.0</v>
      </c>
      <c r="B42" s="32" t="s">
        <v>58949</v>
      </c>
      <c r="C42" s="31">
        <v>175.0</v>
      </c>
      <c r="D42" s="32" t="s">
        <v>58950</v>
      </c>
      <c r="E42" s="32" t="s">
        <v>58951</v>
      </c>
      <c r="F42" s="31">
        <v>247.0</v>
      </c>
      <c r="G42" s="31">
        <v>1.75912478E8</v>
      </c>
    </row>
    <row r="43" ht="12.75" customHeight="1">
      <c r="A43" s="27">
        <v>891.0</v>
      </c>
      <c r="B43" s="28" t="s">
        <v>58952</v>
      </c>
      <c r="C43" s="27">
        <v>175.0</v>
      </c>
      <c r="D43" s="28" t="s">
        <v>58953</v>
      </c>
      <c r="E43" s="28" t="s">
        <v>58954</v>
      </c>
      <c r="F43" s="27">
        <v>262.0</v>
      </c>
      <c r="G43" s="27">
        <v>1.75912623E8</v>
      </c>
    </row>
    <row r="44" ht="12.75" customHeight="1">
      <c r="A44" s="31">
        <v>891.0</v>
      </c>
      <c r="B44" s="32" t="s">
        <v>58955</v>
      </c>
      <c r="C44" s="31">
        <v>175.0</v>
      </c>
      <c r="D44" s="32" t="s">
        <v>58956</v>
      </c>
      <c r="E44" s="32" t="s">
        <v>58957</v>
      </c>
      <c r="F44" s="31">
        <v>274.0</v>
      </c>
      <c r="G44" s="31">
        <v>1.75912744E8</v>
      </c>
    </row>
    <row r="45" ht="12.75" customHeight="1">
      <c r="A45" s="27">
        <v>891.0</v>
      </c>
      <c r="B45" s="28" t="s">
        <v>58958</v>
      </c>
      <c r="C45" s="27">
        <v>175.0</v>
      </c>
      <c r="D45" s="28" t="s">
        <v>58959</v>
      </c>
      <c r="E45" s="28" t="s">
        <v>58960</v>
      </c>
      <c r="F45" s="27">
        <v>277.0</v>
      </c>
      <c r="G45" s="27">
        <v>1.75912773E8</v>
      </c>
    </row>
    <row r="46" ht="12.75" customHeight="1">
      <c r="A46" s="31">
        <v>891.0</v>
      </c>
      <c r="B46" s="32" t="s">
        <v>58961</v>
      </c>
      <c r="C46" s="31">
        <v>175.0</v>
      </c>
      <c r="D46" s="32" t="s">
        <v>58962</v>
      </c>
      <c r="E46" s="32" t="s">
        <v>58963</v>
      </c>
      <c r="F46" s="31">
        <v>286.0</v>
      </c>
      <c r="G46" s="31">
        <v>1.75912865E8</v>
      </c>
    </row>
    <row r="47" ht="12.75" customHeight="1">
      <c r="A47" s="27">
        <v>891.0</v>
      </c>
      <c r="B47" s="28" t="s">
        <v>58964</v>
      </c>
      <c r="C47" s="27">
        <v>175.0</v>
      </c>
      <c r="D47" s="28" t="s">
        <v>58965</v>
      </c>
      <c r="E47" s="28" t="s">
        <v>58966</v>
      </c>
      <c r="F47" s="27">
        <v>313.0</v>
      </c>
      <c r="G47" s="27">
        <v>1.7591313E8</v>
      </c>
    </row>
    <row r="48" ht="12.75" customHeight="1">
      <c r="A48" s="31">
        <v>891.0</v>
      </c>
      <c r="B48" s="32" t="s">
        <v>58967</v>
      </c>
      <c r="C48" s="31">
        <v>175.0</v>
      </c>
      <c r="D48" s="32" t="s">
        <v>58968</v>
      </c>
      <c r="E48" s="32" t="s">
        <v>58969</v>
      </c>
      <c r="F48" s="31">
        <v>321.0</v>
      </c>
      <c r="G48" s="31">
        <v>1.75913219E8</v>
      </c>
    </row>
    <row r="49" ht="12.75" customHeight="1">
      <c r="A49" s="27">
        <v>891.0</v>
      </c>
      <c r="B49" s="28" t="s">
        <v>58970</v>
      </c>
      <c r="C49" s="27">
        <v>175.0</v>
      </c>
      <c r="D49" s="28" t="s">
        <v>58971</v>
      </c>
      <c r="E49" s="28" t="s">
        <v>58972</v>
      </c>
      <c r="F49" s="27">
        <v>322.0</v>
      </c>
      <c r="G49" s="27">
        <v>1.75913222E8</v>
      </c>
    </row>
    <row r="50" ht="12.75" customHeight="1">
      <c r="A50" s="31">
        <v>891.0</v>
      </c>
      <c r="B50" s="32" t="s">
        <v>58973</v>
      </c>
      <c r="C50" s="31">
        <v>175.0</v>
      </c>
      <c r="D50" s="32" t="s">
        <v>58974</v>
      </c>
      <c r="E50" s="32" t="s">
        <v>58975</v>
      </c>
      <c r="F50" s="31">
        <v>325.0</v>
      </c>
      <c r="G50" s="31">
        <v>1.75913251E8</v>
      </c>
    </row>
    <row r="51" ht="12.75" customHeight="1">
      <c r="A51" s="27">
        <v>891.0</v>
      </c>
      <c r="B51" s="28" t="s">
        <v>58976</v>
      </c>
      <c r="C51" s="27">
        <v>175.0</v>
      </c>
      <c r="D51" s="28" t="s">
        <v>58977</v>
      </c>
      <c r="E51" s="28" t="s">
        <v>58978</v>
      </c>
      <c r="F51" s="27">
        <v>343.0</v>
      </c>
      <c r="G51" s="27">
        <v>1.75913435E8</v>
      </c>
    </row>
    <row r="52" ht="12.75" customHeight="1">
      <c r="A52" s="31">
        <v>891.0</v>
      </c>
      <c r="B52" s="32" t="s">
        <v>58979</v>
      </c>
      <c r="C52" s="31">
        <v>175.0</v>
      </c>
      <c r="D52" s="32" t="s">
        <v>58980</v>
      </c>
      <c r="E52" s="32" t="s">
        <v>58981</v>
      </c>
      <c r="F52" s="31">
        <v>370.0</v>
      </c>
      <c r="G52" s="31">
        <v>1.75913701E8</v>
      </c>
    </row>
    <row r="53" ht="12.75" customHeight="1">
      <c r="A53" s="27">
        <v>891.0</v>
      </c>
      <c r="B53" s="28" t="s">
        <v>58982</v>
      </c>
      <c r="C53" s="27">
        <v>175.0</v>
      </c>
      <c r="D53" s="28" t="s">
        <v>58983</v>
      </c>
      <c r="E53" s="28" t="s">
        <v>58984</v>
      </c>
      <c r="F53" s="27">
        <v>379.0</v>
      </c>
      <c r="G53" s="27">
        <v>1.75913798E8</v>
      </c>
    </row>
    <row r="54" ht="12.75" customHeight="1">
      <c r="A54" s="31">
        <v>891.0</v>
      </c>
      <c r="B54" s="32" t="s">
        <v>58985</v>
      </c>
      <c r="C54" s="31">
        <v>175.0</v>
      </c>
      <c r="D54" s="32" t="s">
        <v>58986</v>
      </c>
      <c r="E54" s="32" t="s">
        <v>58987</v>
      </c>
      <c r="F54" s="31">
        <v>382.0</v>
      </c>
      <c r="G54" s="31">
        <v>1.75913822E8</v>
      </c>
    </row>
    <row r="55" ht="12.75" customHeight="1">
      <c r="A55" s="27">
        <v>891.0</v>
      </c>
      <c r="B55" s="28" t="s">
        <v>58988</v>
      </c>
      <c r="C55" s="27">
        <v>175.0</v>
      </c>
      <c r="D55" s="28" t="s">
        <v>58989</v>
      </c>
      <c r="E55" s="28" t="s">
        <v>58990</v>
      </c>
      <c r="F55" s="27">
        <v>388.0</v>
      </c>
      <c r="G55" s="27">
        <v>1.7591388E8</v>
      </c>
    </row>
    <row r="56" ht="12.75" customHeight="1">
      <c r="A56" s="31">
        <v>891.0</v>
      </c>
      <c r="B56" s="32" t="s">
        <v>58991</v>
      </c>
      <c r="C56" s="31">
        <v>175.0</v>
      </c>
      <c r="D56" s="32" t="s">
        <v>58992</v>
      </c>
      <c r="E56" s="32" t="s">
        <v>58993</v>
      </c>
      <c r="F56" s="31">
        <v>412.0</v>
      </c>
      <c r="G56" s="31">
        <v>1.75914126E8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193.0</v>
      </c>
      <c r="B1" s="28" t="s">
        <v>58994</v>
      </c>
      <c r="C1" s="27">
        <v>175.0</v>
      </c>
      <c r="D1" s="28" t="s">
        <v>58995</v>
      </c>
      <c r="E1" s="28" t="s">
        <v>58996</v>
      </c>
      <c r="F1" s="29">
        <v>5.0</v>
      </c>
      <c r="G1" s="27">
        <v>1.7593005E8</v>
      </c>
    </row>
    <row r="2" ht="12.75" customHeight="1">
      <c r="A2" s="31">
        <v>193.0</v>
      </c>
      <c r="B2" s="32" t="s">
        <v>58997</v>
      </c>
      <c r="C2" s="31">
        <v>175.0</v>
      </c>
      <c r="D2" s="32" t="s">
        <v>58998</v>
      </c>
      <c r="E2" s="32" t="s">
        <v>58999</v>
      </c>
      <c r="F2" s="33">
        <v>7.0</v>
      </c>
      <c r="G2" s="31">
        <v>1.75930076E8</v>
      </c>
    </row>
    <row r="3" ht="12.75" customHeight="1">
      <c r="A3" s="27">
        <v>193.0</v>
      </c>
      <c r="B3" s="28" t="s">
        <v>59000</v>
      </c>
      <c r="C3" s="27">
        <v>175.0</v>
      </c>
      <c r="D3" s="28" t="s">
        <v>59001</v>
      </c>
      <c r="E3" s="28" t="s">
        <v>59002</v>
      </c>
      <c r="F3" s="27">
        <v>100.0</v>
      </c>
      <c r="G3" s="27">
        <v>1.75931004E8</v>
      </c>
    </row>
    <row r="4" ht="12.75" customHeight="1">
      <c r="A4" s="31">
        <v>193.0</v>
      </c>
      <c r="B4" s="32" t="s">
        <v>59003</v>
      </c>
      <c r="C4" s="31">
        <v>175.0</v>
      </c>
      <c r="D4" s="32" t="s">
        <v>59004</v>
      </c>
      <c r="E4" s="32" t="s">
        <v>59005</v>
      </c>
      <c r="F4" s="31">
        <v>136.0</v>
      </c>
      <c r="G4" s="31">
        <v>1.75931367E8</v>
      </c>
    </row>
    <row r="5" ht="12.75" customHeight="1">
      <c r="A5" s="27">
        <v>193.0</v>
      </c>
      <c r="B5" s="28" t="s">
        <v>59006</v>
      </c>
      <c r="C5" s="27">
        <v>175.0</v>
      </c>
      <c r="D5" s="28" t="s">
        <v>59007</v>
      </c>
      <c r="E5" s="28" t="s">
        <v>59008</v>
      </c>
      <c r="F5" s="27">
        <v>190.0</v>
      </c>
      <c r="G5" s="27">
        <v>1.75931909E8</v>
      </c>
    </row>
    <row r="6" ht="12.75" customHeight="1">
      <c r="A6" s="31">
        <v>193.0</v>
      </c>
      <c r="B6" s="32" t="s">
        <v>59009</v>
      </c>
      <c r="C6" s="31">
        <v>175.0</v>
      </c>
      <c r="D6" s="32" t="s">
        <v>59010</v>
      </c>
      <c r="E6" s="32" t="s">
        <v>59011</v>
      </c>
      <c r="F6" s="31">
        <v>196.0</v>
      </c>
      <c r="G6" s="31">
        <v>1.75931967E8</v>
      </c>
    </row>
    <row r="7" ht="12.75" customHeight="1">
      <c r="A7" s="27">
        <v>193.0</v>
      </c>
      <c r="B7" s="28" t="s">
        <v>59012</v>
      </c>
      <c r="C7" s="27">
        <v>175.0</v>
      </c>
      <c r="D7" s="28" t="s">
        <v>59013</v>
      </c>
      <c r="E7" s="28" t="s">
        <v>59014</v>
      </c>
      <c r="F7" s="27">
        <v>235.0</v>
      </c>
      <c r="G7" s="27">
        <v>1.75932353E8</v>
      </c>
    </row>
    <row r="8" ht="12.75" customHeight="1">
      <c r="A8" s="31">
        <v>193.0</v>
      </c>
      <c r="B8" s="32" t="s">
        <v>59015</v>
      </c>
      <c r="C8" s="31">
        <v>175.0</v>
      </c>
      <c r="D8" s="32" t="s">
        <v>59016</v>
      </c>
      <c r="E8" s="32" t="s">
        <v>59017</v>
      </c>
      <c r="F8" s="31">
        <v>244.0</v>
      </c>
      <c r="G8" s="31">
        <v>1.75932445E8</v>
      </c>
    </row>
    <row r="9" ht="12.75" customHeight="1">
      <c r="A9" s="27">
        <v>794.0</v>
      </c>
      <c r="B9" s="28" t="s">
        <v>59018</v>
      </c>
      <c r="C9" s="27">
        <v>175.0</v>
      </c>
      <c r="D9" s="28" t="s">
        <v>59019</v>
      </c>
      <c r="E9" s="28" t="s">
        <v>59020</v>
      </c>
      <c r="F9" s="29">
        <v>73.0</v>
      </c>
      <c r="G9" s="27">
        <v>1.75940732E8</v>
      </c>
    </row>
    <row r="10" ht="12.75" customHeight="1">
      <c r="A10" s="31">
        <v>794.0</v>
      </c>
      <c r="B10" s="32" t="s">
        <v>59021</v>
      </c>
      <c r="C10" s="31">
        <v>175.0</v>
      </c>
      <c r="D10" s="32" t="s">
        <v>59022</v>
      </c>
      <c r="E10" s="32" t="s">
        <v>59023</v>
      </c>
      <c r="F10" s="33">
        <v>76.0</v>
      </c>
      <c r="G10" s="31">
        <v>1.75940761E8</v>
      </c>
    </row>
    <row r="11" ht="12.75" customHeight="1">
      <c r="A11" s="27">
        <v>794.0</v>
      </c>
      <c r="B11" s="28" t="s">
        <v>59024</v>
      </c>
      <c r="C11" s="27">
        <v>175.0</v>
      </c>
      <c r="D11" s="28" t="s">
        <v>59025</v>
      </c>
      <c r="E11" s="28" t="s">
        <v>59026</v>
      </c>
      <c r="F11" s="29">
        <v>97.0</v>
      </c>
      <c r="G11" s="27">
        <v>1.75940974E8</v>
      </c>
    </row>
    <row r="12" ht="12.75" customHeight="1">
      <c r="A12" s="31">
        <v>794.0</v>
      </c>
      <c r="B12" s="32" t="s">
        <v>59027</v>
      </c>
      <c r="C12" s="31">
        <v>175.0</v>
      </c>
      <c r="D12" s="32" t="s">
        <v>59028</v>
      </c>
      <c r="E12" s="32" t="s">
        <v>59029</v>
      </c>
      <c r="F12" s="31">
        <v>100.0</v>
      </c>
      <c r="G12" s="31">
        <v>1.75941007E8</v>
      </c>
    </row>
    <row r="13" ht="12.75" customHeight="1">
      <c r="A13" s="27">
        <v>610.0</v>
      </c>
      <c r="B13" s="28" t="s">
        <v>59030</v>
      </c>
      <c r="C13" s="27">
        <v>180.0</v>
      </c>
      <c r="D13" s="28" t="s">
        <v>59031</v>
      </c>
      <c r="E13" s="28" t="s">
        <v>59032</v>
      </c>
      <c r="F13" s="29">
        <v>4.0</v>
      </c>
      <c r="G13" s="27">
        <v>1.80100046E8</v>
      </c>
    </row>
    <row r="14" ht="12.75" customHeight="1">
      <c r="A14" s="31">
        <v>610.0</v>
      </c>
      <c r="B14" s="32" t="s">
        <v>59033</v>
      </c>
      <c r="C14" s="31">
        <v>180.0</v>
      </c>
      <c r="D14" s="32" t="s">
        <v>59034</v>
      </c>
      <c r="E14" s="32" t="s">
        <v>59035</v>
      </c>
      <c r="F14" s="33">
        <v>6.0</v>
      </c>
      <c r="G14" s="31">
        <v>1.80100062E8</v>
      </c>
    </row>
    <row r="15" ht="12.75" customHeight="1">
      <c r="A15" s="27">
        <v>610.0</v>
      </c>
      <c r="B15" s="28" t="s">
        <v>59036</v>
      </c>
      <c r="C15" s="27">
        <v>180.0</v>
      </c>
      <c r="D15" s="28" t="s">
        <v>59037</v>
      </c>
      <c r="E15" s="28" t="s">
        <v>59038</v>
      </c>
      <c r="F15" s="29">
        <v>7.0</v>
      </c>
      <c r="G15" s="27">
        <v>1.80100075E8</v>
      </c>
    </row>
    <row r="16" ht="12.75" customHeight="1">
      <c r="A16" s="31">
        <v>610.0</v>
      </c>
      <c r="B16" s="32" t="s">
        <v>59039</v>
      </c>
      <c r="C16" s="31">
        <v>180.0</v>
      </c>
      <c r="D16" s="32" t="s">
        <v>59040</v>
      </c>
      <c r="E16" s="32" t="s">
        <v>59041</v>
      </c>
      <c r="F16" s="33">
        <v>25.0</v>
      </c>
      <c r="G16" s="31">
        <v>1.80100259E8</v>
      </c>
    </row>
    <row r="17" ht="12.75" customHeight="1">
      <c r="A17" s="27">
        <v>610.0</v>
      </c>
      <c r="B17" s="28" t="s">
        <v>59042</v>
      </c>
      <c r="C17" s="27">
        <v>180.0</v>
      </c>
      <c r="D17" s="28" t="s">
        <v>59043</v>
      </c>
      <c r="E17" s="28" t="s">
        <v>59044</v>
      </c>
      <c r="F17" s="29">
        <v>28.0</v>
      </c>
      <c r="G17" s="27">
        <v>1.80100288E8</v>
      </c>
    </row>
    <row r="18" ht="12.75" customHeight="1">
      <c r="A18" s="31">
        <v>610.0</v>
      </c>
      <c r="B18" s="32" t="s">
        <v>59045</v>
      </c>
      <c r="C18" s="31">
        <v>180.0</v>
      </c>
      <c r="D18" s="32" t="s">
        <v>59046</v>
      </c>
      <c r="E18" s="32" t="s">
        <v>59047</v>
      </c>
      <c r="F18" s="33">
        <v>34.0</v>
      </c>
      <c r="G18" s="31">
        <v>1.80100341E8</v>
      </c>
    </row>
    <row r="19" ht="12.75" customHeight="1">
      <c r="A19" s="27">
        <v>610.0</v>
      </c>
      <c r="B19" s="28" t="s">
        <v>59048</v>
      </c>
      <c r="C19" s="27">
        <v>180.0</v>
      </c>
      <c r="D19" s="28" t="s">
        <v>59049</v>
      </c>
      <c r="E19" s="28" t="s">
        <v>59050</v>
      </c>
      <c r="F19" s="29">
        <v>37.0</v>
      </c>
      <c r="G19" s="27">
        <v>1.8010037E8</v>
      </c>
    </row>
    <row r="20" ht="12.75" customHeight="1">
      <c r="A20" s="31">
        <v>610.0</v>
      </c>
      <c r="B20" s="32" t="s">
        <v>59051</v>
      </c>
      <c r="C20" s="31">
        <v>180.0</v>
      </c>
      <c r="D20" s="32" t="s">
        <v>59052</v>
      </c>
      <c r="E20" s="32" t="s">
        <v>59053</v>
      </c>
      <c r="F20" s="33">
        <v>61.0</v>
      </c>
      <c r="G20" s="31">
        <v>1.80100617E8</v>
      </c>
    </row>
    <row r="21" ht="12.75" customHeight="1">
      <c r="A21" s="27">
        <v>610.0</v>
      </c>
      <c r="B21" s="28" t="s">
        <v>59054</v>
      </c>
      <c r="C21" s="27">
        <v>180.0</v>
      </c>
      <c r="D21" s="28" t="s">
        <v>59055</v>
      </c>
      <c r="E21" s="28" t="s">
        <v>59056</v>
      </c>
      <c r="F21" s="29">
        <v>85.0</v>
      </c>
      <c r="G21" s="27">
        <v>1.80100859E8</v>
      </c>
    </row>
    <row r="22" ht="12.75" customHeight="1">
      <c r="A22" s="31">
        <v>610.0</v>
      </c>
      <c r="B22" s="32" t="s">
        <v>59057</v>
      </c>
      <c r="C22" s="31">
        <v>180.0</v>
      </c>
      <c r="D22" s="32" t="s">
        <v>59058</v>
      </c>
      <c r="E22" s="32" t="s">
        <v>59059</v>
      </c>
      <c r="F22" s="33">
        <v>88.0</v>
      </c>
      <c r="G22" s="31">
        <v>1.80100888E8</v>
      </c>
    </row>
    <row r="23" ht="12.75" customHeight="1">
      <c r="A23" s="27">
        <v>610.0</v>
      </c>
      <c r="B23" s="28" t="s">
        <v>59060</v>
      </c>
      <c r="C23" s="27">
        <v>180.0</v>
      </c>
      <c r="D23" s="28" t="s">
        <v>59061</v>
      </c>
      <c r="E23" s="28" t="s">
        <v>59062</v>
      </c>
      <c r="F23" s="29">
        <v>91.0</v>
      </c>
      <c r="G23" s="27">
        <v>1.80100912E8</v>
      </c>
    </row>
    <row r="24" ht="12.75" customHeight="1">
      <c r="A24" s="31">
        <v>610.0</v>
      </c>
      <c r="B24" s="32" t="s">
        <v>59063</v>
      </c>
      <c r="C24" s="31">
        <v>180.0</v>
      </c>
      <c r="D24" s="32" t="s">
        <v>59064</v>
      </c>
      <c r="E24" s="32" t="s">
        <v>59065</v>
      </c>
      <c r="F24" s="33">
        <v>94.0</v>
      </c>
      <c r="G24" s="31">
        <v>1.80100941E8</v>
      </c>
    </row>
    <row r="25" ht="12.75" customHeight="1">
      <c r="A25" s="27">
        <v>610.0</v>
      </c>
      <c r="B25" s="28" t="s">
        <v>59066</v>
      </c>
      <c r="C25" s="27">
        <v>180.0</v>
      </c>
      <c r="D25" s="28" t="s">
        <v>59067</v>
      </c>
      <c r="E25" s="28" t="s">
        <v>59068</v>
      </c>
      <c r="F25" s="27">
        <v>103.0</v>
      </c>
      <c r="G25" s="27">
        <v>1.80101032E8</v>
      </c>
    </row>
    <row r="26" ht="12.75" customHeight="1">
      <c r="A26" s="31">
        <v>610.0</v>
      </c>
      <c r="B26" s="32" t="s">
        <v>59069</v>
      </c>
      <c r="C26" s="31">
        <v>180.0</v>
      </c>
      <c r="D26" s="32" t="s">
        <v>59070</v>
      </c>
      <c r="E26" s="32" t="s">
        <v>59071</v>
      </c>
      <c r="F26" s="31">
        <v>145.0</v>
      </c>
      <c r="G26" s="31">
        <v>1.80101458E8</v>
      </c>
    </row>
    <row r="27" ht="12.75" customHeight="1">
      <c r="A27" s="27">
        <v>610.0</v>
      </c>
      <c r="B27" s="28" t="s">
        <v>59072</v>
      </c>
      <c r="C27" s="27">
        <v>180.0</v>
      </c>
      <c r="D27" s="28" t="s">
        <v>59073</v>
      </c>
      <c r="E27" s="28" t="s">
        <v>59074</v>
      </c>
      <c r="F27" s="27">
        <v>151.0</v>
      </c>
      <c r="G27" s="27">
        <v>1.80101511E8</v>
      </c>
    </row>
    <row r="28" ht="12.75" customHeight="1">
      <c r="A28" s="31">
        <v>610.0</v>
      </c>
      <c r="B28" s="32" t="s">
        <v>59075</v>
      </c>
      <c r="C28" s="31">
        <v>180.0</v>
      </c>
      <c r="D28" s="32" t="s">
        <v>59076</v>
      </c>
      <c r="E28" s="32" t="s">
        <v>59077</v>
      </c>
      <c r="F28" s="31">
        <v>154.0</v>
      </c>
      <c r="G28" s="31">
        <v>1.8010154E8</v>
      </c>
    </row>
    <row r="29" ht="12.75" customHeight="1">
      <c r="A29" s="27">
        <v>610.0</v>
      </c>
      <c r="B29" s="28" t="s">
        <v>59078</v>
      </c>
      <c r="C29" s="27">
        <v>180.0</v>
      </c>
      <c r="D29" s="28" t="s">
        <v>59079</v>
      </c>
      <c r="E29" s="28" t="s">
        <v>59080</v>
      </c>
      <c r="F29" s="27">
        <v>172.0</v>
      </c>
      <c r="G29" s="27">
        <v>1.80101724E8</v>
      </c>
    </row>
    <row r="30" ht="12.75" customHeight="1">
      <c r="A30" s="31">
        <v>610.0</v>
      </c>
      <c r="B30" s="32" t="s">
        <v>59081</v>
      </c>
      <c r="C30" s="31">
        <v>180.0</v>
      </c>
      <c r="D30" s="32" t="s">
        <v>59082</v>
      </c>
      <c r="E30" s="32" t="s">
        <v>59083</v>
      </c>
      <c r="F30" s="31">
        <v>181.0</v>
      </c>
      <c r="G30" s="31">
        <v>1.80101816E8</v>
      </c>
    </row>
    <row r="31" ht="12.75" customHeight="1">
      <c r="A31" s="27">
        <v>610.0</v>
      </c>
      <c r="B31" s="28" t="s">
        <v>59084</v>
      </c>
      <c r="C31" s="27">
        <v>180.0</v>
      </c>
      <c r="D31" s="28" t="s">
        <v>59085</v>
      </c>
      <c r="E31" s="28" t="s">
        <v>59086</v>
      </c>
      <c r="F31" s="27">
        <v>187.0</v>
      </c>
      <c r="G31" s="27">
        <v>1.80101874E8</v>
      </c>
    </row>
    <row r="32" ht="12.75" customHeight="1">
      <c r="A32" s="31">
        <v>610.0</v>
      </c>
      <c r="B32" s="32" t="s">
        <v>59087</v>
      </c>
      <c r="C32" s="31">
        <v>180.0</v>
      </c>
      <c r="D32" s="32" t="s">
        <v>59088</v>
      </c>
      <c r="E32" s="32" t="s">
        <v>59089</v>
      </c>
      <c r="F32" s="31">
        <v>202.0</v>
      </c>
      <c r="G32" s="31">
        <v>1.80102028E8</v>
      </c>
    </row>
    <row r="33" ht="12.75" customHeight="1">
      <c r="A33" s="27">
        <v>610.0</v>
      </c>
      <c r="B33" s="28" t="s">
        <v>59090</v>
      </c>
      <c r="C33" s="27">
        <v>180.0</v>
      </c>
      <c r="D33" s="28" t="s">
        <v>59091</v>
      </c>
      <c r="E33" s="28" t="s">
        <v>59092</v>
      </c>
      <c r="F33" s="27">
        <v>205.0</v>
      </c>
      <c r="G33" s="27">
        <v>1.80102057E8</v>
      </c>
    </row>
    <row r="34" ht="12.75" customHeight="1">
      <c r="A34" s="31">
        <v>610.0</v>
      </c>
      <c r="B34" s="32" t="s">
        <v>59093</v>
      </c>
      <c r="C34" s="31">
        <v>180.0</v>
      </c>
      <c r="D34" s="32" t="s">
        <v>59094</v>
      </c>
      <c r="E34" s="32" t="s">
        <v>59095</v>
      </c>
      <c r="F34" s="31">
        <v>214.0</v>
      </c>
      <c r="G34" s="31">
        <v>1.80102149E8</v>
      </c>
    </row>
    <row r="35" ht="12.75" customHeight="1">
      <c r="A35" s="27">
        <v>610.0</v>
      </c>
      <c r="B35" s="28" t="s">
        <v>59096</v>
      </c>
      <c r="C35" s="27">
        <v>180.0</v>
      </c>
      <c r="D35" s="28" t="s">
        <v>59097</v>
      </c>
      <c r="E35" s="28" t="s">
        <v>59098</v>
      </c>
      <c r="F35" s="27">
        <v>223.0</v>
      </c>
      <c r="G35" s="27">
        <v>1.80102231E8</v>
      </c>
    </row>
    <row r="36" ht="12.75" customHeight="1">
      <c r="A36" s="31">
        <v>610.0</v>
      </c>
      <c r="B36" s="32" t="s">
        <v>59099</v>
      </c>
      <c r="C36" s="31">
        <v>180.0</v>
      </c>
      <c r="D36" s="32" t="s">
        <v>59100</v>
      </c>
      <c r="E36" s="32" t="s">
        <v>59101</v>
      </c>
      <c r="F36" s="31">
        <v>226.0</v>
      </c>
      <c r="G36" s="31">
        <v>1.8010226E8</v>
      </c>
    </row>
    <row r="37" ht="12.75" customHeight="1">
      <c r="A37" s="27">
        <v>610.0</v>
      </c>
      <c r="B37" s="28" t="s">
        <v>59102</v>
      </c>
      <c r="C37" s="27">
        <v>180.0</v>
      </c>
      <c r="D37" s="28" t="s">
        <v>59103</v>
      </c>
      <c r="E37" s="28" t="s">
        <v>59104</v>
      </c>
      <c r="F37" s="27">
        <v>229.0</v>
      </c>
      <c r="G37" s="27">
        <v>1.80102299E8</v>
      </c>
    </row>
    <row r="38" ht="12.75" customHeight="1">
      <c r="A38" s="31">
        <v>610.0</v>
      </c>
      <c r="B38" s="32" t="s">
        <v>59105</v>
      </c>
      <c r="C38" s="31">
        <v>180.0</v>
      </c>
      <c r="D38" s="32" t="s">
        <v>59106</v>
      </c>
      <c r="E38" s="32" t="s">
        <v>59107</v>
      </c>
      <c r="F38" s="31">
        <v>241.0</v>
      </c>
      <c r="G38" s="31">
        <v>1.80102415E8</v>
      </c>
    </row>
    <row r="39" ht="12.75" customHeight="1">
      <c r="A39" s="27">
        <v>610.0</v>
      </c>
      <c r="B39" s="28" t="s">
        <v>59108</v>
      </c>
      <c r="C39" s="27">
        <v>180.0</v>
      </c>
      <c r="D39" s="28" t="s">
        <v>59109</v>
      </c>
      <c r="E39" s="28" t="s">
        <v>59110</v>
      </c>
      <c r="F39" s="27">
        <v>247.0</v>
      </c>
      <c r="G39" s="27">
        <v>1.80102473E8</v>
      </c>
    </row>
    <row r="40" ht="12.75" customHeight="1">
      <c r="A40" s="31">
        <v>610.0</v>
      </c>
      <c r="B40" s="32" t="s">
        <v>59111</v>
      </c>
      <c r="C40" s="31">
        <v>180.0</v>
      </c>
      <c r="D40" s="32" t="s">
        <v>59112</v>
      </c>
      <c r="E40" s="32" t="s">
        <v>59113</v>
      </c>
      <c r="F40" s="31">
        <v>253.0</v>
      </c>
      <c r="G40" s="31">
        <v>1.80102536E8</v>
      </c>
    </row>
    <row r="41" ht="12.75" customHeight="1">
      <c r="A41" s="27">
        <v>610.0</v>
      </c>
      <c r="B41" s="28" t="s">
        <v>59114</v>
      </c>
      <c r="C41" s="27">
        <v>180.0</v>
      </c>
      <c r="D41" s="28" t="s">
        <v>59115</v>
      </c>
      <c r="E41" s="28" t="s">
        <v>59116</v>
      </c>
      <c r="F41" s="27">
        <v>256.0</v>
      </c>
      <c r="G41" s="27">
        <v>1.80102565E8</v>
      </c>
    </row>
    <row r="42" ht="12.75" customHeight="1">
      <c r="A42" s="31">
        <v>610.0</v>
      </c>
      <c r="B42" s="32" t="s">
        <v>59117</v>
      </c>
      <c r="C42" s="31">
        <v>180.0</v>
      </c>
      <c r="D42" s="32" t="s">
        <v>59118</v>
      </c>
      <c r="E42" s="32" t="s">
        <v>59119</v>
      </c>
      <c r="F42" s="31">
        <v>270.0</v>
      </c>
      <c r="G42" s="31">
        <v>1.80102707E8</v>
      </c>
    </row>
    <row r="43" ht="12.75" customHeight="1">
      <c r="A43" s="27">
        <v>610.0</v>
      </c>
      <c r="B43" s="28" t="s">
        <v>59120</v>
      </c>
      <c r="C43" s="27">
        <v>180.0</v>
      </c>
      <c r="D43" s="28" t="s">
        <v>59121</v>
      </c>
      <c r="E43" s="28" t="s">
        <v>59122</v>
      </c>
      <c r="F43" s="27">
        <v>271.0</v>
      </c>
      <c r="G43" s="27">
        <v>1.8010271E8</v>
      </c>
    </row>
    <row r="44" ht="12.75" customHeight="1">
      <c r="A44" s="31">
        <v>610.0</v>
      </c>
      <c r="B44" s="32" t="s">
        <v>59123</v>
      </c>
      <c r="C44" s="31">
        <v>180.0</v>
      </c>
      <c r="D44" s="32" t="s">
        <v>59124</v>
      </c>
      <c r="E44" s="32" t="s">
        <v>59125</v>
      </c>
      <c r="F44" s="31">
        <v>274.0</v>
      </c>
      <c r="G44" s="31">
        <v>1.80102749E8</v>
      </c>
    </row>
    <row r="45" ht="12.75" customHeight="1">
      <c r="A45" s="27">
        <v>610.0</v>
      </c>
      <c r="B45" s="28" t="s">
        <v>59126</v>
      </c>
      <c r="C45" s="27">
        <v>180.0</v>
      </c>
      <c r="D45" s="28" t="s">
        <v>59127</v>
      </c>
      <c r="E45" s="28" t="s">
        <v>59128</v>
      </c>
      <c r="F45" s="27">
        <v>280.0</v>
      </c>
      <c r="G45" s="27">
        <v>1.80102802E8</v>
      </c>
    </row>
    <row r="46" ht="12.75" customHeight="1">
      <c r="A46" s="31">
        <v>610.0</v>
      </c>
      <c r="B46" s="32" t="s">
        <v>59129</v>
      </c>
      <c r="C46" s="31">
        <v>180.0</v>
      </c>
      <c r="D46" s="32" t="s">
        <v>59130</v>
      </c>
      <c r="E46" s="32" t="s">
        <v>59131</v>
      </c>
      <c r="F46" s="31">
        <v>292.0</v>
      </c>
      <c r="G46" s="31">
        <v>1.80102923E8</v>
      </c>
    </row>
    <row r="47" ht="12.75" customHeight="1">
      <c r="A47" s="27">
        <v>610.0</v>
      </c>
      <c r="B47" s="28" t="s">
        <v>59132</v>
      </c>
      <c r="C47" s="27">
        <v>180.0</v>
      </c>
      <c r="D47" s="28" t="s">
        <v>59133</v>
      </c>
      <c r="E47" s="28" t="s">
        <v>59134</v>
      </c>
      <c r="F47" s="27">
        <v>298.0</v>
      </c>
      <c r="G47" s="27">
        <v>1.80102981E8</v>
      </c>
    </row>
    <row r="48" ht="12.75" customHeight="1">
      <c r="A48" s="31">
        <v>610.0</v>
      </c>
      <c r="B48" s="32" t="s">
        <v>59135</v>
      </c>
      <c r="C48" s="31">
        <v>180.0</v>
      </c>
      <c r="D48" s="32" t="s">
        <v>59136</v>
      </c>
      <c r="E48" s="32" t="s">
        <v>59137</v>
      </c>
      <c r="F48" s="31">
        <v>319.0</v>
      </c>
      <c r="G48" s="31">
        <v>1.80103193E8</v>
      </c>
    </row>
    <row r="49" ht="12.75" customHeight="1">
      <c r="A49" s="27">
        <v>127.0</v>
      </c>
      <c r="B49" s="28" t="s">
        <v>59138</v>
      </c>
      <c r="C49" s="27">
        <v>180.0</v>
      </c>
      <c r="D49" s="28" t="s">
        <v>59139</v>
      </c>
      <c r="E49" s="28" t="s">
        <v>59140</v>
      </c>
      <c r="F49" s="29">
        <v>0.0</v>
      </c>
      <c r="G49" s="27">
        <v>1.8027E8</v>
      </c>
    </row>
    <row r="50" ht="12.75" customHeight="1">
      <c r="A50" s="31">
        <v>127.0</v>
      </c>
      <c r="B50" s="32" t="s">
        <v>59141</v>
      </c>
      <c r="C50" s="31">
        <v>180.0</v>
      </c>
      <c r="D50" s="32" t="s">
        <v>59142</v>
      </c>
      <c r="E50" s="32" t="s">
        <v>59143</v>
      </c>
      <c r="F50" s="31">
        <v>151.0</v>
      </c>
      <c r="G50" s="31">
        <v>1.80271517E8</v>
      </c>
    </row>
    <row r="51" ht="12.75" customHeight="1">
      <c r="A51" s="27">
        <v>728.0</v>
      </c>
      <c r="B51" s="28" t="s">
        <v>59144</v>
      </c>
      <c r="C51" s="27">
        <v>180.0</v>
      </c>
      <c r="D51" s="28" t="s">
        <v>59145</v>
      </c>
      <c r="E51" s="28" t="s">
        <v>59146</v>
      </c>
      <c r="F51" s="29">
        <v>8.0</v>
      </c>
      <c r="G51" s="27">
        <v>1.80280087E8</v>
      </c>
    </row>
    <row r="52" ht="12.75" customHeight="1">
      <c r="A52" s="31">
        <v>728.0</v>
      </c>
      <c r="B52" s="32" t="s">
        <v>59147</v>
      </c>
      <c r="C52" s="31">
        <v>180.0</v>
      </c>
      <c r="D52" s="32" t="s">
        <v>59148</v>
      </c>
      <c r="E52" s="32" t="s">
        <v>59149</v>
      </c>
      <c r="F52" s="33">
        <v>13.0</v>
      </c>
      <c r="G52" s="31">
        <v>1.80280137E8</v>
      </c>
    </row>
    <row r="53" ht="12.75" customHeight="1">
      <c r="A53" s="27">
        <v>728.0</v>
      </c>
      <c r="B53" s="28" t="s">
        <v>59150</v>
      </c>
      <c r="C53" s="27">
        <v>180.0</v>
      </c>
      <c r="D53" s="28" t="s">
        <v>59151</v>
      </c>
      <c r="E53" s="28" t="s">
        <v>59152</v>
      </c>
      <c r="F53" s="29">
        <v>22.0</v>
      </c>
      <c r="G53" s="27">
        <v>1.80280229E8</v>
      </c>
    </row>
    <row r="54" ht="12.75" customHeight="1">
      <c r="A54" s="31">
        <v>728.0</v>
      </c>
      <c r="B54" s="32" t="s">
        <v>59153</v>
      </c>
      <c r="C54" s="31">
        <v>180.0</v>
      </c>
      <c r="D54" s="32" t="s">
        <v>59154</v>
      </c>
      <c r="E54" s="32" t="s">
        <v>59155</v>
      </c>
      <c r="F54" s="33">
        <v>34.0</v>
      </c>
      <c r="G54" s="31">
        <v>1.8028034E8</v>
      </c>
    </row>
    <row r="55" ht="12.75" customHeight="1">
      <c r="A55" s="27">
        <v>728.0</v>
      </c>
      <c r="B55" s="28" t="s">
        <v>59156</v>
      </c>
      <c r="C55" s="27">
        <v>180.0</v>
      </c>
      <c r="D55" s="28" t="s">
        <v>59157</v>
      </c>
      <c r="E55" s="28" t="s">
        <v>59158</v>
      </c>
      <c r="F55" s="29">
        <v>37.0</v>
      </c>
      <c r="G55" s="27">
        <v>1.80280379E8</v>
      </c>
    </row>
    <row r="56" ht="12.75" customHeight="1">
      <c r="A56" s="31">
        <v>728.0</v>
      </c>
      <c r="B56" s="32" t="s">
        <v>59159</v>
      </c>
      <c r="C56" s="31">
        <v>180.0</v>
      </c>
      <c r="D56" s="32" t="s">
        <v>59160</v>
      </c>
      <c r="E56" s="32" t="s">
        <v>59161</v>
      </c>
      <c r="F56" s="33">
        <v>40.0</v>
      </c>
      <c r="G56" s="31">
        <v>1.80280403E8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728.0</v>
      </c>
      <c r="B1" s="28" t="s">
        <v>59162</v>
      </c>
      <c r="C1" s="27">
        <v>180.0</v>
      </c>
      <c r="D1" s="28" t="s">
        <v>59163</v>
      </c>
      <c r="E1" s="28" t="s">
        <v>59164</v>
      </c>
      <c r="F1" s="29">
        <v>43.0</v>
      </c>
      <c r="G1" s="27">
        <v>1.80280432E8</v>
      </c>
    </row>
    <row r="2" ht="12.75" customHeight="1">
      <c r="A2" s="31">
        <v>728.0</v>
      </c>
      <c r="B2" s="32" t="s">
        <v>59165</v>
      </c>
      <c r="C2" s="31">
        <v>180.0</v>
      </c>
      <c r="D2" s="32" t="s">
        <v>59166</v>
      </c>
      <c r="E2" s="32" t="s">
        <v>59167</v>
      </c>
      <c r="F2" s="33">
        <v>46.0</v>
      </c>
      <c r="G2" s="31">
        <v>1.80280461E8</v>
      </c>
    </row>
    <row r="3" ht="12.75" customHeight="1">
      <c r="A3" s="27">
        <v>728.0</v>
      </c>
      <c r="B3" s="28" t="s">
        <v>59168</v>
      </c>
      <c r="C3" s="27">
        <v>180.0</v>
      </c>
      <c r="D3" s="28" t="s">
        <v>59169</v>
      </c>
      <c r="E3" s="28" t="s">
        <v>59170</v>
      </c>
      <c r="F3" s="29">
        <v>52.0</v>
      </c>
      <c r="G3" s="27">
        <v>1.80280524E8</v>
      </c>
    </row>
    <row r="4" ht="12.75" customHeight="1">
      <c r="A4" s="31">
        <v>728.0</v>
      </c>
      <c r="B4" s="32" t="s">
        <v>59171</v>
      </c>
      <c r="C4" s="31">
        <v>180.0</v>
      </c>
      <c r="D4" s="32" t="s">
        <v>59172</v>
      </c>
      <c r="E4" s="32" t="s">
        <v>59173</v>
      </c>
      <c r="F4" s="33">
        <v>58.0</v>
      </c>
      <c r="G4" s="31">
        <v>1.80280582E8</v>
      </c>
    </row>
    <row r="5" ht="12.75" customHeight="1">
      <c r="A5" s="27">
        <v>728.0</v>
      </c>
      <c r="B5" s="28" t="s">
        <v>59174</v>
      </c>
      <c r="C5" s="27">
        <v>180.0</v>
      </c>
      <c r="D5" s="28" t="s">
        <v>59175</v>
      </c>
      <c r="E5" s="28" t="s">
        <v>59176</v>
      </c>
      <c r="F5" s="29">
        <v>64.0</v>
      </c>
      <c r="G5" s="27">
        <v>1.80280645E8</v>
      </c>
    </row>
    <row r="6" ht="12.75" customHeight="1">
      <c r="A6" s="31">
        <v>728.0</v>
      </c>
      <c r="B6" s="32" t="s">
        <v>59177</v>
      </c>
      <c r="C6" s="31">
        <v>180.0</v>
      </c>
      <c r="D6" s="32" t="s">
        <v>59178</v>
      </c>
      <c r="E6" s="32" t="s">
        <v>59179</v>
      </c>
      <c r="F6" s="33">
        <v>76.0</v>
      </c>
      <c r="G6" s="31">
        <v>1.80280766E8</v>
      </c>
    </row>
    <row r="7" ht="12.75" customHeight="1">
      <c r="A7" s="27">
        <v>728.0</v>
      </c>
      <c r="B7" s="28" t="s">
        <v>59180</v>
      </c>
      <c r="C7" s="27">
        <v>180.0</v>
      </c>
      <c r="D7" s="28" t="s">
        <v>59181</v>
      </c>
      <c r="E7" s="28" t="s">
        <v>59182</v>
      </c>
      <c r="F7" s="29">
        <v>82.0</v>
      </c>
      <c r="G7" s="27">
        <v>1.80280829E8</v>
      </c>
    </row>
    <row r="8" ht="12.75" customHeight="1">
      <c r="A8" s="31">
        <v>728.0</v>
      </c>
      <c r="B8" s="32" t="s">
        <v>59183</v>
      </c>
      <c r="C8" s="31">
        <v>180.0</v>
      </c>
      <c r="D8" s="32" t="s">
        <v>59184</v>
      </c>
      <c r="E8" s="32" t="s">
        <v>59185</v>
      </c>
      <c r="F8" s="33">
        <v>85.0</v>
      </c>
      <c r="G8" s="31">
        <v>1.80280858E8</v>
      </c>
    </row>
    <row r="9" ht="12.75" customHeight="1">
      <c r="A9" s="27">
        <v>728.0</v>
      </c>
      <c r="B9" s="28" t="s">
        <v>59186</v>
      </c>
      <c r="C9" s="27">
        <v>180.0</v>
      </c>
      <c r="D9" s="28" t="s">
        <v>59187</v>
      </c>
      <c r="E9" s="28" t="s">
        <v>59188</v>
      </c>
      <c r="F9" s="29">
        <v>91.0</v>
      </c>
      <c r="G9" s="27">
        <v>1.80280911E8</v>
      </c>
    </row>
    <row r="10" ht="12.75" customHeight="1">
      <c r="A10" s="31">
        <v>728.0</v>
      </c>
      <c r="B10" s="32" t="s">
        <v>59189</v>
      </c>
      <c r="C10" s="31">
        <v>180.0</v>
      </c>
      <c r="D10" s="32" t="s">
        <v>59190</v>
      </c>
      <c r="E10" s="32" t="s">
        <v>59191</v>
      </c>
      <c r="F10" s="33">
        <v>94.0</v>
      </c>
      <c r="G10" s="31">
        <v>1.8028094E8</v>
      </c>
    </row>
    <row r="11" ht="12.75" customHeight="1">
      <c r="A11" s="27">
        <v>728.0</v>
      </c>
      <c r="B11" s="28" t="s">
        <v>59192</v>
      </c>
      <c r="C11" s="27">
        <v>180.0</v>
      </c>
      <c r="D11" s="28" t="s">
        <v>59193</v>
      </c>
      <c r="E11" s="28" t="s">
        <v>59194</v>
      </c>
      <c r="F11" s="27">
        <v>109.0</v>
      </c>
      <c r="G11" s="27">
        <v>1.80281099E8</v>
      </c>
    </row>
    <row r="12" ht="12.75" customHeight="1">
      <c r="A12" s="31">
        <v>728.0</v>
      </c>
      <c r="B12" s="32" t="s">
        <v>59195</v>
      </c>
      <c r="C12" s="31">
        <v>180.0</v>
      </c>
      <c r="D12" s="32" t="s">
        <v>59196</v>
      </c>
      <c r="E12" s="32" t="s">
        <v>59197</v>
      </c>
      <c r="F12" s="31">
        <v>112.0</v>
      </c>
      <c r="G12" s="31">
        <v>1.80281123E8</v>
      </c>
    </row>
    <row r="13" ht="12.75" customHeight="1">
      <c r="A13" s="27">
        <v>728.0</v>
      </c>
      <c r="B13" s="28" t="s">
        <v>59198</v>
      </c>
      <c r="C13" s="27">
        <v>180.0</v>
      </c>
      <c r="D13" s="28" t="s">
        <v>59199</v>
      </c>
      <c r="E13" s="28" t="s">
        <v>59200</v>
      </c>
      <c r="F13" s="27">
        <v>118.0</v>
      </c>
      <c r="G13" s="27">
        <v>1.80281181E8</v>
      </c>
    </row>
    <row r="14" ht="12.75" customHeight="1">
      <c r="A14" s="31">
        <v>728.0</v>
      </c>
      <c r="B14" s="32" t="s">
        <v>59201</v>
      </c>
      <c r="C14" s="31">
        <v>180.0</v>
      </c>
      <c r="D14" s="32" t="s">
        <v>59202</v>
      </c>
      <c r="E14" s="32" t="s">
        <v>59203</v>
      </c>
      <c r="F14" s="31">
        <v>121.0</v>
      </c>
      <c r="G14" s="31">
        <v>1.80281215E8</v>
      </c>
    </row>
    <row r="15" ht="12.75" customHeight="1">
      <c r="A15" s="27">
        <v>728.0</v>
      </c>
      <c r="B15" s="28" t="s">
        <v>59204</v>
      </c>
      <c r="C15" s="27">
        <v>180.0</v>
      </c>
      <c r="D15" s="28" t="s">
        <v>59205</v>
      </c>
      <c r="E15" s="28" t="s">
        <v>59206</v>
      </c>
      <c r="F15" s="27">
        <v>124.0</v>
      </c>
      <c r="G15" s="27">
        <v>1.80281244E8</v>
      </c>
    </row>
    <row r="16" ht="12.75" customHeight="1">
      <c r="A16" s="31">
        <v>728.0</v>
      </c>
      <c r="B16" s="32" t="s">
        <v>59207</v>
      </c>
      <c r="C16" s="31">
        <v>180.0</v>
      </c>
      <c r="D16" s="32" t="s">
        <v>59208</v>
      </c>
      <c r="E16" s="32" t="s">
        <v>59209</v>
      </c>
      <c r="F16" s="31">
        <v>127.0</v>
      </c>
      <c r="G16" s="31">
        <v>1.80281273E8</v>
      </c>
    </row>
    <row r="17" ht="12.75" customHeight="1">
      <c r="A17" s="27">
        <v>728.0</v>
      </c>
      <c r="B17" s="28" t="s">
        <v>59210</v>
      </c>
      <c r="C17" s="27">
        <v>180.0</v>
      </c>
      <c r="D17" s="28" t="s">
        <v>59211</v>
      </c>
      <c r="E17" s="28" t="s">
        <v>59212</v>
      </c>
      <c r="F17" s="27">
        <v>131.0</v>
      </c>
      <c r="G17" s="27">
        <v>1.8028131E8</v>
      </c>
    </row>
    <row r="18" ht="12.75" customHeight="1">
      <c r="A18" s="31">
        <v>728.0</v>
      </c>
      <c r="B18" s="32" t="s">
        <v>59213</v>
      </c>
      <c r="C18" s="31">
        <v>180.0</v>
      </c>
      <c r="D18" s="32" t="s">
        <v>59214</v>
      </c>
      <c r="E18" s="32" t="s">
        <v>59215</v>
      </c>
      <c r="F18" s="31">
        <v>139.0</v>
      </c>
      <c r="G18" s="31">
        <v>1.80281394E8</v>
      </c>
    </row>
    <row r="19" ht="12.75" customHeight="1">
      <c r="A19" s="27">
        <v>728.0</v>
      </c>
      <c r="B19" s="28" t="s">
        <v>59216</v>
      </c>
      <c r="C19" s="27">
        <v>180.0</v>
      </c>
      <c r="D19" s="28" t="s">
        <v>59217</v>
      </c>
      <c r="E19" s="28" t="s">
        <v>59218</v>
      </c>
      <c r="F19" s="27">
        <v>148.0</v>
      </c>
      <c r="G19" s="27">
        <v>1.80281486E8</v>
      </c>
    </row>
    <row r="20" ht="12.75" customHeight="1">
      <c r="A20" s="31">
        <v>728.0</v>
      </c>
      <c r="B20" s="32" t="s">
        <v>59219</v>
      </c>
      <c r="C20" s="31">
        <v>180.0</v>
      </c>
      <c r="D20" s="32" t="s">
        <v>59220</v>
      </c>
      <c r="E20" s="32" t="s">
        <v>59221</v>
      </c>
      <c r="F20" s="31">
        <v>154.0</v>
      </c>
      <c r="G20" s="31">
        <v>1.80281549E8</v>
      </c>
    </row>
    <row r="21" ht="12.75" customHeight="1">
      <c r="A21" s="27">
        <v>728.0</v>
      </c>
      <c r="B21" s="28" t="s">
        <v>59222</v>
      </c>
      <c r="C21" s="27">
        <v>180.0</v>
      </c>
      <c r="D21" s="28" t="s">
        <v>59223</v>
      </c>
      <c r="E21" s="28" t="s">
        <v>59224</v>
      </c>
      <c r="F21" s="27">
        <v>163.0</v>
      </c>
      <c r="G21" s="27">
        <v>1.80281631E8</v>
      </c>
    </row>
    <row r="22" ht="12.75" customHeight="1">
      <c r="A22" s="31">
        <v>728.0</v>
      </c>
      <c r="B22" s="32" t="s">
        <v>59225</v>
      </c>
      <c r="C22" s="31">
        <v>180.0</v>
      </c>
      <c r="D22" s="32" t="s">
        <v>59226</v>
      </c>
      <c r="E22" s="32" t="s">
        <v>59227</v>
      </c>
      <c r="F22" s="31">
        <v>169.0</v>
      </c>
      <c r="G22" s="31">
        <v>1.80281699E8</v>
      </c>
    </row>
    <row r="23" ht="12.75" customHeight="1">
      <c r="A23" s="27">
        <v>728.0</v>
      </c>
      <c r="B23" s="28" t="s">
        <v>59228</v>
      </c>
      <c r="C23" s="27">
        <v>180.0</v>
      </c>
      <c r="D23" s="28" t="s">
        <v>59229</v>
      </c>
      <c r="E23" s="28" t="s">
        <v>59230</v>
      </c>
      <c r="F23" s="27">
        <v>178.0</v>
      </c>
      <c r="G23" s="27">
        <v>1.80281781E8</v>
      </c>
    </row>
    <row r="24" ht="12.75" customHeight="1">
      <c r="A24" s="31">
        <v>728.0</v>
      </c>
      <c r="B24" s="32" t="s">
        <v>59231</v>
      </c>
      <c r="C24" s="31">
        <v>180.0</v>
      </c>
      <c r="D24" s="32" t="s">
        <v>59232</v>
      </c>
      <c r="E24" s="32" t="s">
        <v>59233</v>
      </c>
      <c r="F24" s="31">
        <v>181.0</v>
      </c>
      <c r="G24" s="31">
        <v>1.80281815E8</v>
      </c>
    </row>
    <row r="25" ht="12.75" customHeight="1">
      <c r="A25" s="27">
        <v>728.0</v>
      </c>
      <c r="B25" s="28" t="s">
        <v>59234</v>
      </c>
      <c r="C25" s="27">
        <v>180.0</v>
      </c>
      <c r="D25" s="28" t="s">
        <v>59235</v>
      </c>
      <c r="E25" s="28" t="s">
        <v>59236</v>
      </c>
      <c r="F25" s="27">
        <v>187.0</v>
      </c>
      <c r="G25" s="27">
        <v>1.80281873E8</v>
      </c>
    </row>
    <row r="26" ht="12.75" customHeight="1">
      <c r="A26" s="31">
        <v>728.0</v>
      </c>
      <c r="B26" s="32" t="s">
        <v>59237</v>
      </c>
      <c r="C26" s="31">
        <v>180.0</v>
      </c>
      <c r="D26" s="32" t="s">
        <v>59238</v>
      </c>
      <c r="E26" s="32" t="s">
        <v>59239</v>
      </c>
      <c r="F26" s="31">
        <v>199.0</v>
      </c>
      <c r="G26" s="31">
        <v>1.80281994E8</v>
      </c>
    </row>
    <row r="27" ht="12.75" customHeight="1">
      <c r="A27" s="27">
        <v>728.0</v>
      </c>
      <c r="B27" s="28" t="s">
        <v>59240</v>
      </c>
      <c r="C27" s="27">
        <v>180.0</v>
      </c>
      <c r="D27" s="28" t="s">
        <v>59241</v>
      </c>
      <c r="E27" s="28" t="s">
        <v>59242</v>
      </c>
      <c r="F27" s="27">
        <v>208.0</v>
      </c>
      <c r="G27" s="27">
        <v>1.80282085E8</v>
      </c>
    </row>
    <row r="28" ht="12.75" customHeight="1">
      <c r="A28" s="31">
        <v>728.0</v>
      </c>
      <c r="B28" s="32" t="s">
        <v>59243</v>
      </c>
      <c r="C28" s="31">
        <v>180.0</v>
      </c>
      <c r="D28" s="32" t="s">
        <v>59244</v>
      </c>
      <c r="E28" s="32" t="s">
        <v>59245</v>
      </c>
      <c r="F28" s="31">
        <v>211.0</v>
      </c>
      <c r="G28" s="31">
        <v>1.80282119E8</v>
      </c>
    </row>
    <row r="29" ht="12.75" customHeight="1">
      <c r="A29" s="27">
        <v>728.0</v>
      </c>
      <c r="B29" s="28" t="s">
        <v>59246</v>
      </c>
      <c r="C29" s="27">
        <v>180.0</v>
      </c>
      <c r="D29" s="28" t="s">
        <v>59247</v>
      </c>
      <c r="E29" s="28" t="s">
        <v>59248</v>
      </c>
      <c r="F29" s="27">
        <v>217.0</v>
      </c>
      <c r="G29" s="27">
        <v>1.80282177E8</v>
      </c>
    </row>
    <row r="30" ht="12.75" customHeight="1">
      <c r="A30" s="31">
        <v>728.0</v>
      </c>
      <c r="B30" s="32" t="s">
        <v>59249</v>
      </c>
      <c r="C30" s="31">
        <v>180.0</v>
      </c>
      <c r="D30" s="32" t="s">
        <v>59250</v>
      </c>
      <c r="E30" s="32" t="s">
        <v>59251</v>
      </c>
      <c r="F30" s="31">
        <v>226.0</v>
      </c>
      <c r="G30" s="31">
        <v>1.80282269E8</v>
      </c>
    </row>
    <row r="31" ht="12.75" customHeight="1">
      <c r="A31" s="27">
        <v>728.0</v>
      </c>
      <c r="B31" s="28" t="s">
        <v>59252</v>
      </c>
      <c r="C31" s="27">
        <v>180.0</v>
      </c>
      <c r="D31" s="28" t="s">
        <v>59253</v>
      </c>
      <c r="E31" s="28" t="s">
        <v>59254</v>
      </c>
      <c r="F31" s="27">
        <v>238.0</v>
      </c>
      <c r="G31" s="27">
        <v>1.8028238E8</v>
      </c>
    </row>
    <row r="32" ht="12.75" customHeight="1">
      <c r="A32" s="31">
        <v>632.0</v>
      </c>
      <c r="B32" s="32" t="s">
        <v>59255</v>
      </c>
      <c r="C32" s="31">
        <v>180.0</v>
      </c>
      <c r="D32" s="32" t="s">
        <v>59256</v>
      </c>
      <c r="E32" s="32" t="s">
        <v>59257</v>
      </c>
      <c r="F32" s="33">
        <v>6.0</v>
      </c>
      <c r="G32" s="31">
        <v>1.80320068E8</v>
      </c>
    </row>
    <row r="33" ht="12.75" customHeight="1">
      <c r="A33" s="27">
        <v>632.0</v>
      </c>
      <c r="B33" s="28" t="s">
        <v>59258</v>
      </c>
      <c r="C33" s="27">
        <v>180.0</v>
      </c>
      <c r="D33" s="28" t="s">
        <v>59259</v>
      </c>
      <c r="E33" s="28" t="s">
        <v>59260</v>
      </c>
      <c r="F33" s="29">
        <v>7.0</v>
      </c>
      <c r="G33" s="27">
        <v>1.80320071E8</v>
      </c>
    </row>
    <row r="34" ht="12.75" customHeight="1">
      <c r="A34" s="31">
        <v>632.0</v>
      </c>
      <c r="B34" s="32" t="s">
        <v>59261</v>
      </c>
      <c r="C34" s="31">
        <v>180.0</v>
      </c>
      <c r="D34" s="32" t="s">
        <v>59262</v>
      </c>
      <c r="E34" s="32" t="s">
        <v>59263</v>
      </c>
      <c r="F34" s="33">
        <v>13.0</v>
      </c>
      <c r="G34" s="31">
        <v>1.80320134E8</v>
      </c>
    </row>
    <row r="35" ht="12.75" customHeight="1">
      <c r="A35" s="27">
        <v>632.0</v>
      </c>
      <c r="B35" s="28" t="s">
        <v>59264</v>
      </c>
      <c r="C35" s="27">
        <v>180.0</v>
      </c>
      <c r="D35" s="28" t="s">
        <v>59265</v>
      </c>
      <c r="E35" s="28" t="s">
        <v>59266</v>
      </c>
      <c r="F35" s="29">
        <v>22.0</v>
      </c>
      <c r="G35" s="27">
        <v>1.80320226E8</v>
      </c>
    </row>
    <row r="36" ht="12.75" customHeight="1">
      <c r="A36" s="31">
        <v>632.0</v>
      </c>
      <c r="B36" s="32" t="s">
        <v>59267</v>
      </c>
      <c r="C36" s="31">
        <v>180.0</v>
      </c>
      <c r="D36" s="32" t="s">
        <v>59268</v>
      </c>
      <c r="E36" s="32" t="s">
        <v>59269</v>
      </c>
      <c r="F36" s="33">
        <v>28.0</v>
      </c>
      <c r="G36" s="31">
        <v>1.80320284E8</v>
      </c>
    </row>
    <row r="37" ht="12.75" customHeight="1">
      <c r="A37" s="27">
        <v>632.0</v>
      </c>
      <c r="B37" s="28" t="s">
        <v>59270</v>
      </c>
      <c r="C37" s="27">
        <v>180.0</v>
      </c>
      <c r="D37" s="28" t="s">
        <v>59271</v>
      </c>
      <c r="E37" s="28" t="s">
        <v>59272</v>
      </c>
      <c r="F37" s="29">
        <v>34.0</v>
      </c>
      <c r="G37" s="27">
        <v>1.80320347E8</v>
      </c>
    </row>
    <row r="38" ht="12.75" customHeight="1">
      <c r="A38" s="31">
        <v>632.0</v>
      </c>
      <c r="B38" s="32" t="s">
        <v>59273</v>
      </c>
      <c r="C38" s="31">
        <v>180.0</v>
      </c>
      <c r="D38" s="32" t="s">
        <v>59274</v>
      </c>
      <c r="E38" s="32" t="s">
        <v>59275</v>
      </c>
      <c r="F38" s="33">
        <v>37.0</v>
      </c>
      <c r="G38" s="31">
        <v>1.80320376E8</v>
      </c>
    </row>
    <row r="39" ht="12.75" customHeight="1">
      <c r="A39" s="27">
        <v>632.0</v>
      </c>
      <c r="B39" s="28" t="s">
        <v>59276</v>
      </c>
      <c r="C39" s="27">
        <v>180.0</v>
      </c>
      <c r="D39" s="28" t="s">
        <v>59277</v>
      </c>
      <c r="E39" s="28" t="s">
        <v>59278</v>
      </c>
      <c r="F39" s="29">
        <v>40.0</v>
      </c>
      <c r="G39" s="27">
        <v>1.803204E8</v>
      </c>
    </row>
    <row r="40" ht="12.75" customHeight="1">
      <c r="A40" s="31">
        <v>632.0</v>
      </c>
      <c r="B40" s="32" t="s">
        <v>59279</v>
      </c>
      <c r="C40" s="31">
        <v>180.0</v>
      </c>
      <c r="D40" s="32" t="s">
        <v>59280</v>
      </c>
      <c r="E40" s="32" t="s">
        <v>59281</v>
      </c>
      <c r="F40" s="33">
        <v>46.0</v>
      </c>
      <c r="G40" s="31">
        <v>1.80320468E8</v>
      </c>
    </row>
    <row r="41" ht="12.75" customHeight="1">
      <c r="A41" s="27">
        <v>632.0</v>
      </c>
      <c r="B41" s="28" t="s">
        <v>59282</v>
      </c>
      <c r="C41" s="27">
        <v>180.0</v>
      </c>
      <c r="D41" s="28" t="s">
        <v>59283</v>
      </c>
      <c r="E41" s="28" t="s">
        <v>59284</v>
      </c>
      <c r="F41" s="29">
        <v>52.0</v>
      </c>
      <c r="G41" s="27">
        <v>1.80320521E8</v>
      </c>
    </row>
    <row r="42" ht="12.75" customHeight="1">
      <c r="A42" s="31">
        <v>632.0</v>
      </c>
      <c r="B42" s="32" t="s">
        <v>59285</v>
      </c>
      <c r="C42" s="31">
        <v>180.0</v>
      </c>
      <c r="D42" s="32" t="s">
        <v>59286</v>
      </c>
      <c r="E42" s="32" t="s">
        <v>59287</v>
      </c>
      <c r="F42" s="33">
        <v>58.0</v>
      </c>
      <c r="G42" s="31">
        <v>1.80320589E8</v>
      </c>
    </row>
    <row r="43" ht="12.75" customHeight="1">
      <c r="A43" s="27">
        <v>632.0</v>
      </c>
      <c r="B43" s="28" t="s">
        <v>59288</v>
      </c>
      <c r="C43" s="27">
        <v>180.0</v>
      </c>
      <c r="D43" s="28" t="s">
        <v>59289</v>
      </c>
      <c r="E43" s="28" t="s">
        <v>59290</v>
      </c>
      <c r="F43" s="29">
        <v>64.0</v>
      </c>
      <c r="G43" s="27">
        <v>1.80320642E8</v>
      </c>
    </row>
    <row r="44" ht="12.75" customHeight="1">
      <c r="A44" s="31">
        <v>632.0</v>
      </c>
      <c r="B44" s="32" t="s">
        <v>59291</v>
      </c>
      <c r="C44" s="31">
        <v>180.0</v>
      </c>
      <c r="D44" s="32" t="s">
        <v>59292</v>
      </c>
      <c r="E44" s="32" t="s">
        <v>59293</v>
      </c>
      <c r="F44" s="33">
        <v>76.0</v>
      </c>
      <c r="G44" s="31">
        <v>1.80320763E8</v>
      </c>
    </row>
    <row r="45" ht="12.75" customHeight="1">
      <c r="A45" s="27">
        <v>632.0</v>
      </c>
      <c r="B45" s="28" t="s">
        <v>59294</v>
      </c>
      <c r="C45" s="27">
        <v>180.0</v>
      </c>
      <c r="D45" s="28" t="s">
        <v>59295</v>
      </c>
      <c r="E45" s="28" t="s">
        <v>59296</v>
      </c>
      <c r="F45" s="29">
        <v>79.0</v>
      </c>
      <c r="G45" s="27">
        <v>1.80320792E8</v>
      </c>
    </row>
    <row r="46" ht="12.75" customHeight="1">
      <c r="A46" s="31">
        <v>632.0</v>
      </c>
      <c r="B46" s="32" t="s">
        <v>59297</v>
      </c>
      <c r="C46" s="31">
        <v>180.0</v>
      </c>
      <c r="D46" s="32" t="s">
        <v>59298</v>
      </c>
      <c r="E46" s="32" t="s">
        <v>59299</v>
      </c>
      <c r="F46" s="33">
        <v>82.0</v>
      </c>
      <c r="G46" s="31">
        <v>1.80320826E8</v>
      </c>
    </row>
    <row r="47" ht="12.75" customHeight="1">
      <c r="A47" s="27">
        <v>632.0</v>
      </c>
      <c r="B47" s="28" t="s">
        <v>59300</v>
      </c>
      <c r="C47" s="27">
        <v>180.0</v>
      </c>
      <c r="D47" s="28" t="s">
        <v>59301</v>
      </c>
      <c r="E47" s="28" t="s">
        <v>59302</v>
      </c>
      <c r="F47" s="29">
        <v>85.0</v>
      </c>
      <c r="G47" s="27">
        <v>1.80320855E8</v>
      </c>
    </row>
    <row r="48" ht="12.75" customHeight="1">
      <c r="A48" s="31">
        <v>632.0</v>
      </c>
      <c r="B48" s="32" t="s">
        <v>59303</v>
      </c>
      <c r="C48" s="31">
        <v>180.0</v>
      </c>
      <c r="D48" s="32" t="s">
        <v>59304</v>
      </c>
      <c r="E48" s="32" t="s">
        <v>59305</v>
      </c>
      <c r="F48" s="33">
        <v>88.0</v>
      </c>
      <c r="G48" s="31">
        <v>1.80320884E8</v>
      </c>
    </row>
    <row r="49" ht="12.75" customHeight="1">
      <c r="A49" s="27">
        <v>632.0</v>
      </c>
      <c r="B49" s="28" t="s">
        <v>59306</v>
      </c>
      <c r="C49" s="27">
        <v>180.0</v>
      </c>
      <c r="D49" s="28" t="s">
        <v>59307</v>
      </c>
      <c r="E49" s="28" t="s">
        <v>59308</v>
      </c>
      <c r="F49" s="29">
        <v>97.0</v>
      </c>
      <c r="G49" s="27">
        <v>1.80320976E8</v>
      </c>
    </row>
    <row r="50" ht="12.75" customHeight="1">
      <c r="A50" s="31">
        <v>632.0</v>
      </c>
      <c r="B50" s="32" t="s">
        <v>59309</v>
      </c>
      <c r="C50" s="31">
        <v>180.0</v>
      </c>
      <c r="D50" s="32" t="s">
        <v>59310</v>
      </c>
      <c r="E50" s="32" t="s">
        <v>59311</v>
      </c>
      <c r="F50" s="31">
        <v>100.0</v>
      </c>
      <c r="G50" s="31">
        <v>1.80321009E8</v>
      </c>
    </row>
    <row r="51" ht="12.75" customHeight="1">
      <c r="A51" s="27">
        <v>632.0</v>
      </c>
      <c r="B51" s="28" t="s">
        <v>59312</v>
      </c>
      <c r="C51" s="27">
        <v>180.0</v>
      </c>
      <c r="D51" s="28" t="s">
        <v>59313</v>
      </c>
      <c r="E51" s="28" t="s">
        <v>59314</v>
      </c>
      <c r="F51" s="27">
        <v>106.0</v>
      </c>
      <c r="G51" s="27">
        <v>1.80321067E8</v>
      </c>
    </row>
    <row r="52" ht="12.75" customHeight="1">
      <c r="A52" s="31">
        <v>632.0</v>
      </c>
      <c r="B52" s="32" t="s">
        <v>59315</v>
      </c>
      <c r="C52" s="31">
        <v>180.0</v>
      </c>
      <c r="D52" s="32" t="s">
        <v>59316</v>
      </c>
      <c r="E52" s="32" t="s">
        <v>59317</v>
      </c>
      <c r="F52" s="31">
        <v>109.0</v>
      </c>
      <c r="G52" s="31">
        <v>1.80321096E8</v>
      </c>
    </row>
    <row r="53" ht="12.75" customHeight="1">
      <c r="A53" s="27">
        <v>632.0</v>
      </c>
      <c r="B53" s="28" t="s">
        <v>59318</v>
      </c>
      <c r="C53" s="27">
        <v>180.0</v>
      </c>
      <c r="D53" s="28" t="s">
        <v>59319</v>
      </c>
      <c r="E53" s="28" t="s">
        <v>59320</v>
      </c>
      <c r="F53" s="27">
        <v>124.0</v>
      </c>
      <c r="G53" s="27">
        <v>1.80321241E8</v>
      </c>
    </row>
    <row r="54" ht="12.75" customHeight="1">
      <c r="A54" s="31">
        <v>632.0</v>
      </c>
      <c r="B54" s="32" t="s">
        <v>59321</v>
      </c>
      <c r="C54" s="31">
        <v>180.0</v>
      </c>
      <c r="D54" s="32" t="s">
        <v>59322</v>
      </c>
      <c r="E54" s="32" t="s">
        <v>59323</v>
      </c>
      <c r="F54" s="31">
        <v>127.0</v>
      </c>
      <c r="G54" s="31">
        <v>1.8032127E8</v>
      </c>
    </row>
    <row r="55" ht="12.75" customHeight="1">
      <c r="A55" s="27">
        <v>632.0</v>
      </c>
      <c r="B55" s="28" t="s">
        <v>59324</v>
      </c>
      <c r="C55" s="27">
        <v>180.0</v>
      </c>
      <c r="D55" s="28" t="s">
        <v>59325</v>
      </c>
      <c r="E55" s="28" t="s">
        <v>59326</v>
      </c>
      <c r="F55" s="27">
        <v>130.0</v>
      </c>
      <c r="G55" s="27">
        <v>1.80321304E8</v>
      </c>
    </row>
    <row r="56" ht="12.75" customHeight="1">
      <c r="A56" s="31">
        <v>632.0</v>
      </c>
      <c r="B56" s="32" t="s">
        <v>59327</v>
      </c>
      <c r="C56" s="31">
        <v>180.0</v>
      </c>
      <c r="D56" s="32" t="s">
        <v>59328</v>
      </c>
      <c r="E56" s="32" t="s">
        <v>59329</v>
      </c>
      <c r="F56" s="31">
        <v>133.0</v>
      </c>
      <c r="G56" s="31">
        <v>1.80321333E8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638.0</v>
      </c>
      <c r="B1" s="28" t="s">
        <v>59330</v>
      </c>
      <c r="C1" s="27">
        <v>180.0</v>
      </c>
      <c r="D1" s="28" t="s">
        <v>59331</v>
      </c>
      <c r="E1" s="28" t="s">
        <v>59332</v>
      </c>
      <c r="F1" s="29">
        <v>4.0</v>
      </c>
      <c r="G1" s="27">
        <v>1.8038004E8</v>
      </c>
    </row>
    <row r="2" ht="12.75" customHeight="1">
      <c r="A2" s="31">
        <v>638.0</v>
      </c>
      <c r="B2" s="32" t="s">
        <v>59333</v>
      </c>
      <c r="C2" s="31">
        <v>180.0</v>
      </c>
      <c r="D2" s="32" t="s">
        <v>59334</v>
      </c>
      <c r="E2" s="32" t="s">
        <v>59335</v>
      </c>
      <c r="F2" s="33">
        <v>7.0</v>
      </c>
      <c r="G2" s="31">
        <v>1.80380079E8</v>
      </c>
    </row>
    <row r="3" ht="12.75" customHeight="1">
      <c r="A3" s="27">
        <v>638.0</v>
      </c>
      <c r="B3" s="28" t="s">
        <v>59336</v>
      </c>
      <c r="C3" s="27">
        <v>180.0</v>
      </c>
      <c r="D3" s="28" t="s">
        <v>59337</v>
      </c>
      <c r="E3" s="28" t="s">
        <v>59338</v>
      </c>
      <c r="F3" s="29">
        <v>13.0</v>
      </c>
      <c r="G3" s="27">
        <v>1.80380132E8</v>
      </c>
    </row>
    <row r="4" ht="12.75" customHeight="1">
      <c r="A4" s="31">
        <v>638.0</v>
      </c>
      <c r="B4" s="32" t="s">
        <v>59339</v>
      </c>
      <c r="C4" s="31">
        <v>180.0</v>
      </c>
      <c r="D4" s="32" t="s">
        <v>59340</v>
      </c>
      <c r="E4" s="32" t="s">
        <v>59341</v>
      </c>
      <c r="F4" s="33">
        <v>16.0</v>
      </c>
      <c r="G4" s="31">
        <v>1.80380161E8</v>
      </c>
    </row>
    <row r="5" ht="12.75" customHeight="1">
      <c r="A5" s="27">
        <v>638.0</v>
      </c>
      <c r="B5" s="28" t="s">
        <v>59342</v>
      </c>
      <c r="C5" s="27">
        <v>180.0</v>
      </c>
      <c r="D5" s="28" t="s">
        <v>59343</v>
      </c>
      <c r="E5" s="28" t="s">
        <v>59344</v>
      </c>
      <c r="F5" s="29">
        <v>19.0</v>
      </c>
      <c r="G5" s="27">
        <v>1.8038019E8</v>
      </c>
    </row>
    <row r="6" ht="12.75" customHeight="1">
      <c r="A6" s="31">
        <v>638.0</v>
      </c>
      <c r="B6" s="32" t="s">
        <v>59345</v>
      </c>
      <c r="C6" s="31">
        <v>180.0</v>
      </c>
      <c r="D6" s="32" t="s">
        <v>59346</v>
      </c>
      <c r="E6" s="32" t="s">
        <v>59347</v>
      </c>
      <c r="F6" s="33">
        <v>25.0</v>
      </c>
      <c r="G6" s="31">
        <v>1.80380253E8</v>
      </c>
    </row>
    <row r="7" ht="12.75" customHeight="1">
      <c r="A7" s="27">
        <v>638.0</v>
      </c>
      <c r="B7" s="28" t="s">
        <v>59348</v>
      </c>
      <c r="C7" s="27">
        <v>180.0</v>
      </c>
      <c r="D7" s="28" t="s">
        <v>59349</v>
      </c>
      <c r="E7" s="28" t="s">
        <v>59350</v>
      </c>
      <c r="F7" s="29">
        <v>28.0</v>
      </c>
      <c r="G7" s="27">
        <v>1.80380282E8</v>
      </c>
    </row>
    <row r="8" ht="12.75" customHeight="1">
      <c r="A8" s="31">
        <v>638.0</v>
      </c>
      <c r="B8" s="32" t="s">
        <v>59351</v>
      </c>
      <c r="C8" s="31">
        <v>180.0</v>
      </c>
      <c r="D8" s="32" t="s">
        <v>59352</v>
      </c>
      <c r="E8" s="32" t="s">
        <v>59353</v>
      </c>
      <c r="F8" s="33">
        <v>40.0</v>
      </c>
      <c r="G8" s="31">
        <v>1.80380408E8</v>
      </c>
    </row>
    <row r="9" ht="12.75" customHeight="1">
      <c r="A9" s="27">
        <v>638.0</v>
      </c>
      <c r="B9" s="28" t="s">
        <v>59354</v>
      </c>
      <c r="C9" s="27">
        <v>180.0</v>
      </c>
      <c r="D9" s="28" t="s">
        <v>59355</v>
      </c>
      <c r="E9" s="28" t="s">
        <v>59356</v>
      </c>
      <c r="F9" s="29">
        <v>46.0</v>
      </c>
      <c r="G9" s="27">
        <v>1.80380466E8</v>
      </c>
    </row>
    <row r="10" ht="12.75" customHeight="1">
      <c r="A10" s="31">
        <v>638.0</v>
      </c>
      <c r="B10" s="32" t="s">
        <v>59357</v>
      </c>
      <c r="C10" s="31">
        <v>180.0</v>
      </c>
      <c r="D10" s="32" t="s">
        <v>59358</v>
      </c>
      <c r="E10" s="32" t="s">
        <v>59359</v>
      </c>
      <c r="F10" s="33">
        <v>49.0</v>
      </c>
      <c r="G10" s="31">
        <v>1.80380495E8</v>
      </c>
    </row>
    <row r="11" ht="12.75" customHeight="1">
      <c r="A11" s="27">
        <v>638.0</v>
      </c>
      <c r="B11" s="28" t="s">
        <v>59360</v>
      </c>
      <c r="C11" s="27">
        <v>180.0</v>
      </c>
      <c r="D11" s="28" t="s">
        <v>59361</v>
      </c>
      <c r="E11" s="28" t="s">
        <v>59362</v>
      </c>
      <c r="F11" s="29">
        <v>55.0</v>
      </c>
      <c r="G11" s="27">
        <v>1.80380558E8</v>
      </c>
    </row>
    <row r="12" ht="12.75" customHeight="1">
      <c r="A12" s="31">
        <v>638.0</v>
      </c>
      <c r="B12" s="32" t="s">
        <v>59363</v>
      </c>
      <c r="C12" s="31">
        <v>180.0</v>
      </c>
      <c r="D12" s="32" t="s">
        <v>59364</v>
      </c>
      <c r="E12" s="32" t="s">
        <v>59365</v>
      </c>
      <c r="F12" s="33">
        <v>64.0</v>
      </c>
      <c r="G12" s="31">
        <v>1.8038064E8</v>
      </c>
    </row>
    <row r="13" ht="12.75" customHeight="1">
      <c r="A13" s="27">
        <v>638.0</v>
      </c>
      <c r="B13" s="28" t="s">
        <v>59366</v>
      </c>
      <c r="C13" s="27">
        <v>180.0</v>
      </c>
      <c r="D13" s="28" t="s">
        <v>59367</v>
      </c>
      <c r="E13" s="28" t="s">
        <v>59368</v>
      </c>
      <c r="F13" s="29">
        <v>67.0</v>
      </c>
      <c r="G13" s="27">
        <v>1.80380679E8</v>
      </c>
    </row>
    <row r="14" ht="12.75" customHeight="1">
      <c r="A14" s="31">
        <v>638.0</v>
      </c>
      <c r="B14" s="32" t="s">
        <v>59369</v>
      </c>
      <c r="C14" s="31">
        <v>180.0</v>
      </c>
      <c r="D14" s="32" t="s">
        <v>59370</v>
      </c>
      <c r="E14" s="32" t="s">
        <v>59371</v>
      </c>
      <c r="F14" s="33">
        <v>73.0</v>
      </c>
      <c r="G14" s="31">
        <v>1.80380732E8</v>
      </c>
    </row>
    <row r="15" ht="12.75" customHeight="1">
      <c r="A15" s="27">
        <v>638.0</v>
      </c>
      <c r="B15" s="28" t="s">
        <v>59372</v>
      </c>
      <c r="C15" s="27">
        <v>180.0</v>
      </c>
      <c r="D15" s="28" t="s">
        <v>59373</v>
      </c>
      <c r="E15" s="28" t="s">
        <v>59374</v>
      </c>
      <c r="F15" s="29">
        <v>76.0</v>
      </c>
      <c r="G15" s="27">
        <v>1.80380761E8</v>
      </c>
    </row>
    <row r="16" ht="12.75" customHeight="1">
      <c r="A16" s="31">
        <v>749.0</v>
      </c>
      <c r="B16" s="32" t="s">
        <v>59375</v>
      </c>
      <c r="C16" s="31">
        <v>180.0</v>
      </c>
      <c r="D16" s="32" t="s">
        <v>59376</v>
      </c>
      <c r="E16" s="32" t="s">
        <v>59377</v>
      </c>
      <c r="F16" s="33">
        <v>4.0</v>
      </c>
      <c r="G16" s="31">
        <v>1.80490048E8</v>
      </c>
    </row>
    <row r="17" ht="12.75" customHeight="1">
      <c r="A17" s="27">
        <v>749.0</v>
      </c>
      <c r="B17" s="28" t="s">
        <v>59378</v>
      </c>
      <c r="C17" s="27">
        <v>180.0</v>
      </c>
      <c r="D17" s="28" t="s">
        <v>59379</v>
      </c>
      <c r="E17" s="28" t="s">
        <v>59380</v>
      </c>
      <c r="F17" s="29">
        <v>10.0</v>
      </c>
      <c r="G17" s="27">
        <v>1.80490101E8</v>
      </c>
    </row>
    <row r="18" ht="12.75" customHeight="1">
      <c r="A18" s="31">
        <v>749.0</v>
      </c>
      <c r="B18" s="32" t="s">
        <v>59381</v>
      </c>
      <c r="C18" s="31">
        <v>180.0</v>
      </c>
      <c r="D18" s="32" t="s">
        <v>59382</v>
      </c>
      <c r="E18" s="32" t="s">
        <v>59383</v>
      </c>
      <c r="F18" s="33">
        <v>13.0</v>
      </c>
      <c r="G18" s="31">
        <v>1.8049013E8</v>
      </c>
    </row>
    <row r="19" ht="12.75" customHeight="1">
      <c r="A19" s="27">
        <v>749.0</v>
      </c>
      <c r="B19" s="28" t="s">
        <v>59384</v>
      </c>
      <c r="C19" s="27">
        <v>180.0</v>
      </c>
      <c r="D19" s="28" t="s">
        <v>59385</v>
      </c>
      <c r="E19" s="28" t="s">
        <v>59386</v>
      </c>
      <c r="F19" s="29">
        <v>19.0</v>
      </c>
      <c r="G19" s="27">
        <v>1.80490198E8</v>
      </c>
    </row>
    <row r="20" ht="12.75" customHeight="1">
      <c r="A20" s="31">
        <v>749.0</v>
      </c>
      <c r="B20" s="32" t="s">
        <v>59387</v>
      </c>
      <c r="C20" s="31">
        <v>180.0</v>
      </c>
      <c r="D20" s="32" t="s">
        <v>59388</v>
      </c>
      <c r="E20" s="32" t="s">
        <v>59389</v>
      </c>
      <c r="F20" s="33">
        <v>22.0</v>
      </c>
      <c r="G20" s="31">
        <v>1.80490222E8</v>
      </c>
    </row>
    <row r="21" ht="12.75" customHeight="1">
      <c r="A21" s="27">
        <v>749.0</v>
      </c>
      <c r="B21" s="28" t="s">
        <v>59390</v>
      </c>
      <c r="C21" s="27">
        <v>180.0</v>
      </c>
      <c r="D21" s="28" t="s">
        <v>59391</v>
      </c>
      <c r="E21" s="28" t="s">
        <v>59392</v>
      </c>
      <c r="F21" s="29">
        <v>25.0</v>
      </c>
      <c r="G21" s="27">
        <v>1.80490251E8</v>
      </c>
    </row>
    <row r="22" ht="12.75" customHeight="1">
      <c r="A22" s="31">
        <v>749.0</v>
      </c>
      <c r="B22" s="32" t="s">
        <v>59393</v>
      </c>
      <c r="C22" s="31">
        <v>180.0</v>
      </c>
      <c r="D22" s="32" t="s">
        <v>59394</v>
      </c>
      <c r="E22" s="32" t="s">
        <v>59395</v>
      </c>
      <c r="F22" s="33">
        <v>28.0</v>
      </c>
      <c r="G22" s="31">
        <v>1.8049028E8</v>
      </c>
    </row>
    <row r="23" ht="12.75" customHeight="1">
      <c r="A23" s="27">
        <v>749.0</v>
      </c>
      <c r="B23" s="28" t="s">
        <v>59396</v>
      </c>
      <c r="C23" s="27">
        <v>180.0</v>
      </c>
      <c r="D23" s="28" t="s">
        <v>59397</v>
      </c>
      <c r="E23" s="28" t="s">
        <v>59398</v>
      </c>
      <c r="F23" s="29">
        <v>31.0</v>
      </c>
      <c r="G23" s="27">
        <v>1.80490314E8</v>
      </c>
    </row>
    <row r="24" ht="12.75" customHeight="1">
      <c r="A24" s="31">
        <v>749.0</v>
      </c>
      <c r="B24" s="32" t="s">
        <v>59399</v>
      </c>
      <c r="C24" s="31">
        <v>180.0</v>
      </c>
      <c r="D24" s="32" t="s">
        <v>59400</v>
      </c>
      <c r="E24" s="32" t="s">
        <v>59401</v>
      </c>
      <c r="F24" s="33">
        <v>34.0</v>
      </c>
      <c r="G24" s="31">
        <v>1.80490343E8</v>
      </c>
    </row>
    <row r="25" ht="12.75" customHeight="1">
      <c r="A25" s="27">
        <v>749.0</v>
      </c>
      <c r="B25" s="28" t="s">
        <v>59402</v>
      </c>
      <c r="C25" s="27">
        <v>180.0</v>
      </c>
      <c r="D25" s="28" t="s">
        <v>59403</v>
      </c>
      <c r="E25" s="28" t="s">
        <v>59404</v>
      </c>
      <c r="F25" s="29">
        <v>37.0</v>
      </c>
      <c r="G25" s="27">
        <v>1.80490372E8</v>
      </c>
    </row>
    <row r="26" ht="12.75" customHeight="1">
      <c r="A26" s="31">
        <v>749.0</v>
      </c>
      <c r="B26" s="32" t="s">
        <v>59405</v>
      </c>
      <c r="C26" s="31">
        <v>180.0</v>
      </c>
      <c r="D26" s="32" t="s">
        <v>59406</v>
      </c>
      <c r="E26" s="32" t="s">
        <v>59407</v>
      </c>
      <c r="F26" s="33">
        <v>40.0</v>
      </c>
      <c r="G26" s="31">
        <v>1.80490406E8</v>
      </c>
    </row>
    <row r="27" ht="12.75" customHeight="1">
      <c r="A27" s="27">
        <v>749.0</v>
      </c>
      <c r="B27" s="28" t="s">
        <v>59408</v>
      </c>
      <c r="C27" s="27">
        <v>180.0</v>
      </c>
      <c r="D27" s="28" t="s">
        <v>59409</v>
      </c>
      <c r="E27" s="28" t="s">
        <v>59410</v>
      </c>
      <c r="F27" s="29">
        <v>43.0</v>
      </c>
      <c r="G27" s="27">
        <v>1.80490435E8</v>
      </c>
    </row>
    <row r="28" ht="12.75" customHeight="1">
      <c r="A28" s="31">
        <v>749.0</v>
      </c>
      <c r="B28" s="32" t="s">
        <v>59411</v>
      </c>
      <c r="C28" s="31">
        <v>180.0</v>
      </c>
      <c r="D28" s="32" t="s">
        <v>59412</v>
      </c>
      <c r="E28" s="32" t="s">
        <v>59413</v>
      </c>
      <c r="F28" s="33">
        <v>46.0</v>
      </c>
      <c r="G28" s="31">
        <v>1.80490464E8</v>
      </c>
    </row>
    <row r="29" ht="12.75" customHeight="1">
      <c r="A29" s="27">
        <v>749.0</v>
      </c>
      <c r="B29" s="28" t="s">
        <v>59414</v>
      </c>
      <c r="C29" s="27">
        <v>180.0</v>
      </c>
      <c r="D29" s="28" t="s">
        <v>59415</v>
      </c>
      <c r="E29" s="28" t="s">
        <v>59416</v>
      </c>
      <c r="F29" s="29">
        <v>52.0</v>
      </c>
      <c r="G29" s="27">
        <v>1.80490527E8</v>
      </c>
    </row>
    <row r="30" ht="12.75" customHeight="1">
      <c r="A30" s="31">
        <v>749.0</v>
      </c>
      <c r="B30" s="32" t="s">
        <v>59417</v>
      </c>
      <c r="C30" s="31">
        <v>180.0</v>
      </c>
      <c r="D30" s="32" t="s">
        <v>59418</v>
      </c>
      <c r="E30" s="32" t="s">
        <v>59419</v>
      </c>
      <c r="F30" s="33">
        <v>55.0</v>
      </c>
      <c r="G30" s="31">
        <v>1.80490556E8</v>
      </c>
    </row>
    <row r="31" ht="12.75" customHeight="1">
      <c r="A31" s="27">
        <v>749.0</v>
      </c>
      <c r="B31" s="28" t="s">
        <v>59420</v>
      </c>
      <c r="C31" s="27">
        <v>180.0</v>
      </c>
      <c r="D31" s="28" t="s">
        <v>59421</v>
      </c>
      <c r="E31" s="28" t="s">
        <v>59422</v>
      </c>
      <c r="F31" s="29">
        <v>58.0</v>
      </c>
      <c r="G31" s="27">
        <v>1.80490585E8</v>
      </c>
    </row>
    <row r="32" ht="12.75" customHeight="1">
      <c r="A32" s="31">
        <v>749.0</v>
      </c>
      <c r="B32" s="32" t="s">
        <v>59423</v>
      </c>
      <c r="C32" s="31">
        <v>180.0</v>
      </c>
      <c r="D32" s="32" t="s">
        <v>59424</v>
      </c>
      <c r="E32" s="32" t="s">
        <v>59425</v>
      </c>
      <c r="F32" s="33">
        <v>61.0</v>
      </c>
      <c r="G32" s="31">
        <v>1.80490619E8</v>
      </c>
    </row>
    <row r="33" ht="12.75" customHeight="1">
      <c r="A33" s="27">
        <v>749.0</v>
      </c>
      <c r="B33" s="28" t="s">
        <v>59426</v>
      </c>
      <c r="C33" s="27">
        <v>180.0</v>
      </c>
      <c r="D33" s="28" t="s">
        <v>59427</v>
      </c>
      <c r="E33" s="28" t="s">
        <v>59428</v>
      </c>
      <c r="F33" s="29">
        <v>64.0</v>
      </c>
      <c r="G33" s="27">
        <v>1.80490648E8</v>
      </c>
    </row>
    <row r="34" ht="12.75" customHeight="1">
      <c r="A34" s="31">
        <v>749.0</v>
      </c>
      <c r="B34" s="32" t="s">
        <v>59429</v>
      </c>
      <c r="C34" s="31">
        <v>180.0</v>
      </c>
      <c r="D34" s="32" t="s">
        <v>59430</v>
      </c>
      <c r="E34" s="32" t="s">
        <v>59431</v>
      </c>
      <c r="F34" s="33">
        <v>67.0</v>
      </c>
      <c r="G34" s="31">
        <v>1.80490677E8</v>
      </c>
    </row>
    <row r="35" ht="12.75" customHeight="1">
      <c r="A35" s="27">
        <v>749.0</v>
      </c>
      <c r="B35" s="28" t="s">
        <v>59432</v>
      </c>
      <c r="C35" s="27">
        <v>180.0</v>
      </c>
      <c r="D35" s="28" t="s">
        <v>59433</v>
      </c>
      <c r="E35" s="28" t="s">
        <v>59434</v>
      </c>
      <c r="F35" s="29">
        <v>70.0</v>
      </c>
      <c r="G35" s="27">
        <v>1.80490701E8</v>
      </c>
    </row>
    <row r="36" ht="12.75" customHeight="1">
      <c r="A36" s="31">
        <v>752.0</v>
      </c>
      <c r="B36" s="32" t="s">
        <v>59435</v>
      </c>
      <c r="C36" s="31">
        <v>180.0</v>
      </c>
      <c r="D36" s="32" t="s">
        <v>59436</v>
      </c>
      <c r="E36" s="32" t="s">
        <v>59437</v>
      </c>
      <c r="F36" s="33">
        <v>4.0</v>
      </c>
      <c r="G36" s="31">
        <v>1.80520042E8</v>
      </c>
    </row>
    <row r="37" ht="12.75" customHeight="1">
      <c r="A37" s="27">
        <v>752.0</v>
      </c>
      <c r="B37" s="28" t="s">
        <v>59438</v>
      </c>
      <c r="C37" s="27">
        <v>180.0</v>
      </c>
      <c r="D37" s="28" t="s">
        <v>59439</v>
      </c>
      <c r="E37" s="28" t="s">
        <v>59440</v>
      </c>
      <c r="F37" s="29">
        <v>22.0</v>
      </c>
      <c r="G37" s="27">
        <v>1.80520226E8</v>
      </c>
    </row>
    <row r="38" ht="12.75" customHeight="1">
      <c r="A38" s="31">
        <v>752.0</v>
      </c>
      <c r="B38" s="32" t="s">
        <v>59441</v>
      </c>
      <c r="C38" s="31">
        <v>180.0</v>
      </c>
      <c r="D38" s="32" t="s">
        <v>59442</v>
      </c>
      <c r="E38" s="32" t="s">
        <v>59443</v>
      </c>
      <c r="F38" s="33">
        <v>25.0</v>
      </c>
      <c r="G38" s="31">
        <v>1.80520255E8</v>
      </c>
    </row>
    <row r="39" ht="12.75" customHeight="1">
      <c r="A39" s="27">
        <v>752.0</v>
      </c>
      <c r="B39" s="28" t="s">
        <v>59444</v>
      </c>
      <c r="C39" s="27">
        <v>180.0</v>
      </c>
      <c r="D39" s="28" t="s">
        <v>59445</v>
      </c>
      <c r="E39" s="28" t="s">
        <v>59446</v>
      </c>
      <c r="F39" s="29">
        <v>28.0</v>
      </c>
      <c r="G39" s="27">
        <v>1.80520284E8</v>
      </c>
    </row>
    <row r="40" ht="12.75" customHeight="1">
      <c r="A40" s="31">
        <v>752.0</v>
      </c>
      <c r="B40" s="32" t="s">
        <v>59447</v>
      </c>
      <c r="C40" s="31">
        <v>180.0</v>
      </c>
      <c r="D40" s="32" t="s">
        <v>59448</v>
      </c>
      <c r="E40" s="32" t="s">
        <v>59449</v>
      </c>
      <c r="F40" s="33">
        <v>31.0</v>
      </c>
      <c r="G40" s="31">
        <v>1.80520318E8</v>
      </c>
    </row>
    <row r="41" ht="12.75" customHeight="1">
      <c r="A41" s="27">
        <v>752.0</v>
      </c>
      <c r="B41" s="28" t="s">
        <v>59450</v>
      </c>
      <c r="C41" s="27">
        <v>180.0</v>
      </c>
      <c r="D41" s="28" t="s">
        <v>59451</v>
      </c>
      <c r="E41" s="28" t="s">
        <v>59452</v>
      </c>
      <c r="F41" s="29">
        <v>34.0</v>
      </c>
      <c r="G41" s="27">
        <v>1.80520347E8</v>
      </c>
    </row>
    <row r="42" ht="12.75" customHeight="1">
      <c r="A42" s="31">
        <v>752.0</v>
      </c>
      <c r="B42" s="32" t="s">
        <v>59453</v>
      </c>
      <c r="C42" s="31">
        <v>180.0</v>
      </c>
      <c r="D42" s="32" t="s">
        <v>59454</v>
      </c>
      <c r="E42" s="32" t="s">
        <v>59455</v>
      </c>
      <c r="F42" s="33">
        <v>37.0</v>
      </c>
      <c r="G42" s="31">
        <v>1.80520376E8</v>
      </c>
    </row>
    <row r="43" ht="12.75" customHeight="1">
      <c r="A43" s="27">
        <v>752.0</v>
      </c>
      <c r="B43" s="28" t="s">
        <v>59456</v>
      </c>
      <c r="C43" s="27">
        <v>180.0</v>
      </c>
      <c r="D43" s="28" t="s">
        <v>59457</v>
      </c>
      <c r="E43" s="28" t="s">
        <v>59458</v>
      </c>
      <c r="F43" s="29">
        <v>40.0</v>
      </c>
      <c r="G43" s="27">
        <v>1.805204E8</v>
      </c>
    </row>
    <row r="44" ht="12.75" customHeight="1">
      <c r="A44" s="31">
        <v>752.0</v>
      </c>
      <c r="B44" s="32" t="s">
        <v>59459</v>
      </c>
      <c r="C44" s="31">
        <v>180.0</v>
      </c>
      <c r="D44" s="32" t="s">
        <v>59460</v>
      </c>
      <c r="E44" s="32" t="s">
        <v>59461</v>
      </c>
      <c r="F44" s="33">
        <v>43.0</v>
      </c>
      <c r="G44" s="31">
        <v>1.80520439E8</v>
      </c>
    </row>
    <row r="45" ht="12.75" customHeight="1">
      <c r="A45" s="27">
        <v>752.0</v>
      </c>
      <c r="B45" s="28" t="s">
        <v>59462</v>
      </c>
      <c r="C45" s="27">
        <v>180.0</v>
      </c>
      <c r="D45" s="28" t="s">
        <v>59463</v>
      </c>
      <c r="E45" s="28" t="s">
        <v>59464</v>
      </c>
      <c r="F45" s="29">
        <v>46.0</v>
      </c>
      <c r="G45" s="27">
        <v>1.80520468E8</v>
      </c>
    </row>
    <row r="46" ht="12.75" customHeight="1">
      <c r="A46" s="31">
        <v>752.0</v>
      </c>
      <c r="B46" s="32" t="s">
        <v>59465</v>
      </c>
      <c r="C46" s="31">
        <v>180.0</v>
      </c>
      <c r="D46" s="32" t="s">
        <v>59466</v>
      </c>
      <c r="E46" s="32" t="s">
        <v>59467</v>
      </c>
      <c r="F46" s="33">
        <v>49.0</v>
      </c>
      <c r="G46" s="31">
        <v>1.80520497E8</v>
      </c>
    </row>
    <row r="47" ht="12.75" customHeight="1">
      <c r="A47" s="27">
        <v>752.0</v>
      </c>
      <c r="B47" s="28" t="s">
        <v>59468</v>
      </c>
      <c r="C47" s="27">
        <v>180.0</v>
      </c>
      <c r="D47" s="28" t="s">
        <v>59469</v>
      </c>
      <c r="E47" s="28" t="s">
        <v>59470</v>
      </c>
      <c r="F47" s="29">
        <v>55.0</v>
      </c>
      <c r="G47" s="27">
        <v>1.8052055E8</v>
      </c>
    </row>
    <row r="48" ht="12.75" customHeight="1">
      <c r="A48" s="31">
        <v>752.0</v>
      </c>
      <c r="B48" s="32" t="s">
        <v>59471</v>
      </c>
      <c r="C48" s="31">
        <v>180.0</v>
      </c>
      <c r="D48" s="32" t="s">
        <v>59472</v>
      </c>
      <c r="E48" s="32" t="s">
        <v>59473</v>
      </c>
      <c r="F48" s="33">
        <v>58.0</v>
      </c>
      <c r="G48" s="31">
        <v>1.80520589E8</v>
      </c>
    </row>
    <row r="49" ht="12.75" customHeight="1">
      <c r="A49" s="27">
        <v>752.0</v>
      </c>
      <c r="B49" s="28" t="s">
        <v>59474</v>
      </c>
      <c r="C49" s="27">
        <v>180.0</v>
      </c>
      <c r="D49" s="28" t="s">
        <v>59475</v>
      </c>
      <c r="E49" s="28" t="s">
        <v>59476</v>
      </c>
      <c r="F49" s="29">
        <v>61.0</v>
      </c>
      <c r="G49" s="27">
        <v>1.80520613E8</v>
      </c>
    </row>
    <row r="50" ht="12.75" customHeight="1">
      <c r="A50" s="31">
        <v>752.0</v>
      </c>
      <c r="B50" s="32" t="s">
        <v>59477</v>
      </c>
      <c r="C50" s="31">
        <v>180.0</v>
      </c>
      <c r="D50" s="32" t="s">
        <v>59478</v>
      </c>
      <c r="E50" s="32" t="s">
        <v>59479</v>
      </c>
      <c r="F50" s="33">
        <v>64.0</v>
      </c>
      <c r="G50" s="31">
        <v>1.80520642E8</v>
      </c>
    </row>
    <row r="51" ht="12.75" customHeight="1">
      <c r="A51" s="27">
        <v>752.0</v>
      </c>
      <c r="B51" s="28" t="s">
        <v>59480</v>
      </c>
      <c r="C51" s="27">
        <v>180.0</v>
      </c>
      <c r="D51" s="28" t="s">
        <v>59481</v>
      </c>
      <c r="E51" s="28" t="s">
        <v>59482</v>
      </c>
      <c r="F51" s="29">
        <v>67.0</v>
      </c>
      <c r="G51" s="27">
        <v>1.80520671E8</v>
      </c>
    </row>
    <row r="52" ht="12.75" customHeight="1">
      <c r="A52" s="31">
        <v>752.0</v>
      </c>
      <c r="B52" s="32" t="s">
        <v>59483</v>
      </c>
      <c r="C52" s="31">
        <v>180.0</v>
      </c>
      <c r="D52" s="32" t="s">
        <v>59484</v>
      </c>
      <c r="E52" s="32" t="s">
        <v>59485</v>
      </c>
      <c r="F52" s="33">
        <v>73.0</v>
      </c>
      <c r="G52" s="31">
        <v>1.80520734E8</v>
      </c>
    </row>
    <row r="53" ht="12.75" customHeight="1">
      <c r="A53" s="27">
        <v>564.0</v>
      </c>
      <c r="B53" s="28" t="s">
        <v>59486</v>
      </c>
      <c r="C53" s="27">
        <v>180.0</v>
      </c>
      <c r="D53" s="28" t="s">
        <v>59487</v>
      </c>
      <c r="E53" s="28" t="s">
        <v>59488</v>
      </c>
      <c r="F53" s="29">
        <v>1.0</v>
      </c>
      <c r="G53" s="27">
        <v>1.80640014E8</v>
      </c>
    </row>
    <row r="54" ht="12.75" customHeight="1">
      <c r="A54" s="31">
        <v>564.0</v>
      </c>
      <c r="B54" s="32" t="s">
        <v>59489</v>
      </c>
      <c r="C54" s="31">
        <v>180.0</v>
      </c>
      <c r="D54" s="32" t="s">
        <v>59490</v>
      </c>
      <c r="E54" s="32" t="s">
        <v>59491</v>
      </c>
      <c r="F54" s="33">
        <v>6.0</v>
      </c>
      <c r="G54" s="31">
        <v>1.80640069E8</v>
      </c>
    </row>
    <row r="55" ht="12.75" customHeight="1">
      <c r="A55" s="27">
        <v>564.0</v>
      </c>
      <c r="B55" s="28" t="s">
        <v>59492</v>
      </c>
      <c r="C55" s="27">
        <v>180.0</v>
      </c>
      <c r="D55" s="28" t="s">
        <v>59493</v>
      </c>
      <c r="E55" s="28" t="s">
        <v>59494</v>
      </c>
      <c r="F55" s="29">
        <v>16.0</v>
      </c>
      <c r="G55" s="27">
        <v>1.80640164E8</v>
      </c>
    </row>
    <row r="56" ht="12.75" customHeight="1">
      <c r="A56" s="31">
        <v>564.0</v>
      </c>
      <c r="B56" s="32" t="s">
        <v>59495</v>
      </c>
      <c r="C56" s="31">
        <v>180.0</v>
      </c>
      <c r="D56" s="32" t="s">
        <v>59496</v>
      </c>
      <c r="E56" s="32" t="s">
        <v>59497</v>
      </c>
      <c r="F56" s="33">
        <v>19.0</v>
      </c>
      <c r="G56" s="31">
        <v>1.80640193E8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564.0</v>
      </c>
      <c r="B1" s="28" t="s">
        <v>59498</v>
      </c>
      <c r="C1" s="27">
        <v>180.0</v>
      </c>
      <c r="D1" s="28" t="s">
        <v>59499</v>
      </c>
      <c r="E1" s="28" t="s">
        <v>59500</v>
      </c>
      <c r="F1" s="29">
        <v>31.0</v>
      </c>
      <c r="G1" s="27">
        <v>1.80640319E8</v>
      </c>
    </row>
    <row r="2" ht="12.75" customHeight="1">
      <c r="A2" s="31">
        <v>564.0</v>
      </c>
      <c r="B2" s="32" t="s">
        <v>59501</v>
      </c>
      <c r="C2" s="31">
        <v>180.0</v>
      </c>
      <c r="D2" s="32" t="s">
        <v>59502</v>
      </c>
      <c r="E2" s="32" t="s">
        <v>59503</v>
      </c>
      <c r="F2" s="33">
        <v>49.0</v>
      </c>
      <c r="G2" s="31">
        <v>1.80640498E8</v>
      </c>
    </row>
    <row r="3" ht="12.75" customHeight="1">
      <c r="A3" s="27">
        <v>564.0</v>
      </c>
      <c r="B3" s="28" t="s">
        <v>59504</v>
      </c>
      <c r="C3" s="27">
        <v>180.0</v>
      </c>
      <c r="D3" s="28" t="s">
        <v>59505</v>
      </c>
      <c r="E3" s="28" t="s">
        <v>59506</v>
      </c>
      <c r="F3" s="29">
        <v>52.0</v>
      </c>
      <c r="G3" s="27">
        <v>1.80640522E8</v>
      </c>
    </row>
    <row r="4" ht="12.75" customHeight="1">
      <c r="A4" s="31">
        <v>564.0</v>
      </c>
      <c r="B4" s="32" t="s">
        <v>59507</v>
      </c>
      <c r="C4" s="31">
        <v>180.0</v>
      </c>
      <c r="D4" s="32" t="s">
        <v>59508</v>
      </c>
      <c r="E4" s="32" t="s">
        <v>59509</v>
      </c>
      <c r="F4" s="33">
        <v>55.0</v>
      </c>
      <c r="G4" s="31">
        <v>1.80640551E8</v>
      </c>
    </row>
    <row r="5" ht="12.75" customHeight="1">
      <c r="A5" s="27">
        <v>564.0</v>
      </c>
      <c r="B5" s="28" t="s">
        <v>59510</v>
      </c>
      <c r="C5" s="27">
        <v>180.0</v>
      </c>
      <c r="D5" s="28" t="s">
        <v>59511</v>
      </c>
      <c r="E5" s="28" t="s">
        <v>59512</v>
      </c>
      <c r="F5" s="29">
        <v>67.0</v>
      </c>
      <c r="G5" s="27">
        <v>1.80640672E8</v>
      </c>
    </row>
    <row r="6" ht="12.75" customHeight="1">
      <c r="A6" s="31">
        <v>564.0</v>
      </c>
      <c r="B6" s="32" t="s">
        <v>59513</v>
      </c>
      <c r="C6" s="31">
        <v>180.0</v>
      </c>
      <c r="D6" s="32" t="s">
        <v>59514</v>
      </c>
      <c r="E6" s="32" t="s">
        <v>59515</v>
      </c>
      <c r="F6" s="33">
        <v>70.0</v>
      </c>
      <c r="G6" s="31">
        <v>1.80640706E8</v>
      </c>
    </row>
    <row r="7" ht="12.75" customHeight="1">
      <c r="A7" s="27">
        <v>564.0</v>
      </c>
      <c r="B7" s="28" t="s">
        <v>59516</v>
      </c>
      <c r="C7" s="27">
        <v>180.0</v>
      </c>
      <c r="D7" s="28" t="s">
        <v>59517</v>
      </c>
      <c r="E7" s="28" t="s">
        <v>59518</v>
      </c>
      <c r="F7" s="29">
        <v>76.0</v>
      </c>
      <c r="G7" s="27">
        <v>1.80640764E8</v>
      </c>
    </row>
    <row r="8" ht="12.75" customHeight="1">
      <c r="A8" s="31">
        <v>564.0</v>
      </c>
      <c r="B8" s="32" t="s">
        <v>59519</v>
      </c>
      <c r="C8" s="31">
        <v>180.0</v>
      </c>
      <c r="D8" s="32" t="s">
        <v>59520</v>
      </c>
      <c r="E8" s="32" t="s">
        <v>59521</v>
      </c>
      <c r="F8" s="33">
        <v>85.0</v>
      </c>
      <c r="G8" s="31">
        <v>1.80640856E8</v>
      </c>
    </row>
    <row r="9" ht="12.75" customHeight="1">
      <c r="A9" s="27">
        <v>564.0</v>
      </c>
      <c r="B9" s="28" t="s">
        <v>59522</v>
      </c>
      <c r="C9" s="27">
        <v>180.0</v>
      </c>
      <c r="D9" s="28" t="s">
        <v>59523</v>
      </c>
      <c r="E9" s="28" t="s">
        <v>59524</v>
      </c>
      <c r="F9" s="29">
        <v>88.0</v>
      </c>
      <c r="G9" s="27">
        <v>1.80640885E8</v>
      </c>
    </row>
    <row r="10" ht="12.75" customHeight="1">
      <c r="A10" s="31">
        <v>564.0</v>
      </c>
      <c r="B10" s="32" t="s">
        <v>59525</v>
      </c>
      <c r="C10" s="31">
        <v>180.0</v>
      </c>
      <c r="D10" s="32" t="s">
        <v>59526</v>
      </c>
      <c r="E10" s="32" t="s">
        <v>59527</v>
      </c>
      <c r="F10" s="31">
        <v>109.0</v>
      </c>
      <c r="G10" s="31">
        <v>1.80641097E8</v>
      </c>
    </row>
    <row r="11" ht="12.75" customHeight="1">
      <c r="A11" s="27">
        <v>564.0</v>
      </c>
      <c r="B11" s="28" t="s">
        <v>59528</v>
      </c>
      <c r="C11" s="27">
        <v>180.0</v>
      </c>
      <c r="D11" s="28" t="s">
        <v>59529</v>
      </c>
      <c r="E11" s="28" t="s">
        <v>59530</v>
      </c>
      <c r="F11" s="27">
        <v>118.0</v>
      </c>
      <c r="G11" s="27">
        <v>1.80641189E8</v>
      </c>
    </row>
    <row r="12" ht="12.75" customHeight="1">
      <c r="A12" s="31">
        <v>564.0</v>
      </c>
      <c r="B12" s="32" t="s">
        <v>59531</v>
      </c>
      <c r="C12" s="31">
        <v>180.0</v>
      </c>
      <c r="D12" s="32" t="s">
        <v>59532</v>
      </c>
      <c r="E12" s="32" t="s">
        <v>59533</v>
      </c>
      <c r="F12" s="31">
        <v>127.0</v>
      </c>
      <c r="G12" s="31">
        <v>1.80641271E8</v>
      </c>
    </row>
    <row r="13" ht="12.75" customHeight="1">
      <c r="A13" s="27">
        <v>564.0</v>
      </c>
      <c r="B13" s="28" t="s">
        <v>59534</v>
      </c>
      <c r="C13" s="27">
        <v>180.0</v>
      </c>
      <c r="D13" s="28" t="s">
        <v>59535</v>
      </c>
      <c r="E13" s="28" t="s">
        <v>59536</v>
      </c>
      <c r="F13" s="27">
        <v>136.0</v>
      </c>
      <c r="G13" s="27">
        <v>1.80641363E8</v>
      </c>
    </row>
    <row r="14" ht="12.75" customHeight="1">
      <c r="A14" s="31">
        <v>564.0</v>
      </c>
      <c r="B14" s="32" t="s">
        <v>59537</v>
      </c>
      <c r="C14" s="31">
        <v>180.0</v>
      </c>
      <c r="D14" s="32" t="s">
        <v>59538</v>
      </c>
      <c r="E14" s="32" t="s">
        <v>59539</v>
      </c>
      <c r="F14" s="31">
        <v>139.0</v>
      </c>
      <c r="G14" s="31">
        <v>1.80641392E8</v>
      </c>
    </row>
    <row r="15" ht="12.75" customHeight="1">
      <c r="A15" s="27">
        <v>564.0</v>
      </c>
      <c r="B15" s="28" t="s">
        <v>59540</v>
      </c>
      <c r="C15" s="27">
        <v>180.0</v>
      </c>
      <c r="D15" s="28" t="s">
        <v>59541</v>
      </c>
      <c r="E15" s="28" t="s">
        <v>59542</v>
      </c>
      <c r="F15" s="27">
        <v>142.0</v>
      </c>
      <c r="G15" s="27">
        <v>1.80641426E8</v>
      </c>
    </row>
    <row r="16" ht="12.75" customHeight="1">
      <c r="A16" s="31">
        <v>564.0</v>
      </c>
      <c r="B16" s="32" t="s">
        <v>59543</v>
      </c>
      <c r="C16" s="31">
        <v>180.0</v>
      </c>
      <c r="D16" s="32" t="s">
        <v>59544</v>
      </c>
      <c r="E16" s="32" t="s">
        <v>59545</v>
      </c>
      <c r="F16" s="31">
        <v>145.0</v>
      </c>
      <c r="G16" s="31">
        <v>1.80641455E8</v>
      </c>
    </row>
    <row r="17" ht="12.75" customHeight="1">
      <c r="A17" s="27">
        <v>564.0</v>
      </c>
      <c r="B17" s="28" t="s">
        <v>59546</v>
      </c>
      <c r="C17" s="27">
        <v>180.0</v>
      </c>
      <c r="D17" s="28" t="s">
        <v>59547</v>
      </c>
      <c r="E17" s="28" t="s">
        <v>59548</v>
      </c>
      <c r="F17" s="27">
        <v>151.0</v>
      </c>
      <c r="G17" s="27">
        <v>1.80641518E8</v>
      </c>
    </row>
    <row r="18" ht="12.75" customHeight="1">
      <c r="A18" s="31">
        <v>564.0</v>
      </c>
      <c r="B18" s="32" t="s">
        <v>59549</v>
      </c>
      <c r="C18" s="31">
        <v>180.0</v>
      </c>
      <c r="D18" s="32" t="s">
        <v>59550</v>
      </c>
      <c r="E18" s="32" t="s">
        <v>59551</v>
      </c>
      <c r="F18" s="31">
        <v>154.0</v>
      </c>
      <c r="G18" s="31">
        <v>1.80641547E8</v>
      </c>
    </row>
    <row r="19" ht="12.75" customHeight="1">
      <c r="A19" s="27">
        <v>564.0</v>
      </c>
      <c r="B19" s="28" t="s">
        <v>59552</v>
      </c>
      <c r="C19" s="27">
        <v>180.0</v>
      </c>
      <c r="D19" s="28" t="s">
        <v>59553</v>
      </c>
      <c r="E19" s="28" t="s">
        <v>59554</v>
      </c>
      <c r="F19" s="27">
        <v>157.0</v>
      </c>
      <c r="G19" s="27">
        <v>1.80641576E8</v>
      </c>
    </row>
    <row r="20" ht="12.75" customHeight="1">
      <c r="A20" s="31">
        <v>564.0</v>
      </c>
      <c r="B20" s="32" t="s">
        <v>59555</v>
      </c>
      <c r="C20" s="31">
        <v>180.0</v>
      </c>
      <c r="D20" s="32" t="s">
        <v>59556</v>
      </c>
      <c r="E20" s="32" t="s">
        <v>59557</v>
      </c>
      <c r="F20" s="31">
        <v>160.0</v>
      </c>
      <c r="G20" s="31">
        <v>1.806416E8</v>
      </c>
    </row>
    <row r="21" ht="12.75" customHeight="1">
      <c r="A21" s="27">
        <v>564.0</v>
      </c>
      <c r="B21" s="28" t="s">
        <v>59558</v>
      </c>
      <c r="C21" s="27">
        <v>180.0</v>
      </c>
      <c r="D21" s="28" t="s">
        <v>59559</v>
      </c>
      <c r="E21" s="28" t="s">
        <v>59560</v>
      </c>
      <c r="F21" s="27">
        <v>166.0</v>
      </c>
      <c r="G21" s="27">
        <v>1.80641668E8</v>
      </c>
    </row>
    <row r="22" ht="12.75" customHeight="1">
      <c r="A22" s="31">
        <v>564.0</v>
      </c>
      <c r="B22" s="32" t="s">
        <v>59561</v>
      </c>
      <c r="C22" s="31">
        <v>180.0</v>
      </c>
      <c r="D22" s="32" t="s">
        <v>59562</v>
      </c>
      <c r="E22" s="32" t="s">
        <v>59563</v>
      </c>
      <c r="F22" s="31">
        <v>172.0</v>
      </c>
      <c r="G22" s="31">
        <v>1.80641721E8</v>
      </c>
    </row>
    <row r="23" ht="12.75" customHeight="1">
      <c r="A23" s="27">
        <v>564.0</v>
      </c>
      <c r="B23" s="28" t="s">
        <v>59564</v>
      </c>
      <c r="C23" s="27">
        <v>180.0</v>
      </c>
      <c r="D23" s="28" t="s">
        <v>59565</v>
      </c>
      <c r="E23" s="28" t="s">
        <v>59566</v>
      </c>
      <c r="F23" s="27">
        <v>175.0</v>
      </c>
      <c r="G23" s="27">
        <v>1.8064175E8</v>
      </c>
    </row>
    <row r="24" ht="12.75" customHeight="1">
      <c r="A24" s="31">
        <v>564.0</v>
      </c>
      <c r="B24" s="32" t="s">
        <v>59567</v>
      </c>
      <c r="C24" s="31">
        <v>180.0</v>
      </c>
      <c r="D24" s="32" t="s">
        <v>59568</v>
      </c>
      <c r="E24" s="32" t="s">
        <v>59569</v>
      </c>
      <c r="F24" s="31">
        <v>178.0</v>
      </c>
      <c r="G24" s="31">
        <v>1.80641789E8</v>
      </c>
    </row>
    <row r="25" ht="12.75" customHeight="1">
      <c r="A25" s="27">
        <v>564.0</v>
      </c>
      <c r="B25" s="28" t="s">
        <v>59570</v>
      </c>
      <c r="C25" s="27">
        <v>180.0</v>
      </c>
      <c r="D25" s="28" t="s">
        <v>59571</v>
      </c>
      <c r="E25" s="28" t="s">
        <v>59572</v>
      </c>
      <c r="F25" s="27">
        <v>181.0</v>
      </c>
      <c r="G25" s="27">
        <v>1.80641813E8</v>
      </c>
    </row>
    <row r="26" ht="12.75" customHeight="1">
      <c r="A26" s="31">
        <v>564.0</v>
      </c>
      <c r="B26" s="32" t="s">
        <v>59573</v>
      </c>
      <c r="C26" s="31">
        <v>180.0</v>
      </c>
      <c r="D26" s="32" t="s">
        <v>59574</v>
      </c>
      <c r="E26" s="32" t="s">
        <v>59575</v>
      </c>
      <c r="F26" s="31">
        <v>196.0</v>
      </c>
      <c r="G26" s="31">
        <v>1.80641963E8</v>
      </c>
    </row>
    <row r="27" ht="12.75" customHeight="1">
      <c r="A27" s="27">
        <v>569.0</v>
      </c>
      <c r="B27" s="28" t="s">
        <v>59576</v>
      </c>
      <c r="C27" s="27">
        <v>180.0</v>
      </c>
      <c r="D27" s="28" t="s">
        <v>59577</v>
      </c>
      <c r="E27" s="28" t="s">
        <v>59578</v>
      </c>
      <c r="F27" s="29">
        <v>4.0</v>
      </c>
      <c r="G27" s="27">
        <v>1.80690048E8</v>
      </c>
    </row>
    <row r="28" ht="12.75" customHeight="1">
      <c r="A28" s="31">
        <v>569.0</v>
      </c>
      <c r="B28" s="32" t="s">
        <v>59579</v>
      </c>
      <c r="C28" s="31">
        <v>180.0</v>
      </c>
      <c r="D28" s="32" t="s">
        <v>59580</v>
      </c>
      <c r="E28" s="32" t="s">
        <v>59581</v>
      </c>
      <c r="F28" s="33">
        <v>5.0</v>
      </c>
      <c r="G28" s="31">
        <v>1.80690051E8</v>
      </c>
    </row>
    <row r="29" ht="12.75" customHeight="1">
      <c r="A29" s="27">
        <v>569.0</v>
      </c>
      <c r="B29" s="28" t="s">
        <v>59582</v>
      </c>
      <c r="C29" s="27">
        <v>180.0</v>
      </c>
      <c r="D29" s="28" t="s">
        <v>59583</v>
      </c>
      <c r="E29" s="28" t="s">
        <v>59584</v>
      </c>
      <c r="F29" s="29">
        <v>6.0</v>
      </c>
      <c r="G29" s="27">
        <v>1.80690064E8</v>
      </c>
    </row>
    <row r="30" ht="12.75" customHeight="1">
      <c r="A30" s="31">
        <v>569.0</v>
      </c>
      <c r="B30" s="32" t="s">
        <v>59585</v>
      </c>
      <c r="C30" s="31">
        <v>180.0</v>
      </c>
      <c r="D30" s="32" t="s">
        <v>59586</v>
      </c>
      <c r="E30" s="32" t="s">
        <v>59587</v>
      </c>
      <c r="F30" s="33">
        <v>7.0</v>
      </c>
      <c r="G30" s="31">
        <v>1.80690077E8</v>
      </c>
    </row>
    <row r="31" ht="12.75" customHeight="1">
      <c r="A31" s="27">
        <v>569.0</v>
      </c>
      <c r="B31" s="28" t="s">
        <v>59588</v>
      </c>
      <c r="C31" s="27">
        <v>180.0</v>
      </c>
      <c r="D31" s="28" t="s">
        <v>59589</v>
      </c>
      <c r="E31" s="28" t="s">
        <v>59590</v>
      </c>
      <c r="F31" s="29">
        <v>13.0</v>
      </c>
      <c r="G31" s="27">
        <v>1.8069013E8</v>
      </c>
    </row>
    <row r="32" ht="12.75" customHeight="1">
      <c r="A32" s="31">
        <v>569.0</v>
      </c>
      <c r="B32" s="32" t="s">
        <v>59591</v>
      </c>
      <c r="C32" s="31">
        <v>180.0</v>
      </c>
      <c r="D32" s="32" t="s">
        <v>59592</v>
      </c>
      <c r="E32" s="32" t="s">
        <v>59593</v>
      </c>
      <c r="F32" s="33">
        <v>16.0</v>
      </c>
      <c r="G32" s="31">
        <v>1.80690169E8</v>
      </c>
    </row>
    <row r="33" ht="12.75" customHeight="1">
      <c r="A33" s="27">
        <v>569.0</v>
      </c>
      <c r="B33" s="28" t="s">
        <v>59594</v>
      </c>
      <c r="C33" s="27">
        <v>180.0</v>
      </c>
      <c r="D33" s="28" t="s">
        <v>59595</v>
      </c>
      <c r="E33" s="28" t="s">
        <v>59596</v>
      </c>
      <c r="F33" s="29">
        <v>22.0</v>
      </c>
      <c r="G33" s="27">
        <v>1.80690222E8</v>
      </c>
    </row>
    <row r="34" ht="12.75" customHeight="1">
      <c r="A34" s="31">
        <v>569.0</v>
      </c>
      <c r="B34" s="32" t="s">
        <v>59597</v>
      </c>
      <c r="C34" s="31">
        <v>180.0</v>
      </c>
      <c r="D34" s="32" t="s">
        <v>59598</v>
      </c>
      <c r="E34" s="32" t="s">
        <v>59599</v>
      </c>
      <c r="F34" s="33">
        <v>34.0</v>
      </c>
      <c r="G34" s="31">
        <v>1.80690343E8</v>
      </c>
    </row>
    <row r="35" ht="12.75" customHeight="1">
      <c r="A35" s="27">
        <v>569.0</v>
      </c>
      <c r="B35" s="28" t="s">
        <v>59600</v>
      </c>
      <c r="C35" s="27">
        <v>180.0</v>
      </c>
      <c r="D35" s="28" t="s">
        <v>59601</v>
      </c>
      <c r="E35" s="28" t="s">
        <v>59602</v>
      </c>
      <c r="F35" s="29">
        <v>37.0</v>
      </c>
      <c r="G35" s="27">
        <v>1.80690372E8</v>
      </c>
    </row>
    <row r="36" ht="12.75" customHeight="1">
      <c r="A36" s="31">
        <v>569.0</v>
      </c>
      <c r="B36" s="32" t="s">
        <v>59603</v>
      </c>
      <c r="C36" s="31">
        <v>180.0</v>
      </c>
      <c r="D36" s="32" t="s">
        <v>59604</v>
      </c>
      <c r="E36" s="32" t="s">
        <v>59605</v>
      </c>
      <c r="F36" s="33">
        <v>49.0</v>
      </c>
      <c r="G36" s="31">
        <v>1.80690493E8</v>
      </c>
    </row>
    <row r="37" ht="12.75" customHeight="1">
      <c r="A37" s="27">
        <v>569.0</v>
      </c>
      <c r="B37" s="28" t="s">
        <v>59606</v>
      </c>
      <c r="C37" s="27">
        <v>180.0</v>
      </c>
      <c r="D37" s="28" t="s">
        <v>59607</v>
      </c>
      <c r="E37" s="28" t="s">
        <v>59608</v>
      </c>
      <c r="F37" s="29">
        <v>52.0</v>
      </c>
      <c r="G37" s="27">
        <v>1.80690527E8</v>
      </c>
    </row>
    <row r="38" ht="12.75" customHeight="1">
      <c r="A38" s="31">
        <v>569.0</v>
      </c>
      <c r="B38" s="32" t="s">
        <v>59609</v>
      </c>
      <c r="C38" s="31">
        <v>180.0</v>
      </c>
      <c r="D38" s="32" t="s">
        <v>59610</v>
      </c>
      <c r="E38" s="32" t="s">
        <v>59611</v>
      </c>
      <c r="F38" s="33">
        <v>55.0</v>
      </c>
      <c r="G38" s="31">
        <v>1.80690556E8</v>
      </c>
    </row>
    <row r="39" ht="12.75" customHeight="1">
      <c r="A39" s="27">
        <v>569.0</v>
      </c>
      <c r="B39" s="28" t="s">
        <v>59612</v>
      </c>
      <c r="C39" s="27">
        <v>180.0</v>
      </c>
      <c r="D39" s="28" t="s">
        <v>59613</v>
      </c>
      <c r="E39" s="28" t="s">
        <v>59614</v>
      </c>
      <c r="F39" s="29">
        <v>58.0</v>
      </c>
      <c r="G39" s="27">
        <v>1.80690585E8</v>
      </c>
    </row>
    <row r="40" ht="12.75" customHeight="1">
      <c r="A40" s="31">
        <v>569.0</v>
      </c>
      <c r="B40" s="32" t="s">
        <v>59615</v>
      </c>
      <c r="C40" s="31">
        <v>180.0</v>
      </c>
      <c r="D40" s="32" t="s">
        <v>59616</v>
      </c>
      <c r="E40" s="32" t="s">
        <v>59617</v>
      </c>
      <c r="F40" s="33">
        <v>64.0</v>
      </c>
      <c r="G40" s="31">
        <v>1.80690648E8</v>
      </c>
    </row>
    <row r="41" ht="12.75" customHeight="1">
      <c r="A41" s="27">
        <v>569.0</v>
      </c>
      <c r="B41" s="28" t="s">
        <v>59618</v>
      </c>
      <c r="C41" s="27">
        <v>180.0</v>
      </c>
      <c r="D41" s="28" t="s">
        <v>59619</v>
      </c>
      <c r="E41" s="28" t="s">
        <v>59620</v>
      </c>
      <c r="F41" s="29">
        <v>73.0</v>
      </c>
      <c r="G41" s="27">
        <v>1.8069073E8</v>
      </c>
    </row>
    <row r="42" ht="12.75" customHeight="1">
      <c r="A42" s="31">
        <v>569.0</v>
      </c>
      <c r="B42" s="32" t="s">
        <v>59621</v>
      </c>
      <c r="C42" s="31">
        <v>180.0</v>
      </c>
      <c r="D42" s="32" t="s">
        <v>59622</v>
      </c>
      <c r="E42" s="32" t="s">
        <v>59623</v>
      </c>
      <c r="F42" s="33">
        <v>76.0</v>
      </c>
      <c r="G42" s="31">
        <v>1.80690769E8</v>
      </c>
    </row>
    <row r="43" ht="12.75" customHeight="1">
      <c r="A43" s="27">
        <v>569.0</v>
      </c>
      <c r="B43" s="28" t="s">
        <v>59624</v>
      </c>
      <c r="C43" s="27">
        <v>180.0</v>
      </c>
      <c r="D43" s="28" t="s">
        <v>59625</v>
      </c>
      <c r="E43" s="28" t="s">
        <v>59626</v>
      </c>
      <c r="F43" s="29">
        <v>82.0</v>
      </c>
      <c r="G43" s="27">
        <v>1.80690822E8</v>
      </c>
    </row>
    <row r="44" ht="12.75" customHeight="1">
      <c r="A44" s="31">
        <v>569.0</v>
      </c>
      <c r="B44" s="32" t="s">
        <v>59627</v>
      </c>
      <c r="C44" s="31">
        <v>180.0</v>
      </c>
      <c r="D44" s="32" t="s">
        <v>59628</v>
      </c>
      <c r="E44" s="32" t="s">
        <v>59629</v>
      </c>
      <c r="F44" s="33">
        <v>91.0</v>
      </c>
      <c r="G44" s="31">
        <v>1.80690914E8</v>
      </c>
    </row>
    <row r="45" ht="12.75" customHeight="1">
      <c r="A45" s="27">
        <v>569.0</v>
      </c>
      <c r="B45" s="28" t="s">
        <v>59630</v>
      </c>
      <c r="C45" s="27">
        <v>180.0</v>
      </c>
      <c r="D45" s="28" t="s">
        <v>59631</v>
      </c>
      <c r="E45" s="28" t="s">
        <v>59632</v>
      </c>
      <c r="F45" s="27">
        <v>106.0</v>
      </c>
      <c r="G45" s="27">
        <v>1.80691063E8</v>
      </c>
    </row>
    <row r="46" ht="12.75" customHeight="1">
      <c r="A46" s="31">
        <v>569.0</v>
      </c>
      <c r="B46" s="32" t="s">
        <v>59633</v>
      </c>
      <c r="C46" s="31">
        <v>180.0</v>
      </c>
      <c r="D46" s="32" t="s">
        <v>59634</v>
      </c>
      <c r="E46" s="32" t="s">
        <v>59635</v>
      </c>
      <c r="F46" s="31">
        <v>109.0</v>
      </c>
      <c r="G46" s="31">
        <v>1.80691092E8</v>
      </c>
    </row>
    <row r="47" ht="12.75" customHeight="1">
      <c r="A47" s="27">
        <v>569.0</v>
      </c>
      <c r="B47" s="28" t="s">
        <v>59636</v>
      </c>
      <c r="C47" s="27">
        <v>180.0</v>
      </c>
      <c r="D47" s="28" t="s">
        <v>59637</v>
      </c>
      <c r="E47" s="28" t="s">
        <v>59638</v>
      </c>
      <c r="F47" s="27">
        <v>148.0</v>
      </c>
      <c r="G47" s="27">
        <v>1.80691489E8</v>
      </c>
    </row>
    <row r="48" ht="12.75" customHeight="1">
      <c r="A48" s="31">
        <v>569.0</v>
      </c>
      <c r="B48" s="32" t="s">
        <v>59639</v>
      </c>
      <c r="C48" s="31">
        <v>180.0</v>
      </c>
      <c r="D48" s="32" t="s">
        <v>59640</v>
      </c>
      <c r="E48" s="32" t="s">
        <v>59641</v>
      </c>
      <c r="F48" s="31">
        <v>157.0</v>
      </c>
      <c r="G48" s="31">
        <v>1.80691571E8</v>
      </c>
    </row>
    <row r="49" ht="12.75" customHeight="1">
      <c r="A49" s="27">
        <v>570.0</v>
      </c>
      <c r="B49" s="28" t="s">
        <v>59642</v>
      </c>
      <c r="C49" s="27">
        <v>180.0</v>
      </c>
      <c r="D49" s="28" t="s">
        <v>59643</v>
      </c>
      <c r="E49" s="28" t="s">
        <v>59644</v>
      </c>
      <c r="F49" s="29">
        <v>4.0</v>
      </c>
      <c r="G49" s="27">
        <v>1.80700046E8</v>
      </c>
    </row>
    <row r="50" ht="12.75" customHeight="1">
      <c r="A50" s="31">
        <v>570.0</v>
      </c>
      <c r="B50" s="32" t="s">
        <v>59645</v>
      </c>
      <c r="C50" s="31">
        <v>180.0</v>
      </c>
      <c r="D50" s="32" t="s">
        <v>59646</v>
      </c>
      <c r="E50" s="32" t="s">
        <v>59647</v>
      </c>
      <c r="F50" s="33">
        <v>7.0</v>
      </c>
      <c r="G50" s="31">
        <v>1.80700075E8</v>
      </c>
    </row>
    <row r="51" ht="12.75" customHeight="1">
      <c r="A51" s="27">
        <v>570.0</v>
      </c>
      <c r="B51" s="28" t="s">
        <v>59648</v>
      </c>
      <c r="C51" s="27">
        <v>180.0</v>
      </c>
      <c r="D51" s="28" t="s">
        <v>59649</v>
      </c>
      <c r="E51" s="28" t="s">
        <v>59650</v>
      </c>
      <c r="F51" s="29">
        <v>16.0</v>
      </c>
      <c r="G51" s="27">
        <v>1.80700167E8</v>
      </c>
    </row>
    <row r="52" ht="12.75" customHeight="1">
      <c r="A52" s="31">
        <v>570.0</v>
      </c>
      <c r="B52" s="32" t="s">
        <v>59651</v>
      </c>
      <c r="C52" s="31">
        <v>180.0</v>
      </c>
      <c r="D52" s="32" t="s">
        <v>59652</v>
      </c>
      <c r="E52" s="32" t="s">
        <v>59653</v>
      </c>
      <c r="F52" s="33">
        <v>22.0</v>
      </c>
      <c r="G52" s="31">
        <v>1.8070022E8</v>
      </c>
    </row>
    <row r="53" ht="12.75" customHeight="1">
      <c r="A53" s="27">
        <v>570.0</v>
      </c>
      <c r="B53" s="28" t="s">
        <v>59654</v>
      </c>
      <c r="C53" s="27">
        <v>180.0</v>
      </c>
      <c r="D53" s="28" t="s">
        <v>59655</v>
      </c>
      <c r="E53" s="28" t="s">
        <v>59656</v>
      </c>
      <c r="F53" s="29">
        <v>25.0</v>
      </c>
      <c r="G53" s="27">
        <v>1.80700259E8</v>
      </c>
    </row>
    <row r="54" ht="12.75" customHeight="1">
      <c r="A54" s="31">
        <v>570.0</v>
      </c>
      <c r="B54" s="32" t="s">
        <v>59657</v>
      </c>
      <c r="C54" s="31">
        <v>180.0</v>
      </c>
      <c r="D54" s="32" t="s">
        <v>59658</v>
      </c>
      <c r="E54" s="32" t="s">
        <v>59659</v>
      </c>
      <c r="F54" s="33">
        <v>31.0</v>
      </c>
      <c r="G54" s="31">
        <v>1.80700312E8</v>
      </c>
    </row>
    <row r="55" ht="12.75" customHeight="1">
      <c r="A55" s="27">
        <v>570.0</v>
      </c>
      <c r="B55" s="28" t="s">
        <v>59660</v>
      </c>
      <c r="C55" s="27">
        <v>180.0</v>
      </c>
      <c r="D55" s="28" t="s">
        <v>59661</v>
      </c>
      <c r="E55" s="28" t="s">
        <v>59662</v>
      </c>
      <c r="F55" s="29">
        <v>43.0</v>
      </c>
      <c r="G55" s="27">
        <v>1.80700433E8</v>
      </c>
    </row>
    <row r="56" ht="12.75" customHeight="1">
      <c r="A56" s="31">
        <v>570.0</v>
      </c>
      <c r="B56" s="32" t="s">
        <v>59663</v>
      </c>
      <c r="C56" s="31">
        <v>180.0</v>
      </c>
      <c r="D56" s="32" t="s">
        <v>59664</v>
      </c>
      <c r="E56" s="32" t="s">
        <v>59665</v>
      </c>
      <c r="F56" s="33">
        <v>46.0</v>
      </c>
      <c r="G56" s="31">
        <v>1.80700462E8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570.0</v>
      </c>
      <c r="B1" s="28" t="s">
        <v>59666</v>
      </c>
      <c r="C1" s="27">
        <v>180.0</v>
      </c>
      <c r="D1" s="28" t="s">
        <v>59667</v>
      </c>
      <c r="E1" s="28" t="s">
        <v>59668</v>
      </c>
      <c r="F1" s="29">
        <v>49.0</v>
      </c>
      <c r="G1" s="27">
        <v>1.80700491E8</v>
      </c>
    </row>
    <row r="2" ht="12.75" customHeight="1">
      <c r="A2" s="31">
        <v>570.0</v>
      </c>
      <c r="B2" s="32" t="s">
        <v>59669</v>
      </c>
      <c r="C2" s="31">
        <v>180.0</v>
      </c>
      <c r="D2" s="32" t="s">
        <v>59670</v>
      </c>
      <c r="E2" s="32" t="s">
        <v>59671</v>
      </c>
      <c r="F2" s="33">
        <v>73.0</v>
      </c>
      <c r="G2" s="31">
        <v>1.80700738E8</v>
      </c>
    </row>
    <row r="3" ht="12.75" customHeight="1">
      <c r="A3" s="27">
        <v>570.0</v>
      </c>
      <c r="B3" s="28" t="s">
        <v>59672</v>
      </c>
      <c r="C3" s="27">
        <v>180.0</v>
      </c>
      <c r="D3" s="28" t="s">
        <v>59673</v>
      </c>
      <c r="E3" s="28" t="s">
        <v>59674</v>
      </c>
      <c r="F3" s="29">
        <v>79.0</v>
      </c>
      <c r="G3" s="27">
        <v>1.80700796E8</v>
      </c>
    </row>
    <row r="4" ht="12.75" customHeight="1">
      <c r="A4" s="31">
        <v>570.0</v>
      </c>
      <c r="B4" s="32" t="s">
        <v>59675</v>
      </c>
      <c r="C4" s="31">
        <v>180.0</v>
      </c>
      <c r="D4" s="32" t="s">
        <v>59676</v>
      </c>
      <c r="E4" s="32" t="s">
        <v>59677</v>
      </c>
      <c r="F4" s="33">
        <v>88.0</v>
      </c>
      <c r="G4" s="31">
        <v>1.80700888E8</v>
      </c>
    </row>
    <row r="5" ht="12.75" customHeight="1">
      <c r="A5" s="27">
        <v>570.0</v>
      </c>
      <c r="B5" s="28" t="s">
        <v>59678</v>
      </c>
      <c r="C5" s="27">
        <v>180.0</v>
      </c>
      <c r="D5" s="28" t="s">
        <v>59679</v>
      </c>
      <c r="E5" s="28" t="s">
        <v>59680</v>
      </c>
      <c r="F5" s="29">
        <v>94.0</v>
      </c>
      <c r="G5" s="27">
        <v>1.80700941E8</v>
      </c>
    </row>
    <row r="6" ht="12.75" customHeight="1">
      <c r="A6" s="31">
        <v>570.0</v>
      </c>
      <c r="B6" s="32" t="s">
        <v>59681</v>
      </c>
      <c r="C6" s="31">
        <v>180.0</v>
      </c>
      <c r="D6" s="32" t="s">
        <v>59682</v>
      </c>
      <c r="E6" s="32" t="s">
        <v>59683</v>
      </c>
      <c r="F6" s="33">
        <v>97.0</v>
      </c>
      <c r="G6" s="31">
        <v>1.8070097E8</v>
      </c>
    </row>
    <row r="7" ht="12.75" customHeight="1">
      <c r="A7" s="27">
        <v>570.0</v>
      </c>
      <c r="B7" s="28" t="s">
        <v>59684</v>
      </c>
      <c r="C7" s="27">
        <v>180.0</v>
      </c>
      <c r="D7" s="28" t="s">
        <v>59685</v>
      </c>
      <c r="E7" s="28" t="s">
        <v>59686</v>
      </c>
      <c r="F7" s="27">
        <v>100.0</v>
      </c>
      <c r="G7" s="27">
        <v>1.80701003E8</v>
      </c>
    </row>
    <row r="8" ht="12.75" customHeight="1">
      <c r="A8" s="31">
        <v>570.0</v>
      </c>
      <c r="B8" s="32" t="s">
        <v>59687</v>
      </c>
      <c r="C8" s="31">
        <v>180.0</v>
      </c>
      <c r="D8" s="32" t="s">
        <v>59688</v>
      </c>
      <c r="E8" s="32" t="s">
        <v>59689</v>
      </c>
      <c r="F8" s="31">
        <v>103.0</v>
      </c>
      <c r="G8" s="31">
        <v>1.80701032E8</v>
      </c>
    </row>
    <row r="9" ht="12.75" customHeight="1">
      <c r="A9" s="27">
        <v>773.0</v>
      </c>
      <c r="B9" s="28" t="s">
        <v>59690</v>
      </c>
      <c r="C9" s="27">
        <v>180.0</v>
      </c>
      <c r="D9" s="28" t="s">
        <v>59691</v>
      </c>
      <c r="E9" s="28" t="s">
        <v>59692</v>
      </c>
      <c r="F9" s="29">
        <v>4.0</v>
      </c>
      <c r="G9" s="27">
        <v>1.80730045E8</v>
      </c>
    </row>
    <row r="10" ht="12.75" customHeight="1">
      <c r="A10" s="31">
        <v>773.0</v>
      </c>
      <c r="B10" s="32" t="s">
        <v>59693</v>
      </c>
      <c r="C10" s="31">
        <v>180.0</v>
      </c>
      <c r="D10" s="32" t="s">
        <v>59694</v>
      </c>
      <c r="E10" s="32" t="s">
        <v>59695</v>
      </c>
      <c r="F10" s="33">
        <v>7.0</v>
      </c>
      <c r="G10" s="31">
        <v>1.80730074E8</v>
      </c>
    </row>
    <row r="11" ht="12.75" customHeight="1">
      <c r="A11" s="27">
        <v>773.0</v>
      </c>
      <c r="B11" s="28" t="s">
        <v>59696</v>
      </c>
      <c r="C11" s="27">
        <v>180.0</v>
      </c>
      <c r="D11" s="28" t="s">
        <v>59697</v>
      </c>
      <c r="E11" s="28" t="s">
        <v>59698</v>
      </c>
      <c r="F11" s="29">
        <v>10.0</v>
      </c>
      <c r="G11" s="27">
        <v>1.80730108E8</v>
      </c>
    </row>
    <row r="12" ht="12.75" customHeight="1">
      <c r="A12" s="31">
        <v>773.0</v>
      </c>
      <c r="B12" s="32" t="s">
        <v>59699</v>
      </c>
      <c r="C12" s="31">
        <v>180.0</v>
      </c>
      <c r="D12" s="32" t="s">
        <v>59700</v>
      </c>
      <c r="E12" s="32" t="s">
        <v>59701</v>
      </c>
      <c r="F12" s="33">
        <v>16.0</v>
      </c>
      <c r="G12" s="31">
        <v>1.80730166E8</v>
      </c>
    </row>
    <row r="13" ht="12.75" customHeight="1">
      <c r="A13" s="27">
        <v>773.0</v>
      </c>
      <c r="B13" s="28" t="s">
        <v>59702</v>
      </c>
      <c r="C13" s="27">
        <v>180.0</v>
      </c>
      <c r="D13" s="28" t="s">
        <v>59703</v>
      </c>
      <c r="E13" s="28" t="s">
        <v>59704</v>
      </c>
      <c r="F13" s="29">
        <v>19.0</v>
      </c>
      <c r="G13" s="27">
        <v>1.80730195E8</v>
      </c>
    </row>
    <row r="14" ht="12.75" customHeight="1">
      <c r="A14" s="31">
        <v>773.0</v>
      </c>
      <c r="B14" s="32" t="s">
        <v>59705</v>
      </c>
      <c r="C14" s="31">
        <v>180.0</v>
      </c>
      <c r="D14" s="32" t="s">
        <v>59706</v>
      </c>
      <c r="E14" s="32" t="s">
        <v>59707</v>
      </c>
      <c r="F14" s="33">
        <v>31.0</v>
      </c>
      <c r="G14" s="31">
        <v>1.80730311E8</v>
      </c>
    </row>
    <row r="15" ht="12.75" customHeight="1">
      <c r="A15" s="27">
        <v>773.0</v>
      </c>
      <c r="B15" s="28" t="s">
        <v>59708</v>
      </c>
      <c r="C15" s="27">
        <v>180.0</v>
      </c>
      <c r="D15" s="28" t="s">
        <v>59709</v>
      </c>
      <c r="E15" s="28" t="s">
        <v>59710</v>
      </c>
      <c r="F15" s="29">
        <v>34.0</v>
      </c>
      <c r="G15" s="27">
        <v>1.8073034E8</v>
      </c>
    </row>
    <row r="16" ht="12.75" customHeight="1">
      <c r="A16" s="31">
        <v>773.0</v>
      </c>
      <c r="B16" s="32" t="s">
        <v>59711</v>
      </c>
      <c r="C16" s="31">
        <v>180.0</v>
      </c>
      <c r="D16" s="32" t="s">
        <v>59712</v>
      </c>
      <c r="E16" s="32" t="s">
        <v>59713</v>
      </c>
      <c r="F16" s="33">
        <v>37.0</v>
      </c>
      <c r="G16" s="31">
        <v>1.80730379E8</v>
      </c>
    </row>
    <row r="17" ht="12.75" customHeight="1">
      <c r="A17" s="27">
        <v>773.0</v>
      </c>
      <c r="B17" s="28" t="s">
        <v>59714</v>
      </c>
      <c r="C17" s="27">
        <v>180.0</v>
      </c>
      <c r="D17" s="28" t="s">
        <v>59715</v>
      </c>
      <c r="E17" s="28" t="s">
        <v>59716</v>
      </c>
      <c r="F17" s="29">
        <v>40.0</v>
      </c>
      <c r="G17" s="27">
        <v>1.80730403E8</v>
      </c>
    </row>
    <row r="18" ht="12.75" customHeight="1">
      <c r="A18" s="31">
        <v>773.0</v>
      </c>
      <c r="B18" s="32" t="s">
        <v>59717</v>
      </c>
      <c r="C18" s="31">
        <v>180.0</v>
      </c>
      <c r="D18" s="32" t="s">
        <v>59718</v>
      </c>
      <c r="E18" s="32" t="s">
        <v>59719</v>
      </c>
      <c r="F18" s="33">
        <v>43.0</v>
      </c>
      <c r="G18" s="31">
        <v>1.80730432E8</v>
      </c>
    </row>
    <row r="19" ht="12.75" customHeight="1">
      <c r="A19" s="27">
        <v>773.0</v>
      </c>
      <c r="B19" s="28" t="s">
        <v>59720</v>
      </c>
      <c r="C19" s="27">
        <v>180.0</v>
      </c>
      <c r="D19" s="28" t="s">
        <v>59721</v>
      </c>
      <c r="E19" s="28" t="s">
        <v>59722</v>
      </c>
      <c r="F19" s="29">
        <v>46.0</v>
      </c>
      <c r="G19" s="27">
        <v>1.80730461E8</v>
      </c>
    </row>
    <row r="20" ht="12.75" customHeight="1">
      <c r="A20" s="31">
        <v>773.0</v>
      </c>
      <c r="B20" s="32" t="s">
        <v>59723</v>
      </c>
      <c r="C20" s="31">
        <v>180.0</v>
      </c>
      <c r="D20" s="32" t="s">
        <v>59724</v>
      </c>
      <c r="E20" s="32" t="s">
        <v>59725</v>
      </c>
      <c r="F20" s="33">
        <v>55.0</v>
      </c>
      <c r="G20" s="31">
        <v>1.80730553E8</v>
      </c>
    </row>
    <row r="21" ht="12.75" customHeight="1">
      <c r="A21" s="27">
        <v>773.0</v>
      </c>
      <c r="B21" s="28" t="s">
        <v>59726</v>
      </c>
      <c r="C21" s="27">
        <v>180.0</v>
      </c>
      <c r="D21" s="28" t="s">
        <v>59727</v>
      </c>
      <c r="E21" s="28" t="s">
        <v>59728</v>
      </c>
      <c r="F21" s="29">
        <v>58.0</v>
      </c>
      <c r="G21" s="27">
        <v>1.80730582E8</v>
      </c>
    </row>
    <row r="22" ht="12.75" customHeight="1">
      <c r="A22" s="31">
        <v>773.0</v>
      </c>
      <c r="B22" s="32" t="s">
        <v>59729</v>
      </c>
      <c r="C22" s="31">
        <v>180.0</v>
      </c>
      <c r="D22" s="32" t="s">
        <v>59730</v>
      </c>
      <c r="E22" s="32" t="s">
        <v>59731</v>
      </c>
      <c r="F22" s="33">
        <v>61.0</v>
      </c>
      <c r="G22" s="31">
        <v>1.80730616E8</v>
      </c>
    </row>
    <row r="23" ht="12.75" customHeight="1">
      <c r="A23" s="27">
        <v>773.0</v>
      </c>
      <c r="B23" s="28" t="s">
        <v>59732</v>
      </c>
      <c r="C23" s="27">
        <v>180.0</v>
      </c>
      <c r="D23" s="28" t="s">
        <v>59733</v>
      </c>
      <c r="E23" s="28" t="s">
        <v>59734</v>
      </c>
      <c r="F23" s="29">
        <v>67.0</v>
      </c>
      <c r="G23" s="27">
        <v>1.80730674E8</v>
      </c>
    </row>
    <row r="24" ht="12.75" customHeight="1">
      <c r="A24" s="31">
        <v>773.0</v>
      </c>
      <c r="B24" s="32" t="s">
        <v>59735</v>
      </c>
      <c r="C24" s="31">
        <v>180.0</v>
      </c>
      <c r="D24" s="32" t="s">
        <v>59736</v>
      </c>
      <c r="E24" s="32" t="s">
        <v>59737</v>
      </c>
      <c r="F24" s="33">
        <v>70.0</v>
      </c>
      <c r="G24" s="31">
        <v>1.80730708E8</v>
      </c>
    </row>
    <row r="25" ht="12.75" customHeight="1">
      <c r="A25" s="27">
        <v>773.0</v>
      </c>
      <c r="B25" s="28" t="s">
        <v>59738</v>
      </c>
      <c r="C25" s="27">
        <v>180.0</v>
      </c>
      <c r="D25" s="28" t="s">
        <v>59739</v>
      </c>
      <c r="E25" s="28" t="s">
        <v>59740</v>
      </c>
      <c r="F25" s="29">
        <v>73.0</v>
      </c>
      <c r="G25" s="27">
        <v>1.80730737E8</v>
      </c>
    </row>
    <row r="26" ht="12.75" customHeight="1">
      <c r="A26" s="31">
        <v>773.0</v>
      </c>
      <c r="B26" s="32" t="s">
        <v>59741</v>
      </c>
      <c r="C26" s="31">
        <v>180.0</v>
      </c>
      <c r="D26" s="32" t="s">
        <v>59742</v>
      </c>
      <c r="E26" s="32" t="s">
        <v>59743</v>
      </c>
      <c r="F26" s="33">
        <v>79.0</v>
      </c>
      <c r="G26" s="31">
        <v>1.80730795E8</v>
      </c>
    </row>
    <row r="27" ht="12.75" customHeight="1">
      <c r="A27" s="27">
        <v>773.0</v>
      </c>
      <c r="B27" s="28" t="s">
        <v>59744</v>
      </c>
      <c r="C27" s="27">
        <v>180.0</v>
      </c>
      <c r="D27" s="28" t="s">
        <v>59745</v>
      </c>
      <c r="E27" s="28" t="s">
        <v>59746</v>
      </c>
      <c r="F27" s="29">
        <v>85.0</v>
      </c>
      <c r="G27" s="27">
        <v>1.80730858E8</v>
      </c>
    </row>
    <row r="28" ht="12.75" customHeight="1">
      <c r="A28" s="31">
        <v>773.0</v>
      </c>
      <c r="B28" s="32" t="s">
        <v>59747</v>
      </c>
      <c r="C28" s="31">
        <v>180.0</v>
      </c>
      <c r="D28" s="32" t="s">
        <v>59748</v>
      </c>
      <c r="E28" s="32" t="s">
        <v>59749</v>
      </c>
      <c r="F28" s="33">
        <v>88.0</v>
      </c>
      <c r="G28" s="31">
        <v>1.80730887E8</v>
      </c>
    </row>
    <row r="29" ht="12.75" customHeight="1">
      <c r="A29" s="27">
        <v>576.0</v>
      </c>
      <c r="B29" s="28" t="s">
        <v>59750</v>
      </c>
      <c r="C29" s="27">
        <v>180.0</v>
      </c>
      <c r="D29" s="28" t="s">
        <v>59751</v>
      </c>
      <c r="E29" s="28" t="s">
        <v>59752</v>
      </c>
      <c r="F29" s="29">
        <v>5.0</v>
      </c>
      <c r="G29" s="27">
        <v>1.80760057E8</v>
      </c>
    </row>
    <row r="30" ht="12.75" customHeight="1">
      <c r="A30" s="31">
        <v>576.0</v>
      </c>
      <c r="B30" s="32" t="s">
        <v>59753</v>
      </c>
      <c r="C30" s="31">
        <v>180.0</v>
      </c>
      <c r="D30" s="32" t="s">
        <v>59754</v>
      </c>
      <c r="E30" s="32" t="s">
        <v>59755</v>
      </c>
      <c r="F30" s="33">
        <v>6.0</v>
      </c>
      <c r="G30" s="31">
        <v>1.8076006E8</v>
      </c>
    </row>
    <row r="31" ht="12.75" customHeight="1">
      <c r="A31" s="27">
        <v>576.0</v>
      </c>
      <c r="B31" s="28" t="s">
        <v>59756</v>
      </c>
      <c r="C31" s="27">
        <v>180.0</v>
      </c>
      <c r="D31" s="28" t="s">
        <v>59757</v>
      </c>
      <c r="E31" s="28" t="s">
        <v>59758</v>
      </c>
      <c r="F31" s="29">
        <v>7.0</v>
      </c>
      <c r="G31" s="27">
        <v>1.80760073E8</v>
      </c>
    </row>
    <row r="32" ht="12.75" customHeight="1">
      <c r="A32" s="31">
        <v>576.0</v>
      </c>
      <c r="B32" s="32" t="s">
        <v>59759</v>
      </c>
      <c r="C32" s="31">
        <v>180.0</v>
      </c>
      <c r="D32" s="32" t="s">
        <v>59760</v>
      </c>
      <c r="E32" s="32" t="s">
        <v>59761</v>
      </c>
      <c r="F32" s="33">
        <v>13.0</v>
      </c>
      <c r="G32" s="31">
        <v>1.80760136E8</v>
      </c>
    </row>
    <row r="33" ht="12.75" customHeight="1">
      <c r="A33" s="27">
        <v>576.0</v>
      </c>
      <c r="B33" s="28" t="s">
        <v>59762</v>
      </c>
      <c r="C33" s="27">
        <v>180.0</v>
      </c>
      <c r="D33" s="28" t="s">
        <v>59763</v>
      </c>
      <c r="E33" s="28" t="s">
        <v>59764</v>
      </c>
      <c r="F33" s="29">
        <v>25.0</v>
      </c>
      <c r="G33" s="27">
        <v>1.80760257E8</v>
      </c>
    </row>
    <row r="34" ht="12.75" customHeight="1">
      <c r="A34" s="31">
        <v>576.0</v>
      </c>
      <c r="B34" s="32" t="s">
        <v>59765</v>
      </c>
      <c r="C34" s="31">
        <v>180.0</v>
      </c>
      <c r="D34" s="32" t="s">
        <v>59766</v>
      </c>
      <c r="E34" s="32" t="s">
        <v>59767</v>
      </c>
      <c r="F34" s="33">
        <v>46.0</v>
      </c>
      <c r="G34" s="31">
        <v>1.8076046E8</v>
      </c>
    </row>
    <row r="35" ht="12.75" customHeight="1">
      <c r="A35" s="27">
        <v>576.0</v>
      </c>
      <c r="B35" s="28" t="s">
        <v>59768</v>
      </c>
      <c r="C35" s="27">
        <v>180.0</v>
      </c>
      <c r="D35" s="28" t="s">
        <v>59769</v>
      </c>
      <c r="E35" s="28" t="s">
        <v>59770</v>
      </c>
      <c r="F35" s="29">
        <v>49.0</v>
      </c>
      <c r="G35" s="27">
        <v>1.80760499E8</v>
      </c>
    </row>
    <row r="36" ht="12.75" customHeight="1">
      <c r="A36" s="31">
        <v>576.0</v>
      </c>
      <c r="B36" s="32" t="s">
        <v>59771</v>
      </c>
      <c r="C36" s="31">
        <v>180.0</v>
      </c>
      <c r="D36" s="32" t="s">
        <v>59772</v>
      </c>
      <c r="E36" s="32" t="s">
        <v>59773</v>
      </c>
      <c r="F36" s="33">
        <v>55.0</v>
      </c>
      <c r="G36" s="31">
        <v>1.80760552E8</v>
      </c>
    </row>
    <row r="37" ht="12.75" customHeight="1">
      <c r="A37" s="27">
        <v>576.0</v>
      </c>
      <c r="B37" s="28" t="s">
        <v>59774</v>
      </c>
      <c r="C37" s="27">
        <v>180.0</v>
      </c>
      <c r="D37" s="28" t="s">
        <v>59775</v>
      </c>
      <c r="E37" s="28" t="s">
        <v>59776</v>
      </c>
      <c r="F37" s="29">
        <v>58.0</v>
      </c>
      <c r="G37" s="27">
        <v>1.80760581E8</v>
      </c>
    </row>
    <row r="38" ht="12.75" customHeight="1">
      <c r="A38" s="31">
        <v>576.0</v>
      </c>
      <c r="B38" s="32" t="s">
        <v>59777</v>
      </c>
      <c r="C38" s="31">
        <v>180.0</v>
      </c>
      <c r="D38" s="32" t="s">
        <v>59778</v>
      </c>
      <c r="E38" s="32" t="s">
        <v>59779</v>
      </c>
      <c r="F38" s="33">
        <v>64.0</v>
      </c>
      <c r="G38" s="31">
        <v>1.80760644E8</v>
      </c>
    </row>
    <row r="39" ht="12.75" customHeight="1">
      <c r="A39" s="27">
        <v>576.0</v>
      </c>
      <c r="B39" s="28" t="s">
        <v>59780</v>
      </c>
      <c r="C39" s="27">
        <v>180.0</v>
      </c>
      <c r="D39" s="28" t="s">
        <v>59781</v>
      </c>
      <c r="E39" s="28" t="s">
        <v>59782</v>
      </c>
      <c r="F39" s="29">
        <v>67.0</v>
      </c>
      <c r="G39" s="27">
        <v>1.80760673E8</v>
      </c>
    </row>
    <row r="40" ht="12.75" customHeight="1">
      <c r="A40" s="31">
        <v>576.0</v>
      </c>
      <c r="B40" s="32" t="s">
        <v>59783</v>
      </c>
      <c r="C40" s="31">
        <v>180.0</v>
      </c>
      <c r="D40" s="32" t="s">
        <v>59784</v>
      </c>
      <c r="E40" s="32" t="s">
        <v>59785</v>
      </c>
      <c r="F40" s="33">
        <v>76.0</v>
      </c>
      <c r="G40" s="31">
        <v>1.80760765E8</v>
      </c>
    </row>
    <row r="41" ht="12.75" customHeight="1">
      <c r="A41" s="27">
        <v>576.0</v>
      </c>
      <c r="B41" s="28" t="s">
        <v>59786</v>
      </c>
      <c r="C41" s="27">
        <v>180.0</v>
      </c>
      <c r="D41" s="28" t="s">
        <v>59787</v>
      </c>
      <c r="E41" s="28" t="s">
        <v>59788</v>
      </c>
      <c r="F41" s="29">
        <v>88.0</v>
      </c>
      <c r="G41" s="27">
        <v>1.80760886E8</v>
      </c>
    </row>
    <row r="42" ht="12.75" customHeight="1">
      <c r="A42" s="31">
        <v>576.0</v>
      </c>
      <c r="B42" s="32" t="s">
        <v>59789</v>
      </c>
      <c r="C42" s="31">
        <v>180.0</v>
      </c>
      <c r="D42" s="32" t="s">
        <v>59790</v>
      </c>
      <c r="E42" s="32" t="s">
        <v>59791</v>
      </c>
      <c r="F42" s="31">
        <v>100.0</v>
      </c>
      <c r="G42" s="31">
        <v>1.80761001E8</v>
      </c>
    </row>
    <row r="43" ht="12.75" customHeight="1">
      <c r="A43" s="27">
        <v>576.0</v>
      </c>
      <c r="B43" s="28" t="s">
        <v>59792</v>
      </c>
      <c r="C43" s="27">
        <v>180.0</v>
      </c>
      <c r="D43" s="28" t="s">
        <v>59793</v>
      </c>
      <c r="E43" s="28" t="s">
        <v>59794</v>
      </c>
      <c r="F43" s="27">
        <v>106.0</v>
      </c>
      <c r="G43" s="27">
        <v>1.80761069E8</v>
      </c>
    </row>
    <row r="44" ht="12.75" customHeight="1">
      <c r="A44" s="31">
        <v>576.0</v>
      </c>
      <c r="B44" s="32" t="s">
        <v>59795</v>
      </c>
      <c r="C44" s="31">
        <v>180.0</v>
      </c>
      <c r="D44" s="32" t="s">
        <v>59796</v>
      </c>
      <c r="E44" s="32" t="s">
        <v>59797</v>
      </c>
      <c r="F44" s="31">
        <v>115.0</v>
      </c>
      <c r="G44" s="31">
        <v>1.80761151E8</v>
      </c>
    </row>
    <row r="45" ht="12.75" customHeight="1">
      <c r="A45" s="27">
        <v>576.0</v>
      </c>
      <c r="B45" s="28" t="s">
        <v>59798</v>
      </c>
      <c r="C45" s="27">
        <v>180.0</v>
      </c>
      <c r="D45" s="28" t="s">
        <v>59799</v>
      </c>
      <c r="E45" s="28" t="s">
        <v>59800</v>
      </c>
      <c r="F45" s="27">
        <v>118.0</v>
      </c>
      <c r="G45" s="27">
        <v>1.8076118E8</v>
      </c>
    </row>
    <row r="46" ht="12.75" customHeight="1">
      <c r="A46" s="31">
        <v>576.0</v>
      </c>
      <c r="B46" s="32" t="s">
        <v>59801</v>
      </c>
      <c r="C46" s="31">
        <v>180.0</v>
      </c>
      <c r="D46" s="32" t="s">
        <v>59802</v>
      </c>
      <c r="E46" s="32" t="s">
        <v>59803</v>
      </c>
      <c r="F46" s="31">
        <v>121.0</v>
      </c>
      <c r="G46" s="31">
        <v>1.80761214E8</v>
      </c>
    </row>
    <row r="47" ht="12.75" customHeight="1">
      <c r="A47" s="27">
        <v>576.0</v>
      </c>
      <c r="B47" s="28" t="s">
        <v>59804</v>
      </c>
      <c r="C47" s="27">
        <v>180.0</v>
      </c>
      <c r="D47" s="28" t="s">
        <v>59805</v>
      </c>
      <c r="E47" s="28" t="s">
        <v>59806</v>
      </c>
      <c r="F47" s="27">
        <v>124.0</v>
      </c>
      <c r="G47" s="27">
        <v>1.80761243E8</v>
      </c>
    </row>
    <row r="48" ht="12.75" customHeight="1">
      <c r="A48" s="31">
        <v>576.0</v>
      </c>
      <c r="B48" s="32" t="s">
        <v>59807</v>
      </c>
      <c r="C48" s="31">
        <v>180.0</v>
      </c>
      <c r="D48" s="32" t="s">
        <v>59808</v>
      </c>
      <c r="E48" s="32" t="s">
        <v>59809</v>
      </c>
      <c r="F48" s="31">
        <v>136.0</v>
      </c>
      <c r="G48" s="31">
        <v>1.80761364E8</v>
      </c>
    </row>
    <row r="49" ht="12.75" customHeight="1">
      <c r="A49" s="27">
        <v>576.0</v>
      </c>
      <c r="B49" s="28" t="s">
        <v>59810</v>
      </c>
      <c r="C49" s="27">
        <v>180.0</v>
      </c>
      <c r="D49" s="28" t="s">
        <v>59811</v>
      </c>
      <c r="E49" s="28" t="s">
        <v>59812</v>
      </c>
      <c r="F49" s="27">
        <v>142.0</v>
      </c>
      <c r="G49" s="27">
        <v>1.80761427E8</v>
      </c>
    </row>
    <row r="50" ht="12.75" customHeight="1">
      <c r="A50" s="31">
        <v>576.0</v>
      </c>
      <c r="B50" s="32" t="s">
        <v>59813</v>
      </c>
      <c r="C50" s="31">
        <v>180.0</v>
      </c>
      <c r="D50" s="32" t="s">
        <v>59814</v>
      </c>
      <c r="E50" s="32" t="s">
        <v>59815</v>
      </c>
      <c r="F50" s="31">
        <v>178.0</v>
      </c>
      <c r="G50" s="31">
        <v>1.8076178E8</v>
      </c>
    </row>
    <row r="51" ht="12.75" customHeight="1">
      <c r="A51" s="27">
        <v>576.0</v>
      </c>
      <c r="B51" s="28" t="s">
        <v>59816</v>
      </c>
      <c r="C51" s="27">
        <v>180.0</v>
      </c>
      <c r="D51" s="28" t="s">
        <v>59817</v>
      </c>
      <c r="E51" s="28" t="s">
        <v>59818</v>
      </c>
      <c r="F51" s="27">
        <v>205.0</v>
      </c>
      <c r="G51" s="27">
        <v>1.80762055E8</v>
      </c>
    </row>
    <row r="52" ht="12.75" customHeight="1">
      <c r="A52" s="31">
        <v>576.0</v>
      </c>
      <c r="B52" s="32" t="s">
        <v>59819</v>
      </c>
      <c r="C52" s="31">
        <v>180.0</v>
      </c>
      <c r="D52" s="32" t="s">
        <v>59820</v>
      </c>
      <c r="E52" s="32" t="s">
        <v>59821</v>
      </c>
      <c r="F52" s="31">
        <v>208.0</v>
      </c>
      <c r="G52" s="31">
        <v>1.80762084E8</v>
      </c>
    </row>
    <row r="53" ht="12.75" customHeight="1">
      <c r="A53" s="27">
        <v>576.0</v>
      </c>
      <c r="B53" s="28" t="s">
        <v>59822</v>
      </c>
      <c r="C53" s="27">
        <v>180.0</v>
      </c>
      <c r="D53" s="28" t="s">
        <v>59823</v>
      </c>
      <c r="E53" s="28" t="s">
        <v>59824</v>
      </c>
      <c r="F53" s="27">
        <v>223.0</v>
      </c>
      <c r="G53" s="27">
        <v>1.80762239E8</v>
      </c>
    </row>
    <row r="54" ht="12.75" customHeight="1">
      <c r="A54" s="31">
        <v>576.0</v>
      </c>
      <c r="B54" s="32" t="s">
        <v>59825</v>
      </c>
      <c r="C54" s="31">
        <v>180.0</v>
      </c>
      <c r="D54" s="32" t="s">
        <v>59826</v>
      </c>
      <c r="E54" s="32" t="s">
        <v>59827</v>
      </c>
      <c r="F54" s="31">
        <v>226.0</v>
      </c>
      <c r="G54" s="31">
        <v>1.80762268E8</v>
      </c>
    </row>
    <row r="55" ht="12.75" customHeight="1">
      <c r="A55" s="27">
        <v>777.0</v>
      </c>
      <c r="B55" s="28" t="s">
        <v>59828</v>
      </c>
      <c r="C55" s="27">
        <v>180.0</v>
      </c>
      <c r="D55" s="28" t="s">
        <v>59829</v>
      </c>
      <c r="E55" s="28" t="s">
        <v>59830</v>
      </c>
      <c r="F55" s="29">
        <v>4.0</v>
      </c>
      <c r="G55" s="27">
        <v>1.80770047E8</v>
      </c>
    </row>
    <row r="56" ht="12.75" customHeight="1">
      <c r="A56" s="31">
        <v>777.0</v>
      </c>
      <c r="B56" s="32" t="s">
        <v>59831</v>
      </c>
      <c r="C56" s="31">
        <v>180.0</v>
      </c>
      <c r="D56" s="32" t="s">
        <v>59832</v>
      </c>
      <c r="E56" s="32" t="s">
        <v>59833</v>
      </c>
      <c r="F56" s="33">
        <v>5.0</v>
      </c>
      <c r="G56" s="31">
        <v>1.8077005E8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777.0</v>
      </c>
      <c r="B1" s="28" t="s">
        <v>59834</v>
      </c>
      <c r="C1" s="27">
        <v>180.0</v>
      </c>
      <c r="D1" s="28" t="s">
        <v>59835</v>
      </c>
      <c r="E1" s="28" t="s">
        <v>59836</v>
      </c>
      <c r="F1" s="29">
        <v>10.0</v>
      </c>
      <c r="G1" s="27">
        <v>1.807701E8</v>
      </c>
    </row>
    <row r="2" ht="12.75" customHeight="1">
      <c r="A2" s="31">
        <v>777.0</v>
      </c>
      <c r="B2" s="32" t="s">
        <v>59837</v>
      </c>
      <c r="C2" s="31">
        <v>180.0</v>
      </c>
      <c r="D2" s="32" t="s">
        <v>59838</v>
      </c>
      <c r="E2" s="32" t="s">
        <v>59839</v>
      </c>
      <c r="F2" s="33">
        <v>13.0</v>
      </c>
      <c r="G2" s="31">
        <v>1.80770139E8</v>
      </c>
    </row>
    <row r="3" ht="12.75" customHeight="1">
      <c r="A3" s="27">
        <v>777.0</v>
      </c>
      <c r="B3" s="28" t="s">
        <v>59840</v>
      </c>
      <c r="C3" s="27">
        <v>180.0</v>
      </c>
      <c r="D3" s="28" t="s">
        <v>59841</v>
      </c>
      <c r="E3" s="28" t="s">
        <v>59842</v>
      </c>
      <c r="F3" s="29">
        <v>19.0</v>
      </c>
      <c r="G3" s="27">
        <v>1.80770197E8</v>
      </c>
    </row>
    <row r="4" ht="12.75" customHeight="1">
      <c r="A4" s="31">
        <v>777.0</v>
      </c>
      <c r="B4" s="32" t="s">
        <v>59843</v>
      </c>
      <c r="C4" s="31">
        <v>180.0</v>
      </c>
      <c r="D4" s="32" t="s">
        <v>59844</v>
      </c>
      <c r="E4" s="32" t="s">
        <v>59845</v>
      </c>
      <c r="F4" s="33">
        <v>22.0</v>
      </c>
      <c r="G4" s="31">
        <v>1.80770221E8</v>
      </c>
    </row>
    <row r="5" ht="12.75" customHeight="1">
      <c r="A5" s="27">
        <v>777.0</v>
      </c>
      <c r="B5" s="28" t="s">
        <v>59846</v>
      </c>
      <c r="C5" s="27">
        <v>180.0</v>
      </c>
      <c r="D5" s="28" t="s">
        <v>59847</v>
      </c>
      <c r="E5" s="28" t="s">
        <v>59848</v>
      </c>
      <c r="F5" s="29">
        <v>28.0</v>
      </c>
      <c r="G5" s="27">
        <v>1.80770289E8</v>
      </c>
    </row>
    <row r="6" ht="12.75" customHeight="1">
      <c r="A6" s="31">
        <v>777.0</v>
      </c>
      <c r="B6" s="32" t="s">
        <v>59849</v>
      </c>
      <c r="C6" s="31">
        <v>180.0</v>
      </c>
      <c r="D6" s="32" t="s">
        <v>59850</v>
      </c>
      <c r="E6" s="32" t="s">
        <v>59851</v>
      </c>
      <c r="F6" s="33">
        <v>31.0</v>
      </c>
      <c r="G6" s="31">
        <v>1.80770313E8</v>
      </c>
    </row>
    <row r="7" ht="12.75" customHeight="1">
      <c r="A7" s="27">
        <v>777.0</v>
      </c>
      <c r="B7" s="28" t="s">
        <v>59852</v>
      </c>
      <c r="C7" s="27">
        <v>180.0</v>
      </c>
      <c r="D7" s="28" t="s">
        <v>59853</v>
      </c>
      <c r="E7" s="28" t="s">
        <v>59854</v>
      </c>
      <c r="F7" s="29">
        <v>37.0</v>
      </c>
      <c r="G7" s="27">
        <v>1.80770371E8</v>
      </c>
    </row>
    <row r="8" ht="12.75" customHeight="1">
      <c r="A8" s="31">
        <v>777.0</v>
      </c>
      <c r="B8" s="32" t="s">
        <v>59855</v>
      </c>
      <c r="C8" s="31">
        <v>180.0</v>
      </c>
      <c r="D8" s="32" t="s">
        <v>59856</v>
      </c>
      <c r="E8" s="32" t="s">
        <v>59857</v>
      </c>
      <c r="F8" s="33">
        <v>40.0</v>
      </c>
      <c r="G8" s="31">
        <v>1.80770405E8</v>
      </c>
    </row>
    <row r="9" ht="12.75" customHeight="1">
      <c r="A9" s="27">
        <v>777.0</v>
      </c>
      <c r="B9" s="28" t="s">
        <v>59858</v>
      </c>
      <c r="C9" s="27">
        <v>180.0</v>
      </c>
      <c r="D9" s="28" t="s">
        <v>59859</v>
      </c>
      <c r="E9" s="28" t="s">
        <v>59860</v>
      </c>
      <c r="F9" s="29">
        <v>43.0</v>
      </c>
      <c r="G9" s="27">
        <v>1.80770434E8</v>
      </c>
    </row>
    <row r="10" ht="12.75" customHeight="1">
      <c r="A10" s="31">
        <v>777.0</v>
      </c>
      <c r="B10" s="32" t="s">
        <v>59861</v>
      </c>
      <c r="C10" s="31">
        <v>180.0</v>
      </c>
      <c r="D10" s="32" t="s">
        <v>59862</v>
      </c>
      <c r="E10" s="32" t="s">
        <v>59863</v>
      </c>
      <c r="F10" s="33">
        <v>46.0</v>
      </c>
      <c r="G10" s="31">
        <v>1.80770463E8</v>
      </c>
    </row>
    <row r="11" ht="12.75" customHeight="1">
      <c r="A11" s="27">
        <v>777.0</v>
      </c>
      <c r="B11" s="28" t="s">
        <v>59864</v>
      </c>
      <c r="C11" s="27">
        <v>180.0</v>
      </c>
      <c r="D11" s="28" t="s">
        <v>59865</v>
      </c>
      <c r="E11" s="28" t="s">
        <v>59866</v>
      </c>
      <c r="F11" s="29">
        <v>52.0</v>
      </c>
      <c r="G11" s="27">
        <v>1.80770526E8</v>
      </c>
    </row>
    <row r="12" ht="12.75" customHeight="1">
      <c r="A12" s="31">
        <v>777.0</v>
      </c>
      <c r="B12" s="32" t="s">
        <v>59867</v>
      </c>
      <c r="C12" s="31">
        <v>180.0</v>
      </c>
      <c r="D12" s="32" t="s">
        <v>59868</v>
      </c>
      <c r="E12" s="32" t="s">
        <v>59869</v>
      </c>
      <c r="F12" s="33">
        <v>55.0</v>
      </c>
      <c r="G12" s="31">
        <v>1.80770555E8</v>
      </c>
    </row>
    <row r="13" ht="12.75" customHeight="1">
      <c r="A13" s="27">
        <v>777.0</v>
      </c>
      <c r="B13" s="28" t="s">
        <v>59870</v>
      </c>
      <c r="C13" s="27">
        <v>180.0</v>
      </c>
      <c r="D13" s="28" t="s">
        <v>59871</v>
      </c>
      <c r="E13" s="28" t="s">
        <v>59872</v>
      </c>
      <c r="F13" s="29">
        <v>58.0</v>
      </c>
      <c r="G13" s="27">
        <v>1.80770584E8</v>
      </c>
    </row>
    <row r="14" ht="12.75" customHeight="1">
      <c r="A14" s="31">
        <v>777.0</v>
      </c>
      <c r="B14" s="32" t="s">
        <v>59873</v>
      </c>
      <c r="C14" s="31">
        <v>180.0</v>
      </c>
      <c r="D14" s="32" t="s">
        <v>59874</v>
      </c>
      <c r="E14" s="32" t="s">
        <v>59875</v>
      </c>
      <c r="F14" s="33">
        <v>64.0</v>
      </c>
      <c r="G14" s="31">
        <v>1.80770647E8</v>
      </c>
    </row>
    <row r="15" ht="12.75" customHeight="1">
      <c r="A15" s="27">
        <v>777.0</v>
      </c>
      <c r="B15" s="28" t="s">
        <v>59876</v>
      </c>
      <c r="C15" s="27">
        <v>180.0</v>
      </c>
      <c r="D15" s="28" t="s">
        <v>59877</v>
      </c>
      <c r="E15" s="28" t="s">
        <v>59878</v>
      </c>
      <c r="F15" s="29">
        <v>67.0</v>
      </c>
      <c r="G15" s="27">
        <v>1.80770676E8</v>
      </c>
    </row>
    <row r="16" ht="12.75" customHeight="1">
      <c r="A16" s="31">
        <v>777.0</v>
      </c>
      <c r="B16" s="32" t="s">
        <v>59879</v>
      </c>
      <c r="C16" s="31">
        <v>180.0</v>
      </c>
      <c r="D16" s="32" t="s">
        <v>59880</v>
      </c>
      <c r="E16" s="32" t="s">
        <v>59881</v>
      </c>
      <c r="F16" s="33">
        <v>70.0</v>
      </c>
      <c r="G16" s="31">
        <v>1.807707E8</v>
      </c>
    </row>
    <row r="17" ht="12.75" customHeight="1">
      <c r="A17" s="27">
        <v>777.0</v>
      </c>
      <c r="B17" s="28" t="s">
        <v>59882</v>
      </c>
      <c r="C17" s="27">
        <v>180.0</v>
      </c>
      <c r="D17" s="28" t="s">
        <v>59883</v>
      </c>
      <c r="E17" s="28" t="s">
        <v>59884</v>
      </c>
      <c r="F17" s="29">
        <v>73.0</v>
      </c>
      <c r="G17" s="27">
        <v>1.80770739E8</v>
      </c>
    </row>
    <row r="18" ht="12.75" customHeight="1">
      <c r="A18" s="31">
        <v>581.0</v>
      </c>
      <c r="B18" s="32" t="s">
        <v>59885</v>
      </c>
      <c r="C18" s="31">
        <v>180.0</v>
      </c>
      <c r="D18" s="32" t="s">
        <v>59886</v>
      </c>
      <c r="E18" s="32" t="s">
        <v>59887</v>
      </c>
      <c r="F18" s="33">
        <v>4.0</v>
      </c>
      <c r="G18" s="31">
        <v>1.80810044E8</v>
      </c>
    </row>
    <row r="19" ht="12.75" customHeight="1">
      <c r="A19" s="27">
        <v>581.0</v>
      </c>
      <c r="B19" s="28" t="s">
        <v>59888</v>
      </c>
      <c r="C19" s="27">
        <v>180.0</v>
      </c>
      <c r="D19" s="28" t="s">
        <v>59889</v>
      </c>
      <c r="E19" s="28" t="s">
        <v>59890</v>
      </c>
      <c r="F19" s="29">
        <v>6.0</v>
      </c>
      <c r="G19" s="27">
        <v>1.8081006E8</v>
      </c>
    </row>
    <row r="20" ht="12.75" customHeight="1">
      <c r="A20" s="31">
        <v>581.0</v>
      </c>
      <c r="B20" s="32" t="s">
        <v>59891</v>
      </c>
      <c r="C20" s="31">
        <v>180.0</v>
      </c>
      <c r="D20" s="32" t="s">
        <v>59892</v>
      </c>
      <c r="E20" s="32" t="s">
        <v>59893</v>
      </c>
      <c r="F20" s="33">
        <v>10.0</v>
      </c>
      <c r="G20" s="31">
        <v>1.80810107E8</v>
      </c>
    </row>
    <row r="21" ht="12.75" customHeight="1">
      <c r="A21" s="27">
        <v>581.0</v>
      </c>
      <c r="B21" s="28" t="s">
        <v>59894</v>
      </c>
      <c r="C21" s="27">
        <v>180.0</v>
      </c>
      <c r="D21" s="28" t="s">
        <v>59895</v>
      </c>
      <c r="E21" s="28" t="s">
        <v>59896</v>
      </c>
      <c r="F21" s="29">
        <v>25.0</v>
      </c>
      <c r="G21" s="27">
        <v>1.80810257E8</v>
      </c>
    </row>
    <row r="22" ht="12.75" customHeight="1">
      <c r="A22" s="31">
        <v>581.0</v>
      </c>
      <c r="B22" s="32" t="s">
        <v>59897</v>
      </c>
      <c r="C22" s="31">
        <v>180.0</v>
      </c>
      <c r="D22" s="32" t="s">
        <v>59898</v>
      </c>
      <c r="E22" s="32" t="s">
        <v>59899</v>
      </c>
      <c r="F22" s="33">
        <v>31.0</v>
      </c>
      <c r="G22" s="31">
        <v>1.8081031E8</v>
      </c>
    </row>
    <row r="23" ht="12.75" customHeight="1">
      <c r="A23" s="27">
        <v>581.0</v>
      </c>
      <c r="B23" s="28" t="s">
        <v>59900</v>
      </c>
      <c r="C23" s="27">
        <v>180.0</v>
      </c>
      <c r="D23" s="28" t="s">
        <v>59901</v>
      </c>
      <c r="E23" s="28" t="s">
        <v>59902</v>
      </c>
      <c r="F23" s="29">
        <v>34.0</v>
      </c>
      <c r="G23" s="27">
        <v>1.80810349E8</v>
      </c>
    </row>
    <row r="24" ht="12.75" customHeight="1">
      <c r="A24" s="31">
        <v>581.0</v>
      </c>
      <c r="B24" s="32" t="s">
        <v>59903</v>
      </c>
      <c r="C24" s="31">
        <v>180.0</v>
      </c>
      <c r="D24" s="32" t="s">
        <v>59904</v>
      </c>
      <c r="E24" s="32" t="s">
        <v>59905</v>
      </c>
      <c r="F24" s="33">
        <v>55.0</v>
      </c>
      <c r="G24" s="31">
        <v>1.80810552E8</v>
      </c>
    </row>
    <row r="25" ht="12.75" customHeight="1">
      <c r="A25" s="27">
        <v>581.0</v>
      </c>
      <c r="B25" s="28" t="s">
        <v>59906</v>
      </c>
      <c r="C25" s="27">
        <v>180.0</v>
      </c>
      <c r="D25" s="28" t="s">
        <v>59907</v>
      </c>
      <c r="E25" s="28" t="s">
        <v>59908</v>
      </c>
      <c r="F25" s="29">
        <v>61.0</v>
      </c>
      <c r="G25" s="27">
        <v>1.80810615E8</v>
      </c>
    </row>
    <row r="26" ht="12.75" customHeight="1">
      <c r="A26" s="31">
        <v>581.0</v>
      </c>
      <c r="B26" s="32" t="s">
        <v>59909</v>
      </c>
      <c r="C26" s="31">
        <v>180.0</v>
      </c>
      <c r="D26" s="32" t="s">
        <v>59910</v>
      </c>
      <c r="E26" s="32" t="s">
        <v>59911</v>
      </c>
      <c r="F26" s="33">
        <v>64.0</v>
      </c>
      <c r="G26" s="31">
        <v>1.80810644E8</v>
      </c>
    </row>
    <row r="27" ht="12.75" customHeight="1">
      <c r="A27" s="27">
        <v>581.0</v>
      </c>
      <c r="B27" s="28" t="s">
        <v>59912</v>
      </c>
      <c r="C27" s="27">
        <v>180.0</v>
      </c>
      <c r="D27" s="28" t="s">
        <v>59913</v>
      </c>
      <c r="E27" s="28" t="s">
        <v>59914</v>
      </c>
      <c r="F27" s="29">
        <v>68.0</v>
      </c>
      <c r="G27" s="27">
        <v>1.80810686E8</v>
      </c>
    </row>
    <row r="28" ht="12.75" customHeight="1">
      <c r="A28" s="31">
        <v>581.0</v>
      </c>
      <c r="B28" s="32" t="s">
        <v>59915</v>
      </c>
      <c r="C28" s="31">
        <v>180.0</v>
      </c>
      <c r="D28" s="32" t="s">
        <v>59916</v>
      </c>
      <c r="E28" s="32" t="s">
        <v>59917</v>
      </c>
      <c r="F28" s="33">
        <v>85.0</v>
      </c>
      <c r="G28" s="31">
        <v>1.80810857E8</v>
      </c>
    </row>
    <row r="29" ht="12.75" customHeight="1">
      <c r="A29" s="27">
        <v>581.0</v>
      </c>
      <c r="B29" s="28" t="s">
        <v>59918</v>
      </c>
      <c r="C29" s="27">
        <v>180.0</v>
      </c>
      <c r="D29" s="28" t="s">
        <v>59919</v>
      </c>
      <c r="E29" s="28" t="s">
        <v>59920</v>
      </c>
      <c r="F29" s="29">
        <v>97.0</v>
      </c>
      <c r="G29" s="27">
        <v>1.80810978E8</v>
      </c>
    </row>
    <row r="30" ht="12.75" customHeight="1">
      <c r="A30" s="31">
        <v>581.0</v>
      </c>
      <c r="B30" s="32" t="s">
        <v>59921</v>
      </c>
      <c r="C30" s="31">
        <v>180.0</v>
      </c>
      <c r="D30" s="32" t="s">
        <v>59922</v>
      </c>
      <c r="E30" s="32" t="s">
        <v>59923</v>
      </c>
      <c r="F30" s="31">
        <v>100.0</v>
      </c>
      <c r="G30" s="31">
        <v>1.80811001E8</v>
      </c>
    </row>
    <row r="31" ht="12.75" customHeight="1">
      <c r="A31" s="27">
        <v>581.0</v>
      </c>
      <c r="B31" s="28" t="s">
        <v>59924</v>
      </c>
      <c r="C31" s="27">
        <v>180.0</v>
      </c>
      <c r="D31" s="28" t="s">
        <v>59925</v>
      </c>
      <c r="E31" s="28" t="s">
        <v>59926</v>
      </c>
      <c r="F31" s="27">
        <v>109.0</v>
      </c>
      <c r="G31" s="27">
        <v>1.80811098E8</v>
      </c>
    </row>
    <row r="32" ht="12.75" customHeight="1">
      <c r="A32" s="31">
        <v>581.0</v>
      </c>
      <c r="B32" s="32" t="s">
        <v>59927</v>
      </c>
      <c r="C32" s="31">
        <v>180.0</v>
      </c>
      <c r="D32" s="32" t="s">
        <v>59928</v>
      </c>
      <c r="E32" s="32" t="s">
        <v>59929</v>
      </c>
      <c r="F32" s="31">
        <v>112.0</v>
      </c>
      <c r="G32" s="31">
        <v>1.80811122E8</v>
      </c>
    </row>
    <row r="33" ht="12.75" customHeight="1">
      <c r="A33" s="27">
        <v>581.0</v>
      </c>
      <c r="B33" s="28" t="s">
        <v>59930</v>
      </c>
      <c r="C33" s="27">
        <v>180.0</v>
      </c>
      <c r="D33" s="28" t="s">
        <v>59931</v>
      </c>
      <c r="E33" s="28" t="s">
        <v>59932</v>
      </c>
      <c r="F33" s="27">
        <v>121.0</v>
      </c>
      <c r="G33" s="27">
        <v>1.80811214E8</v>
      </c>
    </row>
    <row r="34" ht="12.75" customHeight="1">
      <c r="A34" s="31">
        <v>581.0</v>
      </c>
      <c r="B34" s="32" t="s">
        <v>59933</v>
      </c>
      <c r="C34" s="31">
        <v>180.0</v>
      </c>
      <c r="D34" s="32" t="s">
        <v>59934</v>
      </c>
      <c r="E34" s="32" t="s">
        <v>59935</v>
      </c>
      <c r="F34" s="31">
        <v>130.0</v>
      </c>
      <c r="G34" s="31">
        <v>1.80811306E8</v>
      </c>
    </row>
    <row r="35" ht="12.75" customHeight="1">
      <c r="A35" s="27">
        <v>581.0</v>
      </c>
      <c r="B35" s="28" t="s">
        <v>59936</v>
      </c>
      <c r="C35" s="27">
        <v>180.0</v>
      </c>
      <c r="D35" s="28" t="s">
        <v>59937</v>
      </c>
      <c r="E35" s="28" t="s">
        <v>59938</v>
      </c>
      <c r="F35" s="27">
        <v>139.0</v>
      </c>
      <c r="G35" s="27">
        <v>1.80811393E8</v>
      </c>
    </row>
    <row r="36" ht="12.75" customHeight="1">
      <c r="A36" s="31">
        <v>581.0</v>
      </c>
      <c r="B36" s="32" t="s">
        <v>59939</v>
      </c>
      <c r="C36" s="31">
        <v>180.0</v>
      </c>
      <c r="D36" s="32" t="s">
        <v>59940</v>
      </c>
      <c r="E36" s="32" t="s">
        <v>59941</v>
      </c>
      <c r="F36" s="31">
        <v>145.0</v>
      </c>
      <c r="G36" s="31">
        <v>1.80811456E8</v>
      </c>
    </row>
    <row r="37" ht="12.75" customHeight="1">
      <c r="A37" s="27">
        <v>581.0</v>
      </c>
      <c r="B37" s="28" t="s">
        <v>59942</v>
      </c>
      <c r="C37" s="27">
        <v>180.0</v>
      </c>
      <c r="D37" s="28" t="s">
        <v>59943</v>
      </c>
      <c r="E37" s="28" t="s">
        <v>59944</v>
      </c>
      <c r="F37" s="27">
        <v>169.0</v>
      </c>
      <c r="G37" s="27">
        <v>1.80811698E8</v>
      </c>
    </row>
    <row r="38" ht="12.75" customHeight="1">
      <c r="A38" s="31">
        <v>581.0</v>
      </c>
      <c r="B38" s="32" t="s">
        <v>59945</v>
      </c>
      <c r="C38" s="31">
        <v>180.0</v>
      </c>
      <c r="D38" s="32" t="s">
        <v>59946</v>
      </c>
      <c r="E38" s="32" t="s">
        <v>59947</v>
      </c>
      <c r="F38" s="31">
        <v>172.0</v>
      </c>
      <c r="G38" s="31">
        <v>1.80811722E8</v>
      </c>
    </row>
    <row r="39" ht="12.75" customHeight="1">
      <c r="A39" s="27">
        <v>581.0</v>
      </c>
      <c r="B39" s="28" t="s">
        <v>59948</v>
      </c>
      <c r="C39" s="27">
        <v>180.0</v>
      </c>
      <c r="D39" s="28" t="s">
        <v>59949</v>
      </c>
      <c r="E39" s="28" t="s">
        <v>59950</v>
      </c>
      <c r="F39" s="27">
        <v>175.0</v>
      </c>
      <c r="G39" s="27">
        <v>1.80811751E8</v>
      </c>
    </row>
    <row r="40" ht="12.75" customHeight="1">
      <c r="A40" s="31">
        <v>581.0</v>
      </c>
      <c r="B40" s="32" t="s">
        <v>59951</v>
      </c>
      <c r="C40" s="31">
        <v>180.0</v>
      </c>
      <c r="D40" s="32" t="s">
        <v>59952</v>
      </c>
      <c r="E40" s="32" t="s">
        <v>59953</v>
      </c>
      <c r="F40" s="31">
        <v>184.0</v>
      </c>
      <c r="G40" s="31">
        <v>1.80811843E8</v>
      </c>
    </row>
    <row r="41" ht="12.75" customHeight="1">
      <c r="A41" s="27">
        <v>581.0</v>
      </c>
      <c r="B41" s="28" t="s">
        <v>59954</v>
      </c>
      <c r="C41" s="27">
        <v>180.0</v>
      </c>
      <c r="D41" s="28" t="s">
        <v>59955</v>
      </c>
      <c r="E41" s="28" t="s">
        <v>59956</v>
      </c>
      <c r="F41" s="27">
        <v>193.0</v>
      </c>
      <c r="G41" s="27">
        <v>1.80811935E8</v>
      </c>
    </row>
    <row r="42" ht="12.75" customHeight="1">
      <c r="A42" s="31">
        <v>581.0</v>
      </c>
      <c r="B42" s="32" t="s">
        <v>59957</v>
      </c>
      <c r="C42" s="31">
        <v>180.0</v>
      </c>
      <c r="D42" s="32" t="s">
        <v>59958</v>
      </c>
      <c r="E42" s="32" t="s">
        <v>59959</v>
      </c>
      <c r="F42" s="31">
        <v>220.0</v>
      </c>
      <c r="G42" s="31">
        <v>1.808122E8</v>
      </c>
    </row>
    <row r="43" ht="12.75" customHeight="1">
      <c r="A43" s="27">
        <v>581.0</v>
      </c>
      <c r="B43" s="28" t="s">
        <v>59960</v>
      </c>
      <c r="C43" s="27">
        <v>180.0</v>
      </c>
      <c r="D43" s="28" t="s">
        <v>59961</v>
      </c>
      <c r="E43" s="28" t="s">
        <v>59962</v>
      </c>
      <c r="F43" s="27">
        <v>227.0</v>
      </c>
      <c r="G43" s="27">
        <v>1.80812271E8</v>
      </c>
    </row>
    <row r="44" ht="12.75" customHeight="1">
      <c r="A44" s="31">
        <v>581.0</v>
      </c>
      <c r="B44" s="32" t="s">
        <v>59963</v>
      </c>
      <c r="C44" s="31">
        <v>180.0</v>
      </c>
      <c r="D44" s="32" t="s">
        <v>59964</v>
      </c>
      <c r="E44" s="32" t="s">
        <v>59965</v>
      </c>
      <c r="F44" s="31">
        <v>238.0</v>
      </c>
      <c r="G44" s="31">
        <v>1.80812389E8</v>
      </c>
    </row>
    <row r="45" ht="12.75" customHeight="1">
      <c r="A45" s="27">
        <v>785.0</v>
      </c>
      <c r="B45" s="28" t="s">
        <v>59966</v>
      </c>
      <c r="C45" s="27">
        <v>180.0</v>
      </c>
      <c r="D45" s="28" t="s">
        <v>59967</v>
      </c>
      <c r="E45" s="28" t="s">
        <v>59968</v>
      </c>
      <c r="F45" s="29">
        <v>10.0</v>
      </c>
      <c r="G45" s="27">
        <v>1.80850109E8</v>
      </c>
    </row>
    <row r="46" ht="12.75" customHeight="1">
      <c r="A46" s="31">
        <v>785.0</v>
      </c>
      <c r="B46" s="32" t="s">
        <v>59969</v>
      </c>
      <c r="C46" s="31">
        <v>180.0</v>
      </c>
      <c r="D46" s="32" t="s">
        <v>59970</v>
      </c>
      <c r="E46" s="32" t="s">
        <v>59971</v>
      </c>
      <c r="F46" s="33">
        <v>13.0</v>
      </c>
      <c r="G46" s="31">
        <v>1.80850138E8</v>
      </c>
    </row>
    <row r="47" ht="12.75" customHeight="1">
      <c r="A47" s="27">
        <v>785.0</v>
      </c>
      <c r="B47" s="28" t="s">
        <v>59972</v>
      </c>
      <c r="C47" s="27">
        <v>180.0</v>
      </c>
      <c r="D47" s="28" t="s">
        <v>59973</v>
      </c>
      <c r="E47" s="28" t="s">
        <v>59974</v>
      </c>
      <c r="F47" s="29">
        <v>16.0</v>
      </c>
      <c r="G47" s="27">
        <v>1.80850167E8</v>
      </c>
    </row>
    <row r="48" ht="12.75" customHeight="1">
      <c r="A48" s="31">
        <v>785.0</v>
      </c>
      <c r="B48" s="32" t="s">
        <v>59975</v>
      </c>
      <c r="C48" s="31">
        <v>180.0</v>
      </c>
      <c r="D48" s="32" t="s">
        <v>59976</v>
      </c>
      <c r="E48" s="32" t="s">
        <v>59977</v>
      </c>
      <c r="F48" s="33">
        <v>19.0</v>
      </c>
      <c r="G48" s="31">
        <v>1.80850196E8</v>
      </c>
    </row>
    <row r="49" ht="12.75" customHeight="1">
      <c r="A49" s="27">
        <v>785.0</v>
      </c>
      <c r="B49" s="28" t="s">
        <v>59978</v>
      </c>
      <c r="C49" s="27">
        <v>180.0</v>
      </c>
      <c r="D49" s="28" t="s">
        <v>59979</v>
      </c>
      <c r="E49" s="28" t="s">
        <v>59980</v>
      </c>
      <c r="F49" s="29">
        <v>43.0</v>
      </c>
      <c r="G49" s="27">
        <v>1.80850433E8</v>
      </c>
    </row>
    <row r="50" ht="12.75" customHeight="1">
      <c r="A50" s="31">
        <v>785.0</v>
      </c>
      <c r="B50" s="32" t="s">
        <v>59981</v>
      </c>
      <c r="C50" s="31">
        <v>180.0</v>
      </c>
      <c r="D50" s="32" t="s">
        <v>59982</v>
      </c>
      <c r="E50" s="32" t="s">
        <v>59983</v>
      </c>
      <c r="F50" s="33">
        <v>46.0</v>
      </c>
      <c r="G50" s="31">
        <v>1.80850462E8</v>
      </c>
    </row>
    <row r="51" ht="12.75" customHeight="1">
      <c r="A51" s="27">
        <v>785.0</v>
      </c>
      <c r="B51" s="28" t="s">
        <v>59984</v>
      </c>
      <c r="C51" s="27">
        <v>180.0</v>
      </c>
      <c r="D51" s="28" t="s">
        <v>59985</v>
      </c>
      <c r="E51" s="28" t="s">
        <v>59986</v>
      </c>
      <c r="F51" s="29">
        <v>49.0</v>
      </c>
      <c r="G51" s="27">
        <v>1.80850491E8</v>
      </c>
    </row>
    <row r="52" ht="12.75" customHeight="1">
      <c r="A52" s="31">
        <v>785.0</v>
      </c>
      <c r="B52" s="32" t="s">
        <v>59987</v>
      </c>
      <c r="C52" s="31">
        <v>180.0</v>
      </c>
      <c r="D52" s="32" t="s">
        <v>59988</v>
      </c>
      <c r="E52" s="32" t="s">
        <v>59989</v>
      </c>
      <c r="F52" s="33">
        <v>55.0</v>
      </c>
      <c r="G52" s="31">
        <v>1.80850554E8</v>
      </c>
    </row>
    <row r="53" ht="12.75" customHeight="1">
      <c r="A53" s="27">
        <v>785.0</v>
      </c>
      <c r="B53" s="28" t="s">
        <v>59990</v>
      </c>
      <c r="C53" s="27">
        <v>180.0</v>
      </c>
      <c r="D53" s="28" t="s">
        <v>59991</v>
      </c>
      <c r="E53" s="28" t="s">
        <v>59992</v>
      </c>
      <c r="F53" s="29">
        <v>61.0</v>
      </c>
      <c r="G53" s="27">
        <v>1.80850617E8</v>
      </c>
    </row>
    <row r="54" ht="12.75" customHeight="1">
      <c r="A54" s="31">
        <v>785.0</v>
      </c>
      <c r="B54" s="32" t="s">
        <v>59993</v>
      </c>
      <c r="C54" s="31">
        <v>180.0</v>
      </c>
      <c r="D54" s="32" t="s">
        <v>59994</v>
      </c>
      <c r="E54" s="32" t="s">
        <v>59995</v>
      </c>
      <c r="F54" s="33">
        <v>64.0</v>
      </c>
      <c r="G54" s="31">
        <v>1.80850646E8</v>
      </c>
    </row>
    <row r="55" ht="12.75" customHeight="1">
      <c r="A55" s="27">
        <v>785.0</v>
      </c>
      <c r="B55" s="28" t="s">
        <v>59996</v>
      </c>
      <c r="C55" s="27">
        <v>180.0</v>
      </c>
      <c r="D55" s="28" t="s">
        <v>59997</v>
      </c>
      <c r="E55" s="28" t="s">
        <v>59998</v>
      </c>
      <c r="F55" s="29">
        <v>76.0</v>
      </c>
      <c r="G55" s="27">
        <v>1.80850767E8</v>
      </c>
    </row>
    <row r="56" ht="12.75" customHeight="1">
      <c r="A56" s="31">
        <v>785.0</v>
      </c>
      <c r="B56" s="32" t="s">
        <v>59999</v>
      </c>
      <c r="C56" s="31">
        <v>180.0</v>
      </c>
      <c r="D56" s="32" t="s">
        <v>60000</v>
      </c>
      <c r="E56" s="32" t="s">
        <v>60001</v>
      </c>
      <c r="F56" s="33">
        <v>82.0</v>
      </c>
      <c r="G56" s="31">
        <v>1.8085082E8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785.0</v>
      </c>
      <c r="B1" s="28" t="s">
        <v>60002</v>
      </c>
      <c r="C1" s="27">
        <v>180.0</v>
      </c>
      <c r="D1" s="28" t="s">
        <v>60003</v>
      </c>
      <c r="E1" s="28" t="s">
        <v>60004</v>
      </c>
      <c r="F1" s="27">
        <v>100.0</v>
      </c>
      <c r="G1" s="27">
        <v>1.80851003E8</v>
      </c>
    </row>
    <row r="2" ht="12.75" customHeight="1">
      <c r="A2" s="31">
        <v>785.0</v>
      </c>
      <c r="B2" s="32" t="s">
        <v>60005</v>
      </c>
      <c r="C2" s="31">
        <v>180.0</v>
      </c>
      <c r="D2" s="32" t="s">
        <v>60006</v>
      </c>
      <c r="E2" s="32" t="s">
        <v>60007</v>
      </c>
      <c r="F2" s="31">
        <v>109.0</v>
      </c>
      <c r="G2" s="31">
        <v>1.8085109E8</v>
      </c>
    </row>
    <row r="3" ht="12.75" customHeight="1">
      <c r="A3" s="27">
        <v>785.0</v>
      </c>
      <c r="B3" s="28" t="s">
        <v>60008</v>
      </c>
      <c r="C3" s="27">
        <v>180.0</v>
      </c>
      <c r="D3" s="28" t="s">
        <v>60009</v>
      </c>
      <c r="E3" s="28" t="s">
        <v>60010</v>
      </c>
      <c r="F3" s="27">
        <v>112.0</v>
      </c>
      <c r="G3" s="27">
        <v>1.80851124E8</v>
      </c>
    </row>
    <row r="4" ht="12.75" customHeight="1">
      <c r="A4" s="31">
        <v>785.0</v>
      </c>
      <c r="B4" s="32" t="s">
        <v>60011</v>
      </c>
      <c r="C4" s="31">
        <v>180.0</v>
      </c>
      <c r="D4" s="32" t="s">
        <v>60012</v>
      </c>
      <c r="E4" s="32" t="s">
        <v>60013</v>
      </c>
      <c r="F4" s="31">
        <v>115.0</v>
      </c>
      <c r="G4" s="31">
        <v>1.80851153E8</v>
      </c>
    </row>
    <row r="5" ht="12.75" customHeight="1">
      <c r="A5" s="27">
        <v>785.0</v>
      </c>
      <c r="B5" s="28" t="s">
        <v>60014</v>
      </c>
      <c r="C5" s="27">
        <v>180.0</v>
      </c>
      <c r="D5" s="28" t="s">
        <v>60015</v>
      </c>
      <c r="E5" s="28" t="s">
        <v>60016</v>
      </c>
      <c r="F5" s="27">
        <v>124.0</v>
      </c>
      <c r="G5" s="27">
        <v>1.80851245E8</v>
      </c>
    </row>
    <row r="6" ht="12.75" customHeight="1">
      <c r="A6" s="31">
        <v>785.0</v>
      </c>
      <c r="B6" s="32" t="s">
        <v>60017</v>
      </c>
      <c r="C6" s="31">
        <v>180.0</v>
      </c>
      <c r="D6" s="32" t="s">
        <v>60018</v>
      </c>
      <c r="E6" s="32" t="s">
        <v>60019</v>
      </c>
      <c r="F6" s="31">
        <v>133.0</v>
      </c>
      <c r="G6" s="31">
        <v>1.80851337E8</v>
      </c>
    </row>
    <row r="7" ht="12.75" customHeight="1">
      <c r="A7" s="27">
        <v>785.0</v>
      </c>
      <c r="B7" s="28" t="s">
        <v>60020</v>
      </c>
      <c r="C7" s="27">
        <v>180.0</v>
      </c>
      <c r="D7" s="28" t="s">
        <v>60021</v>
      </c>
      <c r="E7" s="28" t="s">
        <v>60022</v>
      </c>
      <c r="F7" s="27">
        <v>136.0</v>
      </c>
      <c r="G7" s="27">
        <v>1.80851366E8</v>
      </c>
    </row>
    <row r="8" ht="12.75" customHeight="1">
      <c r="A8" s="31">
        <v>785.0</v>
      </c>
      <c r="B8" s="32" t="s">
        <v>60023</v>
      </c>
      <c r="C8" s="31">
        <v>180.0</v>
      </c>
      <c r="D8" s="32" t="s">
        <v>60024</v>
      </c>
      <c r="E8" s="32" t="s">
        <v>60025</v>
      </c>
      <c r="F8" s="31">
        <v>139.0</v>
      </c>
      <c r="G8" s="31">
        <v>1.80851395E8</v>
      </c>
    </row>
    <row r="9" ht="12.75" customHeight="1">
      <c r="A9" s="27">
        <v>785.0</v>
      </c>
      <c r="B9" s="28" t="s">
        <v>60026</v>
      </c>
      <c r="C9" s="27">
        <v>180.0</v>
      </c>
      <c r="D9" s="28" t="s">
        <v>60027</v>
      </c>
      <c r="E9" s="28" t="s">
        <v>60028</v>
      </c>
      <c r="F9" s="27">
        <v>145.0</v>
      </c>
      <c r="G9" s="27">
        <v>1.80851458E8</v>
      </c>
    </row>
    <row r="10" ht="12.75" customHeight="1">
      <c r="A10" s="31">
        <v>785.0</v>
      </c>
      <c r="B10" s="32" t="s">
        <v>60029</v>
      </c>
      <c r="C10" s="31">
        <v>180.0</v>
      </c>
      <c r="D10" s="32" t="s">
        <v>60030</v>
      </c>
      <c r="E10" s="32" t="s">
        <v>60031</v>
      </c>
      <c r="F10" s="31">
        <v>157.0</v>
      </c>
      <c r="G10" s="31">
        <v>1.80851579E8</v>
      </c>
    </row>
    <row r="11" ht="12.75" customHeight="1">
      <c r="A11" s="27">
        <v>785.0</v>
      </c>
      <c r="B11" s="28" t="s">
        <v>60032</v>
      </c>
      <c r="C11" s="27">
        <v>180.0</v>
      </c>
      <c r="D11" s="28" t="s">
        <v>60033</v>
      </c>
      <c r="E11" s="28" t="s">
        <v>60034</v>
      </c>
      <c r="F11" s="27">
        <v>163.0</v>
      </c>
      <c r="G11" s="27">
        <v>1.80851632E8</v>
      </c>
    </row>
    <row r="12" ht="12.75" customHeight="1">
      <c r="A12" s="31">
        <v>785.0</v>
      </c>
      <c r="B12" s="32" t="s">
        <v>60035</v>
      </c>
      <c r="C12" s="31">
        <v>180.0</v>
      </c>
      <c r="D12" s="32" t="s">
        <v>60036</v>
      </c>
      <c r="E12" s="32" t="s">
        <v>60037</v>
      </c>
      <c r="F12" s="31">
        <v>181.0</v>
      </c>
      <c r="G12" s="31">
        <v>1.80851816E8</v>
      </c>
    </row>
    <row r="13" ht="12.75" customHeight="1">
      <c r="A13" s="27">
        <v>785.0</v>
      </c>
      <c r="B13" s="28" t="s">
        <v>60038</v>
      </c>
      <c r="C13" s="27">
        <v>180.0</v>
      </c>
      <c r="D13" s="28" t="s">
        <v>60039</v>
      </c>
      <c r="E13" s="28" t="s">
        <v>60040</v>
      </c>
      <c r="F13" s="27">
        <v>190.0</v>
      </c>
      <c r="G13" s="27">
        <v>1.80851908E8</v>
      </c>
    </row>
    <row r="14" ht="12.75" customHeight="1">
      <c r="A14" s="31">
        <v>785.0</v>
      </c>
      <c r="B14" s="32" t="s">
        <v>60041</v>
      </c>
      <c r="C14" s="31">
        <v>180.0</v>
      </c>
      <c r="D14" s="32" t="s">
        <v>60042</v>
      </c>
      <c r="E14" s="32" t="s">
        <v>60043</v>
      </c>
      <c r="F14" s="31">
        <v>193.0</v>
      </c>
      <c r="G14" s="31">
        <v>1.80851937E8</v>
      </c>
    </row>
    <row r="15" ht="12.75" customHeight="1">
      <c r="A15" s="27">
        <v>785.0</v>
      </c>
      <c r="B15" s="28" t="s">
        <v>60044</v>
      </c>
      <c r="C15" s="27">
        <v>180.0</v>
      </c>
      <c r="D15" s="28" t="s">
        <v>60045</v>
      </c>
      <c r="E15" s="28" t="s">
        <v>60046</v>
      </c>
      <c r="F15" s="27">
        <v>194.0</v>
      </c>
      <c r="G15" s="27">
        <v>1.8085194E8</v>
      </c>
    </row>
    <row r="16" ht="12.75" customHeight="1">
      <c r="A16" s="31">
        <v>688.0</v>
      </c>
      <c r="B16" s="32" t="s">
        <v>60047</v>
      </c>
      <c r="C16" s="31">
        <v>180.0</v>
      </c>
      <c r="D16" s="32" t="s">
        <v>60048</v>
      </c>
      <c r="E16" s="32" t="s">
        <v>60049</v>
      </c>
      <c r="F16" s="33">
        <v>22.0</v>
      </c>
      <c r="G16" s="31">
        <v>1.80880229E8</v>
      </c>
    </row>
    <row r="17" ht="12.75" customHeight="1">
      <c r="A17" s="27">
        <v>688.0</v>
      </c>
      <c r="B17" s="28" t="s">
        <v>60050</v>
      </c>
      <c r="C17" s="27">
        <v>180.0</v>
      </c>
      <c r="D17" s="28" t="s">
        <v>60051</v>
      </c>
      <c r="E17" s="28" t="s">
        <v>60052</v>
      </c>
      <c r="F17" s="29">
        <v>31.0</v>
      </c>
      <c r="G17" s="27">
        <v>1.80880311E8</v>
      </c>
    </row>
    <row r="18" ht="12.75" customHeight="1">
      <c r="A18" s="31">
        <v>688.0</v>
      </c>
      <c r="B18" s="32" t="s">
        <v>60053</v>
      </c>
      <c r="C18" s="31">
        <v>180.0</v>
      </c>
      <c r="D18" s="32" t="s">
        <v>60054</v>
      </c>
      <c r="E18" s="32" t="s">
        <v>60055</v>
      </c>
      <c r="F18" s="33">
        <v>40.0</v>
      </c>
      <c r="G18" s="31">
        <v>1.80880403E8</v>
      </c>
    </row>
    <row r="19" ht="12.75" customHeight="1">
      <c r="A19" s="27">
        <v>688.0</v>
      </c>
      <c r="B19" s="28" t="s">
        <v>60056</v>
      </c>
      <c r="C19" s="27">
        <v>180.0</v>
      </c>
      <c r="D19" s="28" t="s">
        <v>60057</v>
      </c>
      <c r="E19" s="28" t="s">
        <v>60058</v>
      </c>
      <c r="F19" s="29">
        <v>46.0</v>
      </c>
      <c r="G19" s="27">
        <v>1.80880461E8</v>
      </c>
    </row>
    <row r="20" ht="12.75" customHeight="1">
      <c r="A20" s="31">
        <v>688.0</v>
      </c>
      <c r="B20" s="32" t="s">
        <v>60059</v>
      </c>
      <c r="C20" s="31">
        <v>180.0</v>
      </c>
      <c r="D20" s="32" t="s">
        <v>60060</v>
      </c>
      <c r="E20" s="32" t="s">
        <v>60061</v>
      </c>
      <c r="F20" s="33">
        <v>52.0</v>
      </c>
      <c r="G20" s="31">
        <v>1.80880524E8</v>
      </c>
    </row>
    <row r="21" ht="12.75" customHeight="1">
      <c r="A21" s="27">
        <v>688.0</v>
      </c>
      <c r="B21" s="28" t="s">
        <v>60062</v>
      </c>
      <c r="C21" s="27">
        <v>180.0</v>
      </c>
      <c r="D21" s="28" t="s">
        <v>60063</v>
      </c>
      <c r="E21" s="28" t="s">
        <v>60064</v>
      </c>
      <c r="F21" s="29">
        <v>85.0</v>
      </c>
      <c r="G21" s="27">
        <v>1.80880858E8</v>
      </c>
    </row>
    <row r="22" ht="12.75" customHeight="1">
      <c r="A22" s="31">
        <v>688.0</v>
      </c>
      <c r="B22" s="32" t="s">
        <v>60065</v>
      </c>
      <c r="C22" s="31">
        <v>180.0</v>
      </c>
      <c r="D22" s="32" t="s">
        <v>60066</v>
      </c>
      <c r="E22" s="32" t="s">
        <v>60067</v>
      </c>
      <c r="F22" s="33">
        <v>88.0</v>
      </c>
      <c r="G22" s="31">
        <v>1.80880887E8</v>
      </c>
    </row>
    <row r="23" ht="12.75" customHeight="1">
      <c r="A23" s="27">
        <v>688.0</v>
      </c>
      <c r="B23" s="28" t="s">
        <v>60068</v>
      </c>
      <c r="C23" s="27">
        <v>180.0</v>
      </c>
      <c r="D23" s="28" t="s">
        <v>60069</v>
      </c>
      <c r="E23" s="28" t="s">
        <v>60070</v>
      </c>
      <c r="F23" s="27">
        <v>103.0</v>
      </c>
      <c r="G23" s="27">
        <v>1.80881031E8</v>
      </c>
    </row>
    <row r="24" ht="12.75" customHeight="1">
      <c r="A24" s="31">
        <v>688.0</v>
      </c>
      <c r="B24" s="32" t="s">
        <v>60071</v>
      </c>
      <c r="C24" s="31">
        <v>180.0</v>
      </c>
      <c r="D24" s="32" t="s">
        <v>60072</v>
      </c>
      <c r="E24" s="32" t="s">
        <v>60073</v>
      </c>
      <c r="F24" s="31">
        <v>106.0</v>
      </c>
      <c r="G24" s="31">
        <v>1.8088106E8</v>
      </c>
    </row>
    <row r="25" ht="12.75" customHeight="1">
      <c r="A25" s="27">
        <v>688.0</v>
      </c>
      <c r="B25" s="28" t="s">
        <v>60074</v>
      </c>
      <c r="C25" s="27">
        <v>180.0</v>
      </c>
      <c r="D25" s="28" t="s">
        <v>60075</v>
      </c>
      <c r="E25" s="28" t="s">
        <v>60076</v>
      </c>
      <c r="F25" s="27">
        <v>124.0</v>
      </c>
      <c r="G25" s="27">
        <v>1.80881244E8</v>
      </c>
    </row>
    <row r="26" ht="12.75" customHeight="1">
      <c r="A26" s="31">
        <v>688.0</v>
      </c>
      <c r="B26" s="32" t="s">
        <v>60077</v>
      </c>
      <c r="C26" s="31">
        <v>180.0</v>
      </c>
      <c r="D26" s="32" t="s">
        <v>60078</v>
      </c>
      <c r="E26" s="32" t="s">
        <v>60079</v>
      </c>
      <c r="F26" s="31">
        <v>136.0</v>
      </c>
      <c r="G26" s="31">
        <v>1.80881365E8</v>
      </c>
    </row>
    <row r="27" ht="12.75" customHeight="1">
      <c r="A27" s="27">
        <v>688.0</v>
      </c>
      <c r="B27" s="28" t="s">
        <v>60080</v>
      </c>
      <c r="C27" s="27">
        <v>180.0</v>
      </c>
      <c r="D27" s="28" t="s">
        <v>60081</v>
      </c>
      <c r="E27" s="28" t="s">
        <v>60082</v>
      </c>
      <c r="F27" s="27">
        <v>148.0</v>
      </c>
      <c r="G27" s="27">
        <v>1.80881486E8</v>
      </c>
    </row>
    <row r="28" ht="12.75" customHeight="1">
      <c r="A28" s="31">
        <v>688.0</v>
      </c>
      <c r="B28" s="32" t="s">
        <v>60083</v>
      </c>
      <c r="C28" s="31">
        <v>180.0</v>
      </c>
      <c r="D28" s="32" t="s">
        <v>60084</v>
      </c>
      <c r="E28" s="32" t="s">
        <v>60085</v>
      </c>
      <c r="F28" s="31">
        <v>154.0</v>
      </c>
      <c r="G28" s="31">
        <v>1.80881549E8</v>
      </c>
    </row>
    <row r="29" ht="12.75" customHeight="1">
      <c r="A29" s="27">
        <v>688.0</v>
      </c>
      <c r="B29" s="28" t="s">
        <v>60086</v>
      </c>
      <c r="C29" s="27">
        <v>180.0</v>
      </c>
      <c r="D29" s="28" t="s">
        <v>60087</v>
      </c>
      <c r="E29" s="28" t="s">
        <v>60088</v>
      </c>
      <c r="F29" s="27">
        <v>163.0</v>
      </c>
      <c r="G29" s="27">
        <v>1.80881631E8</v>
      </c>
    </row>
    <row r="30" ht="12.75" customHeight="1">
      <c r="A30" s="31">
        <v>688.0</v>
      </c>
      <c r="B30" s="32" t="s">
        <v>60089</v>
      </c>
      <c r="C30" s="31">
        <v>180.0</v>
      </c>
      <c r="D30" s="32" t="s">
        <v>60090</v>
      </c>
      <c r="E30" s="32" t="s">
        <v>60091</v>
      </c>
      <c r="F30" s="31">
        <v>169.0</v>
      </c>
      <c r="G30" s="31">
        <v>1.80881699E8</v>
      </c>
    </row>
    <row r="31" ht="12.75" customHeight="1">
      <c r="A31" s="27">
        <v>688.0</v>
      </c>
      <c r="B31" s="28" t="s">
        <v>60092</v>
      </c>
      <c r="C31" s="27">
        <v>180.0</v>
      </c>
      <c r="D31" s="28" t="s">
        <v>60093</v>
      </c>
      <c r="E31" s="28" t="s">
        <v>60094</v>
      </c>
      <c r="F31" s="27">
        <v>181.0</v>
      </c>
      <c r="G31" s="27">
        <v>1.80881815E8</v>
      </c>
    </row>
    <row r="32" ht="12.75" customHeight="1">
      <c r="A32" s="31">
        <v>688.0</v>
      </c>
      <c r="B32" s="32" t="s">
        <v>60095</v>
      </c>
      <c r="C32" s="31">
        <v>180.0</v>
      </c>
      <c r="D32" s="32" t="s">
        <v>60096</v>
      </c>
      <c r="E32" s="32" t="s">
        <v>60097</v>
      </c>
      <c r="F32" s="31">
        <v>187.0</v>
      </c>
      <c r="G32" s="31">
        <v>1.80881873E8</v>
      </c>
    </row>
    <row r="33" ht="12.75" customHeight="1">
      <c r="A33" s="27">
        <v>688.0</v>
      </c>
      <c r="B33" s="28" t="s">
        <v>60098</v>
      </c>
      <c r="C33" s="27">
        <v>180.0</v>
      </c>
      <c r="D33" s="28" t="s">
        <v>60099</v>
      </c>
      <c r="E33" s="28" t="s">
        <v>60100</v>
      </c>
      <c r="F33" s="27">
        <v>190.0</v>
      </c>
      <c r="G33" s="27">
        <v>1.80881907E8</v>
      </c>
    </row>
    <row r="34" ht="12.75" customHeight="1">
      <c r="A34" s="31">
        <v>688.0</v>
      </c>
      <c r="B34" s="32" t="s">
        <v>60101</v>
      </c>
      <c r="C34" s="31">
        <v>180.0</v>
      </c>
      <c r="D34" s="32" t="s">
        <v>60102</v>
      </c>
      <c r="E34" s="32" t="s">
        <v>60103</v>
      </c>
      <c r="F34" s="31">
        <v>214.0</v>
      </c>
      <c r="G34" s="31">
        <v>1.80882148E8</v>
      </c>
    </row>
    <row r="35" ht="12.75" customHeight="1">
      <c r="A35" s="27">
        <v>688.0</v>
      </c>
      <c r="B35" s="28" t="s">
        <v>60104</v>
      </c>
      <c r="C35" s="27">
        <v>180.0</v>
      </c>
      <c r="D35" s="28" t="s">
        <v>60105</v>
      </c>
      <c r="E35" s="28" t="s">
        <v>60106</v>
      </c>
      <c r="F35" s="27">
        <v>217.0</v>
      </c>
      <c r="G35" s="27">
        <v>1.80882177E8</v>
      </c>
    </row>
    <row r="36" ht="12.75" customHeight="1">
      <c r="A36" s="31">
        <v>688.0</v>
      </c>
      <c r="B36" s="32" t="s">
        <v>60107</v>
      </c>
      <c r="C36" s="31">
        <v>180.0</v>
      </c>
      <c r="D36" s="32" t="s">
        <v>60108</v>
      </c>
      <c r="E36" s="32" t="s">
        <v>60109</v>
      </c>
      <c r="F36" s="31">
        <v>220.0</v>
      </c>
      <c r="G36" s="31">
        <v>1.80882201E8</v>
      </c>
    </row>
    <row r="37" ht="12.75" customHeight="1">
      <c r="A37" s="27">
        <v>688.0</v>
      </c>
      <c r="B37" s="28" t="s">
        <v>60110</v>
      </c>
      <c r="C37" s="27">
        <v>180.0</v>
      </c>
      <c r="D37" s="28" t="s">
        <v>60111</v>
      </c>
      <c r="E37" s="28" t="s">
        <v>60112</v>
      </c>
      <c r="F37" s="27">
        <v>223.0</v>
      </c>
      <c r="G37" s="27">
        <v>1.8088223E8</v>
      </c>
    </row>
    <row r="38" ht="12.75" customHeight="1">
      <c r="A38" s="31">
        <v>794.0</v>
      </c>
      <c r="B38" s="32" t="s">
        <v>60113</v>
      </c>
      <c r="C38" s="31">
        <v>180.0</v>
      </c>
      <c r="D38" s="32" t="s">
        <v>60114</v>
      </c>
      <c r="E38" s="32" t="s">
        <v>60115</v>
      </c>
      <c r="F38" s="33">
        <v>7.0</v>
      </c>
      <c r="G38" s="31">
        <v>1.80940077E8</v>
      </c>
    </row>
    <row r="39" ht="12.75" customHeight="1">
      <c r="A39" s="27">
        <v>794.0</v>
      </c>
      <c r="B39" s="28" t="s">
        <v>60116</v>
      </c>
      <c r="C39" s="27">
        <v>180.0</v>
      </c>
      <c r="D39" s="28" t="s">
        <v>60117</v>
      </c>
      <c r="E39" s="28" t="s">
        <v>60118</v>
      </c>
      <c r="F39" s="29">
        <v>10.0</v>
      </c>
      <c r="G39" s="27">
        <v>1.80940101E8</v>
      </c>
    </row>
    <row r="40" ht="12.75" customHeight="1">
      <c r="A40" s="31">
        <v>794.0</v>
      </c>
      <c r="B40" s="32" t="s">
        <v>60119</v>
      </c>
      <c r="C40" s="31">
        <v>180.0</v>
      </c>
      <c r="D40" s="32" t="s">
        <v>60120</v>
      </c>
      <c r="E40" s="32" t="s">
        <v>60121</v>
      </c>
      <c r="F40" s="33">
        <v>13.0</v>
      </c>
      <c r="G40" s="31">
        <v>1.8094013E8</v>
      </c>
    </row>
    <row r="41" ht="12.75" customHeight="1">
      <c r="A41" s="27">
        <v>794.0</v>
      </c>
      <c r="B41" s="28" t="s">
        <v>60122</v>
      </c>
      <c r="C41" s="27">
        <v>180.0</v>
      </c>
      <c r="D41" s="28" t="s">
        <v>60123</v>
      </c>
      <c r="E41" s="28" t="s">
        <v>60124</v>
      </c>
      <c r="F41" s="29">
        <v>16.0</v>
      </c>
      <c r="G41" s="27">
        <v>1.80940169E8</v>
      </c>
    </row>
    <row r="42" ht="12.75" customHeight="1">
      <c r="A42" s="31">
        <v>794.0</v>
      </c>
      <c r="B42" s="32" t="s">
        <v>60125</v>
      </c>
      <c r="C42" s="31">
        <v>180.0</v>
      </c>
      <c r="D42" s="32" t="s">
        <v>60126</v>
      </c>
      <c r="E42" s="32" t="s">
        <v>60127</v>
      </c>
      <c r="F42" s="33">
        <v>19.0</v>
      </c>
      <c r="G42" s="31">
        <v>1.80940198E8</v>
      </c>
    </row>
    <row r="43" ht="12.75" customHeight="1">
      <c r="A43" s="27">
        <v>794.0</v>
      </c>
      <c r="B43" s="28" t="s">
        <v>60128</v>
      </c>
      <c r="C43" s="27">
        <v>180.0</v>
      </c>
      <c r="D43" s="28" t="s">
        <v>60129</v>
      </c>
      <c r="E43" s="28" t="s">
        <v>60130</v>
      </c>
      <c r="F43" s="29">
        <v>25.0</v>
      </c>
      <c r="G43" s="27">
        <v>1.80940251E8</v>
      </c>
    </row>
    <row r="44" ht="12.75" customHeight="1">
      <c r="A44" s="31">
        <v>794.0</v>
      </c>
      <c r="B44" s="32" t="s">
        <v>60131</v>
      </c>
      <c r="C44" s="31">
        <v>180.0</v>
      </c>
      <c r="D44" s="32" t="s">
        <v>60132</v>
      </c>
      <c r="E44" s="32" t="s">
        <v>60133</v>
      </c>
      <c r="F44" s="33">
        <v>31.0</v>
      </c>
      <c r="G44" s="31">
        <v>1.80940314E8</v>
      </c>
    </row>
    <row r="45" ht="12.75" customHeight="1">
      <c r="A45" s="27">
        <v>794.0</v>
      </c>
      <c r="B45" s="28" t="s">
        <v>60134</v>
      </c>
      <c r="C45" s="27">
        <v>180.0</v>
      </c>
      <c r="D45" s="28" t="s">
        <v>60135</v>
      </c>
      <c r="E45" s="28" t="s">
        <v>60136</v>
      </c>
      <c r="F45" s="29">
        <v>34.0</v>
      </c>
      <c r="G45" s="27">
        <v>1.80940343E8</v>
      </c>
    </row>
    <row r="46" ht="12.75" customHeight="1">
      <c r="A46" s="31">
        <v>794.0</v>
      </c>
      <c r="B46" s="32" t="s">
        <v>60137</v>
      </c>
      <c r="C46" s="31">
        <v>180.0</v>
      </c>
      <c r="D46" s="32" t="s">
        <v>60138</v>
      </c>
      <c r="E46" s="32" t="s">
        <v>60139</v>
      </c>
      <c r="F46" s="33">
        <v>37.0</v>
      </c>
      <c r="G46" s="31">
        <v>1.80940372E8</v>
      </c>
    </row>
    <row r="47" ht="12.75" customHeight="1">
      <c r="A47" s="27">
        <v>794.0</v>
      </c>
      <c r="B47" s="28" t="s">
        <v>60140</v>
      </c>
      <c r="C47" s="27">
        <v>180.0</v>
      </c>
      <c r="D47" s="28" t="s">
        <v>60141</v>
      </c>
      <c r="E47" s="28" t="s">
        <v>60142</v>
      </c>
      <c r="F47" s="29">
        <v>40.0</v>
      </c>
      <c r="G47" s="27">
        <v>1.80940406E8</v>
      </c>
    </row>
    <row r="48" ht="12.75" customHeight="1">
      <c r="A48" s="31">
        <v>794.0</v>
      </c>
      <c r="B48" s="32" t="s">
        <v>60143</v>
      </c>
      <c r="C48" s="31">
        <v>180.0</v>
      </c>
      <c r="D48" s="32" t="s">
        <v>60144</v>
      </c>
      <c r="E48" s="32" t="s">
        <v>60145</v>
      </c>
      <c r="F48" s="33">
        <v>46.0</v>
      </c>
      <c r="G48" s="31">
        <v>1.80940464E8</v>
      </c>
    </row>
    <row r="49" ht="12.75" customHeight="1">
      <c r="A49" s="27">
        <v>794.0</v>
      </c>
      <c r="B49" s="28" t="s">
        <v>60146</v>
      </c>
      <c r="C49" s="27">
        <v>180.0</v>
      </c>
      <c r="D49" s="28" t="s">
        <v>60147</v>
      </c>
      <c r="E49" s="28" t="s">
        <v>60148</v>
      </c>
      <c r="F49" s="29">
        <v>52.0</v>
      </c>
      <c r="G49" s="27">
        <v>1.80940527E8</v>
      </c>
    </row>
    <row r="50" ht="12.75" customHeight="1">
      <c r="A50" s="31">
        <v>794.0</v>
      </c>
      <c r="B50" s="32" t="s">
        <v>60149</v>
      </c>
      <c r="C50" s="31">
        <v>180.0</v>
      </c>
      <c r="D50" s="32" t="s">
        <v>60150</v>
      </c>
      <c r="E50" s="32" t="s">
        <v>60151</v>
      </c>
      <c r="F50" s="33">
        <v>55.0</v>
      </c>
      <c r="G50" s="31">
        <v>1.80940556E8</v>
      </c>
    </row>
    <row r="51" ht="12.75" customHeight="1">
      <c r="A51" s="27">
        <v>794.0</v>
      </c>
      <c r="B51" s="28" t="s">
        <v>60152</v>
      </c>
      <c r="C51" s="27">
        <v>180.0</v>
      </c>
      <c r="D51" s="28" t="s">
        <v>60153</v>
      </c>
      <c r="E51" s="28" t="s">
        <v>60154</v>
      </c>
      <c r="F51" s="29">
        <v>64.0</v>
      </c>
      <c r="G51" s="27">
        <v>1.80940648E8</v>
      </c>
    </row>
    <row r="52" ht="12.75" customHeight="1">
      <c r="A52" s="31">
        <v>794.0</v>
      </c>
      <c r="B52" s="32" t="s">
        <v>60155</v>
      </c>
      <c r="C52" s="31">
        <v>180.0</v>
      </c>
      <c r="D52" s="32" t="s">
        <v>60156</v>
      </c>
      <c r="E52" s="32" t="s">
        <v>60157</v>
      </c>
      <c r="F52" s="33">
        <v>70.0</v>
      </c>
      <c r="G52" s="31">
        <v>1.80940701E8</v>
      </c>
    </row>
    <row r="53" ht="12.75" customHeight="1">
      <c r="A53" s="27">
        <v>794.0</v>
      </c>
      <c r="B53" s="28" t="s">
        <v>60158</v>
      </c>
      <c r="C53" s="27">
        <v>180.0</v>
      </c>
      <c r="D53" s="28" t="s">
        <v>60159</v>
      </c>
      <c r="E53" s="28" t="s">
        <v>60160</v>
      </c>
      <c r="F53" s="29">
        <v>76.0</v>
      </c>
      <c r="G53" s="27">
        <v>1.80940769E8</v>
      </c>
    </row>
    <row r="54" ht="12.75" customHeight="1">
      <c r="A54" s="31">
        <v>794.0</v>
      </c>
      <c r="B54" s="32" t="s">
        <v>60161</v>
      </c>
      <c r="C54" s="31">
        <v>180.0</v>
      </c>
      <c r="D54" s="32" t="s">
        <v>60162</v>
      </c>
      <c r="E54" s="32" t="s">
        <v>60163</v>
      </c>
      <c r="F54" s="33">
        <v>82.0</v>
      </c>
      <c r="G54" s="31">
        <v>1.80940822E8</v>
      </c>
    </row>
    <row r="55" ht="12.75" customHeight="1">
      <c r="A55" s="27">
        <v>794.0</v>
      </c>
      <c r="B55" s="28" t="s">
        <v>60164</v>
      </c>
      <c r="C55" s="27">
        <v>180.0</v>
      </c>
      <c r="D55" s="28" t="s">
        <v>60165</v>
      </c>
      <c r="E55" s="28" t="s">
        <v>60166</v>
      </c>
      <c r="F55" s="29">
        <v>97.0</v>
      </c>
      <c r="G55" s="27">
        <v>1.80940972E8</v>
      </c>
    </row>
    <row r="56" ht="12.75" customHeight="1">
      <c r="A56" s="31">
        <v>794.0</v>
      </c>
      <c r="B56" s="32" t="s">
        <v>60167</v>
      </c>
      <c r="C56" s="31">
        <v>180.0</v>
      </c>
      <c r="D56" s="32" t="s">
        <v>60168</v>
      </c>
      <c r="E56" s="32" t="s">
        <v>60169</v>
      </c>
      <c r="F56" s="31">
        <v>106.0</v>
      </c>
      <c r="G56" s="31">
        <v>1.80941063E8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401.0</v>
      </c>
      <c r="B1" s="28" t="s">
        <v>60170</v>
      </c>
      <c r="C1" s="27">
        <v>185.0</v>
      </c>
      <c r="D1" s="28" t="s">
        <v>60171</v>
      </c>
      <c r="E1" s="28" t="s">
        <v>60172</v>
      </c>
      <c r="F1" s="29">
        <v>7.0</v>
      </c>
      <c r="G1" s="27">
        <v>1.85010078E8</v>
      </c>
    </row>
    <row r="2" ht="12.75" customHeight="1">
      <c r="A2" s="31">
        <v>401.0</v>
      </c>
      <c r="B2" s="32" t="s">
        <v>60173</v>
      </c>
      <c r="C2" s="31">
        <v>185.0</v>
      </c>
      <c r="D2" s="32" t="s">
        <v>60174</v>
      </c>
      <c r="E2" s="32" t="s">
        <v>60175</v>
      </c>
      <c r="F2" s="33">
        <v>13.0</v>
      </c>
      <c r="G2" s="31">
        <v>1.85010131E8</v>
      </c>
    </row>
    <row r="3" ht="12.75" customHeight="1">
      <c r="A3" s="27">
        <v>401.0</v>
      </c>
      <c r="B3" s="28" t="s">
        <v>60176</v>
      </c>
      <c r="C3" s="27">
        <v>185.0</v>
      </c>
      <c r="D3" s="28" t="s">
        <v>60177</v>
      </c>
      <c r="E3" s="28" t="s">
        <v>60178</v>
      </c>
      <c r="F3" s="29">
        <v>16.0</v>
      </c>
      <c r="G3" s="27">
        <v>1.8501016E8</v>
      </c>
    </row>
    <row r="4" ht="12.75" customHeight="1">
      <c r="A4" s="31">
        <v>401.0</v>
      </c>
      <c r="B4" s="32" t="s">
        <v>60179</v>
      </c>
      <c r="C4" s="31">
        <v>185.0</v>
      </c>
      <c r="D4" s="32" t="s">
        <v>60180</v>
      </c>
      <c r="E4" s="32" t="s">
        <v>60181</v>
      </c>
      <c r="F4" s="33">
        <v>46.0</v>
      </c>
      <c r="G4" s="31">
        <v>1.85010465E8</v>
      </c>
    </row>
    <row r="5" ht="12.75" customHeight="1">
      <c r="A5" s="27">
        <v>401.0</v>
      </c>
      <c r="B5" s="28" t="s">
        <v>60182</v>
      </c>
      <c r="C5" s="27">
        <v>185.0</v>
      </c>
      <c r="D5" s="28" t="s">
        <v>60183</v>
      </c>
      <c r="E5" s="28" t="s">
        <v>60184</v>
      </c>
      <c r="F5" s="29">
        <v>76.0</v>
      </c>
      <c r="G5" s="27">
        <v>1.8501076E8</v>
      </c>
    </row>
    <row r="6" ht="12.75" customHeight="1">
      <c r="A6" s="31">
        <v>401.0</v>
      </c>
      <c r="B6" s="32" t="s">
        <v>60185</v>
      </c>
      <c r="C6" s="31">
        <v>185.0</v>
      </c>
      <c r="D6" s="32" t="s">
        <v>60186</v>
      </c>
      <c r="E6" s="32" t="s">
        <v>60187</v>
      </c>
      <c r="F6" s="33">
        <v>88.0</v>
      </c>
      <c r="G6" s="31">
        <v>1.85010881E8</v>
      </c>
    </row>
    <row r="7" ht="12.75" customHeight="1">
      <c r="A7" s="27">
        <v>401.0</v>
      </c>
      <c r="B7" s="28" t="s">
        <v>60188</v>
      </c>
      <c r="C7" s="27">
        <v>185.0</v>
      </c>
      <c r="D7" s="28" t="s">
        <v>60189</v>
      </c>
      <c r="E7" s="28" t="s">
        <v>60190</v>
      </c>
      <c r="F7" s="29">
        <v>91.0</v>
      </c>
      <c r="G7" s="27">
        <v>1.85010915E8</v>
      </c>
    </row>
    <row r="8" ht="12.75" customHeight="1">
      <c r="A8" s="31">
        <v>401.0</v>
      </c>
      <c r="B8" s="32" t="s">
        <v>60191</v>
      </c>
      <c r="C8" s="31">
        <v>185.0</v>
      </c>
      <c r="D8" s="32" t="s">
        <v>60192</v>
      </c>
      <c r="E8" s="32" t="s">
        <v>60193</v>
      </c>
      <c r="F8" s="33">
        <v>97.0</v>
      </c>
      <c r="G8" s="31">
        <v>1.85010973E8</v>
      </c>
    </row>
    <row r="9" ht="12.75" customHeight="1">
      <c r="A9" s="27">
        <v>401.0</v>
      </c>
      <c r="B9" s="28" t="s">
        <v>60194</v>
      </c>
      <c r="C9" s="27">
        <v>185.0</v>
      </c>
      <c r="D9" s="28" t="s">
        <v>60195</v>
      </c>
      <c r="E9" s="28" t="s">
        <v>60196</v>
      </c>
      <c r="F9" s="27">
        <v>109.0</v>
      </c>
      <c r="G9" s="27">
        <v>1.85011093E8</v>
      </c>
    </row>
    <row r="10" ht="12.75" customHeight="1">
      <c r="A10" s="31">
        <v>203.0</v>
      </c>
      <c r="B10" s="32" t="s">
        <v>60197</v>
      </c>
      <c r="C10" s="31">
        <v>185.0</v>
      </c>
      <c r="D10" s="32" t="s">
        <v>60198</v>
      </c>
      <c r="E10" s="32" t="s">
        <v>60199</v>
      </c>
      <c r="F10" s="33">
        <v>13.0</v>
      </c>
      <c r="G10" s="31">
        <v>1.85030137E8</v>
      </c>
    </row>
    <row r="11" ht="12.75" customHeight="1">
      <c r="A11" s="27">
        <v>304.0</v>
      </c>
      <c r="B11" s="28" t="s">
        <v>60200</v>
      </c>
      <c r="C11" s="27">
        <v>185.0</v>
      </c>
      <c r="D11" s="28" t="s">
        <v>60201</v>
      </c>
      <c r="E11" s="28" t="s">
        <v>60202</v>
      </c>
      <c r="F11" s="29">
        <v>4.0</v>
      </c>
      <c r="G11" s="27">
        <v>1.85040048E8</v>
      </c>
    </row>
    <row r="12" ht="12.75" customHeight="1">
      <c r="A12" s="31">
        <v>304.0</v>
      </c>
      <c r="B12" s="32" t="s">
        <v>60203</v>
      </c>
      <c r="C12" s="31">
        <v>185.0</v>
      </c>
      <c r="D12" s="32" t="s">
        <v>60204</v>
      </c>
      <c r="E12" s="32" t="s">
        <v>60205</v>
      </c>
      <c r="F12" s="33">
        <v>13.0</v>
      </c>
      <c r="G12" s="31">
        <v>1.8504013E8</v>
      </c>
    </row>
    <row r="13" ht="12.75" customHeight="1">
      <c r="A13" s="27">
        <v>304.0</v>
      </c>
      <c r="B13" s="28" t="s">
        <v>60206</v>
      </c>
      <c r="C13" s="27">
        <v>185.0</v>
      </c>
      <c r="D13" s="28" t="s">
        <v>60207</v>
      </c>
      <c r="E13" s="28" t="s">
        <v>60208</v>
      </c>
      <c r="F13" s="29">
        <v>22.0</v>
      </c>
      <c r="G13" s="27">
        <v>1.85040222E8</v>
      </c>
    </row>
    <row r="14" ht="12.75" customHeight="1">
      <c r="A14" s="31">
        <v>304.0</v>
      </c>
      <c r="B14" s="32" t="s">
        <v>60209</v>
      </c>
      <c r="C14" s="31">
        <v>185.0</v>
      </c>
      <c r="D14" s="32" t="s">
        <v>60210</v>
      </c>
      <c r="E14" s="32" t="s">
        <v>60211</v>
      </c>
      <c r="F14" s="33">
        <v>67.0</v>
      </c>
      <c r="G14" s="31">
        <v>1.85040677E8</v>
      </c>
    </row>
    <row r="15" ht="12.75" customHeight="1">
      <c r="A15" s="27">
        <v>306.0</v>
      </c>
      <c r="B15" s="28" t="s">
        <v>60212</v>
      </c>
      <c r="C15" s="27">
        <v>185.0</v>
      </c>
      <c r="D15" s="28" t="s">
        <v>60213</v>
      </c>
      <c r="E15" s="28" t="s">
        <v>60214</v>
      </c>
      <c r="F15" s="29">
        <v>4.0</v>
      </c>
      <c r="G15" s="27">
        <v>1.85060044E8</v>
      </c>
    </row>
    <row r="16" ht="12.75" customHeight="1">
      <c r="A16" s="31">
        <v>306.0</v>
      </c>
      <c r="B16" s="32" t="s">
        <v>60215</v>
      </c>
      <c r="C16" s="31">
        <v>185.0</v>
      </c>
      <c r="D16" s="32" t="s">
        <v>60216</v>
      </c>
      <c r="E16" s="32" t="s">
        <v>60217</v>
      </c>
      <c r="F16" s="33">
        <v>6.0</v>
      </c>
      <c r="G16" s="31">
        <v>1.8506006E8</v>
      </c>
    </row>
    <row r="17" ht="12.75" customHeight="1">
      <c r="A17" s="27">
        <v>306.0</v>
      </c>
      <c r="B17" s="28" t="s">
        <v>60218</v>
      </c>
      <c r="C17" s="27">
        <v>185.0</v>
      </c>
      <c r="D17" s="28" t="s">
        <v>60219</v>
      </c>
      <c r="E17" s="28" t="s">
        <v>60220</v>
      </c>
      <c r="F17" s="29">
        <v>15.0</v>
      </c>
      <c r="G17" s="27">
        <v>1.85060152E8</v>
      </c>
    </row>
    <row r="18" ht="12.75" customHeight="1">
      <c r="A18" s="31">
        <v>306.0</v>
      </c>
      <c r="B18" s="32" t="s">
        <v>60221</v>
      </c>
      <c r="C18" s="31">
        <v>185.0</v>
      </c>
      <c r="D18" s="32" t="s">
        <v>60222</v>
      </c>
      <c r="E18" s="32" t="s">
        <v>60223</v>
      </c>
      <c r="F18" s="33">
        <v>22.0</v>
      </c>
      <c r="G18" s="31">
        <v>1.85060228E8</v>
      </c>
    </row>
    <row r="19" ht="12.75" customHeight="1">
      <c r="A19" s="27">
        <v>306.0</v>
      </c>
      <c r="B19" s="28" t="s">
        <v>60224</v>
      </c>
      <c r="C19" s="27">
        <v>185.0</v>
      </c>
      <c r="D19" s="28" t="s">
        <v>60225</v>
      </c>
      <c r="E19" s="28" t="s">
        <v>60226</v>
      </c>
      <c r="F19" s="29">
        <v>25.0</v>
      </c>
      <c r="G19" s="27">
        <v>1.85060257E8</v>
      </c>
    </row>
    <row r="20" ht="12.75" customHeight="1">
      <c r="A20" s="31">
        <v>306.0</v>
      </c>
      <c r="B20" s="32" t="s">
        <v>60227</v>
      </c>
      <c r="C20" s="31">
        <v>185.0</v>
      </c>
      <c r="D20" s="32" t="s">
        <v>60228</v>
      </c>
      <c r="E20" s="32" t="s">
        <v>60229</v>
      </c>
      <c r="F20" s="33">
        <v>40.0</v>
      </c>
      <c r="G20" s="31">
        <v>1.85060402E8</v>
      </c>
    </row>
    <row r="21" ht="12.75" customHeight="1">
      <c r="A21" s="27">
        <v>306.0</v>
      </c>
      <c r="B21" s="28" t="s">
        <v>60230</v>
      </c>
      <c r="C21" s="27">
        <v>185.0</v>
      </c>
      <c r="D21" s="28" t="s">
        <v>60231</v>
      </c>
      <c r="E21" s="28" t="s">
        <v>60232</v>
      </c>
      <c r="F21" s="29">
        <v>46.0</v>
      </c>
      <c r="G21" s="27">
        <v>1.8506046E8</v>
      </c>
    </row>
    <row r="22" ht="12.75" customHeight="1">
      <c r="A22" s="31">
        <v>306.0</v>
      </c>
      <c r="B22" s="32" t="s">
        <v>60233</v>
      </c>
      <c r="C22" s="31">
        <v>185.0</v>
      </c>
      <c r="D22" s="32" t="s">
        <v>60234</v>
      </c>
      <c r="E22" s="32" t="s">
        <v>60235</v>
      </c>
      <c r="F22" s="33">
        <v>61.0</v>
      </c>
      <c r="G22" s="31">
        <v>1.85060615E8</v>
      </c>
    </row>
    <row r="23" ht="12.75" customHeight="1">
      <c r="A23" s="27">
        <v>306.0</v>
      </c>
      <c r="B23" s="28" t="s">
        <v>60236</v>
      </c>
      <c r="C23" s="27">
        <v>185.0</v>
      </c>
      <c r="D23" s="28" t="s">
        <v>60237</v>
      </c>
      <c r="E23" s="28" t="s">
        <v>60238</v>
      </c>
      <c r="F23" s="29">
        <v>88.0</v>
      </c>
      <c r="G23" s="27">
        <v>1.85060886E8</v>
      </c>
    </row>
    <row r="24" ht="12.75" customHeight="1">
      <c r="A24" s="31">
        <v>306.0</v>
      </c>
      <c r="B24" s="32" t="s">
        <v>60239</v>
      </c>
      <c r="C24" s="31">
        <v>185.0</v>
      </c>
      <c r="D24" s="32" t="s">
        <v>60240</v>
      </c>
      <c r="E24" s="32" t="s">
        <v>60241</v>
      </c>
      <c r="F24" s="31">
        <v>136.0</v>
      </c>
      <c r="G24" s="31">
        <v>1.85061364E8</v>
      </c>
    </row>
    <row r="25" ht="12.75" customHeight="1">
      <c r="A25" s="27">
        <v>306.0</v>
      </c>
      <c r="B25" s="28" t="s">
        <v>60242</v>
      </c>
      <c r="C25" s="27">
        <v>185.0</v>
      </c>
      <c r="D25" s="28" t="s">
        <v>60243</v>
      </c>
      <c r="E25" s="28" t="s">
        <v>60244</v>
      </c>
      <c r="F25" s="27">
        <v>172.0</v>
      </c>
      <c r="G25" s="27">
        <v>1.85061722E8</v>
      </c>
    </row>
    <row r="26" ht="12.75" customHeight="1">
      <c r="A26" s="31">
        <v>306.0</v>
      </c>
      <c r="B26" s="32" t="s">
        <v>60245</v>
      </c>
      <c r="C26" s="31">
        <v>185.0</v>
      </c>
      <c r="D26" s="32" t="s">
        <v>60246</v>
      </c>
      <c r="E26" s="32" t="s">
        <v>60247</v>
      </c>
      <c r="F26" s="31">
        <v>181.0</v>
      </c>
      <c r="G26" s="31">
        <v>1.85061814E8</v>
      </c>
    </row>
    <row r="27" ht="12.75" customHeight="1">
      <c r="A27" s="27">
        <v>306.0</v>
      </c>
      <c r="B27" s="28" t="s">
        <v>60248</v>
      </c>
      <c r="C27" s="27">
        <v>185.0</v>
      </c>
      <c r="D27" s="28" t="s">
        <v>60249</v>
      </c>
      <c r="E27" s="28" t="s">
        <v>60250</v>
      </c>
      <c r="F27" s="27">
        <v>187.0</v>
      </c>
      <c r="G27" s="27">
        <v>1.85061872E8</v>
      </c>
    </row>
    <row r="28" ht="12.75" customHeight="1">
      <c r="A28" s="31">
        <v>306.0</v>
      </c>
      <c r="B28" s="32" t="s">
        <v>60251</v>
      </c>
      <c r="C28" s="31">
        <v>185.0</v>
      </c>
      <c r="D28" s="32" t="s">
        <v>60252</v>
      </c>
      <c r="E28" s="32" t="s">
        <v>60253</v>
      </c>
      <c r="F28" s="31">
        <v>208.0</v>
      </c>
      <c r="G28" s="31">
        <v>1.85062084E8</v>
      </c>
    </row>
    <row r="29" ht="12.75" customHeight="1">
      <c r="A29" s="27">
        <v>309.0</v>
      </c>
      <c r="B29" s="28" t="s">
        <v>60254</v>
      </c>
      <c r="C29" s="27">
        <v>185.0</v>
      </c>
      <c r="D29" s="28" t="s">
        <v>60255</v>
      </c>
      <c r="E29" s="28" t="s">
        <v>60256</v>
      </c>
      <c r="F29" s="29">
        <v>5.0</v>
      </c>
      <c r="G29" s="27">
        <v>1.85090056E8</v>
      </c>
    </row>
    <row r="30" ht="12.75" customHeight="1">
      <c r="A30" s="31">
        <v>309.0</v>
      </c>
      <c r="B30" s="32" t="s">
        <v>60257</v>
      </c>
      <c r="C30" s="31">
        <v>185.0</v>
      </c>
      <c r="D30" s="32" t="s">
        <v>60258</v>
      </c>
      <c r="E30" s="32" t="s">
        <v>60259</v>
      </c>
      <c r="F30" s="33">
        <v>7.0</v>
      </c>
      <c r="G30" s="31">
        <v>1.85090072E8</v>
      </c>
    </row>
    <row r="31" ht="12.75" customHeight="1">
      <c r="A31" s="27">
        <v>309.0</v>
      </c>
      <c r="B31" s="28" t="s">
        <v>60260</v>
      </c>
      <c r="C31" s="27">
        <v>185.0</v>
      </c>
      <c r="D31" s="28" t="s">
        <v>60261</v>
      </c>
      <c r="E31" s="28" t="s">
        <v>60262</v>
      </c>
      <c r="F31" s="29">
        <v>10.0</v>
      </c>
      <c r="G31" s="27">
        <v>1.85090106E8</v>
      </c>
    </row>
    <row r="32" ht="12.75" customHeight="1">
      <c r="A32" s="31">
        <v>309.0</v>
      </c>
      <c r="B32" s="32" t="s">
        <v>60263</v>
      </c>
      <c r="C32" s="31">
        <v>185.0</v>
      </c>
      <c r="D32" s="32" t="s">
        <v>60264</v>
      </c>
      <c r="E32" s="32" t="s">
        <v>60265</v>
      </c>
      <c r="F32" s="33">
        <v>37.0</v>
      </c>
      <c r="G32" s="31">
        <v>1.85090377E8</v>
      </c>
    </row>
    <row r="33" ht="12.75" customHeight="1">
      <c r="A33" s="27">
        <v>309.0</v>
      </c>
      <c r="B33" s="28" t="s">
        <v>60266</v>
      </c>
      <c r="C33" s="27">
        <v>185.0</v>
      </c>
      <c r="D33" s="28" t="s">
        <v>60267</v>
      </c>
      <c r="E33" s="28" t="s">
        <v>60268</v>
      </c>
      <c r="F33" s="29">
        <v>52.0</v>
      </c>
      <c r="G33" s="27">
        <v>1.85090522E8</v>
      </c>
    </row>
    <row r="34" ht="12.75" customHeight="1">
      <c r="A34" s="31">
        <v>309.0</v>
      </c>
      <c r="B34" s="32" t="s">
        <v>60269</v>
      </c>
      <c r="C34" s="31">
        <v>185.0</v>
      </c>
      <c r="D34" s="32" t="s">
        <v>60270</v>
      </c>
      <c r="E34" s="32" t="s">
        <v>60271</v>
      </c>
      <c r="F34" s="33">
        <v>64.0</v>
      </c>
      <c r="G34" s="31">
        <v>1.85090643E8</v>
      </c>
    </row>
    <row r="35" ht="12.75" customHeight="1">
      <c r="A35" s="27">
        <v>309.0</v>
      </c>
      <c r="B35" s="28" t="s">
        <v>60272</v>
      </c>
      <c r="C35" s="27">
        <v>185.0</v>
      </c>
      <c r="D35" s="28" t="s">
        <v>60273</v>
      </c>
      <c r="E35" s="28" t="s">
        <v>60274</v>
      </c>
      <c r="F35" s="29">
        <v>67.0</v>
      </c>
      <c r="G35" s="27">
        <v>1.85090672E8</v>
      </c>
    </row>
    <row r="36" ht="12.75" customHeight="1">
      <c r="A36" s="31">
        <v>309.0</v>
      </c>
      <c r="B36" s="32" t="s">
        <v>60275</v>
      </c>
      <c r="C36" s="31">
        <v>185.0</v>
      </c>
      <c r="D36" s="32" t="s">
        <v>60276</v>
      </c>
      <c r="E36" s="32" t="s">
        <v>60277</v>
      </c>
      <c r="F36" s="33">
        <v>70.0</v>
      </c>
      <c r="G36" s="31">
        <v>1.85090706E8</v>
      </c>
    </row>
    <row r="37" ht="12.75" customHeight="1">
      <c r="A37" s="27">
        <v>309.0</v>
      </c>
      <c r="B37" s="28" t="s">
        <v>60278</v>
      </c>
      <c r="C37" s="27">
        <v>185.0</v>
      </c>
      <c r="D37" s="28" t="s">
        <v>60279</v>
      </c>
      <c r="E37" s="28" t="s">
        <v>60280</v>
      </c>
      <c r="F37" s="29">
        <v>76.0</v>
      </c>
      <c r="G37" s="27">
        <v>1.85090764E8</v>
      </c>
    </row>
    <row r="38" ht="12.75" customHeight="1">
      <c r="A38" s="31">
        <v>309.0</v>
      </c>
      <c r="B38" s="32" t="s">
        <v>60281</v>
      </c>
      <c r="C38" s="31">
        <v>185.0</v>
      </c>
      <c r="D38" s="32" t="s">
        <v>60282</v>
      </c>
      <c r="E38" s="32" t="s">
        <v>60283</v>
      </c>
      <c r="F38" s="31">
        <v>100.0</v>
      </c>
      <c r="G38" s="31">
        <v>1.85091E8</v>
      </c>
    </row>
    <row r="39" ht="12.75" customHeight="1">
      <c r="A39" s="27">
        <v>610.0</v>
      </c>
      <c r="B39" s="28" t="s">
        <v>60284</v>
      </c>
      <c r="C39" s="27">
        <v>185.0</v>
      </c>
      <c r="D39" s="28" t="s">
        <v>60285</v>
      </c>
      <c r="E39" s="28" t="s">
        <v>60286</v>
      </c>
      <c r="F39" s="29">
        <v>10.0</v>
      </c>
      <c r="G39" s="27">
        <v>1.85100104E8</v>
      </c>
    </row>
    <row r="40" ht="12.75" customHeight="1">
      <c r="A40" s="31">
        <v>610.0</v>
      </c>
      <c r="B40" s="32" t="s">
        <v>60287</v>
      </c>
      <c r="C40" s="31">
        <v>185.0</v>
      </c>
      <c r="D40" s="32" t="s">
        <v>60288</v>
      </c>
      <c r="E40" s="32" t="s">
        <v>60289</v>
      </c>
      <c r="F40" s="33">
        <v>31.0</v>
      </c>
      <c r="G40" s="31">
        <v>1.85100317E8</v>
      </c>
    </row>
    <row r="41" ht="12.75" customHeight="1">
      <c r="A41" s="27">
        <v>610.0</v>
      </c>
      <c r="B41" s="28" t="s">
        <v>60290</v>
      </c>
      <c r="C41" s="27">
        <v>185.0</v>
      </c>
      <c r="D41" s="28" t="s">
        <v>60291</v>
      </c>
      <c r="E41" s="28" t="s">
        <v>60292</v>
      </c>
      <c r="F41" s="29">
        <v>43.0</v>
      </c>
      <c r="G41" s="27">
        <v>1.85100438E8</v>
      </c>
    </row>
    <row r="42" ht="12.75" customHeight="1">
      <c r="A42" s="31">
        <v>610.0</v>
      </c>
      <c r="B42" s="32" t="s">
        <v>60293</v>
      </c>
      <c r="C42" s="31">
        <v>185.0</v>
      </c>
      <c r="D42" s="32" t="s">
        <v>60294</v>
      </c>
      <c r="E42" s="32" t="s">
        <v>60295</v>
      </c>
      <c r="F42" s="33">
        <v>49.0</v>
      </c>
      <c r="G42" s="31">
        <v>1.85100496E8</v>
      </c>
    </row>
    <row r="43" ht="12.75" customHeight="1">
      <c r="A43" s="27">
        <v>610.0</v>
      </c>
      <c r="B43" s="28" t="s">
        <v>60296</v>
      </c>
      <c r="C43" s="27">
        <v>185.0</v>
      </c>
      <c r="D43" s="28" t="s">
        <v>60297</v>
      </c>
      <c r="E43" s="28" t="s">
        <v>60298</v>
      </c>
      <c r="F43" s="29">
        <v>55.0</v>
      </c>
      <c r="G43" s="27">
        <v>1.85100559E8</v>
      </c>
    </row>
    <row r="44" ht="12.75" customHeight="1">
      <c r="A44" s="31">
        <v>610.0</v>
      </c>
      <c r="B44" s="32" t="s">
        <v>60299</v>
      </c>
      <c r="C44" s="31">
        <v>185.0</v>
      </c>
      <c r="D44" s="32" t="s">
        <v>60300</v>
      </c>
      <c r="E44" s="32" t="s">
        <v>60301</v>
      </c>
      <c r="F44" s="33">
        <v>88.0</v>
      </c>
      <c r="G44" s="31">
        <v>1.85100883E8</v>
      </c>
    </row>
    <row r="45" ht="12.75" customHeight="1">
      <c r="A45" s="27">
        <v>610.0</v>
      </c>
      <c r="B45" s="28" t="s">
        <v>60302</v>
      </c>
      <c r="C45" s="27">
        <v>185.0</v>
      </c>
      <c r="D45" s="28" t="s">
        <v>60303</v>
      </c>
      <c r="E45" s="28" t="s">
        <v>60304</v>
      </c>
      <c r="F45" s="29">
        <v>91.0</v>
      </c>
      <c r="G45" s="27">
        <v>1.85100917E8</v>
      </c>
    </row>
    <row r="46" ht="12.75" customHeight="1">
      <c r="A46" s="31">
        <v>610.0</v>
      </c>
      <c r="B46" s="32" t="s">
        <v>60305</v>
      </c>
      <c r="C46" s="31">
        <v>185.0</v>
      </c>
      <c r="D46" s="32" t="s">
        <v>60306</v>
      </c>
      <c r="E46" s="32" t="s">
        <v>60307</v>
      </c>
      <c r="F46" s="31">
        <v>103.0</v>
      </c>
      <c r="G46" s="31">
        <v>1.85101037E8</v>
      </c>
    </row>
    <row r="47" ht="12.75" customHeight="1">
      <c r="A47" s="27">
        <v>610.0</v>
      </c>
      <c r="B47" s="28" t="s">
        <v>60308</v>
      </c>
      <c r="C47" s="27">
        <v>185.0</v>
      </c>
      <c r="D47" s="28" t="s">
        <v>60309</v>
      </c>
      <c r="E47" s="28" t="s">
        <v>60310</v>
      </c>
      <c r="F47" s="27">
        <v>124.0</v>
      </c>
      <c r="G47" s="27">
        <v>1.8510124E8</v>
      </c>
    </row>
    <row r="48" ht="12.75" customHeight="1">
      <c r="A48" s="31">
        <v>610.0</v>
      </c>
      <c r="B48" s="32" t="s">
        <v>60311</v>
      </c>
      <c r="C48" s="31">
        <v>185.0</v>
      </c>
      <c r="D48" s="32" t="s">
        <v>60312</v>
      </c>
      <c r="E48" s="32" t="s">
        <v>60313</v>
      </c>
      <c r="F48" s="31">
        <v>127.0</v>
      </c>
      <c r="G48" s="31">
        <v>1.85101279E8</v>
      </c>
    </row>
    <row r="49" ht="12.75" customHeight="1">
      <c r="A49" s="27">
        <v>610.0</v>
      </c>
      <c r="B49" s="28" t="s">
        <v>60314</v>
      </c>
      <c r="C49" s="27">
        <v>185.0</v>
      </c>
      <c r="D49" s="28" t="s">
        <v>60315</v>
      </c>
      <c r="E49" s="28" t="s">
        <v>60316</v>
      </c>
      <c r="F49" s="27">
        <v>136.0</v>
      </c>
      <c r="G49" s="27">
        <v>1.85101361E8</v>
      </c>
    </row>
    <row r="50" ht="12.75" customHeight="1">
      <c r="A50" s="31">
        <v>610.0</v>
      </c>
      <c r="B50" s="32" t="s">
        <v>60317</v>
      </c>
      <c r="C50" s="31">
        <v>185.0</v>
      </c>
      <c r="D50" s="32" t="s">
        <v>60318</v>
      </c>
      <c r="E50" s="32" t="s">
        <v>60319</v>
      </c>
      <c r="F50" s="31">
        <v>142.0</v>
      </c>
      <c r="G50" s="31">
        <v>1.85101424E8</v>
      </c>
    </row>
    <row r="51" ht="12.75" customHeight="1">
      <c r="A51" s="27">
        <v>610.0</v>
      </c>
      <c r="B51" s="28" t="s">
        <v>60320</v>
      </c>
      <c r="C51" s="27">
        <v>185.0</v>
      </c>
      <c r="D51" s="28" t="s">
        <v>60321</v>
      </c>
      <c r="E51" s="28" t="s">
        <v>60322</v>
      </c>
      <c r="F51" s="27">
        <v>154.0</v>
      </c>
      <c r="G51" s="27">
        <v>1.85101545E8</v>
      </c>
    </row>
    <row r="52" ht="12.75" customHeight="1">
      <c r="A52" s="31">
        <v>610.0</v>
      </c>
      <c r="B52" s="32" t="s">
        <v>60323</v>
      </c>
      <c r="C52" s="31">
        <v>185.0</v>
      </c>
      <c r="D52" s="32" t="s">
        <v>60324</v>
      </c>
      <c r="E52" s="32" t="s">
        <v>60325</v>
      </c>
      <c r="F52" s="31">
        <v>163.0</v>
      </c>
      <c r="G52" s="31">
        <v>1.85101637E8</v>
      </c>
    </row>
    <row r="53" ht="12.75" customHeight="1">
      <c r="A53" s="27">
        <v>610.0</v>
      </c>
      <c r="B53" s="28" t="s">
        <v>60326</v>
      </c>
      <c r="C53" s="27">
        <v>185.0</v>
      </c>
      <c r="D53" s="28" t="s">
        <v>60327</v>
      </c>
      <c r="E53" s="28" t="s">
        <v>60328</v>
      </c>
      <c r="F53" s="27">
        <v>169.0</v>
      </c>
      <c r="G53" s="27">
        <v>1.85101695E8</v>
      </c>
    </row>
    <row r="54" ht="12.75" customHeight="1">
      <c r="A54" s="31">
        <v>610.0</v>
      </c>
      <c r="B54" s="32" t="s">
        <v>60329</v>
      </c>
      <c r="C54" s="31">
        <v>185.0</v>
      </c>
      <c r="D54" s="32" t="s">
        <v>60330</v>
      </c>
      <c r="E54" s="32" t="s">
        <v>60331</v>
      </c>
      <c r="F54" s="31">
        <v>178.0</v>
      </c>
      <c r="G54" s="31">
        <v>1.85101787E8</v>
      </c>
    </row>
    <row r="55" ht="12.75" customHeight="1">
      <c r="A55" s="27">
        <v>610.0</v>
      </c>
      <c r="B55" s="28" t="s">
        <v>60332</v>
      </c>
      <c r="C55" s="27">
        <v>185.0</v>
      </c>
      <c r="D55" s="28" t="s">
        <v>60333</v>
      </c>
      <c r="E55" s="28" t="s">
        <v>60334</v>
      </c>
      <c r="F55" s="27">
        <v>193.0</v>
      </c>
      <c r="G55" s="27">
        <v>1.85101932E8</v>
      </c>
    </row>
    <row r="56" ht="12.75" customHeight="1">
      <c r="A56" s="31">
        <v>610.0</v>
      </c>
      <c r="B56" s="32" t="s">
        <v>60335</v>
      </c>
      <c r="C56" s="31">
        <v>185.0</v>
      </c>
      <c r="D56" s="32" t="s">
        <v>60336</v>
      </c>
      <c r="E56" s="32" t="s">
        <v>60337</v>
      </c>
      <c r="F56" s="31">
        <v>196.0</v>
      </c>
      <c r="G56" s="31">
        <v>1.85101961E8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610.0</v>
      </c>
      <c r="B1" s="28" t="s">
        <v>60338</v>
      </c>
      <c r="C1" s="27">
        <v>185.0</v>
      </c>
      <c r="D1" s="28" t="s">
        <v>60339</v>
      </c>
      <c r="E1" s="28" t="s">
        <v>60340</v>
      </c>
      <c r="F1" s="27">
        <v>259.0</v>
      </c>
      <c r="G1" s="27">
        <v>1.85102599E8</v>
      </c>
    </row>
    <row r="2" ht="12.75" customHeight="1">
      <c r="A2" s="31">
        <v>610.0</v>
      </c>
      <c r="B2" s="32" t="s">
        <v>60341</v>
      </c>
      <c r="C2" s="31">
        <v>185.0</v>
      </c>
      <c r="D2" s="32" t="s">
        <v>60342</v>
      </c>
      <c r="E2" s="32" t="s">
        <v>60343</v>
      </c>
      <c r="F2" s="31">
        <v>262.0</v>
      </c>
      <c r="G2" s="31">
        <v>1.85102623E8</v>
      </c>
    </row>
    <row r="3" ht="12.75" customHeight="1">
      <c r="A3" s="27">
        <v>610.0</v>
      </c>
      <c r="B3" s="28" t="s">
        <v>60344</v>
      </c>
      <c r="C3" s="27">
        <v>185.0</v>
      </c>
      <c r="D3" s="28" t="s">
        <v>60345</v>
      </c>
      <c r="E3" s="28" t="s">
        <v>60346</v>
      </c>
      <c r="F3" s="27">
        <v>280.0</v>
      </c>
      <c r="G3" s="27">
        <v>1.85102807E8</v>
      </c>
    </row>
    <row r="4" ht="12.75" customHeight="1">
      <c r="A4" s="31">
        <v>610.0</v>
      </c>
      <c r="B4" s="32" t="s">
        <v>60347</v>
      </c>
      <c r="C4" s="31">
        <v>185.0</v>
      </c>
      <c r="D4" s="32" t="s">
        <v>60348</v>
      </c>
      <c r="E4" s="32" t="s">
        <v>60349</v>
      </c>
      <c r="F4" s="31">
        <v>301.0</v>
      </c>
      <c r="G4" s="31">
        <v>1.85103019E8</v>
      </c>
    </row>
    <row r="5" ht="12.75" customHeight="1">
      <c r="A5" s="27">
        <v>610.0</v>
      </c>
      <c r="B5" s="28" t="s">
        <v>60350</v>
      </c>
      <c r="C5" s="27">
        <v>185.0</v>
      </c>
      <c r="D5" s="28" t="s">
        <v>60351</v>
      </c>
      <c r="E5" s="28" t="s">
        <v>60352</v>
      </c>
      <c r="F5" s="27">
        <v>316.0</v>
      </c>
      <c r="G5" s="27">
        <v>1.85103169E8</v>
      </c>
    </row>
    <row r="6" ht="12.75" customHeight="1">
      <c r="A6" s="31">
        <v>112.0</v>
      </c>
      <c r="B6" s="32" t="s">
        <v>60353</v>
      </c>
      <c r="C6" s="31">
        <v>185.0</v>
      </c>
      <c r="D6" s="32" t="s">
        <v>60354</v>
      </c>
      <c r="E6" s="32" t="s">
        <v>60355</v>
      </c>
      <c r="F6" s="33">
        <v>10.0</v>
      </c>
      <c r="G6" s="31">
        <v>1.851201E8</v>
      </c>
    </row>
    <row r="7" ht="12.75" customHeight="1">
      <c r="A7" s="27">
        <v>112.0</v>
      </c>
      <c r="B7" s="28" t="s">
        <v>60356</v>
      </c>
      <c r="C7" s="27">
        <v>185.0</v>
      </c>
      <c r="D7" s="28" t="s">
        <v>60357</v>
      </c>
      <c r="E7" s="28" t="s">
        <v>60358</v>
      </c>
      <c r="F7" s="29">
        <v>17.0</v>
      </c>
      <c r="G7" s="27">
        <v>1.85120171E8</v>
      </c>
    </row>
    <row r="8" ht="12.75" customHeight="1">
      <c r="A8" s="31">
        <v>112.0</v>
      </c>
      <c r="B8" s="32" t="s">
        <v>60359</v>
      </c>
      <c r="C8" s="31">
        <v>185.0</v>
      </c>
      <c r="D8" s="32" t="s">
        <v>60360</v>
      </c>
      <c r="E8" s="32" t="s">
        <v>60361</v>
      </c>
      <c r="F8" s="33">
        <v>43.0</v>
      </c>
      <c r="G8" s="31">
        <v>1.85120434E8</v>
      </c>
    </row>
    <row r="9" ht="12.75" customHeight="1">
      <c r="A9" s="27">
        <v>112.0</v>
      </c>
      <c r="B9" s="28" t="s">
        <v>60362</v>
      </c>
      <c r="C9" s="27">
        <v>185.0</v>
      </c>
      <c r="D9" s="28" t="s">
        <v>60363</v>
      </c>
      <c r="E9" s="28" t="s">
        <v>60364</v>
      </c>
      <c r="F9" s="27">
        <v>136.0</v>
      </c>
      <c r="G9" s="27">
        <v>1.85121367E8</v>
      </c>
    </row>
    <row r="10" ht="12.75" customHeight="1">
      <c r="A10" s="31">
        <v>113.0</v>
      </c>
      <c r="B10" s="32" t="s">
        <v>60365</v>
      </c>
      <c r="C10" s="31">
        <v>185.0</v>
      </c>
      <c r="D10" s="32" t="s">
        <v>60366</v>
      </c>
      <c r="E10" s="32" t="s">
        <v>60367</v>
      </c>
      <c r="F10" s="33">
        <v>17.0</v>
      </c>
      <c r="G10" s="31">
        <v>1.85130174E8</v>
      </c>
    </row>
    <row r="11" ht="12.75" customHeight="1">
      <c r="A11" s="27">
        <v>113.0</v>
      </c>
      <c r="B11" s="28" t="s">
        <v>60368</v>
      </c>
      <c r="C11" s="27">
        <v>185.0</v>
      </c>
      <c r="D11" s="28" t="s">
        <v>60369</v>
      </c>
      <c r="E11" s="28" t="s">
        <v>60370</v>
      </c>
      <c r="F11" s="29">
        <v>18.0</v>
      </c>
      <c r="G11" s="27">
        <v>1.85130187E8</v>
      </c>
    </row>
    <row r="12" ht="12.75" customHeight="1">
      <c r="A12" s="31">
        <v>113.0</v>
      </c>
      <c r="B12" s="32" t="s">
        <v>60371</v>
      </c>
      <c r="C12" s="31">
        <v>185.0</v>
      </c>
      <c r="D12" s="32" t="s">
        <v>60372</v>
      </c>
      <c r="E12" s="32" t="s">
        <v>60373</v>
      </c>
      <c r="F12" s="33">
        <v>24.0</v>
      </c>
      <c r="G12" s="31">
        <v>1.8513024E8</v>
      </c>
    </row>
    <row r="13" ht="12.75" customHeight="1">
      <c r="A13" s="27">
        <v>113.0</v>
      </c>
      <c r="B13" s="28" t="s">
        <v>60374</v>
      </c>
      <c r="C13" s="27">
        <v>185.0</v>
      </c>
      <c r="D13" s="28" t="s">
        <v>60375</v>
      </c>
      <c r="E13" s="28" t="s">
        <v>60376</v>
      </c>
      <c r="F13" s="29">
        <v>58.0</v>
      </c>
      <c r="G13" s="27">
        <v>1.85130587E8</v>
      </c>
    </row>
    <row r="14" ht="12.75" customHeight="1">
      <c r="A14" s="31">
        <v>113.0</v>
      </c>
      <c r="B14" s="32" t="s">
        <v>60377</v>
      </c>
      <c r="C14" s="31">
        <v>185.0</v>
      </c>
      <c r="D14" s="32" t="s">
        <v>60378</v>
      </c>
      <c r="E14" s="32" t="s">
        <v>60379</v>
      </c>
      <c r="F14" s="33">
        <v>88.0</v>
      </c>
      <c r="G14" s="31">
        <v>1.85130882E8</v>
      </c>
    </row>
    <row r="15" ht="12.75" customHeight="1">
      <c r="A15" s="27">
        <v>113.0</v>
      </c>
      <c r="B15" s="28" t="s">
        <v>60380</v>
      </c>
      <c r="C15" s="27">
        <v>185.0</v>
      </c>
      <c r="D15" s="28" t="s">
        <v>60381</v>
      </c>
      <c r="E15" s="28" t="s">
        <v>60382</v>
      </c>
      <c r="F15" s="29">
        <v>91.0</v>
      </c>
      <c r="G15" s="27">
        <v>1.85130916E8</v>
      </c>
    </row>
    <row r="16" ht="12.75" customHeight="1">
      <c r="A16" s="31">
        <v>113.0</v>
      </c>
      <c r="B16" s="32" t="s">
        <v>60383</v>
      </c>
      <c r="C16" s="31">
        <v>185.0</v>
      </c>
      <c r="D16" s="32" t="s">
        <v>60384</v>
      </c>
      <c r="E16" s="32" t="s">
        <v>60385</v>
      </c>
      <c r="F16" s="31">
        <v>112.0</v>
      </c>
      <c r="G16" s="31">
        <v>1.85131128E8</v>
      </c>
    </row>
    <row r="17" ht="12.75" customHeight="1">
      <c r="A17" s="27">
        <v>113.0</v>
      </c>
      <c r="B17" s="28" t="s">
        <v>60386</v>
      </c>
      <c r="C17" s="27">
        <v>185.0</v>
      </c>
      <c r="D17" s="28" t="s">
        <v>60387</v>
      </c>
      <c r="E17" s="28" t="s">
        <v>60388</v>
      </c>
      <c r="F17" s="27">
        <v>148.0</v>
      </c>
      <c r="G17" s="27">
        <v>1.85131481E8</v>
      </c>
    </row>
    <row r="18" ht="12.75" customHeight="1">
      <c r="A18" s="31">
        <v>113.0</v>
      </c>
      <c r="B18" s="32" t="s">
        <v>60389</v>
      </c>
      <c r="C18" s="31">
        <v>185.0</v>
      </c>
      <c r="D18" s="32" t="s">
        <v>60390</v>
      </c>
      <c r="E18" s="32" t="s">
        <v>60391</v>
      </c>
      <c r="F18" s="31">
        <v>157.0</v>
      </c>
      <c r="G18" s="31">
        <v>1.85131573E8</v>
      </c>
    </row>
    <row r="19" ht="12.75" customHeight="1">
      <c r="A19" s="27">
        <v>113.0</v>
      </c>
      <c r="B19" s="28" t="s">
        <v>60392</v>
      </c>
      <c r="C19" s="27">
        <v>185.0</v>
      </c>
      <c r="D19" s="28" t="s">
        <v>60393</v>
      </c>
      <c r="E19" s="28" t="s">
        <v>60394</v>
      </c>
      <c r="F19" s="27">
        <v>166.0</v>
      </c>
      <c r="G19" s="27">
        <v>1.85131665E8</v>
      </c>
    </row>
    <row r="20" ht="12.75" customHeight="1">
      <c r="A20" s="31">
        <v>113.0</v>
      </c>
      <c r="B20" s="32" t="s">
        <v>60395</v>
      </c>
      <c r="C20" s="31">
        <v>185.0</v>
      </c>
      <c r="D20" s="32" t="s">
        <v>60396</v>
      </c>
      <c r="E20" s="32" t="s">
        <v>60397</v>
      </c>
      <c r="F20" s="31">
        <v>175.0</v>
      </c>
      <c r="G20" s="31">
        <v>1.85131757E8</v>
      </c>
    </row>
    <row r="21" ht="12.75" customHeight="1">
      <c r="A21" s="27">
        <v>113.0</v>
      </c>
      <c r="B21" s="28" t="s">
        <v>60398</v>
      </c>
      <c r="C21" s="27">
        <v>185.0</v>
      </c>
      <c r="D21" s="28" t="s">
        <v>60399</v>
      </c>
      <c r="E21" s="28" t="s">
        <v>60400</v>
      </c>
      <c r="F21" s="27">
        <v>193.0</v>
      </c>
      <c r="G21" s="27">
        <v>1.85131931E8</v>
      </c>
    </row>
    <row r="22" ht="12.75" customHeight="1">
      <c r="A22" s="31">
        <v>215.0</v>
      </c>
      <c r="B22" s="32" t="s">
        <v>60401</v>
      </c>
      <c r="C22" s="31">
        <v>185.0</v>
      </c>
      <c r="D22" s="32" t="s">
        <v>60402</v>
      </c>
      <c r="E22" s="32" t="s">
        <v>60403</v>
      </c>
      <c r="F22" s="33">
        <v>9.0</v>
      </c>
      <c r="G22" s="31">
        <v>1.85150091E8</v>
      </c>
    </row>
    <row r="23" ht="12.75" customHeight="1">
      <c r="A23" s="27">
        <v>215.0</v>
      </c>
      <c r="B23" s="28" t="s">
        <v>60404</v>
      </c>
      <c r="C23" s="27">
        <v>185.0</v>
      </c>
      <c r="D23" s="28" t="s">
        <v>60405</v>
      </c>
      <c r="E23" s="28" t="s">
        <v>60406</v>
      </c>
      <c r="F23" s="29">
        <v>10.0</v>
      </c>
      <c r="G23" s="27">
        <v>1.85150109E8</v>
      </c>
    </row>
    <row r="24" ht="12.75" customHeight="1">
      <c r="A24" s="31">
        <v>215.0</v>
      </c>
      <c r="B24" s="32" t="s">
        <v>60407</v>
      </c>
      <c r="C24" s="31">
        <v>185.0</v>
      </c>
      <c r="D24" s="32" t="s">
        <v>60408</v>
      </c>
      <c r="E24" s="32" t="s">
        <v>60409</v>
      </c>
      <c r="F24" s="33">
        <v>13.0</v>
      </c>
      <c r="G24" s="31">
        <v>1.85150138E8</v>
      </c>
    </row>
    <row r="25" ht="12.75" customHeight="1">
      <c r="A25" s="27">
        <v>215.0</v>
      </c>
      <c r="B25" s="28" t="s">
        <v>60410</v>
      </c>
      <c r="C25" s="27">
        <v>185.0</v>
      </c>
      <c r="D25" s="28" t="s">
        <v>60411</v>
      </c>
      <c r="E25" s="28" t="s">
        <v>60412</v>
      </c>
      <c r="F25" s="29">
        <v>37.0</v>
      </c>
      <c r="G25" s="27">
        <v>1.8515037E8</v>
      </c>
    </row>
    <row r="26" ht="12.75" customHeight="1">
      <c r="A26" s="31">
        <v>215.0</v>
      </c>
      <c r="B26" s="32" t="s">
        <v>60413</v>
      </c>
      <c r="C26" s="31">
        <v>185.0</v>
      </c>
      <c r="D26" s="32" t="s">
        <v>60414</v>
      </c>
      <c r="E26" s="32" t="s">
        <v>60415</v>
      </c>
      <c r="F26" s="33">
        <v>49.0</v>
      </c>
      <c r="G26" s="31">
        <v>1.85150491E8</v>
      </c>
    </row>
    <row r="27" ht="12.75" customHeight="1">
      <c r="A27" s="27">
        <v>215.0</v>
      </c>
      <c r="B27" s="28" t="s">
        <v>60416</v>
      </c>
      <c r="C27" s="27">
        <v>185.0</v>
      </c>
      <c r="D27" s="28" t="s">
        <v>60417</v>
      </c>
      <c r="E27" s="28" t="s">
        <v>60418</v>
      </c>
      <c r="F27" s="29">
        <v>52.0</v>
      </c>
      <c r="G27" s="27">
        <v>1.85150525E8</v>
      </c>
    </row>
    <row r="28" ht="12.75" customHeight="1">
      <c r="A28" s="31">
        <v>215.0</v>
      </c>
      <c r="B28" s="32" t="s">
        <v>60419</v>
      </c>
      <c r="C28" s="31">
        <v>185.0</v>
      </c>
      <c r="D28" s="32" t="s">
        <v>60420</v>
      </c>
      <c r="E28" s="32" t="s">
        <v>60421</v>
      </c>
      <c r="F28" s="31">
        <v>124.0</v>
      </c>
      <c r="G28" s="31">
        <v>1.85151245E8</v>
      </c>
    </row>
    <row r="29" ht="12.75" customHeight="1">
      <c r="A29" s="27">
        <v>215.0</v>
      </c>
      <c r="B29" s="28" t="s">
        <v>60422</v>
      </c>
      <c r="C29" s="27">
        <v>185.0</v>
      </c>
      <c r="D29" s="28" t="s">
        <v>60423</v>
      </c>
      <c r="E29" s="28" t="s">
        <v>60424</v>
      </c>
      <c r="F29" s="27">
        <v>136.0</v>
      </c>
      <c r="G29" s="27">
        <v>1.85151366E8</v>
      </c>
    </row>
    <row r="30" ht="12.75" customHeight="1">
      <c r="A30" s="31">
        <v>215.0</v>
      </c>
      <c r="B30" s="32" t="s">
        <v>60425</v>
      </c>
      <c r="C30" s="31">
        <v>185.0</v>
      </c>
      <c r="D30" s="32" t="s">
        <v>60426</v>
      </c>
      <c r="E30" s="32" t="s">
        <v>60427</v>
      </c>
      <c r="F30" s="31">
        <v>169.0</v>
      </c>
      <c r="G30" s="31">
        <v>1.8515169E8</v>
      </c>
    </row>
    <row r="31" ht="12.75" customHeight="1">
      <c r="A31" s="27">
        <v>215.0</v>
      </c>
      <c r="B31" s="28" t="s">
        <v>60428</v>
      </c>
      <c r="C31" s="27">
        <v>185.0</v>
      </c>
      <c r="D31" s="28" t="s">
        <v>60429</v>
      </c>
      <c r="E31" s="28" t="s">
        <v>60430</v>
      </c>
      <c r="F31" s="27">
        <v>175.0</v>
      </c>
      <c r="G31" s="27">
        <v>1.85151753E8</v>
      </c>
    </row>
    <row r="32" ht="12.75" customHeight="1">
      <c r="A32" s="31">
        <v>215.0</v>
      </c>
      <c r="B32" s="32" t="s">
        <v>60431</v>
      </c>
      <c r="C32" s="31">
        <v>185.0</v>
      </c>
      <c r="D32" s="32" t="s">
        <v>60432</v>
      </c>
      <c r="E32" s="32" t="s">
        <v>60433</v>
      </c>
      <c r="F32" s="31">
        <v>184.0</v>
      </c>
      <c r="G32" s="31">
        <v>1.85151845E8</v>
      </c>
    </row>
    <row r="33" ht="12.75" customHeight="1">
      <c r="A33" s="27">
        <v>215.0</v>
      </c>
      <c r="B33" s="28" t="s">
        <v>60434</v>
      </c>
      <c r="C33" s="27">
        <v>185.0</v>
      </c>
      <c r="D33" s="28" t="s">
        <v>60435</v>
      </c>
      <c r="E33" s="28" t="s">
        <v>60436</v>
      </c>
      <c r="F33" s="27">
        <v>193.0</v>
      </c>
      <c r="G33" s="27">
        <v>1.85151937E8</v>
      </c>
    </row>
    <row r="34" ht="12.75" customHeight="1">
      <c r="A34" s="31">
        <v>215.0</v>
      </c>
      <c r="B34" s="32" t="s">
        <v>60437</v>
      </c>
      <c r="C34" s="31">
        <v>185.0</v>
      </c>
      <c r="D34" s="32" t="s">
        <v>60438</v>
      </c>
      <c r="E34" s="32" t="s">
        <v>60439</v>
      </c>
      <c r="F34" s="31">
        <v>232.0</v>
      </c>
      <c r="G34" s="31">
        <v>1.85152323E8</v>
      </c>
    </row>
    <row r="35" ht="12.75" customHeight="1">
      <c r="A35" s="27">
        <v>215.0</v>
      </c>
      <c r="B35" s="28" t="s">
        <v>60440</v>
      </c>
      <c r="C35" s="27">
        <v>185.0</v>
      </c>
      <c r="D35" s="28" t="s">
        <v>60441</v>
      </c>
      <c r="E35" s="28" t="s">
        <v>60442</v>
      </c>
      <c r="F35" s="27">
        <v>241.0</v>
      </c>
      <c r="G35" s="27">
        <v>1.85152415E8</v>
      </c>
    </row>
    <row r="36" ht="12.75" customHeight="1">
      <c r="A36" s="31">
        <v>215.0</v>
      </c>
      <c r="B36" s="32" t="s">
        <v>60443</v>
      </c>
      <c r="C36" s="31">
        <v>185.0</v>
      </c>
      <c r="D36" s="32" t="s">
        <v>60444</v>
      </c>
      <c r="E36" s="32" t="s">
        <v>60445</v>
      </c>
      <c r="F36" s="31">
        <v>247.0</v>
      </c>
      <c r="G36" s="31">
        <v>1.85152473E8</v>
      </c>
    </row>
    <row r="37" ht="12.75" customHeight="1">
      <c r="A37" s="27">
        <v>215.0</v>
      </c>
      <c r="B37" s="28" t="s">
        <v>60446</v>
      </c>
      <c r="C37" s="27">
        <v>185.0</v>
      </c>
      <c r="D37" s="28" t="s">
        <v>60447</v>
      </c>
      <c r="E37" s="28" t="s">
        <v>60448</v>
      </c>
      <c r="F37" s="27">
        <v>268.0</v>
      </c>
      <c r="G37" s="27">
        <v>1.85152686E8</v>
      </c>
    </row>
    <row r="38" ht="12.75" customHeight="1">
      <c r="A38" s="31">
        <v>215.0</v>
      </c>
      <c r="B38" s="32" t="s">
        <v>60449</v>
      </c>
      <c r="C38" s="31">
        <v>185.0</v>
      </c>
      <c r="D38" s="32" t="s">
        <v>60450</v>
      </c>
      <c r="E38" s="32" t="s">
        <v>60451</v>
      </c>
      <c r="F38" s="31">
        <v>298.0</v>
      </c>
      <c r="G38" s="31">
        <v>1.85152981E8</v>
      </c>
    </row>
    <row r="39" ht="12.75" customHeight="1">
      <c r="A39" s="27">
        <v>215.0</v>
      </c>
      <c r="B39" s="28" t="s">
        <v>60452</v>
      </c>
      <c r="C39" s="27">
        <v>185.0</v>
      </c>
      <c r="D39" s="28" t="s">
        <v>60453</v>
      </c>
      <c r="E39" s="28" t="s">
        <v>60454</v>
      </c>
      <c r="F39" s="27">
        <v>304.0</v>
      </c>
      <c r="G39" s="27">
        <v>1.85153043E8</v>
      </c>
    </row>
    <row r="40" ht="12.75" customHeight="1">
      <c r="A40" s="31">
        <v>215.0</v>
      </c>
      <c r="B40" s="32" t="s">
        <v>60455</v>
      </c>
      <c r="C40" s="31">
        <v>185.0</v>
      </c>
      <c r="D40" s="32" t="s">
        <v>60456</v>
      </c>
      <c r="E40" s="32" t="s">
        <v>60457</v>
      </c>
      <c r="F40" s="31">
        <v>310.0</v>
      </c>
      <c r="G40" s="31">
        <v>1.85153106E8</v>
      </c>
    </row>
    <row r="41" ht="12.75" customHeight="1">
      <c r="A41" s="27">
        <v>215.0</v>
      </c>
      <c r="B41" s="28" t="s">
        <v>60458</v>
      </c>
      <c r="C41" s="27">
        <v>185.0</v>
      </c>
      <c r="D41" s="28" t="s">
        <v>60459</v>
      </c>
      <c r="E41" s="28" t="s">
        <v>60460</v>
      </c>
      <c r="F41" s="27">
        <v>334.0</v>
      </c>
      <c r="G41" s="27">
        <v>1.85153348E8</v>
      </c>
    </row>
    <row r="42" ht="12.75" customHeight="1">
      <c r="A42" s="31">
        <v>215.0</v>
      </c>
      <c r="B42" s="32" t="s">
        <v>60461</v>
      </c>
      <c r="C42" s="31">
        <v>185.0</v>
      </c>
      <c r="D42" s="32" t="s">
        <v>60462</v>
      </c>
      <c r="E42" s="32" t="s">
        <v>60463</v>
      </c>
      <c r="F42" s="31">
        <v>340.0</v>
      </c>
      <c r="G42" s="31">
        <v>1.85153401E8</v>
      </c>
    </row>
    <row r="43" ht="12.75" customHeight="1">
      <c r="A43" s="27">
        <v>215.0</v>
      </c>
      <c r="B43" s="28" t="s">
        <v>60464</v>
      </c>
      <c r="C43" s="27">
        <v>185.0</v>
      </c>
      <c r="D43" s="28" t="s">
        <v>60465</v>
      </c>
      <c r="E43" s="28" t="s">
        <v>60466</v>
      </c>
      <c r="F43" s="27">
        <v>349.0</v>
      </c>
      <c r="G43" s="27">
        <v>1.85153498E8</v>
      </c>
    </row>
    <row r="44" ht="12.75" customHeight="1">
      <c r="A44" s="31">
        <v>215.0</v>
      </c>
      <c r="B44" s="32" t="s">
        <v>60467</v>
      </c>
      <c r="C44" s="31">
        <v>185.0</v>
      </c>
      <c r="D44" s="32" t="s">
        <v>60468</v>
      </c>
      <c r="E44" s="32" t="s">
        <v>60469</v>
      </c>
      <c r="F44" s="31">
        <v>364.0</v>
      </c>
      <c r="G44" s="31">
        <v>1.85153643E8</v>
      </c>
    </row>
    <row r="45" ht="12.75" customHeight="1">
      <c r="A45" s="27">
        <v>215.0</v>
      </c>
      <c r="B45" s="28" t="s">
        <v>60470</v>
      </c>
      <c r="C45" s="27">
        <v>185.0</v>
      </c>
      <c r="D45" s="28" t="s">
        <v>60471</v>
      </c>
      <c r="E45" s="28" t="s">
        <v>60472</v>
      </c>
      <c r="F45" s="27">
        <v>391.0</v>
      </c>
      <c r="G45" s="27">
        <v>1.85153919E8</v>
      </c>
    </row>
    <row r="46" ht="12.75" customHeight="1">
      <c r="A46" s="31">
        <v>215.0</v>
      </c>
      <c r="B46" s="32" t="s">
        <v>60473</v>
      </c>
      <c r="C46" s="31">
        <v>185.0</v>
      </c>
      <c r="D46" s="32" t="s">
        <v>60474</v>
      </c>
      <c r="E46" s="32" t="s">
        <v>60475</v>
      </c>
      <c r="F46" s="31">
        <v>418.0</v>
      </c>
      <c r="G46" s="31">
        <v>1.85154189E8</v>
      </c>
    </row>
    <row r="47" ht="12.75" customHeight="1">
      <c r="A47" s="27">
        <v>215.0</v>
      </c>
      <c r="B47" s="28" t="s">
        <v>60476</v>
      </c>
      <c r="C47" s="27">
        <v>185.0</v>
      </c>
      <c r="D47" s="28" t="s">
        <v>60477</v>
      </c>
      <c r="E47" s="28" t="s">
        <v>60478</v>
      </c>
      <c r="F47" s="27">
        <v>424.0</v>
      </c>
      <c r="G47" s="27">
        <v>1.85154242E8</v>
      </c>
    </row>
    <row r="48" ht="12.75" customHeight="1">
      <c r="A48" s="31">
        <v>215.0</v>
      </c>
      <c r="B48" s="32" t="s">
        <v>60479</v>
      </c>
      <c r="C48" s="31">
        <v>185.0</v>
      </c>
      <c r="D48" s="32" t="s">
        <v>60480</v>
      </c>
      <c r="E48" s="32" t="s">
        <v>60481</v>
      </c>
      <c r="F48" s="31">
        <v>439.0</v>
      </c>
      <c r="G48" s="31">
        <v>1.85154392E8</v>
      </c>
    </row>
    <row r="49" ht="12.75" customHeight="1">
      <c r="A49" s="27">
        <v>215.0</v>
      </c>
      <c r="B49" s="28" t="s">
        <v>60482</v>
      </c>
      <c r="C49" s="27">
        <v>185.0</v>
      </c>
      <c r="D49" s="28" t="s">
        <v>60483</v>
      </c>
      <c r="E49" s="28" t="s">
        <v>60484</v>
      </c>
      <c r="F49" s="27">
        <v>448.0</v>
      </c>
      <c r="G49" s="27">
        <v>1.85154484E8</v>
      </c>
    </row>
    <row r="50" ht="12.75" customHeight="1">
      <c r="A50" s="31">
        <v>215.0</v>
      </c>
      <c r="B50" s="32" t="s">
        <v>60485</v>
      </c>
      <c r="C50" s="31">
        <v>185.0</v>
      </c>
      <c r="D50" s="32" t="s">
        <v>60486</v>
      </c>
      <c r="E50" s="32" t="s">
        <v>60487</v>
      </c>
      <c r="F50" s="31">
        <v>460.0</v>
      </c>
      <c r="G50" s="31">
        <v>1.851546E8</v>
      </c>
    </row>
    <row r="51" ht="12.75" customHeight="1">
      <c r="A51" s="27">
        <v>215.0</v>
      </c>
      <c r="B51" s="28" t="s">
        <v>60488</v>
      </c>
      <c r="C51" s="27">
        <v>185.0</v>
      </c>
      <c r="D51" s="28" t="s">
        <v>60489</v>
      </c>
      <c r="E51" s="28" t="s">
        <v>60490</v>
      </c>
      <c r="F51" s="27">
        <v>463.0</v>
      </c>
      <c r="G51" s="27">
        <v>1.85154639E8</v>
      </c>
    </row>
    <row r="52" ht="12.75" customHeight="1">
      <c r="A52" s="31">
        <v>215.0</v>
      </c>
      <c r="B52" s="32" t="s">
        <v>60491</v>
      </c>
      <c r="C52" s="31">
        <v>185.0</v>
      </c>
      <c r="D52" s="32" t="s">
        <v>60492</v>
      </c>
      <c r="E52" s="32" t="s">
        <v>60493</v>
      </c>
      <c r="F52" s="31">
        <v>574.0</v>
      </c>
      <c r="G52" s="31">
        <v>1.85155746E8</v>
      </c>
    </row>
    <row r="53" ht="12.75" customHeight="1">
      <c r="A53" s="27">
        <v>215.0</v>
      </c>
      <c r="B53" s="28" t="s">
        <v>60494</v>
      </c>
      <c r="C53" s="27">
        <v>185.0</v>
      </c>
      <c r="D53" s="28" t="s">
        <v>60495</v>
      </c>
      <c r="E53" s="28" t="s">
        <v>60496</v>
      </c>
      <c r="F53" s="27">
        <v>586.0</v>
      </c>
      <c r="G53" s="27">
        <v>1.85155867E8</v>
      </c>
    </row>
    <row r="54" ht="12.75" customHeight="1">
      <c r="A54" s="31">
        <v>215.0</v>
      </c>
      <c r="B54" s="32" t="s">
        <v>60497</v>
      </c>
      <c r="C54" s="31">
        <v>185.0</v>
      </c>
      <c r="D54" s="32" t="s">
        <v>60498</v>
      </c>
      <c r="E54" s="32" t="s">
        <v>60499</v>
      </c>
      <c r="F54" s="31">
        <v>592.0</v>
      </c>
      <c r="G54" s="31">
        <v>1.8515592E8</v>
      </c>
    </row>
    <row r="55" ht="12.75" customHeight="1">
      <c r="A55" s="27">
        <v>215.0</v>
      </c>
      <c r="B55" s="28" t="s">
        <v>60500</v>
      </c>
      <c r="C55" s="27">
        <v>185.0</v>
      </c>
      <c r="D55" s="28" t="s">
        <v>60501</v>
      </c>
      <c r="E55" s="28" t="s">
        <v>60502</v>
      </c>
      <c r="F55" s="27">
        <v>604.0</v>
      </c>
      <c r="G55" s="27">
        <v>1.8515604E8</v>
      </c>
    </row>
    <row r="56" ht="12.75" customHeight="1">
      <c r="A56" s="31">
        <v>215.0</v>
      </c>
      <c r="B56" s="32" t="s">
        <v>60503</v>
      </c>
      <c r="C56" s="31">
        <v>185.0</v>
      </c>
      <c r="D56" s="32" t="s">
        <v>60504</v>
      </c>
      <c r="E56" s="32" t="s">
        <v>60505</v>
      </c>
      <c r="F56" s="31">
        <v>613.0</v>
      </c>
      <c r="G56" s="31">
        <v>1.85156132E8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60506</v>
      </c>
      <c r="C1" s="27">
        <v>185.0</v>
      </c>
      <c r="D1" s="28" t="s">
        <v>60507</v>
      </c>
      <c r="E1" s="28" t="s">
        <v>60508</v>
      </c>
      <c r="F1" s="27">
        <v>616.0</v>
      </c>
      <c r="G1" s="27">
        <v>1.85156161E8</v>
      </c>
    </row>
    <row r="2" ht="12.75" customHeight="1">
      <c r="A2" s="31">
        <v>215.0</v>
      </c>
      <c r="B2" s="32" t="s">
        <v>60509</v>
      </c>
      <c r="C2" s="31">
        <v>185.0</v>
      </c>
      <c r="D2" s="32" t="s">
        <v>60510</v>
      </c>
      <c r="E2" s="32" t="s">
        <v>60511</v>
      </c>
      <c r="F2" s="31">
        <v>649.0</v>
      </c>
      <c r="G2" s="31">
        <v>1.85156495E8</v>
      </c>
    </row>
    <row r="3" ht="12.75" customHeight="1">
      <c r="A3" s="27">
        <v>215.0</v>
      </c>
      <c r="B3" s="28" t="s">
        <v>60512</v>
      </c>
      <c r="C3" s="27">
        <v>185.0</v>
      </c>
      <c r="D3" s="28" t="s">
        <v>60513</v>
      </c>
      <c r="E3" s="28" t="s">
        <v>60514</v>
      </c>
      <c r="F3" s="27">
        <v>661.0</v>
      </c>
      <c r="G3" s="27">
        <v>1.85156611E8</v>
      </c>
    </row>
    <row r="4" ht="12.75" customHeight="1">
      <c r="A4" s="31">
        <v>215.0</v>
      </c>
      <c r="B4" s="32" t="s">
        <v>60515</v>
      </c>
      <c r="C4" s="31">
        <v>185.0</v>
      </c>
      <c r="D4" s="32" t="s">
        <v>60516</v>
      </c>
      <c r="E4" s="32" t="s">
        <v>60517</v>
      </c>
      <c r="F4" s="31">
        <v>673.0</v>
      </c>
      <c r="G4" s="31">
        <v>1.85156732E8</v>
      </c>
    </row>
    <row r="5" ht="12.75" customHeight="1">
      <c r="A5" s="27">
        <v>215.0</v>
      </c>
      <c r="B5" s="28" t="s">
        <v>60518</v>
      </c>
      <c r="C5" s="27">
        <v>185.0</v>
      </c>
      <c r="D5" s="28" t="s">
        <v>60519</v>
      </c>
      <c r="E5" s="28" t="s">
        <v>60520</v>
      </c>
      <c r="F5" s="27">
        <v>676.0</v>
      </c>
      <c r="G5" s="27">
        <v>1.85156761E8</v>
      </c>
    </row>
    <row r="6" ht="12.75" customHeight="1">
      <c r="A6" s="31">
        <v>215.0</v>
      </c>
      <c r="B6" s="32" t="s">
        <v>60521</v>
      </c>
      <c r="C6" s="31">
        <v>185.0</v>
      </c>
      <c r="D6" s="32" t="s">
        <v>60522</v>
      </c>
      <c r="E6" s="32" t="s">
        <v>60523</v>
      </c>
      <c r="F6" s="31">
        <v>682.0</v>
      </c>
      <c r="G6" s="31">
        <v>1.85156824E8</v>
      </c>
    </row>
    <row r="7" ht="12.75" customHeight="1">
      <c r="A7" s="27">
        <v>215.0</v>
      </c>
      <c r="B7" s="28" t="s">
        <v>60524</v>
      </c>
      <c r="C7" s="27">
        <v>185.0</v>
      </c>
      <c r="D7" s="28" t="s">
        <v>60525</v>
      </c>
      <c r="E7" s="28" t="s">
        <v>60526</v>
      </c>
      <c r="F7" s="27">
        <v>697.0</v>
      </c>
      <c r="G7" s="27">
        <v>1.85156974E8</v>
      </c>
    </row>
    <row r="8" ht="12.75" customHeight="1">
      <c r="A8" s="31">
        <v>215.0</v>
      </c>
      <c r="B8" s="32" t="s">
        <v>60527</v>
      </c>
      <c r="C8" s="31">
        <v>185.0</v>
      </c>
      <c r="D8" s="32" t="s">
        <v>60528</v>
      </c>
      <c r="E8" s="32" t="s">
        <v>60529</v>
      </c>
      <c r="F8" s="31">
        <v>748.0</v>
      </c>
      <c r="G8" s="31">
        <v>1.85157481E8</v>
      </c>
    </row>
    <row r="9" ht="12.75" customHeight="1">
      <c r="A9" s="27">
        <v>215.0</v>
      </c>
      <c r="B9" s="28" t="s">
        <v>60530</v>
      </c>
      <c r="C9" s="27">
        <v>185.0</v>
      </c>
      <c r="D9" s="28" t="s">
        <v>60531</v>
      </c>
      <c r="E9" s="28" t="s">
        <v>60532</v>
      </c>
      <c r="F9" s="27">
        <v>751.0</v>
      </c>
      <c r="G9" s="27">
        <v>1.85157515E8</v>
      </c>
    </row>
    <row r="10" ht="12.75" customHeight="1">
      <c r="A10" s="31">
        <v>215.0</v>
      </c>
      <c r="B10" s="32" t="s">
        <v>60533</v>
      </c>
      <c r="C10" s="31">
        <v>185.0</v>
      </c>
      <c r="D10" s="32" t="s">
        <v>60534</v>
      </c>
      <c r="E10" s="32" t="s">
        <v>60535</v>
      </c>
      <c r="F10" s="31">
        <v>763.0</v>
      </c>
      <c r="G10" s="31">
        <v>1.85157636E8</v>
      </c>
    </row>
    <row r="11" ht="12.75" customHeight="1">
      <c r="A11" s="27">
        <v>215.0</v>
      </c>
      <c r="B11" s="28" t="s">
        <v>60536</v>
      </c>
      <c r="C11" s="27">
        <v>185.0</v>
      </c>
      <c r="D11" s="28" t="s">
        <v>60537</v>
      </c>
      <c r="E11" s="28" t="s">
        <v>60538</v>
      </c>
      <c r="F11" s="27">
        <v>766.0</v>
      </c>
      <c r="G11" s="27">
        <v>1.85157665E8</v>
      </c>
    </row>
    <row r="12" ht="12.75" customHeight="1">
      <c r="A12" s="31">
        <v>418.0</v>
      </c>
      <c r="B12" s="32" t="s">
        <v>60539</v>
      </c>
      <c r="C12" s="31">
        <v>185.0</v>
      </c>
      <c r="D12" s="32" t="s">
        <v>60540</v>
      </c>
      <c r="E12" s="32" t="s">
        <v>60541</v>
      </c>
      <c r="F12" s="33">
        <v>4.0</v>
      </c>
      <c r="G12" s="31">
        <v>1.85180045E8</v>
      </c>
    </row>
    <row r="13" ht="12.75" customHeight="1">
      <c r="A13" s="27">
        <v>418.0</v>
      </c>
      <c r="B13" s="28" t="s">
        <v>60542</v>
      </c>
      <c r="C13" s="27">
        <v>185.0</v>
      </c>
      <c r="D13" s="28" t="s">
        <v>60543</v>
      </c>
      <c r="E13" s="28" t="s">
        <v>60544</v>
      </c>
      <c r="F13" s="29">
        <v>19.0</v>
      </c>
      <c r="G13" s="27">
        <v>1.85180195E8</v>
      </c>
    </row>
    <row r="14" ht="12.75" customHeight="1">
      <c r="A14" s="31">
        <v>418.0</v>
      </c>
      <c r="B14" s="32" t="s">
        <v>60545</v>
      </c>
      <c r="C14" s="31">
        <v>185.0</v>
      </c>
      <c r="D14" s="32" t="s">
        <v>60546</v>
      </c>
      <c r="E14" s="32" t="s">
        <v>60547</v>
      </c>
      <c r="F14" s="33">
        <v>28.0</v>
      </c>
      <c r="G14" s="31">
        <v>1.85180287E8</v>
      </c>
    </row>
    <row r="15" ht="12.75" customHeight="1">
      <c r="A15" s="27">
        <v>418.0</v>
      </c>
      <c r="B15" s="28" t="s">
        <v>60548</v>
      </c>
      <c r="C15" s="27">
        <v>185.0</v>
      </c>
      <c r="D15" s="28" t="s">
        <v>60549</v>
      </c>
      <c r="E15" s="28" t="s">
        <v>60550</v>
      </c>
      <c r="F15" s="29">
        <v>73.0</v>
      </c>
      <c r="G15" s="27">
        <v>1.85180737E8</v>
      </c>
    </row>
    <row r="16" ht="12.75" customHeight="1">
      <c r="A16" s="31">
        <v>119.0</v>
      </c>
      <c r="B16" s="32" t="s">
        <v>60551</v>
      </c>
      <c r="C16" s="31">
        <v>185.0</v>
      </c>
      <c r="D16" s="32" t="s">
        <v>60552</v>
      </c>
      <c r="E16" s="32" t="s">
        <v>60553</v>
      </c>
      <c r="F16" s="33">
        <v>5.0</v>
      </c>
      <c r="G16" s="31">
        <v>1.85190051E8</v>
      </c>
    </row>
    <row r="17" ht="12.75" customHeight="1">
      <c r="A17" s="27">
        <v>119.0</v>
      </c>
      <c r="B17" s="28" t="s">
        <v>60554</v>
      </c>
      <c r="C17" s="27">
        <v>185.0</v>
      </c>
      <c r="D17" s="28" t="s">
        <v>60555</v>
      </c>
      <c r="E17" s="28" t="s">
        <v>60556</v>
      </c>
      <c r="F17" s="29">
        <v>31.0</v>
      </c>
      <c r="G17" s="27">
        <v>1.85190314E8</v>
      </c>
    </row>
    <row r="18" ht="12.75" customHeight="1">
      <c r="A18" s="31">
        <v>119.0</v>
      </c>
      <c r="B18" s="32" t="s">
        <v>60557</v>
      </c>
      <c r="C18" s="31">
        <v>185.0</v>
      </c>
      <c r="D18" s="32" t="s">
        <v>60558</v>
      </c>
      <c r="E18" s="32" t="s">
        <v>60559</v>
      </c>
      <c r="F18" s="33">
        <v>46.0</v>
      </c>
      <c r="G18" s="31">
        <v>1.85190464E8</v>
      </c>
    </row>
    <row r="19" ht="12.75" customHeight="1">
      <c r="A19" s="27">
        <v>119.0</v>
      </c>
      <c r="B19" s="28" t="s">
        <v>60560</v>
      </c>
      <c r="C19" s="27">
        <v>185.0</v>
      </c>
      <c r="D19" s="28" t="s">
        <v>60561</v>
      </c>
      <c r="E19" s="28" t="s">
        <v>60562</v>
      </c>
      <c r="F19" s="29">
        <v>64.0</v>
      </c>
      <c r="G19" s="27">
        <v>1.85190648E8</v>
      </c>
    </row>
    <row r="20" ht="12.75" customHeight="1">
      <c r="A20" s="31">
        <v>119.0</v>
      </c>
      <c r="B20" s="32" t="s">
        <v>60563</v>
      </c>
      <c r="C20" s="31">
        <v>185.0</v>
      </c>
      <c r="D20" s="32" t="s">
        <v>60564</v>
      </c>
      <c r="E20" s="32" t="s">
        <v>60565</v>
      </c>
      <c r="F20" s="33">
        <v>85.0</v>
      </c>
      <c r="G20" s="31">
        <v>1.85190851E8</v>
      </c>
    </row>
    <row r="21" ht="12.75" customHeight="1">
      <c r="A21" s="27">
        <v>119.0</v>
      </c>
      <c r="B21" s="28" t="s">
        <v>60566</v>
      </c>
      <c r="C21" s="27">
        <v>185.0</v>
      </c>
      <c r="D21" s="28" t="s">
        <v>60567</v>
      </c>
      <c r="E21" s="28" t="s">
        <v>60568</v>
      </c>
      <c r="F21" s="27">
        <v>109.0</v>
      </c>
      <c r="G21" s="27">
        <v>1.85191092E8</v>
      </c>
    </row>
    <row r="22" ht="12.75" customHeight="1">
      <c r="A22" s="31">
        <v>119.0</v>
      </c>
      <c r="B22" s="32" t="s">
        <v>60569</v>
      </c>
      <c r="C22" s="31">
        <v>185.0</v>
      </c>
      <c r="D22" s="32" t="s">
        <v>60570</v>
      </c>
      <c r="E22" s="32" t="s">
        <v>60571</v>
      </c>
      <c r="F22" s="31">
        <v>121.0</v>
      </c>
      <c r="G22" s="31">
        <v>1.85191218E8</v>
      </c>
    </row>
    <row r="23" ht="12.75" customHeight="1">
      <c r="A23" s="27">
        <v>119.0</v>
      </c>
      <c r="B23" s="28" t="s">
        <v>60572</v>
      </c>
      <c r="C23" s="27">
        <v>185.0</v>
      </c>
      <c r="D23" s="28" t="s">
        <v>60573</v>
      </c>
      <c r="E23" s="28" t="s">
        <v>60574</v>
      </c>
      <c r="F23" s="27">
        <v>142.0</v>
      </c>
      <c r="G23" s="27">
        <v>1.85191421E8</v>
      </c>
    </row>
    <row r="24" ht="12.75" customHeight="1">
      <c r="A24" s="31">
        <v>119.0</v>
      </c>
      <c r="B24" s="32" t="s">
        <v>60575</v>
      </c>
      <c r="C24" s="31">
        <v>185.0</v>
      </c>
      <c r="D24" s="32" t="s">
        <v>60576</v>
      </c>
      <c r="E24" s="32" t="s">
        <v>60577</v>
      </c>
      <c r="F24" s="31">
        <v>157.0</v>
      </c>
      <c r="G24" s="31">
        <v>1.85191571E8</v>
      </c>
    </row>
    <row r="25" ht="12.75" customHeight="1">
      <c r="A25" s="27">
        <v>119.0</v>
      </c>
      <c r="B25" s="28" t="s">
        <v>60578</v>
      </c>
      <c r="C25" s="27">
        <v>185.0</v>
      </c>
      <c r="D25" s="28" t="s">
        <v>60579</v>
      </c>
      <c r="E25" s="28" t="s">
        <v>60580</v>
      </c>
      <c r="F25" s="27">
        <v>208.0</v>
      </c>
      <c r="G25" s="27">
        <v>1.85192088E8</v>
      </c>
    </row>
    <row r="26" ht="12.75" customHeight="1">
      <c r="A26" s="31">
        <v>119.0</v>
      </c>
      <c r="B26" s="32" t="s">
        <v>60581</v>
      </c>
      <c r="C26" s="31">
        <v>185.0</v>
      </c>
      <c r="D26" s="32" t="s">
        <v>60582</v>
      </c>
      <c r="E26" s="32" t="s">
        <v>60583</v>
      </c>
      <c r="F26" s="31">
        <v>280.0</v>
      </c>
      <c r="G26" s="31">
        <v>1.85192804E8</v>
      </c>
    </row>
    <row r="27" ht="12.75" customHeight="1">
      <c r="A27" s="27">
        <v>119.0</v>
      </c>
      <c r="B27" s="28" t="s">
        <v>60584</v>
      </c>
      <c r="C27" s="27">
        <v>185.0</v>
      </c>
      <c r="D27" s="28" t="s">
        <v>60585</v>
      </c>
      <c r="E27" s="28" t="s">
        <v>60586</v>
      </c>
      <c r="F27" s="27">
        <v>283.0</v>
      </c>
      <c r="G27" s="27">
        <v>1.85192833E8</v>
      </c>
    </row>
    <row r="28" ht="12.75" customHeight="1">
      <c r="A28" s="31">
        <v>119.0</v>
      </c>
      <c r="B28" s="32" t="s">
        <v>60587</v>
      </c>
      <c r="C28" s="31">
        <v>185.0</v>
      </c>
      <c r="D28" s="32" t="s">
        <v>60588</v>
      </c>
      <c r="E28" s="32" t="s">
        <v>60589</v>
      </c>
      <c r="F28" s="31">
        <v>304.0</v>
      </c>
      <c r="G28" s="31">
        <v>1.85193045E8</v>
      </c>
    </row>
    <row r="29" ht="12.75" customHeight="1">
      <c r="A29" s="27">
        <v>119.0</v>
      </c>
      <c r="B29" s="28" t="s">
        <v>60590</v>
      </c>
      <c r="C29" s="27">
        <v>185.0</v>
      </c>
      <c r="D29" s="28" t="s">
        <v>60591</v>
      </c>
      <c r="E29" s="28" t="s">
        <v>60592</v>
      </c>
      <c r="F29" s="27">
        <v>307.0</v>
      </c>
      <c r="G29" s="27">
        <v>1.85193074E8</v>
      </c>
    </row>
    <row r="30" ht="12.75" customHeight="1">
      <c r="A30" s="31">
        <v>119.0</v>
      </c>
      <c r="B30" s="32" t="s">
        <v>60593</v>
      </c>
      <c r="C30" s="31">
        <v>185.0</v>
      </c>
      <c r="D30" s="32" t="s">
        <v>60594</v>
      </c>
      <c r="E30" s="32" t="s">
        <v>60595</v>
      </c>
      <c r="F30" s="31">
        <v>313.0</v>
      </c>
      <c r="G30" s="31">
        <v>1.85193137E8</v>
      </c>
    </row>
    <row r="31" ht="12.75" customHeight="1">
      <c r="A31" s="27">
        <v>119.0</v>
      </c>
      <c r="B31" s="28" t="s">
        <v>60596</v>
      </c>
      <c r="C31" s="27">
        <v>185.0</v>
      </c>
      <c r="D31" s="28" t="s">
        <v>60597</v>
      </c>
      <c r="E31" s="28" t="s">
        <v>60598</v>
      </c>
      <c r="F31" s="27">
        <v>361.0</v>
      </c>
      <c r="G31" s="27">
        <v>1.85193616E8</v>
      </c>
    </row>
    <row r="32" ht="12.75" customHeight="1">
      <c r="A32" s="31">
        <v>222.0</v>
      </c>
      <c r="B32" s="32" t="s">
        <v>60599</v>
      </c>
      <c r="C32" s="31">
        <v>185.0</v>
      </c>
      <c r="D32" s="32" t="s">
        <v>60600</v>
      </c>
      <c r="E32" s="32" t="s">
        <v>60601</v>
      </c>
      <c r="F32" s="33">
        <v>13.0</v>
      </c>
      <c r="G32" s="31">
        <v>1.85220134E8</v>
      </c>
    </row>
    <row r="33" ht="12.75" customHeight="1">
      <c r="A33" s="27">
        <v>222.0</v>
      </c>
      <c r="B33" s="28" t="s">
        <v>60602</v>
      </c>
      <c r="C33" s="27">
        <v>185.0</v>
      </c>
      <c r="D33" s="28" t="s">
        <v>60603</v>
      </c>
      <c r="E33" s="28" t="s">
        <v>60604</v>
      </c>
      <c r="F33" s="29">
        <v>19.0</v>
      </c>
      <c r="G33" s="27">
        <v>1.85220192E8</v>
      </c>
    </row>
    <row r="34" ht="12.75" customHeight="1">
      <c r="A34" s="31">
        <v>222.0</v>
      </c>
      <c r="B34" s="32" t="s">
        <v>60605</v>
      </c>
      <c r="C34" s="31">
        <v>185.0</v>
      </c>
      <c r="D34" s="32" t="s">
        <v>60606</v>
      </c>
      <c r="E34" s="32" t="s">
        <v>60607</v>
      </c>
      <c r="F34" s="33">
        <v>22.0</v>
      </c>
      <c r="G34" s="31">
        <v>1.85220226E8</v>
      </c>
    </row>
    <row r="35" ht="12.75" customHeight="1">
      <c r="A35" s="27">
        <v>222.0</v>
      </c>
      <c r="B35" s="28" t="s">
        <v>60608</v>
      </c>
      <c r="C35" s="27">
        <v>185.0</v>
      </c>
      <c r="D35" s="28" t="s">
        <v>60609</v>
      </c>
      <c r="E35" s="28" t="s">
        <v>60610</v>
      </c>
      <c r="F35" s="29">
        <v>40.0</v>
      </c>
      <c r="G35" s="27">
        <v>1.852204E8</v>
      </c>
    </row>
    <row r="36" ht="12.75" customHeight="1">
      <c r="A36" s="31">
        <v>222.0</v>
      </c>
      <c r="B36" s="32" t="s">
        <v>60611</v>
      </c>
      <c r="C36" s="31">
        <v>185.0</v>
      </c>
      <c r="D36" s="32" t="s">
        <v>60612</v>
      </c>
      <c r="E36" s="32" t="s">
        <v>60613</v>
      </c>
      <c r="F36" s="33">
        <v>85.0</v>
      </c>
      <c r="G36" s="31">
        <v>1.85220855E8</v>
      </c>
    </row>
    <row r="37" ht="12.75" customHeight="1">
      <c r="A37" s="27">
        <v>222.0</v>
      </c>
      <c r="B37" s="28" t="s">
        <v>60614</v>
      </c>
      <c r="C37" s="27">
        <v>185.0</v>
      </c>
      <c r="D37" s="28" t="s">
        <v>60615</v>
      </c>
      <c r="E37" s="28" t="s">
        <v>60616</v>
      </c>
      <c r="F37" s="29">
        <v>88.0</v>
      </c>
      <c r="G37" s="27">
        <v>1.85220884E8</v>
      </c>
    </row>
    <row r="38" ht="12.75" customHeight="1">
      <c r="A38" s="31">
        <v>126.0</v>
      </c>
      <c r="B38" s="32" t="s">
        <v>60617</v>
      </c>
      <c r="C38" s="31">
        <v>185.0</v>
      </c>
      <c r="D38" s="32" t="s">
        <v>60618</v>
      </c>
      <c r="E38" s="32" t="s">
        <v>60619</v>
      </c>
      <c r="F38" s="33">
        <v>18.0</v>
      </c>
      <c r="G38" s="31">
        <v>1.85260181E8</v>
      </c>
    </row>
    <row r="39" ht="12.75" customHeight="1">
      <c r="A39" s="27">
        <v>126.0</v>
      </c>
      <c r="B39" s="28" t="s">
        <v>60620</v>
      </c>
      <c r="C39" s="27">
        <v>185.0</v>
      </c>
      <c r="D39" s="28" t="s">
        <v>60621</v>
      </c>
      <c r="E39" s="28" t="s">
        <v>60622</v>
      </c>
      <c r="F39" s="29">
        <v>84.0</v>
      </c>
      <c r="G39" s="27">
        <v>1.85260844E8</v>
      </c>
    </row>
    <row r="40" ht="12.75" customHeight="1">
      <c r="A40" s="31">
        <v>126.0</v>
      </c>
      <c r="B40" s="32" t="s">
        <v>60623</v>
      </c>
      <c r="C40" s="31">
        <v>185.0</v>
      </c>
      <c r="D40" s="32" t="s">
        <v>60624</v>
      </c>
      <c r="E40" s="32" t="s">
        <v>60625</v>
      </c>
      <c r="F40" s="31">
        <v>100.0</v>
      </c>
      <c r="G40" s="31">
        <v>1.85261001E8</v>
      </c>
    </row>
    <row r="41" ht="12.75" customHeight="1">
      <c r="A41" s="27">
        <v>126.0</v>
      </c>
      <c r="B41" s="28" t="s">
        <v>60626</v>
      </c>
      <c r="C41" s="27">
        <v>185.0</v>
      </c>
      <c r="D41" s="28" t="s">
        <v>60627</v>
      </c>
      <c r="E41" s="28" t="s">
        <v>60628</v>
      </c>
      <c r="F41" s="27">
        <v>118.0</v>
      </c>
      <c r="G41" s="27">
        <v>1.8526118E8</v>
      </c>
    </row>
    <row r="42" ht="12.75" customHeight="1">
      <c r="A42" s="31">
        <v>126.0</v>
      </c>
      <c r="B42" s="32" t="s">
        <v>60629</v>
      </c>
      <c r="C42" s="31">
        <v>185.0</v>
      </c>
      <c r="D42" s="32" t="s">
        <v>60630</v>
      </c>
      <c r="E42" s="32" t="s">
        <v>60631</v>
      </c>
      <c r="F42" s="31">
        <v>133.0</v>
      </c>
      <c r="G42" s="31">
        <v>1.85261335E8</v>
      </c>
    </row>
    <row r="43" ht="12.75" customHeight="1">
      <c r="A43" s="27">
        <v>126.0</v>
      </c>
      <c r="B43" s="28" t="s">
        <v>60632</v>
      </c>
      <c r="C43" s="27">
        <v>185.0</v>
      </c>
      <c r="D43" s="28" t="s">
        <v>60633</v>
      </c>
      <c r="E43" s="28" t="s">
        <v>60634</v>
      </c>
      <c r="F43" s="27">
        <v>145.0</v>
      </c>
      <c r="G43" s="27">
        <v>1.85261456E8</v>
      </c>
    </row>
    <row r="44" ht="12.75" customHeight="1">
      <c r="A44" s="31">
        <v>126.0</v>
      </c>
      <c r="B44" s="32" t="s">
        <v>60635</v>
      </c>
      <c r="C44" s="31">
        <v>185.0</v>
      </c>
      <c r="D44" s="32" t="s">
        <v>60636</v>
      </c>
      <c r="E44" s="32" t="s">
        <v>60637</v>
      </c>
      <c r="F44" s="31">
        <v>151.0</v>
      </c>
      <c r="G44" s="31">
        <v>1.85261519E8</v>
      </c>
    </row>
    <row r="45" ht="12.75" customHeight="1">
      <c r="A45" s="27">
        <v>126.0</v>
      </c>
      <c r="B45" s="28" t="s">
        <v>60638</v>
      </c>
      <c r="C45" s="27">
        <v>185.0</v>
      </c>
      <c r="D45" s="28" t="s">
        <v>60639</v>
      </c>
      <c r="E45" s="28" t="s">
        <v>60640</v>
      </c>
      <c r="F45" s="27">
        <v>157.0</v>
      </c>
      <c r="G45" s="27">
        <v>1.85261577E8</v>
      </c>
    </row>
    <row r="46" ht="12.75" customHeight="1">
      <c r="A46" s="31">
        <v>126.0</v>
      </c>
      <c r="B46" s="32" t="s">
        <v>60641</v>
      </c>
      <c r="C46" s="31">
        <v>185.0</v>
      </c>
      <c r="D46" s="32" t="s">
        <v>60642</v>
      </c>
      <c r="E46" s="32" t="s">
        <v>60643</v>
      </c>
      <c r="F46" s="31">
        <v>172.0</v>
      </c>
      <c r="G46" s="31">
        <v>1.85261722E8</v>
      </c>
    </row>
    <row r="47" ht="12.75" customHeight="1">
      <c r="A47" s="27">
        <v>126.0</v>
      </c>
      <c r="B47" s="28" t="s">
        <v>60644</v>
      </c>
      <c r="C47" s="27">
        <v>185.0</v>
      </c>
      <c r="D47" s="28" t="s">
        <v>60645</v>
      </c>
      <c r="E47" s="28" t="s">
        <v>60646</v>
      </c>
      <c r="F47" s="27">
        <v>196.0</v>
      </c>
      <c r="G47" s="27">
        <v>1.85261964E8</v>
      </c>
    </row>
    <row r="48" ht="12.75" customHeight="1">
      <c r="A48" s="31">
        <v>126.0</v>
      </c>
      <c r="B48" s="32" t="s">
        <v>60647</v>
      </c>
      <c r="C48" s="31">
        <v>185.0</v>
      </c>
      <c r="D48" s="32" t="s">
        <v>60648</v>
      </c>
      <c r="E48" s="32" t="s">
        <v>60649</v>
      </c>
      <c r="F48" s="31">
        <v>217.0</v>
      </c>
      <c r="G48" s="31">
        <v>1.85262176E8</v>
      </c>
    </row>
    <row r="49" ht="12.75" customHeight="1">
      <c r="A49" s="27">
        <v>126.0</v>
      </c>
      <c r="B49" s="28" t="s">
        <v>60650</v>
      </c>
      <c r="C49" s="27">
        <v>185.0</v>
      </c>
      <c r="D49" s="28" t="s">
        <v>60651</v>
      </c>
      <c r="E49" s="28" t="s">
        <v>60652</v>
      </c>
      <c r="F49" s="27">
        <v>268.0</v>
      </c>
      <c r="G49" s="27">
        <v>1.85262684E8</v>
      </c>
    </row>
    <row r="50" ht="12.75" customHeight="1">
      <c r="A50" s="31">
        <v>126.0</v>
      </c>
      <c r="B50" s="32" t="s">
        <v>60653</v>
      </c>
      <c r="C50" s="31">
        <v>185.0</v>
      </c>
      <c r="D50" s="32" t="s">
        <v>60654</v>
      </c>
      <c r="E50" s="32" t="s">
        <v>60655</v>
      </c>
      <c r="F50" s="31">
        <v>277.0</v>
      </c>
      <c r="G50" s="31">
        <v>1.85262776E8</v>
      </c>
    </row>
    <row r="51" ht="12.75" customHeight="1">
      <c r="A51" s="27">
        <v>126.0</v>
      </c>
      <c r="B51" s="28" t="s">
        <v>60656</v>
      </c>
      <c r="C51" s="27">
        <v>185.0</v>
      </c>
      <c r="D51" s="28" t="s">
        <v>60657</v>
      </c>
      <c r="E51" s="28" t="s">
        <v>60658</v>
      </c>
      <c r="F51" s="27">
        <v>286.0</v>
      </c>
      <c r="G51" s="27">
        <v>1.85262868E8</v>
      </c>
    </row>
    <row r="52" ht="12.75" customHeight="1">
      <c r="A52" s="31">
        <v>126.0</v>
      </c>
      <c r="B52" s="32" t="s">
        <v>60659</v>
      </c>
      <c r="C52" s="31">
        <v>185.0</v>
      </c>
      <c r="D52" s="32" t="s">
        <v>60660</v>
      </c>
      <c r="E52" s="32" t="s">
        <v>60661</v>
      </c>
      <c r="F52" s="31">
        <v>298.0</v>
      </c>
      <c r="G52" s="31">
        <v>1.85262989E8</v>
      </c>
    </row>
    <row r="53" ht="12.75" customHeight="1">
      <c r="A53" s="27">
        <v>126.0</v>
      </c>
      <c r="B53" s="28" t="s">
        <v>60662</v>
      </c>
      <c r="C53" s="27">
        <v>185.0</v>
      </c>
      <c r="D53" s="28" t="s">
        <v>60663</v>
      </c>
      <c r="E53" s="28" t="s">
        <v>60664</v>
      </c>
      <c r="F53" s="27">
        <v>319.0</v>
      </c>
      <c r="G53" s="27">
        <v>1.85263191E8</v>
      </c>
    </row>
    <row r="54" ht="12.75" customHeight="1">
      <c r="A54" s="31">
        <v>126.0</v>
      </c>
      <c r="B54" s="32" t="s">
        <v>60665</v>
      </c>
      <c r="C54" s="31">
        <v>185.0</v>
      </c>
      <c r="D54" s="32" t="s">
        <v>60666</v>
      </c>
      <c r="E54" s="32" t="s">
        <v>60667</v>
      </c>
      <c r="F54" s="31">
        <v>328.0</v>
      </c>
      <c r="G54" s="31">
        <v>1.85263283E8</v>
      </c>
    </row>
    <row r="55" ht="12.75" customHeight="1">
      <c r="A55" s="27">
        <v>126.0</v>
      </c>
      <c r="B55" s="28" t="s">
        <v>60668</v>
      </c>
      <c r="C55" s="27">
        <v>185.0</v>
      </c>
      <c r="D55" s="28" t="s">
        <v>60669</v>
      </c>
      <c r="E55" s="28" t="s">
        <v>60670</v>
      </c>
      <c r="F55" s="27">
        <v>340.0</v>
      </c>
      <c r="G55" s="27">
        <v>1.85263409E8</v>
      </c>
    </row>
    <row r="56" ht="12.75" customHeight="1">
      <c r="A56" s="31">
        <v>126.0</v>
      </c>
      <c r="B56" s="32" t="s">
        <v>60671</v>
      </c>
      <c r="C56" s="31">
        <v>185.0</v>
      </c>
      <c r="D56" s="32" t="s">
        <v>60672</v>
      </c>
      <c r="E56" s="32" t="s">
        <v>60673</v>
      </c>
      <c r="F56" s="31">
        <v>352.0</v>
      </c>
      <c r="G56" s="31">
        <v>1.8526352E8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60674</v>
      </c>
      <c r="C1" s="27">
        <v>185.0</v>
      </c>
      <c r="D1" s="28" t="s">
        <v>60675</v>
      </c>
      <c r="E1" s="28" t="s">
        <v>60676</v>
      </c>
      <c r="F1" s="27">
        <v>358.0</v>
      </c>
      <c r="G1" s="27">
        <v>1.85263588E8</v>
      </c>
    </row>
    <row r="2" ht="12.75" customHeight="1">
      <c r="A2" s="31">
        <v>126.0</v>
      </c>
      <c r="B2" s="32" t="s">
        <v>60677</v>
      </c>
      <c r="C2" s="31">
        <v>185.0</v>
      </c>
      <c r="D2" s="32" t="s">
        <v>60678</v>
      </c>
      <c r="E2" s="32" t="s">
        <v>60679</v>
      </c>
      <c r="F2" s="31">
        <v>400.0</v>
      </c>
      <c r="G2" s="31">
        <v>1.85264008E8</v>
      </c>
    </row>
    <row r="3" ht="12.75" customHeight="1">
      <c r="A3" s="27">
        <v>126.0</v>
      </c>
      <c r="B3" s="28" t="s">
        <v>60680</v>
      </c>
      <c r="C3" s="27">
        <v>185.0</v>
      </c>
      <c r="D3" s="28" t="s">
        <v>60681</v>
      </c>
      <c r="E3" s="28" t="s">
        <v>60682</v>
      </c>
      <c r="F3" s="27">
        <v>415.0</v>
      </c>
      <c r="G3" s="27">
        <v>1.85264158E8</v>
      </c>
    </row>
    <row r="4" ht="12.75" customHeight="1">
      <c r="A4" s="31">
        <v>126.0</v>
      </c>
      <c r="B4" s="32" t="s">
        <v>60683</v>
      </c>
      <c r="C4" s="31">
        <v>185.0</v>
      </c>
      <c r="D4" s="32" t="s">
        <v>60684</v>
      </c>
      <c r="E4" s="32" t="s">
        <v>60685</v>
      </c>
      <c r="F4" s="31">
        <v>418.0</v>
      </c>
      <c r="G4" s="31">
        <v>1.85264187E8</v>
      </c>
    </row>
    <row r="5" ht="12.75" customHeight="1">
      <c r="A5" s="27">
        <v>126.0</v>
      </c>
      <c r="B5" s="28" t="s">
        <v>60686</v>
      </c>
      <c r="C5" s="27">
        <v>185.0</v>
      </c>
      <c r="D5" s="28" t="s">
        <v>60687</v>
      </c>
      <c r="E5" s="28" t="s">
        <v>60688</v>
      </c>
      <c r="F5" s="27">
        <v>430.0</v>
      </c>
      <c r="G5" s="27">
        <v>1.85264303E8</v>
      </c>
    </row>
    <row r="6" ht="12.75" customHeight="1">
      <c r="A6" s="31">
        <v>126.0</v>
      </c>
      <c r="B6" s="32" t="s">
        <v>60689</v>
      </c>
      <c r="C6" s="31">
        <v>185.0</v>
      </c>
      <c r="D6" s="32" t="s">
        <v>60690</v>
      </c>
      <c r="E6" s="32" t="s">
        <v>60691</v>
      </c>
      <c r="F6" s="31">
        <v>442.0</v>
      </c>
      <c r="G6" s="31">
        <v>1.85264424E8</v>
      </c>
    </row>
    <row r="7" ht="12.75" customHeight="1">
      <c r="A7" s="27">
        <v>126.0</v>
      </c>
      <c r="B7" s="28" t="s">
        <v>60692</v>
      </c>
      <c r="C7" s="27">
        <v>185.0</v>
      </c>
      <c r="D7" s="28" t="s">
        <v>60693</v>
      </c>
      <c r="E7" s="28" t="s">
        <v>60694</v>
      </c>
      <c r="F7" s="27">
        <v>460.0</v>
      </c>
      <c r="G7" s="27">
        <v>1.85264608E8</v>
      </c>
    </row>
    <row r="8" ht="12.75" customHeight="1">
      <c r="A8" s="31">
        <v>126.0</v>
      </c>
      <c r="B8" s="32" t="s">
        <v>60695</v>
      </c>
      <c r="C8" s="31">
        <v>185.0</v>
      </c>
      <c r="D8" s="32" t="s">
        <v>60696</v>
      </c>
      <c r="E8" s="32" t="s">
        <v>60697</v>
      </c>
      <c r="F8" s="31">
        <v>469.0</v>
      </c>
      <c r="G8" s="31">
        <v>1.85264695E8</v>
      </c>
    </row>
    <row r="9" ht="12.75" customHeight="1">
      <c r="A9" s="27">
        <v>127.0</v>
      </c>
      <c r="B9" s="28" t="s">
        <v>60698</v>
      </c>
      <c r="C9" s="27">
        <v>185.0</v>
      </c>
      <c r="D9" s="28" t="s">
        <v>60699</v>
      </c>
      <c r="E9" s="28" t="s">
        <v>60700</v>
      </c>
      <c r="F9" s="29">
        <v>0.0</v>
      </c>
      <c r="G9" s="27">
        <v>1.85270005E8</v>
      </c>
    </row>
    <row r="10" ht="12.75" customHeight="1">
      <c r="A10" s="31">
        <v>127.0</v>
      </c>
      <c r="B10" s="32" t="s">
        <v>60701</v>
      </c>
      <c r="C10" s="31">
        <v>185.0</v>
      </c>
      <c r="D10" s="32" t="s">
        <v>60702</v>
      </c>
      <c r="E10" s="32" t="s">
        <v>60703</v>
      </c>
      <c r="F10" s="33">
        <v>43.0</v>
      </c>
      <c r="G10" s="31">
        <v>1.85270434E8</v>
      </c>
    </row>
    <row r="11" ht="12.75" customHeight="1">
      <c r="A11" s="27">
        <v>127.0</v>
      </c>
      <c r="B11" s="28" t="s">
        <v>60704</v>
      </c>
      <c r="C11" s="27">
        <v>185.0</v>
      </c>
      <c r="D11" s="28" t="s">
        <v>60705</v>
      </c>
      <c r="E11" s="28" t="s">
        <v>60706</v>
      </c>
      <c r="F11" s="29">
        <v>58.0</v>
      </c>
      <c r="G11" s="27">
        <v>1.85270584E8</v>
      </c>
    </row>
    <row r="12" ht="12.75" customHeight="1">
      <c r="A12" s="31">
        <v>127.0</v>
      </c>
      <c r="B12" s="32" t="s">
        <v>60707</v>
      </c>
      <c r="C12" s="31">
        <v>185.0</v>
      </c>
      <c r="D12" s="32" t="s">
        <v>60708</v>
      </c>
      <c r="E12" s="32" t="s">
        <v>60709</v>
      </c>
      <c r="F12" s="33">
        <v>64.0</v>
      </c>
      <c r="G12" s="31">
        <v>1.85270647E8</v>
      </c>
    </row>
    <row r="13" ht="12.75" customHeight="1">
      <c r="A13" s="27">
        <v>127.0</v>
      </c>
      <c r="B13" s="28" t="s">
        <v>60710</v>
      </c>
      <c r="C13" s="27">
        <v>185.0</v>
      </c>
      <c r="D13" s="28" t="s">
        <v>60711</v>
      </c>
      <c r="E13" s="28" t="s">
        <v>60712</v>
      </c>
      <c r="F13" s="29">
        <v>88.0</v>
      </c>
      <c r="G13" s="27">
        <v>1.85270889E8</v>
      </c>
    </row>
    <row r="14" ht="12.75" customHeight="1">
      <c r="A14" s="31">
        <v>127.0</v>
      </c>
      <c r="B14" s="32" t="s">
        <v>60713</v>
      </c>
      <c r="C14" s="31">
        <v>185.0</v>
      </c>
      <c r="D14" s="32" t="s">
        <v>60714</v>
      </c>
      <c r="E14" s="32" t="s">
        <v>60715</v>
      </c>
      <c r="F14" s="31">
        <v>127.0</v>
      </c>
      <c r="G14" s="31">
        <v>1.85271275E8</v>
      </c>
    </row>
    <row r="15" ht="12.75" customHeight="1">
      <c r="A15" s="27">
        <v>127.0</v>
      </c>
      <c r="B15" s="28" t="s">
        <v>60716</v>
      </c>
      <c r="C15" s="27">
        <v>185.0</v>
      </c>
      <c r="D15" s="28" t="s">
        <v>60717</v>
      </c>
      <c r="E15" s="28" t="s">
        <v>60718</v>
      </c>
      <c r="F15" s="27">
        <v>217.0</v>
      </c>
      <c r="G15" s="27">
        <v>1.85272179E8</v>
      </c>
    </row>
    <row r="16" ht="12.75" customHeight="1">
      <c r="A16" s="31">
        <v>127.0</v>
      </c>
      <c r="B16" s="32" t="s">
        <v>60719</v>
      </c>
      <c r="C16" s="31">
        <v>185.0</v>
      </c>
      <c r="D16" s="32" t="s">
        <v>60720</v>
      </c>
      <c r="E16" s="32" t="s">
        <v>60721</v>
      </c>
      <c r="F16" s="31">
        <v>235.0</v>
      </c>
      <c r="G16" s="31">
        <v>1.85272353E8</v>
      </c>
    </row>
    <row r="17" ht="12.75" customHeight="1">
      <c r="A17" s="27">
        <v>127.0</v>
      </c>
      <c r="B17" s="28" t="s">
        <v>60722</v>
      </c>
      <c r="C17" s="27">
        <v>185.0</v>
      </c>
      <c r="D17" s="28" t="s">
        <v>60723</v>
      </c>
      <c r="E17" s="28" t="s">
        <v>60724</v>
      </c>
      <c r="F17" s="27">
        <v>244.0</v>
      </c>
      <c r="G17" s="27">
        <v>1.85272445E8</v>
      </c>
    </row>
    <row r="18" ht="12.75" customHeight="1">
      <c r="A18" s="31">
        <v>127.0</v>
      </c>
      <c r="B18" s="32" t="s">
        <v>60725</v>
      </c>
      <c r="C18" s="31">
        <v>185.0</v>
      </c>
      <c r="D18" s="32" t="s">
        <v>60726</v>
      </c>
      <c r="E18" s="32" t="s">
        <v>60727</v>
      </c>
      <c r="F18" s="31">
        <v>259.0</v>
      </c>
      <c r="G18" s="31">
        <v>1.85272595E8</v>
      </c>
    </row>
    <row r="19" ht="12.75" customHeight="1">
      <c r="A19" s="27">
        <v>127.0</v>
      </c>
      <c r="B19" s="28" t="s">
        <v>60728</v>
      </c>
      <c r="C19" s="27">
        <v>185.0</v>
      </c>
      <c r="D19" s="28" t="s">
        <v>60729</v>
      </c>
      <c r="E19" s="28" t="s">
        <v>60730</v>
      </c>
      <c r="F19" s="27">
        <v>268.0</v>
      </c>
      <c r="G19" s="27">
        <v>1.85272687E8</v>
      </c>
    </row>
    <row r="20" ht="12.75" customHeight="1">
      <c r="A20" s="31">
        <v>127.0</v>
      </c>
      <c r="B20" s="32" t="s">
        <v>60731</v>
      </c>
      <c r="C20" s="31">
        <v>185.0</v>
      </c>
      <c r="D20" s="32" t="s">
        <v>60732</v>
      </c>
      <c r="E20" s="32" t="s">
        <v>60733</v>
      </c>
      <c r="F20" s="31">
        <v>280.0</v>
      </c>
      <c r="G20" s="31">
        <v>1.85272803E8</v>
      </c>
    </row>
    <row r="21" ht="12.75" customHeight="1">
      <c r="A21" s="27">
        <v>127.0</v>
      </c>
      <c r="B21" s="28" t="s">
        <v>60734</v>
      </c>
      <c r="C21" s="27">
        <v>185.0</v>
      </c>
      <c r="D21" s="28" t="s">
        <v>60735</v>
      </c>
      <c r="E21" s="28" t="s">
        <v>60736</v>
      </c>
      <c r="F21" s="27">
        <v>298.0</v>
      </c>
      <c r="G21" s="27">
        <v>1.85272982E8</v>
      </c>
    </row>
    <row r="22" ht="12.75" customHeight="1">
      <c r="A22" s="31">
        <v>127.0</v>
      </c>
      <c r="B22" s="32" t="s">
        <v>60737</v>
      </c>
      <c r="C22" s="31">
        <v>185.0</v>
      </c>
      <c r="D22" s="32" t="s">
        <v>60738</v>
      </c>
      <c r="E22" s="32" t="s">
        <v>60739</v>
      </c>
      <c r="F22" s="31">
        <v>325.0</v>
      </c>
      <c r="G22" s="31">
        <v>1.85273257E8</v>
      </c>
    </row>
    <row r="23" ht="12.75" customHeight="1">
      <c r="A23" s="27">
        <v>127.0</v>
      </c>
      <c r="B23" s="28" t="s">
        <v>60740</v>
      </c>
      <c r="C23" s="27">
        <v>185.0</v>
      </c>
      <c r="D23" s="28" t="s">
        <v>60741</v>
      </c>
      <c r="E23" s="28" t="s">
        <v>60742</v>
      </c>
      <c r="F23" s="27">
        <v>361.0</v>
      </c>
      <c r="G23" s="27">
        <v>1.85273615E8</v>
      </c>
    </row>
    <row r="24" ht="12.75" customHeight="1">
      <c r="A24" s="31">
        <v>127.0</v>
      </c>
      <c r="B24" s="32" t="s">
        <v>60743</v>
      </c>
      <c r="C24" s="31">
        <v>185.0</v>
      </c>
      <c r="D24" s="32" t="s">
        <v>60744</v>
      </c>
      <c r="E24" s="32" t="s">
        <v>60745</v>
      </c>
      <c r="F24" s="31">
        <v>388.0</v>
      </c>
      <c r="G24" s="31">
        <v>1.85273886E8</v>
      </c>
    </row>
    <row r="25" ht="12.75" customHeight="1">
      <c r="A25" s="27">
        <v>127.0</v>
      </c>
      <c r="B25" s="28" t="s">
        <v>60746</v>
      </c>
      <c r="C25" s="27">
        <v>185.0</v>
      </c>
      <c r="D25" s="28" t="s">
        <v>60747</v>
      </c>
      <c r="E25" s="28" t="s">
        <v>60748</v>
      </c>
      <c r="F25" s="27">
        <v>394.0</v>
      </c>
      <c r="G25" s="27">
        <v>1.85273949E8</v>
      </c>
    </row>
    <row r="26" ht="12.75" customHeight="1">
      <c r="A26" s="31">
        <v>127.0</v>
      </c>
      <c r="B26" s="32" t="s">
        <v>60749</v>
      </c>
      <c r="C26" s="31">
        <v>185.0</v>
      </c>
      <c r="D26" s="32" t="s">
        <v>60750</v>
      </c>
      <c r="E26" s="32" t="s">
        <v>60751</v>
      </c>
      <c r="F26" s="31">
        <v>397.0</v>
      </c>
      <c r="G26" s="31">
        <v>1.85273978E8</v>
      </c>
    </row>
    <row r="27" ht="12.75" customHeight="1">
      <c r="A27" s="27">
        <v>127.0</v>
      </c>
      <c r="B27" s="28" t="s">
        <v>60752</v>
      </c>
      <c r="C27" s="27">
        <v>185.0</v>
      </c>
      <c r="D27" s="28" t="s">
        <v>60753</v>
      </c>
      <c r="E27" s="28" t="s">
        <v>60754</v>
      </c>
      <c r="F27" s="27">
        <v>412.0</v>
      </c>
      <c r="G27" s="27">
        <v>1.85274122E8</v>
      </c>
    </row>
    <row r="28" ht="12.75" customHeight="1">
      <c r="A28" s="31">
        <v>127.0</v>
      </c>
      <c r="B28" s="32" t="s">
        <v>60755</v>
      </c>
      <c r="C28" s="31">
        <v>185.0</v>
      </c>
      <c r="D28" s="32" t="s">
        <v>60756</v>
      </c>
      <c r="E28" s="32" t="s">
        <v>60757</v>
      </c>
      <c r="F28" s="31">
        <v>418.0</v>
      </c>
      <c r="G28" s="31">
        <v>1.8527418E8</v>
      </c>
    </row>
    <row r="29" ht="12.75" customHeight="1">
      <c r="A29" s="27">
        <v>127.0</v>
      </c>
      <c r="B29" s="28" t="s">
        <v>60758</v>
      </c>
      <c r="C29" s="27">
        <v>185.0</v>
      </c>
      <c r="D29" s="28" t="s">
        <v>60759</v>
      </c>
      <c r="E29" s="28" t="s">
        <v>60760</v>
      </c>
      <c r="F29" s="27">
        <v>421.0</v>
      </c>
      <c r="G29" s="27">
        <v>1.85274214E8</v>
      </c>
    </row>
    <row r="30" ht="12.75" customHeight="1">
      <c r="A30" s="31">
        <v>127.0</v>
      </c>
      <c r="B30" s="32" t="s">
        <v>60761</v>
      </c>
      <c r="C30" s="31">
        <v>185.0</v>
      </c>
      <c r="D30" s="32" t="s">
        <v>60762</v>
      </c>
      <c r="E30" s="32" t="s">
        <v>60763</v>
      </c>
      <c r="F30" s="31">
        <v>427.0</v>
      </c>
      <c r="G30" s="31">
        <v>1.85274272E8</v>
      </c>
    </row>
    <row r="31" ht="12.75" customHeight="1">
      <c r="A31" s="27">
        <v>127.0</v>
      </c>
      <c r="B31" s="28" t="s">
        <v>60764</v>
      </c>
      <c r="C31" s="27">
        <v>185.0</v>
      </c>
      <c r="D31" s="28" t="s">
        <v>60765</v>
      </c>
      <c r="E31" s="28" t="s">
        <v>60766</v>
      </c>
      <c r="F31" s="27">
        <v>445.0</v>
      </c>
      <c r="G31" s="27">
        <v>1.85274456E8</v>
      </c>
    </row>
    <row r="32" ht="12.75" customHeight="1">
      <c r="A32" s="31">
        <v>127.0</v>
      </c>
      <c r="B32" s="32" t="s">
        <v>60767</v>
      </c>
      <c r="C32" s="31">
        <v>185.0</v>
      </c>
      <c r="D32" s="32" t="s">
        <v>60768</v>
      </c>
      <c r="E32" s="32" t="s">
        <v>60769</v>
      </c>
      <c r="F32" s="31">
        <v>448.0</v>
      </c>
      <c r="G32" s="31">
        <v>1.85274485E8</v>
      </c>
    </row>
    <row r="33" ht="12.75" customHeight="1">
      <c r="A33" s="27">
        <v>127.0</v>
      </c>
      <c r="B33" s="28" t="s">
        <v>60770</v>
      </c>
      <c r="C33" s="27">
        <v>185.0</v>
      </c>
      <c r="D33" s="28" t="s">
        <v>60771</v>
      </c>
      <c r="E33" s="28" t="s">
        <v>60772</v>
      </c>
      <c r="F33" s="27">
        <v>469.0</v>
      </c>
      <c r="G33" s="27">
        <v>1.85274698E8</v>
      </c>
    </row>
    <row r="34" ht="12.75" customHeight="1">
      <c r="A34" s="31">
        <v>127.0</v>
      </c>
      <c r="B34" s="32" t="s">
        <v>60773</v>
      </c>
      <c r="C34" s="31">
        <v>185.0</v>
      </c>
      <c r="D34" s="32" t="s">
        <v>60774</v>
      </c>
      <c r="E34" s="32" t="s">
        <v>60775</v>
      </c>
      <c r="F34" s="31">
        <v>475.0</v>
      </c>
      <c r="G34" s="31">
        <v>1.85274751E8</v>
      </c>
    </row>
    <row r="35" ht="12.75" customHeight="1">
      <c r="A35" s="27">
        <v>127.0</v>
      </c>
      <c r="B35" s="28" t="s">
        <v>60776</v>
      </c>
      <c r="C35" s="27">
        <v>185.0</v>
      </c>
      <c r="D35" s="28" t="s">
        <v>60777</v>
      </c>
      <c r="E35" s="28" t="s">
        <v>60778</v>
      </c>
      <c r="F35" s="27">
        <v>487.0</v>
      </c>
      <c r="G35" s="27">
        <v>1.85274872E8</v>
      </c>
    </row>
    <row r="36" ht="12.75" customHeight="1">
      <c r="A36" s="31">
        <v>127.0</v>
      </c>
      <c r="B36" s="32" t="s">
        <v>60779</v>
      </c>
      <c r="C36" s="31">
        <v>185.0</v>
      </c>
      <c r="D36" s="32" t="s">
        <v>60780</v>
      </c>
      <c r="E36" s="32" t="s">
        <v>60781</v>
      </c>
      <c r="F36" s="31">
        <v>490.0</v>
      </c>
      <c r="G36" s="31">
        <v>1.85274906E8</v>
      </c>
    </row>
    <row r="37" ht="12.75" customHeight="1">
      <c r="A37" s="27">
        <v>127.0</v>
      </c>
      <c r="B37" s="28" t="s">
        <v>60782</v>
      </c>
      <c r="C37" s="27">
        <v>185.0</v>
      </c>
      <c r="D37" s="28" t="s">
        <v>60783</v>
      </c>
      <c r="E37" s="28" t="s">
        <v>60784</v>
      </c>
      <c r="F37" s="27">
        <v>511.0</v>
      </c>
      <c r="G37" s="27">
        <v>1.85275118E8</v>
      </c>
    </row>
    <row r="38" ht="12.75" customHeight="1">
      <c r="A38" s="31">
        <v>127.0</v>
      </c>
      <c r="B38" s="32" t="s">
        <v>60785</v>
      </c>
      <c r="C38" s="31">
        <v>185.0</v>
      </c>
      <c r="D38" s="32" t="s">
        <v>60786</v>
      </c>
      <c r="E38" s="32" t="s">
        <v>60787</v>
      </c>
      <c r="F38" s="31">
        <v>523.0</v>
      </c>
      <c r="G38" s="31">
        <v>1.85275239E8</v>
      </c>
    </row>
    <row r="39" ht="12.75" customHeight="1">
      <c r="A39" s="27">
        <v>127.0</v>
      </c>
      <c r="B39" s="28" t="s">
        <v>60788</v>
      </c>
      <c r="C39" s="27">
        <v>185.0</v>
      </c>
      <c r="D39" s="28" t="s">
        <v>60789</v>
      </c>
      <c r="E39" s="28" t="s">
        <v>60790</v>
      </c>
      <c r="F39" s="27">
        <v>532.0</v>
      </c>
      <c r="G39" s="27">
        <v>1.85275321E8</v>
      </c>
    </row>
    <row r="40" ht="12.75" customHeight="1">
      <c r="A40" s="31">
        <v>127.0</v>
      </c>
      <c r="B40" s="32" t="s">
        <v>60791</v>
      </c>
      <c r="C40" s="31">
        <v>185.0</v>
      </c>
      <c r="D40" s="32" t="s">
        <v>60792</v>
      </c>
      <c r="E40" s="32" t="s">
        <v>60793</v>
      </c>
      <c r="F40" s="31">
        <v>541.0</v>
      </c>
      <c r="G40" s="31">
        <v>1.85275413E8</v>
      </c>
    </row>
    <row r="41" ht="12.75" customHeight="1">
      <c r="A41" s="27">
        <v>127.0</v>
      </c>
      <c r="B41" s="28" t="s">
        <v>60794</v>
      </c>
      <c r="C41" s="27">
        <v>185.0</v>
      </c>
      <c r="D41" s="28" t="s">
        <v>60795</v>
      </c>
      <c r="E41" s="28" t="s">
        <v>60796</v>
      </c>
      <c r="F41" s="27">
        <v>553.0</v>
      </c>
      <c r="G41" s="27">
        <v>1.85275534E8</v>
      </c>
    </row>
    <row r="42" ht="12.75" customHeight="1">
      <c r="A42" s="31">
        <v>127.0</v>
      </c>
      <c r="B42" s="32" t="s">
        <v>60797</v>
      </c>
      <c r="C42" s="31">
        <v>185.0</v>
      </c>
      <c r="D42" s="32" t="s">
        <v>60798</v>
      </c>
      <c r="E42" s="32" t="s">
        <v>60799</v>
      </c>
      <c r="F42" s="31">
        <v>568.0</v>
      </c>
      <c r="G42" s="31">
        <v>1.85275684E8</v>
      </c>
    </row>
    <row r="43" ht="12.75" customHeight="1">
      <c r="A43" s="27">
        <v>127.0</v>
      </c>
      <c r="B43" s="28" t="s">
        <v>60800</v>
      </c>
      <c r="C43" s="27">
        <v>185.0</v>
      </c>
      <c r="D43" s="28" t="s">
        <v>60801</v>
      </c>
      <c r="E43" s="28" t="s">
        <v>60802</v>
      </c>
      <c r="F43" s="27">
        <v>574.0</v>
      </c>
      <c r="G43" s="27">
        <v>1.85275747E8</v>
      </c>
    </row>
    <row r="44" ht="12.75" customHeight="1">
      <c r="A44" s="31">
        <v>127.0</v>
      </c>
      <c r="B44" s="32" t="s">
        <v>60803</v>
      </c>
      <c r="C44" s="31">
        <v>185.0</v>
      </c>
      <c r="D44" s="32" t="s">
        <v>60804</v>
      </c>
      <c r="E44" s="32" t="s">
        <v>60805</v>
      </c>
      <c r="F44" s="31">
        <v>580.0</v>
      </c>
      <c r="G44" s="31">
        <v>1.852758E8</v>
      </c>
    </row>
    <row r="45" ht="12.75" customHeight="1">
      <c r="A45" s="27">
        <v>127.0</v>
      </c>
      <c r="B45" s="28" t="s">
        <v>60806</v>
      </c>
      <c r="C45" s="27">
        <v>185.0</v>
      </c>
      <c r="D45" s="28" t="s">
        <v>60807</v>
      </c>
      <c r="E45" s="28" t="s">
        <v>60808</v>
      </c>
      <c r="F45" s="27">
        <v>586.0</v>
      </c>
      <c r="G45" s="27">
        <v>1.85275868E8</v>
      </c>
    </row>
    <row r="46" ht="12.75" customHeight="1">
      <c r="A46" s="31">
        <v>127.0</v>
      </c>
      <c r="B46" s="32" t="s">
        <v>60809</v>
      </c>
      <c r="C46" s="31">
        <v>185.0</v>
      </c>
      <c r="D46" s="32" t="s">
        <v>60810</v>
      </c>
      <c r="E46" s="32" t="s">
        <v>60811</v>
      </c>
      <c r="F46" s="31">
        <v>592.0</v>
      </c>
      <c r="G46" s="31">
        <v>1.85275921E8</v>
      </c>
    </row>
    <row r="47" ht="12.75" customHeight="1">
      <c r="A47" s="27">
        <v>127.0</v>
      </c>
      <c r="B47" s="28" t="s">
        <v>60812</v>
      </c>
      <c r="C47" s="27">
        <v>185.0</v>
      </c>
      <c r="D47" s="28" t="s">
        <v>60813</v>
      </c>
      <c r="E47" s="28" t="s">
        <v>60814</v>
      </c>
      <c r="F47" s="27">
        <v>628.0</v>
      </c>
      <c r="G47" s="27">
        <v>1.85276283E8</v>
      </c>
    </row>
    <row r="48" ht="12.75" customHeight="1">
      <c r="A48" s="31">
        <v>127.0</v>
      </c>
      <c r="B48" s="32" t="s">
        <v>60815</v>
      </c>
      <c r="C48" s="31">
        <v>185.0</v>
      </c>
      <c r="D48" s="32" t="s">
        <v>60816</v>
      </c>
      <c r="E48" s="32" t="s">
        <v>60817</v>
      </c>
      <c r="F48" s="31">
        <v>640.0</v>
      </c>
      <c r="G48" s="31">
        <v>1.85276409E8</v>
      </c>
    </row>
    <row r="49" ht="12.75" customHeight="1">
      <c r="A49" s="27">
        <v>127.0</v>
      </c>
      <c r="B49" s="28" t="s">
        <v>60818</v>
      </c>
      <c r="C49" s="27">
        <v>185.0</v>
      </c>
      <c r="D49" s="28" t="s">
        <v>60819</v>
      </c>
      <c r="E49" s="28" t="s">
        <v>60820</v>
      </c>
      <c r="F49" s="27">
        <v>676.0</v>
      </c>
      <c r="G49" s="27">
        <v>1.85276762E8</v>
      </c>
    </row>
    <row r="50" ht="12.75" customHeight="1">
      <c r="A50" s="31">
        <v>127.0</v>
      </c>
      <c r="B50" s="32" t="s">
        <v>60821</v>
      </c>
      <c r="C50" s="31">
        <v>185.0</v>
      </c>
      <c r="D50" s="32" t="s">
        <v>60822</v>
      </c>
      <c r="E50" s="32" t="s">
        <v>60823</v>
      </c>
      <c r="F50" s="31">
        <v>679.0</v>
      </c>
      <c r="G50" s="31">
        <v>1.85276791E8</v>
      </c>
    </row>
    <row r="51" ht="12.75" customHeight="1">
      <c r="A51" s="27">
        <v>127.0</v>
      </c>
      <c r="B51" s="28" t="s">
        <v>60824</v>
      </c>
      <c r="C51" s="27">
        <v>185.0</v>
      </c>
      <c r="D51" s="28" t="s">
        <v>60825</v>
      </c>
      <c r="E51" s="28" t="s">
        <v>60826</v>
      </c>
      <c r="F51" s="27">
        <v>706.0</v>
      </c>
      <c r="G51" s="27">
        <v>1.85277066E8</v>
      </c>
    </row>
    <row r="52" ht="12.75" customHeight="1">
      <c r="A52" s="31">
        <v>127.0</v>
      </c>
      <c r="B52" s="32" t="s">
        <v>60827</v>
      </c>
      <c r="C52" s="31">
        <v>185.0</v>
      </c>
      <c r="D52" s="32" t="s">
        <v>60828</v>
      </c>
      <c r="E52" s="32" t="s">
        <v>60829</v>
      </c>
      <c r="F52" s="31">
        <v>709.0</v>
      </c>
      <c r="G52" s="31">
        <v>1.85277095E8</v>
      </c>
    </row>
    <row r="53" ht="12.75" customHeight="1">
      <c r="A53" s="27">
        <v>728.0</v>
      </c>
      <c r="B53" s="28" t="s">
        <v>60830</v>
      </c>
      <c r="C53" s="27">
        <v>185.0</v>
      </c>
      <c r="D53" s="28" t="s">
        <v>60831</v>
      </c>
      <c r="E53" s="28" t="s">
        <v>60832</v>
      </c>
      <c r="F53" s="29">
        <v>34.0</v>
      </c>
      <c r="G53" s="27">
        <v>1.85280345E8</v>
      </c>
    </row>
    <row r="54" ht="12.75" customHeight="1">
      <c r="A54" s="31">
        <v>728.0</v>
      </c>
      <c r="B54" s="32" t="s">
        <v>60833</v>
      </c>
      <c r="C54" s="31">
        <v>185.0</v>
      </c>
      <c r="D54" s="32" t="s">
        <v>60834</v>
      </c>
      <c r="E54" s="32" t="s">
        <v>60835</v>
      </c>
      <c r="F54" s="33">
        <v>37.0</v>
      </c>
      <c r="G54" s="31">
        <v>1.85280374E8</v>
      </c>
    </row>
    <row r="55" ht="12.75" customHeight="1">
      <c r="A55" s="27">
        <v>728.0</v>
      </c>
      <c r="B55" s="28" t="s">
        <v>60836</v>
      </c>
      <c r="C55" s="27">
        <v>185.0</v>
      </c>
      <c r="D55" s="28" t="s">
        <v>60837</v>
      </c>
      <c r="E55" s="28" t="s">
        <v>60838</v>
      </c>
      <c r="F55" s="29">
        <v>40.0</v>
      </c>
      <c r="G55" s="27">
        <v>1.85280408E8</v>
      </c>
    </row>
    <row r="56" ht="12.75" customHeight="1">
      <c r="A56" s="31">
        <v>728.0</v>
      </c>
      <c r="B56" s="32" t="s">
        <v>60839</v>
      </c>
      <c r="C56" s="31">
        <v>185.0</v>
      </c>
      <c r="D56" s="32" t="s">
        <v>60840</v>
      </c>
      <c r="E56" s="32" t="s">
        <v>60841</v>
      </c>
      <c r="F56" s="33">
        <v>49.0</v>
      </c>
      <c r="G56" s="31">
        <v>1.85280495E8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728.0</v>
      </c>
      <c r="B1" s="28" t="s">
        <v>60842</v>
      </c>
      <c r="C1" s="27">
        <v>185.0</v>
      </c>
      <c r="D1" s="28" t="s">
        <v>60843</v>
      </c>
      <c r="E1" s="28" t="s">
        <v>60844</v>
      </c>
      <c r="F1" s="29">
        <v>61.0</v>
      </c>
      <c r="G1" s="27">
        <v>1.85280611E8</v>
      </c>
    </row>
    <row r="2" ht="12.75" customHeight="1">
      <c r="A2" s="31">
        <v>728.0</v>
      </c>
      <c r="B2" s="32" t="s">
        <v>60845</v>
      </c>
      <c r="C2" s="31">
        <v>185.0</v>
      </c>
      <c r="D2" s="32" t="s">
        <v>60846</v>
      </c>
      <c r="E2" s="32" t="s">
        <v>60847</v>
      </c>
      <c r="F2" s="33">
        <v>88.0</v>
      </c>
      <c r="G2" s="31">
        <v>1.85280882E8</v>
      </c>
    </row>
    <row r="3" ht="12.75" customHeight="1">
      <c r="A3" s="27">
        <v>728.0</v>
      </c>
      <c r="B3" s="28" t="s">
        <v>60848</v>
      </c>
      <c r="C3" s="27">
        <v>185.0</v>
      </c>
      <c r="D3" s="28" t="s">
        <v>60849</v>
      </c>
      <c r="E3" s="28" t="s">
        <v>60850</v>
      </c>
      <c r="F3" s="27">
        <v>103.0</v>
      </c>
      <c r="G3" s="27">
        <v>1.85281036E8</v>
      </c>
    </row>
    <row r="4" ht="12.75" customHeight="1">
      <c r="A4" s="31">
        <v>728.0</v>
      </c>
      <c r="B4" s="32" t="s">
        <v>60851</v>
      </c>
      <c r="C4" s="31">
        <v>185.0</v>
      </c>
      <c r="D4" s="32" t="s">
        <v>60852</v>
      </c>
      <c r="E4" s="32" t="s">
        <v>60853</v>
      </c>
      <c r="F4" s="31">
        <v>130.0</v>
      </c>
      <c r="G4" s="31">
        <v>1.85281302E8</v>
      </c>
    </row>
    <row r="5" ht="12.75" customHeight="1">
      <c r="A5" s="27">
        <v>728.0</v>
      </c>
      <c r="B5" s="28" t="s">
        <v>60854</v>
      </c>
      <c r="C5" s="27">
        <v>185.0</v>
      </c>
      <c r="D5" s="28" t="s">
        <v>60855</v>
      </c>
      <c r="E5" s="28" t="s">
        <v>60856</v>
      </c>
      <c r="F5" s="27">
        <v>142.0</v>
      </c>
      <c r="G5" s="27">
        <v>1.85281423E8</v>
      </c>
    </row>
    <row r="6" ht="12.75" customHeight="1">
      <c r="A6" s="31">
        <v>728.0</v>
      </c>
      <c r="B6" s="32" t="s">
        <v>60857</v>
      </c>
      <c r="C6" s="31">
        <v>185.0</v>
      </c>
      <c r="D6" s="32" t="s">
        <v>60858</v>
      </c>
      <c r="E6" s="32" t="s">
        <v>60859</v>
      </c>
      <c r="F6" s="31">
        <v>166.0</v>
      </c>
      <c r="G6" s="31">
        <v>1.85281665E8</v>
      </c>
    </row>
    <row r="7" ht="12.75" customHeight="1">
      <c r="A7" s="27">
        <v>728.0</v>
      </c>
      <c r="B7" s="28" t="s">
        <v>60860</v>
      </c>
      <c r="C7" s="27">
        <v>185.0</v>
      </c>
      <c r="D7" s="28" t="s">
        <v>60861</v>
      </c>
      <c r="E7" s="28" t="s">
        <v>60862</v>
      </c>
      <c r="F7" s="27">
        <v>208.0</v>
      </c>
      <c r="G7" s="27">
        <v>1.8528208E8</v>
      </c>
    </row>
    <row r="8" ht="12.75" customHeight="1">
      <c r="A8" s="31">
        <v>728.0</v>
      </c>
      <c r="B8" s="32" t="s">
        <v>60863</v>
      </c>
      <c r="C8" s="31">
        <v>185.0</v>
      </c>
      <c r="D8" s="32" t="s">
        <v>60864</v>
      </c>
      <c r="E8" s="32" t="s">
        <v>60865</v>
      </c>
      <c r="F8" s="31">
        <v>229.0</v>
      </c>
      <c r="G8" s="31">
        <v>1.85282293E8</v>
      </c>
    </row>
    <row r="9" ht="12.75" customHeight="1">
      <c r="A9" s="27">
        <v>329.0</v>
      </c>
      <c r="B9" s="28" t="s">
        <v>60866</v>
      </c>
      <c r="C9" s="27">
        <v>185.0</v>
      </c>
      <c r="D9" s="28" t="s">
        <v>60867</v>
      </c>
      <c r="E9" s="28" t="s">
        <v>60868</v>
      </c>
      <c r="F9" s="29">
        <v>4.0</v>
      </c>
      <c r="G9" s="27">
        <v>1.85290043E8</v>
      </c>
    </row>
    <row r="10" ht="12.75" customHeight="1">
      <c r="A10" s="31">
        <v>329.0</v>
      </c>
      <c r="B10" s="32" t="s">
        <v>60869</v>
      </c>
      <c r="C10" s="31">
        <v>185.0</v>
      </c>
      <c r="D10" s="32" t="s">
        <v>60870</v>
      </c>
      <c r="E10" s="32" t="s">
        <v>60871</v>
      </c>
      <c r="F10" s="33">
        <v>10.0</v>
      </c>
      <c r="G10" s="31">
        <v>1.85290106E8</v>
      </c>
    </row>
    <row r="11" ht="12.75" customHeight="1">
      <c r="A11" s="27">
        <v>329.0</v>
      </c>
      <c r="B11" s="28" t="s">
        <v>60872</v>
      </c>
      <c r="C11" s="27">
        <v>185.0</v>
      </c>
      <c r="D11" s="28" t="s">
        <v>60873</v>
      </c>
      <c r="E11" s="28" t="s">
        <v>60874</v>
      </c>
      <c r="F11" s="29">
        <v>16.0</v>
      </c>
      <c r="G11" s="27">
        <v>1.85290164E8</v>
      </c>
    </row>
    <row r="12" ht="12.75" customHeight="1">
      <c r="A12" s="31">
        <v>329.0</v>
      </c>
      <c r="B12" s="32" t="s">
        <v>60875</v>
      </c>
      <c r="C12" s="31">
        <v>185.0</v>
      </c>
      <c r="D12" s="32" t="s">
        <v>60876</v>
      </c>
      <c r="E12" s="32" t="s">
        <v>60877</v>
      </c>
      <c r="F12" s="33">
        <v>46.0</v>
      </c>
      <c r="G12" s="31">
        <v>1.85290469E8</v>
      </c>
    </row>
    <row r="13" ht="12.75" customHeight="1">
      <c r="A13" s="27">
        <v>329.0</v>
      </c>
      <c r="B13" s="28" t="s">
        <v>60878</v>
      </c>
      <c r="C13" s="27">
        <v>185.0</v>
      </c>
      <c r="D13" s="28" t="s">
        <v>60879</v>
      </c>
      <c r="E13" s="28" t="s">
        <v>60880</v>
      </c>
      <c r="F13" s="29">
        <v>52.0</v>
      </c>
      <c r="G13" s="27">
        <v>1.85290522E8</v>
      </c>
    </row>
    <row r="14" ht="12.75" customHeight="1">
      <c r="A14" s="31">
        <v>329.0</v>
      </c>
      <c r="B14" s="32" t="s">
        <v>60881</v>
      </c>
      <c r="C14" s="31">
        <v>185.0</v>
      </c>
      <c r="D14" s="32" t="s">
        <v>60882</v>
      </c>
      <c r="E14" s="32" t="s">
        <v>60883</v>
      </c>
      <c r="F14" s="33">
        <v>67.0</v>
      </c>
      <c r="G14" s="31">
        <v>1.85290672E8</v>
      </c>
    </row>
    <row r="15" ht="12.75" customHeight="1">
      <c r="A15" s="27">
        <v>230.0</v>
      </c>
      <c r="B15" s="28" t="s">
        <v>60884</v>
      </c>
      <c r="C15" s="27">
        <v>185.0</v>
      </c>
      <c r="D15" s="28" t="s">
        <v>60885</v>
      </c>
      <c r="E15" s="28" t="s">
        <v>60886</v>
      </c>
      <c r="F15" s="29">
        <v>5.0</v>
      </c>
      <c r="G15" s="27">
        <v>1.85300054E8</v>
      </c>
    </row>
    <row r="16" ht="12.75" customHeight="1">
      <c r="A16" s="31">
        <v>230.0</v>
      </c>
      <c r="B16" s="32" t="s">
        <v>60887</v>
      </c>
      <c r="C16" s="31">
        <v>185.0</v>
      </c>
      <c r="D16" s="32" t="s">
        <v>60888</v>
      </c>
      <c r="E16" s="32" t="s">
        <v>60889</v>
      </c>
      <c r="F16" s="33">
        <v>7.0</v>
      </c>
      <c r="G16" s="31">
        <v>1.8530007E8</v>
      </c>
    </row>
    <row r="17" ht="12.75" customHeight="1">
      <c r="A17" s="27">
        <v>230.0</v>
      </c>
      <c r="B17" s="28" t="s">
        <v>60890</v>
      </c>
      <c r="C17" s="27">
        <v>185.0</v>
      </c>
      <c r="D17" s="28" t="s">
        <v>60891</v>
      </c>
      <c r="E17" s="28" t="s">
        <v>60892</v>
      </c>
      <c r="F17" s="29">
        <v>40.0</v>
      </c>
      <c r="G17" s="27">
        <v>1.85300409E8</v>
      </c>
    </row>
    <row r="18" ht="12.75" customHeight="1">
      <c r="A18" s="31">
        <v>230.0</v>
      </c>
      <c r="B18" s="32" t="s">
        <v>60893</v>
      </c>
      <c r="C18" s="31">
        <v>185.0</v>
      </c>
      <c r="D18" s="32" t="s">
        <v>60894</v>
      </c>
      <c r="E18" s="32" t="s">
        <v>60895</v>
      </c>
      <c r="F18" s="33">
        <v>49.0</v>
      </c>
      <c r="G18" s="31">
        <v>1.85300496E8</v>
      </c>
    </row>
    <row r="19" ht="12.75" customHeight="1">
      <c r="A19" s="27">
        <v>230.0</v>
      </c>
      <c r="B19" s="28" t="s">
        <v>60896</v>
      </c>
      <c r="C19" s="27">
        <v>185.0</v>
      </c>
      <c r="D19" s="28" t="s">
        <v>60897</v>
      </c>
      <c r="E19" s="28" t="s">
        <v>60898</v>
      </c>
      <c r="F19" s="29">
        <v>52.0</v>
      </c>
      <c r="G19" s="27">
        <v>1.8530052E8</v>
      </c>
    </row>
    <row r="20" ht="12.75" customHeight="1">
      <c r="A20" s="31">
        <v>230.0</v>
      </c>
      <c r="B20" s="32" t="s">
        <v>60899</v>
      </c>
      <c r="C20" s="31">
        <v>185.0</v>
      </c>
      <c r="D20" s="32" t="s">
        <v>60900</v>
      </c>
      <c r="E20" s="32" t="s">
        <v>60901</v>
      </c>
      <c r="F20" s="33">
        <v>73.0</v>
      </c>
      <c r="G20" s="31">
        <v>1.85300733E8</v>
      </c>
    </row>
    <row r="21" ht="12.75" customHeight="1">
      <c r="A21" s="27">
        <v>230.0</v>
      </c>
      <c r="B21" s="28" t="s">
        <v>60902</v>
      </c>
      <c r="C21" s="27">
        <v>185.0</v>
      </c>
      <c r="D21" s="28" t="s">
        <v>60903</v>
      </c>
      <c r="E21" s="28" t="s">
        <v>60904</v>
      </c>
      <c r="F21" s="29">
        <v>82.0</v>
      </c>
      <c r="G21" s="27">
        <v>1.85300825E8</v>
      </c>
    </row>
    <row r="22" ht="12.75" customHeight="1">
      <c r="A22" s="31">
        <v>230.0</v>
      </c>
      <c r="B22" s="32" t="s">
        <v>60905</v>
      </c>
      <c r="C22" s="31">
        <v>185.0</v>
      </c>
      <c r="D22" s="32" t="s">
        <v>60906</v>
      </c>
      <c r="E22" s="32" t="s">
        <v>60907</v>
      </c>
      <c r="F22" s="33">
        <v>88.0</v>
      </c>
      <c r="G22" s="31">
        <v>1.85300883E8</v>
      </c>
    </row>
    <row r="23" ht="12.75" customHeight="1">
      <c r="A23" s="27">
        <v>230.0</v>
      </c>
      <c r="B23" s="28" t="s">
        <v>60908</v>
      </c>
      <c r="C23" s="27">
        <v>185.0</v>
      </c>
      <c r="D23" s="28" t="s">
        <v>60909</v>
      </c>
      <c r="E23" s="28" t="s">
        <v>60910</v>
      </c>
      <c r="F23" s="29">
        <v>94.0</v>
      </c>
      <c r="G23" s="27">
        <v>1.85300946E8</v>
      </c>
    </row>
    <row r="24" ht="12.75" customHeight="1">
      <c r="A24" s="31">
        <v>230.0</v>
      </c>
      <c r="B24" s="32" t="s">
        <v>60911</v>
      </c>
      <c r="C24" s="31">
        <v>185.0</v>
      </c>
      <c r="D24" s="32" t="s">
        <v>60912</v>
      </c>
      <c r="E24" s="32" t="s">
        <v>60913</v>
      </c>
      <c r="F24" s="31">
        <v>112.0</v>
      </c>
      <c r="G24" s="31">
        <v>1.85301129E8</v>
      </c>
    </row>
    <row r="25" ht="12.75" customHeight="1">
      <c r="A25" s="27">
        <v>230.0</v>
      </c>
      <c r="B25" s="28" t="s">
        <v>60914</v>
      </c>
      <c r="C25" s="27">
        <v>185.0</v>
      </c>
      <c r="D25" s="28" t="s">
        <v>60915</v>
      </c>
      <c r="E25" s="28" t="s">
        <v>60916</v>
      </c>
      <c r="F25" s="27">
        <v>118.0</v>
      </c>
      <c r="G25" s="27">
        <v>1.85301187E8</v>
      </c>
    </row>
    <row r="26" ht="12.75" customHeight="1">
      <c r="A26" s="31">
        <v>230.0</v>
      </c>
      <c r="B26" s="32" t="s">
        <v>60917</v>
      </c>
      <c r="C26" s="31">
        <v>185.0</v>
      </c>
      <c r="D26" s="32" t="s">
        <v>60918</v>
      </c>
      <c r="E26" s="32" t="s">
        <v>60919</v>
      </c>
      <c r="F26" s="31">
        <v>139.0</v>
      </c>
      <c r="G26" s="31">
        <v>1.8530139E8</v>
      </c>
    </row>
    <row r="27" ht="12.75" customHeight="1">
      <c r="A27" s="27">
        <v>632.0</v>
      </c>
      <c r="B27" s="28" t="s">
        <v>60920</v>
      </c>
      <c r="C27" s="27">
        <v>185.0</v>
      </c>
      <c r="D27" s="28" t="s">
        <v>60921</v>
      </c>
      <c r="E27" s="28" t="s">
        <v>60922</v>
      </c>
      <c r="F27" s="29">
        <v>4.0</v>
      </c>
      <c r="G27" s="27">
        <v>1.85320047E8</v>
      </c>
    </row>
    <row r="28" ht="12.75" customHeight="1">
      <c r="A28" s="31">
        <v>632.0</v>
      </c>
      <c r="B28" s="32" t="s">
        <v>60923</v>
      </c>
      <c r="C28" s="31">
        <v>185.0</v>
      </c>
      <c r="D28" s="32" t="s">
        <v>60924</v>
      </c>
      <c r="E28" s="32" t="s">
        <v>60925</v>
      </c>
      <c r="F28" s="33">
        <v>31.0</v>
      </c>
      <c r="G28" s="31">
        <v>1.85320313E8</v>
      </c>
    </row>
    <row r="29" ht="12.75" customHeight="1">
      <c r="A29" s="27">
        <v>632.0</v>
      </c>
      <c r="B29" s="28" t="s">
        <v>60926</v>
      </c>
      <c r="C29" s="27">
        <v>185.0</v>
      </c>
      <c r="D29" s="28" t="s">
        <v>60927</v>
      </c>
      <c r="E29" s="28" t="s">
        <v>60928</v>
      </c>
      <c r="F29" s="29">
        <v>52.0</v>
      </c>
      <c r="G29" s="27">
        <v>1.85320526E8</v>
      </c>
    </row>
    <row r="30" ht="12.75" customHeight="1">
      <c r="A30" s="31">
        <v>133.0</v>
      </c>
      <c r="B30" s="32" t="s">
        <v>60929</v>
      </c>
      <c r="C30" s="31">
        <v>185.0</v>
      </c>
      <c r="D30" s="32" t="s">
        <v>60930</v>
      </c>
      <c r="E30" s="32" t="s">
        <v>60931</v>
      </c>
      <c r="F30" s="33">
        <v>21.0</v>
      </c>
      <c r="G30" s="31">
        <v>1.85330211E8</v>
      </c>
    </row>
    <row r="31" ht="12.75" customHeight="1">
      <c r="A31" s="27">
        <v>133.0</v>
      </c>
      <c r="B31" s="28" t="s">
        <v>60932</v>
      </c>
      <c r="C31" s="27">
        <v>185.0</v>
      </c>
      <c r="D31" s="28" t="s">
        <v>60933</v>
      </c>
      <c r="E31" s="28" t="s">
        <v>60934</v>
      </c>
      <c r="F31" s="29">
        <v>73.0</v>
      </c>
      <c r="G31" s="27">
        <v>1.85330732E8</v>
      </c>
    </row>
    <row r="32" ht="12.75" customHeight="1">
      <c r="A32" s="31">
        <v>133.0</v>
      </c>
      <c r="B32" s="32" t="s">
        <v>60935</v>
      </c>
      <c r="C32" s="31">
        <v>185.0</v>
      </c>
      <c r="D32" s="32" t="s">
        <v>60936</v>
      </c>
      <c r="E32" s="32" t="s">
        <v>60937</v>
      </c>
      <c r="F32" s="31">
        <v>163.0</v>
      </c>
      <c r="G32" s="31">
        <v>1.85331636E8</v>
      </c>
    </row>
    <row r="33" ht="12.75" customHeight="1">
      <c r="A33" s="27">
        <v>435.0</v>
      </c>
      <c r="B33" s="28" t="s">
        <v>60938</v>
      </c>
      <c r="C33" s="27">
        <v>185.0</v>
      </c>
      <c r="D33" s="28" t="s">
        <v>60939</v>
      </c>
      <c r="E33" s="28" t="s">
        <v>60940</v>
      </c>
      <c r="F33" s="29">
        <v>14.0</v>
      </c>
      <c r="G33" s="27">
        <v>1.85350141E8</v>
      </c>
    </row>
    <row r="34" ht="12.75" customHeight="1">
      <c r="A34" s="31">
        <v>435.0</v>
      </c>
      <c r="B34" s="32" t="s">
        <v>60941</v>
      </c>
      <c r="C34" s="31">
        <v>185.0</v>
      </c>
      <c r="D34" s="32" t="s">
        <v>60942</v>
      </c>
      <c r="E34" s="32" t="s">
        <v>60943</v>
      </c>
      <c r="F34" s="33">
        <v>29.0</v>
      </c>
      <c r="G34" s="31">
        <v>1.85350291E8</v>
      </c>
    </row>
    <row r="35" ht="12.75" customHeight="1">
      <c r="A35" s="27">
        <v>435.0</v>
      </c>
      <c r="B35" s="28" t="s">
        <v>60944</v>
      </c>
      <c r="C35" s="27">
        <v>185.0</v>
      </c>
      <c r="D35" s="28" t="s">
        <v>60945</v>
      </c>
      <c r="E35" s="28" t="s">
        <v>60946</v>
      </c>
      <c r="F35" s="29">
        <v>37.0</v>
      </c>
      <c r="G35" s="27">
        <v>1.8535037E8</v>
      </c>
    </row>
    <row r="36" ht="12.75" customHeight="1">
      <c r="A36" s="31">
        <v>435.0</v>
      </c>
      <c r="B36" s="32" t="s">
        <v>60947</v>
      </c>
      <c r="C36" s="31">
        <v>185.0</v>
      </c>
      <c r="D36" s="32" t="s">
        <v>60948</v>
      </c>
      <c r="E36" s="32" t="s">
        <v>60949</v>
      </c>
      <c r="F36" s="33">
        <v>52.0</v>
      </c>
      <c r="G36" s="31">
        <v>1.85350525E8</v>
      </c>
    </row>
    <row r="37" ht="12.75" customHeight="1">
      <c r="A37" s="27">
        <v>435.0</v>
      </c>
      <c r="B37" s="28" t="s">
        <v>60950</v>
      </c>
      <c r="C37" s="27">
        <v>185.0</v>
      </c>
      <c r="D37" s="28" t="s">
        <v>60951</v>
      </c>
      <c r="E37" s="28" t="s">
        <v>60952</v>
      </c>
      <c r="F37" s="27">
        <v>100.0</v>
      </c>
      <c r="G37" s="27">
        <v>1.85351003E8</v>
      </c>
    </row>
    <row r="38" ht="12.75" customHeight="1">
      <c r="A38" s="31">
        <v>435.0</v>
      </c>
      <c r="B38" s="32" t="s">
        <v>60953</v>
      </c>
      <c r="C38" s="31">
        <v>185.0</v>
      </c>
      <c r="D38" s="32" t="s">
        <v>60954</v>
      </c>
      <c r="E38" s="32" t="s">
        <v>60955</v>
      </c>
      <c r="F38" s="31">
        <v>109.0</v>
      </c>
      <c r="G38" s="31">
        <v>1.8535109E8</v>
      </c>
    </row>
    <row r="39" ht="12.75" customHeight="1">
      <c r="A39" s="27">
        <v>836.0</v>
      </c>
      <c r="B39" s="28" t="s">
        <v>60956</v>
      </c>
      <c r="C39" s="27">
        <v>185.0</v>
      </c>
      <c r="D39" s="28" t="s">
        <v>60957</v>
      </c>
      <c r="E39" s="28" t="s">
        <v>60958</v>
      </c>
      <c r="F39" s="29">
        <v>10.0</v>
      </c>
      <c r="G39" s="27">
        <v>1.85360102E8</v>
      </c>
    </row>
    <row r="40" ht="12.75" customHeight="1">
      <c r="A40" s="31">
        <v>836.0</v>
      </c>
      <c r="B40" s="32" t="s">
        <v>60959</v>
      </c>
      <c r="C40" s="31">
        <v>185.0</v>
      </c>
      <c r="D40" s="32" t="s">
        <v>60960</v>
      </c>
      <c r="E40" s="32" t="s">
        <v>60961</v>
      </c>
      <c r="F40" s="33">
        <v>43.0</v>
      </c>
      <c r="G40" s="31">
        <v>1.85360436E8</v>
      </c>
    </row>
    <row r="41" ht="12.75" customHeight="1">
      <c r="A41" s="27">
        <v>836.0</v>
      </c>
      <c r="B41" s="28" t="s">
        <v>60962</v>
      </c>
      <c r="C41" s="27">
        <v>185.0</v>
      </c>
      <c r="D41" s="28" t="s">
        <v>60963</v>
      </c>
      <c r="E41" s="28" t="s">
        <v>60964</v>
      </c>
      <c r="F41" s="29">
        <v>61.0</v>
      </c>
      <c r="G41" s="27">
        <v>1.8536061E8</v>
      </c>
    </row>
    <row r="42" ht="12.75" customHeight="1">
      <c r="A42" s="31">
        <v>836.0</v>
      </c>
      <c r="B42" s="32" t="s">
        <v>60965</v>
      </c>
      <c r="C42" s="31">
        <v>185.0</v>
      </c>
      <c r="D42" s="32" t="s">
        <v>60966</v>
      </c>
      <c r="E42" s="32" t="s">
        <v>60967</v>
      </c>
      <c r="F42" s="33">
        <v>88.0</v>
      </c>
      <c r="G42" s="31">
        <v>1.85360881E8</v>
      </c>
    </row>
    <row r="43" ht="12.75" customHeight="1">
      <c r="A43" s="27">
        <v>638.0</v>
      </c>
      <c r="B43" s="28" t="s">
        <v>60968</v>
      </c>
      <c r="C43" s="27">
        <v>185.0</v>
      </c>
      <c r="D43" s="28" t="s">
        <v>60969</v>
      </c>
      <c r="E43" s="28" t="s">
        <v>60970</v>
      </c>
      <c r="F43" s="29">
        <v>31.0</v>
      </c>
      <c r="G43" s="27">
        <v>1.85380311E8</v>
      </c>
    </row>
    <row r="44" ht="12.75" customHeight="1">
      <c r="A44" s="31">
        <v>638.0</v>
      </c>
      <c r="B44" s="32" t="s">
        <v>60971</v>
      </c>
      <c r="C44" s="31">
        <v>185.0</v>
      </c>
      <c r="D44" s="32" t="s">
        <v>60972</v>
      </c>
      <c r="E44" s="32" t="s">
        <v>60973</v>
      </c>
      <c r="F44" s="33">
        <v>40.0</v>
      </c>
      <c r="G44" s="31">
        <v>1.85380403E8</v>
      </c>
    </row>
    <row r="45" ht="12.75" customHeight="1">
      <c r="A45" s="27">
        <v>638.0</v>
      </c>
      <c r="B45" s="28" t="s">
        <v>60974</v>
      </c>
      <c r="C45" s="27">
        <v>185.0</v>
      </c>
      <c r="D45" s="28" t="s">
        <v>60975</v>
      </c>
      <c r="E45" s="28" t="s">
        <v>60976</v>
      </c>
      <c r="F45" s="29">
        <v>49.0</v>
      </c>
      <c r="G45" s="27">
        <v>1.8538049E8</v>
      </c>
    </row>
    <row r="46" ht="12.75" customHeight="1">
      <c r="A46" s="31">
        <v>638.0</v>
      </c>
      <c r="B46" s="32" t="s">
        <v>60977</v>
      </c>
      <c r="C46" s="31">
        <v>185.0</v>
      </c>
      <c r="D46" s="32" t="s">
        <v>60978</v>
      </c>
      <c r="E46" s="32" t="s">
        <v>60979</v>
      </c>
      <c r="F46" s="33">
        <v>61.0</v>
      </c>
      <c r="G46" s="31">
        <v>1.85380616E8</v>
      </c>
    </row>
    <row r="47" ht="12.75" customHeight="1">
      <c r="A47" s="27">
        <v>638.0</v>
      </c>
      <c r="B47" s="28" t="s">
        <v>60980</v>
      </c>
      <c r="C47" s="27">
        <v>185.0</v>
      </c>
      <c r="D47" s="28" t="s">
        <v>60981</v>
      </c>
      <c r="E47" s="28" t="s">
        <v>60982</v>
      </c>
      <c r="F47" s="29">
        <v>79.0</v>
      </c>
      <c r="G47" s="27">
        <v>1.85380795E8</v>
      </c>
    </row>
    <row r="48" ht="12.75" customHeight="1">
      <c r="A48" s="31">
        <v>139.0</v>
      </c>
      <c r="B48" s="32" t="s">
        <v>60983</v>
      </c>
      <c r="C48" s="31">
        <v>185.0</v>
      </c>
      <c r="D48" s="32" t="s">
        <v>60984</v>
      </c>
      <c r="E48" s="32" t="s">
        <v>60985</v>
      </c>
      <c r="F48" s="33">
        <v>7.0</v>
      </c>
      <c r="G48" s="31">
        <v>1.85390077E8</v>
      </c>
    </row>
    <row r="49" ht="12.75" customHeight="1">
      <c r="A49" s="27">
        <v>139.0</v>
      </c>
      <c r="B49" s="28" t="s">
        <v>60986</v>
      </c>
      <c r="C49" s="27">
        <v>185.0</v>
      </c>
      <c r="D49" s="28" t="s">
        <v>60987</v>
      </c>
      <c r="E49" s="28" t="s">
        <v>60988</v>
      </c>
      <c r="F49" s="29">
        <v>17.0</v>
      </c>
      <c r="G49" s="27">
        <v>1.85390172E8</v>
      </c>
    </row>
    <row r="50" ht="12.75" customHeight="1">
      <c r="A50" s="31">
        <v>139.0</v>
      </c>
      <c r="B50" s="32" t="s">
        <v>60989</v>
      </c>
      <c r="C50" s="31">
        <v>185.0</v>
      </c>
      <c r="D50" s="32" t="s">
        <v>60990</v>
      </c>
      <c r="E50" s="32" t="s">
        <v>60991</v>
      </c>
      <c r="F50" s="33">
        <v>58.0</v>
      </c>
      <c r="G50" s="31">
        <v>1.85390585E8</v>
      </c>
    </row>
    <row r="51" ht="12.75" customHeight="1">
      <c r="A51" s="27">
        <v>139.0</v>
      </c>
      <c r="B51" s="28" t="s">
        <v>60992</v>
      </c>
      <c r="C51" s="27">
        <v>185.0</v>
      </c>
      <c r="D51" s="28" t="s">
        <v>60993</v>
      </c>
      <c r="E51" s="28" t="s">
        <v>60994</v>
      </c>
      <c r="F51" s="29">
        <v>61.0</v>
      </c>
      <c r="G51" s="27">
        <v>1.85390619E8</v>
      </c>
    </row>
    <row r="52" ht="12.75" customHeight="1">
      <c r="A52" s="31">
        <v>139.0</v>
      </c>
      <c r="B52" s="32" t="s">
        <v>60995</v>
      </c>
      <c r="C52" s="31">
        <v>185.0</v>
      </c>
      <c r="D52" s="32" t="s">
        <v>60996</v>
      </c>
      <c r="E52" s="32" t="s">
        <v>60997</v>
      </c>
      <c r="F52" s="33">
        <v>85.0</v>
      </c>
      <c r="G52" s="31">
        <v>1.85390851E8</v>
      </c>
    </row>
    <row r="53" ht="12.75" customHeight="1">
      <c r="A53" s="27">
        <v>139.0</v>
      </c>
      <c r="B53" s="28" t="s">
        <v>60998</v>
      </c>
      <c r="C53" s="27">
        <v>185.0</v>
      </c>
      <c r="D53" s="28" t="s">
        <v>60999</v>
      </c>
      <c r="E53" s="28" t="s">
        <v>61000</v>
      </c>
      <c r="F53" s="29">
        <v>97.0</v>
      </c>
      <c r="G53" s="27">
        <v>1.85390972E8</v>
      </c>
    </row>
    <row r="54" ht="12.75" customHeight="1">
      <c r="A54" s="31">
        <v>139.0</v>
      </c>
      <c r="B54" s="32" t="s">
        <v>61001</v>
      </c>
      <c r="C54" s="31">
        <v>185.0</v>
      </c>
      <c r="D54" s="32" t="s">
        <v>61002</v>
      </c>
      <c r="E54" s="32" t="s">
        <v>61003</v>
      </c>
      <c r="F54" s="31">
        <v>106.0</v>
      </c>
      <c r="G54" s="31">
        <v>1.85391063E8</v>
      </c>
    </row>
    <row r="55" ht="12.75" customHeight="1">
      <c r="A55" s="27">
        <v>139.0</v>
      </c>
      <c r="B55" s="28" t="s">
        <v>61004</v>
      </c>
      <c r="C55" s="27">
        <v>185.0</v>
      </c>
      <c r="D55" s="28" t="s">
        <v>61005</v>
      </c>
      <c r="E55" s="28" t="s">
        <v>61006</v>
      </c>
      <c r="F55" s="27">
        <v>121.0</v>
      </c>
      <c r="G55" s="27">
        <v>1.85391218E8</v>
      </c>
    </row>
    <row r="56" ht="12.75" customHeight="1">
      <c r="A56" s="31">
        <v>139.0</v>
      </c>
      <c r="B56" s="32" t="s">
        <v>61007</v>
      </c>
      <c r="C56" s="31">
        <v>185.0</v>
      </c>
      <c r="D56" s="32" t="s">
        <v>61008</v>
      </c>
      <c r="E56" s="32" t="s">
        <v>61009</v>
      </c>
      <c r="F56" s="31">
        <v>148.0</v>
      </c>
      <c r="G56" s="31">
        <v>1.85391489E8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441.0</v>
      </c>
      <c r="B1" s="28" t="s">
        <v>61010</v>
      </c>
      <c r="C1" s="27">
        <v>185.0</v>
      </c>
      <c r="D1" s="28" t="s">
        <v>61011</v>
      </c>
      <c r="E1" s="28" t="s">
        <v>61012</v>
      </c>
      <c r="F1" s="29">
        <v>10.0</v>
      </c>
      <c r="G1" s="27">
        <v>1.85410102E8</v>
      </c>
    </row>
    <row r="2" ht="12.75" customHeight="1">
      <c r="A2" s="31">
        <v>441.0</v>
      </c>
      <c r="B2" s="32" t="s">
        <v>61013</v>
      </c>
      <c r="C2" s="31">
        <v>185.0</v>
      </c>
      <c r="D2" s="32" t="s">
        <v>61014</v>
      </c>
      <c r="E2" s="32" t="s">
        <v>61015</v>
      </c>
      <c r="F2" s="31">
        <v>124.0</v>
      </c>
      <c r="G2" s="31">
        <v>1.85411248E8</v>
      </c>
    </row>
    <row r="3" ht="12.75" customHeight="1">
      <c r="A3" s="27">
        <v>441.0</v>
      </c>
      <c r="B3" s="28" t="s">
        <v>61016</v>
      </c>
      <c r="C3" s="27">
        <v>185.0</v>
      </c>
      <c r="D3" s="28" t="s">
        <v>61017</v>
      </c>
      <c r="E3" s="28" t="s">
        <v>61018</v>
      </c>
      <c r="F3" s="27">
        <v>139.0</v>
      </c>
      <c r="G3" s="27">
        <v>1.85411398E8</v>
      </c>
    </row>
    <row r="4" ht="12.75" customHeight="1">
      <c r="A4" s="31">
        <v>441.0</v>
      </c>
      <c r="B4" s="32" t="s">
        <v>61019</v>
      </c>
      <c r="C4" s="31">
        <v>185.0</v>
      </c>
      <c r="D4" s="32" t="s">
        <v>61020</v>
      </c>
      <c r="E4" s="32" t="s">
        <v>61021</v>
      </c>
      <c r="F4" s="31">
        <v>151.0</v>
      </c>
      <c r="G4" s="31">
        <v>1.85411514E8</v>
      </c>
    </row>
    <row r="5" ht="12.75" customHeight="1">
      <c r="A5" s="27">
        <v>441.0</v>
      </c>
      <c r="B5" s="28" t="s">
        <v>61022</v>
      </c>
      <c r="C5" s="27">
        <v>185.0</v>
      </c>
      <c r="D5" s="28" t="s">
        <v>61023</v>
      </c>
      <c r="E5" s="28" t="s">
        <v>61024</v>
      </c>
      <c r="F5" s="27">
        <v>160.0</v>
      </c>
      <c r="G5" s="27">
        <v>1.85411606E8</v>
      </c>
    </row>
    <row r="6" ht="12.75" customHeight="1">
      <c r="A6" s="31">
        <v>441.0</v>
      </c>
      <c r="B6" s="32" t="s">
        <v>61025</v>
      </c>
      <c r="C6" s="31">
        <v>185.0</v>
      </c>
      <c r="D6" s="32" t="s">
        <v>61026</v>
      </c>
      <c r="E6" s="32" t="s">
        <v>61027</v>
      </c>
      <c r="F6" s="31">
        <v>169.0</v>
      </c>
      <c r="G6" s="31">
        <v>1.85411693E8</v>
      </c>
    </row>
    <row r="7" ht="12.75" customHeight="1">
      <c r="A7" s="27">
        <v>441.0</v>
      </c>
      <c r="B7" s="28" t="s">
        <v>61028</v>
      </c>
      <c r="C7" s="27">
        <v>185.0</v>
      </c>
      <c r="D7" s="28" t="s">
        <v>61029</v>
      </c>
      <c r="E7" s="28" t="s">
        <v>61030</v>
      </c>
      <c r="F7" s="27">
        <v>193.0</v>
      </c>
      <c r="G7" s="27">
        <v>1.8541193E8</v>
      </c>
    </row>
    <row r="8" ht="12.75" customHeight="1">
      <c r="A8" s="31">
        <v>441.0</v>
      </c>
      <c r="B8" s="32" t="s">
        <v>61031</v>
      </c>
      <c r="C8" s="31">
        <v>185.0</v>
      </c>
      <c r="D8" s="32" t="s">
        <v>61032</v>
      </c>
      <c r="E8" s="32" t="s">
        <v>61033</v>
      </c>
      <c r="F8" s="31">
        <v>205.0</v>
      </c>
      <c r="G8" s="31">
        <v>1.8541205E8</v>
      </c>
    </row>
    <row r="9" ht="12.75" customHeight="1">
      <c r="A9" s="27">
        <v>342.0</v>
      </c>
      <c r="B9" s="28" t="s">
        <v>61034</v>
      </c>
      <c r="C9" s="27">
        <v>185.0</v>
      </c>
      <c r="D9" s="28" t="s">
        <v>61035</v>
      </c>
      <c r="E9" s="28" t="s">
        <v>61036</v>
      </c>
      <c r="F9" s="29">
        <v>31.0</v>
      </c>
      <c r="G9" s="27">
        <v>1.85420318E8</v>
      </c>
    </row>
    <row r="10" ht="12.75" customHeight="1">
      <c r="A10" s="31">
        <v>342.0</v>
      </c>
      <c r="B10" s="32" t="s">
        <v>61037</v>
      </c>
      <c r="C10" s="31">
        <v>185.0</v>
      </c>
      <c r="D10" s="32" t="s">
        <v>61038</v>
      </c>
      <c r="E10" s="32" t="s">
        <v>61039</v>
      </c>
      <c r="F10" s="33">
        <v>37.0</v>
      </c>
      <c r="G10" s="31">
        <v>1.85420376E8</v>
      </c>
    </row>
    <row r="11" ht="12.75" customHeight="1">
      <c r="A11" s="27">
        <v>342.0</v>
      </c>
      <c r="B11" s="28" t="s">
        <v>61040</v>
      </c>
      <c r="C11" s="27">
        <v>185.0</v>
      </c>
      <c r="D11" s="28" t="s">
        <v>61041</v>
      </c>
      <c r="E11" s="28" t="s">
        <v>61042</v>
      </c>
      <c r="F11" s="29">
        <v>52.0</v>
      </c>
      <c r="G11" s="27">
        <v>1.85420521E8</v>
      </c>
    </row>
    <row r="12" ht="12.75" customHeight="1">
      <c r="A12" s="31">
        <v>444.0</v>
      </c>
      <c r="B12" s="32" t="s">
        <v>61043</v>
      </c>
      <c r="C12" s="31">
        <v>185.0</v>
      </c>
      <c r="D12" s="32" t="s">
        <v>61044</v>
      </c>
      <c r="E12" s="32" t="s">
        <v>61045</v>
      </c>
      <c r="F12" s="33">
        <v>6.0</v>
      </c>
      <c r="G12" s="31">
        <v>1.85440064E8</v>
      </c>
    </row>
    <row r="13" ht="12.75" customHeight="1">
      <c r="A13" s="27">
        <v>444.0</v>
      </c>
      <c r="B13" s="28" t="s">
        <v>61046</v>
      </c>
      <c r="C13" s="27">
        <v>185.0</v>
      </c>
      <c r="D13" s="28" t="s">
        <v>61047</v>
      </c>
      <c r="E13" s="28" t="s">
        <v>61048</v>
      </c>
      <c r="F13" s="29">
        <v>58.0</v>
      </c>
      <c r="G13" s="27">
        <v>1.85440585E8</v>
      </c>
    </row>
    <row r="14" ht="12.75" customHeight="1">
      <c r="A14" s="31">
        <v>444.0</v>
      </c>
      <c r="B14" s="32" t="s">
        <v>61049</v>
      </c>
      <c r="C14" s="31">
        <v>185.0</v>
      </c>
      <c r="D14" s="32" t="s">
        <v>61050</v>
      </c>
      <c r="E14" s="32" t="s">
        <v>61051</v>
      </c>
      <c r="F14" s="33">
        <v>64.0</v>
      </c>
      <c r="G14" s="31">
        <v>1.85440648E8</v>
      </c>
    </row>
    <row r="15" ht="12.75" customHeight="1">
      <c r="A15" s="27">
        <v>444.0</v>
      </c>
      <c r="B15" s="28" t="s">
        <v>61052</v>
      </c>
      <c r="C15" s="27">
        <v>185.0</v>
      </c>
      <c r="D15" s="28" t="s">
        <v>61053</v>
      </c>
      <c r="E15" s="28" t="s">
        <v>61054</v>
      </c>
      <c r="F15" s="29">
        <v>79.0</v>
      </c>
      <c r="G15" s="27">
        <v>1.85440798E8</v>
      </c>
    </row>
    <row r="16" ht="12.75" customHeight="1">
      <c r="A16" s="31">
        <v>444.0</v>
      </c>
      <c r="B16" s="32" t="s">
        <v>61055</v>
      </c>
      <c r="C16" s="31">
        <v>185.0</v>
      </c>
      <c r="D16" s="32" t="s">
        <v>61056</v>
      </c>
      <c r="E16" s="32" t="s">
        <v>61057</v>
      </c>
      <c r="F16" s="31">
        <v>100.0</v>
      </c>
      <c r="G16" s="31">
        <v>1.85441005E8</v>
      </c>
    </row>
    <row r="17" ht="12.75" customHeight="1">
      <c r="A17" s="27">
        <v>444.0</v>
      </c>
      <c r="B17" s="28" t="s">
        <v>61058</v>
      </c>
      <c r="C17" s="27">
        <v>185.0</v>
      </c>
      <c r="D17" s="28" t="s">
        <v>61059</v>
      </c>
      <c r="E17" s="28" t="s">
        <v>61060</v>
      </c>
      <c r="F17" s="27">
        <v>115.0</v>
      </c>
      <c r="G17" s="27">
        <v>1.85441155E8</v>
      </c>
    </row>
    <row r="18" ht="12.75" customHeight="1">
      <c r="A18" s="31">
        <v>246.0</v>
      </c>
      <c r="B18" s="32" t="s">
        <v>61061</v>
      </c>
      <c r="C18" s="31">
        <v>185.0</v>
      </c>
      <c r="D18" s="32" t="s">
        <v>61062</v>
      </c>
      <c r="E18" s="32" t="s">
        <v>61063</v>
      </c>
      <c r="F18" s="33">
        <v>31.0</v>
      </c>
      <c r="G18" s="31">
        <v>1.8546031E8</v>
      </c>
    </row>
    <row r="19" ht="12.75" customHeight="1">
      <c r="A19" s="27">
        <v>447.0</v>
      </c>
      <c r="B19" s="28" t="s">
        <v>61064</v>
      </c>
      <c r="C19" s="27">
        <v>185.0</v>
      </c>
      <c r="D19" s="28" t="s">
        <v>61065</v>
      </c>
      <c r="E19" s="28" t="s">
        <v>61066</v>
      </c>
      <c r="F19" s="29">
        <v>22.0</v>
      </c>
      <c r="G19" s="27">
        <v>1.85470221E8</v>
      </c>
    </row>
    <row r="20" ht="12.75" customHeight="1">
      <c r="A20" s="31">
        <v>447.0</v>
      </c>
      <c r="B20" s="32" t="s">
        <v>61067</v>
      </c>
      <c r="C20" s="31">
        <v>185.0</v>
      </c>
      <c r="D20" s="32" t="s">
        <v>61068</v>
      </c>
      <c r="E20" s="32" t="s">
        <v>61069</v>
      </c>
      <c r="F20" s="33">
        <v>31.0</v>
      </c>
      <c r="G20" s="31">
        <v>1.85470313E8</v>
      </c>
    </row>
    <row r="21" ht="12.75" customHeight="1">
      <c r="A21" s="27">
        <v>447.0</v>
      </c>
      <c r="B21" s="28" t="s">
        <v>61070</v>
      </c>
      <c r="C21" s="27">
        <v>185.0</v>
      </c>
      <c r="D21" s="28" t="s">
        <v>61071</v>
      </c>
      <c r="E21" s="28" t="s">
        <v>61072</v>
      </c>
      <c r="F21" s="29">
        <v>49.0</v>
      </c>
      <c r="G21" s="27">
        <v>1.85470492E8</v>
      </c>
    </row>
    <row r="22" ht="12.75" customHeight="1">
      <c r="A22" s="31">
        <v>447.0</v>
      </c>
      <c r="B22" s="32" t="s">
        <v>61073</v>
      </c>
      <c r="C22" s="31">
        <v>185.0</v>
      </c>
      <c r="D22" s="32" t="s">
        <v>61074</v>
      </c>
      <c r="E22" s="32" t="s">
        <v>61075</v>
      </c>
      <c r="F22" s="33">
        <v>70.0</v>
      </c>
      <c r="G22" s="31">
        <v>1.854707E8</v>
      </c>
    </row>
    <row r="23" ht="12.75" customHeight="1">
      <c r="A23" s="27">
        <v>447.0</v>
      </c>
      <c r="B23" s="28" t="s">
        <v>61076</v>
      </c>
      <c r="C23" s="27">
        <v>185.0</v>
      </c>
      <c r="D23" s="28" t="s">
        <v>61077</v>
      </c>
      <c r="E23" s="28" t="s">
        <v>61078</v>
      </c>
      <c r="F23" s="29">
        <v>94.0</v>
      </c>
      <c r="G23" s="27">
        <v>1.85470942E8</v>
      </c>
    </row>
    <row r="24" ht="12.75" customHeight="1">
      <c r="A24" s="31">
        <v>447.0</v>
      </c>
      <c r="B24" s="32" t="s">
        <v>61079</v>
      </c>
      <c r="C24" s="31">
        <v>185.0</v>
      </c>
      <c r="D24" s="32" t="s">
        <v>61080</v>
      </c>
      <c r="E24" s="32" t="s">
        <v>61081</v>
      </c>
      <c r="F24" s="31">
        <v>103.0</v>
      </c>
      <c r="G24" s="31">
        <v>1.85471033E8</v>
      </c>
    </row>
    <row r="25" ht="12.75" customHeight="1">
      <c r="A25" s="27">
        <v>447.0</v>
      </c>
      <c r="B25" s="28" t="s">
        <v>61082</v>
      </c>
      <c r="C25" s="27">
        <v>185.0</v>
      </c>
      <c r="D25" s="28" t="s">
        <v>61083</v>
      </c>
      <c r="E25" s="28" t="s">
        <v>61084</v>
      </c>
      <c r="F25" s="27">
        <v>115.0</v>
      </c>
      <c r="G25" s="27">
        <v>1.85471154E8</v>
      </c>
    </row>
    <row r="26" ht="12.75" customHeight="1">
      <c r="A26" s="31">
        <v>447.0</v>
      </c>
      <c r="B26" s="32" t="s">
        <v>61085</v>
      </c>
      <c r="C26" s="31">
        <v>185.0</v>
      </c>
      <c r="D26" s="32" t="s">
        <v>61086</v>
      </c>
      <c r="E26" s="32" t="s">
        <v>61087</v>
      </c>
      <c r="F26" s="31">
        <v>121.0</v>
      </c>
      <c r="G26" s="31">
        <v>1.85471217E8</v>
      </c>
    </row>
    <row r="27" ht="12.75" customHeight="1">
      <c r="A27" s="27">
        <v>447.0</v>
      </c>
      <c r="B27" s="28" t="s">
        <v>61088</v>
      </c>
      <c r="C27" s="27">
        <v>185.0</v>
      </c>
      <c r="D27" s="28" t="s">
        <v>61089</v>
      </c>
      <c r="E27" s="28" t="s">
        <v>61090</v>
      </c>
      <c r="F27" s="27">
        <v>145.0</v>
      </c>
      <c r="G27" s="27">
        <v>1.85471459E8</v>
      </c>
    </row>
    <row r="28" ht="12.75" customHeight="1">
      <c r="A28" s="31">
        <v>447.0</v>
      </c>
      <c r="B28" s="32" t="s">
        <v>61091</v>
      </c>
      <c r="C28" s="31">
        <v>185.0</v>
      </c>
      <c r="D28" s="32" t="s">
        <v>61092</v>
      </c>
      <c r="E28" s="32" t="s">
        <v>61093</v>
      </c>
      <c r="F28" s="31">
        <v>205.0</v>
      </c>
      <c r="G28" s="31">
        <v>1.85472058E8</v>
      </c>
    </row>
    <row r="29" ht="12.75" customHeight="1">
      <c r="A29" s="27">
        <v>447.0</v>
      </c>
      <c r="B29" s="28" t="s">
        <v>61094</v>
      </c>
      <c r="C29" s="27">
        <v>185.0</v>
      </c>
      <c r="D29" s="28" t="s">
        <v>61095</v>
      </c>
      <c r="E29" s="28" t="s">
        <v>61096</v>
      </c>
      <c r="F29" s="27">
        <v>208.0</v>
      </c>
      <c r="G29" s="27">
        <v>1.85472087E8</v>
      </c>
    </row>
    <row r="30" ht="12.75" customHeight="1">
      <c r="A30" s="31">
        <v>447.0</v>
      </c>
      <c r="B30" s="32" t="s">
        <v>61097</v>
      </c>
      <c r="C30" s="31">
        <v>185.0</v>
      </c>
      <c r="D30" s="32" t="s">
        <v>61098</v>
      </c>
      <c r="E30" s="32" t="s">
        <v>61099</v>
      </c>
      <c r="F30" s="31">
        <v>214.0</v>
      </c>
      <c r="G30" s="31">
        <v>1.8547214E8</v>
      </c>
    </row>
    <row r="31" ht="12.75" customHeight="1">
      <c r="A31" s="27">
        <v>447.0</v>
      </c>
      <c r="B31" s="28" t="s">
        <v>61100</v>
      </c>
      <c r="C31" s="27">
        <v>185.0</v>
      </c>
      <c r="D31" s="28" t="s">
        <v>61101</v>
      </c>
      <c r="E31" s="28" t="s">
        <v>61102</v>
      </c>
      <c r="F31" s="27">
        <v>217.0</v>
      </c>
      <c r="G31" s="27">
        <v>1.85472179E8</v>
      </c>
    </row>
    <row r="32" ht="12.75" customHeight="1">
      <c r="A32" s="31">
        <v>447.0</v>
      </c>
      <c r="B32" s="32" t="s">
        <v>61103</v>
      </c>
      <c r="C32" s="31">
        <v>185.0</v>
      </c>
      <c r="D32" s="32" t="s">
        <v>61104</v>
      </c>
      <c r="E32" s="32" t="s">
        <v>61105</v>
      </c>
      <c r="F32" s="31">
        <v>256.0</v>
      </c>
      <c r="G32" s="31">
        <v>1.85472566E8</v>
      </c>
    </row>
    <row r="33" ht="12.75" customHeight="1">
      <c r="A33" s="27">
        <v>148.0</v>
      </c>
      <c r="B33" s="28" t="s">
        <v>61106</v>
      </c>
      <c r="C33" s="27">
        <v>185.0</v>
      </c>
      <c r="D33" s="28" t="s">
        <v>61107</v>
      </c>
      <c r="E33" s="28" t="s">
        <v>61108</v>
      </c>
      <c r="F33" s="29">
        <v>6.0</v>
      </c>
      <c r="G33" s="27">
        <v>1.85480066E8</v>
      </c>
    </row>
    <row r="34" ht="12.75" customHeight="1">
      <c r="A34" s="31">
        <v>148.0</v>
      </c>
      <c r="B34" s="32" t="s">
        <v>61109</v>
      </c>
      <c r="C34" s="31">
        <v>185.0</v>
      </c>
      <c r="D34" s="32" t="s">
        <v>61110</v>
      </c>
      <c r="E34" s="32" t="s">
        <v>61111</v>
      </c>
      <c r="F34" s="33">
        <v>10.0</v>
      </c>
      <c r="G34" s="31">
        <v>1.85480103E8</v>
      </c>
    </row>
    <row r="35" ht="12.75" customHeight="1">
      <c r="A35" s="27">
        <v>148.0</v>
      </c>
      <c r="B35" s="28" t="s">
        <v>61112</v>
      </c>
      <c r="C35" s="27">
        <v>185.0</v>
      </c>
      <c r="D35" s="28" t="s">
        <v>61113</v>
      </c>
      <c r="E35" s="28" t="s">
        <v>61114</v>
      </c>
      <c r="F35" s="29">
        <v>22.0</v>
      </c>
      <c r="G35" s="27">
        <v>1.85480224E8</v>
      </c>
    </row>
    <row r="36" ht="12.75" customHeight="1">
      <c r="A36" s="31">
        <v>148.0</v>
      </c>
      <c r="B36" s="32" t="s">
        <v>61115</v>
      </c>
      <c r="C36" s="31">
        <v>185.0</v>
      </c>
      <c r="D36" s="32" t="s">
        <v>61116</v>
      </c>
      <c r="E36" s="32" t="s">
        <v>61117</v>
      </c>
      <c r="F36" s="33">
        <v>67.0</v>
      </c>
      <c r="G36" s="31">
        <v>1.85480679E8</v>
      </c>
    </row>
    <row r="37" ht="12.75" customHeight="1">
      <c r="A37" s="27">
        <v>148.0</v>
      </c>
      <c r="B37" s="28" t="s">
        <v>61118</v>
      </c>
      <c r="C37" s="27">
        <v>185.0</v>
      </c>
      <c r="D37" s="28" t="s">
        <v>61119</v>
      </c>
      <c r="E37" s="28" t="s">
        <v>61120</v>
      </c>
      <c r="F37" s="27">
        <v>103.0</v>
      </c>
      <c r="G37" s="27">
        <v>1.85481036E8</v>
      </c>
    </row>
    <row r="38" ht="12.75" customHeight="1">
      <c r="A38" s="31">
        <v>749.0</v>
      </c>
      <c r="B38" s="32" t="s">
        <v>61121</v>
      </c>
      <c r="C38" s="31">
        <v>185.0</v>
      </c>
      <c r="D38" s="32" t="s">
        <v>61122</v>
      </c>
      <c r="E38" s="32" t="s">
        <v>61123</v>
      </c>
      <c r="F38" s="33">
        <v>40.0</v>
      </c>
      <c r="G38" s="31">
        <v>1.85490401E8</v>
      </c>
    </row>
    <row r="39" ht="12.75" customHeight="1">
      <c r="A39" s="27">
        <v>450.0</v>
      </c>
      <c r="B39" s="28" t="s">
        <v>61124</v>
      </c>
      <c r="C39" s="27">
        <v>185.0</v>
      </c>
      <c r="D39" s="28" t="s">
        <v>61125</v>
      </c>
      <c r="E39" s="28" t="s">
        <v>61126</v>
      </c>
      <c r="F39" s="29">
        <v>28.0</v>
      </c>
      <c r="G39" s="27">
        <v>1.85500283E8</v>
      </c>
    </row>
    <row r="40" ht="12.75" customHeight="1">
      <c r="A40" s="31">
        <v>450.0</v>
      </c>
      <c r="B40" s="32" t="s">
        <v>61127</v>
      </c>
      <c r="C40" s="31">
        <v>185.0</v>
      </c>
      <c r="D40" s="32" t="s">
        <v>61128</v>
      </c>
      <c r="E40" s="32" t="s">
        <v>61129</v>
      </c>
      <c r="F40" s="33">
        <v>64.0</v>
      </c>
      <c r="G40" s="31">
        <v>1.85500641E8</v>
      </c>
    </row>
    <row r="41" ht="12.75" customHeight="1">
      <c r="A41" s="27">
        <v>450.0</v>
      </c>
      <c r="B41" s="28" t="s">
        <v>61130</v>
      </c>
      <c r="C41" s="27">
        <v>185.0</v>
      </c>
      <c r="D41" s="28" t="s">
        <v>61131</v>
      </c>
      <c r="E41" s="28" t="s">
        <v>61132</v>
      </c>
      <c r="F41" s="29">
        <v>88.0</v>
      </c>
      <c r="G41" s="27">
        <v>1.85500883E8</v>
      </c>
    </row>
    <row r="42" ht="12.75" customHeight="1">
      <c r="A42" s="31">
        <v>450.0</v>
      </c>
      <c r="B42" s="32" t="s">
        <v>61133</v>
      </c>
      <c r="C42" s="31">
        <v>185.0</v>
      </c>
      <c r="D42" s="32" t="s">
        <v>61134</v>
      </c>
      <c r="E42" s="32" t="s">
        <v>61135</v>
      </c>
      <c r="F42" s="33">
        <v>94.0</v>
      </c>
      <c r="G42" s="31">
        <v>1.85500946E8</v>
      </c>
    </row>
    <row r="43" ht="12.75" customHeight="1">
      <c r="A43" s="27">
        <v>450.0</v>
      </c>
      <c r="B43" s="28" t="s">
        <v>61136</v>
      </c>
      <c r="C43" s="27">
        <v>185.0</v>
      </c>
      <c r="D43" s="28" t="s">
        <v>61137</v>
      </c>
      <c r="E43" s="28" t="s">
        <v>61138</v>
      </c>
      <c r="F43" s="27">
        <v>112.0</v>
      </c>
      <c r="G43" s="27">
        <v>1.85501129E8</v>
      </c>
    </row>
    <row r="44" ht="12.75" customHeight="1">
      <c r="A44" s="31">
        <v>450.0</v>
      </c>
      <c r="B44" s="32" t="s">
        <v>61139</v>
      </c>
      <c r="C44" s="31">
        <v>185.0</v>
      </c>
      <c r="D44" s="32" t="s">
        <v>61140</v>
      </c>
      <c r="E44" s="32" t="s">
        <v>61141</v>
      </c>
      <c r="F44" s="31">
        <v>163.0</v>
      </c>
      <c r="G44" s="31">
        <v>1.85501637E8</v>
      </c>
    </row>
    <row r="45" ht="12.75" customHeight="1">
      <c r="A45" s="27">
        <v>251.0</v>
      </c>
      <c r="B45" s="28" t="s">
        <v>61142</v>
      </c>
      <c r="C45" s="27">
        <v>185.0</v>
      </c>
      <c r="D45" s="28" t="s">
        <v>61143</v>
      </c>
      <c r="E45" s="28" t="s">
        <v>61144</v>
      </c>
      <c r="F45" s="29">
        <v>4.0</v>
      </c>
      <c r="G45" s="27">
        <v>1.85510044E8</v>
      </c>
    </row>
    <row r="46" ht="12.75" customHeight="1">
      <c r="A46" s="31">
        <v>251.0</v>
      </c>
      <c r="B46" s="32" t="s">
        <v>61145</v>
      </c>
      <c r="C46" s="31">
        <v>185.0</v>
      </c>
      <c r="D46" s="32" t="s">
        <v>61146</v>
      </c>
      <c r="E46" s="32" t="s">
        <v>61147</v>
      </c>
      <c r="F46" s="33">
        <v>16.0</v>
      </c>
      <c r="G46" s="31">
        <v>1.85510165E8</v>
      </c>
    </row>
    <row r="47" ht="12.75" customHeight="1">
      <c r="A47" s="27">
        <v>251.0</v>
      </c>
      <c r="B47" s="28" t="s">
        <v>61148</v>
      </c>
      <c r="C47" s="27">
        <v>185.0</v>
      </c>
      <c r="D47" s="28" t="s">
        <v>61149</v>
      </c>
      <c r="E47" s="28" t="s">
        <v>61150</v>
      </c>
      <c r="F47" s="29">
        <v>43.0</v>
      </c>
      <c r="G47" s="27">
        <v>1.85510431E8</v>
      </c>
    </row>
    <row r="48" ht="12.75" customHeight="1">
      <c r="A48" s="31">
        <v>251.0</v>
      </c>
      <c r="B48" s="32" t="s">
        <v>61151</v>
      </c>
      <c r="C48" s="31">
        <v>185.0</v>
      </c>
      <c r="D48" s="32" t="s">
        <v>61152</v>
      </c>
      <c r="E48" s="32" t="s">
        <v>61153</v>
      </c>
      <c r="F48" s="33">
        <v>49.0</v>
      </c>
      <c r="G48" s="31">
        <v>1.85510499E8</v>
      </c>
    </row>
    <row r="49" ht="12.75" customHeight="1">
      <c r="A49" s="27">
        <v>251.0</v>
      </c>
      <c r="B49" s="28" t="s">
        <v>61154</v>
      </c>
      <c r="C49" s="27">
        <v>185.0</v>
      </c>
      <c r="D49" s="28" t="s">
        <v>61155</v>
      </c>
      <c r="E49" s="28" t="s">
        <v>61156</v>
      </c>
      <c r="F49" s="29">
        <v>73.0</v>
      </c>
      <c r="G49" s="27">
        <v>1.85510736E8</v>
      </c>
    </row>
    <row r="50" ht="12.75" customHeight="1">
      <c r="A50" s="31">
        <v>251.0</v>
      </c>
      <c r="B50" s="32" t="s">
        <v>61157</v>
      </c>
      <c r="C50" s="31">
        <v>185.0</v>
      </c>
      <c r="D50" s="32" t="s">
        <v>61158</v>
      </c>
      <c r="E50" s="32" t="s">
        <v>61159</v>
      </c>
      <c r="F50" s="33">
        <v>82.0</v>
      </c>
      <c r="G50" s="31">
        <v>1.85510828E8</v>
      </c>
    </row>
    <row r="51" ht="12.75" customHeight="1">
      <c r="A51" s="27">
        <v>251.0</v>
      </c>
      <c r="B51" s="28" t="s">
        <v>61160</v>
      </c>
      <c r="C51" s="27">
        <v>185.0</v>
      </c>
      <c r="D51" s="28" t="s">
        <v>61161</v>
      </c>
      <c r="E51" s="28" t="s">
        <v>61162</v>
      </c>
      <c r="F51" s="29">
        <v>94.0</v>
      </c>
      <c r="G51" s="27">
        <v>1.85510949E8</v>
      </c>
    </row>
    <row r="52" ht="12.75" customHeight="1">
      <c r="A52" s="31">
        <v>251.0</v>
      </c>
      <c r="B52" s="32" t="s">
        <v>61163</v>
      </c>
      <c r="C52" s="31">
        <v>185.0</v>
      </c>
      <c r="D52" s="32" t="s">
        <v>61164</v>
      </c>
      <c r="E52" s="32" t="s">
        <v>61165</v>
      </c>
      <c r="F52" s="31">
        <v>109.0</v>
      </c>
      <c r="G52" s="31">
        <v>1.85511098E8</v>
      </c>
    </row>
    <row r="53" ht="12.75" customHeight="1">
      <c r="A53" s="27">
        <v>251.0</v>
      </c>
      <c r="B53" s="28" t="s">
        <v>61166</v>
      </c>
      <c r="C53" s="27">
        <v>185.0</v>
      </c>
      <c r="D53" s="28" t="s">
        <v>61167</v>
      </c>
      <c r="E53" s="28" t="s">
        <v>61168</v>
      </c>
      <c r="F53" s="27">
        <v>115.0</v>
      </c>
      <c r="G53" s="27">
        <v>1.85511151E8</v>
      </c>
    </row>
    <row r="54" ht="12.75" customHeight="1">
      <c r="A54" s="31">
        <v>752.0</v>
      </c>
      <c r="B54" s="32" t="s">
        <v>61169</v>
      </c>
      <c r="C54" s="31">
        <v>185.0</v>
      </c>
      <c r="D54" s="32" t="s">
        <v>61170</v>
      </c>
      <c r="E54" s="32" t="s">
        <v>61171</v>
      </c>
      <c r="F54" s="33">
        <v>4.0</v>
      </c>
      <c r="G54" s="31">
        <v>1.85520047E8</v>
      </c>
    </row>
    <row r="55" ht="12.75" customHeight="1">
      <c r="A55" s="27">
        <v>752.0</v>
      </c>
      <c r="B55" s="28" t="s">
        <v>61172</v>
      </c>
      <c r="C55" s="27">
        <v>185.0</v>
      </c>
      <c r="D55" s="28" t="s">
        <v>61173</v>
      </c>
      <c r="E55" s="28" t="s">
        <v>61174</v>
      </c>
      <c r="F55" s="29">
        <v>10.0</v>
      </c>
      <c r="G55" s="27">
        <v>1.855201E8</v>
      </c>
    </row>
    <row r="56" ht="12.75" customHeight="1">
      <c r="A56" s="31">
        <v>752.0</v>
      </c>
      <c r="B56" s="32" t="s">
        <v>61175</v>
      </c>
      <c r="C56" s="31">
        <v>185.0</v>
      </c>
      <c r="D56" s="32" t="s">
        <v>61176</v>
      </c>
      <c r="E56" s="32" t="s">
        <v>61177</v>
      </c>
      <c r="F56" s="33">
        <v>46.0</v>
      </c>
      <c r="G56" s="31">
        <v>1.85520463E8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752.0</v>
      </c>
      <c r="B1" s="28" t="s">
        <v>61178</v>
      </c>
      <c r="C1" s="27">
        <v>185.0</v>
      </c>
      <c r="D1" s="28" t="s">
        <v>61179</v>
      </c>
      <c r="E1" s="28" t="s">
        <v>61180</v>
      </c>
      <c r="F1" s="29">
        <v>58.0</v>
      </c>
      <c r="G1" s="27">
        <v>1.85520584E8</v>
      </c>
    </row>
    <row r="2" ht="12.75" customHeight="1">
      <c r="A2" s="31">
        <v>354.0</v>
      </c>
      <c r="B2" s="32" t="s">
        <v>61181</v>
      </c>
      <c r="C2" s="31">
        <v>185.0</v>
      </c>
      <c r="D2" s="32" t="s">
        <v>61182</v>
      </c>
      <c r="E2" s="32" t="s">
        <v>61183</v>
      </c>
      <c r="F2" s="33">
        <v>40.0</v>
      </c>
      <c r="G2" s="31">
        <v>1.85540401E8</v>
      </c>
    </row>
    <row r="3" ht="12.75" customHeight="1">
      <c r="A3" s="27">
        <v>354.0</v>
      </c>
      <c r="B3" s="28" t="s">
        <v>61184</v>
      </c>
      <c r="C3" s="27">
        <v>185.0</v>
      </c>
      <c r="D3" s="28" t="s">
        <v>61185</v>
      </c>
      <c r="E3" s="28" t="s">
        <v>61186</v>
      </c>
      <c r="F3" s="29">
        <v>73.0</v>
      </c>
      <c r="G3" s="27">
        <v>1.85540735E8</v>
      </c>
    </row>
    <row r="4" ht="12.75" customHeight="1">
      <c r="A4" s="31">
        <v>455.0</v>
      </c>
      <c r="B4" s="32" t="s">
        <v>61187</v>
      </c>
      <c r="C4" s="31">
        <v>185.0</v>
      </c>
      <c r="D4" s="32" t="s">
        <v>61188</v>
      </c>
      <c r="E4" s="32" t="s">
        <v>61189</v>
      </c>
      <c r="F4" s="33">
        <v>28.0</v>
      </c>
      <c r="G4" s="31">
        <v>1.85550288E8</v>
      </c>
    </row>
    <row r="5" ht="12.75" customHeight="1">
      <c r="A5" s="27">
        <v>455.0</v>
      </c>
      <c r="B5" s="28" t="s">
        <v>61190</v>
      </c>
      <c r="C5" s="27">
        <v>185.0</v>
      </c>
      <c r="D5" s="28" t="s">
        <v>61191</v>
      </c>
      <c r="E5" s="28" t="s">
        <v>61192</v>
      </c>
      <c r="F5" s="29">
        <v>55.0</v>
      </c>
      <c r="G5" s="27">
        <v>1.85550554E8</v>
      </c>
    </row>
    <row r="6" ht="12.75" customHeight="1">
      <c r="A6" s="31">
        <v>156.0</v>
      </c>
      <c r="B6" s="32" t="s">
        <v>61193</v>
      </c>
      <c r="C6" s="31">
        <v>185.0</v>
      </c>
      <c r="D6" s="32" t="s">
        <v>61194</v>
      </c>
      <c r="E6" s="32" t="s">
        <v>61195</v>
      </c>
      <c r="F6" s="33">
        <v>5.0</v>
      </c>
      <c r="G6" s="31">
        <v>1.85560052E8</v>
      </c>
    </row>
    <row r="7" ht="12.75" customHeight="1">
      <c r="A7" s="27">
        <v>156.0</v>
      </c>
      <c r="B7" s="28" t="s">
        <v>61196</v>
      </c>
      <c r="C7" s="27">
        <v>185.0</v>
      </c>
      <c r="D7" s="28" t="s">
        <v>61197</v>
      </c>
      <c r="E7" s="28" t="s">
        <v>61198</v>
      </c>
      <c r="F7" s="29">
        <v>7.0</v>
      </c>
      <c r="G7" s="27">
        <v>1.85560078E8</v>
      </c>
    </row>
    <row r="8" ht="12.75" customHeight="1">
      <c r="A8" s="31">
        <v>156.0</v>
      </c>
      <c r="B8" s="32" t="s">
        <v>61199</v>
      </c>
      <c r="C8" s="31">
        <v>185.0</v>
      </c>
      <c r="D8" s="32" t="s">
        <v>61200</v>
      </c>
      <c r="E8" s="32" t="s">
        <v>61201</v>
      </c>
      <c r="F8" s="33">
        <v>34.0</v>
      </c>
      <c r="G8" s="31">
        <v>1.85560344E8</v>
      </c>
    </row>
    <row r="9" ht="12.75" customHeight="1">
      <c r="A9" s="27">
        <v>156.0</v>
      </c>
      <c r="B9" s="28" t="s">
        <v>61202</v>
      </c>
      <c r="C9" s="27">
        <v>185.0</v>
      </c>
      <c r="D9" s="28" t="s">
        <v>61203</v>
      </c>
      <c r="E9" s="28" t="s">
        <v>61204</v>
      </c>
      <c r="F9" s="29">
        <v>38.0</v>
      </c>
      <c r="G9" s="27">
        <v>1.85560386E8</v>
      </c>
    </row>
    <row r="10" ht="12.75" customHeight="1">
      <c r="A10" s="31">
        <v>156.0</v>
      </c>
      <c r="B10" s="32" t="s">
        <v>61205</v>
      </c>
      <c r="C10" s="31">
        <v>185.0</v>
      </c>
      <c r="D10" s="32" t="s">
        <v>61206</v>
      </c>
      <c r="E10" s="32" t="s">
        <v>61207</v>
      </c>
      <c r="F10" s="33">
        <v>55.0</v>
      </c>
      <c r="G10" s="31">
        <v>1.85560557E8</v>
      </c>
    </row>
    <row r="11" ht="12.75" customHeight="1">
      <c r="A11" s="27">
        <v>156.0</v>
      </c>
      <c r="B11" s="28" t="s">
        <v>61208</v>
      </c>
      <c r="C11" s="27">
        <v>185.0</v>
      </c>
      <c r="D11" s="28" t="s">
        <v>61209</v>
      </c>
      <c r="E11" s="28" t="s">
        <v>61210</v>
      </c>
      <c r="F11" s="29">
        <v>61.0</v>
      </c>
      <c r="G11" s="27">
        <v>1.8556061E8</v>
      </c>
    </row>
    <row r="12" ht="12.75" customHeight="1">
      <c r="A12" s="31">
        <v>156.0</v>
      </c>
      <c r="B12" s="32" t="s">
        <v>61211</v>
      </c>
      <c r="C12" s="31">
        <v>185.0</v>
      </c>
      <c r="D12" s="32" t="s">
        <v>61212</v>
      </c>
      <c r="E12" s="32" t="s">
        <v>61213</v>
      </c>
      <c r="F12" s="33">
        <v>76.0</v>
      </c>
      <c r="G12" s="31">
        <v>1.8556076E8</v>
      </c>
    </row>
    <row r="13" ht="12.75" customHeight="1">
      <c r="A13" s="27">
        <v>457.0</v>
      </c>
      <c r="B13" s="28" t="s">
        <v>61214</v>
      </c>
      <c r="C13" s="27">
        <v>185.0</v>
      </c>
      <c r="D13" s="28" t="s">
        <v>61215</v>
      </c>
      <c r="E13" s="28" t="s">
        <v>61216</v>
      </c>
      <c r="F13" s="29">
        <v>37.0</v>
      </c>
      <c r="G13" s="27">
        <v>1.85570376E8</v>
      </c>
    </row>
    <row r="14" ht="12.75" customHeight="1">
      <c r="A14" s="31">
        <v>457.0</v>
      </c>
      <c r="B14" s="32" t="s">
        <v>61217</v>
      </c>
      <c r="C14" s="31">
        <v>185.0</v>
      </c>
      <c r="D14" s="32" t="s">
        <v>61218</v>
      </c>
      <c r="E14" s="32" t="s">
        <v>61219</v>
      </c>
      <c r="F14" s="33">
        <v>46.0</v>
      </c>
      <c r="G14" s="31">
        <v>1.85570468E8</v>
      </c>
    </row>
    <row r="15" ht="12.75" customHeight="1">
      <c r="A15" s="27">
        <v>858.0</v>
      </c>
      <c r="B15" s="28" t="s">
        <v>61220</v>
      </c>
      <c r="C15" s="27">
        <v>185.0</v>
      </c>
      <c r="D15" s="28" t="s">
        <v>61221</v>
      </c>
      <c r="E15" s="28" t="s">
        <v>61222</v>
      </c>
      <c r="F15" s="29">
        <v>5.0</v>
      </c>
      <c r="G15" s="27">
        <v>1.85580058E8</v>
      </c>
    </row>
    <row r="16" ht="12.75" customHeight="1">
      <c r="A16" s="31">
        <v>858.0</v>
      </c>
      <c r="B16" s="32" t="s">
        <v>61223</v>
      </c>
      <c r="C16" s="31">
        <v>185.0</v>
      </c>
      <c r="D16" s="32" t="s">
        <v>61224</v>
      </c>
      <c r="E16" s="32" t="s">
        <v>61225</v>
      </c>
      <c r="F16" s="33">
        <v>7.0</v>
      </c>
      <c r="G16" s="31">
        <v>1.85580074E8</v>
      </c>
    </row>
    <row r="17" ht="12.75" customHeight="1">
      <c r="A17" s="27">
        <v>858.0</v>
      </c>
      <c r="B17" s="28" t="s">
        <v>61226</v>
      </c>
      <c r="C17" s="27">
        <v>185.0</v>
      </c>
      <c r="D17" s="28" t="s">
        <v>61227</v>
      </c>
      <c r="E17" s="28" t="s">
        <v>61228</v>
      </c>
      <c r="F17" s="29">
        <v>31.0</v>
      </c>
      <c r="G17" s="27">
        <v>1.85580311E8</v>
      </c>
    </row>
    <row r="18" ht="12.75" customHeight="1">
      <c r="A18" s="31">
        <v>858.0</v>
      </c>
      <c r="B18" s="32" t="s">
        <v>61229</v>
      </c>
      <c r="C18" s="31">
        <v>185.0</v>
      </c>
      <c r="D18" s="32" t="s">
        <v>61230</v>
      </c>
      <c r="E18" s="32" t="s">
        <v>61231</v>
      </c>
      <c r="F18" s="33">
        <v>37.0</v>
      </c>
      <c r="G18" s="31">
        <v>1.85580379E8</v>
      </c>
    </row>
    <row r="19" ht="12.75" customHeight="1">
      <c r="A19" s="27">
        <v>858.0</v>
      </c>
      <c r="B19" s="28" t="s">
        <v>61232</v>
      </c>
      <c r="C19" s="27">
        <v>185.0</v>
      </c>
      <c r="D19" s="28" t="s">
        <v>61233</v>
      </c>
      <c r="E19" s="28" t="s">
        <v>61234</v>
      </c>
      <c r="F19" s="29">
        <v>91.0</v>
      </c>
      <c r="G19" s="27">
        <v>1.85580911E8</v>
      </c>
    </row>
    <row r="20" ht="12.75" customHeight="1">
      <c r="A20" s="31">
        <v>858.0</v>
      </c>
      <c r="B20" s="32" t="s">
        <v>61235</v>
      </c>
      <c r="C20" s="31">
        <v>185.0</v>
      </c>
      <c r="D20" s="32" t="s">
        <v>61236</v>
      </c>
      <c r="E20" s="32" t="s">
        <v>61237</v>
      </c>
      <c r="F20" s="33">
        <v>94.0</v>
      </c>
      <c r="G20" s="31">
        <v>1.8558094E8</v>
      </c>
    </row>
    <row r="21" ht="12.75" customHeight="1">
      <c r="A21" s="27">
        <v>858.0</v>
      </c>
      <c r="B21" s="28" t="s">
        <v>61238</v>
      </c>
      <c r="C21" s="27">
        <v>185.0</v>
      </c>
      <c r="D21" s="28" t="s">
        <v>61239</v>
      </c>
      <c r="E21" s="28" t="s">
        <v>61240</v>
      </c>
      <c r="F21" s="27">
        <v>106.0</v>
      </c>
      <c r="G21" s="27">
        <v>1.8558106E8</v>
      </c>
    </row>
    <row r="22" ht="12.75" customHeight="1">
      <c r="A22" s="31">
        <v>858.0</v>
      </c>
      <c r="B22" s="32" t="s">
        <v>61241</v>
      </c>
      <c r="C22" s="31">
        <v>185.0</v>
      </c>
      <c r="D22" s="32" t="s">
        <v>61242</v>
      </c>
      <c r="E22" s="32" t="s">
        <v>61243</v>
      </c>
      <c r="F22" s="31">
        <v>127.0</v>
      </c>
      <c r="G22" s="31">
        <v>1.85581273E8</v>
      </c>
    </row>
    <row r="23" ht="12.75" customHeight="1">
      <c r="A23" s="27">
        <v>858.0</v>
      </c>
      <c r="B23" s="28" t="s">
        <v>61244</v>
      </c>
      <c r="C23" s="27">
        <v>185.0</v>
      </c>
      <c r="D23" s="28" t="s">
        <v>61245</v>
      </c>
      <c r="E23" s="28" t="s">
        <v>61246</v>
      </c>
      <c r="F23" s="27">
        <v>130.0</v>
      </c>
      <c r="G23" s="27">
        <v>1.85581307E8</v>
      </c>
    </row>
    <row r="24" ht="12.75" customHeight="1">
      <c r="A24" s="31">
        <v>858.0</v>
      </c>
      <c r="B24" s="32" t="s">
        <v>61247</v>
      </c>
      <c r="C24" s="31">
        <v>185.0</v>
      </c>
      <c r="D24" s="32" t="s">
        <v>61248</v>
      </c>
      <c r="E24" s="32" t="s">
        <v>61249</v>
      </c>
      <c r="F24" s="31">
        <v>145.0</v>
      </c>
      <c r="G24" s="31">
        <v>1.85581457E8</v>
      </c>
    </row>
    <row r="25" ht="12.75" customHeight="1">
      <c r="A25" s="27">
        <v>858.0</v>
      </c>
      <c r="B25" s="28" t="s">
        <v>61250</v>
      </c>
      <c r="C25" s="27">
        <v>185.0</v>
      </c>
      <c r="D25" s="28" t="s">
        <v>61251</v>
      </c>
      <c r="E25" s="28" t="s">
        <v>61252</v>
      </c>
      <c r="F25" s="27">
        <v>166.0</v>
      </c>
      <c r="G25" s="27">
        <v>1.8558166E8</v>
      </c>
    </row>
    <row r="26" ht="12.75" customHeight="1">
      <c r="A26" s="31">
        <v>858.0</v>
      </c>
      <c r="B26" s="32" t="s">
        <v>61253</v>
      </c>
      <c r="C26" s="31">
        <v>185.0</v>
      </c>
      <c r="D26" s="32" t="s">
        <v>61254</v>
      </c>
      <c r="E26" s="32" t="s">
        <v>61255</v>
      </c>
      <c r="F26" s="31">
        <v>172.0</v>
      </c>
      <c r="G26" s="31">
        <v>1.85581723E8</v>
      </c>
    </row>
    <row r="27" ht="12.75" customHeight="1">
      <c r="A27" s="27">
        <v>858.0</v>
      </c>
      <c r="B27" s="28" t="s">
        <v>61256</v>
      </c>
      <c r="C27" s="27">
        <v>185.0</v>
      </c>
      <c r="D27" s="28" t="s">
        <v>61257</v>
      </c>
      <c r="E27" s="28" t="s">
        <v>61258</v>
      </c>
      <c r="F27" s="27">
        <v>178.0</v>
      </c>
      <c r="G27" s="27">
        <v>1.85581781E8</v>
      </c>
    </row>
    <row r="28" ht="12.75" customHeight="1">
      <c r="A28" s="31">
        <v>159.0</v>
      </c>
      <c r="B28" s="32" t="s">
        <v>61259</v>
      </c>
      <c r="C28" s="31">
        <v>185.0</v>
      </c>
      <c r="D28" s="32" t="s">
        <v>61260</v>
      </c>
      <c r="E28" s="32" t="s">
        <v>61261</v>
      </c>
      <c r="F28" s="33">
        <v>22.0</v>
      </c>
      <c r="G28" s="31">
        <v>1.85590222E8</v>
      </c>
    </row>
    <row r="29" ht="12.75" customHeight="1">
      <c r="A29" s="27">
        <v>159.0</v>
      </c>
      <c r="B29" s="28" t="s">
        <v>61262</v>
      </c>
      <c r="C29" s="27">
        <v>185.0</v>
      </c>
      <c r="D29" s="28" t="s">
        <v>61263</v>
      </c>
      <c r="E29" s="28" t="s">
        <v>61264</v>
      </c>
      <c r="F29" s="29">
        <v>85.0</v>
      </c>
      <c r="G29" s="27">
        <v>1.85590851E8</v>
      </c>
    </row>
    <row r="30" ht="12.75" customHeight="1">
      <c r="A30" s="31">
        <v>159.0</v>
      </c>
      <c r="B30" s="32" t="s">
        <v>61265</v>
      </c>
      <c r="C30" s="31">
        <v>185.0</v>
      </c>
      <c r="D30" s="32" t="s">
        <v>61266</v>
      </c>
      <c r="E30" s="32" t="s">
        <v>61267</v>
      </c>
      <c r="F30" s="33">
        <v>97.0</v>
      </c>
      <c r="G30" s="31">
        <v>1.85590972E8</v>
      </c>
    </row>
    <row r="31" ht="12.75" customHeight="1">
      <c r="A31" s="27">
        <v>159.0</v>
      </c>
      <c r="B31" s="28" t="s">
        <v>61268</v>
      </c>
      <c r="C31" s="27">
        <v>185.0</v>
      </c>
      <c r="D31" s="28" t="s">
        <v>61269</v>
      </c>
      <c r="E31" s="28" t="s">
        <v>61270</v>
      </c>
      <c r="F31" s="27">
        <v>103.0</v>
      </c>
      <c r="G31" s="27">
        <v>1.85591034E8</v>
      </c>
    </row>
    <row r="32" ht="12.75" customHeight="1">
      <c r="A32" s="31">
        <v>159.0</v>
      </c>
      <c r="B32" s="32" t="s">
        <v>61271</v>
      </c>
      <c r="C32" s="31">
        <v>185.0</v>
      </c>
      <c r="D32" s="32" t="s">
        <v>61272</v>
      </c>
      <c r="E32" s="32" t="s">
        <v>61273</v>
      </c>
      <c r="F32" s="31">
        <v>109.0</v>
      </c>
      <c r="G32" s="31">
        <v>1.85591092E8</v>
      </c>
    </row>
    <row r="33" ht="12.75" customHeight="1">
      <c r="A33" s="27">
        <v>161.0</v>
      </c>
      <c r="B33" s="28" t="s">
        <v>61274</v>
      </c>
      <c r="C33" s="27">
        <v>185.0</v>
      </c>
      <c r="D33" s="28" t="s">
        <v>61275</v>
      </c>
      <c r="E33" s="28" t="s">
        <v>61276</v>
      </c>
      <c r="F33" s="29">
        <v>5.0</v>
      </c>
      <c r="G33" s="27">
        <v>1.85610052E8</v>
      </c>
    </row>
    <row r="34" ht="12.75" customHeight="1">
      <c r="A34" s="31">
        <v>161.0</v>
      </c>
      <c r="B34" s="32" t="s">
        <v>61277</v>
      </c>
      <c r="C34" s="31">
        <v>185.0</v>
      </c>
      <c r="D34" s="32" t="s">
        <v>61278</v>
      </c>
      <c r="E34" s="32" t="s">
        <v>61279</v>
      </c>
      <c r="F34" s="33">
        <v>25.0</v>
      </c>
      <c r="G34" s="31">
        <v>1.85610252E8</v>
      </c>
    </row>
    <row r="35" ht="12.75" customHeight="1">
      <c r="A35" s="27">
        <v>161.0</v>
      </c>
      <c r="B35" s="28" t="s">
        <v>61280</v>
      </c>
      <c r="C35" s="27">
        <v>185.0</v>
      </c>
      <c r="D35" s="28" t="s">
        <v>61281</v>
      </c>
      <c r="E35" s="28" t="s">
        <v>61282</v>
      </c>
      <c r="F35" s="29">
        <v>58.0</v>
      </c>
      <c r="G35" s="27">
        <v>1.85610586E8</v>
      </c>
    </row>
    <row r="36" ht="12.75" customHeight="1">
      <c r="A36" s="31">
        <v>161.0</v>
      </c>
      <c r="B36" s="32" t="s">
        <v>61283</v>
      </c>
      <c r="C36" s="31">
        <v>185.0</v>
      </c>
      <c r="D36" s="32" t="s">
        <v>61284</v>
      </c>
      <c r="E36" s="32" t="s">
        <v>61285</v>
      </c>
      <c r="F36" s="33">
        <v>61.0</v>
      </c>
      <c r="G36" s="31">
        <v>1.8561061E8</v>
      </c>
    </row>
    <row r="37" ht="12.75" customHeight="1">
      <c r="A37" s="27">
        <v>161.0</v>
      </c>
      <c r="B37" s="28" t="s">
        <v>61286</v>
      </c>
      <c r="C37" s="27">
        <v>185.0</v>
      </c>
      <c r="D37" s="28" t="s">
        <v>61287</v>
      </c>
      <c r="E37" s="28" t="s">
        <v>61288</v>
      </c>
      <c r="F37" s="29">
        <v>82.0</v>
      </c>
      <c r="G37" s="27">
        <v>1.85610823E8</v>
      </c>
    </row>
    <row r="38" ht="12.75" customHeight="1">
      <c r="A38" s="31">
        <v>161.0</v>
      </c>
      <c r="B38" s="32" t="s">
        <v>61289</v>
      </c>
      <c r="C38" s="31">
        <v>185.0</v>
      </c>
      <c r="D38" s="32" t="s">
        <v>61290</v>
      </c>
      <c r="E38" s="32" t="s">
        <v>61291</v>
      </c>
      <c r="F38" s="33">
        <v>91.0</v>
      </c>
      <c r="G38" s="31">
        <v>1.85610915E8</v>
      </c>
    </row>
    <row r="39" ht="12.75" customHeight="1">
      <c r="A39" s="27">
        <v>161.0</v>
      </c>
      <c r="B39" s="28" t="s">
        <v>61292</v>
      </c>
      <c r="C39" s="27">
        <v>185.0</v>
      </c>
      <c r="D39" s="28" t="s">
        <v>61293</v>
      </c>
      <c r="E39" s="28" t="s">
        <v>61294</v>
      </c>
      <c r="F39" s="27">
        <v>100.0</v>
      </c>
      <c r="G39" s="27">
        <v>1.85611006E8</v>
      </c>
    </row>
    <row r="40" ht="12.75" customHeight="1">
      <c r="A40" s="31">
        <v>161.0</v>
      </c>
      <c r="B40" s="32" t="s">
        <v>61295</v>
      </c>
      <c r="C40" s="31">
        <v>185.0</v>
      </c>
      <c r="D40" s="32" t="s">
        <v>61296</v>
      </c>
      <c r="E40" s="32" t="s">
        <v>61297</v>
      </c>
      <c r="F40" s="31">
        <v>139.0</v>
      </c>
      <c r="G40" s="31">
        <v>1.85611398E8</v>
      </c>
    </row>
    <row r="41" ht="12.75" customHeight="1">
      <c r="A41" s="27">
        <v>161.0</v>
      </c>
      <c r="B41" s="28" t="s">
        <v>61298</v>
      </c>
      <c r="C41" s="27">
        <v>185.0</v>
      </c>
      <c r="D41" s="28" t="s">
        <v>61299</v>
      </c>
      <c r="E41" s="28" t="s">
        <v>61300</v>
      </c>
      <c r="F41" s="27">
        <v>151.0</v>
      </c>
      <c r="G41" s="27">
        <v>1.85611514E8</v>
      </c>
    </row>
    <row r="42" ht="12.75" customHeight="1">
      <c r="A42" s="31">
        <v>161.0</v>
      </c>
      <c r="B42" s="32" t="s">
        <v>61301</v>
      </c>
      <c r="C42" s="31">
        <v>185.0</v>
      </c>
      <c r="D42" s="32" t="s">
        <v>61302</v>
      </c>
      <c r="E42" s="32" t="s">
        <v>61303</v>
      </c>
      <c r="F42" s="31">
        <v>169.0</v>
      </c>
      <c r="G42" s="31">
        <v>1.85611693E8</v>
      </c>
    </row>
    <row r="43" ht="12.75" customHeight="1">
      <c r="A43" s="27">
        <v>161.0</v>
      </c>
      <c r="B43" s="28" t="s">
        <v>61304</v>
      </c>
      <c r="C43" s="27">
        <v>185.0</v>
      </c>
      <c r="D43" s="28" t="s">
        <v>61305</v>
      </c>
      <c r="E43" s="28" t="s">
        <v>61306</v>
      </c>
      <c r="F43" s="27">
        <v>190.0</v>
      </c>
      <c r="G43" s="27">
        <v>1.85611901E8</v>
      </c>
    </row>
    <row r="44" ht="12.75" customHeight="1">
      <c r="A44" s="31">
        <v>161.0</v>
      </c>
      <c r="B44" s="32" t="s">
        <v>61307</v>
      </c>
      <c r="C44" s="31">
        <v>185.0</v>
      </c>
      <c r="D44" s="32" t="s">
        <v>61308</v>
      </c>
      <c r="E44" s="32" t="s">
        <v>61309</v>
      </c>
      <c r="F44" s="31">
        <v>202.0</v>
      </c>
      <c r="G44" s="31">
        <v>1.85612021E8</v>
      </c>
    </row>
    <row r="45" ht="12.75" customHeight="1">
      <c r="A45" s="27">
        <v>161.0</v>
      </c>
      <c r="B45" s="28" t="s">
        <v>61310</v>
      </c>
      <c r="C45" s="27">
        <v>185.0</v>
      </c>
      <c r="D45" s="28" t="s">
        <v>61311</v>
      </c>
      <c r="E45" s="28" t="s">
        <v>61312</v>
      </c>
      <c r="F45" s="27">
        <v>211.0</v>
      </c>
      <c r="G45" s="27">
        <v>1.85612113E8</v>
      </c>
    </row>
    <row r="46" ht="12.75" customHeight="1">
      <c r="A46" s="31">
        <v>161.0</v>
      </c>
      <c r="B46" s="32" t="s">
        <v>61313</v>
      </c>
      <c r="C46" s="31">
        <v>185.0</v>
      </c>
      <c r="D46" s="32" t="s">
        <v>61314</v>
      </c>
      <c r="E46" s="32" t="s">
        <v>61315</v>
      </c>
      <c r="F46" s="31">
        <v>220.0</v>
      </c>
      <c r="G46" s="31">
        <v>1.85612205E8</v>
      </c>
    </row>
    <row r="47" ht="12.75" customHeight="1">
      <c r="A47" s="27">
        <v>161.0</v>
      </c>
      <c r="B47" s="28" t="s">
        <v>61316</v>
      </c>
      <c r="C47" s="27">
        <v>185.0</v>
      </c>
      <c r="D47" s="28" t="s">
        <v>61317</v>
      </c>
      <c r="E47" s="28" t="s">
        <v>61318</v>
      </c>
      <c r="F47" s="27">
        <v>232.0</v>
      </c>
      <c r="G47" s="27">
        <v>1.85612326E8</v>
      </c>
    </row>
    <row r="48" ht="12.75" customHeight="1">
      <c r="A48" s="31">
        <v>161.0</v>
      </c>
      <c r="B48" s="32" t="s">
        <v>61319</v>
      </c>
      <c r="C48" s="31">
        <v>185.0</v>
      </c>
      <c r="D48" s="32" t="s">
        <v>61320</v>
      </c>
      <c r="E48" s="32" t="s">
        <v>61321</v>
      </c>
      <c r="F48" s="31">
        <v>235.0</v>
      </c>
      <c r="G48" s="31">
        <v>1.85612355E8</v>
      </c>
    </row>
    <row r="49" ht="12.75" customHeight="1">
      <c r="A49" s="27">
        <v>161.0</v>
      </c>
      <c r="B49" s="28" t="s">
        <v>61322</v>
      </c>
      <c r="C49" s="27">
        <v>185.0</v>
      </c>
      <c r="D49" s="28" t="s">
        <v>61323</v>
      </c>
      <c r="E49" s="28" t="s">
        <v>61324</v>
      </c>
      <c r="F49" s="27">
        <v>238.0</v>
      </c>
      <c r="G49" s="27">
        <v>1.85612384E8</v>
      </c>
    </row>
    <row r="50" ht="12.75" customHeight="1">
      <c r="A50" s="31">
        <v>564.0</v>
      </c>
      <c r="B50" s="32" t="s">
        <v>61325</v>
      </c>
      <c r="C50" s="31">
        <v>185.0</v>
      </c>
      <c r="D50" s="32" t="s">
        <v>61326</v>
      </c>
      <c r="E50" s="32" t="s">
        <v>61327</v>
      </c>
      <c r="F50" s="33">
        <v>19.0</v>
      </c>
      <c r="G50" s="31">
        <v>1.85640198E8</v>
      </c>
    </row>
    <row r="51" ht="12.75" customHeight="1">
      <c r="A51" s="27">
        <v>564.0</v>
      </c>
      <c r="B51" s="28" t="s">
        <v>61328</v>
      </c>
      <c r="C51" s="27">
        <v>185.0</v>
      </c>
      <c r="D51" s="28" t="s">
        <v>61329</v>
      </c>
      <c r="E51" s="28" t="s">
        <v>61330</v>
      </c>
      <c r="F51" s="29">
        <v>73.0</v>
      </c>
      <c r="G51" s="27">
        <v>1.8564073E8</v>
      </c>
    </row>
    <row r="52" ht="12.75" customHeight="1">
      <c r="A52" s="31">
        <v>564.0</v>
      </c>
      <c r="B52" s="32" t="s">
        <v>61331</v>
      </c>
      <c r="C52" s="31">
        <v>185.0</v>
      </c>
      <c r="D52" s="32" t="s">
        <v>61332</v>
      </c>
      <c r="E52" s="32" t="s">
        <v>61333</v>
      </c>
      <c r="F52" s="31">
        <v>127.0</v>
      </c>
      <c r="G52" s="31">
        <v>1.85641276E8</v>
      </c>
    </row>
    <row r="53" ht="12.75" customHeight="1">
      <c r="A53" s="27">
        <v>564.0</v>
      </c>
      <c r="B53" s="28" t="s">
        <v>61334</v>
      </c>
      <c r="C53" s="27">
        <v>185.0</v>
      </c>
      <c r="D53" s="28" t="s">
        <v>61335</v>
      </c>
      <c r="E53" s="28" t="s">
        <v>61336</v>
      </c>
      <c r="F53" s="27">
        <v>169.0</v>
      </c>
      <c r="G53" s="27">
        <v>1.85641692E8</v>
      </c>
    </row>
    <row r="54" ht="12.75" customHeight="1">
      <c r="A54" s="31">
        <v>465.0</v>
      </c>
      <c r="B54" s="32" t="s">
        <v>61337</v>
      </c>
      <c r="C54" s="31">
        <v>185.0</v>
      </c>
      <c r="D54" s="32" t="s">
        <v>61338</v>
      </c>
      <c r="E54" s="32" t="s">
        <v>61339</v>
      </c>
      <c r="F54" s="33">
        <v>49.0</v>
      </c>
      <c r="G54" s="31">
        <v>1.85650496E8</v>
      </c>
    </row>
    <row r="55" ht="12.75" customHeight="1">
      <c r="A55" s="27">
        <v>465.0</v>
      </c>
      <c r="B55" s="28" t="s">
        <v>61340</v>
      </c>
      <c r="C55" s="27">
        <v>185.0</v>
      </c>
      <c r="D55" s="28" t="s">
        <v>61341</v>
      </c>
      <c r="E55" s="28" t="s">
        <v>61342</v>
      </c>
      <c r="F55" s="29">
        <v>64.0</v>
      </c>
      <c r="G55" s="27">
        <v>1.85650641E8</v>
      </c>
    </row>
    <row r="56" ht="12.75" customHeight="1">
      <c r="A56" s="31">
        <v>167.0</v>
      </c>
      <c r="B56" s="32" t="s">
        <v>61343</v>
      </c>
      <c r="C56" s="31">
        <v>185.0</v>
      </c>
      <c r="D56" s="32" t="s">
        <v>61344</v>
      </c>
      <c r="E56" s="32" t="s">
        <v>61345</v>
      </c>
      <c r="F56" s="33">
        <v>7.0</v>
      </c>
      <c r="G56" s="31">
        <v>1.85670076E8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167.0</v>
      </c>
      <c r="B1" s="28" t="s">
        <v>61346</v>
      </c>
      <c r="C1" s="27">
        <v>185.0</v>
      </c>
      <c r="D1" s="28" t="s">
        <v>61347</v>
      </c>
      <c r="E1" s="28" t="s">
        <v>61348</v>
      </c>
      <c r="F1" s="29">
        <v>19.0</v>
      </c>
      <c r="G1" s="27">
        <v>1.85670197E8</v>
      </c>
    </row>
    <row r="2" ht="12.75" customHeight="1">
      <c r="A2" s="31">
        <v>167.0</v>
      </c>
      <c r="B2" s="32" t="s">
        <v>61349</v>
      </c>
      <c r="C2" s="31">
        <v>185.0</v>
      </c>
      <c r="D2" s="32" t="s">
        <v>61350</v>
      </c>
      <c r="E2" s="32" t="s">
        <v>61351</v>
      </c>
      <c r="F2" s="33">
        <v>22.0</v>
      </c>
      <c r="G2" s="31">
        <v>1.85670221E8</v>
      </c>
    </row>
    <row r="3" ht="12.75" customHeight="1">
      <c r="A3" s="27">
        <v>167.0</v>
      </c>
      <c r="B3" s="28" t="s">
        <v>61352</v>
      </c>
      <c r="C3" s="27">
        <v>185.0</v>
      </c>
      <c r="D3" s="28" t="s">
        <v>61353</v>
      </c>
      <c r="E3" s="28" t="s">
        <v>61354</v>
      </c>
      <c r="F3" s="29">
        <v>52.0</v>
      </c>
      <c r="G3" s="27">
        <v>1.85670526E8</v>
      </c>
    </row>
    <row r="4" ht="12.75" customHeight="1">
      <c r="A4" s="31">
        <v>167.0</v>
      </c>
      <c r="B4" s="32" t="s">
        <v>61355</v>
      </c>
      <c r="C4" s="31">
        <v>185.0</v>
      </c>
      <c r="D4" s="32" t="s">
        <v>61356</v>
      </c>
      <c r="E4" s="32" t="s">
        <v>61357</v>
      </c>
      <c r="F4" s="33">
        <v>76.0</v>
      </c>
      <c r="G4" s="31">
        <v>1.85670768E8</v>
      </c>
    </row>
    <row r="5" ht="12.75" customHeight="1">
      <c r="A5" s="27">
        <v>167.0</v>
      </c>
      <c r="B5" s="28" t="s">
        <v>61358</v>
      </c>
      <c r="C5" s="27">
        <v>185.0</v>
      </c>
      <c r="D5" s="28" t="s">
        <v>61359</v>
      </c>
      <c r="E5" s="28" t="s">
        <v>61360</v>
      </c>
      <c r="F5" s="27">
        <v>142.0</v>
      </c>
      <c r="G5" s="27">
        <v>1.8567142E8</v>
      </c>
    </row>
    <row r="6" ht="12.75" customHeight="1">
      <c r="A6" s="31">
        <v>167.0</v>
      </c>
      <c r="B6" s="32" t="s">
        <v>61361</v>
      </c>
      <c r="C6" s="31">
        <v>185.0</v>
      </c>
      <c r="D6" s="32" t="s">
        <v>61362</v>
      </c>
      <c r="E6" s="32" t="s">
        <v>61363</v>
      </c>
      <c r="F6" s="31">
        <v>148.0</v>
      </c>
      <c r="G6" s="31">
        <v>1.85671488E8</v>
      </c>
    </row>
    <row r="7" ht="12.75" customHeight="1">
      <c r="A7" s="27">
        <v>167.0</v>
      </c>
      <c r="B7" s="28" t="s">
        <v>61364</v>
      </c>
      <c r="C7" s="27">
        <v>185.0</v>
      </c>
      <c r="D7" s="28" t="s">
        <v>61365</v>
      </c>
      <c r="E7" s="28" t="s">
        <v>61366</v>
      </c>
      <c r="F7" s="27">
        <v>175.0</v>
      </c>
      <c r="G7" s="27">
        <v>1.85671754E8</v>
      </c>
    </row>
    <row r="8" ht="12.75" customHeight="1">
      <c r="A8" s="31">
        <v>168.0</v>
      </c>
      <c r="B8" s="32" t="s">
        <v>61367</v>
      </c>
      <c r="C8" s="31">
        <v>185.0</v>
      </c>
      <c r="D8" s="32" t="s">
        <v>61368</v>
      </c>
      <c r="E8" s="32" t="s">
        <v>61369</v>
      </c>
      <c r="F8" s="33">
        <v>10.0</v>
      </c>
      <c r="G8" s="31">
        <v>1.85680103E8</v>
      </c>
    </row>
    <row r="9" ht="12.75" customHeight="1">
      <c r="A9" s="27">
        <v>168.0</v>
      </c>
      <c r="B9" s="28" t="s">
        <v>61370</v>
      </c>
      <c r="C9" s="27">
        <v>185.0</v>
      </c>
      <c r="D9" s="28" t="s">
        <v>61371</v>
      </c>
      <c r="E9" s="28" t="s">
        <v>61372</v>
      </c>
      <c r="F9" s="29">
        <v>85.0</v>
      </c>
      <c r="G9" s="27">
        <v>1.85680853E8</v>
      </c>
    </row>
    <row r="10" ht="12.75" customHeight="1">
      <c r="A10" s="31">
        <v>168.0</v>
      </c>
      <c r="B10" s="32" t="s">
        <v>61373</v>
      </c>
      <c r="C10" s="31">
        <v>185.0</v>
      </c>
      <c r="D10" s="32" t="s">
        <v>61374</v>
      </c>
      <c r="E10" s="32" t="s">
        <v>61375</v>
      </c>
      <c r="F10" s="33">
        <v>91.0</v>
      </c>
      <c r="G10" s="31">
        <v>1.85680916E8</v>
      </c>
    </row>
    <row r="11" ht="12.75" customHeight="1">
      <c r="A11" s="27">
        <v>569.0</v>
      </c>
      <c r="B11" s="28" t="s">
        <v>61376</v>
      </c>
      <c r="C11" s="27">
        <v>185.0</v>
      </c>
      <c r="D11" s="28" t="s">
        <v>61377</v>
      </c>
      <c r="E11" s="28" t="s">
        <v>61378</v>
      </c>
      <c r="F11" s="29">
        <v>4.0</v>
      </c>
      <c r="G11" s="27">
        <v>1.85690043E8</v>
      </c>
    </row>
    <row r="12" ht="12.75" customHeight="1">
      <c r="A12" s="31">
        <v>569.0</v>
      </c>
      <c r="B12" s="32" t="s">
        <v>61379</v>
      </c>
      <c r="C12" s="31">
        <v>185.0</v>
      </c>
      <c r="D12" s="32" t="s">
        <v>61380</v>
      </c>
      <c r="E12" s="32" t="s">
        <v>61381</v>
      </c>
      <c r="F12" s="33">
        <v>12.0</v>
      </c>
      <c r="G12" s="31">
        <v>1.85690122E8</v>
      </c>
    </row>
    <row r="13" ht="12.75" customHeight="1">
      <c r="A13" s="27">
        <v>569.0</v>
      </c>
      <c r="B13" s="28" t="s">
        <v>61382</v>
      </c>
      <c r="C13" s="27">
        <v>185.0</v>
      </c>
      <c r="D13" s="28" t="s">
        <v>61383</v>
      </c>
      <c r="E13" s="28" t="s">
        <v>61384</v>
      </c>
      <c r="F13" s="27">
        <v>106.0</v>
      </c>
      <c r="G13" s="27">
        <v>1.85691068E8</v>
      </c>
    </row>
    <row r="14" ht="12.75" customHeight="1">
      <c r="A14" s="31">
        <v>569.0</v>
      </c>
      <c r="B14" s="32" t="s">
        <v>61385</v>
      </c>
      <c r="C14" s="31">
        <v>185.0</v>
      </c>
      <c r="D14" s="32" t="s">
        <v>61386</v>
      </c>
      <c r="E14" s="32" t="s">
        <v>61387</v>
      </c>
      <c r="F14" s="31">
        <v>109.0</v>
      </c>
      <c r="G14" s="31">
        <v>1.85691097E8</v>
      </c>
    </row>
    <row r="15" ht="12.75" customHeight="1">
      <c r="A15" s="27">
        <v>569.0</v>
      </c>
      <c r="B15" s="28" t="s">
        <v>61388</v>
      </c>
      <c r="C15" s="27">
        <v>185.0</v>
      </c>
      <c r="D15" s="28" t="s">
        <v>61389</v>
      </c>
      <c r="E15" s="28" t="s">
        <v>61390</v>
      </c>
      <c r="F15" s="27">
        <v>124.0</v>
      </c>
      <c r="G15" s="27">
        <v>1.85691242E8</v>
      </c>
    </row>
    <row r="16" ht="12.75" customHeight="1">
      <c r="A16" s="31">
        <v>569.0</v>
      </c>
      <c r="B16" s="32" t="s">
        <v>61391</v>
      </c>
      <c r="C16" s="31">
        <v>185.0</v>
      </c>
      <c r="D16" s="32" t="s">
        <v>61392</v>
      </c>
      <c r="E16" s="32" t="s">
        <v>61393</v>
      </c>
      <c r="F16" s="31">
        <v>133.0</v>
      </c>
      <c r="G16" s="31">
        <v>1.85691334E8</v>
      </c>
    </row>
    <row r="17" ht="12.75" customHeight="1">
      <c r="A17" s="27">
        <v>569.0</v>
      </c>
      <c r="B17" s="28" t="s">
        <v>61394</v>
      </c>
      <c r="C17" s="27">
        <v>185.0</v>
      </c>
      <c r="D17" s="28" t="s">
        <v>61395</v>
      </c>
      <c r="E17" s="28" t="s">
        <v>61396</v>
      </c>
      <c r="F17" s="27">
        <v>148.0</v>
      </c>
      <c r="G17" s="27">
        <v>1.85691484E8</v>
      </c>
    </row>
    <row r="18" ht="12.75" customHeight="1">
      <c r="A18" s="31">
        <v>570.0</v>
      </c>
      <c r="B18" s="32" t="s">
        <v>61397</v>
      </c>
      <c r="C18" s="31">
        <v>185.0</v>
      </c>
      <c r="D18" s="32" t="s">
        <v>61398</v>
      </c>
      <c r="E18" s="32" t="s">
        <v>61399</v>
      </c>
      <c r="F18" s="33">
        <v>10.0</v>
      </c>
      <c r="G18" s="31">
        <v>1.85700104E8</v>
      </c>
    </row>
    <row r="19" ht="12.75" customHeight="1">
      <c r="A19" s="27">
        <v>570.0</v>
      </c>
      <c r="B19" s="28" t="s">
        <v>61400</v>
      </c>
      <c r="C19" s="27">
        <v>185.0</v>
      </c>
      <c r="D19" s="28" t="s">
        <v>61401</v>
      </c>
      <c r="E19" s="28" t="s">
        <v>61402</v>
      </c>
      <c r="F19" s="29">
        <v>16.0</v>
      </c>
      <c r="G19" s="27">
        <v>1.85700162E8</v>
      </c>
    </row>
    <row r="20" ht="12.75" customHeight="1">
      <c r="A20" s="31">
        <v>570.0</v>
      </c>
      <c r="B20" s="32" t="s">
        <v>61403</v>
      </c>
      <c r="C20" s="31">
        <v>185.0</v>
      </c>
      <c r="D20" s="32" t="s">
        <v>61404</v>
      </c>
      <c r="E20" s="32" t="s">
        <v>61405</v>
      </c>
      <c r="F20" s="33">
        <v>25.0</v>
      </c>
      <c r="G20" s="31">
        <v>1.85700254E8</v>
      </c>
    </row>
    <row r="21" ht="12.75" customHeight="1">
      <c r="A21" s="27">
        <v>570.0</v>
      </c>
      <c r="B21" s="28" t="s">
        <v>61406</v>
      </c>
      <c r="C21" s="27">
        <v>185.0</v>
      </c>
      <c r="D21" s="28" t="s">
        <v>61407</v>
      </c>
      <c r="E21" s="28" t="s">
        <v>61408</v>
      </c>
      <c r="F21" s="29">
        <v>76.0</v>
      </c>
      <c r="G21" s="27">
        <v>1.85700762E8</v>
      </c>
    </row>
    <row r="22" ht="12.75" customHeight="1">
      <c r="A22" s="31">
        <v>570.0</v>
      </c>
      <c r="B22" s="32" t="s">
        <v>61409</v>
      </c>
      <c r="C22" s="31">
        <v>185.0</v>
      </c>
      <c r="D22" s="32" t="s">
        <v>61410</v>
      </c>
      <c r="E22" s="32" t="s">
        <v>61411</v>
      </c>
      <c r="F22" s="31">
        <v>109.0</v>
      </c>
      <c r="G22" s="31">
        <v>1.85701095E8</v>
      </c>
    </row>
    <row r="23" ht="12.75" customHeight="1">
      <c r="A23" s="27">
        <v>172.0</v>
      </c>
      <c r="B23" s="28" t="s">
        <v>61412</v>
      </c>
      <c r="C23" s="27">
        <v>185.0</v>
      </c>
      <c r="D23" s="28" t="s">
        <v>61413</v>
      </c>
      <c r="E23" s="28" t="s">
        <v>61414</v>
      </c>
      <c r="F23" s="29">
        <v>46.0</v>
      </c>
      <c r="G23" s="27">
        <v>1.85720463E8</v>
      </c>
    </row>
    <row r="24" ht="12.75" customHeight="1">
      <c r="A24" s="31">
        <v>172.0</v>
      </c>
      <c r="B24" s="32" t="s">
        <v>61415</v>
      </c>
      <c r="C24" s="31">
        <v>185.0</v>
      </c>
      <c r="D24" s="32" t="s">
        <v>61416</v>
      </c>
      <c r="E24" s="32" t="s">
        <v>61417</v>
      </c>
      <c r="F24" s="33">
        <v>73.0</v>
      </c>
      <c r="G24" s="31">
        <v>1.85720739E8</v>
      </c>
    </row>
    <row r="25" ht="12.75" customHeight="1">
      <c r="A25" s="27">
        <v>172.0</v>
      </c>
      <c r="B25" s="28" t="s">
        <v>61418</v>
      </c>
      <c r="C25" s="27">
        <v>185.0</v>
      </c>
      <c r="D25" s="28" t="s">
        <v>61419</v>
      </c>
      <c r="E25" s="28" t="s">
        <v>61420</v>
      </c>
      <c r="F25" s="29">
        <v>82.0</v>
      </c>
      <c r="G25" s="27">
        <v>1.85720821E8</v>
      </c>
    </row>
    <row r="26" ht="12.75" customHeight="1">
      <c r="A26" s="31">
        <v>773.0</v>
      </c>
      <c r="B26" s="32" t="s">
        <v>61421</v>
      </c>
      <c r="C26" s="31">
        <v>185.0</v>
      </c>
      <c r="D26" s="32" t="s">
        <v>61422</v>
      </c>
      <c r="E26" s="32" t="s">
        <v>61423</v>
      </c>
      <c r="F26" s="33">
        <v>28.0</v>
      </c>
      <c r="G26" s="31">
        <v>1.85730282E8</v>
      </c>
    </row>
    <row r="27" ht="12.75" customHeight="1">
      <c r="A27" s="27">
        <v>773.0</v>
      </c>
      <c r="B27" s="28" t="s">
        <v>61424</v>
      </c>
      <c r="C27" s="27">
        <v>185.0</v>
      </c>
      <c r="D27" s="28" t="s">
        <v>61425</v>
      </c>
      <c r="E27" s="28" t="s">
        <v>61426</v>
      </c>
      <c r="F27" s="29">
        <v>31.0</v>
      </c>
      <c r="G27" s="27">
        <v>1.85730316E8</v>
      </c>
    </row>
    <row r="28" ht="12.75" customHeight="1">
      <c r="A28" s="31">
        <v>773.0</v>
      </c>
      <c r="B28" s="32" t="s">
        <v>61427</v>
      </c>
      <c r="C28" s="31">
        <v>185.0</v>
      </c>
      <c r="D28" s="32" t="s">
        <v>61428</v>
      </c>
      <c r="E28" s="32" t="s">
        <v>61429</v>
      </c>
      <c r="F28" s="33">
        <v>58.0</v>
      </c>
      <c r="G28" s="31">
        <v>1.85730587E8</v>
      </c>
    </row>
    <row r="29" ht="12.75" customHeight="1">
      <c r="A29" s="27">
        <v>773.0</v>
      </c>
      <c r="B29" s="28" t="s">
        <v>61430</v>
      </c>
      <c r="C29" s="27">
        <v>185.0</v>
      </c>
      <c r="D29" s="28" t="s">
        <v>61431</v>
      </c>
      <c r="E29" s="28" t="s">
        <v>61432</v>
      </c>
      <c r="F29" s="29">
        <v>73.0</v>
      </c>
      <c r="G29" s="27">
        <v>1.85730732E8</v>
      </c>
    </row>
    <row r="30" ht="12.75" customHeight="1">
      <c r="A30" s="31">
        <v>773.0</v>
      </c>
      <c r="B30" s="32" t="s">
        <v>61433</v>
      </c>
      <c r="C30" s="31">
        <v>185.0</v>
      </c>
      <c r="D30" s="32" t="s">
        <v>61434</v>
      </c>
      <c r="E30" s="32" t="s">
        <v>61435</v>
      </c>
      <c r="F30" s="33">
        <v>79.0</v>
      </c>
      <c r="G30" s="31">
        <v>1.8573079E8</v>
      </c>
    </row>
    <row r="31" ht="12.75" customHeight="1">
      <c r="A31" s="27">
        <v>275.0</v>
      </c>
      <c r="B31" s="28" t="s">
        <v>61436</v>
      </c>
      <c r="C31" s="27">
        <v>185.0</v>
      </c>
      <c r="D31" s="28" t="s">
        <v>61437</v>
      </c>
      <c r="E31" s="28" t="s">
        <v>61438</v>
      </c>
      <c r="F31" s="29">
        <v>5.0</v>
      </c>
      <c r="G31" s="27">
        <v>1.85750059E8</v>
      </c>
    </row>
    <row r="32" ht="12.75" customHeight="1">
      <c r="A32" s="31">
        <v>275.0</v>
      </c>
      <c r="B32" s="32" t="s">
        <v>61439</v>
      </c>
      <c r="C32" s="31">
        <v>185.0</v>
      </c>
      <c r="D32" s="32" t="s">
        <v>61440</v>
      </c>
      <c r="E32" s="32" t="s">
        <v>61441</v>
      </c>
      <c r="F32" s="33">
        <v>10.0</v>
      </c>
      <c r="G32" s="31">
        <v>1.85750109E8</v>
      </c>
    </row>
    <row r="33" ht="12.75" customHeight="1">
      <c r="A33" s="27">
        <v>275.0</v>
      </c>
      <c r="B33" s="28" t="s">
        <v>61442</v>
      </c>
      <c r="C33" s="27">
        <v>185.0</v>
      </c>
      <c r="D33" s="28" t="s">
        <v>61443</v>
      </c>
      <c r="E33" s="28" t="s">
        <v>61444</v>
      </c>
      <c r="F33" s="29">
        <v>19.0</v>
      </c>
      <c r="G33" s="27">
        <v>1.85750196E8</v>
      </c>
    </row>
    <row r="34" ht="12.75" customHeight="1">
      <c r="A34" s="31">
        <v>275.0</v>
      </c>
      <c r="B34" s="32" t="s">
        <v>61445</v>
      </c>
      <c r="C34" s="31">
        <v>185.0</v>
      </c>
      <c r="D34" s="32" t="s">
        <v>61446</v>
      </c>
      <c r="E34" s="32" t="s">
        <v>61447</v>
      </c>
      <c r="F34" s="33">
        <v>20.0</v>
      </c>
      <c r="G34" s="31">
        <v>1.85750204E8</v>
      </c>
    </row>
    <row r="35" ht="12.75" customHeight="1">
      <c r="A35" s="27">
        <v>275.0</v>
      </c>
      <c r="B35" s="28" t="s">
        <v>61448</v>
      </c>
      <c r="C35" s="27">
        <v>185.0</v>
      </c>
      <c r="D35" s="28" t="s">
        <v>61449</v>
      </c>
      <c r="E35" s="28" t="s">
        <v>61450</v>
      </c>
      <c r="F35" s="29">
        <v>25.0</v>
      </c>
      <c r="G35" s="27">
        <v>1.85750259E8</v>
      </c>
    </row>
    <row r="36" ht="12.75" customHeight="1">
      <c r="A36" s="31">
        <v>275.0</v>
      </c>
      <c r="B36" s="32" t="s">
        <v>61451</v>
      </c>
      <c r="C36" s="31">
        <v>185.0</v>
      </c>
      <c r="D36" s="32" t="s">
        <v>61452</v>
      </c>
      <c r="E36" s="32" t="s">
        <v>61453</v>
      </c>
      <c r="F36" s="33">
        <v>58.0</v>
      </c>
      <c r="G36" s="31">
        <v>1.85750583E8</v>
      </c>
    </row>
    <row r="37" ht="12.75" customHeight="1">
      <c r="A37" s="27">
        <v>275.0</v>
      </c>
      <c r="B37" s="28" t="s">
        <v>61454</v>
      </c>
      <c r="C37" s="27">
        <v>185.0</v>
      </c>
      <c r="D37" s="28" t="s">
        <v>61455</v>
      </c>
      <c r="E37" s="28" t="s">
        <v>61456</v>
      </c>
      <c r="F37" s="29">
        <v>67.0</v>
      </c>
      <c r="G37" s="27">
        <v>1.85750675E8</v>
      </c>
    </row>
    <row r="38" ht="12.75" customHeight="1">
      <c r="A38" s="31">
        <v>275.0</v>
      </c>
      <c r="B38" s="32" t="s">
        <v>61457</v>
      </c>
      <c r="C38" s="31">
        <v>185.0</v>
      </c>
      <c r="D38" s="32" t="s">
        <v>61458</v>
      </c>
      <c r="E38" s="32" t="s">
        <v>61459</v>
      </c>
      <c r="F38" s="33">
        <v>94.0</v>
      </c>
      <c r="G38" s="31">
        <v>1.85750941E8</v>
      </c>
    </row>
    <row r="39" ht="12.75" customHeight="1">
      <c r="A39" s="27">
        <v>275.0</v>
      </c>
      <c r="B39" s="28" t="s">
        <v>61460</v>
      </c>
      <c r="C39" s="27">
        <v>185.0</v>
      </c>
      <c r="D39" s="28" t="s">
        <v>61461</v>
      </c>
      <c r="E39" s="28" t="s">
        <v>61462</v>
      </c>
      <c r="F39" s="29">
        <v>97.0</v>
      </c>
      <c r="G39" s="27">
        <v>1.8575097E8</v>
      </c>
    </row>
    <row r="40" ht="12.75" customHeight="1">
      <c r="A40" s="31">
        <v>275.0</v>
      </c>
      <c r="B40" s="32" t="s">
        <v>61463</v>
      </c>
      <c r="C40" s="31">
        <v>185.0</v>
      </c>
      <c r="D40" s="32" t="s">
        <v>61464</v>
      </c>
      <c r="E40" s="32" t="s">
        <v>61465</v>
      </c>
      <c r="F40" s="31">
        <v>121.0</v>
      </c>
      <c r="G40" s="31">
        <v>1.85751216E8</v>
      </c>
    </row>
    <row r="41" ht="12.75" customHeight="1">
      <c r="A41" s="27">
        <v>275.0</v>
      </c>
      <c r="B41" s="28" t="s">
        <v>61466</v>
      </c>
      <c r="C41" s="27">
        <v>185.0</v>
      </c>
      <c r="D41" s="28" t="s">
        <v>61467</v>
      </c>
      <c r="E41" s="28" t="s">
        <v>61468</v>
      </c>
      <c r="F41" s="27">
        <v>133.0</v>
      </c>
      <c r="G41" s="27">
        <v>1.85751337E8</v>
      </c>
    </row>
    <row r="42" ht="12.75" customHeight="1">
      <c r="A42" s="31">
        <v>275.0</v>
      </c>
      <c r="B42" s="32" t="s">
        <v>61469</v>
      </c>
      <c r="C42" s="31">
        <v>185.0</v>
      </c>
      <c r="D42" s="32" t="s">
        <v>61470</v>
      </c>
      <c r="E42" s="32" t="s">
        <v>61471</v>
      </c>
      <c r="F42" s="31">
        <v>136.0</v>
      </c>
      <c r="G42" s="31">
        <v>1.85751366E8</v>
      </c>
    </row>
    <row r="43" ht="12.75" customHeight="1">
      <c r="A43" s="27">
        <v>275.0</v>
      </c>
      <c r="B43" s="28" t="s">
        <v>61472</v>
      </c>
      <c r="C43" s="27">
        <v>185.0</v>
      </c>
      <c r="D43" s="28" t="s">
        <v>61473</v>
      </c>
      <c r="E43" s="28" t="s">
        <v>61474</v>
      </c>
      <c r="F43" s="27">
        <v>157.0</v>
      </c>
      <c r="G43" s="27">
        <v>1.85751579E8</v>
      </c>
    </row>
    <row r="44" ht="12.75" customHeight="1">
      <c r="A44" s="31">
        <v>275.0</v>
      </c>
      <c r="B44" s="32" t="s">
        <v>61475</v>
      </c>
      <c r="C44" s="31">
        <v>185.0</v>
      </c>
      <c r="D44" s="32" t="s">
        <v>61476</v>
      </c>
      <c r="E44" s="32" t="s">
        <v>61477</v>
      </c>
      <c r="F44" s="31">
        <v>160.0</v>
      </c>
      <c r="G44" s="31">
        <v>1.85751603E8</v>
      </c>
    </row>
    <row r="45" ht="12.75" customHeight="1">
      <c r="A45" s="27">
        <v>275.0</v>
      </c>
      <c r="B45" s="28" t="s">
        <v>61478</v>
      </c>
      <c r="C45" s="27">
        <v>185.0</v>
      </c>
      <c r="D45" s="28" t="s">
        <v>61479</v>
      </c>
      <c r="E45" s="28" t="s">
        <v>61480</v>
      </c>
      <c r="F45" s="27">
        <v>178.0</v>
      </c>
      <c r="G45" s="27">
        <v>1.85751782E8</v>
      </c>
    </row>
    <row r="46" ht="12.75" customHeight="1">
      <c r="A46" s="31">
        <v>275.0</v>
      </c>
      <c r="B46" s="32" t="s">
        <v>61481</v>
      </c>
      <c r="C46" s="31">
        <v>185.0</v>
      </c>
      <c r="D46" s="32" t="s">
        <v>61482</v>
      </c>
      <c r="E46" s="32" t="s">
        <v>61483</v>
      </c>
      <c r="F46" s="31">
        <v>187.0</v>
      </c>
      <c r="G46" s="31">
        <v>1.85751874E8</v>
      </c>
    </row>
    <row r="47" ht="12.75" customHeight="1">
      <c r="A47" s="27">
        <v>275.0</v>
      </c>
      <c r="B47" s="28" t="s">
        <v>61484</v>
      </c>
      <c r="C47" s="27">
        <v>185.0</v>
      </c>
      <c r="D47" s="28" t="s">
        <v>61485</v>
      </c>
      <c r="E47" s="28" t="s">
        <v>61486</v>
      </c>
      <c r="F47" s="27">
        <v>190.0</v>
      </c>
      <c r="G47" s="27">
        <v>1.85751908E8</v>
      </c>
    </row>
    <row r="48" ht="12.75" customHeight="1">
      <c r="A48" s="31">
        <v>275.0</v>
      </c>
      <c r="B48" s="32" t="s">
        <v>61487</v>
      </c>
      <c r="C48" s="31">
        <v>185.0</v>
      </c>
      <c r="D48" s="32" t="s">
        <v>61488</v>
      </c>
      <c r="E48" s="32" t="s">
        <v>61489</v>
      </c>
      <c r="F48" s="31">
        <v>238.0</v>
      </c>
      <c r="G48" s="31">
        <v>1.85752381E8</v>
      </c>
    </row>
    <row r="49" ht="12.75" customHeight="1">
      <c r="A49" s="27">
        <v>576.0</v>
      </c>
      <c r="B49" s="28" t="s">
        <v>61490</v>
      </c>
      <c r="C49" s="27">
        <v>185.0</v>
      </c>
      <c r="D49" s="28" t="s">
        <v>61491</v>
      </c>
      <c r="E49" s="28" t="s">
        <v>61492</v>
      </c>
      <c r="F49" s="29">
        <v>31.0</v>
      </c>
      <c r="G49" s="27">
        <v>1.85760315E8</v>
      </c>
    </row>
    <row r="50" ht="12.75" customHeight="1">
      <c r="A50" s="31">
        <v>576.0</v>
      </c>
      <c r="B50" s="32" t="s">
        <v>61493</v>
      </c>
      <c r="C50" s="31">
        <v>185.0</v>
      </c>
      <c r="D50" s="32" t="s">
        <v>61494</v>
      </c>
      <c r="E50" s="32" t="s">
        <v>61495</v>
      </c>
      <c r="F50" s="33">
        <v>40.0</v>
      </c>
      <c r="G50" s="31">
        <v>1.85760407E8</v>
      </c>
    </row>
    <row r="51" ht="12.75" customHeight="1">
      <c r="A51" s="27">
        <v>576.0</v>
      </c>
      <c r="B51" s="28" t="s">
        <v>61496</v>
      </c>
      <c r="C51" s="27">
        <v>185.0</v>
      </c>
      <c r="D51" s="28" t="s">
        <v>61497</v>
      </c>
      <c r="E51" s="28" t="s">
        <v>61498</v>
      </c>
      <c r="F51" s="29">
        <v>46.0</v>
      </c>
      <c r="G51" s="27">
        <v>1.85760465E8</v>
      </c>
    </row>
    <row r="52" ht="12.75" customHeight="1">
      <c r="A52" s="31">
        <v>576.0</v>
      </c>
      <c r="B52" s="32" t="s">
        <v>61499</v>
      </c>
      <c r="C52" s="31">
        <v>185.0</v>
      </c>
      <c r="D52" s="32" t="s">
        <v>61500</v>
      </c>
      <c r="E52" s="32" t="s">
        <v>61501</v>
      </c>
      <c r="F52" s="33">
        <v>58.0</v>
      </c>
      <c r="G52" s="31">
        <v>1.85760586E8</v>
      </c>
    </row>
    <row r="53" ht="12.75" customHeight="1">
      <c r="A53" s="27">
        <v>576.0</v>
      </c>
      <c r="B53" s="28" t="s">
        <v>61502</v>
      </c>
      <c r="C53" s="27">
        <v>185.0</v>
      </c>
      <c r="D53" s="28" t="s">
        <v>61503</v>
      </c>
      <c r="E53" s="28" t="s">
        <v>61504</v>
      </c>
      <c r="F53" s="29">
        <v>82.0</v>
      </c>
      <c r="G53" s="27">
        <v>1.85760823E8</v>
      </c>
    </row>
    <row r="54" ht="12.75" customHeight="1">
      <c r="A54" s="31">
        <v>576.0</v>
      </c>
      <c r="B54" s="32" t="s">
        <v>61505</v>
      </c>
      <c r="C54" s="31">
        <v>185.0</v>
      </c>
      <c r="D54" s="32" t="s">
        <v>61506</v>
      </c>
      <c r="E54" s="32" t="s">
        <v>61507</v>
      </c>
      <c r="F54" s="33">
        <v>91.0</v>
      </c>
      <c r="G54" s="31">
        <v>1.85760915E8</v>
      </c>
    </row>
    <row r="55" ht="12.75" customHeight="1">
      <c r="A55" s="27">
        <v>576.0</v>
      </c>
      <c r="B55" s="28" t="s">
        <v>61508</v>
      </c>
      <c r="C55" s="27">
        <v>185.0</v>
      </c>
      <c r="D55" s="28" t="s">
        <v>61509</v>
      </c>
      <c r="E55" s="28" t="s">
        <v>61510</v>
      </c>
      <c r="F55" s="27">
        <v>109.0</v>
      </c>
      <c r="G55" s="27">
        <v>1.85761093E8</v>
      </c>
    </row>
    <row r="56" ht="12.75" customHeight="1">
      <c r="A56" s="31">
        <v>576.0</v>
      </c>
      <c r="B56" s="32" t="s">
        <v>61511</v>
      </c>
      <c r="C56" s="31">
        <v>185.0</v>
      </c>
      <c r="D56" s="32" t="s">
        <v>61512</v>
      </c>
      <c r="E56" s="32" t="s">
        <v>61513</v>
      </c>
      <c r="F56" s="31">
        <v>121.0</v>
      </c>
      <c r="G56" s="31">
        <v>1.85761219E8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576.0</v>
      </c>
      <c r="B1" s="28" t="s">
        <v>61514</v>
      </c>
      <c r="C1" s="27">
        <v>185.0</v>
      </c>
      <c r="D1" s="28" t="s">
        <v>61515</v>
      </c>
      <c r="E1" s="28" t="s">
        <v>61516</v>
      </c>
      <c r="F1" s="27">
        <v>151.0</v>
      </c>
      <c r="G1" s="27">
        <v>1.85761514E8</v>
      </c>
    </row>
    <row r="2" ht="12.75" customHeight="1">
      <c r="A2" s="31">
        <v>576.0</v>
      </c>
      <c r="B2" s="32" t="s">
        <v>61517</v>
      </c>
      <c r="C2" s="31">
        <v>185.0</v>
      </c>
      <c r="D2" s="32" t="s">
        <v>61518</v>
      </c>
      <c r="E2" s="32" t="s">
        <v>61519</v>
      </c>
      <c r="F2" s="31">
        <v>163.0</v>
      </c>
      <c r="G2" s="31">
        <v>1.85761635E8</v>
      </c>
    </row>
    <row r="3" ht="12.75" customHeight="1">
      <c r="A3" s="27">
        <v>576.0</v>
      </c>
      <c r="B3" s="28" t="s">
        <v>61520</v>
      </c>
      <c r="C3" s="27">
        <v>185.0</v>
      </c>
      <c r="D3" s="28" t="s">
        <v>61521</v>
      </c>
      <c r="E3" s="28" t="s">
        <v>61522</v>
      </c>
      <c r="F3" s="27">
        <v>178.0</v>
      </c>
      <c r="G3" s="27">
        <v>1.85761785E8</v>
      </c>
    </row>
    <row r="4" ht="12.75" customHeight="1">
      <c r="A4" s="31">
        <v>576.0</v>
      </c>
      <c r="B4" s="32" t="s">
        <v>61523</v>
      </c>
      <c r="C4" s="31">
        <v>185.0</v>
      </c>
      <c r="D4" s="32" t="s">
        <v>61524</v>
      </c>
      <c r="E4" s="32" t="s">
        <v>61525</v>
      </c>
      <c r="F4" s="31">
        <v>184.0</v>
      </c>
      <c r="G4" s="31">
        <v>1.85761848E8</v>
      </c>
    </row>
    <row r="5" ht="12.75" customHeight="1">
      <c r="A5" s="27">
        <v>576.0</v>
      </c>
      <c r="B5" s="28" t="s">
        <v>61526</v>
      </c>
      <c r="C5" s="27">
        <v>185.0</v>
      </c>
      <c r="D5" s="28" t="s">
        <v>61527</v>
      </c>
      <c r="E5" s="28" t="s">
        <v>61528</v>
      </c>
      <c r="F5" s="27">
        <v>205.0</v>
      </c>
      <c r="G5" s="27">
        <v>1.8576205E8</v>
      </c>
    </row>
    <row r="6" ht="12.75" customHeight="1">
      <c r="A6" s="31">
        <v>576.0</v>
      </c>
      <c r="B6" s="32" t="s">
        <v>61529</v>
      </c>
      <c r="C6" s="31">
        <v>185.0</v>
      </c>
      <c r="D6" s="32" t="s">
        <v>61530</v>
      </c>
      <c r="E6" s="32" t="s">
        <v>61531</v>
      </c>
      <c r="F6" s="31">
        <v>214.0</v>
      </c>
      <c r="G6" s="31">
        <v>1.85762142E8</v>
      </c>
    </row>
    <row r="7" ht="12.75" customHeight="1">
      <c r="A7" s="27">
        <v>777.0</v>
      </c>
      <c r="B7" s="28" t="s">
        <v>61532</v>
      </c>
      <c r="C7" s="27">
        <v>185.0</v>
      </c>
      <c r="D7" s="28" t="s">
        <v>61533</v>
      </c>
      <c r="E7" s="28" t="s">
        <v>61534</v>
      </c>
      <c r="F7" s="29">
        <v>49.0</v>
      </c>
      <c r="G7" s="27">
        <v>1.85770497E8</v>
      </c>
    </row>
    <row r="8" ht="12.75" customHeight="1">
      <c r="A8" s="31">
        <v>777.0</v>
      </c>
      <c r="B8" s="32" t="s">
        <v>61535</v>
      </c>
      <c r="C8" s="31">
        <v>185.0</v>
      </c>
      <c r="D8" s="32" t="s">
        <v>61536</v>
      </c>
      <c r="E8" s="32" t="s">
        <v>61537</v>
      </c>
      <c r="F8" s="33">
        <v>55.0</v>
      </c>
      <c r="G8" s="31">
        <v>1.8577055E8</v>
      </c>
    </row>
    <row r="9" ht="12.75" customHeight="1">
      <c r="A9" s="27">
        <v>378.0</v>
      </c>
      <c r="B9" s="28" t="s">
        <v>61538</v>
      </c>
      <c r="C9" s="27">
        <v>185.0</v>
      </c>
      <c r="D9" s="28" t="s">
        <v>61539</v>
      </c>
      <c r="E9" s="28" t="s">
        <v>61540</v>
      </c>
      <c r="F9" s="29">
        <v>5.0</v>
      </c>
      <c r="G9" s="27">
        <v>1.85780058E8</v>
      </c>
    </row>
    <row r="10" ht="12.75" customHeight="1">
      <c r="A10" s="31">
        <v>378.0</v>
      </c>
      <c r="B10" s="32" t="s">
        <v>61541</v>
      </c>
      <c r="C10" s="31">
        <v>185.0</v>
      </c>
      <c r="D10" s="32" t="s">
        <v>61542</v>
      </c>
      <c r="E10" s="32" t="s">
        <v>61543</v>
      </c>
      <c r="F10" s="33">
        <v>10.0</v>
      </c>
      <c r="G10" s="31">
        <v>1.85780108E8</v>
      </c>
    </row>
    <row r="11" ht="12.75" customHeight="1">
      <c r="A11" s="27">
        <v>378.0</v>
      </c>
      <c r="B11" s="28" t="s">
        <v>61544</v>
      </c>
      <c r="C11" s="27">
        <v>185.0</v>
      </c>
      <c r="D11" s="28" t="s">
        <v>61545</v>
      </c>
      <c r="E11" s="28" t="s">
        <v>61546</v>
      </c>
      <c r="F11" s="29">
        <v>40.0</v>
      </c>
      <c r="G11" s="27">
        <v>1.85780403E8</v>
      </c>
    </row>
    <row r="12" ht="12.75" customHeight="1">
      <c r="A12" s="31">
        <v>378.0</v>
      </c>
      <c r="B12" s="32" t="s">
        <v>61547</v>
      </c>
      <c r="C12" s="31">
        <v>185.0</v>
      </c>
      <c r="D12" s="32" t="s">
        <v>61548</v>
      </c>
      <c r="E12" s="32" t="s">
        <v>61549</v>
      </c>
      <c r="F12" s="33">
        <v>49.0</v>
      </c>
      <c r="G12" s="31">
        <v>1.8578049E8</v>
      </c>
    </row>
    <row r="13" ht="12.75" customHeight="1">
      <c r="A13" s="27">
        <v>378.0</v>
      </c>
      <c r="B13" s="28" t="s">
        <v>61550</v>
      </c>
      <c r="C13" s="27">
        <v>185.0</v>
      </c>
      <c r="D13" s="28" t="s">
        <v>61551</v>
      </c>
      <c r="E13" s="28" t="s">
        <v>61552</v>
      </c>
      <c r="F13" s="29">
        <v>61.0</v>
      </c>
      <c r="G13" s="27">
        <v>1.85780616E8</v>
      </c>
    </row>
    <row r="14" ht="12.75" customHeight="1">
      <c r="A14" s="31">
        <v>378.0</v>
      </c>
      <c r="B14" s="32" t="s">
        <v>61553</v>
      </c>
      <c r="C14" s="31">
        <v>185.0</v>
      </c>
      <c r="D14" s="32" t="s">
        <v>61554</v>
      </c>
      <c r="E14" s="32" t="s">
        <v>61555</v>
      </c>
      <c r="F14" s="33">
        <v>76.0</v>
      </c>
      <c r="G14" s="31">
        <v>1.85780766E8</v>
      </c>
    </row>
    <row r="15" ht="12.75" customHeight="1">
      <c r="A15" s="27">
        <v>378.0</v>
      </c>
      <c r="B15" s="28" t="s">
        <v>61556</v>
      </c>
      <c r="C15" s="27">
        <v>185.0</v>
      </c>
      <c r="D15" s="28" t="s">
        <v>61557</v>
      </c>
      <c r="E15" s="28" t="s">
        <v>61558</v>
      </c>
      <c r="F15" s="29">
        <v>97.0</v>
      </c>
      <c r="G15" s="27">
        <v>1.85780979E8</v>
      </c>
    </row>
    <row r="16" ht="12.75" customHeight="1">
      <c r="A16" s="31">
        <v>378.0</v>
      </c>
      <c r="B16" s="32" t="s">
        <v>61559</v>
      </c>
      <c r="C16" s="31">
        <v>185.0</v>
      </c>
      <c r="D16" s="32" t="s">
        <v>61560</v>
      </c>
      <c r="E16" s="32" t="s">
        <v>61561</v>
      </c>
      <c r="F16" s="31">
        <v>109.0</v>
      </c>
      <c r="G16" s="31">
        <v>1.85781099E8</v>
      </c>
    </row>
    <row r="17" ht="12.75" customHeight="1">
      <c r="A17" s="27">
        <v>378.0</v>
      </c>
      <c r="B17" s="28" t="s">
        <v>61562</v>
      </c>
      <c r="C17" s="27">
        <v>185.0</v>
      </c>
      <c r="D17" s="28" t="s">
        <v>61563</v>
      </c>
      <c r="E17" s="28" t="s">
        <v>61564</v>
      </c>
      <c r="F17" s="27">
        <v>112.0</v>
      </c>
      <c r="G17" s="27">
        <v>1.85781123E8</v>
      </c>
    </row>
    <row r="18" ht="12.75" customHeight="1">
      <c r="A18" s="31">
        <v>379.0</v>
      </c>
      <c r="B18" s="32" t="s">
        <v>61565</v>
      </c>
      <c r="C18" s="31">
        <v>185.0</v>
      </c>
      <c r="D18" s="32" t="s">
        <v>61566</v>
      </c>
      <c r="E18" s="32" t="s">
        <v>61567</v>
      </c>
      <c r="F18" s="33">
        <v>13.0</v>
      </c>
      <c r="G18" s="31">
        <v>1.8579013E8</v>
      </c>
    </row>
    <row r="19" ht="12.75" customHeight="1">
      <c r="A19" s="27">
        <v>379.0</v>
      </c>
      <c r="B19" s="28" t="s">
        <v>61568</v>
      </c>
      <c r="C19" s="27">
        <v>185.0</v>
      </c>
      <c r="D19" s="28" t="s">
        <v>61569</v>
      </c>
      <c r="E19" s="28" t="s">
        <v>61570</v>
      </c>
      <c r="F19" s="29">
        <v>34.0</v>
      </c>
      <c r="G19" s="27">
        <v>1.85790343E8</v>
      </c>
    </row>
    <row r="20" ht="12.75" customHeight="1">
      <c r="A20" s="31">
        <v>379.0</v>
      </c>
      <c r="B20" s="32" t="s">
        <v>61571</v>
      </c>
      <c r="C20" s="31">
        <v>185.0</v>
      </c>
      <c r="D20" s="32" t="s">
        <v>61572</v>
      </c>
      <c r="E20" s="32" t="s">
        <v>61573</v>
      </c>
      <c r="F20" s="33">
        <v>37.0</v>
      </c>
      <c r="G20" s="31">
        <v>1.85790372E8</v>
      </c>
    </row>
    <row r="21" ht="12.75" customHeight="1">
      <c r="A21" s="27">
        <v>379.0</v>
      </c>
      <c r="B21" s="28" t="s">
        <v>61574</v>
      </c>
      <c r="C21" s="27">
        <v>185.0</v>
      </c>
      <c r="D21" s="28" t="s">
        <v>61575</v>
      </c>
      <c r="E21" s="28" t="s">
        <v>61576</v>
      </c>
      <c r="F21" s="29">
        <v>43.0</v>
      </c>
      <c r="G21" s="27">
        <v>1.85790435E8</v>
      </c>
    </row>
    <row r="22" ht="12.75" customHeight="1">
      <c r="A22" s="31">
        <v>379.0</v>
      </c>
      <c r="B22" s="32" t="s">
        <v>61577</v>
      </c>
      <c r="C22" s="31">
        <v>185.0</v>
      </c>
      <c r="D22" s="32" t="s">
        <v>61578</v>
      </c>
      <c r="E22" s="32" t="s">
        <v>61579</v>
      </c>
      <c r="F22" s="33">
        <v>46.0</v>
      </c>
      <c r="G22" s="31">
        <v>1.85790464E8</v>
      </c>
    </row>
    <row r="23" ht="12.75" customHeight="1">
      <c r="A23" s="27">
        <v>379.0</v>
      </c>
      <c r="B23" s="28" t="s">
        <v>61580</v>
      </c>
      <c r="C23" s="27">
        <v>185.0</v>
      </c>
      <c r="D23" s="28" t="s">
        <v>61581</v>
      </c>
      <c r="E23" s="28" t="s">
        <v>61582</v>
      </c>
      <c r="F23" s="29">
        <v>52.0</v>
      </c>
      <c r="G23" s="27">
        <v>1.85790527E8</v>
      </c>
    </row>
    <row r="24" ht="12.75" customHeight="1">
      <c r="A24" s="31">
        <v>379.0</v>
      </c>
      <c r="B24" s="32" t="s">
        <v>61583</v>
      </c>
      <c r="C24" s="31">
        <v>185.0</v>
      </c>
      <c r="D24" s="32" t="s">
        <v>61584</v>
      </c>
      <c r="E24" s="32" t="s">
        <v>61585</v>
      </c>
      <c r="F24" s="33">
        <v>76.0</v>
      </c>
      <c r="G24" s="31">
        <v>1.85790769E8</v>
      </c>
    </row>
    <row r="25" ht="12.75" customHeight="1">
      <c r="A25" s="27">
        <v>379.0</v>
      </c>
      <c r="B25" s="28" t="s">
        <v>61586</v>
      </c>
      <c r="C25" s="27">
        <v>185.0</v>
      </c>
      <c r="D25" s="28" t="s">
        <v>61587</v>
      </c>
      <c r="E25" s="28" t="s">
        <v>61588</v>
      </c>
      <c r="F25" s="29">
        <v>97.0</v>
      </c>
      <c r="G25" s="27">
        <v>1.85790972E8</v>
      </c>
    </row>
    <row r="26" ht="12.75" customHeight="1">
      <c r="A26" s="31">
        <v>379.0</v>
      </c>
      <c r="B26" s="32" t="s">
        <v>61589</v>
      </c>
      <c r="C26" s="31">
        <v>185.0</v>
      </c>
      <c r="D26" s="32" t="s">
        <v>61590</v>
      </c>
      <c r="E26" s="32" t="s">
        <v>61591</v>
      </c>
      <c r="F26" s="31">
        <v>106.0</v>
      </c>
      <c r="G26" s="31">
        <v>1.85791063E8</v>
      </c>
    </row>
    <row r="27" ht="12.75" customHeight="1">
      <c r="A27" s="27">
        <v>581.0</v>
      </c>
      <c r="B27" s="28" t="s">
        <v>61592</v>
      </c>
      <c r="C27" s="27">
        <v>185.0</v>
      </c>
      <c r="D27" s="28" t="s">
        <v>61593</v>
      </c>
      <c r="E27" s="28" t="s">
        <v>61594</v>
      </c>
      <c r="F27" s="29">
        <v>88.0</v>
      </c>
      <c r="G27" s="27">
        <v>1.85810881E8</v>
      </c>
    </row>
    <row r="28" ht="12.75" customHeight="1">
      <c r="A28" s="31">
        <v>581.0</v>
      </c>
      <c r="B28" s="32" t="s">
        <v>61595</v>
      </c>
      <c r="C28" s="31">
        <v>185.0</v>
      </c>
      <c r="D28" s="32" t="s">
        <v>61596</v>
      </c>
      <c r="E28" s="32" t="s">
        <v>61597</v>
      </c>
      <c r="F28" s="33">
        <v>94.0</v>
      </c>
      <c r="G28" s="31">
        <v>1.85810944E8</v>
      </c>
    </row>
    <row r="29" ht="12.75" customHeight="1">
      <c r="A29" s="27">
        <v>581.0</v>
      </c>
      <c r="B29" s="28" t="s">
        <v>61598</v>
      </c>
      <c r="C29" s="27">
        <v>185.0</v>
      </c>
      <c r="D29" s="28" t="s">
        <v>61599</v>
      </c>
      <c r="E29" s="28" t="s">
        <v>61600</v>
      </c>
      <c r="F29" s="27">
        <v>118.0</v>
      </c>
      <c r="G29" s="27">
        <v>1.85811185E8</v>
      </c>
    </row>
    <row r="30" ht="12.75" customHeight="1">
      <c r="A30" s="31">
        <v>581.0</v>
      </c>
      <c r="B30" s="32" t="s">
        <v>61601</v>
      </c>
      <c r="C30" s="31">
        <v>185.0</v>
      </c>
      <c r="D30" s="32" t="s">
        <v>61602</v>
      </c>
      <c r="E30" s="32" t="s">
        <v>61603</v>
      </c>
      <c r="F30" s="31">
        <v>199.0</v>
      </c>
      <c r="G30" s="31">
        <v>1.85811998E8</v>
      </c>
    </row>
    <row r="31" ht="12.75" customHeight="1">
      <c r="A31" s="27">
        <v>581.0</v>
      </c>
      <c r="B31" s="28" t="s">
        <v>61604</v>
      </c>
      <c r="C31" s="27">
        <v>185.0</v>
      </c>
      <c r="D31" s="28" t="s">
        <v>61605</v>
      </c>
      <c r="E31" s="28" t="s">
        <v>61606</v>
      </c>
      <c r="F31" s="27">
        <v>217.0</v>
      </c>
      <c r="G31" s="27">
        <v>1.85812171E8</v>
      </c>
    </row>
    <row r="32" ht="12.75" customHeight="1">
      <c r="A32" s="31">
        <v>581.0</v>
      </c>
      <c r="B32" s="32" t="s">
        <v>61607</v>
      </c>
      <c r="C32" s="31">
        <v>185.0</v>
      </c>
      <c r="D32" s="32" t="s">
        <v>61608</v>
      </c>
      <c r="E32" s="32" t="s">
        <v>61609</v>
      </c>
      <c r="F32" s="31">
        <v>226.0</v>
      </c>
      <c r="G32" s="31">
        <v>1.85812263E8</v>
      </c>
    </row>
    <row r="33" ht="12.75" customHeight="1">
      <c r="A33" s="27">
        <v>581.0</v>
      </c>
      <c r="B33" s="28" t="s">
        <v>61610</v>
      </c>
      <c r="C33" s="27">
        <v>185.0</v>
      </c>
      <c r="D33" s="28" t="s">
        <v>61611</v>
      </c>
      <c r="E33" s="28" t="s">
        <v>61612</v>
      </c>
      <c r="F33" s="27">
        <v>238.0</v>
      </c>
      <c r="G33" s="27">
        <v>1.85812384E8</v>
      </c>
    </row>
    <row r="34" ht="12.75" customHeight="1">
      <c r="A34" s="31">
        <v>382.0</v>
      </c>
      <c r="B34" s="32" t="s">
        <v>61613</v>
      </c>
      <c r="C34" s="31">
        <v>185.0</v>
      </c>
      <c r="D34" s="32" t="s">
        <v>61614</v>
      </c>
      <c r="E34" s="32" t="s">
        <v>61615</v>
      </c>
      <c r="F34" s="33">
        <v>19.0</v>
      </c>
      <c r="G34" s="31">
        <v>1.85820192E8</v>
      </c>
    </row>
    <row r="35" ht="12.75" customHeight="1">
      <c r="A35" s="27">
        <v>382.0</v>
      </c>
      <c r="B35" s="28" t="s">
        <v>61616</v>
      </c>
      <c r="C35" s="27">
        <v>185.0</v>
      </c>
      <c r="D35" s="28" t="s">
        <v>61617</v>
      </c>
      <c r="E35" s="28" t="s">
        <v>61618</v>
      </c>
      <c r="F35" s="29">
        <v>25.0</v>
      </c>
      <c r="G35" s="27">
        <v>1.85820255E8</v>
      </c>
    </row>
    <row r="36" ht="12.75" customHeight="1">
      <c r="A36" s="31">
        <v>382.0</v>
      </c>
      <c r="B36" s="32" t="s">
        <v>61619</v>
      </c>
      <c r="C36" s="31">
        <v>185.0</v>
      </c>
      <c r="D36" s="32" t="s">
        <v>61620</v>
      </c>
      <c r="E36" s="32" t="s">
        <v>61621</v>
      </c>
      <c r="F36" s="33">
        <v>67.0</v>
      </c>
      <c r="G36" s="31">
        <v>1.85820671E8</v>
      </c>
    </row>
    <row r="37" ht="12.75" customHeight="1">
      <c r="A37" s="27">
        <v>382.0</v>
      </c>
      <c r="B37" s="28" t="s">
        <v>61622</v>
      </c>
      <c r="C37" s="27">
        <v>185.0</v>
      </c>
      <c r="D37" s="28" t="s">
        <v>61623</v>
      </c>
      <c r="E37" s="28" t="s">
        <v>61624</v>
      </c>
      <c r="F37" s="29">
        <v>70.0</v>
      </c>
      <c r="G37" s="27">
        <v>1.85820705E8</v>
      </c>
    </row>
    <row r="38" ht="12.75" customHeight="1">
      <c r="A38" s="31">
        <v>382.0</v>
      </c>
      <c r="B38" s="32" t="s">
        <v>61625</v>
      </c>
      <c r="C38" s="31">
        <v>185.0</v>
      </c>
      <c r="D38" s="32" t="s">
        <v>61626</v>
      </c>
      <c r="E38" s="32" t="s">
        <v>61627</v>
      </c>
      <c r="F38" s="33">
        <v>73.0</v>
      </c>
      <c r="G38" s="31">
        <v>1.85820734E8</v>
      </c>
    </row>
    <row r="39" ht="12.75" customHeight="1">
      <c r="A39" s="27">
        <v>284.0</v>
      </c>
      <c r="B39" s="28" t="s">
        <v>61628</v>
      </c>
      <c r="C39" s="27">
        <v>185.0</v>
      </c>
      <c r="D39" s="28" t="s">
        <v>61629</v>
      </c>
      <c r="E39" s="28" t="s">
        <v>61630</v>
      </c>
      <c r="F39" s="29">
        <v>7.0</v>
      </c>
      <c r="G39" s="27">
        <v>1.85840077E8</v>
      </c>
    </row>
    <row r="40" ht="12.75" customHeight="1">
      <c r="A40" s="31">
        <v>284.0</v>
      </c>
      <c r="B40" s="32" t="s">
        <v>61631</v>
      </c>
      <c r="C40" s="31">
        <v>185.0</v>
      </c>
      <c r="D40" s="32" t="s">
        <v>61632</v>
      </c>
      <c r="E40" s="32" t="s">
        <v>61633</v>
      </c>
      <c r="F40" s="33">
        <v>52.0</v>
      </c>
      <c r="G40" s="31">
        <v>1.85840527E8</v>
      </c>
    </row>
    <row r="41" ht="12.75" customHeight="1">
      <c r="A41" s="27">
        <v>284.0</v>
      </c>
      <c r="B41" s="28" t="s">
        <v>61634</v>
      </c>
      <c r="C41" s="27">
        <v>185.0</v>
      </c>
      <c r="D41" s="28" t="s">
        <v>61635</v>
      </c>
      <c r="E41" s="28" t="s">
        <v>61636</v>
      </c>
      <c r="F41" s="29">
        <v>55.0</v>
      </c>
      <c r="G41" s="27">
        <v>1.85840556E8</v>
      </c>
    </row>
    <row r="42" ht="12.75" customHeight="1">
      <c r="A42" s="31">
        <v>785.0</v>
      </c>
      <c r="B42" s="32" t="s">
        <v>61637</v>
      </c>
      <c r="C42" s="31">
        <v>185.0</v>
      </c>
      <c r="D42" s="32" t="s">
        <v>61638</v>
      </c>
      <c r="E42" s="32" t="s">
        <v>61639</v>
      </c>
      <c r="F42" s="33">
        <v>7.0</v>
      </c>
      <c r="G42" s="31">
        <v>1.8585007E8</v>
      </c>
    </row>
    <row r="43" ht="12.75" customHeight="1">
      <c r="A43" s="27">
        <v>785.0</v>
      </c>
      <c r="B43" s="28" t="s">
        <v>61640</v>
      </c>
      <c r="C43" s="27">
        <v>185.0</v>
      </c>
      <c r="D43" s="28" t="s">
        <v>61641</v>
      </c>
      <c r="E43" s="28" t="s">
        <v>61642</v>
      </c>
      <c r="F43" s="29">
        <v>22.0</v>
      </c>
      <c r="G43" s="27">
        <v>1.85850225E8</v>
      </c>
    </row>
    <row r="44" ht="12.75" customHeight="1">
      <c r="A44" s="31">
        <v>785.0</v>
      </c>
      <c r="B44" s="32" t="s">
        <v>61643</v>
      </c>
      <c r="C44" s="31">
        <v>185.0</v>
      </c>
      <c r="D44" s="32" t="s">
        <v>61644</v>
      </c>
      <c r="E44" s="32" t="s">
        <v>61645</v>
      </c>
      <c r="F44" s="33">
        <v>28.0</v>
      </c>
      <c r="G44" s="31">
        <v>1.85850283E8</v>
      </c>
    </row>
    <row r="45" ht="12.75" customHeight="1">
      <c r="A45" s="27">
        <v>785.0</v>
      </c>
      <c r="B45" s="28" t="s">
        <v>61646</v>
      </c>
      <c r="C45" s="27">
        <v>185.0</v>
      </c>
      <c r="D45" s="28" t="s">
        <v>61647</v>
      </c>
      <c r="E45" s="28" t="s">
        <v>61648</v>
      </c>
      <c r="F45" s="29">
        <v>34.0</v>
      </c>
      <c r="G45" s="27">
        <v>1.85850346E8</v>
      </c>
    </row>
    <row r="46" ht="12.75" customHeight="1">
      <c r="A46" s="31">
        <v>785.0</v>
      </c>
      <c r="B46" s="32" t="s">
        <v>61649</v>
      </c>
      <c r="C46" s="31">
        <v>185.0</v>
      </c>
      <c r="D46" s="32" t="s">
        <v>61650</v>
      </c>
      <c r="E46" s="32" t="s">
        <v>61651</v>
      </c>
      <c r="F46" s="33">
        <v>58.0</v>
      </c>
      <c r="G46" s="31">
        <v>1.85850588E8</v>
      </c>
    </row>
    <row r="47" ht="12.75" customHeight="1">
      <c r="A47" s="27">
        <v>785.0</v>
      </c>
      <c r="B47" s="28" t="s">
        <v>61652</v>
      </c>
      <c r="C47" s="27">
        <v>185.0</v>
      </c>
      <c r="D47" s="28" t="s">
        <v>61653</v>
      </c>
      <c r="E47" s="28" t="s">
        <v>61654</v>
      </c>
      <c r="F47" s="29">
        <v>67.0</v>
      </c>
      <c r="G47" s="27">
        <v>1.8585067E8</v>
      </c>
    </row>
    <row r="48" ht="12.75" customHeight="1">
      <c r="A48" s="31">
        <v>785.0</v>
      </c>
      <c r="B48" s="32" t="s">
        <v>61655</v>
      </c>
      <c r="C48" s="31">
        <v>185.0</v>
      </c>
      <c r="D48" s="32" t="s">
        <v>61656</v>
      </c>
      <c r="E48" s="32" t="s">
        <v>61657</v>
      </c>
      <c r="F48" s="33">
        <v>85.0</v>
      </c>
      <c r="G48" s="31">
        <v>1.85850854E8</v>
      </c>
    </row>
    <row r="49" ht="12.75" customHeight="1">
      <c r="A49" s="27">
        <v>785.0</v>
      </c>
      <c r="B49" s="28" t="s">
        <v>61658</v>
      </c>
      <c r="C49" s="27">
        <v>185.0</v>
      </c>
      <c r="D49" s="28" t="s">
        <v>61659</v>
      </c>
      <c r="E49" s="28" t="s">
        <v>61660</v>
      </c>
      <c r="F49" s="29">
        <v>97.0</v>
      </c>
      <c r="G49" s="27">
        <v>1.85850975E8</v>
      </c>
    </row>
    <row r="50" ht="12.75" customHeight="1">
      <c r="A50" s="31">
        <v>785.0</v>
      </c>
      <c r="B50" s="32" t="s">
        <v>61661</v>
      </c>
      <c r="C50" s="31">
        <v>185.0</v>
      </c>
      <c r="D50" s="32" t="s">
        <v>61662</v>
      </c>
      <c r="E50" s="32" t="s">
        <v>61663</v>
      </c>
      <c r="F50" s="31">
        <v>142.0</v>
      </c>
      <c r="G50" s="31">
        <v>1.85851424E8</v>
      </c>
    </row>
    <row r="51" ht="12.75" customHeight="1">
      <c r="A51" s="27">
        <v>785.0</v>
      </c>
      <c r="B51" s="28" t="s">
        <v>61664</v>
      </c>
      <c r="C51" s="27">
        <v>185.0</v>
      </c>
      <c r="D51" s="28" t="s">
        <v>61665</v>
      </c>
      <c r="E51" s="28" t="s">
        <v>61666</v>
      </c>
      <c r="F51" s="27">
        <v>160.0</v>
      </c>
      <c r="G51" s="27">
        <v>1.85851608E8</v>
      </c>
    </row>
    <row r="52" ht="12.75" customHeight="1">
      <c r="A52" s="31">
        <v>785.0</v>
      </c>
      <c r="B52" s="32" t="s">
        <v>61667</v>
      </c>
      <c r="C52" s="31">
        <v>185.0</v>
      </c>
      <c r="D52" s="32" t="s">
        <v>61668</v>
      </c>
      <c r="E52" s="32" t="s">
        <v>61669</v>
      </c>
      <c r="F52" s="31">
        <v>193.0</v>
      </c>
      <c r="G52" s="31">
        <v>1.85851932E8</v>
      </c>
    </row>
    <row r="53" ht="12.75" customHeight="1">
      <c r="A53" s="27">
        <v>785.0</v>
      </c>
      <c r="B53" s="28" t="s">
        <v>61670</v>
      </c>
      <c r="C53" s="27">
        <v>185.0</v>
      </c>
      <c r="D53" s="28" t="s">
        <v>61671</v>
      </c>
      <c r="E53" s="28" t="s">
        <v>61672</v>
      </c>
      <c r="F53" s="27">
        <v>196.0</v>
      </c>
      <c r="G53" s="27">
        <v>1.85851961E8</v>
      </c>
    </row>
    <row r="54" ht="12.75" customHeight="1">
      <c r="A54" s="31">
        <v>386.0</v>
      </c>
      <c r="B54" s="32" t="s">
        <v>61673</v>
      </c>
      <c r="C54" s="31">
        <v>185.0</v>
      </c>
      <c r="D54" s="32" t="s">
        <v>61674</v>
      </c>
      <c r="E54" s="32" t="s">
        <v>61675</v>
      </c>
      <c r="F54" s="33">
        <v>34.0</v>
      </c>
      <c r="G54" s="31">
        <v>1.85860349E8</v>
      </c>
    </row>
    <row r="55" ht="12.75" customHeight="1">
      <c r="A55" s="27">
        <v>386.0</v>
      </c>
      <c r="B55" s="28" t="s">
        <v>61676</v>
      </c>
      <c r="C55" s="27">
        <v>185.0</v>
      </c>
      <c r="D55" s="28" t="s">
        <v>61677</v>
      </c>
      <c r="E55" s="28" t="s">
        <v>61678</v>
      </c>
      <c r="F55" s="29">
        <v>67.0</v>
      </c>
      <c r="G55" s="27">
        <v>1.85860673E8</v>
      </c>
    </row>
    <row r="56" ht="12.75" customHeight="1">
      <c r="A56" s="31">
        <v>487.0</v>
      </c>
      <c r="B56" s="32" t="s">
        <v>61679</v>
      </c>
      <c r="C56" s="31">
        <v>185.0</v>
      </c>
      <c r="D56" s="32" t="s">
        <v>61680</v>
      </c>
      <c r="E56" s="32" t="s">
        <v>61681</v>
      </c>
      <c r="F56" s="33">
        <v>22.0</v>
      </c>
      <c r="G56" s="31">
        <v>1.85870221E8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487.0</v>
      </c>
      <c r="B1" s="28" t="s">
        <v>61682</v>
      </c>
      <c r="C1" s="27">
        <v>185.0</v>
      </c>
      <c r="D1" s="28" t="s">
        <v>61683</v>
      </c>
      <c r="E1" s="28" t="s">
        <v>61684</v>
      </c>
      <c r="F1" s="29">
        <v>55.0</v>
      </c>
      <c r="G1" s="27">
        <v>1.85870555E8</v>
      </c>
    </row>
    <row r="2" ht="12.75" customHeight="1">
      <c r="A2" s="31">
        <v>487.0</v>
      </c>
      <c r="B2" s="32" t="s">
        <v>61685</v>
      </c>
      <c r="C2" s="31">
        <v>185.0</v>
      </c>
      <c r="D2" s="32" t="s">
        <v>61686</v>
      </c>
      <c r="E2" s="32" t="s">
        <v>61687</v>
      </c>
      <c r="F2" s="33">
        <v>58.0</v>
      </c>
      <c r="G2" s="31">
        <v>1.85870584E8</v>
      </c>
    </row>
    <row r="3" ht="12.75" customHeight="1">
      <c r="A3" s="27">
        <v>487.0</v>
      </c>
      <c r="B3" s="28" t="s">
        <v>61688</v>
      </c>
      <c r="C3" s="27">
        <v>185.0</v>
      </c>
      <c r="D3" s="28" t="s">
        <v>61689</v>
      </c>
      <c r="E3" s="28" t="s">
        <v>61690</v>
      </c>
      <c r="F3" s="29">
        <v>91.0</v>
      </c>
      <c r="G3" s="27">
        <v>1.85870913E8</v>
      </c>
    </row>
    <row r="4" ht="12.75" customHeight="1">
      <c r="A4" s="31">
        <v>487.0</v>
      </c>
      <c r="B4" s="32" t="s">
        <v>61691</v>
      </c>
      <c r="C4" s="31">
        <v>185.0</v>
      </c>
      <c r="D4" s="32" t="s">
        <v>61692</v>
      </c>
      <c r="E4" s="32" t="s">
        <v>61693</v>
      </c>
      <c r="F4" s="33">
        <v>94.0</v>
      </c>
      <c r="G4" s="31">
        <v>1.85870942E8</v>
      </c>
    </row>
    <row r="5" ht="12.75" customHeight="1">
      <c r="A5" s="27">
        <v>487.0</v>
      </c>
      <c r="B5" s="28" t="s">
        <v>61694</v>
      </c>
      <c r="C5" s="27">
        <v>185.0</v>
      </c>
      <c r="D5" s="28" t="s">
        <v>61695</v>
      </c>
      <c r="E5" s="28" t="s">
        <v>61696</v>
      </c>
      <c r="F5" s="27">
        <v>109.0</v>
      </c>
      <c r="G5" s="27">
        <v>1.85871091E8</v>
      </c>
    </row>
    <row r="6" ht="12.75" customHeight="1">
      <c r="A6" s="31">
        <v>688.0</v>
      </c>
      <c r="B6" s="32" t="s">
        <v>61697</v>
      </c>
      <c r="C6" s="31">
        <v>185.0</v>
      </c>
      <c r="D6" s="32" t="s">
        <v>61698</v>
      </c>
      <c r="E6" s="32" t="s">
        <v>61699</v>
      </c>
      <c r="F6" s="33">
        <v>7.0</v>
      </c>
      <c r="G6" s="31">
        <v>1.85880079E8</v>
      </c>
    </row>
    <row r="7" ht="12.75" customHeight="1">
      <c r="A7" s="27">
        <v>688.0</v>
      </c>
      <c r="B7" s="28" t="s">
        <v>61700</v>
      </c>
      <c r="C7" s="27">
        <v>185.0</v>
      </c>
      <c r="D7" s="28" t="s">
        <v>61701</v>
      </c>
      <c r="E7" s="28" t="s">
        <v>61702</v>
      </c>
      <c r="F7" s="29">
        <v>22.0</v>
      </c>
      <c r="G7" s="27">
        <v>1.85880224E8</v>
      </c>
    </row>
    <row r="8" ht="12.75" customHeight="1">
      <c r="A8" s="31">
        <v>688.0</v>
      </c>
      <c r="B8" s="32" t="s">
        <v>61703</v>
      </c>
      <c r="C8" s="31">
        <v>185.0</v>
      </c>
      <c r="D8" s="32" t="s">
        <v>61704</v>
      </c>
      <c r="E8" s="32" t="s">
        <v>61705</v>
      </c>
      <c r="F8" s="33">
        <v>28.0</v>
      </c>
      <c r="G8" s="31">
        <v>1.85880282E8</v>
      </c>
    </row>
    <row r="9" ht="12.75" customHeight="1">
      <c r="A9" s="27">
        <v>688.0</v>
      </c>
      <c r="B9" s="28" t="s">
        <v>61706</v>
      </c>
      <c r="C9" s="27">
        <v>185.0</v>
      </c>
      <c r="D9" s="28" t="s">
        <v>61707</v>
      </c>
      <c r="E9" s="28" t="s">
        <v>61708</v>
      </c>
      <c r="F9" s="29">
        <v>34.0</v>
      </c>
      <c r="G9" s="27">
        <v>1.85880345E8</v>
      </c>
    </row>
    <row r="10" ht="12.75" customHeight="1">
      <c r="A10" s="31">
        <v>688.0</v>
      </c>
      <c r="B10" s="32" t="s">
        <v>61709</v>
      </c>
      <c r="C10" s="31">
        <v>185.0</v>
      </c>
      <c r="D10" s="32" t="s">
        <v>61710</v>
      </c>
      <c r="E10" s="32" t="s">
        <v>61711</v>
      </c>
      <c r="F10" s="33">
        <v>58.0</v>
      </c>
      <c r="G10" s="31">
        <v>1.85880587E8</v>
      </c>
    </row>
    <row r="11" ht="12.75" customHeight="1">
      <c r="A11" s="27">
        <v>688.0</v>
      </c>
      <c r="B11" s="28" t="s">
        <v>61712</v>
      </c>
      <c r="C11" s="27">
        <v>185.0</v>
      </c>
      <c r="D11" s="28" t="s">
        <v>61713</v>
      </c>
      <c r="E11" s="28" t="s">
        <v>61714</v>
      </c>
      <c r="F11" s="27">
        <v>187.0</v>
      </c>
      <c r="G11" s="27">
        <v>1.85881878E8</v>
      </c>
    </row>
    <row r="12" ht="12.75" customHeight="1">
      <c r="A12" s="31">
        <v>688.0</v>
      </c>
      <c r="B12" s="32" t="s">
        <v>61715</v>
      </c>
      <c r="C12" s="31">
        <v>185.0</v>
      </c>
      <c r="D12" s="32" t="s">
        <v>61716</v>
      </c>
      <c r="E12" s="32" t="s">
        <v>61717</v>
      </c>
      <c r="F12" s="31">
        <v>193.0</v>
      </c>
      <c r="G12" s="31">
        <v>1.85881931E8</v>
      </c>
    </row>
    <row r="13" ht="12.75" customHeight="1">
      <c r="A13" s="27">
        <v>189.0</v>
      </c>
      <c r="B13" s="28" t="s">
        <v>61718</v>
      </c>
      <c r="C13" s="27">
        <v>185.0</v>
      </c>
      <c r="D13" s="28" t="s">
        <v>61719</v>
      </c>
      <c r="E13" s="28" t="s">
        <v>61720</v>
      </c>
      <c r="F13" s="29">
        <v>58.0</v>
      </c>
      <c r="G13" s="27">
        <v>1.8589058E8</v>
      </c>
    </row>
    <row r="14" ht="12.75" customHeight="1">
      <c r="A14" s="31">
        <v>890.0</v>
      </c>
      <c r="B14" s="32" t="s">
        <v>61721</v>
      </c>
      <c r="C14" s="31">
        <v>185.0</v>
      </c>
      <c r="D14" s="32" t="s">
        <v>61722</v>
      </c>
      <c r="E14" s="32" t="s">
        <v>61723</v>
      </c>
      <c r="F14" s="33">
        <v>16.0</v>
      </c>
      <c r="G14" s="31">
        <v>1.85900162E8</v>
      </c>
    </row>
    <row r="15" ht="12.75" customHeight="1">
      <c r="A15" s="27">
        <v>890.0</v>
      </c>
      <c r="B15" s="28" t="s">
        <v>61724</v>
      </c>
      <c r="C15" s="27">
        <v>185.0</v>
      </c>
      <c r="D15" s="28" t="s">
        <v>61725</v>
      </c>
      <c r="E15" s="28" t="s">
        <v>61726</v>
      </c>
      <c r="F15" s="29">
        <v>22.0</v>
      </c>
      <c r="G15" s="27">
        <v>1.85900225E8</v>
      </c>
    </row>
    <row r="16" ht="12.75" customHeight="1">
      <c r="A16" s="31">
        <v>890.0</v>
      </c>
      <c r="B16" s="32" t="s">
        <v>61727</v>
      </c>
      <c r="C16" s="31">
        <v>185.0</v>
      </c>
      <c r="D16" s="32" t="s">
        <v>61728</v>
      </c>
      <c r="E16" s="32" t="s">
        <v>61729</v>
      </c>
      <c r="F16" s="33">
        <v>31.0</v>
      </c>
      <c r="G16" s="31">
        <v>1.85900317E8</v>
      </c>
    </row>
    <row r="17" ht="12.75" customHeight="1">
      <c r="A17" s="27">
        <v>890.0</v>
      </c>
      <c r="B17" s="28" t="s">
        <v>61730</v>
      </c>
      <c r="C17" s="27">
        <v>185.0</v>
      </c>
      <c r="D17" s="28" t="s">
        <v>61731</v>
      </c>
      <c r="E17" s="28" t="s">
        <v>61732</v>
      </c>
      <c r="F17" s="29">
        <v>49.0</v>
      </c>
      <c r="G17" s="27">
        <v>1.85900496E8</v>
      </c>
    </row>
    <row r="18" ht="12.75" customHeight="1">
      <c r="A18" s="31">
        <v>890.0</v>
      </c>
      <c r="B18" s="32" t="s">
        <v>61733</v>
      </c>
      <c r="C18" s="31">
        <v>185.0</v>
      </c>
      <c r="D18" s="32" t="s">
        <v>61734</v>
      </c>
      <c r="E18" s="32" t="s">
        <v>61735</v>
      </c>
      <c r="F18" s="33">
        <v>61.0</v>
      </c>
      <c r="G18" s="31">
        <v>1.85900612E8</v>
      </c>
    </row>
    <row r="19" ht="12.75" customHeight="1">
      <c r="A19" s="27">
        <v>890.0</v>
      </c>
      <c r="B19" s="28" t="s">
        <v>61736</v>
      </c>
      <c r="C19" s="27">
        <v>185.0</v>
      </c>
      <c r="D19" s="28" t="s">
        <v>61737</v>
      </c>
      <c r="E19" s="28" t="s">
        <v>61738</v>
      </c>
      <c r="F19" s="27">
        <v>112.0</v>
      </c>
      <c r="G19" s="27">
        <v>1.85901129E8</v>
      </c>
    </row>
    <row r="20" ht="12.75" customHeight="1">
      <c r="A20" s="31">
        <v>890.0</v>
      </c>
      <c r="B20" s="32" t="s">
        <v>61739</v>
      </c>
      <c r="C20" s="31">
        <v>185.0</v>
      </c>
      <c r="D20" s="32" t="s">
        <v>61740</v>
      </c>
      <c r="E20" s="32" t="s">
        <v>61741</v>
      </c>
      <c r="F20" s="31">
        <v>118.0</v>
      </c>
      <c r="G20" s="31">
        <v>1.85901187E8</v>
      </c>
    </row>
    <row r="21" ht="12.75" customHeight="1">
      <c r="A21" s="27">
        <v>891.0</v>
      </c>
      <c r="B21" s="28" t="s">
        <v>61742</v>
      </c>
      <c r="C21" s="27">
        <v>185.0</v>
      </c>
      <c r="D21" s="28" t="s">
        <v>61743</v>
      </c>
      <c r="E21" s="28" t="s">
        <v>61744</v>
      </c>
      <c r="F21" s="29">
        <v>9.0</v>
      </c>
      <c r="G21" s="27">
        <v>1.85910099E8</v>
      </c>
    </row>
    <row r="22" ht="12.75" customHeight="1">
      <c r="A22" s="31">
        <v>891.0</v>
      </c>
      <c r="B22" s="32" t="s">
        <v>61745</v>
      </c>
      <c r="C22" s="31">
        <v>185.0</v>
      </c>
      <c r="D22" s="32" t="s">
        <v>61746</v>
      </c>
      <c r="E22" s="32" t="s">
        <v>61747</v>
      </c>
      <c r="F22" s="33">
        <v>11.0</v>
      </c>
      <c r="G22" s="31">
        <v>1.8591011E8</v>
      </c>
    </row>
    <row r="23" ht="12.75" customHeight="1">
      <c r="A23" s="27">
        <v>891.0</v>
      </c>
      <c r="B23" s="28" t="s">
        <v>61748</v>
      </c>
      <c r="C23" s="27">
        <v>185.0</v>
      </c>
      <c r="D23" s="28" t="s">
        <v>61749</v>
      </c>
      <c r="E23" s="28" t="s">
        <v>61750</v>
      </c>
      <c r="F23" s="29">
        <v>12.0</v>
      </c>
      <c r="G23" s="27">
        <v>1.85910123E8</v>
      </c>
    </row>
    <row r="24" ht="12.75" customHeight="1">
      <c r="A24" s="31">
        <v>891.0</v>
      </c>
      <c r="B24" s="32" t="s">
        <v>61751</v>
      </c>
      <c r="C24" s="31">
        <v>185.0</v>
      </c>
      <c r="D24" s="32" t="s">
        <v>61752</v>
      </c>
      <c r="E24" s="32" t="s">
        <v>61753</v>
      </c>
      <c r="F24" s="33">
        <v>15.0</v>
      </c>
      <c r="G24" s="31">
        <v>1.85910152E8</v>
      </c>
    </row>
    <row r="25" ht="12.75" customHeight="1">
      <c r="A25" s="27">
        <v>891.0</v>
      </c>
      <c r="B25" s="28" t="s">
        <v>61754</v>
      </c>
      <c r="C25" s="27">
        <v>185.0</v>
      </c>
      <c r="D25" s="28" t="s">
        <v>61755</v>
      </c>
      <c r="E25" s="28" t="s">
        <v>61756</v>
      </c>
      <c r="F25" s="29">
        <v>19.0</v>
      </c>
      <c r="G25" s="27">
        <v>1.85910194E8</v>
      </c>
    </row>
    <row r="26" ht="12.75" customHeight="1">
      <c r="A26" s="31">
        <v>891.0</v>
      </c>
      <c r="B26" s="32" t="s">
        <v>61757</v>
      </c>
      <c r="C26" s="31">
        <v>185.0</v>
      </c>
      <c r="D26" s="32" t="s">
        <v>61758</v>
      </c>
      <c r="E26" s="32" t="s">
        <v>61759</v>
      </c>
      <c r="F26" s="31">
        <v>118.0</v>
      </c>
      <c r="G26" s="31">
        <v>1.8591118E8</v>
      </c>
    </row>
    <row r="27" ht="12.75" customHeight="1">
      <c r="A27" s="27">
        <v>891.0</v>
      </c>
      <c r="B27" s="28" t="s">
        <v>61760</v>
      </c>
      <c r="C27" s="27">
        <v>185.0</v>
      </c>
      <c r="D27" s="28" t="s">
        <v>61761</v>
      </c>
      <c r="E27" s="28" t="s">
        <v>61762</v>
      </c>
      <c r="F27" s="27">
        <v>121.0</v>
      </c>
      <c r="G27" s="27">
        <v>1.85911214E8</v>
      </c>
    </row>
    <row r="28" ht="12.75" customHeight="1">
      <c r="A28" s="31">
        <v>891.0</v>
      </c>
      <c r="B28" s="32" t="s">
        <v>61763</v>
      </c>
      <c r="C28" s="31">
        <v>185.0</v>
      </c>
      <c r="D28" s="32" t="s">
        <v>61764</v>
      </c>
      <c r="E28" s="32" t="s">
        <v>61765</v>
      </c>
      <c r="F28" s="31">
        <v>169.0</v>
      </c>
      <c r="G28" s="31">
        <v>1.85911698E8</v>
      </c>
    </row>
    <row r="29" ht="12.75" customHeight="1">
      <c r="A29" s="27">
        <v>891.0</v>
      </c>
      <c r="B29" s="28" t="s">
        <v>61766</v>
      </c>
      <c r="C29" s="27">
        <v>185.0</v>
      </c>
      <c r="D29" s="28" t="s">
        <v>61767</v>
      </c>
      <c r="E29" s="28" t="s">
        <v>61768</v>
      </c>
      <c r="F29" s="27">
        <v>178.0</v>
      </c>
      <c r="G29" s="27">
        <v>1.8591178E8</v>
      </c>
    </row>
    <row r="30" ht="12.75" customHeight="1">
      <c r="A30" s="31">
        <v>891.0</v>
      </c>
      <c r="B30" s="32" t="s">
        <v>61769</v>
      </c>
      <c r="C30" s="31">
        <v>185.0</v>
      </c>
      <c r="D30" s="32" t="s">
        <v>61770</v>
      </c>
      <c r="E30" s="32" t="s">
        <v>61771</v>
      </c>
      <c r="F30" s="31">
        <v>199.0</v>
      </c>
      <c r="G30" s="31">
        <v>1.85911993E8</v>
      </c>
    </row>
    <row r="31" ht="12.75" customHeight="1">
      <c r="A31" s="27">
        <v>891.0</v>
      </c>
      <c r="B31" s="28" t="s">
        <v>61772</v>
      </c>
      <c r="C31" s="27">
        <v>185.0</v>
      </c>
      <c r="D31" s="28" t="s">
        <v>61773</v>
      </c>
      <c r="E31" s="28" t="s">
        <v>61774</v>
      </c>
      <c r="F31" s="27">
        <v>208.0</v>
      </c>
      <c r="G31" s="27">
        <v>1.85912084E8</v>
      </c>
    </row>
    <row r="32" ht="12.75" customHeight="1">
      <c r="A32" s="31">
        <v>891.0</v>
      </c>
      <c r="B32" s="32" t="s">
        <v>61775</v>
      </c>
      <c r="C32" s="31">
        <v>185.0</v>
      </c>
      <c r="D32" s="32" t="s">
        <v>61776</v>
      </c>
      <c r="E32" s="32" t="s">
        <v>61777</v>
      </c>
      <c r="F32" s="31">
        <v>214.0</v>
      </c>
      <c r="G32" s="31">
        <v>1.85912147E8</v>
      </c>
    </row>
    <row r="33" ht="12.75" customHeight="1">
      <c r="A33" s="27">
        <v>891.0</v>
      </c>
      <c r="B33" s="28" t="s">
        <v>61778</v>
      </c>
      <c r="C33" s="27">
        <v>185.0</v>
      </c>
      <c r="D33" s="28" t="s">
        <v>61779</v>
      </c>
      <c r="E33" s="28" t="s">
        <v>61780</v>
      </c>
      <c r="F33" s="27">
        <v>223.0</v>
      </c>
      <c r="G33" s="27">
        <v>1.85912239E8</v>
      </c>
    </row>
    <row r="34" ht="12.75" customHeight="1">
      <c r="A34" s="31">
        <v>891.0</v>
      </c>
      <c r="B34" s="32" t="s">
        <v>61781</v>
      </c>
      <c r="C34" s="31">
        <v>185.0</v>
      </c>
      <c r="D34" s="32" t="s">
        <v>61782</v>
      </c>
      <c r="E34" s="32" t="s">
        <v>61783</v>
      </c>
      <c r="F34" s="31">
        <v>229.0</v>
      </c>
      <c r="G34" s="31">
        <v>1.85912297E8</v>
      </c>
    </row>
    <row r="35" ht="12.75" customHeight="1">
      <c r="A35" s="27">
        <v>891.0</v>
      </c>
      <c r="B35" s="28" t="s">
        <v>61784</v>
      </c>
      <c r="C35" s="27">
        <v>185.0</v>
      </c>
      <c r="D35" s="28" t="s">
        <v>61785</v>
      </c>
      <c r="E35" s="28" t="s">
        <v>61786</v>
      </c>
      <c r="F35" s="27">
        <v>238.0</v>
      </c>
      <c r="G35" s="27">
        <v>1.85912389E8</v>
      </c>
    </row>
    <row r="36" ht="12.75" customHeight="1">
      <c r="A36" s="31">
        <v>891.0</v>
      </c>
      <c r="B36" s="32" t="s">
        <v>61787</v>
      </c>
      <c r="C36" s="31">
        <v>185.0</v>
      </c>
      <c r="D36" s="32" t="s">
        <v>61788</v>
      </c>
      <c r="E36" s="32" t="s">
        <v>61789</v>
      </c>
      <c r="F36" s="31">
        <v>241.0</v>
      </c>
      <c r="G36" s="31">
        <v>1.85912413E8</v>
      </c>
    </row>
    <row r="37" ht="12.75" customHeight="1">
      <c r="A37" s="27">
        <v>891.0</v>
      </c>
      <c r="B37" s="28" t="s">
        <v>61790</v>
      </c>
      <c r="C37" s="27">
        <v>185.0</v>
      </c>
      <c r="D37" s="28" t="s">
        <v>61791</v>
      </c>
      <c r="E37" s="28" t="s">
        <v>61792</v>
      </c>
      <c r="F37" s="27">
        <v>244.0</v>
      </c>
      <c r="G37" s="27">
        <v>1.85912442E8</v>
      </c>
    </row>
    <row r="38" ht="12.75" customHeight="1">
      <c r="A38" s="31">
        <v>891.0</v>
      </c>
      <c r="B38" s="32" t="s">
        <v>61793</v>
      </c>
      <c r="C38" s="31">
        <v>185.0</v>
      </c>
      <c r="D38" s="32" t="s">
        <v>61794</v>
      </c>
      <c r="E38" s="32" t="s">
        <v>61795</v>
      </c>
      <c r="F38" s="31">
        <v>253.0</v>
      </c>
      <c r="G38" s="31">
        <v>1.85912534E8</v>
      </c>
    </row>
    <row r="39" ht="12.75" customHeight="1">
      <c r="A39" s="27">
        <v>891.0</v>
      </c>
      <c r="B39" s="28" t="s">
        <v>61796</v>
      </c>
      <c r="C39" s="27">
        <v>185.0</v>
      </c>
      <c r="D39" s="28" t="s">
        <v>61797</v>
      </c>
      <c r="E39" s="28" t="s">
        <v>61798</v>
      </c>
      <c r="F39" s="27">
        <v>254.0</v>
      </c>
      <c r="G39" s="27">
        <v>1.85912547E8</v>
      </c>
    </row>
    <row r="40" ht="12.75" customHeight="1">
      <c r="A40" s="31">
        <v>891.0</v>
      </c>
      <c r="B40" s="32" t="s">
        <v>61799</v>
      </c>
      <c r="C40" s="31">
        <v>185.0</v>
      </c>
      <c r="D40" s="32" t="s">
        <v>61800</v>
      </c>
      <c r="E40" s="32" t="s">
        <v>61801</v>
      </c>
      <c r="F40" s="31">
        <v>259.0</v>
      </c>
      <c r="G40" s="31">
        <v>1.85912592E8</v>
      </c>
    </row>
    <row r="41" ht="12.75" customHeight="1">
      <c r="A41" s="27">
        <v>891.0</v>
      </c>
      <c r="B41" s="28" t="s">
        <v>61802</v>
      </c>
      <c r="C41" s="27">
        <v>185.0</v>
      </c>
      <c r="D41" s="28" t="s">
        <v>61803</v>
      </c>
      <c r="E41" s="28" t="s">
        <v>61804</v>
      </c>
      <c r="F41" s="27">
        <v>283.0</v>
      </c>
      <c r="G41" s="27">
        <v>1.85912839E8</v>
      </c>
    </row>
    <row r="42" ht="12.75" customHeight="1">
      <c r="A42" s="31">
        <v>891.0</v>
      </c>
      <c r="B42" s="32" t="s">
        <v>61805</v>
      </c>
      <c r="C42" s="31">
        <v>185.0</v>
      </c>
      <c r="D42" s="32" t="s">
        <v>61806</v>
      </c>
      <c r="E42" s="32" t="s">
        <v>61807</v>
      </c>
      <c r="F42" s="31">
        <v>295.0</v>
      </c>
      <c r="G42" s="31">
        <v>1.8591295E8</v>
      </c>
    </row>
    <row r="43" ht="12.75" customHeight="1">
      <c r="A43" s="27">
        <v>891.0</v>
      </c>
      <c r="B43" s="28" t="s">
        <v>61808</v>
      </c>
      <c r="C43" s="27">
        <v>185.0</v>
      </c>
      <c r="D43" s="28" t="s">
        <v>61809</v>
      </c>
      <c r="E43" s="28" t="s">
        <v>61810</v>
      </c>
      <c r="F43" s="27">
        <v>304.0</v>
      </c>
      <c r="G43" s="27">
        <v>1.85913041E8</v>
      </c>
    </row>
    <row r="44" ht="12.75" customHeight="1">
      <c r="A44" s="31">
        <v>891.0</v>
      </c>
      <c r="B44" s="32" t="s">
        <v>61811</v>
      </c>
      <c r="C44" s="31">
        <v>185.0</v>
      </c>
      <c r="D44" s="32" t="s">
        <v>61812</v>
      </c>
      <c r="E44" s="32" t="s">
        <v>61813</v>
      </c>
      <c r="F44" s="31">
        <v>346.0</v>
      </c>
      <c r="G44" s="31">
        <v>1.85913467E8</v>
      </c>
    </row>
    <row r="45" ht="12.75" customHeight="1">
      <c r="A45" s="27">
        <v>891.0</v>
      </c>
      <c r="B45" s="28" t="s">
        <v>61814</v>
      </c>
      <c r="C45" s="27">
        <v>185.0</v>
      </c>
      <c r="D45" s="28" t="s">
        <v>61815</v>
      </c>
      <c r="E45" s="28" t="s">
        <v>61816</v>
      </c>
      <c r="F45" s="27">
        <v>352.0</v>
      </c>
      <c r="G45" s="27">
        <v>1.8591352E8</v>
      </c>
    </row>
    <row r="46" ht="12.75" customHeight="1">
      <c r="A46" s="31">
        <v>891.0</v>
      </c>
      <c r="B46" s="32" t="s">
        <v>61817</v>
      </c>
      <c r="C46" s="31">
        <v>185.0</v>
      </c>
      <c r="D46" s="32" t="s">
        <v>61818</v>
      </c>
      <c r="E46" s="32" t="s">
        <v>61819</v>
      </c>
      <c r="F46" s="31">
        <v>357.0</v>
      </c>
      <c r="G46" s="31">
        <v>1.85913575E8</v>
      </c>
    </row>
    <row r="47" ht="12.75" customHeight="1">
      <c r="A47" s="27">
        <v>891.0</v>
      </c>
      <c r="B47" s="28" t="s">
        <v>61820</v>
      </c>
      <c r="C47" s="27">
        <v>185.0</v>
      </c>
      <c r="D47" s="28" t="s">
        <v>61821</v>
      </c>
      <c r="E47" s="28" t="s">
        <v>61822</v>
      </c>
      <c r="F47" s="27">
        <v>385.0</v>
      </c>
      <c r="G47" s="27">
        <v>1.85913854E8</v>
      </c>
    </row>
    <row r="48" ht="12.75" customHeight="1">
      <c r="A48" s="31">
        <v>891.0</v>
      </c>
      <c r="B48" s="32" t="s">
        <v>61823</v>
      </c>
      <c r="C48" s="31">
        <v>185.0</v>
      </c>
      <c r="D48" s="32" t="s">
        <v>61824</v>
      </c>
      <c r="E48" s="32" t="s">
        <v>61825</v>
      </c>
      <c r="F48" s="31">
        <v>406.0</v>
      </c>
      <c r="G48" s="31">
        <v>1.85914066E8</v>
      </c>
    </row>
    <row r="49" ht="12.75" customHeight="1">
      <c r="A49" s="27">
        <v>193.0</v>
      </c>
      <c r="B49" s="28" t="s">
        <v>61826</v>
      </c>
      <c r="C49" s="27">
        <v>185.0</v>
      </c>
      <c r="D49" s="28" t="s">
        <v>61827</v>
      </c>
      <c r="E49" s="28" t="s">
        <v>61828</v>
      </c>
      <c r="F49" s="29">
        <v>31.0</v>
      </c>
      <c r="G49" s="27">
        <v>1.85930316E8</v>
      </c>
    </row>
    <row r="50" ht="12.75" customHeight="1">
      <c r="A50" s="31">
        <v>193.0</v>
      </c>
      <c r="B50" s="32" t="s">
        <v>61829</v>
      </c>
      <c r="C50" s="31">
        <v>185.0</v>
      </c>
      <c r="D50" s="32" t="s">
        <v>61830</v>
      </c>
      <c r="E50" s="32" t="s">
        <v>61831</v>
      </c>
      <c r="F50" s="33">
        <v>37.0</v>
      </c>
      <c r="G50" s="31">
        <v>1.85930374E8</v>
      </c>
    </row>
    <row r="51" ht="12.75" customHeight="1">
      <c r="A51" s="27">
        <v>193.0</v>
      </c>
      <c r="B51" s="28" t="s">
        <v>61832</v>
      </c>
      <c r="C51" s="27">
        <v>185.0</v>
      </c>
      <c r="D51" s="28" t="s">
        <v>61833</v>
      </c>
      <c r="E51" s="28" t="s">
        <v>61834</v>
      </c>
      <c r="F51" s="29">
        <v>79.0</v>
      </c>
      <c r="G51" s="27">
        <v>1.8593079E8</v>
      </c>
    </row>
    <row r="52" ht="12.75" customHeight="1">
      <c r="A52" s="31">
        <v>193.0</v>
      </c>
      <c r="B52" s="32" t="s">
        <v>61835</v>
      </c>
      <c r="C52" s="31">
        <v>185.0</v>
      </c>
      <c r="D52" s="32" t="s">
        <v>61836</v>
      </c>
      <c r="E52" s="32" t="s">
        <v>61837</v>
      </c>
      <c r="F52" s="33">
        <v>85.0</v>
      </c>
      <c r="G52" s="31">
        <v>1.85930853E8</v>
      </c>
    </row>
    <row r="53" ht="12.75" customHeight="1">
      <c r="A53" s="27">
        <v>193.0</v>
      </c>
      <c r="B53" s="28" t="s">
        <v>61838</v>
      </c>
      <c r="C53" s="27">
        <v>185.0</v>
      </c>
      <c r="D53" s="28" t="s">
        <v>61839</v>
      </c>
      <c r="E53" s="28" t="s">
        <v>61840</v>
      </c>
      <c r="F53" s="29">
        <v>91.0</v>
      </c>
      <c r="G53" s="27">
        <v>1.85930916E8</v>
      </c>
    </row>
    <row r="54" ht="12.75" customHeight="1">
      <c r="A54" s="31">
        <v>193.0</v>
      </c>
      <c r="B54" s="32" t="s">
        <v>61841</v>
      </c>
      <c r="C54" s="31">
        <v>185.0</v>
      </c>
      <c r="D54" s="32" t="s">
        <v>61842</v>
      </c>
      <c r="E54" s="32" t="s">
        <v>61843</v>
      </c>
      <c r="F54" s="31">
        <v>130.0</v>
      </c>
      <c r="G54" s="31">
        <v>1.85931302E8</v>
      </c>
    </row>
    <row r="55" ht="12.75" customHeight="1">
      <c r="A55" s="27">
        <v>193.0</v>
      </c>
      <c r="B55" s="28" t="s">
        <v>61844</v>
      </c>
      <c r="C55" s="27">
        <v>185.0</v>
      </c>
      <c r="D55" s="28" t="s">
        <v>61845</v>
      </c>
      <c r="E55" s="28" t="s">
        <v>61846</v>
      </c>
      <c r="F55" s="27">
        <v>178.0</v>
      </c>
      <c r="G55" s="27">
        <v>1.85931786E8</v>
      </c>
    </row>
    <row r="56" ht="12.75" customHeight="1">
      <c r="A56" s="31">
        <v>193.0</v>
      </c>
      <c r="B56" s="32" t="s">
        <v>61847</v>
      </c>
      <c r="C56" s="31">
        <v>185.0</v>
      </c>
      <c r="D56" s="32" t="s">
        <v>61848</v>
      </c>
      <c r="E56" s="32" t="s">
        <v>61849</v>
      </c>
      <c r="F56" s="31">
        <v>184.0</v>
      </c>
      <c r="G56" s="31">
        <v>1.85931849E8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193.0</v>
      </c>
      <c r="B1" s="28" t="s">
        <v>61850</v>
      </c>
      <c r="C1" s="27">
        <v>185.0</v>
      </c>
      <c r="D1" s="28" t="s">
        <v>61851</v>
      </c>
      <c r="E1" s="28" t="s">
        <v>61852</v>
      </c>
      <c r="F1" s="27">
        <v>196.0</v>
      </c>
      <c r="G1" s="27">
        <v>1.8593196E8</v>
      </c>
    </row>
    <row r="2" ht="12.75" customHeight="1">
      <c r="A2" s="31">
        <v>193.0</v>
      </c>
      <c r="B2" s="32" t="s">
        <v>61853</v>
      </c>
      <c r="C2" s="31">
        <v>185.0</v>
      </c>
      <c r="D2" s="32" t="s">
        <v>61854</v>
      </c>
      <c r="E2" s="32" t="s">
        <v>61855</v>
      </c>
      <c r="F2" s="31">
        <v>205.0</v>
      </c>
      <c r="G2" s="31">
        <v>1.85932051E8</v>
      </c>
    </row>
    <row r="3" ht="12.75" customHeight="1">
      <c r="A3" s="27">
        <v>193.0</v>
      </c>
      <c r="B3" s="28" t="s">
        <v>61856</v>
      </c>
      <c r="C3" s="27">
        <v>185.0</v>
      </c>
      <c r="D3" s="28" t="s">
        <v>61857</v>
      </c>
      <c r="E3" s="28" t="s">
        <v>61858</v>
      </c>
      <c r="F3" s="27">
        <v>220.0</v>
      </c>
      <c r="G3" s="27">
        <v>1.85932206E8</v>
      </c>
    </row>
    <row r="4" ht="12.75" customHeight="1">
      <c r="A4" s="31">
        <v>193.0</v>
      </c>
      <c r="B4" s="32" t="s">
        <v>61859</v>
      </c>
      <c r="C4" s="31">
        <v>185.0</v>
      </c>
      <c r="D4" s="32" t="s">
        <v>61860</v>
      </c>
      <c r="E4" s="32" t="s">
        <v>61861</v>
      </c>
      <c r="F4" s="31">
        <v>229.0</v>
      </c>
      <c r="G4" s="31">
        <v>1.85932293E8</v>
      </c>
    </row>
    <row r="5" ht="12.75" customHeight="1">
      <c r="A5" s="27">
        <v>794.0</v>
      </c>
      <c r="B5" s="28" t="s">
        <v>61862</v>
      </c>
      <c r="C5" s="27">
        <v>185.0</v>
      </c>
      <c r="D5" s="28" t="s">
        <v>61863</v>
      </c>
      <c r="E5" s="28" t="s">
        <v>61864</v>
      </c>
      <c r="F5" s="29">
        <v>10.0</v>
      </c>
      <c r="G5" s="27">
        <v>1.85940106E8</v>
      </c>
    </row>
    <row r="6" ht="12.75" customHeight="1">
      <c r="A6" s="31">
        <v>794.0</v>
      </c>
      <c r="B6" s="32" t="s">
        <v>61865</v>
      </c>
      <c r="C6" s="31">
        <v>185.0</v>
      </c>
      <c r="D6" s="32" t="s">
        <v>61866</v>
      </c>
      <c r="E6" s="32" t="s">
        <v>61867</v>
      </c>
      <c r="F6" s="33">
        <v>22.0</v>
      </c>
      <c r="G6" s="31">
        <v>1.85940227E8</v>
      </c>
    </row>
    <row r="7" ht="12.75" customHeight="1">
      <c r="A7" s="27">
        <v>794.0</v>
      </c>
      <c r="B7" s="28" t="s">
        <v>61868</v>
      </c>
      <c r="C7" s="27">
        <v>185.0</v>
      </c>
      <c r="D7" s="28" t="s">
        <v>61869</v>
      </c>
      <c r="E7" s="28" t="s">
        <v>61870</v>
      </c>
      <c r="F7" s="29">
        <v>97.0</v>
      </c>
      <c r="G7" s="27">
        <v>1.85940977E8</v>
      </c>
    </row>
    <row r="8" ht="12.75" customHeight="1">
      <c r="A8" s="31">
        <v>304.0</v>
      </c>
      <c r="B8" s="32" t="s">
        <v>61871</v>
      </c>
      <c r="C8" s="31">
        <v>190.0</v>
      </c>
      <c r="D8" s="32" t="s">
        <v>61872</v>
      </c>
      <c r="E8" s="32" t="s">
        <v>61873</v>
      </c>
      <c r="F8" s="33">
        <v>4.0</v>
      </c>
      <c r="G8" s="31">
        <v>1.90040046E8</v>
      </c>
    </row>
    <row r="9" ht="12.75" customHeight="1">
      <c r="A9" s="27">
        <v>306.0</v>
      </c>
      <c r="B9" s="28" t="s">
        <v>61874</v>
      </c>
      <c r="C9" s="27">
        <v>190.0</v>
      </c>
      <c r="D9" s="28" t="s">
        <v>61875</v>
      </c>
      <c r="E9" s="28" t="s">
        <v>61876</v>
      </c>
      <c r="F9" s="29">
        <v>28.0</v>
      </c>
      <c r="G9" s="27">
        <v>1.90060284E8</v>
      </c>
    </row>
    <row r="10" ht="12.75" customHeight="1">
      <c r="A10" s="31">
        <v>610.0</v>
      </c>
      <c r="B10" s="32" t="s">
        <v>61877</v>
      </c>
      <c r="C10" s="31">
        <v>190.0</v>
      </c>
      <c r="D10" s="32" t="s">
        <v>61878</v>
      </c>
      <c r="E10" s="32" t="s">
        <v>61879</v>
      </c>
      <c r="F10" s="33">
        <v>37.0</v>
      </c>
      <c r="G10" s="31">
        <v>1.90100373E8</v>
      </c>
    </row>
    <row r="11" ht="12.75" customHeight="1">
      <c r="A11" s="27">
        <v>112.0</v>
      </c>
      <c r="B11" s="28" t="s">
        <v>61880</v>
      </c>
      <c r="C11" s="27">
        <v>190.0</v>
      </c>
      <c r="D11" s="28" t="s">
        <v>61881</v>
      </c>
      <c r="E11" s="28" t="s">
        <v>61882</v>
      </c>
      <c r="F11" s="29">
        <v>10.0</v>
      </c>
      <c r="G11" s="27">
        <v>1.90120108E8</v>
      </c>
    </row>
    <row r="12" ht="12.75" customHeight="1">
      <c r="A12" s="31">
        <v>112.0</v>
      </c>
      <c r="B12" s="32" t="s">
        <v>61883</v>
      </c>
      <c r="C12" s="31">
        <v>190.0</v>
      </c>
      <c r="D12" s="32" t="s">
        <v>61884</v>
      </c>
      <c r="E12" s="32" t="s">
        <v>61885</v>
      </c>
      <c r="F12" s="33">
        <v>43.0</v>
      </c>
      <c r="G12" s="31">
        <v>1.90120432E8</v>
      </c>
    </row>
    <row r="13" ht="12.75" customHeight="1">
      <c r="A13" s="27">
        <v>113.0</v>
      </c>
      <c r="B13" s="28" t="s">
        <v>61886</v>
      </c>
      <c r="C13" s="27">
        <v>190.0</v>
      </c>
      <c r="D13" s="28" t="s">
        <v>61887</v>
      </c>
      <c r="E13" s="28" t="s">
        <v>61888</v>
      </c>
      <c r="F13" s="29">
        <v>88.0</v>
      </c>
      <c r="G13" s="27">
        <v>1.9013088E8</v>
      </c>
    </row>
    <row r="14" ht="12.75" customHeight="1">
      <c r="A14" s="31">
        <v>215.0</v>
      </c>
      <c r="B14" s="32" t="s">
        <v>61889</v>
      </c>
      <c r="C14" s="31">
        <v>190.0</v>
      </c>
      <c r="D14" s="32" t="s">
        <v>61890</v>
      </c>
      <c r="E14" s="32" t="s">
        <v>61891</v>
      </c>
      <c r="F14" s="33">
        <v>13.0</v>
      </c>
      <c r="G14" s="31">
        <v>1.90150136E8</v>
      </c>
    </row>
    <row r="15" ht="12.75" customHeight="1">
      <c r="A15" s="27">
        <v>215.0</v>
      </c>
      <c r="B15" s="28" t="s">
        <v>61892</v>
      </c>
      <c r="C15" s="27">
        <v>190.0</v>
      </c>
      <c r="D15" s="28" t="s">
        <v>61893</v>
      </c>
      <c r="E15" s="28" t="s">
        <v>61894</v>
      </c>
      <c r="F15" s="29">
        <v>46.0</v>
      </c>
      <c r="G15" s="27">
        <v>1.9015046E8</v>
      </c>
    </row>
    <row r="16" ht="12.75" customHeight="1">
      <c r="A16" s="31">
        <v>215.0</v>
      </c>
      <c r="B16" s="32" t="s">
        <v>61895</v>
      </c>
      <c r="C16" s="31">
        <v>190.0</v>
      </c>
      <c r="D16" s="32" t="s">
        <v>61896</v>
      </c>
      <c r="E16" s="32" t="s">
        <v>61897</v>
      </c>
      <c r="F16" s="33">
        <v>94.0</v>
      </c>
      <c r="G16" s="31">
        <v>1.90150949E8</v>
      </c>
    </row>
    <row r="17" ht="12.75" customHeight="1">
      <c r="A17" s="27">
        <v>215.0</v>
      </c>
      <c r="B17" s="28" t="s">
        <v>61898</v>
      </c>
      <c r="C17" s="27">
        <v>190.0</v>
      </c>
      <c r="D17" s="28" t="s">
        <v>61899</v>
      </c>
      <c r="E17" s="28" t="s">
        <v>61900</v>
      </c>
      <c r="F17" s="27">
        <v>193.0</v>
      </c>
      <c r="G17" s="27">
        <v>1.90151935E8</v>
      </c>
    </row>
    <row r="18" ht="12.75" customHeight="1">
      <c r="A18" s="31">
        <v>215.0</v>
      </c>
      <c r="B18" s="32" t="s">
        <v>61901</v>
      </c>
      <c r="C18" s="31">
        <v>190.0</v>
      </c>
      <c r="D18" s="32" t="s">
        <v>61902</v>
      </c>
      <c r="E18" s="32" t="s">
        <v>61903</v>
      </c>
      <c r="F18" s="31">
        <v>364.0</v>
      </c>
      <c r="G18" s="31">
        <v>1.90153641E8</v>
      </c>
    </row>
    <row r="19" ht="12.75" customHeight="1">
      <c r="A19" s="27">
        <v>215.0</v>
      </c>
      <c r="B19" s="28" t="s">
        <v>61904</v>
      </c>
      <c r="C19" s="27">
        <v>190.0</v>
      </c>
      <c r="D19" s="28" t="s">
        <v>61905</v>
      </c>
      <c r="E19" s="28" t="s">
        <v>61906</v>
      </c>
      <c r="F19" s="27">
        <v>427.0</v>
      </c>
      <c r="G19" s="27">
        <v>1.90154279E8</v>
      </c>
    </row>
    <row r="20" ht="12.75" customHeight="1">
      <c r="A20" s="31">
        <v>215.0</v>
      </c>
      <c r="B20" s="32" t="s">
        <v>61907</v>
      </c>
      <c r="C20" s="31">
        <v>190.0</v>
      </c>
      <c r="D20" s="32" t="s">
        <v>61908</v>
      </c>
      <c r="E20" s="32" t="s">
        <v>61909</v>
      </c>
      <c r="F20" s="31">
        <v>475.0</v>
      </c>
      <c r="G20" s="31">
        <v>1.90154758E8</v>
      </c>
    </row>
    <row r="21" ht="12.75" customHeight="1">
      <c r="A21" s="27">
        <v>215.0</v>
      </c>
      <c r="B21" s="28" t="s">
        <v>61910</v>
      </c>
      <c r="C21" s="27">
        <v>190.0</v>
      </c>
      <c r="D21" s="28" t="s">
        <v>61911</v>
      </c>
      <c r="E21" s="28" t="s">
        <v>61912</v>
      </c>
      <c r="F21" s="27">
        <v>532.0</v>
      </c>
      <c r="G21" s="27">
        <v>1.90155328E8</v>
      </c>
    </row>
    <row r="22" ht="12.75" customHeight="1">
      <c r="A22" s="31">
        <v>215.0</v>
      </c>
      <c r="B22" s="32" t="s">
        <v>61913</v>
      </c>
      <c r="C22" s="31">
        <v>190.0</v>
      </c>
      <c r="D22" s="32" t="s">
        <v>61914</v>
      </c>
      <c r="E22" s="32" t="s">
        <v>61915</v>
      </c>
      <c r="F22" s="31">
        <v>559.0</v>
      </c>
      <c r="G22" s="31">
        <v>1.90155599E8</v>
      </c>
    </row>
    <row r="23" ht="12.75" customHeight="1">
      <c r="A23" s="27">
        <v>215.0</v>
      </c>
      <c r="B23" s="28" t="s">
        <v>61916</v>
      </c>
      <c r="C23" s="27">
        <v>190.0</v>
      </c>
      <c r="D23" s="28" t="s">
        <v>61917</v>
      </c>
      <c r="E23" s="28" t="s">
        <v>61918</v>
      </c>
      <c r="F23" s="27">
        <v>592.0</v>
      </c>
      <c r="G23" s="27">
        <v>1.90155928E8</v>
      </c>
    </row>
    <row r="24" ht="12.75" customHeight="1">
      <c r="A24" s="31">
        <v>215.0</v>
      </c>
      <c r="B24" s="32" t="s">
        <v>61919</v>
      </c>
      <c r="C24" s="31">
        <v>190.0</v>
      </c>
      <c r="D24" s="32" t="s">
        <v>61920</v>
      </c>
      <c r="E24" s="32" t="s">
        <v>61921</v>
      </c>
      <c r="F24" s="31">
        <v>776.0</v>
      </c>
      <c r="G24" s="31">
        <v>1.90157768E8</v>
      </c>
    </row>
    <row r="25" ht="12.75" customHeight="1">
      <c r="A25" s="27">
        <v>418.0</v>
      </c>
      <c r="B25" s="28" t="s">
        <v>61922</v>
      </c>
      <c r="C25" s="27">
        <v>190.0</v>
      </c>
      <c r="D25" s="28" t="s">
        <v>61923</v>
      </c>
      <c r="E25" s="28" t="s">
        <v>61924</v>
      </c>
      <c r="F25" s="29">
        <v>19.0</v>
      </c>
      <c r="G25" s="27">
        <v>1.90180193E8</v>
      </c>
    </row>
    <row r="26" ht="12.75" customHeight="1">
      <c r="A26" s="31">
        <v>119.0</v>
      </c>
      <c r="B26" s="32" t="s">
        <v>61925</v>
      </c>
      <c r="C26" s="31">
        <v>190.0</v>
      </c>
      <c r="D26" s="32" t="s">
        <v>61926</v>
      </c>
      <c r="E26" s="32" t="s">
        <v>61927</v>
      </c>
      <c r="F26" s="31">
        <v>115.0</v>
      </c>
      <c r="G26" s="31">
        <v>1.90191153E8</v>
      </c>
    </row>
    <row r="27" ht="12.75" customHeight="1">
      <c r="A27" s="27">
        <v>119.0</v>
      </c>
      <c r="B27" s="28" t="s">
        <v>61928</v>
      </c>
      <c r="C27" s="27">
        <v>190.0</v>
      </c>
      <c r="D27" s="28" t="s">
        <v>61929</v>
      </c>
      <c r="E27" s="28" t="s">
        <v>61930</v>
      </c>
      <c r="F27" s="27">
        <v>217.0</v>
      </c>
      <c r="G27" s="27">
        <v>1.90192178E8</v>
      </c>
    </row>
    <row r="28" ht="12.75" customHeight="1">
      <c r="A28" s="31">
        <v>222.0</v>
      </c>
      <c r="B28" s="32" t="s">
        <v>61931</v>
      </c>
      <c r="C28" s="31">
        <v>190.0</v>
      </c>
      <c r="D28" s="32" t="s">
        <v>61932</v>
      </c>
      <c r="E28" s="32" t="s">
        <v>61933</v>
      </c>
      <c r="F28" s="33">
        <v>25.0</v>
      </c>
      <c r="G28" s="31">
        <v>1.90220253E8</v>
      </c>
    </row>
    <row r="29" ht="12.75" customHeight="1">
      <c r="A29" s="27">
        <v>126.0</v>
      </c>
      <c r="B29" s="28" t="s">
        <v>61934</v>
      </c>
      <c r="C29" s="27">
        <v>190.0</v>
      </c>
      <c r="D29" s="28" t="s">
        <v>61935</v>
      </c>
      <c r="E29" s="28" t="s">
        <v>61936</v>
      </c>
      <c r="F29" s="29">
        <v>6.0</v>
      </c>
      <c r="G29" s="27">
        <v>1.90260068E8</v>
      </c>
    </row>
    <row r="30" ht="12.75" customHeight="1">
      <c r="A30" s="31">
        <v>126.0</v>
      </c>
      <c r="B30" s="32" t="s">
        <v>61937</v>
      </c>
      <c r="C30" s="31">
        <v>190.0</v>
      </c>
      <c r="D30" s="32" t="s">
        <v>61938</v>
      </c>
      <c r="E30" s="32" t="s">
        <v>61939</v>
      </c>
      <c r="F30" s="33">
        <v>20.0</v>
      </c>
      <c r="G30" s="31">
        <v>1.902602E8</v>
      </c>
    </row>
    <row r="31" ht="12.75" customHeight="1">
      <c r="A31" s="27">
        <v>126.0</v>
      </c>
      <c r="B31" s="28" t="s">
        <v>61940</v>
      </c>
      <c r="C31" s="27">
        <v>190.0</v>
      </c>
      <c r="D31" s="28" t="s">
        <v>61941</v>
      </c>
      <c r="E31" s="28" t="s">
        <v>61942</v>
      </c>
      <c r="F31" s="29">
        <v>37.0</v>
      </c>
      <c r="G31" s="27">
        <v>1.90260376E8</v>
      </c>
    </row>
    <row r="32" ht="12.75" customHeight="1">
      <c r="A32" s="31">
        <v>126.0</v>
      </c>
      <c r="B32" s="32" t="s">
        <v>61943</v>
      </c>
      <c r="C32" s="31">
        <v>190.0</v>
      </c>
      <c r="D32" s="32" t="s">
        <v>61944</v>
      </c>
      <c r="E32" s="32" t="s">
        <v>61945</v>
      </c>
      <c r="F32" s="33">
        <v>43.0</v>
      </c>
      <c r="G32" s="31">
        <v>1.90260439E8</v>
      </c>
    </row>
    <row r="33" ht="12.75" customHeight="1">
      <c r="A33" s="27">
        <v>126.0</v>
      </c>
      <c r="B33" s="28" t="s">
        <v>61946</v>
      </c>
      <c r="C33" s="27">
        <v>190.0</v>
      </c>
      <c r="D33" s="28" t="s">
        <v>61947</v>
      </c>
      <c r="E33" s="28" t="s">
        <v>61948</v>
      </c>
      <c r="F33" s="29">
        <v>71.0</v>
      </c>
      <c r="G33" s="27">
        <v>1.90260718E8</v>
      </c>
    </row>
    <row r="34" ht="12.75" customHeight="1">
      <c r="A34" s="31">
        <v>126.0</v>
      </c>
      <c r="B34" s="32" t="s">
        <v>61949</v>
      </c>
      <c r="C34" s="31">
        <v>190.0</v>
      </c>
      <c r="D34" s="32" t="s">
        <v>61950</v>
      </c>
      <c r="E34" s="32" t="s">
        <v>61951</v>
      </c>
      <c r="F34" s="33">
        <v>82.0</v>
      </c>
      <c r="G34" s="31">
        <v>1.90260826E8</v>
      </c>
    </row>
    <row r="35" ht="12.75" customHeight="1">
      <c r="A35" s="27">
        <v>126.0</v>
      </c>
      <c r="B35" s="28" t="s">
        <v>61952</v>
      </c>
      <c r="C35" s="27">
        <v>190.0</v>
      </c>
      <c r="D35" s="28" t="s">
        <v>61953</v>
      </c>
      <c r="E35" s="28" t="s">
        <v>61954</v>
      </c>
      <c r="F35" s="27">
        <v>118.0</v>
      </c>
      <c r="G35" s="27">
        <v>1.90261188E8</v>
      </c>
    </row>
    <row r="36" ht="12.75" customHeight="1">
      <c r="A36" s="31">
        <v>126.0</v>
      </c>
      <c r="B36" s="32" t="s">
        <v>61955</v>
      </c>
      <c r="C36" s="31">
        <v>190.0</v>
      </c>
      <c r="D36" s="32" t="s">
        <v>61956</v>
      </c>
      <c r="E36" s="32" t="s">
        <v>61957</v>
      </c>
      <c r="F36" s="31">
        <v>133.0</v>
      </c>
      <c r="G36" s="31">
        <v>1.90261333E8</v>
      </c>
    </row>
    <row r="37" ht="12.75" customHeight="1">
      <c r="A37" s="27">
        <v>126.0</v>
      </c>
      <c r="B37" s="28" t="s">
        <v>61958</v>
      </c>
      <c r="C37" s="27">
        <v>190.0</v>
      </c>
      <c r="D37" s="28" t="s">
        <v>61959</v>
      </c>
      <c r="E37" s="28" t="s">
        <v>61960</v>
      </c>
      <c r="F37" s="27">
        <v>139.0</v>
      </c>
      <c r="G37" s="27">
        <v>1.90261391E8</v>
      </c>
    </row>
    <row r="38" ht="12.75" customHeight="1">
      <c r="A38" s="31">
        <v>126.0</v>
      </c>
      <c r="B38" s="32" t="s">
        <v>61961</v>
      </c>
      <c r="C38" s="31">
        <v>190.0</v>
      </c>
      <c r="D38" s="32" t="s">
        <v>61962</v>
      </c>
      <c r="E38" s="32" t="s">
        <v>61963</v>
      </c>
      <c r="F38" s="31">
        <v>172.0</v>
      </c>
      <c r="G38" s="31">
        <v>1.9026172E8</v>
      </c>
    </row>
    <row r="39" ht="12.75" customHeight="1">
      <c r="A39" s="27">
        <v>126.0</v>
      </c>
      <c r="B39" s="28" t="s">
        <v>61964</v>
      </c>
      <c r="C39" s="27">
        <v>190.0</v>
      </c>
      <c r="D39" s="28" t="s">
        <v>61965</v>
      </c>
      <c r="E39" s="28" t="s">
        <v>61966</v>
      </c>
      <c r="F39" s="27">
        <v>191.0</v>
      </c>
      <c r="G39" s="27">
        <v>1.90261917E8</v>
      </c>
    </row>
    <row r="40" ht="12.75" customHeight="1">
      <c r="A40" s="31">
        <v>126.0</v>
      </c>
      <c r="B40" s="32" t="s">
        <v>61967</v>
      </c>
      <c r="C40" s="31">
        <v>190.0</v>
      </c>
      <c r="D40" s="32" t="s">
        <v>61968</v>
      </c>
      <c r="E40" s="32" t="s">
        <v>61969</v>
      </c>
      <c r="F40" s="31">
        <v>253.0</v>
      </c>
      <c r="G40" s="31">
        <v>1.90262532E8</v>
      </c>
    </row>
    <row r="41" ht="12.75" customHeight="1">
      <c r="A41" s="27">
        <v>126.0</v>
      </c>
      <c r="B41" s="28" t="s">
        <v>61970</v>
      </c>
      <c r="C41" s="27">
        <v>190.0</v>
      </c>
      <c r="D41" s="28" t="s">
        <v>61971</v>
      </c>
      <c r="E41" s="28" t="s">
        <v>61972</v>
      </c>
      <c r="F41" s="27">
        <v>298.0</v>
      </c>
      <c r="G41" s="27">
        <v>1.90262987E8</v>
      </c>
    </row>
    <row r="42" ht="12.75" customHeight="1">
      <c r="A42" s="31">
        <v>126.0</v>
      </c>
      <c r="B42" s="32" t="s">
        <v>61973</v>
      </c>
      <c r="C42" s="31">
        <v>190.0</v>
      </c>
      <c r="D42" s="32" t="s">
        <v>61974</v>
      </c>
      <c r="E42" s="32" t="s">
        <v>61975</v>
      </c>
      <c r="F42" s="31">
        <v>319.0</v>
      </c>
      <c r="G42" s="31">
        <v>1.90263199E8</v>
      </c>
    </row>
    <row r="43" ht="12.75" customHeight="1">
      <c r="A43" s="27">
        <v>126.0</v>
      </c>
      <c r="B43" s="28" t="s">
        <v>61976</v>
      </c>
      <c r="C43" s="27">
        <v>190.0</v>
      </c>
      <c r="D43" s="28" t="s">
        <v>61977</v>
      </c>
      <c r="E43" s="28" t="s">
        <v>61978</v>
      </c>
      <c r="F43" s="27">
        <v>361.0</v>
      </c>
      <c r="G43" s="27">
        <v>1.9026361E8</v>
      </c>
    </row>
    <row r="44" ht="12.75" customHeight="1">
      <c r="A44" s="31">
        <v>126.0</v>
      </c>
      <c r="B44" s="32" t="s">
        <v>61979</v>
      </c>
      <c r="C44" s="31">
        <v>190.0</v>
      </c>
      <c r="D44" s="32" t="s">
        <v>61980</v>
      </c>
      <c r="E44" s="32" t="s">
        <v>61981</v>
      </c>
      <c r="F44" s="31">
        <v>403.0</v>
      </c>
      <c r="G44" s="31">
        <v>1.90264035E8</v>
      </c>
    </row>
    <row r="45" ht="12.75" customHeight="1">
      <c r="A45" s="27">
        <v>126.0</v>
      </c>
      <c r="B45" s="28" t="s">
        <v>61982</v>
      </c>
      <c r="C45" s="27">
        <v>190.0</v>
      </c>
      <c r="D45" s="28" t="s">
        <v>61983</v>
      </c>
      <c r="E45" s="28" t="s">
        <v>61984</v>
      </c>
      <c r="F45" s="27">
        <v>409.0</v>
      </c>
      <c r="G45" s="27">
        <v>1.90264093E8</v>
      </c>
    </row>
    <row r="46" ht="12.75" customHeight="1">
      <c r="A46" s="31">
        <v>126.0</v>
      </c>
      <c r="B46" s="32" t="s">
        <v>61985</v>
      </c>
      <c r="C46" s="31">
        <v>190.0</v>
      </c>
      <c r="D46" s="32" t="s">
        <v>61986</v>
      </c>
      <c r="E46" s="32" t="s">
        <v>61987</v>
      </c>
      <c r="F46" s="31">
        <v>463.0</v>
      </c>
      <c r="G46" s="31">
        <v>1.90264635E8</v>
      </c>
    </row>
    <row r="47" ht="12.75" customHeight="1">
      <c r="A47" s="27">
        <v>127.0</v>
      </c>
      <c r="B47" s="28" t="s">
        <v>61988</v>
      </c>
      <c r="C47" s="27">
        <v>190.0</v>
      </c>
      <c r="D47" s="28" t="s">
        <v>61989</v>
      </c>
      <c r="E47" s="28" t="s">
        <v>61990</v>
      </c>
      <c r="F47" s="29">
        <v>0.0</v>
      </c>
      <c r="G47" s="27">
        <v>1.90270003E8</v>
      </c>
    </row>
    <row r="48" ht="12.75" customHeight="1">
      <c r="A48" s="31">
        <v>127.0</v>
      </c>
      <c r="B48" s="32" t="s">
        <v>61991</v>
      </c>
      <c r="C48" s="31">
        <v>190.0</v>
      </c>
      <c r="D48" s="32" t="s">
        <v>61992</v>
      </c>
      <c r="E48" s="32" t="s">
        <v>61993</v>
      </c>
      <c r="F48" s="33">
        <v>64.0</v>
      </c>
      <c r="G48" s="31">
        <v>1.90270645E8</v>
      </c>
    </row>
    <row r="49" ht="12.75" customHeight="1">
      <c r="A49" s="27">
        <v>127.0</v>
      </c>
      <c r="B49" s="28" t="s">
        <v>61994</v>
      </c>
      <c r="C49" s="27">
        <v>190.0</v>
      </c>
      <c r="D49" s="28" t="s">
        <v>61995</v>
      </c>
      <c r="E49" s="28" t="s">
        <v>61996</v>
      </c>
      <c r="F49" s="29">
        <v>88.0</v>
      </c>
      <c r="G49" s="27">
        <v>1.90270887E8</v>
      </c>
    </row>
    <row r="50" ht="12.75" customHeight="1">
      <c r="A50" s="31">
        <v>127.0</v>
      </c>
      <c r="B50" s="32" t="s">
        <v>61997</v>
      </c>
      <c r="C50" s="31">
        <v>190.0</v>
      </c>
      <c r="D50" s="32" t="s">
        <v>61998</v>
      </c>
      <c r="E50" s="32" t="s">
        <v>61999</v>
      </c>
      <c r="F50" s="33">
        <v>95.0</v>
      </c>
      <c r="G50" s="31">
        <v>1.90270953E8</v>
      </c>
    </row>
    <row r="51" ht="12.75" customHeight="1">
      <c r="A51" s="27">
        <v>127.0</v>
      </c>
      <c r="B51" s="28" t="s">
        <v>62000</v>
      </c>
      <c r="C51" s="27">
        <v>190.0</v>
      </c>
      <c r="D51" s="28" t="s">
        <v>62001</v>
      </c>
      <c r="E51" s="28" t="s">
        <v>62002</v>
      </c>
      <c r="F51" s="27">
        <v>109.0</v>
      </c>
      <c r="G51" s="27">
        <v>1.90271099E8</v>
      </c>
    </row>
    <row r="52" ht="12.75" customHeight="1">
      <c r="A52" s="31">
        <v>127.0</v>
      </c>
      <c r="B52" s="32" t="s">
        <v>62003</v>
      </c>
      <c r="C52" s="31">
        <v>190.0</v>
      </c>
      <c r="D52" s="32" t="s">
        <v>62004</v>
      </c>
      <c r="E52" s="32" t="s">
        <v>62005</v>
      </c>
      <c r="F52" s="31">
        <v>142.0</v>
      </c>
      <c r="G52" s="31">
        <v>1.90271428E8</v>
      </c>
    </row>
    <row r="53" ht="12.75" customHeight="1">
      <c r="A53" s="27">
        <v>127.0</v>
      </c>
      <c r="B53" s="28" t="s">
        <v>62006</v>
      </c>
      <c r="C53" s="27">
        <v>190.0</v>
      </c>
      <c r="D53" s="28" t="s">
        <v>62007</v>
      </c>
      <c r="E53" s="28" t="s">
        <v>62008</v>
      </c>
      <c r="F53" s="27">
        <v>178.0</v>
      </c>
      <c r="G53" s="27">
        <v>1.90271781E8</v>
      </c>
    </row>
    <row r="54" ht="12.75" customHeight="1">
      <c r="A54" s="31">
        <v>127.0</v>
      </c>
      <c r="B54" s="32" t="s">
        <v>62009</v>
      </c>
      <c r="C54" s="31">
        <v>190.0</v>
      </c>
      <c r="D54" s="32" t="s">
        <v>62010</v>
      </c>
      <c r="E54" s="32" t="s">
        <v>62011</v>
      </c>
      <c r="F54" s="31">
        <v>232.0</v>
      </c>
      <c r="G54" s="31">
        <v>1.90272322E8</v>
      </c>
    </row>
    <row r="55" ht="12.75" customHeight="1">
      <c r="A55" s="27">
        <v>127.0</v>
      </c>
      <c r="B55" s="28" t="s">
        <v>62012</v>
      </c>
      <c r="C55" s="27">
        <v>190.0</v>
      </c>
      <c r="D55" s="28" t="s">
        <v>62013</v>
      </c>
      <c r="E55" s="28" t="s">
        <v>62014</v>
      </c>
      <c r="F55" s="27">
        <v>328.0</v>
      </c>
      <c r="G55" s="27">
        <v>1.90273284E8</v>
      </c>
    </row>
    <row r="56" ht="12.75" customHeight="1">
      <c r="A56" s="31">
        <v>127.0</v>
      </c>
      <c r="B56" s="32" t="s">
        <v>62015</v>
      </c>
      <c r="C56" s="31">
        <v>190.0</v>
      </c>
      <c r="D56" s="32" t="s">
        <v>62016</v>
      </c>
      <c r="E56" s="32" t="s">
        <v>62017</v>
      </c>
      <c r="F56" s="31">
        <v>331.0</v>
      </c>
      <c r="G56" s="31">
        <v>1.90273318E8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62018</v>
      </c>
      <c r="C1" s="27">
        <v>190.0</v>
      </c>
      <c r="D1" s="28" t="s">
        <v>62019</v>
      </c>
      <c r="E1" s="28" t="s">
        <v>62020</v>
      </c>
      <c r="F1" s="27">
        <v>337.0</v>
      </c>
      <c r="G1" s="27">
        <v>1.90273376E8</v>
      </c>
    </row>
    <row r="2" ht="12.75" customHeight="1">
      <c r="A2" s="31">
        <v>127.0</v>
      </c>
      <c r="B2" s="32" t="s">
        <v>62021</v>
      </c>
      <c r="C2" s="31">
        <v>190.0</v>
      </c>
      <c r="D2" s="32" t="s">
        <v>62022</v>
      </c>
      <c r="E2" s="32" t="s">
        <v>62023</v>
      </c>
      <c r="F2" s="31">
        <v>364.0</v>
      </c>
      <c r="G2" s="31">
        <v>1.90273642E8</v>
      </c>
    </row>
    <row r="3" ht="12.75" customHeight="1">
      <c r="A3" s="27">
        <v>127.0</v>
      </c>
      <c r="B3" s="28" t="s">
        <v>62024</v>
      </c>
      <c r="C3" s="27">
        <v>190.0</v>
      </c>
      <c r="D3" s="28" t="s">
        <v>62025</v>
      </c>
      <c r="E3" s="28" t="s">
        <v>62026</v>
      </c>
      <c r="F3" s="27">
        <v>394.0</v>
      </c>
      <c r="G3" s="27">
        <v>1.90273947E8</v>
      </c>
    </row>
    <row r="4" ht="12.75" customHeight="1">
      <c r="A4" s="31">
        <v>127.0</v>
      </c>
      <c r="B4" s="32" t="s">
        <v>62027</v>
      </c>
      <c r="C4" s="31">
        <v>190.0</v>
      </c>
      <c r="D4" s="32" t="s">
        <v>62028</v>
      </c>
      <c r="E4" s="32" t="s">
        <v>62029</v>
      </c>
      <c r="F4" s="31">
        <v>406.0</v>
      </c>
      <c r="G4" s="31">
        <v>1.90274067E8</v>
      </c>
    </row>
    <row r="5" ht="12.75" customHeight="1">
      <c r="A5" s="27">
        <v>127.0</v>
      </c>
      <c r="B5" s="28" t="s">
        <v>62030</v>
      </c>
      <c r="C5" s="27">
        <v>190.0</v>
      </c>
      <c r="D5" s="28" t="s">
        <v>62031</v>
      </c>
      <c r="E5" s="28" t="s">
        <v>62032</v>
      </c>
      <c r="F5" s="27">
        <v>424.0</v>
      </c>
      <c r="G5" s="27">
        <v>1.90274241E8</v>
      </c>
    </row>
    <row r="6" ht="12.75" customHeight="1">
      <c r="A6" s="31">
        <v>127.0</v>
      </c>
      <c r="B6" s="32" t="s">
        <v>62033</v>
      </c>
      <c r="C6" s="31">
        <v>190.0</v>
      </c>
      <c r="D6" s="32" t="s">
        <v>62034</v>
      </c>
      <c r="E6" s="32" t="s">
        <v>62035</v>
      </c>
      <c r="F6" s="31">
        <v>455.0</v>
      </c>
      <c r="G6" s="31">
        <v>1.90274559E8</v>
      </c>
    </row>
    <row r="7" ht="12.75" customHeight="1">
      <c r="A7" s="27">
        <v>127.0</v>
      </c>
      <c r="B7" s="28" t="s">
        <v>62036</v>
      </c>
      <c r="C7" s="27">
        <v>190.0</v>
      </c>
      <c r="D7" s="28" t="s">
        <v>62037</v>
      </c>
      <c r="E7" s="28" t="s">
        <v>62038</v>
      </c>
      <c r="F7" s="27">
        <v>469.0</v>
      </c>
      <c r="G7" s="27">
        <v>1.90274696E8</v>
      </c>
    </row>
    <row r="8" ht="12.75" customHeight="1">
      <c r="A8" s="31">
        <v>127.0</v>
      </c>
      <c r="B8" s="32" t="s">
        <v>62039</v>
      </c>
      <c r="C8" s="31">
        <v>190.0</v>
      </c>
      <c r="D8" s="32" t="s">
        <v>62040</v>
      </c>
      <c r="E8" s="32" t="s">
        <v>62041</v>
      </c>
      <c r="F8" s="31">
        <v>604.0</v>
      </c>
      <c r="G8" s="31">
        <v>1.90276049E8</v>
      </c>
    </row>
    <row r="9" ht="12.75" customHeight="1">
      <c r="A9" s="27">
        <v>728.0</v>
      </c>
      <c r="B9" s="28" t="s">
        <v>62042</v>
      </c>
      <c r="C9" s="27">
        <v>190.0</v>
      </c>
      <c r="D9" s="28" t="s">
        <v>62043</v>
      </c>
      <c r="E9" s="28" t="s">
        <v>62044</v>
      </c>
      <c r="F9" s="29">
        <v>67.0</v>
      </c>
      <c r="G9" s="27">
        <v>1.90280677E8</v>
      </c>
    </row>
    <row r="10" ht="12.75" customHeight="1">
      <c r="A10" s="31">
        <v>329.0</v>
      </c>
      <c r="B10" s="32" t="s">
        <v>62045</v>
      </c>
      <c r="C10" s="31">
        <v>190.0</v>
      </c>
      <c r="D10" s="32" t="s">
        <v>62046</v>
      </c>
      <c r="E10" s="32" t="s">
        <v>62047</v>
      </c>
      <c r="F10" s="33">
        <v>43.0</v>
      </c>
      <c r="G10" s="31">
        <v>1.90290438E8</v>
      </c>
    </row>
    <row r="11" ht="12.75" customHeight="1">
      <c r="A11" s="27">
        <v>329.0</v>
      </c>
      <c r="B11" s="28" t="s">
        <v>62048</v>
      </c>
      <c r="C11" s="27">
        <v>190.0</v>
      </c>
      <c r="D11" s="28" t="s">
        <v>62049</v>
      </c>
      <c r="E11" s="28" t="s">
        <v>62050</v>
      </c>
      <c r="F11" s="29">
        <v>52.0</v>
      </c>
      <c r="G11" s="27">
        <v>1.9029052E8</v>
      </c>
    </row>
    <row r="12" ht="12.75" customHeight="1">
      <c r="A12" s="31">
        <v>230.0</v>
      </c>
      <c r="B12" s="32" t="s">
        <v>62051</v>
      </c>
      <c r="C12" s="31">
        <v>190.0</v>
      </c>
      <c r="D12" s="32" t="s">
        <v>62052</v>
      </c>
      <c r="E12" s="32" t="s">
        <v>62053</v>
      </c>
      <c r="F12" s="33">
        <v>52.0</v>
      </c>
      <c r="G12" s="31">
        <v>1.90300528E8</v>
      </c>
    </row>
    <row r="13" ht="12.75" customHeight="1">
      <c r="A13" s="27">
        <v>133.0</v>
      </c>
      <c r="B13" s="28" t="s">
        <v>62054</v>
      </c>
      <c r="C13" s="27">
        <v>190.0</v>
      </c>
      <c r="D13" s="28" t="s">
        <v>62055</v>
      </c>
      <c r="E13" s="28" t="s">
        <v>62056</v>
      </c>
      <c r="F13" s="29">
        <v>76.0</v>
      </c>
      <c r="G13" s="27">
        <v>1.90330769E8</v>
      </c>
    </row>
    <row r="14" ht="12.75" customHeight="1">
      <c r="A14" s="31">
        <v>133.0</v>
      </c>
      <c r="B14" s="32" t="s">
        <v>62057</v>
      </c>
      <c r="C14" s="31">
        <v>190.0</v>
      </c>
      <c r="D14" s="32" t="s">
        <v>62058</v>
      </c>
      <c r="E14" s="32" t="s">
        <v>62059</v>
      </c>
      <c r="F14" s="31">
        <v>100.0</v>
      </c>
      <c r="G14" s="31">
        <v>1.90331005E8</v>
      </c>
    </row>
    <row r="15" ht="12.75" customHeight="1">
      <c r="A15" s="27">
        <v>133.0</v>
      </c>
      <c r="B15" s="28" t="s">
        <v>62060</v>
      </c>
      <c r="C15" s="27">
        <v>190.0</v>
      </c>
      <c r="D15" s="28" t="s">
        <v>62061</v>
      </c>
      <c r="E15" s="28" t="s">
        <v>62062</v>
      </c>
      <c r="F15" s="27">
        <v>142.0</v>
      </c>
      <c r="G15" s="27">
        <v>1.90331421E8</v>
      </c>
    </row>
    <row r="16" ht="12.75" customHeight="1">
      <c r="A16" s="31">
        <v>133.0</v>
      </c>
      <c r="B16" s="32" t="s">
        <v>62063</v>
      </c>
      <c r="C16" s="31">
        <v>190.0</v>
      </c>
      <c r="D16" s="32" t="s">
        <v>62064</v>
      </c>
      <c r="E16" s="32" t="s">
        <v>62065</v>
      </c>
      <c r="F16" s="31">
        <v>165.0</v>
      </c>
      <c r="G16" s="31">
        <v>1.9033165E8</v>
      </c>
    </row>
    <row r="17" ht="12.75" customHeight="1">
      <c r="A17" s="27">
        <v>139.0</v>
      </c>
      <c r="B17" s="28" t="s">
        <v>62066</v>
      </c>
      <c r="C17" s="27">
        <v>190.0</v>
      </c>
      <c r="D17" s="28" t="s">
        <v>62067</v>
      </c>
      <c r="E17" s="28" t="s">
        <v>62068</v>
      </c>
      <c r="F17" s="29">
        <v>85.0</v>
      </c>
      <c r="G17" s="27">
        <v>1.90390859E8</v>
      </c>
    </row>
    <row r="18" ht="12.75" customHeight="1">
      <c r="A18" s="31">
        <v>441.0</v>
      </c>
      <c r="B18" s="32" t="s">
        <v>62069</v>
      </c>
      <c r="C18" s="31">
        <v>190.0</v>
      </c>
      <c r="D18" s="32" t="s">
        <v>62070</v>
      </c>
      <c r="E18" s="32" t="s">
        <v>62071</v>
      </c>
      <c r="F18" s="33">
        <v>94.0</v>
      </c>
      <c r="G18" s="31">
        <v>1.90410942E8</v>
      </c>
    </row>
    <row r="19" ht="12.75" customHeight="1">
      <c r="A19" s="27">
        <v>444.0</v>
      </c>
      <c r="B19" s="28" t="s">
        <v>62072</v>
      </c>
      <c r="C19" s="27">
        <v>190.0</v>
      </c>
      <c r="D19" s="28" t="s">
        <v>62073</v>
      </c>
      <c r="E19" s="28" t="s">
        <v>62074</v>
      </c>
      <c r="F19" s="29">
        <v>55.0</v>
      </c>
      <c r="G19" s="27">
        <v>1.90440554E8</v>
      </c>
    </row>
    <row r="20" ht="12.75" customHeight="1">
      <c r="A20" s="31">
        <v>444.0</v>
      </c>
      <c r="B20" s="32" t="s">
        <v>62075</v>
      </c>
      <c r="C20" s="31">
        <v>190.0</v>
      </c>
      <c r="D20" s="32" t="s">
        <v>62076</v>
      </c>
      <c r="E20" s="32" t="s">
        <v>62077</v>
      </c>
      <c r="F20" s="33">
        <v>79.0</v>
      </c>
      <c r="G20" s="31">
        <v>1.90440796E8</v>
      </c>
    </row>
    <row r="21" ht="12.75" customHeight="1">
      <c r="A21" s="27">
        <v>447.0</v>
      </c>
      <c r="B21" s="28" t="s">
        <v>62078</v>
      </c>
      <c r="C21" s="27">
        <v>190.0</v>
      </c>
      <c r="D21" s="28" t="s">
        <v>62079</v>
      </c>
      <c r="E21" s="28" t="s">
        <v>62080</v>
      </c>
      <c r="F21" s="29">
        <v>55.0</v>
      </c>
      <c r="G21" s="27">
        <v>1.90470553E8</v>
      </c>
    </row>
    <row r="22" ht="12.75" customHeight="1">
      <c r="A22" s="31">
        <v>447.0</v>
      </c>
      <c r="B22" s="32" t="s">
        <v>62081</v>
      </c>
      <c r="C22" s="31">
        <v>190.0</v>
      </c>
      <c r="D22" s="32" t="s">
        <v>62082</v>
      </c>
      <c r="E22" s="32" t="s">
        <v>62083</v>
      </c>
      <c r="F22" s="31">
        <v>154.0</v>
      </c>
      <c r="G22" s="31">
        <v>1.90471549E8</v>
      </c>
    </row>
    <row r="23" ht="12.75" customHeight="1">
      <c r="A23" s="27">
        <v>450.0</v>
      </c>
      <c r="B23" s="28" t="s">
        <v>62084</v>
      </c>
      <c r="C23" s="27">
        <v>190.0</v>
      </c>
      <c r="D23" s="28" t="s">
        <v>62085</v>
      </c>
      <c r="E23" s="28" t="s">
        <v>62086</v>
      </c>
      <c r="F23" s="29">
        <v>94.0</v>
      </c>
      <c r="G23" s="27">
        <v>1.90500944E8</v>
      </c>
    </row>
    <row r="24" ht="12.75" customHeight="1">
      <c r="A24" s="31">
        <v>251.0</v>
      </c>
      <c r="B24" s="32" t="s">
        <v>62087</v>
      </c>
      <c r="C24" s="31">
        <v>190.0</v>
      </c>
      <c r="D24" s="32" t="s">
        <v>62088</v>
      </c>
      <c r="E24" s="32" t="s">
        <v>62089</v>
      </c>
      <c r="F24" s="33">
        <v>49.0</v>
      </c>
      <c r="G24" s="31">
        <v>1.90510497E8</v>
      </c>
    </row>
    <row r="25" ht="12.75" customHeight="1">
      <c r="A25" s="27">
        <v>251.0</v>
      </c>
      <c r="B25" s="28" t="s">
        <v>62090</v>
      </c>
      <c r="C25" s="27">
        <v>190.0</v>
      </c>
      <c r="D25" s="28" t="s">
        <v>62091</v>
      </c>
      <c r="E25" s="28" t="s">
        <v>62092</v>
      </c>
      <c r="F25" s="29">
        <v>73.0</v>
      </c>
      <c r="G25" s="27">
        <v>1.90510734E8</v>
      </c>
    </row>
    <row r="26" ht="12.75" customHeight="1">
      <c r="A26" s="31">
        <v>251.0</v>
      </c>
      <c r="B26" s="32" t="s">
        <v>62093</v>
      </c>
      <c r="C26" s="31">
        <v>190.0</v>
      </c>
      <c r="D26" s="32" t="s">
        <v>62094</v>
      </c>
      <c r="E26" s="32" t="s">
        <v>62095</v>
      </c>
      <c r="F26" s="31">
        <v>103.0</v>
      </c>
      <c r="G26" s="31">
        <v>1.90511038E8</v>
      </c>
    </row>
    <row r="27" ht="12.75" customHeight="1">
      <c r="A27" s="27">
        <v>156.0</v>
      </c>
      <c r="B27" s="28" t="s">
        <v>62096</v>
      </c>
      <c r="C27" s="27">
        <v>190.0</v>
      </c>
      <c r="D27" s="28" t="s">
        <v>62097</v>
      </c>
      <c r="E27" s="28" t="s">
        <v>62098</v>
      </c>
      <c r="F27" s="29">
        <v>61.0</v>
      </c>
      <c r="G27" s="27">
        <v>1.90560618E8</v>
      </c>
    </row>
    <row r="28" ht="12.75" customHeight="1">
      <c r="A28" s="31">
        <v>858.0</v>
      </c>
      <c r="B28" s="32" t="s">
        <v>62099</v>
      </c>
      <c r="C28" s="31">
        <v>190.0</v>
      </c>
      <c r="D28" s="32" t="s">
        <v>62100</v>
      </c>
      <c r="E28" s="32" t="s">
        <v>62101</v>
      </c>
      <c r="F28" s="31">
        <v>118.0</v>
      </c>
      <c r="G28" s="31">
        <v>1.90581189E8</v>
      </c>
    </row>
    <row r="29" ht="12.75" customHeight="1">
      <c r="A29" s="27">
        <v>159.0</v>
      </c>
      <c r="B29" s="28" t="s">
        <v>62102</v>
      </c>
      <c r="C29" s="27">
        <v>190.0</v>
      </c>
      <c r="D29" s="28" t="s">
        <v>62103</v>
      </c>
      <c r="E29" s="28" t="s">
        <v>62104</v>
      </c>
      <c r="F29" s="29">
        <v>43.0</v>
      </c>
      <c r="G29" s="27">
        <v>1.90590433E8</v>
      </c>
    </row>
    <row r="30" ht="12.75" customHeight="1">
      <c r="A30" s="31">
        <v>159.0</v>
      </c>
      <c r="B30" s="32" t="s">
        <v>62105</v>
      </c>
      <c r="C30" s="31">
        <v>190.0</v>
      </c>
      <c r="D30" s="32" t="s">
        <v>62106</v>
      </c>
      <c r="E30" s="32" t="s">
        <v>62107</v>
      </c>
      <c r="F30" s="31">
        <v>132.0</v>
      </c>
      <c r="G30" s="31">
        <v>1.90591324E8</v>
      </c>
    </row>
    <row r="31" ht="12.75" customHeight="1">
      <c r="A31" s="27">
        <v>161.0</v>
      </c>
      <c r="B31" s="28" t="s">
        <v>62108</v>
      </c>
      <c r="C31" s="27">
        <v>190.0</v>
      </c>
      <c r="D31" s="28" t="s">
        <v>62109</v>
      </c>
      <c r="E31" s="28" t="s">
        <v>62110</v>
      </c>
      <c r="F31" s="29">
        <v>32.0</v>
      </c>
      <c r="G31" s="27">
        <v>1.90610326E8</v>
      </c>
    </row>
    <row r="32" ht="12.75" customHeight="1">
      <c r="A32" s="31">
        <v>161.0</v>
      </c>
      <c r="B32" s="32" t="s">
        <v>62111</v>
      </c>
      <c r="C32" s="31">
        <v>190.0</v>
      </c>
      <c r="D32" s="32" t="s">
        <v>62112</v>
      </c>
      <c r="E32" s="32" t="s">
        <v>62113</v>
      </c>
      <c r="F32" s="31">
        <v>115.0</v>
      </c>
      <c r="G32" s="31">
        <v>1.90611154E8</v>
      </c>
    </row>
    <row r="33" ht="12.75" customHeight="1">
      <c r="A33" s="27">
        <v>161.0</v>
      </c>
      <c r="B33" s="28" t="s">
        <v>62114</v>
      </c>
      <c r="C33" s="27">
        <v>190.0</v>
      </c>
      <c r="D33" s="28" t="s">
        <v>62115</v>
      </c>
      <c r="E33" s="28" t="s">
        <v>62116</v>
      </c>
      <c r="F33" s="27">
        <v>175.0</v>
      </c>
      <c r="G33" s="27">
        <v>1.90611754E8</v>
      </c>
    </row>
    <row r="34" ht="12.75" customHeight="1">
      <c r="A34" s="31">
        <v>564.0</v>
      </c>
      <c r="B34" s="32" t="s">
        <v>62117</v>
      </c>
      <c r="C34" s="31">
        <v>190.0</v>
      </c>
      <c r="D34" s="32" t="s">
        <v>62118</v>
      </c>
      <c r="E34" s="32" t="s">
        <v>62119</v>
      </c>
      <c r="F34" s="31">
        <v>118.0</v>
      </c>
      <c r="G34" s="31">
        <v>1.90641182E8</v>
      </c>
    </row>
    <row r="35" ht="12.75" customHeight="1">
      <c r="A35" s="27">
        <v>167.0</v>
      </c>
      <c r="B35" s="28" t="s">
        <v>62120</v>
      </c>
      <c r="C35" s="27">
        <v>190.0</v>
      </c>
      <c r="D35" s="28" t="s">
        <v>62121</v>
      </c>
      <c r="E35" s="28" t="s">
        <v>62122</v>
      </c>
      <c r="F35" s="27">
        <v>118.0</v>
      </c>
      <c r="G35" s="27">
        <v>1.90671181E8</v>
      </c>
    </row>
    <row r="36" ht="12.75" customHeight="1">
      <c r="A36" s="31">
        <v>168.0</v>
      </c>
      <c r="B36" s="32" t="s">
        <v>62123</v>
      </c>
      <c r="C36" s="31">
        <v>190.0</v>
      </c>
      <c r="D36" s="32" t="s">
        <v>62124</v>
      </c>
      <c r="E36" s="32" t="s">
        <v>62125</v>
      </c>
      <c r="F36" s="33">
        <v>8.0</v>
      </c>
      <c r="G36" s="31">
        <v>1.9068008E8</v>
      </c>
    </row>
    <row r="37" ht="12.75" customHeight="1">
      <c r="A37" s="27">
        <v>168.0</v>
      </c>
      <c r="B37" s="28" t="s">
        <v>62126</v>
      </c>
      <c r="C37" s="27">
        <v>190.0</v>
      </c>
      <c r="D37" s="28" t="s">
        <v>62127</v>
      </c>
      <c r="E37" s="28" t="s">
        <v>62128</v>
      </c>
      <c r="F37" s="29">
        <v>31.0</v>
      </c>
      <c r="G37" s="27">
        <v>1.90680314E8</v>
      </c>
    </row>
    <row r="38" ht="12.75" customHeight="1">
      <c r="A38" s="31">
        <v>168.0</v>
      </c>
      <c r="B38" s="32" t="s">
        <v>62129</v>
      </c>
      <c r="C38" s="31">
        <v>190.0</v>
      </c>
      <c r="D38" s="32" t="s">
        <v>62130</v>
      </c>
      <c r="E38" s="32" t="s">
        <v>62131</v>
      </c>
      <c r="F38" s="33">
        <v>67.0</v>
      </c>
      <c r="G38" s="31">
        <v>1.90680677E8</v>
      </c>
    </row>
    <row r="39" ht="12.75" customHeight="1">
      <c r="A39" s="27">
        <v>570.0</v>
      </c>
      <c r="B39" s="28" t="s">
        <v>62132</v>
      </c>
      <c r="C39" s="27">
        <v>190.0</v>
      </c>
      <c r="D39" s="28" t="s">
        <v>62133</v>
      </c>
      <c r="E39" s="28" t="s">
        <v>62134</v>
      </c>
      <c r="F39" s="29">
        <v>25.0</v>
      </c>
      <c r="G39" s="27">
        <v>1.90700252E8</v>
      </c>
    </row>
    <row r="40" ht="12.75" customHeight="1">
      <c r="A40" s="31">
        <v>773.0</v>
      </c>
      <c r="B40" s="32" t="s">
        <v>62135</v>
      </c>
      <c r="C40" s="31">
        <v>190.0</v>
      </c>
      <c r="D40" s="32" t="s">
        <v>62136</v>
      </c>
      <c r="E40" s="32" t="s">
        <v>62137</v>
      </c>
      <c r="F40" s="33">
        <v>79.0</v>
      </c>
      <c r="G40" s="31">
        <v>1.90730798E8</v>
      </c>
    </row>
    <row r="41" ht="12.75" customHeight="1">
      <c r="A41" s="27">
        <v>275.0</v>
      </c>
      <c r="B41" s="28" t="s">
        <v>62138</v>
      </c>
      <c r="C41" s="27">
        <v>190.0</v>
      </c>
      <c r="D41" s="28" t="s">
        <v>62139</v>
      </c>
      <c r="E41" s="28" t="s">
        <v>62140</v>
      </c>
      <c r="F41" s="29">
        <v>34.0</v>
      </c>
      <c r="G41" s="27">
        <v>1.90750349E8</v>
      </c>
    </row>
    <row r="42" ht="12.75" customHeight="1">
      <c r="A42" s="31">
        <v>576.0</v>
      </c>
      <c r="B42" s="32" t="s">
        <v>62141</v>
      </c>
      <c r="C42" s="31">
        <v>190.0</v>
      </c>
      <c r="D42" s="32" t="s">
        <v>62142</v>
      </c>
      <c r="E42" s="32" t="s">
        <v>62143</v>
      </c>
      <c r="F42" s="31">
        <v>178.0</v>
      </c>
      <c r="G42" s="31">
        <v>1.90761783E8</v>
      </c>
    </row>
    <row r="43" ht="12.75" customHeight="1">
      <c r="A43" s="27">
        <v>378.0</v>
      </c>
      <c r="B43" s="28" t="s">
        <v>62144</v>
      </c>
      <c r="C43" s="27">
        <v>190.0</v>
      </c>
      <c r="D43" s="28" t="s">
        <v>62145</v>
      </c>
      <c r="E43" s="28" t="s">
        <v>62146</v>
      </c>
      <c r="F43" s="29">
        <v>76.0</v>
      </c>
      <c r="G43" s="27">
        <v>1.90780764E8</v>
      </c>
    </row>
    <row r="44" ht="12.75" customHeight="1">
      <c r="A44" s="31">
        <v>581.0</v>
      </c>
      <c r="B44" s="32" t="s">
        <v>62147</v>
      </c>
      <c r="C44" s="31">
        <v>190.0</v>
      </c>
      <c r="D44" s="32" t="s">
        <v>62148</v>
      </c>
      <c r="E44" s="32" t="s">
        <v>62149</v>
      </c>
      <c r="F44" s="31">
        <v>193.0</v>
      </c>
      <c r="G44" s="31">
        <v>1.90811938E8</v>
      </c>
    </row>
    <row r="45" ht="12.75" customHeight="1">
      <c r="A45" s="27">
        <v>785.0</v>
      </c>
      <c r="B45" s="28" t="s">
        <v>62150</v>
      </c>
      <c r="C45" s="27">
        <v>190.0</v>
      </c>
      <c r="D45" s="28" t="s">
        <v>62151</v>
      </c>
      <c r="E45" s="28" t="s">
        <v>62152</v>
      </c>
      <c r="F45" s="27">
        <v>145.0</v>
      </c>
      <c r="G45" s="27">
        <v>1.90851451E8</v>
      </c>
    </row>
    <row r="46" ht="12.75" customHeight="1">
      <c r="A46" s="31">
        <v>688.0</v>
      </c>
      <c r="B46" s="32" t="s">
        <v>62153</v>
      </c>
      <c r="C46" s="31">
        <v>190.0</v>
      </c>
      <c r="D46" s="32" t="s">
        <v>62154</v>
      </c>
      <c r="E46" s="32" t="s">
        <v>62155</v>
      </c>
      <c r="F46" s="31">
        <v>187.0</v>
      </c>
      <c r="G46" s="31">
        <v>1.90881876E8</v>
      </c>
    </row>
    <row r="47" ht="12.75" customHeight="1">
      <c r="A47" s="27">
        <v>891.0</v>
      </c>
      <c r="B47" s="28" t="s">
        <v>62156</v>
      </c>
      <c r="C47" s="27">
        <v>190.0</v>
      </c>
      <c r="D47" s="28" t="s">
        <v>62157</v>
      </c>
      <c r="E47" s="28" t="s">
        <v>62158</v>
      </c>
      <c r="F47" s="29">
        <v>31.0</v>
      </c>
      <c r="G47" s="27">
        <v>1.90910318E8</v>
      </c>
    </row>
    <row r="48" ht="12.75" customHeight="1">
      <c r="A48" s="31">
        <v>891.0</v>
      </c>
      <c r="B48" s="32" t="s">
        <v>62159</v>
      </c>
      <c r="C48" s="31">
        <v>190.0</v>
      </c>
      <c r="D48" s="32" t="s">
        <v>62160</v>
      </c>
      <c r="E48" s="32" t="s">
        <v>62161</v>
      </c>
      <c r="F48" s="31">
        <v>109.0</v>
      </c>
      <c r="G48" s="31">
        <v>1.90911096E8</v>
      </c>
    </row>
    <row r="49" ht="12.75" customHeight="1">
      <c r="A49" s="27">
        <v>891.0</v>
      </c>
      <c r="B49" s="28" t="s">
        <v>62162</v>
      </c>
      <c r="C49" s="27">
        <v>190.0</v>
      </c>
      <c r="D49" s="28" t="s">
        <v>62163</v>
      </c>
      <c r="E49" s="28" t="s">
        <v>62164</v>
      </c>
      <c r="F49" s="27">
        <v>154.0</v>
      </c>
      <c r="G49" s="27">
        <v>1.90911546E8</v>
      </c>
    </row>
    <row r="50" ht="12.75" customHeight="1">
      <c r="A50" s="31">
        <v>891.0</v>
      </c>
      <c r="B50" s="32" t="s">
        <v>62165</v>
      </c>
      <c r="C50" s="31">
        <v>190.0</v>
      </c>
      <c r="D50" s="32" t="s">
        <v>62166</v>
      </c>
      <c r="E50" s="32" t="s">
        <v>62167</v>
      </c>
      <c r="F50" s="31">
        <v>349.0</v>
      </c>
      <c r="G50" s="31">
        <v>1.90913494E8</v>
      </c>
    </row>
    <row r="51" ht="12.75" customHeight="1">
      <c r="A51" s="27">
        <v>891.0</v>
      </c>
      <c r="B51" s="28" t="s">
        <v>62168</v>
      </c>
      <c r="C51" s="27">
        <v>190.0</v>
      </c>
      <c r="D51" s="28" t="s">
        <v>62169</v>
      </c>
      <c r="E51" s="28" t="s">
        <v>62170</v>
      </c>
      <c r="F51" s="27">
        <v>355.0</v>
      </c>
      <c r="G51" s="27">
        <v>1.90913557E8</v>
      </c>
    </row>
    <row r="52" ht="12.75" customHeight="1">
      <c r="A52" s="31">
        <v>193.0</v>
      </c>
      <c r="B52" s="32" t="s">
        <v>62171</v>
      </c>
      <c r="C52" s="31">
        <v>190.0</v>
      </c>
      <c r="D52" s="32" t="s">
        <v>62172</v>
      </c>
      <c r="E52" s="32" t="s">
        <v>62173</v>
      </c>
      <c r="F52" s="33">
        <v>35.0</v>
      </c>
      <c r="G52" s="31">
        <v>1.90930356E8</v>
      </c>
    </row>
    <row r="53" ht="12.75" customHeight="1">
      <c r="A53" s="27">
        <v>193.0</v>
      </c>
      <c r="B53" s="28" t="s">
        <v>62174</v>
      </c>
      <c r="C53" s="27">
        <v>190.0</v>
      </c>
      <c r="D53" s="28" t="s">
        <v>62175</v>
      </c>
      <c r="E53" s="28" t="s">
        <v>62176</v>
      </c>
      <c r="F53" s="27">
        <v>136.0</v>
      </c>
      <c r="G53" s="27">
        <v>1.90931368E8</v>
      </c>
    </row>
    <row r="54" ht="12.75" customHeight="1">
      <c r="A54" s="31">
        <v>193.0</v>
      </c>
      <c r="B54" s="32" t="s">
        <v>62177</v>
      </c>
      <c r="C54" s="31">
        <v>190.0</v>
      </c>
      <c r="D54" s="32" t="s">
        <v>62178</v>
      </c>
      <c r="E54" s="32" t="s">
        <v>62179</v>
      </c>
      <c r="F54" s="31">
        <v>169.0</v>
      </c>
      <c r="G54" s="31">
        <v>1.90931692E8</v>
      </c>
    </row>
    <row r="55" ht="12.75" customHeight="1">
      <c r="A55" s="27">
        <v>193.0</v>
      </c>
      <c r="B55" s="28" t="s">
        <v>62180</v>
      </c>
      <c r="C55" s="27">
        <v>190.0</v>
      </c>
      <c r="D55" s="28" t="s">
        <v>62181</v>
      </c>
      <c r="E55" s="28" t="s">
        <v>62182</v>
      </c>
      <c r="F55" s="27">
        <v>229.0</v>
      </c>
      <c r="G55" s="27">
        <v>1.90932291E8</v>
      </c>
    </row>
    <row r="56" ht="12.75" customHeight="1">
      <c r="A56" s="31">
        <v>794.0</v>
      </c>
      <c r="B56" s="32" t="s">
        <v>62183</v>
      </c>
      <c r="C56" s="31">
        <v>190.0</v>
      </c>
      <c r="D56" s="32" t="s">
        <v>62184</v>
      </c>
      <c r="E56" s="32" t="s">
        <v>62185</v>
      </c>
      <c r="F56" s="33">
        <v>97.0</v>
      </c>
      <c r="G56" s="31">
        <v>1.90940975E8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401.0</v>
      </c>
      <c r="B1" s="28" t="s">
        <v>62186</v>
      </c>
      <c r="C1" s="27">
        <v>195.0</v>
      </c>
      <c r="D1" s="28" t="s">
        <v>62187</v>
      </c>
      <c r="E1" s="28" t="s">
        <v>62188</v>
      </c>
      <c r="F1" s="29">
        <v>7.0</v>
      </c>
      <c r="G1" s="27">
        <v>1.95010071E8</v>
      </c>
    </row>
    <row r="2" ht="12.75" customHeight="1">
      <c r="A2" s="31">
        <v>401.0</v>
      </c>
      <c r="B2" s="32" t="s">
        <v>62189</v>
      </c>
      <c r="C2" s="31">
        <v>195.0</v>
      </c>
      <c r="D2" s="32" t="s">
        <v>62190</v>
      </c>
      <c r="E2" s="32" t="s">
        <v>62191</v>
      </c>
      <c r="F2" s="33">
        <v>92.0</v>
      </c>
      <c r="G2" s="31">
        <v>1.95010921E8</v>
      </c>
    </row>
    <row r="3" ht="12.75" customHeight="1">
      <c r="A3" s="27">
        <v>306.0</v>
      </c>
      <c r="B3" s="28" t="s">
        <v>62192</v>
      </c>
      <c r="C3" s="27">
        <v>195.0</v>
      </c>
      <c r="D3" s="28" t="s">
        <v>62193</v>
      </c>
      <c r="E3" s="28" t="s">
        <v>62194</v>
      </c>
      <c r="F3" s="29">
        <v>28.0</v>
      </c>
      <c r="G3" s="27">
        <v>1.95060289E8</v>
      </c>
    </row>
    <row r="4" ht="12.75" customHeight="1">
      <c r="A4" s="31">
        <v>309.0</v>
      </c>
      <c r="B4" s="32" t="s">
        <v>62195</v>
      </c>
      <c r="C4" s="31">
        <v>195.0</v>
      </c>
      <c r="D4" s="32" t="s">
        <v>62196</v>
      </c>
      <c r="E4" s="32" t="s">
        <v>62197</v>
      </c>
      <c r="F4" s="33">
        <v>10.0</v>
      </c>
      <c r="G4" s="31">
        <v>1.95090109E8</v>
      </c>
    </row>
    <row r="5" ht="12.75" customHeight="1">
      <c r="A5" s="27">
        <v>309.0</v>
      </c>
      <c r="B5" s="28" t="s">
        <v>62198</v>
      </c>
      <c r="C5" s="27">
        <v>195.0</v>
      </c>
      <c r="D5" s="28" t="s">
        <v>62199</v>
      </c>
      <c r="E5" s="28" t="s">
        <v>62200</v>
      </c>
      <c r="F5" s="29">
        <v>22.0</v>
      </c>
      <c r="G5" s="27">
        <v>1.9509022E8</v>
      </c>
    </row>
    <row r="6" ht="12.75" customHeight="1">
      <c r="A6" s="31">
        <v>610.0</v>
      </c>
      <c r="B6" s="32" t="s">
        <v>62201</v>
      </c>
      <c r="C6" s="31">
        <v>195.0</v>
      </c>
      <c r="D6" s="32" t="s">
        <v>62202</v>
      </c>
      <c r="E6" s="32" t="s">
        <v>62203</v>
      </c>
      <c r="F6" s="33">
        <v>37.0</v>
      </c>
      <c r="G6" s="31">
        <v>1.95100378E8</v>
      </c>
    </row>
    <row r="7" ht="12.75" customHeight="1">
      <c r="A7" s="27">
        <v>610.0</v>
      </c>
      <c r="B7" s="28" t="s">
        <v>62204</v>
      </c>
      <c r="C7" s="27">
        <v>195.0</v>
      </c>
      <c r="D7" s="28" t="s">
        <v>62205</v>
      </c>
      <c r="E7" s="28" t="s">
        <v>62206</v>
      </c>
      <c r="F7" s="29">
        <v>91.0</v>
      </c>
      <c r="G7" s="27">
        <v>1.9510091E8</v>
      </c>
    </row>
    <row r="8" ht="12.75" customHeight="1">
      <c r="A8" s="31">
        <v>112.0</v>
      </c>
      <c r="B8" s="32" t="s">
        <v>62207</v>
      </c>
      <c r="C8" s="31">
        <v>195.0</v>
      </c>
      <c r="D8" s="32" t="s">
        <v>62208</v>
      </c>
      <c r="E8" s="32" t="s">
        <v>62209</v>
      </c>
      <c r="F8" s="33">
        <v>4.0</v>
      </c>
      <c r="G8" s="31">
        <v>1.9512004E8</v>
      </c>
    </row>
    <row r="9" ht="12.75" customHeight="1">
      <c r="A9" s="27">
        <v>113.0</v>
      </c>
      <c r="B9" s="28" t="s">
        <v>62210</v>
      </c>
      <c r="C9" s="27">
        <v>195.0</v>
      </c>
      <c r="D9" s="28" t="s">
        <v>62211</v>
      </c>
      <c r="E9" s="28" t="s">
        <v>62212</v>
      </c>
      <c r="F9" s="29">
        <v>31.0</v>
      </c>
      <c r="G9" s="27">
        <v>1.95130319E8</v>
      </c>
    </row>
    <row r="10" ht="12.75" customHeight="1">
      <c r="A10" s="31">
        <v>113.0</v>
      </c>
      <c r="B10" s="32" t="s">
        <v>62213</v>
      </c>
      <c r="C10" s="31">
        <v>195.0</v>
      </c>
      <c r="D10" s="32" t="s">
        <v>62214</v>
      </c>
      <c r="E10" s="32" t="s">
        <v>62215</v>
      </c>
      <c r="F10" s="33">
        <v>88.0</v>
      </c>
      <c r="G10" s="31">
        <v>1.95130885E8</v>
      </c>
    </row>
    <row r="11" ht="12.75" customHeight="1">
      <c r="A11" s="27">
        <v>113.0</v>
      </c>
      <c r="B11" s="28" t="s">
        <v>62216</v>
      </c>
      <c r="C11" s="27">
        <v>195.0</v>
      </c>
      <c r="D11" s="28" t="s">
        <v>62217</v>
      </c>
      <c r="E11" s="28" t="s">
        <v>62218</v>
      </c>
      <c r="F11" s="29">
        <v>91.0</v>
      </c>
      <c r="G11" s="27">
        <v>1.95130919E8</v>
      </c>
    </row>
    <row r="12" ht="12.75" customHeight="1">
      <c r="A12" s="31">
        <v>113.0</v>
      </c>
      <c r="B12" s="32" t="s">
        <v>62219</v>
      </c>
      <c r="C12" s="31">
        <v>195.0</v>
      </c>
      <c r="D12" s="32" t="s">
        <v>62220</v>
      </c>
      <c r="E12" s="32" t="s">
        <v>62221</v>
      </c>
      <c r="F12" s="31">
        <v>154.0</v>
      </c>
      <c r="G12" s="31">
        <v>1.95131547E8</v>
      </c>
    </row>
    <row r="13" ht="12.75" customHeight="1">
      <c r="A13" s="27">
        <v>215.0</v>
      </c>
      <c r="B13" s="28" t="s">
        <v>62222</v>
      </c>
      <c r="C13" s="27">
        <v>195.0</v>
      </c>
      <c r="D13" s="28" t="s">
        <v>62223</v>
      </c>
      <c r="E13" s="28" t="s">
        <v>62224</v>
      </c>
      <c r="F13" s="29">
        <v>13.0</v>
      </c>
      <c r="G13" s="27">
        <v>1.95150131E8</v>
      </c>
    </row>
    <row r="14" ht="12.75" customHeight="1">
      <c r="A14" s="31">
        <v>215.0</v>
      </c>
      <c r="B14" s="32" t="s">
        <v>62225</v>
      </c>
      <c r="C14" s="31">
        <v>195.0</v>
      </c>
      <c r="D14" s="32" t="s">
        <v>62226</v>
      </c>
      <c r="E14" s="32" t="s">
        <v>62227</v>
      </c>
      <c r="F14" s="33">
        <v>14.0</v>
      </c>
      <c r="G14" s="31">
        <v>1.95150144E8</v>
      </c>
    </row>
    <row r="15" ht="12.75" customHeight="1">
      <c r="A15" s="27">
        <v>215.0</v>
      </c>
      <c r="B15" s="28" t="s">
        <v>62228</v>
      </c>
      <c r="C15" s="27">
        <v>195.0</v>
      </c>
      <c r="D15" s="28" t="s">
        <v>62229</v>
      </c>
      <c r="E15" s="28" t="s">
        <v>62230</v>
      </c>
      <c r="F15" s="29">
        <v>20.0</v>
      </c>
      <c r="G15" s="27">
        <v>1.95150207E8</v>
      </c>
    </row>
    <row r="16" ht="12.75" customHeight="1">
      <c r="A16" s="31">
        <v>215.0</v>
      </c>
      <c r="B16" s="32" t="s">
        <v>62231</v>
      </c>
      <c r="C16" s="31">
        <v>195.0</v>
      </c>
      <c r="D16" s="32" t="s">
        <v>62232</v>
      </c>
      <c r="E16" s="32" t="s">
        <v>62233</v>
      </c>
      <c r="F16" s="33">
        <v>70.0</v>
      </c>
      <c r="G16" s="31">
        <v>1.95150702E8</v>
      </c>
    </row>
    <row r="17" ht="12.75" customHeight="1">
      <c r="A17" s="27">
        <v>215.0</v>
      </c>
      <c r="B17" s="28" t="s">
        <v>62234</v>
      </c>
      <c r="C17" s="27">
        <v>195.0</v>
      </c>
      <c r="D17" s="28" t="s">
        <v>62235</v>
      </c>
      <c r="E17" s="28" t="s">
        <v>62236</v>
      </c>
      <c r="F17" s="29">
        <v>73.0</v>
      </c>
      <c r="G17" s="27">
        <v>1.95150731E8</v>
      </c>
    </row>
    <row r="18" ht="12.75" customHeight="1">
      <c r="A18" s="31">
        <v>215.0</v>
      </c>
      <c r="B18" s="32" t="s">
        <v>62237</v>
      </c>
      <c r="C18" s="31">
        <v>195.0</v>
      </c>
      <c r="D18" s="32" t="s">
        <v>62238</v>
      </c>
      <c r="E18" s="32" t="s">
        <v>62239</v>
      </c>
      <c r="F18" s="31">
        <v>125.0</v>
      </c>
      <c r="G18" s="31">
        <v>1.95151251E8</v>
      </c>
    </row>
    <row r="19" ht="12.75" customHeight="1">
      <c r="A19" s="27">
        <v>215.0</v>
      </c>
      <c r="B19" s="28" t="s">
        <v>62240</v>
      </c>
      <c r="C19" s="27">
        <v>195.0</v>
      </c>
      <c r="D19" s="28" t="s">
        <v>62241</v>
      </c>
      <c r="E19" s="28" t="s">
        <v>62242</v>
      </c>
      <c r="F19" s="27">
        <v>130.0</v>
      </c>
      <c r="G19" s="27">
        <v>1.95151301E8</v>
      </c>
    </row>
    <row r="20" ht="12.75" customHeight="1">
      <c r="A20" s="31">
        <v>215.0</v>
      </c>
      <c r="B20" s="32" t="s">
        <v>62243</v>
      </c>
      <c r="C20" s="31">
        <v>195.0</v>
      </c>
      <c r="D20" s="32" t="s">
        <v>62244</v>
      </c>
      <c r="E20" s="32" t="s">
        <v>62245</v>
      </c>
      <c r="F20" s="31">
        <v>193.0</v>
      </c>
      <c r="G20" s="31">
        <v>1.9515193E8</v>
      </c>
    </row>
    <row r="21" ht="12.75" customHeight="1">
      <c r="A21" s="27">
        <v>215.0</v>
      </c>
      <c r="B21" s="28" t="s">
        <v>62246</v>
      </c>
      <c r="C21" s="27">
        <v>195.0</v>
      </c>
      <c r="D21" s="28" t="s">
        <v>62247</v>
      </c>
      <c r="E21" s="28" t="s">
        <v>62248</v>
      </c>
      <c r="F21" s="27">
        <v>244.0</v>
      </c>
      <c r="G21" s="27">
        <v>1.95152447E8</v>
      </c>
    </row>
    <row r="22" ht="12.75" customHeight="1">
      <c r="A22" s="31">
        <v>215.0</v>
      </c>
      <c r="B22" s="32" t="s">
        <v>62249</v>
      </c>
      <c r="C22" s="31">
        <v>195.0</v>
      </c>
      <c r="D22" s="32" t="s">
        <v>62250</v>
      </c>
      <c r="E22" s="32" t="s">
        <v>62251</v>
      </c>
      <c r="F22" s="31">
        <v>296.0</v>
      </c>
      <c r="G22" s="31">
        <v>1.95152968E8</v>
      </c>
    </row>
    <row r="23" ht="12.75" customHeight="1">
      <c r="A23" s="27">
        <v>215.0</v>
      </c>
      <c r="B23" s="28" t="s">
        <v>62252</v>
      </c>
      <c r="C23" s="27">
        <v>195.0</v>
      </c>
      <c r="D23" s="28" t="s">
        <v>62253</v>
      </c>
      <c r="E23" s="28" t="s">
        <v>62254</v>
      </c>
      <c r="F23" s="27">
        <v>316.0</v>
      </c>
      <c r="G23" s="27">
        <v>1.95153167E8</v>
      </c>
    </row>
    <row r="24" ht="12.75" customHeight="1">
      <c r="A24" s="31">
        <v>215.0</v>
      </c>
      <c r="B24" s="32" t="s">
        <v>62255</v>
      </c>
      <c r="C24" s="31">
        <v>195.0</v>
      </c>
      <c r="D24" s="32" t="s">
        <v>62256</v>
      </c>
      <c r="E24" s="32" t="s">
        <v>62257</v>
      </c>
      <c r="F24" s="31">
        <v>323.0</v>
      </c>
      <c r="G24" s="31">
        <v>1.95153233E8</v>
      </c>
    </row>
    <row r="25" ht="12.75" customHeight="1">
      <c r="A25" s="27">
        <v>215.0</v>
      </c>
      <c r="B25" s="28" t="s">
        <v>62258</v>
      </c>
      <c r="C25" s="27">
        <v>195.0</v>
      </c>
      <c r="D25" s="28" t="s">
        <v>62259</v>
      </c>
      <c r="E25" s="28" t="s">
        <v>62260</v>
      </c>
      <c r="F25" s="27">
        <v>364.0</v>
      </c>
      <c r="G25" s="27">
        <v>1.95153646E8</v>
      </c>
    </row>
    <row r="26" ht="12.75" customHeight="1">
      <c r="A26" s="31">
        <v>215.0</v>
      </c>
      <c r="B26" s="32" t="s">
        <v>62261</v>
      </c>
      <c r="C26" s="31">
        <v>195.0</v>
      </c>
      <c r="D26" s="32" t="s">
        <v>62262</v>
      </c>
      <c r="E26" s="32" t="s">
        <v>62263</v>
      </c>
      <c r="F26" s="31">
        <v>427.0</v>
      </c>
      <c r="G26" s="31">
        <v>1.95154274E8</v>
      </c>
    </row>
    <row r="27" ht="12.75" customHeight="1">
      <c r="A27" s="27">
        <v>215.0</v>
      </c>
      <c r="B27" s="28" t="s">
        <v>62264</v>
      </c>
      <c r="C27" s="27">
        <v>195.0</v>
      </c>
      <c r="D27" s="28" t="s">
        <v>62265</v>
      </c>
      <c r="E27" s="28" t="s">
        <v>62266</v>
      </c>
      <c r="F27" s="27">
        <v>466.0</v>
      </c>
      <c r="G27" s="27">
        <v>1.95154661E8</v>
      </c>
    </row>
    <row r="28" ht="12.75" customHeight="1">
      <c r="A28" s="31">
        <v>215.0</v>
      </c>
      <c r="B28" s="32" t="s">
        <v>62267</v>
      </c>
      <c r="C28" s="31">
        <v>195.0</v>
      </c>
      <c r="D28" s="32" t="s">
        <v>62268</v>
      </c>
      <c r="E28" s="32" t="s">
        <v>62269</v>
      </c>
      <c r="F28" s="31">
        <v>544.0</v>
      </c>
      <c r="G28" s="31">
        <v>1.95155444E8</v>
      </c>
    </row>
    <row r="29" ht="12.75" customHeight="1">
      <c r="A29" s="27">
        <v>215.0</v>
      </c>
      <c r="B29" s="28" t="s">
        <v>62270</v>
      </c>
      <c r="C29" s="27">
        <v>195.0</v>
      </c>
      <c r="D29" s="28" t="s">
        <v>62271</v>
      </c>
      <c r="E29" s="28" t="s">
        <v>62272</v>
      </c>
      <c r="F29" s="27">
        <v>613.0</v>
      </c>
      <c r="G29" s="27">
        <v>1.95156135E8</v>
      </c>
    </row>
    <row r="30" ht="12.75" customHeight="1">
      <c r="A30" s="31">
        <v>215.0</v>
      </c>
      <c r="B30" s="32" t="s">
        <v>62273</v>
      </c>
      <c r="C30" s="31">
        <v>195.0</v>
      </c>
      <c r="D30" s="32" t="s">
        <v>62274</v>
      </c>
      <c r="E30" s="32" t="s">
        <v>62275</v>
      </c>
      <c r="F30" s="31">
        <v>655.0</v>
      </c>
      <c r="G30" s="31">
        <v>1.95156551E8</v>
      </c>
    </row>
    <row r="31" ht="12.75" customHeight="1">
      <c r="A31" s="27">
        <v>215.0</v>
      </c>
      <c r="B31" s="28" t="s">
        <v>62276</v>
      </c>
      <c r="C31" s="27">
        <v>195.0</v>
      </c>
      <c r="D31" s="28" t="s">
        <v>62277</v>
      </c>
      <c r="E31" s="28" t="s">
        <v>62278</v>
      </c>
      <c r="F31" s="27">
        <v>716.0</v>
      </c>
      <c r="G31" s="27">
        <v>1.95157163E8</v>
      </c>
    </row>
    <row r="32" ht="12.75" customHeight="1">
      <c r="A32" s="31">
        <v>119.0</v>
      </c>
      <c r="B32" s="32" t="s">
        <v>62279</v>
      </c>
      <c r="C32" s="31">
        <v>195.0</v>
      </c>
      <c r="D32" s="32" t="s">
        <v>62280</v>
      </c>
      <c r="E32" s="32" t="s">
        <v>62281</v>
      </c>
      <c r="F32" s="33">
        <v>14.0</v>
      </c>
      <c r="G32" s="31">
        <v>1.95190146E8</v>
      </c>
    </row>
    <row r="33" ht="12.75" customHeight="1">
      <c r="A33" s="27">
        <v>119.0</v>
      </c>
      <c r="B33" s="28" t="s">
        <v>62282</v>
      </c>
      <c r="C33" s="27">
        <v>195.0</v>
      </c>
      <c r="D33" s="28" t="s">
        <v>62283</v>
      </c>
      <c r="E33" s="28" t="s">
        <v>62284</v>
      </c>
      <c r="F33" s="29">
        <v>35.0</v>
      </c>
      <c r="G33" s="27">
        <v>1.95190359E8</v>
      </c>
    </row>
    <row r="34" ht="12.75" customHeight="1">
      <c r="A34" s="31">
        <v>119.0</v>
      </c>
      <c r="B34" s="32" t="s">
        <v>62285</v>
      </c>
      <c r="C34" s="31">
        <v>195.0</v>
      </c>
      <c r="D34" s="32" t="s">
        <v>62286</v>
      </c>
      <c r="E34" s="32" t="s">
        <v>62287</v>
      </c>
      <c r="F34" s="33">
        <v>82.0</v>
      </c>
      <c r="G34" s="31">
        <v>1.95190825E8</v>
      </c>
    </row>
    <row r="35" ht="12.75" customHeight="1">
      <c r="A35" s="27">
        <v>119.0</v>
      </c>
      <c r="B35" s="28" t="s">
        <v>62288</v>
      </c>
      <c r="C35" s="27">
        <v>195.0</v>
      </c>
      <c r="D35" s="28" t="s">
        <v>62289</v>
      </c>
      <c r="E35" s="28" t="s">
        <v>62290</v>
      </c>
      <c r="F35" s="27">
        <v>115.0</v>
      </c>
      <c r="G35" s="27">
        <v>1.95191158E8</v>
      </c>
    </row>
    <row r="36" ht="12.75" customHeight="1">
      <c r="A36" s="31">
        <v>119.0</v>
      </c>
      <c r="B36" s="32" t="s">
        <v>62291</v>
      </c>
      <c r="C36" s="31">
        <v>195.0</v>
      </c>
      <c r="D36" s="32" t="s">
        <v>62292</v>
      </c>
      <c r="E36" s="32" t="s">
        <v>62293</v>
      </c>
      <c r="F36" s="31">
        <v>190.0</v>
      </c>
      <c r="G36" s="31">
        <v>1.95191903E8</v>
      </c>
    </row>
    <row r="37" ht="12.75" customHeight="1">
      <c r="A37" s="27">
        <v>119.0</v>
      </c>
      <c r="B37" s="28" t="s">
        <v>62294</v>
      </c>
      <c r="C37" s="27">
        <v>195.0</v>
      </c>
      <c r="D37" s="28" t="s">
        <v>62295</v>
      </c>
      <c r="E37" s="28" t="s">
        <v>62296</v>
      </c>
      <c r="F37" s="27">
        <v>223.0</v>
      </c>
      <c r="G37" s="27">
        <v>1.95192236E8</v>
      </c>
    </row>
    <row r="38" ht="12.75" customHeight="1">
      <c r="A38" s="31">
        <v>222.0</v>
      </c>
      <c r="B38" s="32" t="s">
        <v>62297</v>
      </c>
      <c r="C38" s="31">
        <v>195.0</v>
      </c>
      <c r="D38" s="32" t="s">
        <v>62298</v>
      </c>
      <c r="E38" s="32" t="s">
        <v>62299</v>
      </c>
      <c r="F38" s="33">
        <v>25.0</v>
      </c>
      <c r="G38" s="31">
        <v>1.95220258E8</v>
      </c>
    </row>
    <row r="39" ht="12.75" customHeight="1">
      <c r="A39" s="27">
        <v>126.0</v>
      </c>
      <c r="B39" s="28" t="s">
        <v>62300</v>
      </c>
      <c r="C39" s="27">
        <v>195.0</v>
      </c>
      <c r="D39" s="28" t="s">
        <v>62301</v>
      </c>
      <c r="E39" s="28" t="s">
        <v>62302</v>
      </c>
      <c r="F39" s="29">
        <v>14.0</v>
      </c>
      <c r="G39" s="27">
        <v>1.95260142E8</v>
      </c>
    </row>
    <row r="40" ht="12.75" customHeight="1">
      <c r="A40" s="31">
        <v>126.0</v>
      </c>
      <c r="B40" s="32" t="s">
        <v>62303</v>
      </c>
      <c r="C40" s="31">
        <v>195.0</v>
      </c>
      <c r="D40" s="32" t="s">
        <v>62304</v>
      </c>
      <c r="E40" s="32" t="s">
        <v>62305</v>
      </c>
      <c r="F40" s="33">
        <v>22.0</v>
      </c>
      <c r="G40" s="31">
        <v>1.95260221E8</v>
      </c>
    </row>
    <row r="41" ht="12.75" customHeight="1">
      <c r="A41" s="27">
        <v>126.0</v>
      </c>
      <c r="B41" s="28" t="s">
        <v>62306</v>
      </c>
      <c r="C41" s="27">
        <v>195.0</v>
      </c>
      <c r="D41" s="28" t="s">
        <v>62307</v>
      </c>
      <c r="E41" s="28" t="s">
        <v>62308</v>
      </c>
      <c r="F41" s="29">
        <v>43.0</v>
      </c>
      <c r="G41" s="27">
        <v>1.95260434E8</v>
      </c>
    </row>
    <row r="42" ht="12.75" customHeight="1">
      <c r="A42" s="31">
        <v>126.0</v>
      </c>
      <c r="B42" s="32" t="s">
        <v>62309</v>
      </c>
      <c r="C42" s="31">
        <v>195.0</v>
      </c>
      <c r="D42" s="32" t="s">
        <v>62310</v>
      </c>
      <c r="E42" s="32" t="s">
        <v>62311</v>
      </c>
      <c r="F42" s="33">
        <v>51.0</v>
      </c>
      <c r="G42" s="31">
        <v>1.95260513E8</v>
      </c>
    </row>
    <row r="43" ht="12.75" customHeight="1">
      <c r="A43" s="27">
        <v>126.0</v>
      </c>
      <c r="B43" s="28" t="s">
        <v>62312</v>
      </c>
      <c r="C43" s="27">
        <v>195.0</v>
      </c>
      <c r="D43" s="28" t="s">
        <v>62313</v>
      </c>
      <c r="E43" s="28" t="s">
        <v>62314</v>
      </c>
      <c r="F43" s="29">
        <v>55.0</v>
      </c>
      <c r="G43" s="27">
        <v>1.95260555E8</v>
      </c>
    </row>
    <row r="44" ht="12.75" customHeight="1">
      <c r="A44" s="31">
        <v>126.0</v>
      </c>
      <c r="B44" s="32" t="s">
        <v>62315</v>
      </c>
      <c r="C44" s="31">
        <v>195.0</v>
      </c>
      <c r="D44" s="32" t="s">
        <v>62316</v>
      </c>
      <c r="E44" s="32" t="s">
        <v>62317</v>
      </c>
      <c r="F44" s="33">
        <v>71.0</v>
      </c>
      <c r="G44" s="31">
        <v>1.95260713E8</v>
      </c>
    </row>
    <row r="45" ht="12.75" customHeight="1">
      <c r="A45" s="27">
        <v>126.0</v>
      </c>
      <c r="B45" s="28" t="s">
        <v>62318</v>
      </c>
      <c r="C45" s="27">
        <v>195.0</v>
      </c>
      <c r="D45" s="28" t="s">
        <v>62319</v>
      </c>
      <c r="E45" s="28" t="s">
        <v>62320</v>
      </c>
      <c r="F45" s="29">
        <v>72.0</v>
      </c>
      <c r="G45" s="27">
        <v>1.95260726E8</v>
      </c>
    </row>
    <row r="46" ht="12.75" customHeight="1">
      <c r="A46" s="31">
        <v>126.0</v>
      </c>
      <c r="B46" s="32" t="s">
        <v>62321</v>
      </c>
      <c r="C46" s="31">
        <v>195.0</v>
      </c>
      <c r="D46" s="32" t="s">
        <v>62322</v>
      </c>
      <c r="E46" s="32" t="s">
        <v>62323</v>
      </c>
      <c r="F46" s="31">
        <v>116.0</v>
      </c>
      <c r="G46" s="31">
        <v>1.95261167E8</v>
      </c>
    </row>
    <row r="47" ht="12.75" customHeight="1">
      <c r="A47" s="27">
        <v>126.0</v>
      </c>
      <c r="B47" s="28" t="s">
        <v>62324</v>
      </c>
      <c r="C47" s="27">
        <v>195.0</v>
      </c>
      <c r="D47" s="28" t="s">
        <v>62325</v>
      </c>
      <c r="E47" s="28" t="s">
        <v>62326</v>
      </c>
      <c r="F47" s="27">
        <v>118.0</v>
      </c>
      <c r="G47" s="27">
        <v>1.95261183E8</v>
      </c>
    </row>
    <row r="48" ht="12.75" customHeight="1">
      <c r="A48" s="31">
        <v>126.0</v>
      </c>
      <c r="B48" s="32" t="s">
        <v>62327</v>
      </c>
      <c r="C48" s="31">
        <v>195.0</v>
      </c>
      <c r="D48" s="32" t="s">
        <v>62328</v>
      </c>
      <c r="E48" s="32" t="s">
        <v>62329</v>
      </c>
      <c r="F48" s="31">
        <v>172.0</v>
      </c>
      <c r="G48" s="31">
        <v>1.95261725E8</v>
      </c>
    </row>
    <row r="49" ht="12.75" customHeight="1">
      <c r="A49" s="27">
        <v>126.0</v>
      </c>
      <c r="B49" s="28" t="s">
        <v>62330</v>
      </c>
      <c r="C49" s="27">
        <v>195.0</v>
      </c>
      <c r="D49" s="28" t="s">
        <v>62331</v>
      </c>
      <c r="E49" s="28" t="s">
        <v>62332</v>
      </c>
      <c r="F49" s="27">
        <v>206.0</v>
      </c>
      <c r="G49" s="27">
        <v>1.95262061E8</v>
      </c>
    </row>
    <row r="50" ht="12.75" customHeight="1">
      <c r="A50" s="31">
        <v>126.0</v>
      </c>
      <c r="B50" s="32" t="s">
        <v>62333</v>
      </c>
      <c r="C50" s="31">
        <v>195.0</v>
      </c>
      <c r="D50" s="32" t="s">
        <v>62334</v>
      </c>
      <c r="E50" s="32" t="s">
        <v>62335</v>
      </c>
      <c r="F50" s="31">
        <v>214.0</v>
      </c>
      <c r="G50" s="31">
        <v>1.9526214E8</v>
      </c>
    </row>
    <row r="51" ht="12.75" customHeight="1">
      <c r="A51" s="27">
        <v>126.0</v>
      </c>
      <c r="B51" s="28" t="s">
        <v>62336</v>
      </c>
      <c r="C51" s="27">
        <v>195.0</v>
      </c>
      <c r="D51" s="28" t="s">
        <v>62337</v>
      </c>
      <c r="E51" s="28" t="s">
        <v>62338</v>
      </c>
      <c r="F51" s="27">
        <v>237.0</v>
      </c>
      <c r="G51" s="27">
        <v>1.95262379E8</v>
      </c>
    </row>
    <row r="52" ht="12.75" customHeight="1">
      <c r="A52" s="31">
        <v>126.0</v>
      </c>
      <c r="B52" s="32" t="s">
        <v>62339</v>
      </c>
      <c r="C52" s="31">
        <v>195.0</v>
      </c>
      <c r="D52" s="32" t="s">
        <v>62340</v>
      </c>
      <c r="E52" s="32" t="s">
        <v>62341</v>
      </c>
      <c r="F52" s="31">
        <v>253.0</v>
      </c>
      <c r="G52" s="31">
        <v>1.95262537E8</v>
      </c>
    </row>
    <row r="53" ht="12.75" customHeight="1">
      <c r="A53" s="27">
        <v>126.0</v>
      </c>
      <c r="B53" s="28" t="s">
        <v>62342</v>
      </c>
      <c r="C53" s="27">
        <v>195.0</v>
      </c>
      <c r="D53" s="28" t="s">
        <v>62343</v>
      </c>
      <c r="E53" s="28" t="s">
        <v>62344</v>
      </c>
      <c r="F53" s="27">
        <v>298.0</v>
      </c>
      <c r="G53" s="27">
        <v>1.95262982E8</v>
      </c>
    </row>
    <row r="54" ht="12.75" customHeight="1">
      <c r="A54" s="31">
        <v>126.0</v>
      </c>
      <c r="B54" s="32" t="s">
        <v>62345</v>
      </c>
      <c r="C54" s="31">
        <v>195.0</v>
      </c>
      <c r="D54" s="32" t="s">
        <v>62346</v>
      </c>
      <c r="E54" s="32" t="s">
        <v>62347</v>
      </c>
      <c r="F54" s="31">
        <v>319.0</v>
      </c>
      <c r="G54" s="31">
        <v>1.95263194E8</v>
      </c>
    </row>
    <row r="55" ht="12.75" customHeight="1">
      <c r="A55" s="27">
        <v>126.0</v>
      </c>
      <c r="B55" s="28" t="s">
        <v>62348</v>
      </c>
      <c r="C55" s="27">
        <v>195.0</v>
      </c>
      <c r="D55" s="28" t="s">
        <v>62349</v>
      </c>
      <c r="E55" s="28" t="s">
        <v>62350</v>
      </c>
      <c r="F55" s="27">
        <v>361.0</v>
      </c>
      <c r="G55" s="27">
        <v>1.95263615E8</v>
      </c>
    </row>
    <row r="56" ht="12.75" customHeight="1">
      <c r="A56" s="31">
        <v>126.0</v>
      </c>
      <c r="B56" s="32" t="s">
        <v>62351</v>
      </c>
      <c r="C56" s="31">
        <v>195.0</v>
      </c>
      <c r="D56" s="32" t="s">
        <v>62352</v>
      </c>
      <c r="E56" s="32" t="s">
        <v>62353</v>
      </c>
      <c r="F56" s="31">
        <v>409.0</v>
      </c>
      <c r="G56" s="31">
        <v>1.95264098E8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62354</v>
      </c>
      <c r="C1" s="27">
        <v>195.0</v>
      </c>
      <c r="D1" s="28" t="s">
        <v>62355</v>
      </c>
      <c r="E1" s="28" t="s">
        <v>62356</v>
      </c>
      <c r="F1" s="27">
        <v>430.0</v>
      </c>
      <c r="G1" s="27">
        <v>1.95264306E8</v>
      </c>
    </row>
    <row r="2" ht="12.75" customHeight="1">
      <c r="A2" s="31">
        <v>126.0</v>
      </c>
      <c r="B2" s="32" t="s">
        <v>62357</v>
      </c>
      <c r="C2" s="31">
        <v>195.0</v>
      </c>
      <c r="D2" s="32" t="s">
        <v>62358</v>
      </c>
      <c r="E2" s="32" t="s">
        <v>62359</v>
      </c>
      <c r="F2" s="31">
        <v>463.0</v>
      </c>
      <c r="G2" s="31">
        <v>1.9526463E8</v>
      </c>
    </row>
    <row r="3" ht="12.75" customHeight="1">
      <c r="A3" s="27">
        <v>127.0</v>
      </c>
      <c r="B3" s="28" t="s">
        <v>62360</v>
      </c>
      <c r="C3" s="27">
        <v>195.0</v>
      </c>
      <c r="D3" s="28" t="s">
        <v>62361</v>
      </c>
      <c r="E3" s="28" t="s">
        <v>62362</v>
      </c>
      <c r="F3" s="29">
        <v>0.0</v>
      </c>
      <c r="G3" s="27">
        <v>1.95270008E8</v>
      </c>
    </row>
    <row r="4" ht="12.75" customHeight="1">
      <c r="A4" s="31">
        <v>127.0</v>
      </c>
      <c r="B4" s="32" t="s">
        <v>62363</v>
      </c>
      <c r="C4" s="31">
        <v>195.0</v>
      </c>
      <c r="D4" s="32" t="s">
        <v>62364</v>
      </c>
      <c r="E4" s="32" t="s">
        <v>62365</v>
      </c>
      <c r="F4" s="33">
        <v>55.0</v>
      </c>
      <c r="G4" s="31">
        <v>1.95270558E8</v>
      </c>
    </row>
    <row r="5" ht="12.75" customHeight="1">
      <c r="A5" s="27">
        <v>127.0</v>
      </c>
      <c r="B5" s="28" t="s">
        <v>62366</v>
      </c>
      <c r="C5" s="27">
        <v>195.0</v>
      </c>
      <c r="D5" s="28" t="s">
        <v>62367</v>
      </c>
      <c r="E5" s="28" t="s">
        <v>62368</v>
      </c>
      <c r="F5" s="29">
        <v>88.0</v>
      </c>
      <c r="G5" s="27">
        <v>1.95270882E8</v>
      </c>
    </row>
    <row r="6" ht="12.75" customHeight="1">
      <c r="A6" s="31">
        <v>127.0</v>
      </c>
      <c r="B6" s="32" t="s">
        <v>62369</v>
      </c>
      <c r="C6" s="31">
        <v>195.0</v>
      </c>
      <c r="D6" s="32" t="s">
        <v>62370</v>
      </c>
      <c r="E6" s="32" t="s">
        <v>62371</v>
      </c>
      <c r="F6" s="31">
        <v>139.0</v>
      </c>
      <c r="G6" s="31">
        <v>1.95271399E8</v>
      </c>
    </row>
    <row r="7" ht="12.75" customHeight="1">
      <c r="A7" s="27">
        <v>127.0</v>
      </c>
      <c r="B7" s="28" t="s">
        <v>62372</v>
      </c>
      <c r="C7" s="27">
        <v>195.0</v>
      </c>
      <c r="D7" s="28" t="s">
        <v>62373</v>
      </c>
      <c r="E7" s="28" t="s">
        <v>62374</v>
      </c>
      <c r="F7" s="27">
        <v>146.0</v>
      </c>
      <c r="G7" s="27">
        <v>1.95271465E8</v>
      </c>
    </row>
    <row r="8" ht="12.75" customHeight="1">
      <c r="A8" s="31">
        <v>127.0</v>
      </c>
      <c r="B8" s="32" t="s">
        <v>62375</v>
      </c>
      <c r="C8" s="31">
        <v>195.0</v>
      </c>
      <c r="D8" s="32" t="s">
        <v>62376</v>
      </c>
      <c r="E8" s="32" t="s">
        <v>62377</v>
      </c>
      <c r="F8" s="31">
        <v>201.0</v>
      </c>
      <c r="G8" s="31">
        <v>1.95272019E8</v>
      </c>
    </row>
    <row r="9" ht="12.75" customHeight="1">
      <c r="A9" s="27">
        <v>127.0</v>
      </c>
      <c r="B9" s="28" t="s">
        <v>62378</v>
      </c>
      <c r="C9" s="27">
        <v>195.0</v>
      </c>
      <c r="D9" s="28" t="s">
        <v>62379</v>
      </c>
      <c r="E9" s="28" t="s">
        <v>62380</v>
      </c>
      <c r="F9" s="27">
        <v>232.0</v>
      </c>
      <c r="G9" s="27">
        <v>1.95272327E8</v>
      </c>
    </row>
    <row r="10" ht="12.75" customHeight="1">
      <c r="A10" s="31">
        <v>127.0</v>
      </c>
      <c r="B10" s="32" t="s">
        <v>62381</v>
      </c>
      <c r="C10" s="31">
        <v>195.0</v>
      </c>
      <c r="D10" s="32" t="s">
        <v>62382</v>
      </c>
      <c r="E10" s="32" t="s">
        <v>62383</v>
      </c>
      <c r="F10" s="31">
        <v>256.0</v>
      </c>
      <c r="G10" s="31">
        <v>1.95272569E8</v>
      </c>
    </row>
    <row r="11" ht="12.75" customHeight="1">
      <c r="A11" s="27">
        <v>127.0</v>
      </c>
      <c r="B11" s="28" t="s">
        <v>62384</v>
      </c>
      <c r="C11" s="27">
        <v>195.0</v>
      </c>
      <c r="D11" s="28" t="s">
        <v>62385</v>
      </c>
      <c r="E11" s="28" t="s">
        <v>62386</v>
      </c>
      <c r="F11" s="27">
        <v>298.0</v>
      </c>
      <c r="G11" s="27">
        <v>1.95272985E8</v>
      </c>
    </row>
    <row r="12" ht="12.75" customHeight="1">
      <c r="A12" s="31">
        <v>127.0</v>
      </c>
      <c r="B12" s="32" t="s">
        <v>62387</v>
      </c>
      <c r="C12" s="31">
        <v>195.0</v>
      </c>
      <c r="D12" s="32" t="s">
        <v>62388</v>
      </c>
      <c r="E12" s="32" t="s">
        <v>62389</v>
      </c>
      <c r="F12" s="31">
        <v>337.0</v>
      </c>
      <c r="G12" s="31">
        <v>1.95273371E8</v>
      </c>
    </row>
    <row r="13" ht="12.75" customHeight="1">
      <c r="A13" s="27">
        <v>127.0</v>
      </c>
      <c r="B13" s="28" t="s">
        <v>62390</v>
      </c>
      <c r="C13" s="27">
        <v>195.0</v>
      </c>
      <c r="D13" s="28" t="s">
        <v>62391</v>
      </c>
      <c r="E13" s="28" t="s">
        <v>62392</v>
      </c>
      <c r="F13" s="27">
        <v>364.0</v>
      </c>
      <c r="G13" s="27">
        <v>1.95273647E8</v>
      </c>
    </row>
    <row r="14" ht="12.75" customHeight="1">
      <c r="A14" s="31">
        <v>127.0</v>
      </c>
      <c r="B14" s="32" t="s">
        <v>62393</v>
      </c>
      <c r="C14" s="31">
        <v>195.0</v>
      </c>
      <c r="D14" s="32" t="s">
        <v>62394</v>
      </c>
      <c r="E14" s="32" t="s">
        <v>62395</v>
      </c>
      <c r="F14" s="31">
        <v>436.0</v>
      </c>
      <c r="G14" s="31">
        <v>1.95274367E8</v>
      </c>
    </row>
    <row r="15" ht="12.75" customHeight="1">
      <c r="A15" s="27">
        <v>127.0</v>
      </c>
      <c r="B15" s="28" t="s">
        <v>62396</v>
      </c>
      <c r="C15" s="27">
        <v>195.0</v>
      </c>
      <c r="D15" s="28" t="s">
        <v>62397</v>
      </c>
      <c r="E15" s="28" t="s">
        <v>62398</v>
      </c>
      <c r="F15" s="27">
        <v>442.0</v>
      </c>
      <c r="G15" s="27">
        <v>1.9527442E8</v>
      </c>
    </row>
    <row r="16" ht="12.75" customHeight="1">
      <c r="A16" s="31">
        <v>127.0</v>
      </c>
      <c r="B16" s="32" t="s">
        <v>62399</v>
      </c>
      <c r="C16" s="31">
        <v>195.0</v>
      </c>
      <c r="D16" s="32" t="s">
        <v>62400</v>
      </c>
      <c r="E16" s="32" t="s">
        <v>62401</v>
      </c>
      <c r="F16" s="31">
        <v>448.0</v>
      </c>
      <c r="G16" s="31">
        <v>1.95274488E8</v>
      </c>
    </row>
    <row r="17" ht="12.75" customHeight="1">
      <c r="A17" s="27">
        <v>127.0</v>
      </c>
      <c r="B17" s="28" t="s">
        <v>62402</v>
      </c>
      <c r="C17" s="27">
        <v>195.0</v>
      </c>
      <c r="D17" s="28" t="s">
        <v>62403</v>
      </c>
      <c r="E17" s="28" t="s">
        <v>62404</v>
      </c>
      <c r="F17" s="27">
        <v>475.0</v>
      </c>
      <c r="G17" s="27">
        <v>1.95274754E8</v>
      </c>
    </row>
    <row r="18" ht="12.75" customHeight="1">
      <c r="A18" s="31">
        <v>127.0</v>
      </c>
      <c r="B18" s="32" t="s">
        <v>62405</v>
      </c>
      <c r="C18" s="31">
        <v>195.0</v>
      </c>
      <c r="D18" s="32" t="s">
        <v>62406</v>
      </c>
      <c r="E18" s="32" t="s">
        <v>62407</v>
      </c>
      <c r="F18" s="31">
        <v>502.0</v>
      </c>
      <c r="G18" s="31">
        <v>1.95275029E8</v>
      </c>
    </row>
    <row r="19" ht="12.75" customHeight="1">
      <c r="A19" s="27">
        <v>127.0</v>
      </c>
      <c r="B19" s="28" t="s">
        <v>62408</v>
      </c>
      <c r="C19" s="27">
        <v>195.0</v>
      </c>
      <c r="D19" s="28" t="s">
        <v>62409</v>
      </c>
      <c r="E19" s="28" t="s">
        <v>62410</v>
      </c>
      <c r="F19" s="27">
        <v>535.0</v>
      </c>
      <c r="G19" s="27">
        <v>1.95275353E8</v>
      </c>
    </row>
    <row r="20" ht="12.75" customHeight="1">
      <c r="A20" s="31">
        <v>127.0</v>
      </c>
      <c r="B20" s="32" t="s">
        <v>62411</v>
      </c>
      <c r="C20" s="31">
        <v>195.0</v>
      </c>
      <c r="D20" s="32" t="s">
        <v>62412</v>
      </c>
      <c r="E20" s="32" t="s">
        <v>62413</v>
      </c>
      <c r="F20" s="31">
        <v>574.0</v>
      </c>
      <c r="G20" s="31">
        <v>1.9527574E8</v>
      </c>
    </row>
    <row r="21" ht="12.75" customHeight="1">
      <c r="A21" s="27">
        <v>127.0</v>
      </c>
      <c r="B21" s="28" t="s">
        <v>62414</v>
      </c>
      <c r="C21" s="27">
        <v>195.0</v>
      </c>
      <c r="D21" s="28" t="s">
        <v>62415</v>
      </c>
      <c r="E21" s="28" t="s">
        <v>62416</v>
      </c>
      <c r="F21" s="27">
        <v>576.0</v>
      </c>
      <c r="G21" s="27">
        <v>1.95275766E8</v>
      </c>
    </row>
    <row r="22" ht="12.75" customHeight="1">
      <c r="A22" s="31">
        <v>728.0</v>
      </c>
      <c r="B22" s="32" t="s">
        <v>62417</v>
      </c>
      <c r="C22" s="31">
        <v>195.0</v>
      </c>
      <c r="D22" s="32" t="s">
        <v>62418</v>
      </c>
      <c r="E22" s="32" t="s">
        <v>62419</v>
      </c>
      <c r="F22" s="33">
        <v>67.0</v>
      </c>
      <c r="G22" s="31">
        <v>1.95280672E8</v>
      </c>
    </row>
    <row r="23" ht="12.75" customHeight="1">
      <c r="A23" s="27">
        <v>728.0</v>
      </c>
      <c r="B23" s="28" t="s">
        <v>62420</v>
      </c>
      <c r="C23" s="27">
        <v>195.0</v>
      </c>
      <c r="D23" s="28" t="s">
        <v>62421</v>
      </c>
      <c r="E23" s="28" t="s">
        <v>62422</v>
      </c>
      <c r="F23" s="27">
        <v>208.0</v>
      </c>
      <c r="G23" s="27">
        <v>1.95282083E8</v>
      </c>
    </row>
    <row r="24" ht="12.75" customHeight="1">
      <c r="A24" s="31">
        <v>230.0</v>
      </c>
      <c r="B24" s="32" t="s">
        <v>62423</v>
      </c>
      <c r="C24" s="31">
        <v>195.0</v>
      </c>
      <c r="D24" s="32" t="s">
        <v>62424</v>
      </c>
      <c r="E24" s="32" t="s">
        <v>62425</v>
      </c>
      <c r="F24" s="33">
        <v>52.0</v>
      </c>
      <c r="G24" s="31">
        <v>1.95300523E8</v>
      </c>
    </row>
    <row r="25" ht="12.75" customHeight="1">
      <c r="A25" s="27">
        <v>632.0</v>
      </c>
      <c r="B25" s="28" t="s">
        <v>62426</v>
      </c>
      <c r="C25" s="27">
        <v>195.0</v>
      </c>
      <c r="D25" s="28" t="s">
        <v>62427</v>
      </c>
      <c r="E25" s="28" t="s">
        <v>62428</v>
      </c>
      <c r="F25" s="29">
        <v>59.0</v>
      </c>
      <c r="G25" s="27">
        <v>1.9532059E8</v>
      </c>
    </row>
    <row r="26" ht="12.75" customHeight="1">
      <c r="A26" s="31">
        <v>133.0</v>
      </c>
      <c r="B26" s="32" t="s">
        <v>62429</v>
      </c>
      <c r="C26" s="31">
        <v>195.0</v>
      </c>
      <c r="D26" s="32" t="s">
        <v>62430</v>
      </c>
      <c r="E26" s="32" t="s">
        <v>62431</v>
      </c>
      <c r="F26" s="33">
        <v>76.0</v>
      </c>
      <c r="G26" s="31">
        <v>1.95330764E8</v>
      </c>
    </row>
    <row r="27" ht="12.75" customHeight="1">
      <c r="A27" s="27">
        <v>133.0</v>
      </c>
      <c r="B27" s="28" t="s">
        <v>62432</v>
      </c>
      <c r="C27" s="27">
        <v>195.0</v>
      </c>
      <c r="D27" s="28" t="s">
        <v>62433</v>
      </c>
      <c r="E27" s="28" t="s">
        <v>62434</v>
      </c>
      <c r="F27" s="27">
        <v>100.0</v>
      </c>
      <c r="G27" s="27">
        <v>1.95331E8</v>
      </c>
    </row>
    <row r="28" ht="12.75" customHeight="1">
      <c r="A28" s="31">
        <v>133.0</v>
      </c>
      <c r="B28" s="32" t="s">
        <v>62435</v>
      </c>
      <c r="C28" s="31">
        <v>195.0</v>
      </c>
      <c r="D28" s="32" t="s">
        <v>62436</v>
      </c>
      <c r="E28" s="32" t="s">
        <v>62437</v>
      </c>
      <c r="F28" s="31">
        <v>163.0</v>
      </c>
      <c r="G28" s="31">
        <v>1.95331639E8</v>
      </c>
    </row>
    <row r="29" ht="12.75" customHeight="1">
      <c r="A29" s="27">
        <v>435.0</v>
      </c>
      <c r="B29" s="28" t="s">
        <v>62438</v>
      </c>
      <c r="C29" s="27">
        <v>195.0</v>
      </c>
      <c r="D29" s="28" t="s">
        <v>62439</v>
      </c>
      <c r="E29" s="28" t="s">
        <v>62440</v>
      </c>
      <c r="F29" s="29">
        <v>12.0</v>
      </c>
      <c r="G29" s="27">
        <v>1.95350128E8</v>
      </c>
    </row>
    <row r="30" ht="12.75" customHeight="1">
      <c r="A30" s="31">
        <v>836.0</v>
      </c>
      <c r="B30" s="32" t="s">
        <v>62441</v>
      </c>
      <c r="C30" s="31">
        <v>195.0</v>
      </c>
      <c r="D30" s="32" t="s">
        <v>62442</v>
      </c>
      <c r="E30" s="32" t="s">
        <v>62443</v>
      </c>
      <c r="F30" s="33">
        <v>6.0</v>
      </c>
      <c r="G30" s="31">
        <v>1.95360068E8</v>
      </c>
    </row>
    <row r="31" ht="12.75" customHeight="1">
      <c r="A31" s="27">
        <v>139.0</v>
      </c>
      <c r="B31" s="28" t="s">
        <v>62444</v>
      </c>
      <c r="C31" s="27">
        <v>195.0</v>
      </c>
      <c r="D31" s="28" t="s">
        <v>62445</v>
      </c>
      <c r="E31" s="28" t="s">
        <v>62446</v>
      </c>
      <c r="F31" s="29">
        <v>85.0</v>
      </c>
      <c r="G31" s="27">
        <v>1.95390854E8</v>
      </c>
    </row>
    <row r="32" ht="12.75" customHeight="1">
      <c r="A32" s="31">
        <v>139.0</v>
      </c>
      <c r="B32" s="32" t="s">
        <v>62447</v>
      </c>
      <c r="C32" s="31">
        <v>195.0</v>
      </c>
      <c r="D32" s="32" t="s">
        <v>62448</v>
      </c>
      <c r="E32" s="32" t="s">
        <v>62449</v>
      </c>
      <c r="F32" s="31">
        <v>106.0</v>
      </c>
      <c r="G32" s="31">
        <v>1.95391066E8</v>
      </c>
    </row>
    <row r="33" ht="12.75" customHeight="1">
      <c r="A33" s="27">
        <v>441.0</v>
      </c>
      <c r="B33" s="28" t="s">
        <v>62450</v>
      </c>
      <c r="C33" s="27">
        <v>195.0</v>
      </c>
      <c r="D33" s="28" t="s">
        <v>62451</v>
      </c>
      <c r="E33" s="28" t="s">
        <v>62452</v>
      </c>
      <c r="F33" s="29">
        <v>55.0</v>
      </c>
      <c r="G33" s="27">
        <v>1.9541055E8</v>
      </c>
    </row>
    <row r="34" ht="12.75" customHeight="1">
      <c r="A34" s="31">
        <v>441.0</v>
      </c>
      <c r="B34" s="32" t="s">
        <v>62453</v>
      </c>
      <c r="C34" s="31">
        <v>195.0</v>
      </c>
      <c r="D34" s="32" t="s">
        <v>62454</v>
      </c>
      <c r="E34" s="32" t="s">
        <v>62455</v>
      </c>
      <c r="F34" s="33">
        <v>94.0</v>
      </c>
      <c r="G34" s="31">
        <v>1.95410947E8</v>
      </c>
    </row>
    <row r="35" ht="12.75" customHeight="1">
      <c r="A35" s="27">
        <v>441.0</v>
      </c>
      <c r="B35" s="28" t="s">
        <v>62456</v>
      </c>
      <c r="C35" s="27">
        <v>195.0</v>
      </c>
      <c r="D35" s="28" t="s">
        <v>62457</v>
      </c>
      <c r="E35" s="28" t="s">
        <v>62458</v>
      </c>
      <c r="F35" s="27">
        <v>152.0</v>
      </c>
      <c r="G35" s="27">
        <v>1.9541152E8</v>
      </c>
    </row>
    <row r="36" ht="12.75" customHeight="1">
      <c r="A36" s="31">
        <v>441.0</v>
      </c>
      <c r="B36" s="32" t="s">
        <v>62459</v>
      </c>
      <c r="C36" s="31">
        <v>195.0</v>
      </c>
      <c r="D36" s="32" t="s">
        <v>62460</v>
      </c>
      <c r="E36" s="32" t="s">
        <v>62461</v>
      </c>
      <c r="F36" s="31">
        <v>160.0</v>
      </c>
      <c r="G36" s="31">
        <v>1.95411609E8</v>
      </c>
    </row>
    <row r="37" ht="12.75" customHeight="1">
      <c r="A37" s="27">
        <v>441.0</v>
      </c>
      <c r="B37" s="28" t="s">
        <v>62462</v>
      </c>
      <c r="C37" s="27">
        <v>195.0</v>
      </c>
      <c r="D37" s="28" t="s">
        <v>62463</v>
      </c>
      <c r="E37" s="28" t="s">
        <v>62464</v>
      </c>
      <c r="F37" s="27">
        <v>163.0</v>
      </c>
      <c r="G37" s="27">
        <v>1.95411638E8</v>
      </c>
    </row>
    <row r="38" ht="12.75" customHeight="1">
      <c r="A38" s="31">
        <v>447.0</v>
      </c>
      <c r="B38" s="32" t="s">
        <v>62465</v>
      </c>
      <c r="C38" s="31">
        <v>195.0</v>
      </c>
      <c r="D38" s="32" t="s">
        <v>62466</v>
      </c>
      <c r="E38" s="32" t="s">
        <v>62467</v>
      </c>
      <c r="F38" s="33">
        <v>79.0</v>
      </c>
      <c r="G38" s="31">
        <v>1.9547079E8</v>
      </c>
    </row>
    <row r="39" ht="12.75" customHeight="1">
      <c r="A39" s="27">
        <v>447.0</v>
      </c>
      <c r="B39" s="28" t="s">
        <v>62468</v>
      </c>
      <c r="C39" s="27">
        <v>195.0</v>
      </c>
      <c r="D39" s="28" t="s">
        <v>62469</v>
      </c>
      <c r="E39" s="28" t="s">
        <v>62470</v>
      </c>
      <c r="F39" s="27">
        <v>154.0</v>
      </c>
      <c r="G39" s="27">
        <v>1.95471544E8</v>
      </c>
    </row>
    <row r="40" ht="12.75" customHeight="1">
      <c r="A40" s="31">
        <v>447.0</v>
      </c>
      <c r="B40" s="32" t="s">
        <v>62471</v>
      </c>
      <c r="C40" s="31">
        <v>195.0</v>
      </c>
      <c r="D40" s="32" t="s">
        <v>62472</v>
      </c>
      <c r="E40" s="32" t="s">
        <v>62473</v>
      </c>
      <c r="F40" s="31">
        <v>208.0</v>
      </c>
      <c r="G40" s="31">
        <v>1.9547208E8</v>
      </c>
    </row>
    <row r="41" ht="12.75" customHeight="1">
      <c r="A41" s="27">
        <v>148.0</v>
      </c>
      <c r="B41" s="28" t="s">
        <v>62474</v>
      </c>
      <c r="C41" s="27">
        <v>195.0</v>
      </c>
      <c r="D41" s="28" t="s">
        <v>62475</v>
      </c>
      <c r="E41" s="28" t="s">
        <v>62476</v>
      </c>
      <c r="F41" s="29">
        <v>22.0</v>
      </c>
      <c r="G41" s="27">
        <v>1.95480227E8</v>
      </c>
    </row>
    <row r="42" ht="12.75" customHeight="1">
      <c r="A42" s="31">
        <v>148.0</v>
      </c>
      <c r="B42" s="32" t="s">
        <v>62477</v>
      </c>
      <c r="C42" s="31">
        <v>195.0</v>
      </c>
      <c r="D42" s="32" t="s">
        <v>62478</v>
      </c>
      <c r="E42" s="32" t="s">
        <v>62479</v>
      </c>
      <c r="F42" s="33">
        <v>67.0</v>
      </c>
      <c r="G42" s="31">
        <v>1.95480672E8</v>
      </c>
    </row>
    <row r="43" ht="12.75" customHeight="1">
      <c r="A43" s="27">
        <v>450.0</v>
      </c>
      <c r="B43" s="28" t="s">
        <v>62480</v>
      </c>
      <c r="C43" s="27">
        <v>195.0</v>
      </c>
      <c r="D43" s="28" t="s">
        <v>62481</v>
      </c>
      <c r="E43" s="28" t="s">
        <v>62482</v>
      </c>
      <c r="F43" s="29">
        <v>94.0</v>
      </c>
      <c r="G43" s="27">
        <v>1.95500949E8</v>
      </c>
    </row>
    <row r="44" ht="12.75" customHeight="1">
      <c r="A44" s="31">
        <v>251.0</v>
      </c>
      <c r="B44" s="32" t="s">
        <v>62483</v>
      </c>
      <c r="C44" s="31">
        <v>195.0</v>
      </c>
      <c r="D44" s="32" t="s">
        <v>62484</v>
      </c>
      <c r="E44" s="32" t="s">
        <v>62485</v>
      </c>
      <c r="F44" s="33">
        <v>73.0</v>
      </c>
      <c r="G44" s="31">
        <v>1.95510739E8</v>
      </c>
    </row>
    <row r="45" ht="12.75" customHeight="1">
      <c r="A45" s="27">
        <v>251.0</v>
      </c>
      <c r="B45" s="28" t="s">
        <v>62486</v>
      </c>
      <c r="C45" s="27">
        <v>195.0</v>
      </c>
      <c r="D45" s="28" t="s">
        <v>62487</v>
      </c>
      <c r="E45" s="28" t="s">
        <v>62488</v>
      </c>
      <c r="F45" s="29">
        <v>94.0</v>
      </c>
      <c r="G45" s="27">
        <v>1.95510942E8</v>
      </c>
    </row>
    <row r="46" ht="12.75" customHeight="1">
      <c r="A46" s="31">
        <v>858.0</v>
      </c>
      <c r="B46" s="32" t="s">
        <v>62489</v>
      </c>
      <c r="C46" s="31">
        <v>195.0</v>
      </c>
      <c r="D46" s="32" t="s">
        <v>62490</v>
      </c>
      <c r="E46" s="32" t="s">
        <v>62491</v>
      </c>
      <c r="F46" s="33">
        <v>10.0</v>
      </c>
      <c r="G46" s="31">
        <v>1.95580101E8</v>
      </c>
    </row>
    <row r="47" ht="12.75" customHeight="1">
      <c r="A47" s="27">
        <v>858.0</v>
      </c>
      <c r="B47" s="28" t="s">
        <v>62492</v>
      </c>
      <c r="C47" s="27">
        <v>195.0</v>
      </c>
      <c r="D47" s="28" t="s">
        <v>62493</v>
      </c>
      <c r="E47" s="28" t="s">
        <v>62494</v>
      </c>
      <c r="F47" s="27">
        <v>118.0</v>
      </c>
      <c r="G47" s="27">
        <v>1.95581184E8</v>
      </c>
    </row>
    <row r="48" ht="12.75" customHeight="1">
      <c r="A48" s="31">
        <v>159.0</v>
      </c>
      <c r="B48" s="32" t="s">
        <v>62495</v>
      </c>
      <c r="C48" s="31">
        <v>195.0</v>
      </c>
      <c r="D48" s="32" t="s">
        <v>62496</v>
      </c>
      <c r="E48" s="32" t="s">
        <v>62497</v>
      </c>
      <c r="F48" s="31">
        <v>142.0</v>
      </c>
      <c r="G48" s="31">
        <v>1.95591424E8</v>
      </c>
    </row>
    <row r="49" ht="12.75" customHeight="1">
      <c r="A49" s="27">
        <v>161.0</v>
      </c>
      <c r="B49" s="28" t="s">
        <v>62498</v>
      </c>
      <c r="C49" s="27">
        <v>195.0</v>
      </c>
      <c r="D49" s="28" t="s">
        <v>62499</v>
      </c>
      <c r="E49" s="28" t="s">
        <v>62500</v>
      </c>
      <c r="F49" s="27">
        <v>175.0</v>
      </c>
      <c r="G49" s="27">
        <v>1.95611759E8</v>
      </c>
    </row>
    <row r="50" ht="12.75" customHeight="1">
      <c r="A50" s="31">
        <v>564.0</v>
      </c>
      <c r="B50" s="32" t="s">
        <v>62501</v>
      </c>
      <c r="C50" s="31">
        <v>195.0</v>
      </c>
      <c r="D50" s="32" t="s">
        <v>62502</v>
      </c>
      <c r="E50" s="32" t="s">
        <v>62503</v>
      </c>
      <c r="F50" s="31">
        <v>118.0</v>
      </c>
      <c r="G50" s="31">
        <v>1.95641187E8</v>
      </c>
    </row>
    <row r="51" ht="12.75" customHeight="1">
      <c r="A51" s="27">
        <v>167.0</v>
      </c>
      <c r="B51" s="28" t="s">
        <v>62504</v>
      </c>
      <c r="C51" s="27">
        <v>195.0</v>
      </c>
      <c r="D51" s="28" t="s">
        <v>62505</v>
      </c>
      <c r="E51" s="28" t="s">
        <v>62506</v>
      </c>
      <c r="F51" s="29">
        <v>23.0</v>
      </c>
      <c r="G51" s="27">
        <v>1.95670237E8</v>
      </c>
    </row>
    <row r="52" ht="12.75" customHeight="1">
      <c r="A52" s="31">
        <v>167.0</v>
      </c>
      <c r="B52" s="32" t="s">
        <v>62507</v>
      </c>
      <c r="C52" s="31">
        <v>195.0</v>
      </c>
      <c r="D52" s="32" t="s">
        <v>62508</v>
      </c>
      <c r="E52" s="32" t="s">
        <v>62509</v>
      </c>
      <c r="F52" s="33">
        <v>52.0</v>
      </c>
      <c r="G52" s="31">
        <v>1.95670529E8</v>
      </c>
    </row>
    <row r="53" ht="12.75" customHeight="1">
      <c r="A53" s="27">
        <v>167.0</v>
      </c>
      <c r="B53" s="28" t="s">
        <v>62510</v>
      </c>
      <c r="C53" s="27">
        <v>195.0</v>
      </c>
      <c r="D53" s="28" t="s">
        <v>62511</v>
      </c>
      <c r="E53" s="28" t="s">
        <v>62512</v>
      </c>
      <c r="F53" s="29">
        <v>60.0</v>
      </c>
      <c r="G53" s="27">
        <v>1.95670608E8</v>
      </c>
    </row>
    <row r="54" ht="12.75" customHeight="1">
      <c r="A54" s="31">
        <v>167.0</v>
      </c>
      <c r="B54" s="32" t="s">
        <v>62513</v>
      </c>
      <c r="C54" s="31">
        <v>195.0</v>
      </c>
      <c r="D54" s="32" t="s">
        <v>62514</v>
      </c>
      <c r="E54" s="32" t="s">
        <v>62515</v>
      </c>
      <c r="F54" s="31">
        <v>118.0</v>
      </c>
      <c r="G54" s="31">
        <v>1.95671186E8</v>
      </c>
    </row>
    <row r="55" ht="12.75" customHeight="1">
      <c r="A55" s="27">
        <v>167.0</v>
      </c>
      <c r="B55" s="28" t="s">
        <v>62516</v>
      </c>
      <c r="C55" s="27">
        <v>195.0</v>
      </c>
      <c r="D55" s="28" t="s">
        <v>62517</v>
      </c>
      <c r="E55" s="28" t="s">
        <v>62518</v>
      </c>
      <c r="F55" s="27">
        <v>169.0</v>
      </c>
      <c r="G55" s="27">
        <v>1.95671694E8</v>
      </c>
    </row>
    <row r="56" ht="12.75" customHeight="1">
      <c r="A56" s="31">
        <v>168.0</v>
      </c>
      <c r="B56" s="32" t="s">
        <v>62519</v>
      </c>
      <c r="C56" s="31">
        <v>195.0</v>
      </c>
      <c r="D56" s="32" t="s">
        <v>62520</v>
      </c>
      <c r="E56" s="32" t="s">
        <v>62521</v>
      </c>
      <c r="F56" s="33">
        <v>14.0</v>
      </c>
      <c r="G56" s="31">
        <v>1.95680148E8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168.0</v>
      </c>
      <c r="B1" s="28" t="s">
        <v>62522</v>
      </c>
      <c r="C1" s="27">
        <v>195.0</v>
      </c>
      <c r="D1" s="28" t="s">
        <v>62523</v>
      </c>
      <c r="E1" s="28" t="s">
        <v>62524</v>
      </c>
      <c r="F1" s="29">
        <v>68.0</v>
      </c>
      <c r="G1" s="27">
        <v>1.95680685E8</v>
      </c>
    </row>
    <row r="2" ht="12.75" customHeight="1">
      <c r="A2" s="31">
        <v>168.0</v>
      </c>
      <c r="B2" s="32" t="s">
        <v>62525</v>
      </c>
      <c r="C2" s="31">
        <v>195.0</v>
      </c>
      <c r="D2" s="32" t="s">
        <v>62526</v>
      </c>
      <c r="E2" s="32" t="s">
        <v>62527</v>
      </c>
      <c r="F2" s="33">
        <v>85.0</v>
      </c>
      <c r="G2" s="31">
        <v>1.95680856E8</v>
      </c>
    </row>
    <row r="3" ht="12.75" customHeight="1">
      <c r="A3" s="27">
        <v>172.0</v>
      </c>
      <c r="B3" s="28" t="s">
        <v>62528</v>
      </c>
      <c r="C3" s="27">
        <v>195.0</v>
      </c>
      <c r="D3" s="28" t="s">
        <v>62529</v>
      </c>
      <c r="E3" s="28" t="s">
        <v>62530</v>
      </c>
      <c r="F3" s="29">
        <v>73.0</v>
      </c>
      <c r="G3" s="27">
        <v>1.95720732E8</v>
      </c>
    </row>
    <row r="4" ht="12.75" customHeight="1">
      <c r="A4" s="31">
        <v>773.0</v>
      </c>
      <c r="B4" s="32" t="s">
        <v>62531</v>
      </c>
      <c r="C4" s="31">
        <v>195.0</v>
      </c>
      <c r="D4" s="32" t="s">
        <v>62532</v>
      </c>
      <c r="E4" s="32" t="s">
        <v>62533</v>
      </c>
      <c r="F4" s="33">
        <v>79.0</v>
      </c>
      <c r="G4" s="31">
        <v>1.95730793E8</v>
      </c>
    </row>
    <row r="5" ht="12.75" customHeight="1">
      <c r="A5" s="27">
        <v>275.0</v>
      </c>
      <c r="B5" s="28" t="s">
        <v>62534</v>
      </c>
      <c r="C5" s="27">
        <v>195.0</v>
      </c>
      <c r="D5" s="28" t="s">
        <v>62535</v>
      </c>
      <c r="E5" s="28" t="s">
        <v>62536</v>
      </c>
      <c r="F5" s="29">
        <v>6.0</v>
      </c>
      <c r="G5" s="27">
        <v>1.95750065E8</v>
      </c>
    </row>
    <row r="6" ht="12.75" customHeight="1">
      <c r="A6" s="31">
        <v>275.0</v>
      </c>
      <c r="B6" s="32" t="s">
        <v>62537</v>
      </c>
      <c r="C6" s="31">
        <v>195.0</v>
      </c>
      <c r="D6" s="32" t="s">
        <v>62538</v>
      </c>
      <c r="E6" s="32" t="s">
        <v>62539</v>
      </c>
      <c r="F6" s="33">
        <v>67.0</v>
      </c>
      <c r="G6" s="31">
        <v>1.95750678E8</v>
      </c>
    </row>
    <row r="7" ht="12.75" customHeight="1">
      <c r="A7" s="27">
        <v>275.0</v>
      </c>
      <c r="B7" s="28" t="s">
        <v>62540</v>
      </c>
      <c r="C7" s="27">
        <v>195.0</v>
      </c>
      <c r="D7" s="28" t="s">
        <v>62541</v>
      </c>
      <c r="E7" s="28" t="s">
        <v>62542</v>
      </c>
      <c r="F7" s="27">
        <v>115.0</v>
      </c>
      <c r="G7" s="27">
        <v>1.95751156E8</v>
      </c>
    </row>
    <row r="8" ht="12.75" customHeight="1">
      <c r="A8" s="31">
        <v>275.0</v>
      </c>
      <c r="B8" s="32" t="s">
        <v>62543</v>
      </c>
      <c r="C8" s="31">
        <v>195.0</v>
      </c>
      <c r="D8" s="32" t="s">
        <v>62544</v>
      </c>
      <c r="E8" s="32" t="s">
        <v>62545</v>
      </c>
      <c r="F8" s="31">
        <v>130.0</v>
      </c>
      <c r="G8" s="31">
        <v>1.95751301E8</v>
      </c>
    </row>
    <row r="9" ht="12.75" customHeight="1">
      <c r="A9" s="27">
        <v>275.0</v>
      </c>
      <c r="B9" s="28" t="s">
        <v>62546</v>
      </c>
      <c r="C9" s="27">
        <v>195.0</v>
      </c>
      <c r="D9" s="28" t="s">
        <v>62547</v>
      </c>
      <c r="E9" s="28" t="s">
        <v>62548</v>
      </c>
      <c r="F9" s="27">
        <v>226.0</v>
      </c>
      <c r="G9" s="27">
        <v>1.95752263E8</v>
      </c>
    </row>
    <row r="10" ht="12.75" customHeight="1">
      <c r="A10" s="31">
        <v>576.0</v>
      </c>
      <c r="B10" s="32" t="s">
        <v>62549</v>
      </c>
      <c r="C10" s="31">
        <v>195.0</v>
      </c>
      <c r="D10" s="32" t="s">
        <v>62550</v>
      </c>
      <c r="E10" s="32" t="s">
        <v>62551</v>
      </c>
      <c r="F10" s="31">
        <v>178.0</v>
      </c>
      <c r="G10" s="31">
        <v>1.95761788E8</v>
      </c>
    </row>
    <row r="11" ht="12.75" customHeight="1">
      <c r="A11" s="27">
        <v>379.0</v>
      </c>
      <c r="B11" s="28" t="s">
        <v>62552</v>
      </c>
      <c r="C11" s="27">
        <v>195.0</v>
      </c>
      <c r="D11" s="28" t="s">
        <v>62553</v>
      </c>
      <c r="E11" s="28" t="s">
        <v>62554</v>
      </c>
      <c r="F11" s="29">
        <v>5.0</v>
      </c>
      <c r="G11" s="27">
        <v>1.95790054E8</v>
      </c>
    </row>
    <row r="12" ht="12.75" customHeight="1">
      <c r="A12" s="31">
        <v>581.0</v>
      </c>
      <c r="B12" s="32" t="s">
        <v>62555</v>
      </c>
      <c r="C12" s="31">
        <v>195.0</v>
      </c>
      <c r="D12" s="32" t="s">
        <v>62556</v>
      </c>
      <c r="E12" s="32" t="s">
        <v>62557</v>
      </c>
      <c r="F12" s="31">
        <v>193.0</v>
      </c>
      <c r="G12" s="31">
        <v>1.95811933E8</v>
      </c>
    </row>
    <row r="13" ht="12.75" customHeight="1">
      <c r="A13" s="27">
        <v>785.0</v>
      </c>
      <c r="B13" s="28" t="s">
        <v>62558</v>
      </c>
      <c r="C13" s="27">
        <v>195.0</v>
      </c>
      <c r="D13" s="28" t="s">
        <v>62559</v>
      </c>
      <c r="E13" s="28" t="s">
        <v>62560</v>
      </c>
      <c r="F13" s="27">
        <v>145.0</v>
      </c>
      <c r="G13" s="27">
        <v>1.95851456E8</v>
      </c>
    </row>
    <row r="14" ht="12.75" customHeight="1">
      <c r="A14" s="31">
        <v>386.0</v>
      </c>
      <c r="B14" s="32" t="s">
        <v>62561</v>
      </c>
      <c r="C14" s="31">
        <v>195.0</v>
      </c>
      <c r="D14" s="32" t="s">
        <v>62562</v>
      </c>
      <c r="E14" s="32" t="s">
        <v>62563</v>
      </c>
      <c r="F14" s="33">
        <v>6.0</v>
      </c>
      <c r="G14" s="31">
        <v>1.95860063E8</v>
      </c>
    </row>
    <row r="15" ht="12.75" customHeight="1">
      <c r="A15" s="27">
        <v>487.0</v>
      </c>
      <c r="B15" s="28" t="s">
        <v>62564</v>
      </c>
      <c r="C15" s="27">
        <v>195.0</v>
      </c>
      <c r="D15" s="28" t="s">
        <v>62565</v>
      </c>
      <c r="E15" s="28" t="s">
        <v>62566</v>
      </c>
      <c r="F15" s="27">
        <v>103.0</v>
      </c>
      <c r="G15" s="27">
        <v>1.95871036E8</v>
      </c>
    </row>
    <row r="16" ht="12.75" customHeight="1">
      <c r="A16" s="31">
        <v>487.0</v>
      </c>
      <c r="B16" s="32" t="s">
        <v>62567</v>
      </c>
      <c r="C16" s="31">
        <v>195.0</v>
      </c>
      <c r="D16" s="32" t="s">
        <v>62568</v>
      </c>
      <c r="E16" s="32" t="s">
        <v>62569</v>
      </c>
      <c r="F16" s="31">
        <v>109.0</v>
      </c>
      <c r="G16" s="31">
        <v>1.95871094E8</v>
      </c>
    </row>
    <row r="17" ht="12.75" customHeight="1">
      <c r="A17" s="27">
        <v>688.0</v>
      </c>
      <c r="B17" s="28" t="s">
        <v>62570</v>
      </c>
      <c r="C17" s="27">
        <v>195.0</v>
      </c>
      <c r="D17" s="28" t="s">
        <v>62571</v>
      </c>
      <c r="E17" s="28" t="s">
        <v>62572</v>
      </c>
      <c r="F17" s="29">
        <v>43.0</v>
      </c>
      <c r="G17" s="27">
        <v>1.9588043E8</v>
      </c>
    </row>
    <row r="18" ht="12.75" customHeight="1">
      <c r="A18" s="31">
        <v>688.0</v>
      </c>
      <c r="B18" s="32" t="s">
        <v>62573</v>
      </c>
      <c r="C18" s="31">
        <v>195.0</v>
      </c>
      <c r="D18" s="32" t="s">
        <v>62574</v>
      </c>
      <c r="E18" s="32" t="s">
        <v>62575</v>
      </c>
      <c r="F18" s="31">
        <v>187.0</v>
      </c>
      <c r="G18" s="31">
        <v>1.95881871E8</v>
      </c>
    </row>
    <row r="19" ht="12.75" customHeight="1">
      <c r="A19" s="27">
        <v>688.0</v>
      </c>
      <c r="B19" s="28" t="s">
        <v>62576</v>
      </c>
      <c r="C19" s="27">
        <v>195.0</v>
      </c>
      <c r="D19" s="28" t="s">
        <v>62577</v>
      </c>
      <c r="E19" s="28" t="s">
        <v>62578</v>
      </c>
      <c r="F19" s="27">
        <v>250.0</v>
      </c>
      <c r="G19" s="27">
        <v>1.95882504E8</v>
      </c>
    </row>
    <row r="20" ht="12.75" customHeight="1">
      <c r="A20" s="31">
        <v>891.0</v>
      </c>
      <c r="B20" s="32" t="s">
        <v>62579</v>
      </c>
      <c r="C20" s="31">
        <v>195.0</v>
      </c>
      <c r="D20" s="32" t="s">
        <v>62580</v>
      </c>
      <c r="E20" s="32" t="s">
        <v>62581</v>
      </c>
      <c r="F20" s="33">
        <v>31.0</v>
      </c>
      <c r="G20" s="31">
        <v>1.95910313E8</v>
      </c>
    </row>
    <row r="21" ht="12.75" customHeight="1">
      <c r="A21" s="27">
        <v>891.0</v>
      </c>
      <c r="B21" s="28" t="s">
        <v>62582</v>
      </c>
      <c r="C21" s="27">
        <v>195.0</v>
      </c>
      <c r="D21" s="28" t="s">
        <v>62583</v>
      </c>
      <c r="E21" s="28" t="s">
        <v>62584</v>
      </c>
      <c r="F21" s="27">
        <v>136.0</v>
      </c>
      <c r="G21" s="27">
        <v>1.95911367E8</v>
      </c>
    </row>
    <row r="22" ht="12.75" customHeight="1">
      <c r="A22" s="31">
        <v>891.0</v>
      </c>
      <c r="B22" s="32" t="s">
        <v>62585</v>
      </c>
      <c r="C22" s="31">
        <v>195.0</v>
      </c>
      <c r="D22" s="32" t="s">
        <v>62586</v>
      </c>
      <c r="E22" s="32" t="s">
        <v>62587</v>
      </c>
      <c r="F22" s="31">
        <v>344.0</v>
      </c>
      <c r="G22" s="31">
        <v>1.95913444E8</v>
      </c>
    </row>
    <row r="23" ht="12.75" customHeight="1">
      <c r="A23" s="27">
        <v>891.0</v>
      </c>
      <c r="B23" s="28" t="s">
        <v>62588</v>
      </c>
      <c r="C23" s="27">
        <v>195.0</v>
      </c>
      <c r="D23" s="28" t="s">
        <v>62589</v>
      </c>
      <c r="E23" s="28" t="s">
        <v>62590</v>
      </c>
      <c r="F23" s="27">
        <v>355.0</v>
      </c>
      <c r="G23" s="27">
        <v>1.95913552E8</v>
      </c>
    </row>
    <row r="24" ht="12.75" customHeight="1">
      <c r="A24" s="31">
        <v>193.0</v>
      </c>
      <c r="B24" s="32" t="s">
        <v>62591</v>
      </c>
      <c r="C24" s="31">
        <v>195.0</v>
      </c>
      <c r="D24" s="32" t="s">
        <v>62592</v>
      </c>
      <c r="E24" s="32" t="s">
        <v>62593</v>
      </c>
      <c r="F24" s="31">
        <v>229.0</v>
      </c>
      <c r="G24" s="31">
        <v>1.95932296E8</v>
      </c>
    </row>
    <row r="25" ht="12.75" customHeight="1">
      <c r="A25" s="27">
        <v>401.0</v>
      </c>
      <c r="B25" s="28" t="s">
        <v>62594</v>
      </c>
      <c r="C25" s="27">
        <v>200.0</v>
      </c>
      <c r="D25" s="28" t="s">
        <v>62595</v>
      </c>
      <c r="E25" s="28" t="s">
        <v>62596</v>
      </c>
      <c r="F25" s="29">
        <v>7.0</v>
      </c>
      <c r="G25" s="27">
        <v>2.00010074E8</v>
      </c>
    </row>
    <row r="26" ht="12.75" customHeight="1">
      <c r="A26" s="31">
        <v>401.0</v>
      </c>
      <c r="B26" s="32" t="s">
        <v>62597</v>
      </c>
      <c r="C26" s="31">
        <v>200.0</v>
      </c>
      <c r="D26" s="32" t="s">
        <v>62598</v>
      </c>
      <c r="E26" s="32" t="s">
        <v>62599</v>
      </c>
      <c r="F26" s="33">
        <v>22.0</v>
      </c>
      <c r="G26" s="31">
        <v>2.00010229E8</v>
      </c>
    </row>
    <row r="27" ht="12.75" customHeight="1">
      <c r="A27" s="27">
        <v>401.0</v>
      </c>
      <c r="B27" s="28" t="s">
        <v>62600</v>
      </c>
      <c r="C27" s="27">
        <v>200.0</v>
      </c>
      <c r="D27" s="28" t="s">
        <v>62601</v>
      </c>
      <c r="E27" s="28" t="s">
        <v>62602</v>
      </c>
      <c r="F27" s="29">
        <v>29.0</v>
      </c>
      <c r="G27" s="27">
        <v>2.0001029E8</v>
      </c>
    </row>
    <row r="28" ht="12.75" customHeight="1">
      <c r="A28" s="31">
        <v>401.0</v>
      </c>
      <c r="B28" s="32" t="s">
        <v>62603</v>
      </c>
      <c r="C28" s="31">
        <v>200.0</v>
      </c>
      <c r="D28" s="32" t="s">
        <v>62604</v>
      </c>
      <c r="E28" s="32" t="s">
        <v>62605</v>
      </c>
      <c r="F28" s="33">
        <v>46.0</v>
      </c>
      <c r="G28" s="31">
        <v>2.00010461E8</v>
      </c>
    </row>
    <row r="29" ht="12.75" customHeight="1">
      <c r="A29" s="27">
        <v>401.0</v>
      </c>
      <c r="B29" s="28" t="s">
        <v>62606</v>
      </c>
      <c r="C29" s="27">
        <v>200.0</v>
      </c>
      <c r="D29" s="28" t="s">
        <v>62607</v>
      </c>
      <c r="E29" s="28" t="s">
        <v>62608</v>
      </c>
      <c r="F29" s="29">
        <v>58.0</v>
      </c>
      <c r="G29" s="27">
        <v>2.00010582E8</v>
      </c>
    </row>
    <row r="30" ht="12.75" customHeight="1">
      <c r="A30" s="31">
        <v>401.0</v>
      </c>
      <c r="B30" s="32" t="s">
        <v>62609</v>
      </c>
      <c r="C30" s="31">
        <v>200.0</v>
      </c>
      <c r="D30" s="32" t="s">
        <v>62610</v>
      </c>
      <c r="E30" s="32" t="s">
        <v>62611</v>
      </c>
      <c r="F30" s="33">
        <v>64.0</v>
      </c>
      <c r="G30" s="31">
        <v>2.00010645E8</v>
      </c>
    </row>
    <row r="31" ht="12.75" customHeight="1">
      <c r="A31" s="27">
        <v>401.0</v>
      </c>
      <c r="B31" s="28" t="s">
        <v>62612</v>
      </c>
      <c r="C31" s="27">
        <v>200.0</v>
      </c>
      <c r="D31" s="28" t="s">
        <v>62613</v>
      </c>
      <c r="E31" s="28" t="s">
        <v>62614</v>
      </c>
      <c r="F31" s="29">
        <v>73.0</v>
      </c>
      <c r="G31" s="27">
        <v>2.00010737E8</v>
      </c>
    </row>
    <row r="32" ht="12.75" customHeight="1">
      <c r="A32" s="31">
        <v>401.0</v>
      </c>
      <c r="B32" s="32" t="s">
        <v>62615</v>
      </c>
      <c r="C32" s="31">
        <v>200.0</v>
      </c>
      <c r="D32" s="32" t="s">
        <v>62616</v>
      </c>
      <c r="E32" s="32" t="s">
        <v>62617</v>
      </c>
      <c r="F32" s="33">
        <v>85.0</v>
      </c>
      <c r="G32" s="31">
        <v>2.00010858E8</v>
      </c>
    </row>
    <row r="33" ht="12.75" customHeight="1">
      <c r="A33" s="27">
        <v>401.0</v>
      </c>
      <c r="B33" s="28" t="s">
        <v>62618</v>
      </c>
      <c r="C33" s="27">
        <v>200.0</v>
      </c>
      <c r="D33" s="28" t="s">
        <v>62619</v>
      </c>
      <c r="E33" s="28" t="s">
        <v>62620</v>
      </c>
      <c r="F33" s="29">
        <v>91.0</v>
      </c>
      <c r="G33" s="27">
        <v>2.00010911E8</v>
      </c>
    </row>
    <row r="34" ht="12.75" customHeight="1">
      <c r="A34" s="31">
        <v>401.0</v>
      </c>
      <c r="B34" s="32" t="s">
        <v>62621</v>
      </c>
      <c r="C34" s="31">
        <v>200.0</v>
      </c>
      <c r="D34" s="32" t="s">
        <v>62622</v>
      </c>
      <c r="E34" s="32" t="s">
        <v>62623</v>
      </c>
      <c r="F34" s="33">
        <v>94.0</v>
      </c>
      <c r="G34" s="31">
        <v>2.0001094E8</v>
      </c>
    </row>
    <row r="35" ht="12.75" customHeight="1">
      <c r="A35" s="27">
        <v>401.0</v>
      </c>
      <c r="B35" s="28" t="s">
        <v>62624</v>
      </c>
      <c r="C35" s="27">
        <v>200.0</v>
      </c>
      <c r="D35" s="28" t="s">
        <v>62625</v>
      </c>
      <c r="E35" s="28" t="s">
        <v>62626</v>
      </c>
      <c r="F35" s="29">
        <v>97.0</v>
      </c>
      <c r="G35" s="27">
        <v>2.00010979E8</v>
      </c>
    </row>
    <row r="36" ht="12.75" customHeight="1">
      <c r="A36" s="31">
        <v>401.0</v>
      </c>
      <c r="B36" s="32" t="s">
        <v>62627</v>
      </c>
      <c r="C36" s="31">
        <v>200.0</v>
      </c>
      <c r="D36" s="32" t="s">
        <v>62628</v>
      </c>
      <c r="E36" s="32" t="s">
        <v>62629</v>
      </c>
      <c r="F36" s="31">
        <v>103.0</v>
      </c>
      <c r="G36" s="31">
        <v>2.00011031E8</v>
      </c>
    </row>
    <row r="37" ht="12.75" customHeight="1">
      <c r="A37" s="27">
        <v>401.0</v>
      </c>
      <c r="B37" s="28" t="s">
        <v>62630</v>
      </c>
      <c r="C37" s="27">
        <v>200.0</v>
      </c>
      <c r="D37" s="28" t="s">
        <v>62631</v>
      </c>
      <c r="E37" s="28" t="s">
        <v>62632</v>
      </c>
      <c r="F37" s="27">
        <v>121.0</v>
      </c>
      <c r="G37" s="27">
        <v>2.00011215E8</v>
      </c>
    </row>
    <row r="38" ht="12.75" customHeight="1">
      <c r="A38" s="31">
        <v>401.0</v>
      </c>
      <c r="B38" s="32" t="s">
        <v>62633</v>
      </c>
      <c r="C38" s="31">
        <v>200.0</v>
      </c>
      <c r="D38" s="32" t="s">
        <v>62634</v>
      </c>
      <c r="E38" s="32" t="s">
        <v>62635</v>
      </c>
      <c r="F38" s="31">
        <v>124.0</v>
      </c>
      <c r="G38" s="31">
        <v>2.00011244E8</v>
      </c>
    </row>
    <row r="39" ht="12.75" customHeight="1">
      <c r="A39" s="27">
        <v>203.0</v>
      </c>
      <c r="B39" s="28" t="s">
        <v>62636</v>
      </c>
      <c r="C39" s="27">
        <v>200.0</v>
      </c>
      <c r="D39" s="28" t="s">
        <v>62637</v>
      </c>
      <c r="E39" s="28" t="s">
        <v>62638</v>
      </c>
      <c r="F39" s="29">
        <v>4.0</v>
      </c>
      <c r="G39" s="27">
        <v>2.00030041E8</v>
      </c>
    </row>
    <row r="40" ht="12.75" customHeight="1">
      <c r="A40" s="31">
        <v>203.0</v>
      </c>
      <c r="B40" s="32" t="s">
        <v>62639</v>
      </c>
      <c r="C40" s="31">
        <v>200.0</v>
      </c>
      <c r="D40" s="32" t="s">
        <v>62640</v>
      </c>
      <c r="E40" s="32" t="s">
        <v>62641</v>
      </c>
      <c r="F40" s="33">
        <v>13.0</v>
      </c>
      <c r="G40" s="31">
        <v>2.00030133E8</v>
      </c>
    </row>
    <row r="41" ht="12.75" customHeight="1">
      <c r="A41" s="27">
        <v>203.0</v>
      </c>
      <c r="B41" s="28" t="s">
        <v>62642</v>
      </c>
      <c r="C41" s="27">
        <v>200.0</v>
      </c>
      <c r="D41" s="28" t="s">
        <v>62643</v>
      </c>
      <c r="E41" s="28" t="s">
        <v>62644</v>
      </c>
      <c r="F41" s="29">
        <v>19.0</v>
      </c>
      <c r="G41" s="27">
        <v>2.00030191E8</v>
      </c>
    </row>
    <row r="42" ht="12.75" customHeight="1">
      <c r="A42" s="31">
        <v>203.0</v>
      </c>
      <c r="B42" s="32" t="s">
        <v>62645</v>
      </c>
      <c r="C42" s="31">
        <v>200.0</v>
      </c>
      <c r="D42" s="32" t="s">
        <v>62646</v>
      </c>
      <c r="E42" s="32" t="s">
        <v>62647</v>
      </c>
      <c r="F42" s="33">
        <v>22.0</v>
      </c>
      <c r="G42" s="31">
        <v>2.00030225E8</v>
      </c>
    </row>
    <row r="43" ht="12.75" customHeight="1">
      <c r="A43" s="27">
        <v>203.0</v>
      </c>
      <c r="B43" s="28" t="s">
        <v>62648</v>
      </c>
      <c r="C43" s="27">
        <v>200.0</v>
      </c>
      <c r="D43" s="28" t="s">
        <v>62649</v>
      </c>
      <c r="E43" s="28" t="s">
        <v>62650</v>
      </c>
      <c r="F43" s="29">
        <v>25.0</v>
      </c>
      <c r="G43" s="27">
        <v>2.00030254E8</v>
      </c>
    </row>
    <row r="44" ht="12.75" customHeight="1">
      <c r="A44" s="31">
        <v>203.0</v>
      </c>
      <c r="B44" s="32" t="s">
        <v>62651</v>
      </c>
      <c r="C44" s="31">
        <v>200.0</v>
      </c>
      <c r="D44" s="32" t="s">
        <v>62652</v>
      </c>
      <c r="E44" s="32" t="s">
        <v>62653</v>
      </c>
      <c r="F44" s="33">
        <v>28.0</v>
      </c>
      <c r="G44" s="31">
        <v>2.00030283E8</v>
      </c>
    </row>
    <row r="45" ht="12.75" customHeight="1">
      <c r="A45" s="27">
        <v>203.0</v>
      </c>
      <c r="B45" s="28" t="s">
        <v>62654</v>
      </c>
      <c r="C45" s="27">
        <v>200.0</v>
      </c>
      <c r="D45" s="28" t="s">
        <v>62655</v>
      </c>
      <c r="E45" s="28" t="s">
        <v>62656</v>
      </c>
      <c r="F45" s="29">
        <v>31.0</v>
      </c>
      <c r="G45" s="27">
        <v>2.00030317E8</v>
      </c>
    </row>
    <row r="46" ht="12.75" customHeight="1">
      <c r="A46" s="31">
        <v>304.0</v>
      </c>
      <c r="B46" s="32" t="s">
        <v>62657</v>
      </c>
      <c r="C46" s="31">
        <v>200.0</v>
      </c>
      <c r="D46" s="32" t="s">
        <v>62658</v>
      </c>
      <c r="E46" s="32" t="s">
        <v>62659</v>
      </c>
      <c r="F46" s="33">
        <v>4.0</v>
      </c>
      <c r="G46" s="31">
        <v>2.00040044E8</v>
      </c>
    </row>
    <row r="47" ht="12.75" customHeight="1">
      <c r="A47" s="27">
        <v>304.0</v>
      </c>
      <c r="B47" s="28" t="s">
        <v>62660</v>
      </c>
      <c r="C47" s="27">
        <v>200.0</v>
      </c>
      <c r="D47" s="28" t="s">
        <v>62661</v>
      </c>
      <c r="E47" s="28" t="s">
        <v>62662</v>
      </c>
      <c r="F47" s="29">
        <v>10.0</v>
      </c>
      <c r="G47" s="27">
        <v>2.00040107E8</v>
      </c>
    </row>
    <row r="48" ht="12.75" customHeight="1">
      <c r="A48" s="31">
        <v>304.0</v>
      </c>
      <c r="B48" s="32" t="s">
        <v>62663</v>
      </c>
      <c r="C48" s="31">
        <v>200.0</v>
      </c>
      <c r="D48" s="32" t="s">
        <v>62664</v>
      </c>
      <c r="E48" s="32" t="s">
        <v>62665</v>
      </c>
      <c r="F48" s="33">
        <v>16.0</v>
      </c>
      <c r="G48" s="31">
        <v>2.00040165E8</v>
      </c>
    </row>
    <row r="49" ht="12.75" customHeight="1">
      <c r="A49" s="27">
        <v>304.0</v>
      </c>
      <c r="B49" s="28" t="s">
        <v>62666</v>
      </c>
      <c r="C49" s="27">
        <v>200.0</v>
      </c>
      <c r="D49" s="28" t="s">
        <v>62667</v>
      </c>
      <c r="E49" s="28" t="s">
        <v>62668</v>
      </c>
      <c r="F49" s="29">
        <v>22.0</v>
      </c>
      <c r="G49" s="27">
        <v>2.00040228E8</v>
      </c>
    </row>
    <row r="50" ht="12.75" customHeight="1">
      <c r="A50" s="31">
        <v>304.0</v>
      </c>
      <c r="B50" s="32" t="s">
        <v>62669</v>
      </c>
      <c r="C50" s="31">
        <v>200.0</v>
      </c>
      <c r="D50" s="32" t="s">
        <v>62670</v>
      </c>
      <c r="E50" s="32" t="s">
        <v>62671</v>
      </c>
      <c r="F50" s="33">
        <v>67.0</v>
      </c>
      <c r="G50" s="31">
        <v>2.00040673E8</v>
      </c>
    </row>
    <row r="51" ht="12.75" customHeight="1">
      <c r="A51" s="27">
        <v>306.0</v>
      </c>
      <c r="B51" s="28" t="s">
        <v>62672</v>
      </c>
      <c r="C51" s="27">
        <v>200.0</v>
      </c>
      <c r="D51" s="28" t="s">
        <v>62673</v>
      </c>
      <c r="E51" s="28" t="s">
        <v>62674</v>
      </c>
      <c r="F51" s="29">
        <v>7.0</v>
      </c>
      <c r="G51" s="27">
        <v>2.00060079E8</v>
      </c>
    </row>
    <row r="52" ht="12.75" customHeight="1">
      <c r="A52" s="31">
        <v>306.0</v>
      </c>
      <c r="B52" s="32" t="s">
        <v>62675</v>
      </c>
      <c r="C52" s="31">
        <v>200.0</v>
      </c>
      <c r="D52" s="32" t="s">
        <v>62676</v>
      </c>
      <c r="E52" s="32" t="s">
        <v>62677</v>
      </c>
      <c r="F52" s="33">
        <v>13.0</v>
      </c>
      <c r="G52" s="31">
        <v>2.00060132E8</v>
      </c>
    </row>
    <row r="53" ht="12.75" customHeight="1">
      <c r="A53" s="27">
        <v>306.0</v>
      </c>
      <c r="B53" s="28" t="s">
        <v>62678</v>
      </c>
      <c r="C53" s="27">
        <v>200.0</v>
      </c>
      <c r="D53" s="28" t="s">
        <v>62679</v>
      </c>
      <c r="E53" s="28" t="s">
        <v>62680</v>
      </c>
      <c r="F53" s="29">
        <v>22.0</v>
      </c>
      <c r="G53" s="27">
        <v>2.00060224E8</v>
      </c>
    </row>
    <row r="54" ht="12.75" customHeight="1">
      <c r="A54" s="31">
        <v>306.0</v>
      </c>
      <c r="B54" s="32" t="s">
        <v>62681</v>
      </c>
      <c r="C54" s="31">
        <v>200.0</v>
      </c>
      <c r="D54" s="32" t="s">
        <v>62682</v>
      </c>
      <c r="E54" s="32" t="s">
        <v>62683</v>
      </c>
      <c r="F54" s="33">
        <v>25.0</v>
      </c>
      <c r="G54" s="31">
        <v>2.00060253E8</v>
      </c>
    </row>
    <row r="55" ht="12.75" customHeight="1">
      <c r="A55" s="27">
        <v>306.0</v>
      </c>
      <c r="B55" s="28" t="s">
        <v>62684</v>
      </c>
      <c r="C55" s="27">
        <v>200.0</v>
      </c>
      <c r="D55" s="28" t="s">
        <v>62685</v>
      </c>
      <c r="E55" s="28" t="s">
        <v>62686</v>
      </c>
      <c r="F55" s="29">
        <v>31.0</v>
      </c>
      <c r="G55" s="27">
        <v>2.00060316E8</v>
      </c>
    </row>
    <row r="56" ht="12.75" customHeight="1">
      <c r="A56" s="31">
        <v>306.0</v>
      </c>
      <c r="B56" s="32" t="s">
        <v>62687</v>
      </c>
      <c r="C56" s="31">
        <v>200.0</v>
      </c>
      <c r="D56" s="32" t="s">
        <v>62688</v>
      </c>
      <c r="E56" s="32" t="s">
        <v>62689</v>
      </c>
      <c r="F56" s="33">
        <v>34.0</v>
      </c>
      <c r="G56" s="31">
        <v>2.00060345E8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306.0</v>
      </c>
      <c r="B1" s="28" t="s">
        <v>62690</v>
      </c>
      <c r="C1" s="27">
        <v>200.0</v>
      </c>
      <c r="D1" s="28" t="s">
        <v>62691</v>
      </c>
      <c r="E1" s="28" t="s">
        <v>62692</v>
      </c>
      <c r="F1" s="29">
        <v>35.0</v>
      </c>
      <c r="G1" s="27">
        <v>2.00060358E8</v>
      </c>
    </row>
    <row r="2" ht="12.75" customHeight="1">
      <c r="A2" s="31">
        <v>306.0</v>
      </c>
      <c r="B2" s="32" t="s">
        <v>62693</v>
      </c>
      <c r="C2" s="31">
        <v>200.0</v>
      </c>
      <c r="D2" s="32" t="s">
        <v>62694</v>
      </c>
      <c r="E2" s="32" t="s">
        <v>62695</v>
      </c>
      <c r="F2" s="33">
        <v>58.0</v>
      </c>
      <c r="G2" s="31">
        <v>2.00060587E8</v>
      </c>
    </row>
    <row r="3" ht="12.75" customHeight="1">
      <c r="A3" s="27">
        <v>306.0</v>
      </c>
      <c r="B3" s="28" t="s">
        <v>62696</v>
      </c>
      <c r="C3" s="27">
        <v>200.0</v>
      </c>
      <c r="D3" s="28" t="s">
        <v>62697</v>
      </c>
      <c r="E3" s="28" t="s">
        <v>62698</v>
      </c>
      <c r="F3" s="29">
        <v>64.0</v>
      </c>
      <c r="G3" s="27">
        <v>2.0006064E8</v>
      </c>
    </row>
    <row r="4" ht="12.75" customHeight="1">
      <c r="A4" s="31">
        <v>306.0</v>
      </c>
      <c r="B4" s="32" t="s">
        <v>62699</v>
      </c>
      <c r="C4" s="31">
        <v>200.0</v>
      </c>
      <c r="D4" s="32" t="s">
        <v>62700</v>
      </c>
      <c r="E4" s="32" t="s">
        <v>62701</v>
      </c>
      <c r="F4" s="33">
        <v>67.0</v>
      </c>
      <c r="G4" s="31">
        <v>2.00060679E8</v>
      </c>
    </row>
    <row r="5" ht="12.75" customHeight="1">
      <c r="A5" s="27">
        <v>306.0</v>
      </c>
      <c r="B5" s="28" t="s">
        <v>62702</v>
      </c>
      <c r="C5" s="27">
        <v>200.0</v>
      </c>
      <c r="D5" s="28" t="s">
        <v>62703</v>
      </c>
      <c r="E5" s="28" t="s">
        <v>62704</v>
      </c>
      <c r="F5" s="29">
        <v>70.0</v>
      </c>
      <c r="G5" s="27">
        <v>2.00060703E8</v>
      </c>
    </row>
    <row r="6" ht="12.75" customHeight="1">
      <c r="A6" s="31">
        <v>306.0</v>
      </c>
      <c r="B6" s="32" t="s">
        <v>62705</v>
      </c>
      <c r="C6" s="31">
        <v>200.0</v>
      </c>
      <c r="D6" s="32" t="s">
        <v>62706</v>
      </c>
      <c r="E6" s="32" t="s">
        <v>62707</v>
      </c>
      <c r="F6" s="33">
        <v>73.0</v>
      </c>
      <c r="G6" s="31">
        <v>2.00060732E8</v>
      </c>
    </row>
    <row r="7" ht="12.75" customHeight="1">
      <c r="A7" s="27">
        <v>306.0</v>
      </c>
      <c r="B7" s="28" t="s">
        <v>62708</v>
      </c>
      <c r="C7" s="27">
        <v>200.0</v>
      </c>
      <c r="D7" s="28" t="s">
        <v>62709</v>
      </c>
      <c r="E7" s="28" t="s">
        <v>62710</v>
      </c>
      <c r="F7" s="29">
        <v>76.0</v>
      </c>
      <c r="G7" s="27">
        <v>2.00060761E8</v>
      </c>
    </row>
    <row r="8" ht="12.75" customHeight="1">
      <c r="A8" s="31">
        <v>306.0</v>
      </c>
      <c r="B8" s="32" t="s">
        <v>62711</v>
      </c>
      <c r="C8" s="31">
        <v>200.0</v>
      </c>
      <c r="D8" s="32" t="s">
        <v>62712</v>
      </c>
      <c r="E8" s="32" t="s">
        <v>62713</v>
      </c>
      <c r="F8" s="33">
        <v>79.0</v>
      </c>
      <c r="G8" s="31">
        <v>2.0006079E8</v>
      </c>
    </row>
    <row r="9" ht="12.75" customHeight="1">
      <c r="A9" s="27">
        <v>306.0</v>
      </c>
      <c r="B9" s="28" t="s">
        <v>62714</v>
      </c>
      <c r="C9" s="27">
        <v>200.0</v>
      </c>
      <c r="D9" s="28" t="s">
        <v>62715</v>
      </c>
      <c r="E9" s="28" t="s">
        <v>62716</v>
      </c>
      <c r="F9" s="29">
        <v>82.0</v>
      </c>
      <c r="G9" s="27">
        <v>2.00060824E8</v>
      </c>
    </row>
    <row r="10" ht="12.75" customHeight="1">
      <c r="A10" s="31">
        <v>306.0</v>
      </c>
      <c r="B10" s="32" t="s">
        <v>62717</v>
      </c>
      <c r="C10" s="31">
        <v>200.0</v>
      </c>
      <c r="D10" s="32" t="s">
        <v>62718</v>
      </c>
      <c r="E10" s="32" t="s">
        <v>62719</v>
      </c>
      <c r="F10" s="33">
        <v>85.0</v>
      </c>
      <c r="G10" s="31">
        <v>2.00060853E8</v>
      </c>
    </row>
    <row r="11" ht="12.75" customHeight="1">
      <c r="A11" s="27">
        <v>306.0</v>
      </c>
      <c r="B11" s="28" t="s">
        <v>62720</v>
      </c>
      <c r="C11" s="27">
        <v>200.0</v>
      </c>
      <c r="D11" s="28" t="s">
        <v>62721</v>
      </c>
      <c r="E11" s="28" t="s">
        <v>62722</v>
      </c>
      <c r="F11" s="29">
        <v>94.0</v>
      </c>
      <c r="G11" s="27">
        <v>2.00060945E8</v>
      </c>
    </row>
    <row r="12" ht="12.75" customHeight="1">
      <c r="A12" s="31">
        <v>306.0</v>
      </c>
      <c r="B12" s="32" t="s">
        <v>62723</v>
      </c>
      <c r="C12" s="31">
        <v>200.0</v>
      </c>
      <c r="D12" s="32" t="s">
        <v>62724</v>
      </c>
      <c r="E12" s="32" t="s">
        <v>62725</v>
      </c>
      <c r="F12" s="33">
        <v>97.0</v>
      </c>
      <c r="G12" s="31">
        <v>2.00060974E8</v>
      </c>
    </row>
    <row r="13" ht="12.75" customHeight="1">
      <c r="A13" s="27">
        <v>306.0</v>
      </c>
      <c r="B13" s="28" t="s">
        <v>62726</v>
      </c>
      <c r="C13" s="27">
        <v>200.0</v>
      </c>
      <c r="D13" s="28" t="s">
        <v>62727</v>
      </c>
      <c r="E13" s="28" t="s">
        <v>62728</v>
      </c>
      <c r="F13" s="27">
        <v>109.0</v>
      </c>
      <c r="G13" s="27">
        <v>2.00061094E8</v>
      </c>
    </row>
    <row r="14" ht="12.75" customHeight="1">
      <c r="A14" s="31">
        <v>306.0</v>
      </c>
      <c r="B14" s="32" t="s">
        <v>62729</v>
      </c>
      <c r="C14" s="31">
        <v>200.0</v>
      </c>
      <c r="D14" s="32" t="s">
        <v>62730</v>
      </c>
      <c r="E14" s="32" t="s">
        <v>62731</v>
      </c>
      <c r="F14" s="31">
        <v>115.0</v>
      </c>
      <c r="G14" s="31">
        <v>2.00061157E8</v>
      </c>
    </row>
    <row r="15" ht="12.75" customHeight="1">
      <c r="A15" s="27">
        <v>306.0</v>
      </c>
      <c r="B15" s="28" t="s">
        <v>62732</v>
      </c>
      <c r="C15" s="27">
        <v>200.0</v>
      </c>
      <c r="D15" s="28" t="s">
        <v>62733</v>
      </c>
      <c r="E15" s="28" t="s">
        <v>62734</v>
      </c>
      <c r="F15" s="27">
        <v>130.0</v>
      </c>
      <c r="G15" s="27">
        <v>2.00061302E8</v>
      </c>
    </row>
    <row r="16" ht="12.75" customHeight="1">
      <c r="A16" s="31">
        <v>306.0</v>
      </c>
      <c r="B16" s="32" t="s">
        <v>62735</v>
      </c>
      <c r="C16" s="31">
        <v>200.0</v>
      </c>
      <c r="D16" s="32" t="s">
        <v>62736</v>
      </c>
      <c r="E16" s="32" t="s">
        <v>62737</v>
      </c>
      <c r="F16" s="31">
        <v>136.0</v>
      </c>
      <c r="G16" s="31">
        <v>2.0006136E8</v>
      </c>
    </row>
    <row r="17" ht="12.75" customHeight="1">
      <c r="A17" s="27">
        <v>306.0</v>
      </c>
      <c r="B17" s="28" t="s">
        <v>62738</v>
      </c>
      <c r="C17" s="27">
        <v>200.0</v>
      </c>
      <c r="D17" s="28" t="s">
        <v>62739</v>
      </c>
      <c r="E17" s="28" t="s">
        <v>62740</v>
      </c>
      <c r="F17" s="27">
        <v>145.0</v>
      </c>
      <c r="G17" s="27">
        <v>2.00061452E8</v>
      </c>
    </row>
    <row r="18" ht="12.75" customHeight="1">
      <c r="A18" s="31">
        <v>306.0</v>
      </c>
      <c r="B18" s="32" t="s">
        <v>62741</v>
      </c>
      <c r="C18" s="31">
        <v>200.0</v>
      </c>
      <c r="D18" s="32" t="s">
        <v>62742</v>
      </c>
      <c r="E18" s="32" t="s">
        <v>62743</v>
      </c>
      <c r="F18" s="31">
        <v>148.0</v>
      </c>
      <c r="G18" s="31">
        <v>2.00061481E8</v>
      </c>
    </row>
    <row r="19" ht="12.75" customHeight="1">
      <c r="A19" s="27">
        <v>306.0</v>
      </c>
      <c r="B19" s="28" t="s">
        <v>62744</v>
      </c>
      <c r="C19" s="27">
        <v>200.0</v>
      </c>
      <c r="D19" s="28" t="s">
        <v>62745</v>
      </c>
      <c r="E19" s="28" t="s">
        <v>62746</v>
      </c>
      <c r="F19" s="27">
        <v>151.0</v>
      </c>
      <c r="G19" s="27">
        <v>2.00061515E8</v>
      </c>
    </row>
    <row r="20" ht="12.75" customHeight="1">
      <c r="A20" s="31">
        <v>306.0</v>
      </c>
      <c r="B20" s="32" t="s">
        <v>62747</v>
      </c>
      <c r="C20" s="31">
        <v>200.0</v>
      </c>
      <c r="D20" s="32" t="s">
        <v>62748</v>
      </c>
      <c r="E20" s="32" t="s">
        <v>62749</v>
      </c>
      <c r="F20" s="31">
        <v>160.0</v>
      </c>
      <c r="G20" s="31">
        <v>2.00061607E8</v>
      </c>
    </row>
    <row r="21" ht="12.75" customHeight="1">
      <c r="A21" s="27">
        <v>306.0</v>
      </c>
      <c r="B21" s="28" t="s">
        <v>62750</v>
      </c>
      <c r="C21" s="27">
        <v>200.0</v>
      </c>
      <c r="D21" s="28" t="s">
        <v>62751</v>
      </c>
      <c r="E21" s="28" t="s">
        <v>62752</v>
      </c>
      <c r="F21" s="27">
        <v>184.0</v>
      </c>
      <c r="G21" s="27">
        <v>2.00061849E8</v>
      </c>
    </row>
    <row r="22" ht="12.75" customHeight="1">
      <c r="A22" s="31">
        <v>306.0</v>
      </c>
      <c r="B22" s="32" t="s">
        <v>62753</v>
      </c>
      <c r="C22" s="31">
        <v>200.0</v>
      </c>
      <c r="D22" s="32" t="s">
        <v>62754</v>
      </c>
      <c r="E22" s="32" t="s">
        <v>62755</v>
      </c>
      <c r="F22" s="31">
        <v>196.0</v>
      </c>
      <c r="G22" s="31">
        <v>2.0006196E8</v>
      </c>
    </row>
    <row r="23" ht="12.75" customHeight="1">
      <c r="A23" s="27">
        <v>306.0</v>
      </c>
      <c r="B23" s="28" t="s">
        <v>62756</v>
      </c>
      <c r="C23" s="27">
        <v>200.0</v>
      </c>
      <c r="D23" s="28" t="s">
        <v>62757</v>
      </c>
      <c r="E23" s="28" t="s">
        <v>62758</v>
      </c>
      <c r="F23" s="27">
        <v>217.0</v>
      </c>
      <c r="G23" s="27">
        <v>2.00062172E8</v>
      </c>
    </row>
    <row r="24" ht="12.75" customHeight="1">
      <c r="A24" s="31">
        <v>306.0</v>
      </c>
      <c r="B24" s="32" t="s">
        <v>62759</v>
      </c>
      <c r="C24" s="31">
        <v>200.0</v>
      </c>
      <c r="D24" s="32" t="s">
        <v>62760</v>
      </c>
      <c r="E24" s="32" t="s">
        <v>62761</v>
      </c>
      <c r="F24" s="31">
        <v>232.0</v>
      </c>
      <c r="G24" s="31">
        <v>2.00062327E8</v>
      </c>
    </row>
    <row r="25" ht="12.75" customHeight="1">
      <c r="A25" s="27">
        <v>309.0</v>
      </c>
      <c r="B25" s="28" t="s">
        <v>62762</v>
      </c>
      <c r="C25" s="27">
        <v>200.0</v>
      </c>
      <c r="D25" s="28" t="s">
        <v>62763</v>
      </c>
      <c r="E25" s="28" t="s">
        <v>62764</v>
      </c>
      <c r="F25" s="29">
        <v>10.0</v>
      </c>
      <c r="G25" s="27">
        <v>2.00090102E8</v>
      </c>
    </row>
    <row r="26" ht="12.75" customHeight="1">
      <c r="A26" s="31">
        <v>309.0</v>
      </c>
      <c r="B26" s="32" t="s">
        <v>62765</v>
      </c>
      <c r="C26" s="31">
        <v>200.0</v>
      </c>
      <c r="D26" s="32" t="s">
        <v>62766</v>
      </c>
      <c r="E26" s="32" t="s">
        <v>62767</v>
      </c>
      <c r="F26" s="33">
        <v>19.0</v>
      </c>
      <c r="G26" s="31">
        <v>2.00090199E8</v>
      </c>
    </row>
    <row r="27" ht="12.75" customHeight="1">
      <c r="A27" s="27">
        <v>309.0</v>
      </c>
      <c r="B27" s="28" t="s">
        <v>62768</v>
      </c>
      <c r="C27" s="27">
        <v>200.0</v>
      </c>
      <c r="D27" s="28" t="s">
        <v>62769</v>
      </c>
      <c r="E27" s="28" t="s">
        <v>62770</v>
      </c>
      <c r="F27" s="29">
        <v>22.0</v>
      </c>
      <c r="G27" s="27">
        <v>2.00090223E8</v>
      </c>
    </row>
    <row r="28" ht="12.75" customHeight="1">
      <c r="A28" s="31">
        <v>309.0</v>
      </c>
      <c r="B28" s="32" t="s">
        <v>62771</v>
      </c>
      <c r="C28" s="31">
        <v>200.0</v>
      </c>
      <c r="D28" s="32" t="s">
        <v>62772</v>
      </c>
      <c r="E28" s="32" t="s">
        <v>62773</v>
      </c>
      <c r="F28" s="33">
        <v>37.0</v>
      </c>
      <c r="G28" s="31">
        <v>2.00090373E8</v>
      </c>
    </row>
    <row r="29" ht="12.75" customHeight="1">
      <c r="A29" s="27">
        <v>309.0</v>
      </c>
      <c r="B29" s="28" t="s">
        <v>62774</v>
      </c>
      <c r="C29" s="27">
        <v>200.0</v>
      </c>
      <c r="D29" s="28" t="s">
        <v>62775</v>
      </c>
      <c r="E29" s="28" t="s">
        <v>62776</v>
      </c>
      <c r="F29" s="29">
        <v>43.0</v>
      </c>
      <c r="G29" s="27">
        <v>2.00090436E8</v>
      </c>
    </row>
    <row r="30" ht="12.75" customHeight="1">
      <c r="A30" s="31">
        <v>309.0</v>
      </c>
      <c r="B30" s="32" t="s">
        <v>62777</v>
      </c>
      <c r="C30" s="31">
        <v>200.0</v>
      </c>
      <c r="D30" s="32" t="s">
        <v>62778</v>
      </c>
      <c r="E30" s="32" t="s">
        <v>62779</v>
      </c>
      <c r="F30" s="33">
        <v>70.0</v>
      </c>
      <c r="G30" s="31">
        <v>2.00090702E8</v>
      </c>
    </row>
    <row r="31" ht="12.75" customHeight="1">
      <c r="A31" s="27">
        <v>309.0</v>
      </c>
      <c r="B31" s="28" t="s">
        <v>62780</v>
      </c>
      <c r="C31" s="27">
        <v>200.0</v>
      </c>
      <c r="D31" s="28" t="s">
        <v>62781</v>
      </c>
      <c r="E31" s="28" t="s">
        <v>62782</v>
      </c>
      <c r="F31" s="29">
        <v>82.0</v>
      </c>
      <c r="G31" s="27">
        <v>2.00090823E8</v>
      </c>
    </row>
    <row r="32" ht="12.75" customHeight="1">
      <c r="A32" s="31">
        <v>309.0</v>
      </c>
      <c r="B32" s="32" t="s">
        <v>62783</v>
      </c>
      <c r="C32" s="31">
        <v>200.0</v>
      </c>
      <c r="D32" s="32" t="s">
        <v>62784</v>
      </c>
      <c r="E32" s="32" t="s">
        <v>62785</v>
      </c>
      <c r="F32" s="33">
        <v>88.0</v>
      </c>
      <c r="G32" s="31">
        <v>2.00090881E8</v>
      </c>
    </row>
    <row r="33" ht="12.75" customHeight="1">
      <c r="A33" s="27">
        <v>309.0</v>
      </c>
      <c r="B33" s="28" t="s">
        <v>62786</v>
      </c>
      <c r="C33" s="27">
        <v>200.0</v>
      </c>
      <c r="D33" s="28" t="s">
        <v>62787</v>
      </c>
      <c r="E33" s="28" t="s">
        <v>62788</v>
      </c>
      <c r="F33" s="29">
        <v>94.0</v>
      </c>
      <c r="G33" s="27">
        <v>2.00090944E8</v>
      </c>
    </row>
    <row r="34" ht="12.75" customHeight="1">
      <c r="A34" s="31">
        <v>309.0</v>
      </c>
      <c r="B34" s="32" t="s">
        <v>62789</v>
      </c>
      <c r="C34" s="31">
        <v>200.0</v>
      </c>
      <c r="D34" s="32" t="s">
        <v>62790</v>
      </c>
      <c r="E34" s="32" t="s">
        <v>62791</v>
      </c>
      <c r="F34" s="31">
        <v>100.0</v>
      </c>
      <c r="G34" s="31">
        <v>2.00091006E8</v>
      </c>
    </row>
    <row r="35" ht="12.75" customHeight="1">
      <c r="A35" s="27">
        <v>610.0</v>
      </c>
      <c r="B35" s="28" t="s">
        <v>62792</v>
      </c>
      <c r="C35" s="27">
        <v>200.0</v>
      </c>
      <c r="D35" s="28" t="s">
        <v>62793</v>
      </c>
      <c r="E35" s="28" t="s">
        <v>62794</v>
      </c>
      <c r="F35" s="29">
        <v>4.0</v>
      </c>
      <c r="G35" s="27">
        <v>2.00100047E8</v>
      </c>
    </row>
    <row r="36" ht="12.75" customHeight="1">
      <c r="A36" s="31">
        <v>610.0</v>
      </c>
      <c r="B36" s="32" t="s">
        <v>62795</v>
      </c>
      <c r="C36" s="31">
        <v>200.0</v>
      </c>
      <c r="D36" s="32" t="s">
        <v>62796</v>
      </c>
      <c r="E36" s="32" t="s">
        <v>62797</v>
      </c>
      <c r="F36" s="33">
        <v>13.0</v>
      </c>
      <c r="G36" s="31">
        <v>2.00100139E8</v>
      </c>
    </row>
    <row r="37" ht="12.75" customHeight="1">
      <c r="A37" s="27">
        <v>610.0</v>
      </c>
      <c r="B37" s="28" t="s">
        <v>62798</v>
      </c>
      <c r="C37" s="27">
        <v>200.0</v>
      </c>
      <c r="D37" s="28" t="s">
        <v>62799</v>
      </c>
      <c r="E37" s="28" t="s">
        <v>62800</v>
      </c>
      <c r="F37" s="29">
        <v>22.0</v>
      </c>
      <c r="G37" s="27">
        <v>2.00100221E8</v>
      </c>
    </row>
    <row r="38" ht="12.75" customHeight="1">
      <c r="A38" s="31">
        <v>610.0</v>
      </c>
      <c r="B38" s="32" t="s">
        <v>62801</v>
      </c>
      <c r="C38" s="31">
        <v>200.0</v>
      </c>
      <c r="D38" s="32" t="s">
        <v>62802</v>
      </c>
      <c r="E38" s="32" t="s">
        <v>62803</v>
      </c>
      <c r="F38" s="33">
        <v>40.0</v>
      </c>
      <c r="G38" s="31">
        <v>2.00100405E8</v>
      </c>
    </row>
    <row r="39" ht="12.75" customHeight="1">
      <c r="A39" s="27">
        <v>610.0</v>
      </c>
      <c r="B39" s="28" t="s">
        <v>62804</v>
      </c>
      <c r="C39" s="27">
        <v>200.0</v>
      </c>
      <c r="D39" s="28" t="s">
        <v>62805</v>
      </c>
      <c r="E39" s="28" t="s">
        <v>62806</v>
      </c>
      <c r="F39" s="29">
        <v>43.0</v>
      </c>
      <c r="G39" s="27">
        <v>2.00100434E8</v>
      </c>
    </row>
    <row r="40" ht="12.75" customHeight="1">
      <c r="A40" s="31">
        <v>610.0</v>
      </c>
      <c r="B40" s="32" t="s">
        <v>62807</v>
      </c>
      <c r="C40" s="31">
        <v>200.0</v>
      </c>
      <c r="D40" s="32" t="s">
        <v>62808</v>
      </c>
      <c r="E40" s="32" t="s">
        <v>62809</v>
      </c>
      <c r="F40" s="33">
        <v>46.0</v>
      </c>
      <c r="G40" s="31">
        <v>2.00100463E8</v>
      </c>
    </row>
    <row r="41" ht="12.75" customHeight="1">
      <c r="A41" s="27">
        <v>610.0</v>
      </c>
      <c r="B41" s="28" t="s">
        <v>62810</v>
      </c>
      <c r="C41" s="27">
        <v>200.0</v>
      </c>
      <c r="D41" s="28" t="s">
        <v>62811</v>
      </c>
      <c r="E41" s="28" t="s">
        <v>62812</v>
      </c>
      <c r="F41" s="29">
        <v>79.0</v>
      </c>
      <c r="G41" s="27">
        <v>2.00100797E8</v>
      </c>
    </row>
    <row r="42" ht="12.75" customHeight="1">
      <c r="A42" s="31">
        <v>610.0</v>
      </c>
      <c r="B42" s="32" t="s">
        <v>62813</v>
      </c>
      <c r="C42" s="31">
        <v>200.0</v>
      </c>
      <c r="D42" s="32" t="s">
        <v>62814</v>
      </c>
      <c r="E42" s="32" t="s">
        <v>62815</v>
      </c>
      <c r="F42" s="33">
        <v>88.0</v>
      </c>
      <c r="G42" s="31">
        <v>2.00100889E8</v>
      </c>
    </row>
    <row r="43" ht="12.75" customHeight="1">
      <c r="A43" s="27">
        <v>610.0</v>
      </c>
      <c r="B43" s="28" t="s">
        <v>62816</v>
      </c>
      <c r="C43" s="27">
        <v>200.0</v>
      </c>
      <c r="D43" s="28" t="s">
        <v>62817</v>
      </c>
      <c r="E43" s="28" t="s">
        <v>62818</v>
      </c>
      <c r="F43" s="29">
        <v>91.0</v>
      </c>
      <c r="G43" s="27">
        <v>2.00100913E8</v>
      </c>
    </row>
    <row r="44" ht="12.75" customHeight="1">
      <c r="A44" s="31">
        <v>610.0</v>
      </c>
      <c r="B44" s="32" t="s">
        <v>62819</v>
      </c>
      <c r="C44" s="31">
        <v>200.0</v>
      </c>
      <c r="D44" s="32" t="s">
        <v>62820</v>
      </c>
      <c r="E44" s="32" t="s">
        <v>62821</v>
      </c>
      <c r="F44" s="33">
        <v>97.0</v>
      </c>
      <c r="G44" s="31">
        <v>2.00100971E8</v>
      </c>
    </row>
    <row r="45" ht="12.75" customHeight="1">
      <c r="A45" s="27">
        <v>610.0</v>
      </c>
      <c r="B45" s="28" t="s">
        <v>62822</v>
      </c>
      <c r="C45" s="27">
        <v>200.0</v>
      </c>
      <c r="D45" s="28" t="s">
        <v>62823</v>
      </c>
      <c r="E45" s="28" t="s">
        <v>62824</v>
      </c>
      <c r="F45" s="27">
        <v>103.0</v>
      </c>
      <c r="G45" s="27">
        <v>2.00101033E8</v>
      </c>
    </row>
    <row r="46" ht="12.75" customHeight="1">
      <c r="A46" s="31">
        <v>610.0</v>
      </c>
      <c r="B46" s="32" t="s">
        <v>62825</v>
      </c>
      <c r="C46" s="31">
        <v>200.0</v>
      </c>
      <c r="D46" s="32" t="s">
        <v>62826</v>
      </c>
      <c r="E46" s="32" t="s">
        <v>62827</v>
      </c>
      <c r="F46" s="31">
        <v>115.0</v>
      </c>
      <c r="G46" s="31">
        <v>2.00101154E8</v>
      </c>
    </row>
    <row r="47" ht="12.75" customHeight="1">
      <c r="A47" s="27">
        <v>610.0</v>
      </c>
      <c r="B47" s="28" t="s">
        <v>62828</v>
      </c>
      <c r="C47" s="27">
        <v>200.0</v>
      </c>
      <c r="D47" s="28" t="s">
        <v>62829</v>
      </c>
      <c r="E47" s="28" t="s">
        <v>62830</v>
      </c>
      <c r="F47" s="27">
        <v>118.0</v>
      </c>
      <c r="G47" s="27">
        <v>2.00101183E8</v>
      </c>
    </row>
    <row r="48" ht="12.75" customHeight="1">
      <c r="A48" s="31">
        <v>610.0</v>
      </c>
      <c r="B48" s="32" t="s">
        <v>62831</v>
      </c>
      <c r="C48" s="31">
        <v>200.0</v>
      </c>
      <c r="D48" s="32" t="s">
        <v>62832</v>
      </c>
      <c r="E48" s="32" t="s">
        <v>62833</v>
      </c>
      <c r="F48" s="31">
        <v>130.0</v>
      </c>
      <c r="G48" s="31">
        <v>2.00101309E8</v>
      </c>
    </row>
    <row r="49" ht="12.75" customHeight="1">
      <c r="A49" s="27">
        <v>610.0</v>
      </c>
      <c r="B49" s="28" t="s">
        <v>62834</v>
      </c>
      <c r="C49" s="27">
        <v>200.0</v>
      </c>
      <c r="D49" s="28" t="s">
        <v>62835</v>
      </c>
      <c r="E49" s="28" t="s">
        <v>62836</v>
      </c>
      <c r="F49" s="27">
        <v>133.0</v>
      </c>
      <c r="G49" s="27">
        <v>2.00101338E8</v>
      </c>
    </row>
    <row r="50" ht="12.75" customHeight="1">
      <c r="A50" s="31">
        <v>610.0</v>
      </c>
      <c r="B50" s="32" t="s">
        <v>62837</v>
      </c>
      <c r="C50" s="31">
        <v>200.0</v>
      </c>
      <c r="D50" s="32" t="s">
        <v>62838</v>
      </c>
      <c r="E50" s="32" t="s">
        <v>62839</v>
      </c>
      <c r="F50" s="31">
        <v>148.0</v>
      </c>
      <c r="G50" s="31">
        <v>2.00101488E8</v>
      </c>
    </row>
    <row r="51" ht="12.75" customHeight="1">
      <c r="A51" s="27">
        <v>610.0</v>
      </c>
      <c r="B51" s="28" t="s">
        <v>62840</v>
      </c>
      <c r="C51" s="27">
        <v>200.0</v>
      </c>
      <c r="D51" s="28" t="s">
        <v>62841</v>
      </c>
      <c r="E51" s="28" t="s">
        <v>62842</v>
      </c>
      <c r="F51" s="27">
        <v>154.0</v>
      </c>
      <c r="G51" s="27">
        <v>2.00101541E8</v>
      </c>
    </row>
    <row r="52" ht="12.75" customHeight="1">
      <c r="A52" s="31">
        <v>610.0</v>
      </c>
      <c r="B52" s="32" t="s">
        <v>62843</v>
      </c>
      <c r="C52" s="31">
        <v>200.0</v>
      </c>
      <c r="D52" s="32" t="s">
        <v>62844</v>
      </c>
      <c r="E52" s="32" t="s">
        <v>62845</v>
      </c>
      <c r="F52" s="31">
        <v>193.0</v>
      </c>
      <c r="G52" s="31">
        <v>2.00101938E8</v>
      </c>
    </row>
    <row r="53" ht="12.75" customHeight="1">
      <c r="A53" s="27">
        <v>610.0</v>
      </c>
      <c r="B53" s="28" t="s">
        <v>62846</v>
      </c>
      <c r="C53" s="27">
        <v>200.0</v>
      </c>
      <c r="D53" s="28" t="s">
        <v>62847</v>
      </c>
      <c r="E53" s="28" t="s">
        <v>62848</v>
      </c>
      <c r="F53" s="27">
        <v>199.0</v>
      </c>
      <c r="G53" s="27">
        <v>2.00101996E8</v>
      </c>
    </row>
    <row r="54" ht="12.75" customHeight="1">
      <c r="A54" s="31">
        <v>610.0</v>
      </c>
      <c r="B54" s="32" t="s">
        <v>62849</v>
      </c>
      <c r="C54" s="31">
        <v>200.0</v>
      </c>
      <c r="D54" s="32" t="s">
        <v>62850</v>
      </c>
      <c r="E54" s="32" t="s">
        <v>62851</v>
      </c>
      <c r="F54" s="31">
        <v>202.0</v>
      </c>
      <c r="G54" s="31">
        <v>2.00102029E8</v>
      </c>
    </row>
    <row r="55" ht="12.75" customHeight="1">
      <c r="A55" s="27">
        <v>610.0</v>
      </c>
      <c r="B55" s="28" t="s">
        <v>62852</v>
      </c>
      <c r="C55" s="27">
        <v>200.0</v>
      </c>
      <c r="D55" s="28" t="s">
        <v>62853</v>
      </c>
      <c r="E55" s="28" t="s">
        <v>62854</v>
      </c>
      <c r="F55" s="27">
        <v>208.0</v>
      </c>
      <c r="G55" s="27">
        <v>2.00102087E8</v>
      </c>
    </row>
    <row r="56" ht="12.75" customHeight="1">
      <c r="A56" s="31">
        <v>610.0</v>
      </c>
      <c r="B56" s="32" t="s">
        <v>62855</v>
      </c>
      <c r="C56" s="31">
        <v>200.0</v>
      </c>
      <c r="D56" s="32" t="s">
        <v>62856</v>
      </c>
      <c r="E56" s="32" t="s">
        <v>62857</v>
      </c>
      <c r="F56" s="31">
        <v>217.0</v>
      </c>
      <c r="G56" s="31">
        <v>2.00102179E8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610.0</v>
      </c>
      <c r="B1" s="28" t="s">
        <v>62858</v>
      </c>
      <c r="C1" s="27">
        <v>200.0</v>
      </c>
      <c r="D1" s="28" t="s">
        <v>62859</v>
      </c>
      <c r="E1" s="28" t="s">
        <v>62860</v>
      </c>
      <c r="F1" s="27">
        <v>232.0</v>
      </c>
      <c r="G1" s="27">
        <v>2.00102324E8</v>
      </c>
    </row>
    <row r="2" ht="12.75" customHeight="1">
      <c r="A2" s="31">
        <v>610.0</v>
      </c>
      <c r="B2" s="32" t="s">
        <v>62861</v>
      </c>
      <c r="C2" s="31">
        <v>200.0</v>
      </c>
      <c r="D2" s="32" t="s">
        <v>62862</v>
      </c>
      <c r="E2" s="32" t="s">
        <v>62863</v>
      </c>
      <c r="F2" s="31">
        <v>241.0</v>
      </c>
      <c r="G2" s="31">
        <v>2.00102416E8</v>
      </c>
    </row>
    <row r="3" ht="12.75" customHeight="1">
      <c r="A3" s="27">
        <v>610.0</v>
      </c>
      <c r="B3" s="28" t="s">
        <v>62864</v>
      </c>
      <c r="C3" s="27">
        <v>200.0</v>
      </c>
      <c r="D3" s="28" t="s">
        <v>62865</v>
      </c>
      <c r="E3" s="28" t="s">
        <v>62866</v>
      </c>
      <c r="F3" s="27">
        <v>247.0</v>
      </c>
      <c r="G3" s="27">
        <v>2.00102474E8</v>
      </c>
    </row>
    <row r="4" ht="12.75" customHeight="1">
      <c r="A4" s="31">
        <v>610.0</v>
      </c>
      <c r="B4" s="32" t="s">
        <v>62867</v>
      </c>
      <c r="C4" s="31">
        <v>200.0</v>
      </c>
      <c r="D4" s="32" t="s">
        <v>62868</v>
      </c>
      <c r="E4" s="32" t="s">
        <v>62869</v>
      </c>
      <c r="F4" s="31">
        <v>265.0</v>
      </c>
      <c r="G4" s="31">
        <v>2.00102658E8</v>
      </c>
    </row>
    <row r="5" ht="12.75" customHeight="1">
      <c r="A5" s="27">
        <v>610.0</v>
      </c>
      <c r="B5" s="28" t="s">
        <v>62870</v>
      </c>
      <c r="C5" s="27">
        <v>200.0</v>
      </c>
      <c r="D5" s="28" t="s">
        <v>62871</v>
      </c>
      <c r="E5" s="28" t="s">
        <v>62872</v>
      </c>
      <c r="F5" s="27">
        <v>268.0</v>
      </c>
      <c r="G5" s="27">
        <v>2.00102687E8</v>
      </c>
    </row>
    <row r="6" ht="12.75" customHeight="1">
      <c r="A6" s="31">
        <v>610.0</v>
      </c>
      <c r="B6" s="32" t="s">
        <v>62873</v>
      </c>
      <c r="C6" s="31">
        <v>200.0</v>
      </c>
      <c r="D6" s="32" t="s">
        <v>62874</v>
      </c>
      <c r="E6" s="32" t="s">
        <v>62875</v>
      </c>
      <c r="F6" s="31">
        <v>274.0</v>
      </c>
      <c r="G6" s="31">
        <v>2.0010274E8</v>
      </c>
    </row>
    <row r="7" ht="12.75" customHeight="1">
      <c r="A7" s="27">
        <v>610.0</v>
      </c>
      <c r="B7" s="28" t="s">
        <v>62876</v>
      </c>
      <c r="C7" s="27">
        <v>200.0</v>
      </c>
      <c r="D7" s="28" t="s">
        <v>62877</v>
      </c>
      <c r="E7" s="28" t="s">
        <v>62878</v>
      </c>
      <c r="F7" s="27">
        <v>277.0</v>
      </c>
      <c r="G7" s="27">
        <v>2.00102779E8</v>
      </c>
    </row>
    <row r="8" ht="12.75" customHeight="1">
      <c r="A8" s="31">
        <v>610.0</v>
      </c>
      <c r="B8" s="32" t="s">
        <v>62879</v>
      </c>
      <c r="C8" s="31">
        <v>200.0</v>
      </c>
      <c r="D8" s="32" t="s">
        <v>62880</v>
      </c>
      <c r="E8" s="32" t="s">
        <v>62881</v>
      </c>
      <c r="F8" s="31">
        <v>280.0</v>
      </c>
      <c r="G8" s="31">
        <v>2.00102803E8</v>
      </c>
    </row>
    <row r="9" ht="12.75" customHeight="1">
      <c r="A9" s="27">
        <v>610.0</v>
      </c>
      <c r="B9" s="28" t="s">
        <v>62882</v>
      </c>
      <c r="C9" s="27">
        <v>200.0</v>
      </c>
      <c r="D9" s="28" t="s">
        <v>62883</v>
      </c>
      <c r="E9" s="28" t="s">
        <v>62884</v>
      </c>
      <c r="F9" s="27">
        <v>298.0</v>
      </c>
      <c r="G9" s="27">
        <v>2.00102982E8</v>
      </c>
    </row>
    <row r="10" ht="12.75" customHeight="1">
      <c r="A10" s="31">
        <v>610.0</v>
      </c>
      <c r="B10" s="32" t="s">
        <v>62885</v>
      </c>
      <c r="C10" s="31">
        <v>200.0</v>
      </c>
      <c r="D10" s="32" t="s">
        <v>62886</v>
      </c>
      <c r="E10" s="32" t="s">
        <v>62887</v>
      </c>
      <c r="F10" s="31">
        <v>307.0</v>
      </c>
      <c r="G10" s="31">
        <v>2.00103073E8</v>
      </c>
    </row>
    <row r="11" ht="12.75" customHeight="1">
      <c r="A11" s="27">
        <v>112.0</v>
      </c>
      <c r="B11" s="28" t="s">
        <v>62888</v>
      </c>
      <c r="C11" s="27">
        <v>200.0</v>
      </c>
      <c r="D11" s="28" t="s">
        <v>62889</v>
      </c>
      <c r="E11" s="28" t="s">
        <v>62890</v>
      </c>
      <c r="F11" s="29">
        <v>4.0</v>
      </c>
      <c r="G11" s="27">
        <v>2.00120043E8</v>
      </c>
    </row>
    <row r="12" ht="12.75" customHeight="1">
      <c r="A12" s="31">
        <v>112.0</v>
      </c>
      <c r="B12" s="32" t="s">
        <v>62891</v>
      </c>
      <c r="C12" s="31">
        <v>200.0</v>
      </c>
      <c r="D12" s="32" t="s">
        <v>62892</v>
      </c>
      <c r="E12" s="32" t="s">
        <v>62893</v>
      </c>
      <c r="F12" s="33">
        <v>9.0</v>
      </c>
      <c r="G12" s="31">
        <v>2.00120098E8</v>
      </c>
    </row>
    <row r="13" ht="12.75" customHeight="1">
      <c r="A13" s="27">
        <v>112.0</v>
      </c>
      <c r="B13" s="28" t="s">
        <v>62894</v>
      </c>
      <c r="C13" s="27">
        <v>200.0</v>
      </c>
      <c r="D13" s="28" t="s">
        <v>62895</v>
      </c>
      <c r="E13" s="28" t="s">
        <v>62896</v>
      </c>
      <c r="F13" s="29">
        <v>10.0</v>
      </c>
      <c r="G13" s="27">
        <v>2.00120106E8</v>
      </c>
    </row>
    <row r="14" ht="12.75" customHeight="1">
      <c r="A14" s="31">
        <v>112.0</v>
      </c>
      <c r="B14" s="32" t="s">
        <v>62897</v>
      </c>
      <c r="C14" s="31">
        <v>200.0</v>
      </c>
      <c r="D14" s="32" t="s">
        <v>62898</v>
      </c>
      <c r="E14" s="32" t="s">
        <v>62899</v>
      </c>
      <c r="F14" s="33">
        <v>25.0</v>
      </c>
      <c r="G14" s="31">
        <v>2.00120256E8</v>
      </c>
    </row>
    <row r="15" ht="12.75" customHeight="1">
      <c r="A15" s="27">
        <v>112.0</v>
      </c>
      <c r="B15" s="28" t="s">
        <v>62900</v>
      </c>
      <c r="C15" s="27">
        <v>200.0</v>
      </c>
      <c r="D15" s="28" t="s">
        <v>62901</v>
      </c>
      <c r="E15" s="28" t="s">
        <v>62902</v>
      </c>
      <c r="F15" s="29">
        <v>43.0</v>
      </c>
      <c r="G15" s="27">
        <v>2.0012043E8</v>
      </c>
    </row>
    <row r="16" ht="12.75" customHeight="1">
      <c r="A16" s="31">
        <v>112.0</v>
      </c>
      <c r="B16" s="32" t="s">
        <v>62903</v>
      </c>
      <c r="C16" s="31">
        <v>200.0</v>
      </c>
      <c r="D16" s="32" t="s">
        <v>62904</v>
      </c>
      <c r="E16" s="32" t="s">
        <v>62905</v>
      </c>
      <c r="F16" s="33">
        <v>52.0</v>
      </c>
      <c r="G16" s="31">
        <v>2.00120522E8</v>
      </c>
    </row>
    <row r="17" ht="12.75" customHeight="1">
      <c r="A17" s="27">
        <v>112.0</v>
      </c>
      <c r="B17" s="28" t="s">
        <v>62906</v>
      </c>
      <c r="C17" s="27">
        <v>200.0</v>
      </c>
      <c r="D17" s="28" t="s">
        <v>62907</v>
      </c>
      <c r="E17" s="28" t="s">
        <v>62908</v>
      </c>
      <c r="F17" s="29">
        <v>67.0</v>
      </c>
      <c r="G17" s="27">
        <v>2.00120672E8</v>
      </c>
    </row>
    <row r="18" ht="12.75" customHeight="1">
      <c r="A18" s="31">
        <v>112.0</v>
      </c>
      <c r="B18" s="32" t="s">
        <v>62909</v>
      </c>
      <c r="C18" s="31">
        <v>200.0</v>
      </c>
      <c r="D18" s="32" t="s">
        <v>62910</v>
      </c>
      <c r="E18" s="32" t="s">
        <v>62911</v>
      </c>
      <c r="F18" s="33">
        <v>76.0</v>
      </c>
      <c r="G18" s="31">
        <v>2.00120764E8</v>
      </c>
    </row>
    <row r="19" ht="12.75" customHeight="1">
      <c r="A19" s="27">
        <v>112.0</v>
      </c>
      <c r="B19" s="28" t="s">
        <v>62912</v>
      </c>
      <c r="C19" s="27">
        <v>200.0</v>
      </c>
      <c r="D19" s="28" t="s">
        <v>62913</v>
      </c>
      <c r="E19" s="28" t="s">
        <v>62914</v>
      </c>
      <c r="F19" s="29">
        <v>79.0</v>
      </c>
      <c r="G19" s="27">
        <v>2.00120793E8</v>
      </c>
    </row>
    <row r="20" ht="12.75" customHeight="1">
      <c r="A20" s="31">
        <v>112.0</v>
      </c>
      <c r="B20" s="32" t="s">
        <v>62915</v>
      </c>
      <c r="C20" s="31">
        <v>200.0</v>
      </c>
      <c r="D20" s="32" t="s">
        <v>62916</v>
      </c>
      <c r="E20" s="32" t="s">
        <v>62917</v>
      </c>
      <c r="F20" s="33">
        <v>88.0</v>
      </c>
      <c r="G20" s="31">
        <v>2.00120885E8</v>
      </c>
    </row>
    <row r="21" ht="12.75" customHeight="1">
      <c r="A21" s="27">
        <v>112.0</v>
      </c>
      <c r="B21" s="28" t="s">
        <v>62918</v>
      </c>
      <c r="C21" s="27">
        <v>200.0</v>
      </c>
      <c r="D21" s="28" t="s">
        <v>62919</v>
      </c>
      <c r="E21" s="28" t="s">
        <v>62920</v>
      </c>
      <c r="F21" s="27">
        <v>103.0</v>
      </c>
      <c r="G21" s="27">
        <v>2.00121039E8</v>
      </c>
    </row>
    <row r="22" ht="12.75" customHeight="1">
      <c r="A22" s="31">
        <v>112.0</v>
      </c>
      <c r="B22" s="32" t="s">
        <v>62921</v>
      </c>
      <c r="C22" s="31">
        <v>200.0</v>
      </c>
      <c r="D22" s="32" t="s">
        <v>62922</v>
      </c>
      <c r="E22" s="32" t="s">
        <v>62923</v>
      </c>
      <c r="F22" s="31">
        <v>109.0</v>
      </c>
      <c r="G22" s="31">
        <v>2.00121097E8</v>
      </c>
    </row>
    <row r="23" ht="12.75" customHeight="1">
      <c r="A23" s="27">
        <v>112.0</v>
      </c>
      <c r="B23" s="28" t="s">
        <v>62924</v>
      </c>
      <c r="C23" s="27">
        <v>200.0</v>
      </c>
      <c r="D23" s="28" t="s">
        <v>62925</v>
      </c>
      <c r="E23" s="28" t="s">
        <v>62926</v>
      </c>
      <c r="F23" s="27">
        <v>112.0</v>
      </c>
      <c r="G23" s="27">
        <v>2.00121121E8</v>
      </c>
    </row>
    <row r="24" ht="12.75" customHeight="1">
      <c r="A24" s="31">
        <v>112.0</v>
      </c>
      <c r="B24" s="32" t="s">
        <v>62927</v>
      </c>
      <c r="C24" s="31">
        <v>200.0</v>
      </c>
      <c r="D24" s="32" t="s">
        <v>62928</v>
      </c>
      <c r="E24" s="32" t="s">
        <v>62929</v>
      </c>
      <c r="F24" s="31">
        <v>124.0</v>
      </c>
      <c r="G24" s="31">
        <v>2.00121242E8</v>
      </c>
    </row>
    <row r="25" ht="12.75" customHeight="1">
      <c r="A25" s="27">
        <v>112.0</v>
      </c>
      <c r="B25" s="28" t="s">
        <v>62930</v>
      </c>
      <c r="C25" s="27">
        <v>200.0</v>
      </c>
      <c r="D25" s="28" t="s">
        <v>62931</v>
      </c>
      <c r="E25" s="28" t="s">
        <v>62932</v>
      </c>
      <c r="F25" s="27">
        <v>127.0</v>
      </c>
      <c r="G25" s="27">
        <v>2.00121271E8</v>
      </c>
    </row>
    <row r="26" ht="12.75" customHeight="1">
      <c r="A26" s="31">
        <v>112.0</v>
      </c>
      <c r="B26" s="32" t="s">
        <v>62933</v>
      </c>
      <c r="C26" s="31">
        <v>200.0</v>
      </c>
      <c r="D26" s="32" t="s">
        <v>62934</v>
      </c>
      <c r="E26" s="32" t="s">
        <v>62935</v>
      </c>
      <c r="F26" s="31">
        <v>136.0</v>
      </c>
      <c r="G26" s="31">
        <v>2.00121363E8</v>
      </c>
    </row>
    <row r="27" ht="12.75" customHeight="1">
      <c r="A27" s="27">
        <v>112.0</v>
      </c>
      <c r="B27" s="28" t="s">
        <v>62936</v>
      </c>
      <c r="C27" s="27">
        <v>200.0</v>
      </c>
      <c r="D27" s="28" t="s">
        <v>62937</v>
      </c>
      <c r="E27" s="28" t="s">
        <v>62938</v>
      </c>
      <c r="F27" s="27">
        <v>139.0</v>
      </c>
      <c r="G27" s="27">
        <v>2.00121392E8</v>
      </c>
    </row>
    <row r="28" ht="12.75" customHeight="1">
      <c r="A28" s="31">
        <v>112.0</v>
      </c>
      <c r="B28" s="32" t="s">
        <v>62939</v>
      </c>
      <c r="C28" s="31">
        <v>200.0</v>
      </c>
      <c r="D28" s="32" t="s">
        <v>62940</v>
      </c>
      <c r="E28" s="32" t="s">
        <v>62941</v>
      </c>
      <c r="F28" s="31">
        <v>142.0</v>
      </c>
      <c r="G28" s="31">
        <v>2.00121426E8</v>
      </c>
    </row>
    <row r="29" ht="12.75" customHeight="1">
      <c r="A29" s="27">
        <v>112.0</v>
      </c>
      <c r="B29" s="28" t="s">
        <v>62942</v>
      </c>
      <c r="C29" s="27">
        <v>200.0</v>
      </c>
      <c r="D29" s="28" t="s">
        <v>62943</v>
      </c>
      <c r="E29" s="28" t="s">
        <v>62944</v>
      </c>
      <c r="F29" s="27">
        <v>151.0</v>
      </c>
      <c r="G29" s="27">
        <v>2.00121518E8</v>
      </c>
    </row>
    <row r="30" ht="12.75" customHeight="1">
      <c r="A30" s="31">
        <v>112.0</v>
      </c>
      <c r="B30" s="32" t="s">
        <v>62945</v>
      </c>
      <c r="C30" s="31">
        <v>200.0</v>
      </c>
      <c r="D30" s="32" t="s">
        <v>62946</v>
      </c>
      <c r="E30" s="32" t="s">
        <v>62947</v>
      </c>
      <c r="F30" s="31">
        <v>154.0</v>
      </c>
      <c r="G30" s="31">
        <v>2.00121547E8</v>
      </c>
    </row>
    <row r="31" ht="12.75" customHeight="1">
      <c r="A31" s="27">
        <v>112.0</v>
      </c>
      <c r="B31" s="28" t="s">
        <v>62948</v>
      </c>
      <c r="C31" s="27">
        <v>200.0</v>
      </c>
      <c r="D31" s="28" t="s">
        <v>62949</v>
      </c>
      <c r="E31" s="28" t="s">
        <v>62950</v>
      </c>
      <c r="F31" s="27">
        <v>160.0</v>
      </c>
      <c r="G31" s="27">
        <v>2.001216E8</v>
      </c>
    </row>
    <row r="32" ht="12.75" customHeight="1">
      <c r="A32" s="31">
        <v>112.0</v>
      </c>
      <c r="B32" s="32" t="s">
        <v>62951</v>
      </c>
      <c r="C32" s="31">
        <v>200.0</v>
      </c>
      <c r="D32" s="32" t="s">
        <v>62952</v>
      </c>
      <c r="E32" s="32" t="s">
        <v>62953</v>
      </c>
      <c r="F32" s="31">
        <v>178.0</v>
      </c>
      <c r="G32" s="31">
        <v>2.00121789E8</v>
      </c>
    </row>
    <row r="33" ht="12.75" customHeight="1">
      <c r="A33" s="27">
        <v>112.0</v>
      </c>
      <c r="B33" s="28" t="s">
        <v>62954</v>
      </c>
      <c r="C33" s="27">
        <v>200.0</v>
      </c>
      <c r="D33" s="28" t="s">
        <v>62955</v>
      </c>
      <c r="E33" s="28" t="s">
        <v>62956</v>
      </c>
      <c r="F33" s="27">
        <v>181.0</v>
      </c>
      <c r="G33" s="27">
        <v>2.00121813E8</v>
      </c>
    </row>
    <row r="34" ht="12.75" customHeight="1">
      <c r="A34" s="31">
        <v>112.0</v>
      </c>
      <c r="B34" s="32" t="s">
        <v>62957</v>
      </c>
      <c r="C34" s="31">
        <v>200.0</v>
      </c>
      <c r="D34" s="32" t="s">
        <v>62958</v>
      </c>
      <c r="E34" s="32" t="s">
        <v>62959</v>
      </c>
      <c r="F34" s="31">
        <v>193.0</v>
      </c>
      <c r="G34" s="31">
        <v>2.00121934E8</v>
      </c>
    </row>
    <row r="35" ht="12.75" customHeight="1">
      <c r="A35" s="27">
        <v>113.0</v>
      </c>
      <c r="B35" s="28" t="s">
        <v>62960</v>
      </c>
      <c r="C35" s="27">
        <v>200.0</v>
      </c>
      <c r="D35" s="28" t="s">
        <v>62961</v>
      </c>
      <c r="E35" s="28" t="s">
        <v>62962</v>
      </c>
      <c r="F35" s="29">
        <v>4.0</v>
      </c>
      <c r="G35" s="27">
        <v>2.00130046E8</v>
      </c>
    </row>
    <row r="36" ht="12.75" customHeight="1">
      <c r="A36" s="31">
        <v>113.0</v>
      </c>
      <c r="B36" s="32" t="s">
        <v>62963</v>
      </c>
      <c r="C36" s="31">
        <v>200.0</v>
      </c>
      <c r="D36" s="32" t="s">
        <v>62964</v>
      </c>
      <c r="E36" s="32" t="s">
        <v>62965</v>
      </c>
      <c r="F36" s="33">
        <v>31.0</v>
      </c>
      <c r="G36" s="31">
        <v>2.00130312E8</v>
      </c>
    </row>
    <row r="37" ht="12.75" customHeight="1">
      <c r="A37" s="27">
        <v>113.0</v>
      </c>
      <c r="B37" s="28" t="s">
        <v>62966</v>
      </c>
      <c r="C37" s="27">
        <v>200.0</v>
      </c>
      <c r="D37" s="28" t="s">
        <v>62967</v>
      </c>
      <c r="E37" s="28" t="s">
        <v>62968</v>
      </c>
      <c r="F37" s="29">
        <v>64.0</v>
      </c>
      <c r="G37" s="27">
        <v>2.00130646E8</v>
      </c>
    </row>
    <row r="38" ht="12.75" customHeight="1">
      <c r="A38" s="31">
        <v>113.0</v>
      </c>
      <c r="B38" s="32" t="s">
        <v>62969</v>
      </c>
      <c r="C38" s="31">
        <v>200.0</v>
      </c>
      <c r="D38" s="32" t="s">
        <v>62970</v>
      </c>
      <c r="E38" s="32" t="s">
        <v>62971</v>
      </c>
      <c r="F38" s="33">
        <v>67.0</v>
      </c>
      <c r="G38" s="31">
        <v>2.00130675E8</v>
      </c>
    </row>
    <row r="39" ht="12.75" customHeight="1">
      <c r="A39" s="27">
        <v>113.0</v>
      </c>
      <c r="B39" s="28" t="s">
        <v>62972</v>
      </c>
      <c r="C39" s="27">
        <v>200.0</v>
      </c>
      <c r="D39" s="28" t="s">
        <v>62973</v>
      </c>
      <c r="E39" s="28" t="s">
        <v>62974</v>
      </c>
      <c r="F39" s="29">
        <v>76.0</v>
      </c>
      <c r="G39" s="27">
        <v>2.00130767E8</v>
      </c>
    </row>
    <row r="40" ht="12.75" customHeight="1">
      <c r="A40" s="31">
        <v>113.0</v>
      </c>
      <c r="B40" s="32" t="s">
        <v>62975</v>
      </c>
      <c r="C40" s="31">
        <v>200.0</v>
      </c>
      <c r="D40" s="32" t="s">
        <v>62976</v>
      </c>
      <c r="E40" s="32" t="s">
        <v>62977</v>
      </c>
      <c r="F40" s="33">
        <v>85.0</v>
      </c>
      <c r="G40" s="31">
        <v>2.00130859E8</v>
      </c>
    </row>
    <row r="41" ht="12.75" customHeight="1">
      <c r="A41" s="27">
        <v>113.0</v>
      </c>
      <c r="B41" s="28" t="s">
        <v>62978</v>
      </c>
      <c r="C41" s="27">
        <v>200.0</v>
      </c>
      <c r="D41" s="28" t="s">
        <v>62979</v>
      </c>
      <c r="E41" s="28" t="s">
        <v>62980</v>
      </c>
      <c r="F41" s="29">
        <v>88.0</v>
      </c>
      <c r="G41" s="27">
        <v>2.00130888E8</v>
      </c>
    </row>
    <row r="42" ht="12.75" customHeight="1">
      <c r="A42" s="31">
        <v>113.0</v>
      </c>
      <c r="B42" s="32" t="s">
        <v>62981</v>
      </c>
      <c r="C42" s="31">
        <v>200.0</v>
      </c>
      <c r="D42" s="32" t="s">
        <v>62982</v>
      </c>
      <c r="E42" s="32" t="s">
        <v>62983</v>
      </c>
      <c r="F42" s="33">
        <v>91.0</v>
      </c>
      <c r="G42" s="31">
        <v>2.00130912E8</v>
      </c>
    </row>
    <row r="43" ht="12.75" customHeight="1">
      <c r="A43" s="27">
        <v>113.0</v>
      </c>
      <c r="B43" s="28" t="s">
        <v>62984</v>
      </c>
      <c r="C43" s="27">
        <v>200.0</v>
      </c>
      <c r="D43" s="28" t="s">
        <v>62985</v>
      </c>
      <c r="E43" s="28" t="s">
        <v>62986</v>
      </c>
      <c r="F43" s="27">
        <v>106.0</v>
      </c>
      <c r="G43" s="27">
        <v>2.00131061E8</v>
      </c>
    </row>
    <row r="44" ht="12.75" customHeight="1">
      <c r="A44" s="31">
        <v>113.0</v>
      </c>
      <c r="B44" s="32" t="s">
        <v>62987</v>
      </c>
      <c r="C44" s="31">
        <v>200.0</v>
      </c>
      <c r="D44" s="32" t="s">
        <v>62988</v>
      </c>
      <c r="E44" s="32" t="s">
        <v>62989</v>
      </c>
      <c r="F44" s="31">
        <v>109.0</v>
      </c>
      <c r="G44" s="31">
        <v>2.0013109E8</v>
      </c>
    </row>
    <row r="45" ht="12.75" customHeight="1">
      <c r="A45" s="27">
        <v>113.0</v>
      </c>
      <c r="B45" s="28" t="s">
        <v>62990</v>
      </c>
      <c r="C45" s="27">
        <v>200.0</v>
      </c>
      <c r="D45" s="28" t="s">
        <v>62991</v>
      </c>
      <c r="E45" s="28" t="s">
        <v>62992</v>
      </c>
      <c r="F45" s="27">
        <v>124.0</v>
      </c>
      <c r="G45" s="27">
        <v>2.00131245E8</v>
      </c>
    </row>
    <row r="46" ht="12.75" customHeight="1">
      <c r="A46" s="31">
        <v>113.0</v>
      </c>
      <c r="B46" s="32" t="s">
        <v>62993</v>
      </c>
      <c r="C46" s="31">
        <v>200.0</v>
      </c>
      <c r="D46" s="32" t="s">
        <v>62994</v>
      </c>
      <c r="E46" s="32" t="s">
        <v>62995</v>
      </c>
      <c r="F46" s="31">
        <v>136.0</v>
      </c>
      <c r="G46" s="31">
        <v>2.00131366E8</v>
      </c>
    </row>
    <row r="47" ht="12.75" customHeight="1">
      <c r="A47" s="27">
        <v>113.0</v>
      </c>
      <c r="B47" s="28" t="s">
        <v>62996</v>
      </c>
      <c r="C47" s="27">
        <v>200.0</v>
      </c>
      <c r="D47" s="28" t="s">
        <v>62997</v>
      </c>
      <c r="E47" s="28" t="s">
        <v>62998</v>
      </c>
      <c r="F47" s="27">
        <v>142.0</v>
      </c>
      <c r="G47" s="27">
        <v>2.00131429E8</v>
      </c>
    </row>
    <row r="48" ht="12.75" customHeight="1">
      <c r="A48" s="31">
        <v>113.0</v>
      </c>
      <c r="B48" s="32" t="s">
        <v>62999</v>
      </c>
      <c r="C48" s="31">
        <v>200.0</v>
      </c>
      <c r="D48" s="32" t="s">
        <v>63000</v>
      </c>
      <c r="E48" s="32" t="s">
        <v>63001</v>
      </c>
      <c r="F48" s="31">
        <v>166.0</v>
      </c>
      <c r="G48" s="31">
        <v>2.00131661E8</v>
      </c>
    </row>
    <row r="49" ht="12.75" customHeight="1">
      <c r="A49" s="27">
        <v>113.0</v>
      </c>
      <c r="B49" s="28" t="s">
        <v>63002</v>
      </c>
      <c r="C49" s="27">
        <v>200.0</v>
      </c>
      <c r="D49" s="28" t="s">
        <v>63003</v>
      </c>
      <c r="E49" s="28" t="s">
        <v>63004</v>
      </c>
      <c r="F49" s="27">
        <v>169.0</v>
      </c>
      <c r="G49" s="27">
        <v>2.0013169E8</v>
      </c>
    </row>
    <row r="50" ht="12.75" customHeight="1">
      <c r="A50" s="31">
        <v>113.0</v>
      </c>
      <c r="B50" s="32" t="s">
        <v>63005</v>
      </c>
      <c r="C50" s="31">
        <v>200.0</v>
      </c>
      <c r="D50" s="32" t="s">
        <v>63006</v>
      </c>
      <c r="E50" s="32" t="s">
        <v>63007</v>
      </c>
      <c r="F50" s="31">
        <v>181.0</v>
      </c>
      <c r="G50" s="31">
        <v>2.00131816E8</v>
      </c>
    </row>
    <row r="51" ht="12.75" customHeight="1">
      <c r="A51" s="27">
        <v>113.0</v>
      </c>
      <c r="B51" s="28" t="s">
        <v>63008</v>
      </c>
      <c r="C51" s="27">
        <v>200.0</v>
      </c>
      <c r="D51" s="28" t="s">
        <v>63009</v>
      </c>
      <c r="E51" s="28" t="s">
        <v>63010</v>
      </c>
      <c r="F51" s="27">
        <v>187.0</v>
      </c>
      <c r="G51" s="27">
        <v>2.00131874E8</v>
      </c>
    </row>
    <row r="52" ht="12.75" customHeight="1">
      <c r="A52" s="31">
        <v>113.0</v>
      </c>
      <c r="B52" s="32" t="s">
        <v>63011</v>
      </c>
      <c r="C52" s="31">
        <v>200.0</v>
      </c>
      <c r="D52" s="32" t="s">
        <v>63012</v>
      </c>
      <c r="E52" s="32" t="s">
        <v>63013</v>
      </c>
      <c r="F52" s="31">
        <v>199.0</v>
      </c>
      <c r="G52" s="31">
        <v>2.00131995E8</v>
      </c>
    </row>
    <row r="53" ht="12.75" customHeight="1">
      <c r="A53" s="27">
        <v>113.0</v>
      </c>
      <c r="B53" s="28" t="s">
        <v>63014</v>
      </c>
      <c r="C53" s="27">
        <v>200.0</v>
      </c>
      <c r="D53" s="28" t="s">
        <v>63015</v>
      </c>
      <c r="E53" s="28" t="s">
        <v>63016</v>
      </c>
      <c r="F53" s="27">
        <v>202.0</v>
      </c>
      <c r="G53" s="27">
        <v>2.00132028E8</v>
      </c>
    </row>
    <row r="54" ht="12.75" customHeight="1">
      <c r="A54" s="31">
        <v>113.0</v>
      </c>
      <c r="B54" s="32" t="s">
        <v>63017</v>
      </c>
      <c r="C54" s="31">
        <v>200.0</v>
      </c>
      <c r="D54" s="32" t="s">
        <v>63018</v>
      </c>
      <c r="E54" s="32" t="s">
        <v>63019</v>
      </c>
      <c r="F54" s="31">
        <v>214.0</v>
      </c>
      <c r="G54" s="31">
        <v>2.00132149E8</v>
      </c>
    </row>
    <row r="55" ht="12.75" customHeight="1">
      <c r="A55" s="27">
        <v>215.0</v>
      </c>
      <c r="B55" s="28" t="s">
        <v>63020</v>
      </c>
      <c r="C55" s="27">
        <v>200.0</v>
      </c>
      <c r="D55" s="28" t="s">
        <v>63021</v>
      </c>
      <c r="E55" s="28" t="s">
        <v>63022</v>
      </c>
      <c r="F55" s="29">
        <v>16.0</v>
      </c>
      <c r="G55" s="27">
        <v>2.00150163E8</v>
      </c>
    </row>
    <row r="56" ht="12.75" customHeight="1">
      <c r="A56" s="31">
        <v>215.0</v>
      </c>
      <c r="B56" s="32" t="s">
        <v>63023</v>
      </c>
      <c r="C56" s="31">
        <v>200.0</v>
      </c>
      <c r="D56" s="32" t="s">
        <v>63024</v>
      </c>
      <c r="E56" s="32" t="s">
        <v>63025</v>
      </c>
      <c r="F56" s="33">
        <v>34.0</v>
      </c>
      <c r="G56" s="31">
        <v>2.00150347E8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63026</v>
      </c>
      <c r="C1" s="27">
        <v>200.0</v>
      </c>
      <c r="D1" s="28" t="s">
        <v>63027</v>
      </c>
      <c r="E1" s="28" t="s">
        <v>63028</v>
      </c>
      <c r="F1" s="29">
        <v>52.0</v>
      </c>
      <c r="G1" s="27">
        <v>2.00150521E8</v>
      </c>
    </row>
    <row r="2" ht="12.75" customHeight="1">
      <c r="A2" s="31">
        <v>215.0</v>
      </c>
      <c r="B2" s="32" t="s">
        <v>63029</v>
      </c>
      <c r="C2" s="31">
        <v>200.0</v>
      </c>
      <c r="D2" s="32" t="s">
        <v>63030</v>
      </c>
      <c r="E2" s="32" t="s">
        <v>63031</v>
      </c>
      <c r="F2" s="33">
        <v>58.0</v>
      </c>
      <c r="G2" s="31">
        <v>2.00150589E8</v>
      </c>
    </row>
    <row r="3" ht="12.75" customHeight="1">
      <c r="A3" s="27">
        <v>215.0</v>
      </c>
      <c r="B3" s="28" t="s">
        <v>63032</v>
      </c>
      <c r="C3" s="27">
        <v>200.0</v>
      </c>
      <c r="D3" s="28" t="s">
        <v>63033</v>
      </c>
      <c r="E3" s="28" t="s">
        <v>63034</v>
      </c>
      <c r="F3" s="29">
        <v>79.0</v>
      </c>
      <c r="G3" s="27">
        <v>2.00150792E8</v>
      </c>
    </row>
    <row r="4" ht="12.75" customHeight="1">
      <c r="A4" s="31">
        <v>215.0</v>
      </c>
      <c r="B4" s="32" t="s">
        <v>63035</v>
      </c>
      <c r="C4" s="31">
        <v>200.0</v>
      </c>
      <c r="D4" s="32" t="s">
        <v>63036</v>
      </c>
      <c r="E4" s="32" t="s">
        <v>63037</v>
      </c>
      <c r="F4" s="33">
        <v>97.0</v>
      </c>
      <c r="G4" s="31">
        <v>2.00150976E8</v>
      </c>
    </row>
    <row r="5" ht="12.75" customHeight="1">
      <c r="A5" s="27">
        <v>215.0</v>
      </c>
      <c r="B5" s="28" t="s">
        <v>63038</v>
      </c>
      <c r="C5" s="27">
        <v>200.0</v>
      </c>
      <c r="D5" s="28" t="s">
        <v>63039</v>
      </c>
      <c r="E5" s="28" t="s">
        <v>63040</v>
      </c>
      <c r="F5" s="27">
        <v>100.0</v>
      </c>
      <c r="G5" s="27">
        <v>2.00151009E8</v>
      </c>
    </row>
    <row r="6" ht="12.75" customHeight="1">
      <c r="A6" s="31">
        <v>215.0</v>
      </c>
      <c r="B6" s="32" t="s">
        <v>63041</v>
      </c>
      <c r="C6" s="31">
        <v>200.0</v>
      </c>
      <c r="D6" s="32" t="s">
        <v>63042</v>
      </c>
      <c r="E6" s="32" t="s">
        <v>63043</v>
      </c>
      <c r="F6" s="31">
        <v>121.0</v>
      </c>
      <c r="G6" s="31">
        <v>2.00151212E8</v>
      </c>
    </row>
    <row r="7" ht="12.75" customHeight="1">
      <c r="A7" s="27">
        <v>215.0</v>
      </c>
      <c r="B7" s="28" t="s">
        <v>63044</v>
      </c>
      <c r="C7" s="27">
        <v>200.0</v>
      </c>
      <c r="D7" s="28" t="s">
        <v>63045</v>
      </c>
      <c r="E7" s="28" t="s">
        <v>63046</v>
      </c>
      <c r="F7" s="27">
        <v>127.0</v>
      </c>
      <c r="G7" s="27">
        <v>2.0015127E8</v>
      </c>
    </row>
    <row r="8" ht="12.75" customHeight="1">
      <c r="A8" s="31">
        <v>215.0</v>
      </c>
      <c r="B8" s="32" t="s">
        <v>63047</v>
      </c>
      <c r="C8" s="31">
        <v>200.0</v>
      </c>
      <c r="D8" s="32" t="s">
        <v>63048</v>
      </c>
      <c r="E8" s="32" t="s">
        <v>63049</v>
      </c>
      <c r="F8" s="31">
        <v>130.0</v>
      </c>
      <c r="G8" s="31">
        <v>2.00151304E8</v>
      </c>
    </row>
    <row r="9" ht="12.75" customHeight="1">
      <c r="A9" s="27">
        <v>215.0</v>
      </c>
      <c r="B9" s="28" t="s">
        <v>63050</v>
      </c>
      <c r="C9" s="27">
        <v>200.0</v>
      </c>
      <c r="D9" s="28" t="s">
        <v>63051</v>
      </c>
      <c r="E9" s="28" t="s">
        <v>63052</v>
      </c>
      <c r="F9" s="27">
        <v>154.0</v>
      </c>
      <c r="G9" s="27">
        <v>2.00151546E8</v>
      </c>
    </row>
    <row r="10" ht="12.75" customHeight="1">
      <c r="A10" s="31">
        <v>215.0</v>
      </c>
      <c r="B10" s="32" t="s">
        <v>63053</v>
      </c>
      <c r="C10" s="31">
        <v>200.0</v>
      </c>
      <c r="D10" s="32" t="s">
        <v>63054</v>
      </c>
      <c r="E10" s="32" t="s">
        <v>63055</v>
      </c>
      <c r="F10" s="31">
        <v>160.0</v>
      </c>
      <c r="G10" s="31">
        <v>2.00151609E8</v>
      </c>
    </row>
    <row r="11" ht="12.75" customHeight="1">
      <c r="A11" s="27">
        <v>215.0</v>
      </c>
      <c r="B11" s="28" t="s">
        <v>63056</v>
      </c>
      <c r="C11" s="27">
        <v>200.0</v>
      </c>
      <c r="D11" s="28" t="s">
        <v>63057</v>
      </c>
      <c r="E11" s="28" t="s">
        <v>63058</v>
      </c>
      <c r="F11" s="27">
        <v>175.0</v>
      </c>
      <c r="G11" s="27">
        <v>2.00151759E8</v>
      </c>
    </row>
    <row r="12" ht="12.75" customHeight="1">
      <c r="A12" s="31">
        <v>215.0</v>
      </c>
      <c r="B12" s="32" t="s">
        <v>63059</v>
      </c>
      <c r="C12" s="31">
        <v>200.0</v>
      </c>
      <c r="D12" s="32" t="s">
        <v>63060</v>
      </c>
      <c r="E12" s="32" t="s">
        <v>63061</v>
      </c>
      <c r="F12" s="31">
        <v>181.0</v>
      </c>
      <c r="G12" s="31">
        <v>2.00151812E8</v>
      </c>
    </row>
    <row r="13" ht="12.75" customHeight="1">
      <c r="A13" s="27">
        <v>215.0</v>
      </c>
      <c r="B13" s="28" t="s">
        <v>63062</v>
      </c>
      <c r="C13" s="27">
        <v>200.0</v>
      </c>
      <c r="D13" s="28" t="s">
        <v>63063</v>
      </c>
      <c r="E13" s="28" t="s">
        <v>63064</v>
      </c>
      <c r="F13" s="27">
        <v>193.0</v>
      </c>
      <c r="G13" s="27">
        <v>2.00151933E8</v>
      </c>
    </row>
    <row r="14" ht="12.75" customHeight="1">
      <c r="A14" s="31">
        <v>215.0</v>
      </c>
      <c r="B14" s="32" t="s">
        <v>63065</v>
      </c>
      <c r="C14" s="31">
        <v>200.0</v>
      </c>
      <c r="D14" s="32" t="s">
        <v>63066</v>
      </c>
      <c r="E14" s="32" t="s">
        <v>63067</v>
      </c>
      <c r="F14" s="31">
        <v>199.0</v>
      </c>
      <c r="G14" s="31">
        <v>2.00151991E8</v>
      </c>
    </row>
    <row r="15" ht="12.75" customHeight="1">
      <c r="A15" s="27">
        <v>215.0</v>
      </c>
      <c r="B15" s="28" t="s">
        <v>63068</v>
      </c>
      <c r="C15" s="27">
        <v>200.0</v>
      </c>
      <c r="D15" s="28" t="s">
        <v>63069</v>
      </c>
      <c r="E15" s="28" t="s">
        <v>63070</v>
      </c>
      <c r="F15" s="27">
        <v>202.0</v>
      </c>
      <c r="G15" s="27">
        <v>2.00152024E8</v>
      </c>
    </row>
    <row r="16" ht="12.75" customHeight="1">
      <c r="A16" s="31">
        <v>215.0</v>
      </c>
      <c r="B16" s="32" t="s">
        <v>63071</v>
      </c>
      <c r="C16" s="31">
        <v>200.0</v>
      </c>
      <c r="D16" s="32" t="s">
        <v>63072</v>
      </c>
      <c r="E16" s="32" t="s">
        <v>63073</v>
      </c>
      <c r="F16" s="31">
        <v>211.0</v>
      </c>
      <c r="G16" s="31">
        <v>2.00152116E8</v>
      </c>
    </row>
    <row r="17" ht="12.75" customHeight="1">
      <c r="A17" s="27">
        <v>215.0</v>
      </c>
      <c r="B17" s="28" t="s">
        <v>63074</v>
      </c>
      <c r="C17" s="27">
        <v>200.0</v>
      </c>
      <c r="D17" s="28" t="s">
        <v>63075</v>
      </c>
      <c r="E17" s="28" t="s">
        <v>63076</v>
      </c>
      <c r="F17" s="27">
        <v>235.0</v>
      </c>
      <c r="G17" s="27">
        <v>2.00152358E8</v>
      </c>
    </row>
    <row r="18" ht="12.75" customHeight="1">
      <c r="A18" s="31">
        <v>215.0</v>
      </c>
      <c r="B18" s="32" t="s">
        <v>63077</v>
      </c>
      <c r="C18" s="31">
        <v>200.0</v>
      </c>
      <c r="D18" s="32" t="s">
        <v>63078</v>
      </c>
      <c r="E18" s="32" t="s">
        <v>63079</v>
      </c>
      <c r="F18" s="31">
        <v>238.0</v>
      </c>
      <c r="G18" s="31">
        <v>2.00152387E8</v>
      </c>
    </row>
    <row r="19" ht="12.75" customHeight="1">
      <c r="A19" s="27">
        <v>215.0</v>
      </c>
      <c r="B19" s="28" t="s">
        <v>63080</v>
      </c>
      <c r="C19" s="27">
        <v>200.0</v>
      </c>
      <c r="D19" s="28" t="s">
        <v>63081</v>
      </c>
      <c r="E19" s="28" t="s">
        <v>63082</v>
      </c>
      <c r="F19" s="27">
        <v>256.0</v>
      </c>
      <c r="G19" s="27">
        <v>2.00152561E8</v>
      </c>
    </row>
    <row r="20" ht="12.75" customHeight="1">
      <c r="A20" s="31">
        <v>215.0</v>
      </c>
      <c r="B20" s="32" t="s">
        <v>63083</v>
      </c>
      <c r="C20" s="31">
        <v>200.0</v>
      </c>
      <c r="D20" s="32" t="s">
        <v>63084</v>
      </c>
      <c r="E20" s="32" t="s">
        <v>63085</v>
      </c>
      <c r="F20" s="31">
        <v>268.0</v>
      </c>
      <c r="G20" s="31">
        <v>2.00152682E8</v>
      </c>
    </row>
    <row r="21" ht="12.75" customHeight="1">
      <c r="A21" s="27">
        <v>215.0</v>
      </c>
      <c r="B21" s="28" t="s">
        <v>63086</v>
      </c>
      <c r="C21" s="27">
        <v>200.0</v>
      </c>
      <c r="D21" s="28" t="s">
        <v>63087</v>
      </c>
      <c r="E21" s="28" t="s">
        <v>63088</v>
      </c>
      <c r="F21" s="27">
        <v>274.0</v>
      </c>
      <c r="G21" s="27">
        <v>2.00152745E8</v>
      </c>
    </row>
    <row r="22" ht="12.75" customHeight="1">
      <c r="A22" s="31">
        <v>215.0</v>
      </c>
      <c r="B22" s="32" t="s">
        <v>63089</v>
      </c>
      <c r="C22" s="31">
        <v>200.0</v>
      </c>
      <c r="D22" s="32" t="s">
        <v>63090</v>
      </c>
      <c r="E22" s="32" t="s">
        <v>63091</v>
      </c>
      <c r="F22" s="31">
        <v>319.0</v>
      </c>
      <c r="G22" s="31">
        <v>2.00153199E8</v>
      </c>
    </row>
    <row r="23" ht="12.75" customHeight="1">
      <c r="A23" s="27">
        <v>215.0</v>
      </c>
      <c r="B23" s="28" t="s">
        <v>63092</v>
      </c>
      <c r="C23" s="27">
        <v>200.0</v>
      </c>
      <c r="D23" s="28" t="s">
        <v>63093</v>
      </c>
      <c r="E23" s="28" t="s">
        <v>63094</v>
      </c>
      <c r="F23" s="27">
        <v>322.0</v>
      </c>
      <c r="G23" s="27">
        <v>2.00153223E8</v>
      </c>
    </row>
    <row r="24" ht="12.75" customHeight="1">
      <c r="A24" s="31">
        <v>215.0</v>
      </c>
      <c r="B24" s="32" t="s">
        <v>63095</v>
      </c>
      <c r="C24" s="31">
        <v>200.0</v>
      </c>
      <c r="D24" s="32" t="s">
        <v>63096</v>
      </c>
      <c r="E24" s="32" t="s">
        <v>63097</v>
      </c>
      <c r="F24" s="31">
        <v>358.0</v>
      </c>
      <c r="G24" s="31">
        <v>2.00153586E8</v>
      </c>
    </row>
    <row r="25" ht="12.75" customHeight="1">
      <c r="A25" s="27">
        <v>215.0</v>
      </c>
      <c r="B25" s="28" t="s">
        <v>63098</v>
      </c>
      <c r="C25" s="27">
        <v>200.0</v>
      </c>
      <c r="D25" s="28" t="s">
        <v>63099</v>
      </c>
      <c r="E25" s="28" t="s">
        <v>63100</v>
      </c>
      <c r="F25" s="27">
        <v>370.0</v>
      </c>
      <c r="G25" s="27">
        <v>2.00153702E8</v>
      </c>
    </row>
    <row r="26" ht="12.75" customHeight="1">
      <c r="A26" s="31">
        <v>215.0</v>
      </c>
      <c r="B26" s="32" t="s">
        <v>63101</v>
      </c>
      <c r="C26" s="31">
        <v>200.0</v>
      </c>
      <c r="D26" s="32" t="s">
        <v>63102</v>
      </c>
      <c r="E26" s="32" t="s">
        <v>63103</v>
      </c>
      <c r="F26" s="31">
        <v>376.0</v>
      </c>
      <c r="G26" s="31">
        <v>2.0015376E8</v>
      </c>
    </row>
    <row r="27" ht="12.75" customHeight="1">
      <c r="A27" s="27">
        <v>215.0</v>
      </c>
      <c r="B27" s="28" t="s">
        <v>63104</v>
      </c>
      <c r="C27" s="27">
        <v>200.0</v>
      </c>
      <c r="D27" s="28" t="s">
        <v>63105</v>
      </c>
      <c r="E27" s="28" t="s">
        <v>63106</v>
      </c>
      <c r="F27" s="27">
        <v>379.0</v>
      </c>
      <c r="G27" s="27">
        <v>2.00153799E8</v>
      </c>
    </row>
    <row r="28" ht="12.75" customHeight="1">
      <c r="A28" s="31">
        <v>215.0</v>
      </c>
      <c r="B28" s="32" t="s">
        <v>63107</v>
      </c>
      <c r="C28" s="31">
        <v>200.0</v>
      </c>
      <c r="D28" s="32" t="s">
        <v>63108</v>
      </c>
      <c r="E28" s="32" t="s">
        <v>63109</v>
      </c>
      <c r="F28" s="31">
        <v>382.0</v>
      </c>
      <c r="G28" s="31">
        <v>2.00153823E8</v>
      </c>
    </row>
    <row r="29" ht="12.75" customHeight="1">
      <c r="A29" s="27">
        <v>215.0</v>
      </c>
      <c r="B29" s="28" t="s">
        <v>63110</v>
      </c>
      <c r="C29" s="27">
        <v>200.0</v>
      </c>
      <c r="D29" s="28" t="s">
        <v>63111</v>
      </c>
      <c r="E29" s="28" t="s">
        <v>63112</v>
      </c>
      <c r="F29" s="27">
        <v>388.0</v>
      </c>
      <c r="G29" s="27">
        <v>2.00153881E8</v>
      </c>
    </row>
    <row r="30" ht="12.75" customHeight="1">
      <c r="A30" s="31">
        <v>215.0</v>
      </c>
      <c r="B30" s="32" t="s">
        <v>63113</v>
      </c>
      <c r="C30" s="31">
        <v>200.0</v>
      </c>
      <c r="D30" s="32" t="s">
        <v>63114</v>
      </c>
      <c r="E30" s="32" t="s">
        <v>63115</v>
      </c>
      <c r="F30" s="31">
        <v>394.0</v>
      </c>
      <c r="G30" s="31">
        <v>2.00153944E8</v>
      </c>
    </row>
    <row r="31" ht="12.75" customHeight="1">
      <c r="A31" s="27">
        <v>215.0</v>
      </c>
      <c r="B31" s="28" t="s">
        <v>63116</v>
      </c>
      <c r="C31" s="27">
        <v>200.0</v>
      </c>
      <c r="D31" s="28" t="s">
        <v>63117</v>
      </c>
      <c r="E31" s="28" t="s">
        <v>63118</v>
      </c>
      <c r="F31" s="27">
        <v>421.0</v>
      </c>
      <c r="G31" s="27">
        <v>2.00154219E8</v>
      </c>
    </row>
    <row r="32" ht="12.75" customHeight="1">
      <c r="A32" s="31">
        <v>215.0</v>
      </c>
      <c r="B32" s="32" t="s">
        <v>63119</v>
      </c>
      <c r="C32" s="31">
        <v>200.0</v>
      </c>
      <c r="D32" s="32" t="s">
        <v>63120</v>
      </c>
      <c r="E32" s="32" t="s">
        <v>63121</v>
      </c>
      <c r="F32" s="31">
        <v>427.0</v>
      </c>
      <c r="G32" s="31">
        <v>2.00154277E8</v>
      </c>
    </row>
    <row r="33" ht="12.75" customHeight="1">
      <c r="A33" s="27">
        <v>215.0</v>
      </c>
      <c r="B33" s="28" t="s">
        <v>63122</v>
      </c>
      <c r="C33" s="27">
        <v>200.0</v>
      </c>
      <c r="D33" s="28" t="s">
        <v>63123</v>
      </c>
      <c r="E33" s="28" t="s">
        <v>63124</v>
      </c>
      <c r="F33" s="27">
        <v>439.0</v>
      </c>
      <c r="G33" s="27">
        <v>2.00154398E8</v>
      </c>
    </row>
    <row r="34" ht="12.75" customHeight="1">
      <c r="A34" s="31">
        <v>215.0</v>
      </c>
      <c r="B34" s="32" t="s">
        <v>63125</v>
      </c>
      <c r="C34" s="31">
        <v>200.0</v>
      </c>
      <c r="D34" s="32" t="s">
        <v>63126</v>
      </c>
      <c r="E34" s="32" t="s">
        <v>63127</v>
      </c>
      <c r="F34" s="31">
        <v>448.0</v>
      </c>
      <c r="G34" s="31">
        <v>2.0015448E8</v>
      </c>
    </row>
    <row r="35" ht="12.75" customHeight="1">
      <c r="A35" s="27">
        <v>215.0</v>
      </c>
      <c r="B35" s="28" t="s">
        <v>63128</v>
      </c>
      <c r="C35" s="27">
        <v>200.0</v>
      </c>
      <c r="D35" s="28" t="s">
        <v>63129</v>
      </c>
      <c r="E35" s="28" t="s">
        <v>63130</v>
      </c>
      <c r="F35" s="27">
        <v>466.0</v>
      </c>
      <c r="G35" s="27">
        <v>2.00154664E8</v>
      </c>
    </row>
    <row r="36" ht="12.75" customHeight="1">
      <c r="A36" s="31">
        <v>215.0</v>
      </c>
      <c r="B36" s="32" t="s">
        <v>63131</v>
      </c>
      <c r="C36" s="31">
        <v>200.0</v>
      </c>
      <c r="D36" s="32" t="s">
        <v>63132</v>
      </c>
      <c r="E36" s="32" t="s">
        <v>63133</v>
      </c>
      <c r="F36" s="31">
        <v>481.0</v>
      </c>
      <c r="G36" s="31">
        <v>2.00154819E8</v>
      </c>
    </row>
    <row r="37" ht="12.75" customHeight="1">
      <c r="A37" s="27">
        <v>215.0</v>
      </c>
      <c r="B37" s="28" t="s">
        <v>63134</v>
      </c>
      <c r="C37" s="27">
        <v>200.0</v>
      </c>
      <c r="D37" s="28" t="s">
        <v>63135</v>
      </c>
      <c r="E37" s="28" t="s">
        <v>63136</v>
      </c>
      <c r="F37" s="27">
        <v>484.0</v>
      </c>
      <c r="G37" s="27">
        <v>2.00154848E8</v>
      </c>
    </row>
    <row r="38" ht="12.75" customHeight="1">
      <c r="A38" s="31">
        <v>215.0</v>
      </c>
      <c r="B38" s="32" t="s">
        <v>63137</v>
      </c>
      <c r="C38" s="31">
        <v>200.0</v>
      </c>
      <c r="D38" s="32" t="s">
        <v>63138</v>
      </c>
      <c r="E38" s="32" t="s">
        <v>63139</v>
      </c>
      <c r="F38" s="31">
        <v>487.0</v>
      </c>
      <c r="G38" s="31">
        <v>2.00154877E8</v>
      </c>
    </row>
    <row r="39" ht="12.75" customHeight="1">
      <c r="A39" s="27">
        <v>215.0</v>
      </c>
      <c r="B39" s="28" t="s">
        <v>63140</v>
      </c>
      <c r="C39" s="27">
        <v>200.0</v>
      </c>
      <c r="D39" s="28" t="s">
        <v>63141</v>
      </c>
      <c r="E39" s="28" t="s">
        <v>63142</v>
      </c>
      <c r="F39" s="27">
        <v>505.0</v>
      </c>
      <c r="G39" s="27">
        <v>2.0015505E8</v>
      </c>
    </row>
    <row r="40" ht="12.75" customHeight="1">
      <c r="A40" s="31">
        <v>215.0</v>
      </c>
      <c r="B40" s="32" t="s">
        <v>63143</v>
      </c>
      <c r="C40" s="31">
        <v>200.0</v>
      </c>
      <c r="D40" s="32" t="s">
        <v>63144</v>
      </c>
      <c r="E40" s="32" t="s">
        <v>63145</v>
      </c>
      <c r="F40" s="31">
        <v>511.0</v>
      </c>
      <c r="G40" s="31">
        <v>2.00155113E8</v>
      </c>
    </row>
    <row r="41" ht="12.75" customHeight="1">
      <c r="A41" s="27">
        <v>215.0</v>
      </c>
      <c r="B41" s="28" t="s">
        <v>63146</v>
      </c>
      <c r="C41" s="27">
        <v>200.0</v>
      </c>
      <c r="D41" s="28" t="s">
        <v>63147</v>
      </c>
      <c r="E41" s="28" t="s">
        <v>63148</v>
      </c>
      <c r="F41" s="27">
        <v>520.0</v>
      </c>
      <c r="G41" s="27">
        <v>2.00155205E8</v>
      </c>
    </row>
    <row r="42" ht="12.75" customHeight="1">
      <c r="A42" s="31">
        <v>215.0</v>
      </c>
      <c r="B42" s="32" t="s">
        <v>63149</v>
      </c>
      <c r="C42" s="31">
        <v>200.0</v>
      </c>
      <c r="D42" s="32" t="s">
        <v>63150</v>
      </c>
      <c r="E42" s="32" t="s">
        <v>63151</v>
      </c>
      <c r="F42" s="31">
        <v>529.0</v>
      </c>
      <c r="G42" s="31">
        <v>2.00155292E8</v>
      </c>
    </row>
    <row r="43" ht="12.75" customHeight="1">
      <c r="A43" s="27">
        <v>215.0</v>
      </c>
      <c r="B43" s="28" t="s">
        <v>63152</v>
      </c>
      <c r="C43" s="27">
        <v>200.0</v>
      </c>
      <c r="D43" s="28" t="s">
        <v>63153</v>
      </c>
      <c r="E43" s="28" t="s">
        <v>63154</v>
      </c>
      <c r="F43" s="27">
        <v>538.0</v>
      </c>
      <c r="G43" s="27">
        <v>2.00155384E8</v>
      </c>
    </row>
    <row r="44" ht="12.75" customHeight="1">
      <c r="A44" s="31">
        <v>215.0</v>
      </c>
      <c r="B44" s="32" t="s">
        <v>63155</v>
      </c>
      <c r="C44" s="31">
        <v>200.0</v>
      </c>
      <c r="D44" s="32" t="s">
        <v>63156</v>
      </c>
      <c r="E44" s="32" t="s">
        <v>63157</v>
      </c>
      <c r="F44" s="31">
        <v>541.0</v>
      </c>
      <c r="G44" s="31">
        <v>2.00155418E8</v>
      </c>
    </row>
    <row r="45" ht="12.75" customHeight="1">
      <c r="A45" s="27">
        <v>215.0</v>
      </c>
      <c r="B45" s="28" t="s">
        <v>63158</v>
      </c>
      <c r="C45" s="27">
        <v>200.0</v>
      </c>
      <c r="D45" s="28" t="s">
        <v>63159</v>
      </c>
      <c r="E45" s="28" t="s">
        <v>63160</v>
      </c>
      <c r="F45" s="27">
        <v>565.0</v>
      </c>
      <c r="G45" s="27">
        <v>2.0015565E8</v>
      </c>
    </row>
    <row r="46" ht="12.75" customHeight="1">
      <c r="A46" s="31">
        <v>215.0</v>
      </c>
      <c r="B46" s="32" t="s">
        <v>63161</v>
      </c>
      <c r="C46" s="31">
        <v>200.0</v>
      </c>
      <c r="D46" s="32" t="s">
        <v>63162</v>
      </c>
      <c r="E46" s="32" t="s">
        <v>63163</v>
      </c>
      <c r="F46" s="31">
        <v>568.0</v>
      </c>
      <c r="G46" s="31">
        <v>2.00155689E8</v>
      </c>
    </row>
    <row r="47" ht="12.75" customHeight="1">
      <c r="A47" s="27">
        <v>215.0</v>
      </c>
      <c r="B47" s="28" t="s">
        <v>63164</v>
      </c>
      <c r="C47" s="27">
        <v>200.0</v>
      </c>
      <c r="D47" s="28" t="s">
        <v>63165</v>
      </c>
      <c r="E47" s="28" t="s">
        <v>63166</v>
      </c>
      <c r="F47" s="27">
        <v>598.0</v>
      </c>
      <c r="G47" s="27">
        <v>2.00155984E8</v>
      </c>
    </row>
    <row r="48" ht="12.75" customHeight="1">
      <c r="A48" s="31">
        <v>215.0</v>
      </c>
      <c r="B48" s="32" t="s">
        <v>63167</v>
      </c>
      <c r="C48" s="31">
        <v>200.0</v>
      </c>
      <c r="D48" s="32" t="s">
        <v>63168</v>
      </c>
      <c r="E48" s="32" t="s">
        <v>63169</v>
      </c>
      <c r="F48" s="31">
        <v>604.0</v>
      </c>
      <c r="G48" s="31">
        <v>2.00156046E8</v>
      </c>
    </row>
    <row r="49" ht="12.75" customHeight="1">
      <c r="A49" s="27">
        <v>215.0</v>
      </c>
      <c r="B49" s="28" t="s">
        <v>63170</v>
      </c>
      <c r="C49" s="27">
        <v>200.0</v>
      </c>
      <c r="D49" s="28" t="s">
        <v>63171</v>
      </c>
      <c r="E49" s="28" t="s">
        <v>63172</v>
      </c>
      <c r="F49" s="27">
        <v>616.0</v>
      </c>
      <c r="G49" s="27">
        <v>2.00156167E8</v>
      </c>
    </row>
    <row r="50" ht="12.75" customHeight="1">
      <c r="A50" s="31">
        <v>215.0</v>
      </c>
      <c r="B50" s="32" t="s">
        <v>63173</v>
      </c>
      <c r="C50" s="31">
        <v>200.0</v>
      </c>
      <c r="D50" s="32" t="s">
        <v>63174</v>
      </c>
      <c r="E50" s="32" t="s">
        <v>63175</v>
      </c>
      <c r="F50" s="31">
        <v>622.0</v>
      </c>
      <c r="G50" s="31">
        <v>2.0015622E8</v>
      </c>
    </row>
    <row r="51" ht="12.75" customHeight="1">
      <c r="A51" s="27">
        <v>215.0</v>
      </c>
      <c r="B51" s="28" t="s">
        <v>63176</v>
      </c>
      <c r="C51" s="27">
        <v>200.0</v>
      </c>
      <c r="D51" s="28" t="s">
        <v>63177</v>
      </c>
      <c r="E51" s="28" t="s">
        <v>63178</v>
      </c>
      <c r="F51" s="27">
        <v>637.0</v>
      </c>
      <c r="G51" s="27">
        <v>2.0015637E8</v>
      </c>
    </row>
    <row r="52" ht="12.75" customHeight="1">
      <c r="A52" s="31">
        <v>215.0</v>
      </c>
      <c r="B52" s="32" t="s">
        <v>63179</v>
      </c>
      <c r="C52" s="31">
        <v>200.0</v>
      </c>
      <c r="D52" s="32" t="s">
        <v>63180</v>
      </c>
      <c r="E52" s="32" t="s">
        <v>63181</v>
      </c>
      <c r="F52" s="31">
        <v>640.0</v>
      </c>
      <c r="G52" s="31">
        <v>2.00156404E8</v>
      </c>
    </row>
    <row r="53" ht="12.75" customHeight="1">
      <c r="A53" s="27">
        <v>215.0</v>
      </c>
      <c r="B53" s="28" t="s">
        <v>63182</v>
      </c>
      <c r="C53" s="27">
        <v>200.0</v>
      </c>
      <c r="D53" s="28" t="s">
        <v>63183</v>
      </c>
      <c r="E53" s="28" t="s">
        <v>63184</v>
      </c>
      <c r="F53" s="27">
        <v>649.0</v>
      </c>
      <c r="G53" s="27">
        <v>2.00156491E8</v>
      </c>
    </row>
    <row r="54" ht="12.75" customHeight="1">
      <c r="A54" s="31">
        <v>215.0</v>
      </c>
      <c r="B54" s="32" t="s">
        <v>63185</v>
      </c>
      <c r="C54" s="31">
        <v>200.0</v>
      </c>
      <c r="D54" s="32" t="s">
        <v>63186</v>
      </c>
      <c r="E54" s="32" t="s">
        <v>63187</v>
      </c>
      <c r="F54" s="31">
        <v>652.0</v>
      </c>
      <c r="G54" s="31">
        <v>2.00156525E8</v>
      </c>
    </row>
    <row r="55" ht="12.75" customHeight="1">
      <c r="A55" s="27">
        <v>215.0</v>
      </c>
      <c r="B55" s="28" t="s">
        <v>63188</v>
      </c>
      <c r="C55" s="27">
        <v>200.0</v>
      </c>
      <c r="D55" s="28" t="s">
        <v>63189</v>
      </c>
      <c r="E55" s="28" t="s">
        <v>63190</v>
      </c>
      <c r="F55" s="27">
        <v>655.0</v>
      </c>
      <c r="G55" s="27">
        <v>2.00156554E8</v>
      </c>
    </row>
    <row r="56" ht="12.75" customHeight="1">
      <c r="A56" s="31">
        <v>215.0</v>
      </c>
      <c r="B56" s="32" t="s">
        <v>63191</v>
      </c>
      <c r="C56" s="31">
        <v>200.0</v>
      </c>
      <c r="D56" s="32" t="s">
        <v>63192</v>
      </c>
      <c r="E56" s="32" t="s">
        <v>63193</v>
      </c>
      <c r="F56" s="31">
        <v>658.0</v>
      </c>
      <c r="G56" s="31">
        <v>2.00156583E8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63194</v>
      </c>
      <c r="C1" s="27">
        <v>200.0</v>
      </c>
      <c r="D1" s="28" t="s">
        <v>63195</v>
      </c>
      <c r="E1" s="28" t="s">
        <v>63196</v>
      </c>
      <c r="F1" s="27">
        <v>667.0</v>
      </c>
      <c r="G1" s="27">
        <v>2.00156675E8</v>
      </c>
    </row>
    <row r="2" ht="12.75" customHeight="1">
      <c r="A2" s="31">
        <v>215.0</v>
      </c>
      <c r="B2" s="32" t="s">
        <v>63197</v>
      </c>
      <c r="C2" s="31">
        <v>200.0</v>
      </c>
      <c r="D2" s="32" t="s">
        <v>63198</v>
      </c>
      <c r="E2" s="32" t="s">
        <v>63199</v>
      </c>
      <c r="F2" s="31">
        <v>673.0</v>
      </c>
      <c r="G2" s="31">
        <v>2.00156738E8</v>
      </c>
    </row>
    <row r="3" ht="12.75" customHeight="1">
      <c r="A3" s="27">
        <v>215.0</v>
      </c>
      <c r="B3" s="28" t="s">
        <v>63200</v>
      </c>
      <c r="C3" s="27">
        <v>200.0</v>
      </c>
      <c r="D3" s="28" t="s">
        <v>63201</v>
      </c>
      <c r="E3" s="28" t="s">
        <v>63202</v>
      </c>
      <c r="F3" s="27">
        <v>691.0</v>
      </c>
      <c r="G3" s="27">
        <v>2.00156912E8</v>
      </c>
    </row>
    <row r="4" ht="12.75" customHeight="1">
      <c r="A4" s="31">
        <v>215.0</v>
      </c>
      <c r="B4" s="32" t="s">
        <v>63203</v>
      </c>
      <c r="C4" s="31">
        <v>200.0</v>
      </c>
      <c r="D4" s="32" t="s">
        <v>63204</v>
      </c>
      <c r="E4" s="32" t="s">
        <v>63205</v>
      </c>
      <c r="F4" s="31">
        <v>706.0</v>
      </c>
      <c r="G4" s="31">
        <v>2.00157061E8</v>
      </c>
    </row>
    <row r="5" ht="12.75" customHeight="1">
      <c r="A5" s="27">
        <v>215.0</v>
      </c>
      <c r="B5" s="28" t="s">
        <v>63206</v>
      </c>
      <c r="C5" s="27">
        <v>200.0</v>
      </c>
      <c r="D5" s="28" t="s">
        <v>63207</v>
      </c>
      <c r="E5" s="28" t="s">
        <v>63208</v>
      </c>
      <c r="F5" s="27">
        <v>712.0</v>
      </c>
      <c r="G5" s="27">
        <v>2.00157124E8</v>
      </c>
    </row>
    <row r="6" ht="12.75" customHeight="1">
      <c r="A6" s="31">
        <v>215.0</v>
      </c>
      <c r="B6" s="32" t="s">
        <v>63209</v>
      </c>
      <c r="C6" s="31">
        <v>200.0</v>
      </c>
      <c r="D6" s="32" t="s">
        <v>63210</v>
      </c>
      <c r="E6" s="32" t="s">
        <v>63211</v>
      </c>
      <c r="F6" s="31">
        <v>736.0</v>
      </c>
      <c r="G6" s="31">
        <v>2.00157366E8</v>
      </c>
    </row>
    <row r="7" ht="12.75" customHeight="1">
      <c r="A7" s="27">
        <v>215.0</v>
      </c>
      <c r="B7" s="28" t="s">
        <v>63212</v>
      </c>
      <c r="C7" s="27">
        <v>200.0</v>
      </c>
      <c r="D7" s="28" t="s">
        <v>63213</v>
      </c>
      <c r="E7" s="28" t="s">
        <v>63214</v>
      </c>
      <c r="F7" s="27">
        <v>739.0</v>
      </c>
      <c r="G7" s="27">
        <v>2.00157395E8</v>
      </c>
    </row>
    <row r="8" ht="12.75" customHeight="1">
      <c r="A8" s="31">
        <v>215.0</v>
      </c>
      <c r="B8" s="32" t="s">
        <v>63215</v>
      </c>
      <c r="C8" s="31">
        <v>200.0</v>
      </c>
      <c r="D8" s="32" t="s">
        <v>63216</v>
      </c>
      <c r="E8" s="32" t="s">
        <v>63217</v>
      </c>
      <c r="F8" s="31">
        <v>763.0</v>
      </c>
      <c r="G8" s="31">
        <v>2.00157632E8</v>
      </c>
    </row>
    <row r="9" ht="12.75" customHeight="1">
      <c r="A9" s="27">
        <v>215.0</v>
      </c>
      <c r="B9" s="28" t="s">
        <v>63218</v>
      </c>
      <c r="C9" s="27">
        <v>200.0</v>
      </c>
      <c r="D9" s="28" t="s">
        <v>63219</v>
      </c>
      <c r="E9" s="28" t="s">
        <v>63220</v>
      </c>
      <c r="F9" s="27">
        <v>769.0</v>
      </c>
      <c r="G9" s="27">
        <v>2.0015769E8</v>
      </c>
    </row>
    <row r="10" ht="12.75" customHeight="1">
      <c r="A10" s="31">
        <v>418.0</v>
      </c>
      <c r="B10" s="32" t="s">
        <v>63221</v>
      </c>
      <c r="C10" s="31">
        <v>200.0</v>
      </c>
      <c r="D10" s="32" t="s">
        <v>63222</v>
      </c>
      <c r="E10" s="32" t="s">
        <v>63223</v>
      </c>
      <c r="F10" s="33">
        <v>4.0</v>
      </c>
      <c r="G10" s="31">
        <v>2.00180041E8</v>
      </c>
    </row>
    <row r="11" ht="12.75" customHeight="1">
      <c r="A11" s="27">
        <v>418.0</v>
      </c>
      <c r="B11" s="28" t="s">
        <v>63224</v>
      </c>
      <c r="C11" s="27">
        <v>200.0</v>
      </c>
      <c r="D11" s="28" t="s">
        <v>63225</v>
      </c>
      <c r="E11" s="28" t="s">
        <v>63226</v>
      </c>
      <c r="F11" s="29">
        <v>19.0</v>
      </c>
      <c r="G11" s="27">
        <v>2.00180191E8</v>
      </c>
    </row>
    <row r="12" ht="12.75" customHeight="1">
      <c r="A12" s="31">
        <v>418.0</v>
      </c>
      <c r="B12" s="32" t="s">
        <v>63227</v>
      </c>
      <c r="C12" s="31">
        <v>200.0</v>
      </c>
      <c r="D12" s="32" t="s">
        <v>63228</v>
      </c>
      <c r="E12" s="32" t="s">
        <v>63229</v>
      </c>
      <c r="F12" s="33">
        <v>28.0</v>
      </c>
      <c r="G12" s="31">
        <v>2.00180283E8</v>
      </c>
    </row>
    <row r="13" ht="12.75" customHeight="1">
      <c r="A13" s="27">
        <v>418.0</v>
      </c>
      <c r="B13" s="28" t="s">
        <v>63230</v>
      </c>
      <c r="C13" s="27">
        <v>200.0</v>
      </c>
      <c r="D13" s="28" t="s">
        <v>63231</v>
      </c>
      <c r="E13" s="28" t="s">
        <v>63232</v>
      </c>
      <c r="F13" s="29">
        <v>31.0</v>
      </c>
      <c r="G13" s="27">
        <v>2.00180317E8</v>
      </c>
    </row>
    <row r="14" ht="12.75" customHeight="1">
      <c r="A14" s="31">
        <v>418.0</v>
      </c>
      <c r="B14" s="32" t="s">
        <v>63233</v>
      </c>
      <c r="C14" s="31">
        <v>200.0</v>
      </c>
      <c r="D14" s="32" t="s">
        <v>63234</v>
      </c>
      <c r="E14" s="32" t="s">
        <v>63235</v>
      </c>
      <c r="F14" s="33">
        <v>34.0</v>
      </c>
      <c r="G14" s="31">
        <v>2.00180346E8</v>
      </c>
    </row>
    <row r="15" ht="12.75" customHeight="1">
      <c r="A15" s="27">
        <v>418.0</v>
      </c>
      <c r="B15" s="28" t="s">
        <v>63236</v>
      </c>
      <c r="C15" s="27">
        <v>200.0</v>
      </c>
      <c r="D15" s="28" t="s">
        <v>63237</v>
      </c>
      <c r="E15" s="28" t="s">
        <v>63238</v>
      </c>
      <c r="F15" s="29">
        <v>40.0</v>
      </c>
      <c r="G15" s="27">
        <v>2.00180409E8</v>
      </c>
    </row>
    <row r="16" ht="12.75" customHeight="1">
      <c r="A16" s="31">
        <v>418.0</v>
      </c>
      <c r="B16" s="32" t="s">
        <v>63239</v>
      </c>
      <c r="C16" s="31">
        <v>200.0</v>
      </c>
      <c r="D16" s="32" t="s">
        <v>63240</v>
      </c>
      <c r="E16" s="32" t="s">
        <v>63241</v>
      </c>
      <c r="F16" s="33">
        <v>49.0</v>
      </c>
      <c r="G16" s="31">
        <v>2.00180496E8</v>
      </c>
    </row>
    <row r="17" ht="12.75" customHeight="1">
      <c r="A17" s="27">
        <v>418.0</v>
      </c>
      <c r="B17" s="28" t="s">
        <v>63242</v>
      </c>
      <c r="C17" s="27">
        <v>200.0</v>
      </c>
      <c r="D17" s="28" t="s">
        <v>63243</v>
      </c>
      <c r="E17" s="28" t="s">
        <v>63244</v>
      </c>
      <c r="F17" s="29">
        <v>58.0</v>
      </c>
      <c r="G17" s="27">
        <v>2.00180588E8</v>
      </c>
    </row>
    <row r="18" ht="12.75" customHeight="1">
      <c r="A18" s="31">
        <v>418.0</v>
      </c>
      <c r="B18" s="32" t="s">
        <v>63245</v>
      </c>
      <c r="C18" s="31">
        <v>200.0</v>
      </c>
      <c r="D18" s="32" t="s">
        <v>63246</v>
      </c>
      <c r="E18" s="32" t="s">
        <v>63247</v>
      </c>
      <c r="F18" s="33">
        <v>76.0</v>
      </c>
      <c r="G18" s="31">
        <v>2.00180762E8</v>
      </c>
    </row>
    <row r="19" ht="12.75" customHeight="1">
      <c r="A19" s="27">
        <v>418.0</v>
      </c>
      <c r="B19" s="28" t="s">
        <v>63248</v>
      </c>
      <c r="C19" s="27">
        <v>200.0</v>
      </c>
      <c r="D19" s="28" t="s">
        <v>63249</v>
      </c>
      <c r="E19" s="28" t="s">
        <v>63250</v>
      </c>
      <c r="F19" s="29">
        <v>85.0</v>
      </c>
      <c r="G19" s="27">
        <v>2.00180854E8</v>
      </c>
    </row>
    <row r="20" ht="12.75" customHeight="1">
      <c r="A20" s="31">
        <v>418.0</v>
      </c>
      <c r="B20" s="32" t="s">
        <v>63251</v>
      </c>
      <c r="C20" s="31">
        <v>200.0</v>
      </c>
      <c r="D20" s="32" t="s">
        <v>63252</v>
      </c>
      <c r="E20" s="32" t="s">
        <v>63253</v>
      </c>
      <c r="F20" s="33">
        <v>88.0</v>
      </c>
      <c r="G20" s="31">
        <v>2.00180883E8</v>
      </c>
    </row>
    <row r="21" ht="12.75" customHeight="1">
      <c r="A21" s="27">
        <v>119.0</v>
      </c>
      <c r="B21" s="28" t="s">
        <v>63254</v>
      </c>
      <c r="C21" s="27">
        <v>200.0</v>
      </c>
      <c r="D21" s="28" t="s">
        <v>63255</v>
      </c>
      <c r="E21" s="28" t="s">
        <v>63256</v>
      </c>
      <c r="F21" s="29">
        <v>7.0</v>
      </c>
      <c r="G21" s="27">
        <v>2.00190073E8</v>
      </c>
    </row>
    <row r="22" ht="12.75" customHeight="1">
      <c r="A22" s="31">
        <v>119.0</v>
      </c>
      <c r="B22" s="32" t="s">
        <v>63257</v>
      </c>
      <c r="C22" s="31">
        <v>200.0</v>
      </c>
      <c r="D22" s="32" t="s">
        <v>63258</v>
      </c>
      <c r="E22" s="32" t="s">
        <v>63259</v>
      </c>
      <c r="F22" s="33">
        <v>18.0</v>
      </c>
      <c r="G22" s="31">
        <v>2.00190181E8</v>
      </c>
    </row>
    <row r="23" ht="12.75" customHeight="1">
      <c r="A23" s="27">
        <v>119.0</v>
      </c>
      <c r="B23" s="28" t="s">
        <v>63260</v>
      </c>
      <c r="C23" s="27">
        <v>200.0</v>
      </c>
      <c r="D23" s="28" t="s">
        <v>63261</v>
      </c>
      <c r="E23" s="28" t="s">
        <v>63262</v>
      </c>
      <c r="F23" s="29">
        <v>49.0</v>
      </c>
      <c r="G23" s="27">
        <v>2.00190499E8</v>
      </c>
    </row>
    <row r="24" ht="12.75" customHeight="1">
      <c r="A24" s="31">
        <v>119.0</v>
      </c>
      <c r="B24" s="32" t="s">
        <v>63263</v>
      </c>
      <c r="C24" s="31">
        <v>200.0</v>
      </c>
      <c r="D24" s="32" t="s">
        <v>63264</v>
      </c>
      <c r="E24" s="32" t="s">
        <v>63265</v>
      </c>
      <c r="F24" s="33">
        <v>61.0</v>
      </c>
      <c r="G24" s="31">
        <v>2.00190615E8</v>
      </c>
    </row>
    <row r="25" ht="12.75" customHeight="1">
      <c r="A25" s="27">
        <v>119.0</v>
      </c>
      <c r="B25" s="28" t="s">
        <v>63266</v>
      </c>
      <c r="C25" s="27">
        <v>200.0</v>
      </c>
      <c r="D25" s="28" t="s">
        <v>63267</v>
      </c>
      <c r="E25" s="28" t="s">
        <v>63268</v>
      </c>
      <c r="F25" s="29">
        <v>67.0</v>
      </c>
      <c r="G25" s="27">
        <v>2.00190673E8</v>
      </c>
    </row>
    <row r="26" ht="12.75" customHeight="1">
      <c r="A26" s="31">
        <v>119.0</v>
      </c>
      <c r="B26" s="32" t="s">
        <v>63269</v>
      </c>
      <c r="C26" s="31">
        <v>200.0</v>
      </c>
      <c r="D26" s="32" t="s">
        <v>63270</v>
      </c>
      <c r="E26" s="32" t="s">
        <v>63271</v>
      </c>
      <c r="F26" s="33">
        <v>76.0</v>
      </c>
      <c r="G26" s="31">
        <v>2.00190765E8</v>
      </c>
    </row>
    <row r="27" ht="12.75" customHeight="1">
      <c r="A27" s="27">
        <v>119.0</v>
      </c>
      <c r="B27" s="28" t="s">
        <v>63272</v>
      </c>
      <c r="C27" s="27">
        <v>200.0</v>
      </c>
      <c r="D27" s="28" t="s">
        <v>63273</v>
      </c>
      <c r="E27" s="28" t="s">
        <v>63274</v>
      </c>
      <c r="F27" s="29">
        <v>82.0</v>
      </c>
      <c r="G27" s="27">
        <v>2.00190828E8</v>
      </c>
    </row>
    <row r="28" ht="12.75" customHeight="1">
      <c r="A28" s="31">
        <v>119.0</v>
      </c>
      <c r="B28" s="32" t="s">
        <v>63275</v>
      </c>
      <c r="C28" s="31">
        <v>200.0</v>
      </c>
      <c r="D28" s="32" t="s">
        <v>63276</v>
      </c>
      <c r="E28" s="32" t="s">
        <v>63277</v>
      </c>
      <c r="F28" s="33">
        <v>88.0</v>
      </c>
      <c r="G28" s="31">
        <v>2.00190886E8</v>
      </c>
    </row>
    <row r="29" ht="12.75" customHeight="1">
      <c r="A29" s="27">
        <v>119.0</v>
      </c>
      <c r="B29" s="28" t="s">
        <v>63278</v>
      </c>
      <c r="C29" s="27">
        <v>200.0</v>
      </c>
      <c r="D29" s="28" t="s">
        <v>63279</v>
      </c>
      <c r="E29" s="28" t="s">
        <v>63280</v>
      </c>
      <c r="F29" s="27">
        <v>106.0</v>
      </c>
      <c r="G29" s="27">
        <v>2.00191069E8</v>
      </c>
    </row>
    <row r="30" ht="12.75" customHeight="1">
      <c r="A30" s="31">
        <v>119.0</v>
      </c>
      <c r="B30" s="32" t="s">
        <v>63281</v>
      </c>
      <c r="C30" s="31">
        <v>200.0</v>
      </c>
      <c r="D30" s="32" t="s">
        <v>63282</v>
      </c>
      <c r="E30" s="32" t="s">
        <v>63283</v>
      </c>
      <c r="F30" s="31">
        <v>121.0</v>
      </c>
      <c r="G30" s="31">
        <v>2.00191214E8</v>
      </c>
    </row>
    <row r="31" ht="12.75" customHeight="1">
      <c r="A31" s="27">
        <v>119.0</v>
      </c>
      <c r="B31" s="28" t="s">
        <v>63284</v>
      </c>
      <c r="C31" s="27">
        <v>200.0</v>
      </c>
      <c r="D31" s="28" t="s">
        <v>63285</v>
      </c>
      <c r="E31" s="28" t="s">
        <v>63286</v>
      </c>
      <c r="F31" s="27">
        <v>127.0</v>
      </c>
      <c r="G31" s="27">
        <v>2.00191272E8</v>
      </c>
    </row>
    <row r="32" ht="12.75" customHeight="1">
      <c r="A32" s="31">
        <v>119.0</v>
      </c>
      <c r="B32" s="32" t="s">
        <v>63287</v>
      </c>
      <c r="C32" s="31">
        <v>200.0</v>
      </c>
      <c r="D32" s="32" t="s">
        <v>63288</v>
      </c>
      <c r="E32" s="32" t="s">
        <v>63289</v>
      </c>
      <c r="F32" s="31">
        <v>133.0</v>
      </c>
      <c r="G32" s="31">
        <v>2.00191335E8</v>
      </c>
    </row>
    <row r="33" ht="12.75" customHeight="1">
      <c r="A33" s="27">
        <v>119.0</v>
      </c>
      <c r="B33" s="28" t="s">
        <v>63290</v>
      </c>
      <c r="C33" s="27">
        <v>200.0</v>
      </c>
      <c r="D33" s="28" t="s">
        <v>63291</v>
      </c>
      <c r="E33" s="28" t="s">
        <v>63292</v>
      </c>
      <c r="F33" s="27">
        <v>145.0</v>
      </c>
      <c r="G33" s="27">
        <v>2.00191456E8</v>
      </c>
    </row>
    <row r="34" ht="12.75" customHeight="1">
      <c r="A34" s="31">
        <v>119.0</v>
      </c>
      <c r="B34" s="32" t="s">
        <v>63293</v>
      </c>
      <c r="C34" s="31">
        <v>200.0</v>
      </c>
      <c r="D34" s="32" t="s">
        <v>63294</v>
      </c>
      <c r="E34" s="32" t="s">
        <v>63295</v>
      </c>
      <c r="F34" s="31">
        <v>151.0</v>
      </c>
      <c r="G34" s="31">
        <v>2.00191519E8</v>
      </c>
    </row>
    <row r="35" ht="12.75" customHeight="1">
      <c r="A35" s="27">
        <v>119.0</v>
      </c>
      <c r="B35" s="28" t="s">
        <v>63296</v>
      </c>
      <c r="C35" s="27">
        <v>200.0</v>
      </c>
      <c r="D35" s="28" t="s">
        <v>63297</v>
      </c>
      <c r="E35" s="28" t="s">
        <v>63298</v>
      </c>
      <c r="F35" s="27">
        <v>154.0</v>
      </c>
      <c r="G35" s="27">
        <v>2.00191548E8</v>
      </c>
    </row>
    <row r="36" ht="12.75" customHeight="1">
      <c r="A36" s="31">
        <v>119.0</v>
      </c>
      <c r="B36" s="32" t="s">
        <v>63299</v>
      </c>
      <c r="C36" s="31">
        <v>200.0</v>
      </c>
      <c r="D36" s="32" t="s">
        <v>63300</v>
      </c>
      <c r="E36" s="32" t="s">
        <v>63301</v>
      </c>
      <c r="F36" s="31">
        <v>160.0</v>
      </c>
      <c r="G36" s="31">
        <v>2.00191601E8</v>
      </c>
    </row>
    <row r="37" ht="12.75" customHeight="1">
      <c r="A37" s="27">
        <v>119.0</v>
      </c>
      <c r="B37" s="28" t="s">
        <v>63302</v>
      </c>
      <c r="C37" s="27">
        <v>200.0</v>
      </c>
      <c r="D37" s="28" t="s">
        <v>63303</v>
      </c>
      <c r="E37" s="28" t="s">
        <v>63304</v>
      </c>
      <c r="F37" s="27">
        <v>190.0</v>
      </c>
      <c r="G37" s="27">
        <v>2.00191906E8</v>
      </c>
    </row>
    <row r="38" ht="12.75" customHeight="1">
      <c r="A38" s="31">
        <v>119.0</v>
      </c>
      <c r="B38" s="32" t="s">
        <v>63305</v>
      </c>
      <c r="C38" s="31">
        <v>200.0</v>
      </c>
      <c r="D38" s="32" t="s">
        <v>63306</v>
      </c>
      <c r="E38" s="32" t="s">
        <v>63307</v>
      </c>
      <c r="F38" s="31">
        <v>211.0</v>
      </c>
      <c r="G38" s="31">
        <v>2.00192118E8</v>
      </c>
    </row>
    <row r="39" ht="12.75" customHeight="1">
      <c r="A39" s="27">
        <v>119.0</v>
      </c>
      <c r="B39" s="28" t="s">
        <v>63308</v>
      </c>
      <c r="C39" s="27">
        <v>200.0</v>
      </c>
      <c r="D39" s="28" t="s">
        <v>63309</v>
      </c>
      <c r="E39" s="28" t="s">
        <v>63310</v>
      </c>
      <c r="F39" s="27">
        <v>223.0</v>
      </c>
      <c r="G39" s="27">
        <v>2.00192239E8</v>
      </c>
    </row>
    <row r="40" ht="12.75" customHeight="1">
      <c r="A40" s="31">
        <v>119.0</v>
      </c>
      <c r="B40" s="32" t="s">
        <v>63311</v>
      </c>
      <c r="C40" s="31">
        <v>200.0</v>
      </c>
      <c r="D40" s="32" t="s">
        <v>63312</v>
      </c>
      <c r="E40" s="32" t="s">
        <v>63313</v>
      </c>
      <c r="F40" s="31">
        <v>253.0</v>
      </c>
      <c r="G40" s="31">
        <v>2.00192534E8</v>
      </c>
    </row>
    <row r="41" ht="12.75" customHeight="1">
      <c r="A41" s="27">
        <v>119.0</v>
      </c>
      <c r="B41" s="28" t="s">
        <v>63314</v>
      </c>
      <c r="C41" s="27">
        <v>200.0</v>
      </c>
      <c r="D41" s="28" t="s">
        <v>63315</v>
      </c>
      <c r="E41" s="28" t="s">
        <v>63316</v>
      </c>
      <c r="F41" s="27">
        <v>265.0</v>
      </c>
      <c r="G41" s="27">
        <v>2.00192655E8</v>
      </c>
    </row>
    <row r="42" ht="12.75" customHeight="1">
      <c r="A42" s="31">
        <v>119.0</v>
      </c>
      <c r="B42" s="32" t="s">
        <v>63317</v>
      </c>
      <c r="C42" s="31">
        <v>200.0</v>
      </c>
      <c r="D42" s="32" t="s">
        <v>63318</v>
      </c>
      <c r="E42" s="32" t="s">
        <v>63319</v>
      </c>
      <c r="F42" s="31">
        <v>286.0</v>
      </c>
      <c r="G42" s="31">
        <v>2.00192868E8</v>
      </c>
    </row>
    <row r="43" ht="12.75" customHeight="1">
      <c r="A43" s="27">
        <v>119.0</v>
      </c>
      <c r="B43" s="28" t="s">
        <v>63320</v>
      </c>
      <c r="C43" s="27">
        <v>200.0</v>
      </c>
      <c r="D43" s="28" t="s">
        <v>63321</v>
      </c>
      <c r="E43" s="28" t="s">
        <v>63322</v>
      </c>
      <c r="F43" s="27">
        <v>304.0</v>
      </c>
      <c r="G43" s="27">
        <v>2.00193041E8</v>
      </c>
    </row>
    <row r="44" ht="12.75" customHeight="1">
      <c r="A44" s="31">
        <v>119.0</v>
      </c>
      <c r="B44" s="32" t="s">
        <v>63323</v>
      </c>
      <c r="C44" s="31">
        <v>200.0</v>
      </c>
      <c r="D44" s="32" t="s">
        <v>63324</v>
      </c>
      <c r="E44" s="32" t="s">
        <v>63325</v>
      </c>
      <c r="F44" s="31">
        <v>316.0</v>
      </c>
      <c r="G44" s="31">
        <v>2.00193162E8</v>
      </c>
    </row>
    <row r="45" ht="12.75" customHeight="1">
      <c r="A45" s="27">
        <v>119.0</v>
      </c>
      <c r="B45" s="28" t="s">
        <v>63326</v>
      </c>
      <c r="C45" s="27">
        <v>200.0</v>
      </c>
      <c r="D45" s="28" t="s">
        <v>63327</v>
      </c>
      <c r="E45" s="28" t="s">
        <v>63328</v>
      </c>
      <c r="F45" s="27">
        <v>325.0</v>
      </c>
      <c r="G45" s="27">
        <v>2.00193254E8</v>
      </c>
    </row>
    <row r="46" ht="12.75" customHeight="1">
      <c r="A46" s="31">
        <v>119.0</v>
      </c>
      <c r="B46" s="32" t="s">
        <v>63329</v>
      </c>
      <c r="C46" s="31">
        <v>200.0</v>
      </c>
      <c r="D46" s="32" t="s">
        <v>63330</v>
      </c>
      <c r="E46" s="32" t="s">
        <v>63331</v>
      </c>
      <c r="F46" s="31">
        <v>337.0</v>
      </c>
      <c r="G46" s="31">
        <v>2.00193375E8</v>
      </c>
    </row>
    <row r="47" ht="12.75" customHeight="1">
      <c r="A47" s="27">
        <v>119.0</v>
      </c>
      <c r="B47" s="28" t="s">
        <v>63332</v>
      </c>
      <c r="C47" s="27">
        <v>200.0</v>
      </c>
      <c r="D47" s="28" t="s">
        <v>63333</v>
      </c>
      <c r="E47" s="28" t="s">
        <v>63334</v>
      </c>
      <c r="F47" s="27">
        <v>343.0</v>
      </c>
      <c r="G47" s="27">
        <v>2.00193438E8</v>
      </c>
    </row>
    <row r="48" ht="12.75" customHeight="1">
      <c r="A48" s="31">
        <v>119.0</v>
      </c>
      <c r="B48" s="32" t="s">
        <v>63335</v>
      </c>
      <c r="C48" s="31">
        <v>200.0</v>
      </c>
      <c r="D48" s="32" t="s">
        <v>63336</v>
      </c>
      <c r="E48" s="32" t="s">
        <v>63337</v>
      </c>
      <c r="F48" s="31">
        <v>346.0</v>
      </c>
      <c r="G48" s="31">
        <v>2.00193467E8</v>
      </c>
    </row>
    <row r="49" ht="12.75" customHeight="1">
      <c r="A49" s="27">
        <v>119.0</v>
      </c>
      <c r="B49" s="28" t="s">
        <v>63338</v>
      </c>
      <c r="C49" s="27">
        <v>200.0</v>
      </c>
      <c r="D49" s="28" t="s">
        <v>63339</v>
      </c>
      <c r="E49" s="28" t="s">
        <v>63340</v>
      </c>
      <c r="F49" s="27">
        <v>355.0</v>
      </c>
      <c r="G49" s="27">
        <v>2.00193559E8</v>
      </c>
    </row>
    <row r="50" ht="12.75" customHeight="1">
      <c r="A50" s="31">
        <v>119.0</v>
      </c>
      <c r="B50" s="32" t="s">
        <v>63341</v>
      </c>
      <c r="C50" s="31">
        <v>200.0</v>
      </c>
      <c r="D50" s="32" t="s">
        <v>63342</v>
      </c>
      <c r="E50" s="32" t="s">
        <v>63343</v>
      </c>
      <c r="F50" s="31">
        <v>370.0</v>
      </c>
      <c r="G50" s="31">
        <v>2.00193704E8</v>
      </c>
    </row>
    <row r="51" ht="12.75" customHeight="1">
      <c r="A51" s="27">
        <v>119.0</v>
      </c>
      <c r="B51" s="28" t="s">
        <v>63344</v>
      </c>
      <c r="C51" s="27">
        <v>200.0</v>
      </c>
      <c r="D51" s="28" t="s">
        <v>63345</v>
      </c>
      <c r="E51" s="28" t="s">
        <v>63346</v>
      </c>
      <c r="F51" s="27">
        <v>373.0</v>
      </c>
      <c r="G51" s="27">
        <v>2.00193733E8</v>
      </c>
    </row>
    <row r="52" ht="12.75" customHeight="1">
      <c r="A52" s="31">
        <v>119.0</v>
      </c>
      <c r="B52" s="32" t="s">
        <v>63347</v>
      </c>
      <c r="C52" s="31">
        <v>200.0</v>
      </c>
      <c r="D52" s="32" t="s">
        <v>63348</v>
      </c>
      <c r="E52" s="32" t="s">
        <v>63349</v>
      </c>
      <c r="F52" s="31">
        <v>397.0</v>
      </c>
      <c r="G52" s="31">
        <v>2.00193975E8</v>
      </c>
    </row>
    <row r="53" ht="12.75" customHeight="1">
      <c r="A53" s="27">
        <v>119.0</v>
      </c>
      <c r="B53" s="28" t="s">
        <v>63350</v>
      </c>
      <c r="C53" s="27">
        <v>200.0</v>
      </c>
      <c r="D53" s="28" t="s">
        <v>63351</v>
      </c>
      <c r="E53" s="28" t="s">
        <v>63352</v>
      </c>
      <c r="F53" s="27">
        <v>400.0</v>
      </c>
      <c r="G53" s="27">
        <v>2.00194008E8</v>
      </c>
    </row>
    <row r="54" ht="12.75" customHeight="1">
      <c r="A54" s="31">
        <v>119.0</v>
      </c>
      <c r="B54" s="32" t="s">
        <v>63353</v>
      </c>
      <c r="C54" s="31">
        <v>200.0</v>
      </c>
      <c r="D54" s="32" t="s">
        <v>63354</v>
      </c>
      <c r="E54" s="32" t="s">
        <v>63355</v>
      </c>
      <c r="F54" s="31">
        <v>403.0</v>
      </c>
      <c r="G54" s="31">
        <v>2.00194037E8</v>
      </c>
    </row>
    <row r="55" ht="12.75" customHeight="1">
      <c r="A55" s="27">
        <v>119.0</v>
      </c>
      <c r="B55" s="28" t="s">
        <v>63356</v>
      </c>
      <c r="C55" s="27">
        <v>200.0</v>
      </c>
      <c r="D55" s="28" t="s">
        <v>63357</v>
      </c>
      <c r="E55" s="28" t="s">
        <v>63358</v>
      </c>
      <c r="F55" s="27">
        <v>418.0</v>
      </c>
      <c r="G55" s="27">
        <v>2.00194187E8</v>
      </c>
    </row>
    <row r="56" ht="12.75" customHeight="1">
      <c r="A56" s="31">
        <v>222.0</v>
      </c>
      <c r="B56" s="32" t="s">
        <v>63359</v>
      </c>
      <c r="C56" s="31">
        <v>200.0</v>
      </c>
      <c r="D56" s="32" t="s">
        <v>63360</v>
      </c>
      <c r="E56" s="32" t="s">
        <v>63361</v>
      </c>
      <c r="F56" s="33">
        <v>4.0</v>
      </c>
      <c r="G56" s="31">
        <v>2.00220048E8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222.0</v>
      </c>
      <c r="B1" s="28" t="s">
        <v>63362</v>
      </c>
      <c r="C1" s="27">
        <v>200.0</v>
      </c>
      <c r="D1" s="28" t="s">
        <v>63363</v>
      </c>
      <c r="E1" s="28" t="s">
        <v>63364</v>
      </c>
      <c r="F1" s="29">
        <v>16.0</v>
      </c>
      <c r="G1" s="27">
        <v>2.00220169E8</v>
      </c>
    </row>
    <row r="2" ht="12.75" customHeight="1">
      <c r="A2" s="31">
        <v>222.0</v>
      </c>
      <c r="B2" s="32" t="s">
        <v>63365</v>
      </c>
      <c r="C2" s="31">
        <v>200.0</v>
      </c>
      <c r="D2" s="32" t="s">
        <v>63366</v>
      </c>
      <c r="E2" s="32" t="s">
        <v>63367</v>
      </c>
      <c r="F2" s="33">
        <v>25.0</v>
      </c>
      <c r="G2" s="31">
        <v>2.00220251E8</v>
      </c>
    </row>
    <row r="3" ht="12.75" customHeight="1">
      <c r="A3" s="27">
        <v>222.0</v>
      </c>
      <c r="B3" s="28" t="s">
        <v>63368</v>
      </c>
      <c r="C3" s="27">
        <v>200.0</v>
      </c>
      <c r="D3" s="28" t="s">
        <v>63369</v>
      </c>
      <c r="E3" s="28" t="s">
        <v>63370</v>
      </c>
      <c r="F3" s="29">
        <v>37.0</v>
      </c>
      <c r="G3" s="27">
        <v>2.00220372E8</v>
      </c>
    </row>
    <row r="4" ht="12.75" customHeight="1">
      <c r="A4" s="31">
        <v>222.0</v>
      </c>
      <c r="B4" s="32" t="s">
        <v>63371</v>
      </c>
      <c r="C4" s="31">
        <v>200.0</v>
      </c>
      <c r="D4" s="32" t="s">
        <v>63372</v>
      </c>
      <c r="E4" s="32" t="s">
        <v>63373</v>
      </c>
      <c r="F4" s="33">
        <v>40.0</v>
      </c>
      <c r="G4" s="31">
        <v>2.00220406E8</v>
      </c>
    </row>
    <row r="5" ht="12.75" customHeight="1">
      <c r="A5" s="27">
        <v>222.0</v>
      </c>
      <c r="B5" s="28" t="s">
        <v>63374</v>
      </c>
      <c r="C5" s="27">
        <v>200.0</v>
      </c>
      <c r="D5" s="28" t="s">
        <v>63375</v>
      </c>
      <c r="E5" s="28" t="s">
        <v>63376</v>
      </c>
      <c r="F5" s="29">
        <v>67.0</v>
      </c>
      <c r="G5" s="27">
        <v>2.00220677E8</v>
      </c>
    </row>
    <row r="6" ht="12.75" customHeight="1">
      <c r="A6" s="31">
        <v>222.0</v>
      </c>
      <c r="B6" s="32" t="s">
        <v>63377</v>
      </c>
      <c r="C6" s="31">
        <v>200.0</v>
      </c>
      <c r="D6" s="32" t="s">
        <v>63378</v>
      </c>
      <c r="E6" s="32" t="s">
        <v>63379</v>
      </c>
      <c r="F6" s="33">
        <v>76.0</v>
      </c>
      <c r="G6" s="31">
        <v>2.00220769E8</v>
      </c>
    </row>
    <row r="7" ht="12.75" customHeight="1">
      <c r="A7" s="27">
        <v>222.0</v>
      </c>
      <c r="B7" s="28" t="s">
        <v>63380</v>
      </c>
      <c r="C7" s="27">
        <v>200.0</v>
      </c>
      <c r="D7" s="28" t="s">
        <v>63381</v>
      </c>
      <c r="E7" s="28" t="s">
        <v>63382</v>
      </c>
      <c r="F7" s="29">
        <v>85.0</v>
      </c>
      <c r="G7" s="27">
        <v>2.00220851E8</v>
      </c>
    </row>
    <row r="8" ht="12.75" customHeight="1">
      <c r="A8" s="31">
        <v>222.0</v>
      </c>
      <c r="B8" s="32" t="s">
        <v>63383</v>
      </c>
      <c r="C8" s="31">
        <v>200.0</v>
      </c>
      <c r="D8" s="32" t="s">
        <v>63384</v>
      </c>
      <c r="E8" s="32" t="s">
        <v>63385</v>
      </c>
      <c r="F8" s="33">
        <v>91.0</v>
      </c>
      <c r="G8" s="31">
        <v>2.00220914E8</v>
      </c>
    </row>
    <row r="9" ht="12.75" customHeight="1">
      <c r="A9" s="27">
        <v>222.0</v>
      </c>
      <c r="B9" s="28" t="s">
        <v>63386</v>
      </c>
      <c r="C9" s="27">
        <v>200.0</v>
      </c>
      <c r="D9" s="28" t="s">
        <v>63387</v>
      </c>
      <c r="E9" s="28" t="s">
        <v>63388</v>
      </c>
      <c r="F9" s="29">
        <v>94.0</v>
      </c>
      <c r="G9" s="27">
        <v>2.00220943E8</v>
      </c>
    </row>
    <row r="10" ht="12.75" customHeight="1">
      <c r="A10" s="31">
        <v>126.0</v>
      </c>
      <c r="B10" s="32" t="s">
        <v>63389</v>
      </c>
      <c r="C10" s="31">
        <v>200.0</v>
      </c>
      <c r="D10" s="32" t="s">
        <v>63390</v>
      </c>
      <c r="E10" s="32" t="s">
        <v>63391</v>
      </c>
      <c r="F10" s="33">
        <v>4.0</v>
      </c>
      <c r="G10" s="31">
        <v>2.0026004E8</v>
      </c>
    </row>
    <row r="11" ht="12.75" customHeight="1">
      <c r="A11" s="27">
        <v>126.0</v>
      </c>
      <c r="B11" s="28" t="s">
        <v>63392</v>
      </c>
      <c r="C11" s="27">
        <v>200.0</v>
      </c>
      <c r="D11" s="28" t="s">
        <v>63393</v>
      </c>
      <c r="E11" s="28" t="s">
        <v>63394</v>
      </c>
      <c r="F11" s="29">
        <v>13.0</v>
      </c>
      <c r="G11" s="27">
        <v>2.00260132E8</v>
      </c>
    </row>
    <row r="12" ht="12.75" customHeight="1">
      <c r="A12" s="31">
        <v>126.0</v>
      </c>
      <c r="B12" s="32" t="s">
        <v>63395</v>
      </c>
      <c r="C12" s="31">
        <v>200.0</v>
      </c>
      <c r="D12" s="32" t="s">
        <v>63396</v>
      </c>
      <c r="E12" s="32" t="s">
        <v>63397</v>
      </c>
      <c r="F12" s="33">
        <v>25.0</v>
      </c>
      <c r="G12" s="31">
        <v>2.00260253E8</v>
      </c>
    </row>
    <row r="13" ht="12.75" customHeight="1">
      <c r="A13" s="27">
        <v>126.0</v>
      </c>
      <c r="B13" s="28" t="s">
        <v>63398</v>
      </c>
      <c r="C13" s="27">
        <v>200.0</v>
      </c>
      <c r="D13" s="28" t="s">
        <v>63399</v>
      </c>
      <c r="E13" s="28" t="s">
        <v>63400</v>
      </c>
      <c r="F13" s="29">
        <v>28.0</v>
      </c>
      <c r="G13" s="27">
        <v>2.00260282E8</v>
      </c>
    </row>
    <row r="14" ht="12.75" customHeight="1">
      <c r="A14" s="31">
        <v>126.0</v>
      </c>
      <c r="B14" s="32" t="s">
        <v>63401</v>
      </c>
      <c r="C14" s="31">
        <v>200.0</v>
      </c>
      <c r="D14" s="32" t="s">
        <v>63402</v>
      </c>
      <c r="E14" s="32" t="s">
        <v>63403</v>
      </c>
      <c r="F14" s="33">
        <v>34.0</v>
      </c>
      <c r="G14" s="31">
        <v>2.00260345E8</v>
      </c>
    </row>
    <row r="15" ht="12.75" customHeight="1">
      <c r="A15" s="27">
        <v>126.0</v>
      </c>
      <c r="B15" s="28" t="s">
        <v>63404</v>
      </c>
      <c r="C15" s="27">
        <v>200.0</v>
      </c>
      <c r="D15" s="28" t="s">
        <v>63405</v>
      </c>
      <c r="E15" s="28" t="s">
        <v>63406</v>
      </c>
      <c r="F15" s="29">
        <v>43.0</v>
      </c>
      <c r="G15" s="27">
        <v>2.00260437E8</v>
      </c>
    </row>
    <row r="16" ht="12.75" customHeight="1">
      <c r="A16" s="31">
        <v>126.0</v>
      </c>
      <c r="B16" s="32" t="s">
        <v>63407</v>
      </c>
      <c r="C16" s="31">
        <v>200.0</v>
      </c>
      <c r="D16" s="32" t="s">
        <v>63408</v>
      </c>
      <c r="E16" s="32" t="s">
        <v>63409</v>
      </c>
      <c r="F16" s="33">
        <v>46.0</v>
      </c>
      <c r="G16" s="31">
        <v>2.00260466E8</v>
      </c>
    </row>
    <row r="17" ht="12.75" customHeight="1">
      <c r="A17" s="27">
        <v>126.0</v>
      </c>
      <c r="B17" s="28" t="s">
        <v>63410</v>
      </c>
      <c r="C17" s="27">
        <v>200.0</v>
      </c>
      <c r="D17" s="28" t="s">
        <v>63411</v>
      </c>
      <c r="E17" s="28" t="s">
        <v>63412</v>
      </c>
      <c r="F17" s="29">
        <v>52.0</v>
      </c>
      <c r="G17" s="27">
        <v>2.00260529E8</v>
      </c>
    </row>
    <row r="18" ht="12.75" customHeight="1">
      <c r="A18" s="31">
        <v>126.0</v>
      </c>
      <c r="B18" s="32" t="s">
        <v>63413</v>
      </c>
      <c r="C18" s="31">
        <v>200.0</v>
      </c>
      <c r="D18" s="32" t="s">
        <v>63414</v>
      </c>
      <c r="E18" s="32" t="s">
        <v>63415</v>
      </c>
      <c r="F18" s="33">
        <v>64.0</v>
      </c>
      <c r="G18" s="31">
        <v>2.0026064E8</v>
      </c>
    </row>
    <row r="19" ht="12.75" customHeight="1">
      <c r="A19" s="27">
        <v>126.0</v>
      </c>
      <c r="B19" s="28" t="s">
        <v>63416</v>
      </c>
      <c r="C19" s="27">
        <v>200.0</v>
      </c>
      <c r="D19" s="28" t="s">
        <v>63417</v>
      </c>
      <c r="E19" s="28" t="s">
        <v>63418</v>
      </c>
      <c r="F19" s="29">
        <v>67.0</v>
      </c>
      <c r="G19" s="27">
        <v>2.00260679E8</v>
      </c>
    </row>
    <row r="20" ht="12.75" customHeight="1">
      <c r="A20" s="31">
        <v>126.0</v>
      </c>
      <c r="B20" s="32" t="s">
        <v>63419</v>
      </c>
      <c r="C20" s="31">
        <v>200.0</v>
      </c>
      <c r="D20" s="32" t="s">
        <v>63420</v>
      </c>
      <c r="E20" s="32" t="s">
        <v>63421</v>
      </c>
      <c r="F20" s="33">
        <v>82.0</v>
      </c>
      <c r="G20" s="31">
        <v>2.00260824E8</v>
      </c>
    </row>
    <row r="21" ht="12.75" customHeight="1">
      <c r="A21" s="27">
        <v>126.0</v>
      </c>
      <c r="B21" s="28" t="s">
        <v>63422</v>
      </c>
      <c r="C21" s="27">
        <v>200.0</v>
      </c>
      <c r="D21" s="28" t="s">
        <v>63423</v>
      </c>
      <c r="E21" s="28" t="s">
        <v>63424</v>
      </c>
      <c r="F21" s="29">
        <v>88.0</v>
      </c>
      <c r="G21" s="27">
        <v>2.00260882E8</v>
      </c>
    </row>
    <row r="22" ht="12.75" customHeight="1">
      <c r="A22" s="31">
        <v>126.0</v>
      </c>
      <c r="B22" s="32" t="s">
        <v>63425</v>
      </c>
      <c r="C22" s="31">
        <v>200.0</v>
      </c>
      <c r="D22" s="32" t="s">
        <v>63426</v>
      </c>
      <c r="E22" s="32" t="s">
        <v>63427</v>
      </c>
      <c r="F22" s="33">
        <v>97.0</v>
      </c>
      <c r="G22" s="31">
        <v>2.00260974E8</v>
      </c>
    </row>
    <row r="23" ht="12.75" customHeight="1">
      <c r="A23" s="27">
        <v>126.0</v>
      </c>
      <c r="B23" s="28" t="s">
        <v>63428</v>
      </c>
      <c r="C23" s="27">
        <v>200.0</v>
      </c>
      <c r="D23" s="28" t="s">
        <v>63429</v>
      </c>
      <c r="E23" s="28" t="s">
        <v>63430</v>
      </c>
      <c r="F23" s="27">
        <v>103.0</v>
      </c>
      <c r="G23" s="27">
        <v>2.00261036E8</v>
      </c>
    </row>
    <row r="24" ht="12.75" customHeight="1">
      <c r="A24" s="31">
        <v>126.0</v>
      </c>
      <c r="B24" s="32" t="s">
        <v>63431</v>
      </c>
      <c r="C24" s="31">
        <v>200.0</v>
      </c>
      <c r="D24" s="32" t="s">
        <v>63432</v>
      </c>
      <c r="E24" s="32" t="s">
        <v>63433</v>
      </c>
      <c r="F24" s="31">
        <v>109.0</v>
      </c>
      <c r="G24" s="31">
        <v>2.00261094E8</v>
      </c>
    </row>
    <row r="25" ht="12.75" customHeight="1">
      <c r="A25" s="27">
        <v>126.0</v>
      </c>
      <c r="B25" s="28" t="s">
        <v>63434</v>
      </c>
      <c r="C25" s="27">
        <v>200.0</v>
      </c>
      <c r="D25" s="28" t="s">
        <v>63435</v>
      </c>
      <c r="E25" s="28" t="s">
        <v>63436</v>
      </c>
      <c r="F25" s="27">
        <v>115.0</v>
      </c>
      <c r="G25" s="27">
        <v>2.00261157E8</v>
      </c>
    </row>
    <row r="26" ht="12.75" customHeight="1">
      <c r="A26" s="31">
        <v>126.0</v>
      </c>
      <c r="B26" s="32" t="s">
        <v>63437</v>
      </c>
      <c r="C26" s="31">
        <v>200.0</v>
      </c>
      <c r="D26" s="32" t="s">
        <v>63438</v>
      </c>
      <c r="E26" s="32" t="s">
        <v>63439</v>
      </c>
      <c r="F26" s="31">
        <v>145.0</v>
      </c>
      <c r="G26" s="31">
        <v>2.00261452E8</v>
      </c>
    </row>
    <row r="27" ht="12.75" customHeight="1">
      <c r="A27" s="27">
        <v>126.0</v>
      </c>
      <c r="B27" s="28" t="s">
        <v>63440</v>
      </c>
      <c r="C27" s="27">
        <v>200.0</v>
      </c>
      <c r="D27" s="28" t="s">
        <v>63441</v>
      </c>
      <c r="E27" s="28" t="s">
        <v>63442</v>
      </c>
      <c r="F27" s="27">
        <v>160.0</v>
      </c>
      <c r="G27" s="27">
        <v>2.00261607E8</v>
      </c>
    </row>
    <row r="28" ht="12.75" customHeight="1">
      <c r="A28" s="31">
        <v>126.0</v>
      </c>
      <c r="B28" s="32" t="s">
        <v>63443</v>
      </c>
      <c r="C28" s="31">
        <v>200.0</v>
      </c>
      <c r="D28" s="32" t="s">
        <v>63444</v>
      </c>
      <c r="E28" s="32" t="s">
        <v>63445</v>
      </c>
      <c r="F28" s="31">
        <v>169.0</v>
      </c>
      <c r="G28" s="31">
        <v>2.00261694E8</v>
      </c>
    </row>
    <row r="29" ht="12.75" customHeight="1">
      <c r="A29" s="27">
        <v>126.0</v>
      </c>
      <c r="B29" s="28" t="s">
        <v>63446</v>
      </c>
      <c r="C29" s="27">
        <v>200.0</v>
      </c>
      <c r="D29" s="28" t="s">
        <v>63447</v>
      </c>
      <c r="E29" s="28" t="s">
        <v>63448</v>
      </c>
      <c r="F29" s="27">
        <v>172.0</v>
      </c>
      <c r="G29" s="27">
        <v>2.00261728E8</v>
      </c>
    </row>
    <row r="30" ht="12.75" customHeight="1">
      <c r="A30" s="31">
        <v>126.0</v>
      </c>
      <c r="B30" s="32" t="s">
        <v>63449</v>
      </c>
      <c r="C30" s="31">
        <v>200.0</v>
      </c>
      <c r="D30" s="32" t="s">
        <v>63450</v>
      </c>
      <c r="E30" s="32" t="s">
        <v>63451</v>
      </c>
      <c r="F30" s="31">
        <v>187.0</v>
      </c>
      <c r="G30" s="31">
        <v>2.00261878E8</v>
      </c>
    </row>
    <row r="31" ht="12.75" customHeight="1">
      <c r="A31" s="27">
        <v>126.0</v>
      </c>
      <c r="B31" s="28" t="s">
        <v>63452</v>
      </c>
      <c r="C31" s="27">
        <v>200.0</v>
      </c>
      <c r="D31" s="28" t="s">
        <v>63453</v>
      </c>
      <c r="E31" s="28" t="s">
        <v>63454</v>
      </c>
      <c r="F31" s="27">
        <v>196.0</v>
      </c>
      <c r="G31" s="27">
        <v>2.0026196E8</v>
      </c>
    </row>
    <row r="32" ht="12.75" customHeight="1">
      <c r="A32" s="31">
        <v>126.0</v>
      </c>
      <c r="B32" s="32" t="s">
        <v>63455</v>
      </c>
      <c r="C32" s="31">
        <v>200.0</v>
      </c>
      <c r="D32" s="32" t="s">
        <v>63456</v>
      </c>
      <c r="E32" s="32" t="s">
        <v>63457</v>
      </c>
      <c r="F32" s="31">
        <v>208.0</v>
      </c>
      <c r="G32" s="31">
        <v>2.0026208E8</v>
      </c>
    </row>
    <row r="33" ht="12.75" customHeight="1">
      <c r="A33" s="27">
        <v>126.0</v>
      </c>
      <c r="B33" s="28" t="s">
        <v>63458</v>
      </c>
      <c r="C33" s="27">
        <v>200.0</v>
      </c>
      <c r="D33" s="28" t="s">
        <v>63459</v>
      </c>
      <c r="E33" s="28" t="s">
        <v>63460</v>
      </c>
      <c r="F33" s="27">
        <v>229.0</v>
      </c>
      <c r="G33" s="27">
        <v>2.00262293E8</v>
      </c>
    </row>
    <row r="34" ht="12.75" customHeight="1">
      <c r="A34" s="31">
        <v>126.0</v>
      </c>
      <c r="B34" s="32" t="s">
        <v>63461</v>
      </c>
      <c r="C34" s="31">
        <v>200.0</v>
      </c>
      <c r="D34" s="32" t="s">
        <v>63462</v>
      </c>
      <c r="E34" s="32" t="s">
        <v>63463</v>
      </c>
      <c r="F34" s="31">
        <v>232.0</v>
      </c>
      <c r="G34" s="31">
        <v>2.00262327E8</v>
      </c>
    </row>
    <row r="35" ht="12.75" customHeight="1">
      <c r="A35" s="27">
        <v>126.0</v>
      </c>
      <c r="B35" s="28" t="s">
        <v>63464</v>
      </c>
      <c r="C35" s="27">
        <v>200.0</v>
      </c>
      <c r="D35" s="28" t="s">
        <v>63465</v>
      </c>
      <c r="E35" s="28" t="s">
        <v>63466</v>
      </c>
      <c r="F35" s="27">
        <v>244.0</v>
      </c>
      <c r="G35" s="27">
        <v>2.00262448E8</v>
      </c>
    </row>
    <row r="36" ht="12.75" customHeight="1">
      <c r="A36" s="31">
        <v>126.0</v>
      </c>
      <c r="B36" s="32" t="s">
        <v>63467</v>
      </c>
      <c r="C36" s="31">
        <v>200.0</v>
      </c>
      <c r="D36" s="32" t="s">
        <v>63468</v>
      </c>
      <c r="E36" s="32" t="s">
        <v>63469</v>
      </c>
      <c r="F36" s="31">
        <v>247.0</v>
      </c>
      <c r="G36" s="31">
        <v>2.00262477E8</v>
      </c>
    </row>
    <row r="37" ht="12.75" customHeight="1">
      <c r="A37" s="27">
        <v>126.0</v>
      </c>
      <c r="B37" s="28" t="s">
        <v>63470</v>
      </c>
      <c r="C37" s="27">
        <v>200.0</v>
      </c>
      <c r="D37" s="28" t="s">
        <v>63471</v>
      </c>
      <c r="E37" s="28" t="s">
        <v>63472</v>
      </c>
      <c r="F37" s="27">
        <v>253.0</v>
      </c>
      <c r="G37" s="27">
        <v>2.0026253E8</v>
      </c>
    </row>
    <row r="38" ht="12.75" customHeight="1">
      <c r="A38" s="31">
        <v>126.0</v>
      </c>
      <c r="B38" s="32" t="s">
        <v>63473</v>
      </c>
      <c r="C38" s="31">
        <v>200.0</v>
      </c>
      <c r="D38" s="32" t="s">
        <v>63474</v>
      </c>
      <c r="E38" s="32" t="s">
        <v>63475</v>
      </c>
      <c r="F38" s="31">
        <v>262.0</v>
      </c>
      <c r="G38" s="31">
        <v>2.00262622E8</v>
      </c>
    </row>
    <row r="39" ht="12.75" customHeight="1">
      <c r="A39" s="27">
        <v>126.0</v>
      </c>
      <c r="B39" s="28" t="s">
        <v>63476</v>
      </c>
      <c r="C39" s="27">
        <v>200.0</v>
      </c>
      <c r="D39" s="28" t="s">
        <v>63477</v>
      </c>
      <c r="E39" s="28" t="s">
        <v>63478</v>
      </c>
      <c r="F39" s="27">
        <v>265.0</v>
      </c>
      <c r="G39" s="27">
        <v>2.00262651E8</v>
      </c>
    </row>
    <row r="40" ht="12.75" customHeight="1">
      <c r="A40" s="31">
        <v>126.0</v>
      </c>
      <c r="B40" s="32" t="s">
        <v>63479</v>
      </c>
      <c r="C40" s="31">
        <v>200.0</v>
      </c>
      <c r="D40" s="32" t="s">
        <v>63480</v>
      </c>
      <c r="E40" s="32" t="s">
        <v>63481</v>
      </c>
      <c r="F40" s="31">
        <v>274.0</v>
      </c>
      <c r="G40" s="31">
        <v>2.00262743E8</v>
      </c>
    </row>
    <row r="41" ht="12.75" customHeight="1">
      <c r="A41" s="27">
        <v>126.0</v>
      </c>
      <c r="B41" s="28" t="s">
        <v>63482</v>
      </c>
      <c r="C41" s="27">
        <v>200.0</v>
      </c>
      <c r="D41" s="28" t="s">
        <v>63483</v>
      </c>
      <c r="E41" s="28" t="s">
        <v>63484</v>
      </c>
      <c r="F41" s="27">
        <v>283.0</v>
      </c>
      <c r="G41" s="27">
        <v>2.00262835E8</v>
      </c>
    </row>
    <row r="42" ht="12.75" customHeight="1">
      <c r="A42" s="31">
        <v>126.0</v>
      </c>
      <c r="B42" s="32" t="s">
        <v>63485</v>
      </c>
      <c r="C42" s="31">
        <v>200.0</v>
      </c>
      <c r="D42" s="32" t="s">
        <v>63486</v>
      </c>
      <c r="E42" s="32" t="s">
        <v>63487</v>
      </c>
      <c r="F42" s="31">
        <v>289.0</v>
      </c>
      <c r="G42" s="31">
        <v>2.00262893E8</v>
      </c>
    </row>
    <row r="43" ht="12.75" customHeight="1">
      <c r="A43" s="27">
        <v>126.0</v>
      </c>
      <c r="B43" s="28" t="s">
        <v>63488</v>
      </c>
      <c r="C43" s="27">
        <v>200.0</v>
      </c>
      <c r="D43" s="28" t="s">
        <v>63489</v>
      </c>
      <c r="E43" s="28" t="s">
        <v>63490</v>
      </c>
      <c r="F43" s="27">
        <v>301.0</v>
      </c>
      <c r="G43" s="27">
        <v>2.00263018E8</v>
      </c>
    </row>
    <row r="44" ht="12.75" customHeight="1">
      <c r="A44" s="31">
        <v>126.0</v>
      </c>
      <c r="B44" s="32" t="s">
        <v>63491</v>
      </c>
      <c r="C44" s="31">
        <v>200.0</v>
      </c>
      <c r="D44" s="32" t="s">
        <v>63492</v>
      </c>
      <c r="E44" s="32" t="s">
        <v>63493</v>
      </c>
      <c r="F44" s="31">
        <v>304.0</v>
      </c>
      <c r="G44" s="31">
        <v>2.00263047E8</v>
      </c>
    </row>
    <row r="45" ht="12.75" customHeight="1">
      <c r="A45" s="27">
        <v>126.0</v>
      </c>
      <c r="B45" s="28" t="s">
        <v>63494</v>
      </c>
      <c r="C45" s="27">
        <v>200.0</v>
      </c>
      <c r="D45" s="28" t="s">
        <v>63495</v>
      </c>
      <c r="E45" s="28" t="s">
        <v>63496</v>
      </c>
      <c r="F45" s="27">
        <v>310.0</v>
      </c>
      <c r="G45" s="27">
        <v>2.002631E8</v>
      </c>
    </row>
    <row r="46" ht="12.75" customHeight="1">
      <c r="A46" s="31">
        <v>126.0</v>
      </c>
      <c r="B46" s="32" t="s">
        <v>63497</v>
      </c>
      <c r="C46" s="31">
        <v>200.0</v>
      </c>
      <c r="D46" s="32" t="s">
        <v>63498</v>
      </c>
      <c r="E46" s="32" t="s">
        <v>63499</v>
      </c>
      <c r="F46" s="31">
        <v>316.0</v>
      </c>
      <c r="G46" s="31">
        <v>2.00263168E8</v>
      </c>
    </row>
    <row r="47" ht="12.75" customHeight="1">
      <c r="A47" s="27">
        <v>126.0</v>
      </c>
      <c r="B47" s="28" t="s">
        <v>63500</v>
      </c>
      <c r="C47" s="27">
        <v>200.0</v>
      </c>
      <c r="D47" s="28" t="s">
        <v>63501</v>
      </c>
      <c r="E47" s="28" t="s">
        <v>63502</v>
      </c>
      <c r="F47" s="27">
        <v>319.0</v>
      </c>
      <c r="G47" s="27">
        <v>2.00263197E8</v>
      </c>
    </row>
    <row r="48" ht="12.75" customHeight="1">
      <c r="A48" s="31">
        <v>126.0</v>
      </c>
      <c r="B48" s="32" t="s">
        <v>63503</v>
      </c>
      <c r="C48" s="31">
        <v>200.0</v>
      </c>
      <c r="D48" s="32" t="s">
        <v>63504</v>
      </c>
      <c r="E48" s="32" t="s">
        <v>63505</v>
      </c>
      <c r="F48" s="31">
        <v>331.0</v>
      </c>
      <c r="G48" s="31">
        <v>2.00263313E8</v>
      </c>
    </row>
    <row r="49" ht="12.75" customHeight="1">
      <c r="A49" s="27">
        <v>126.0</v>
      </c>
      <c r="B49" s="28" t="s">
        <v>63506</v>
      </c>
      <c r="C49" s="27">
        <v>200.0</v>
      </c>
      <c r="D49" s="28" t="s">
        <v>63507</v>
      </c>
      <c r="E49" s="28" t="s">
        <v>63508</v>
      </c>
      <c r="F49" s="27">
        <v>343.0</v>
      </c>
      <c r="G49" s="27">
        <v>2.00263434E8</v>
      </c>
    </row>
    <row r="50" ht="12.75" customHeight="1">
      <c r="A50" s="31">
        <v>126.0</v>
      </c>
      <c r="B50" s="32" t="s">
        <v>63509</v>
      </c>
      <c r="C50" s="31">
        <v>200.0</v>
      </c>
      <c r="D50" s="32" t="s">
        <v>63510</v>
      </c>
      <c r="E50" s="32" t="s">
        <v>63511</v>
      </c>
      <c r="F50" s="31">
        <v>346.0</v>
      </c>
      <c r="G50" s="31">
        <v>2.00263463E8</v>
      </c>
    </row>
    <row r="51" ht="12.75" customHeight="1">
      <c r="A51" s="27">
        <v>126.0</v>
      </c>
      <c r="B51" s="28" t="s">
        <v>63512</v>
      </c>
      <c r="C51" s="27">
        <v>200.0</v>
      </c>
      <c r="D51" s="28" t="s">
        <v>63513</v>
      </c>
      <c r="E51" s="28" t="s">
        <v>63514</v>
      </c>
      <c r="F51" s="27">
        <v>352.0</v>
      </c>
      <c r="G51" s="27">
        <v>2.00263526E8</v>
      </c>
    </row>
    <row r="52" ht="12.75" customHeight="1">
      <c r="A52" s="31">
        <v>126.0</v>
      </c>
      <c r="B52" s="32" t="s">
        <v>63515</v>
      </c>
      <c r="C52" s="31">
        <v>200.0</v>
      </c>
      <c r="D52" s="32" t="s">
        <v>63516</v>
      </c>
      <c r="E52" s="32" t="s">
        <v>63517</v>
      </c>
      <c r="F52" s="31">
        <v>373.0</v>
      </c>
      <c r="G52" s="31">
        <v>2.00263739E8</v>
      </c>
    </row>
    <row r="53" ht="12.75" customHeight="1">
      <c r="A53" s="27">
        <v>126.0</v>
      </c>
      <c r="B53" s="28" t="s">
        <v>63518</v>
      </c>
      <c r="C53" s="27">
        <v>200.0</v>
      </c>
      <c r="D53" s="28" t="s">
        <v>63519</v>
      </c>
      <c r="E53" s="28" t="s">
        <v>63520</v>
      </c>
      <c r="F53" s="27">
        <v>376.0</v>
      </c>
      <c r="G53" s="27">
        <v>2.00263768E8</v>
      </c>
    </row>
    <row r="54" ht="12.75" customHeight="1">
      <c r="A54" s="31">
        <v>126.0</v>
      </c>
      <c r="B54" s="32" t="s">
        <v>63521</v>
      </c>
      <c r="C54" s="31">
        <v>200.0</v>
      </c>
      <c r="D54" s="32" t="s">
        <v>63522</v>
      </c>
      <c r="E54" s="32" t="s">
        <v>63523</v>
      </c>
      <c r="F54" s="31">
        <v>382.0</v>
      </c>
      <c r="G54" s="31">
        <v>2.00263821E8</v>
      </c>
    </row>
    <row r="55" ht="12.75" customHeight="1">
      <c r="A55" s="27">
        <v>126.0</v>
      </c>
      <c r="B55" s="28" t="s">
        <v>63524</v>
      </c>
      <c r="C55" s="27">
        <v>200.0</v>
      </c>
      <c r="D55" s="28" t="s">
        <v>63525</v>
      </c>
      <c r="E55" s="28" t="s">
        <v>63526</v>
      </c>
      <c r="F55" s="27">
        <v>403.0</v>
      </c>
      <c r="G55" s="27">
        <v>2.00264033E8</v>
      </c>
    </row>
    <row r="56" ht="12.75" customHeight="1">
      <c r="A56" s="31">
        <v>126.0</v>
      </c>
      <c r="B56" s="32" t="s">
        <v>63527</v>
      </c>
      <c r="C56" s="31">
        <v>200.0</v>
      </c>
      <c r="D56" s="32" t="s">
        <v>63528</v>
      </c>
      <c r="E56" s="32" t="s">
        <v>63529</v>
      </c>
      <c r="F56" s="31">
        <v>409.0</v>
      </c>
      <c r="G56" s="31">
        <v>2.00264091E8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63530</v>
      </c>
      <c r="C1" s="27">
        <v>200.0</v>
      </c>
      <c r="D1" s="28" t="s">
        <v>63531</v>
      </c>
      <c r="E1" s="28" t="s">
        <v>63532</v>
      </c>
      <c r="F1" s="27">
        <v>418.0</v>
      </c>
      <c r="G1" s="27">
        <v>2.00264183E8</v>
      </c>
    </row>
    <row r="2" ht="12.75" customHeight="1">
      <c r="A2" s="31">
        <v>126.0</v>
      </c>
      <c r="B2" s="32" t="s">
        <v>63533</v>
      </c>
      <c r="C2" s="31">
        <v>200.0</v>
      </c>
      <c r="D2" s="32" t="s">
        <v>63534</v>
      </c>
      <c r="E2" s="32" t="s">
        <v>63535</v>
      </c>
      <c r="F2" s="31">
        <v>439.0</v>
      </c>
      <c r="G2" s="31">
        <v>2.00264396E8</v>
      </c>
    </row>
    <row r="3" ht="12.75" customHeight="1">
      <c r="A3" s="27">
        <v>126.0</v>
      </c>
      <c r="B3" s="28" t="s">
        <v>63536</v>
      </c>
      <c r="C3" s="27">
        <v>200.0</v>
      </c>
      <c r="D3" s="28" t="s">
        <v>63537</v>
      </c>
      <c r="E3" s="28" t="s">
        <v>63538</v>
      </c>
      <c r="F3" s="27">
        <v>451.0</v>
      </c>
      <c r="G3" s="27">
        <v>2.00264512E8</v>
      </c>
    </row>
    <row r="4" ht="12.75" customHeight="1">
      <c r="A4" s="31">
        <v>126.0</v>
      </c>
      <c r="B4" s="32" t="s">
        <v>63539</v>
      </c>
      <c r="C4" s="31">
        <v>200.0</v>
      </c>
      <c r="D4" s="32" t="s">
        <v>63540</v>
      </c>
      <c r="E4" s="32" t="s">
        <v>63541</v>
      </c>
      <c r="F4" s="31">
        <v>460.0</v>
      </c>
      <c r="G4" s="31">
        <v>2.00264604E8</v>
      </c>
    </row>
    <row r="5" ht="12.75" customHeight="1">
      <c r="A5" s="27">
        <v>126.0</v>
      </c>
      <c r="B5" s="28" t="s">
        <v>63542</v>
      </c>
      <c r="C5" s="27">
        <v>200.0</v>
      </c>
      <c r="D5" s="28" t="s">
        <v>63543</v>
      </c>
      <c r="E5" s="28" t="s">
        <v>63544</v>
      </c>
      <c r="F5" s="27">
        <v>469.0</v>
      </c>
      <c r="G5" s="27">
        <v>2.00264691E8</v>
      </c>
    </row>
    <row r="6" ht="12.75" customHeight="1">
      <c r="A6" s="31">
        <v>126.0</v>
      </c>
      <c r="B6" s="32" t="s">
        <v>63545</v>
      </c>
      <c r="C6" s="31">
        <v>200.0</v>
      </c>
      <c r="D6" s="32" t="s">
        <v>63546</v>
      </c>
      <c r="E6" s="32" t="s">
        <v>63547</v>
      </c>
      <c r="F6" s="31">
        <v>481.0</v>
      </c>
      <c r="G6" s="31">
        <v>2.00264817E8</v>
      </c>
    </row>
    <row r="7" ht="12.75" customHeight="1">
      <c r="A7" s="27">
        <v>127.0</v>
      </c>
      <c r="B7" s="28" t="s">
        <v>63548</v>
      </c>
      <c r="C7" s="27">
        <v>200.0</v>
      </c>
      <c r="D7" s="28" t="s">
        <v>63549</v>
      </c>
      <c r="E7" s="28" t="s">
        <v>63550</v>
      </c>
      <c r="F7" s="29">
        <v>0.0</v>
      </c>
      <c r="G7" s="27">
        <v>2.00270001E8</v>
      </c>
    </row>
    <row r="8" ht="12.75" customHeight="1">
      <c r="A8" s="31">
        <v>127.0</v>
      </c>
      <c r="B8" s="32" t="s">
        <v>63551</v>
      </c>
      <c r="C8" s="31">
        <v>200.0</v>
      </c>
      <c r="D8" s="32" t="s">
        <v>63552</v>
      </c>
      <c r="E8" s="32" t="s">
        <v>63553</v>
      </c>
      <c r="F8" s="33">
        <v>11.0</v>
      </c>
      <c r="G8" s="31">
        <v>2.00270119E8</v>
      </c>
    </row>
    <row r="9" ht="12.75" customHeight="1">
      <c r="A9" s="27">
        <v>127.0</v>
      </c>
      <c r="B9" s="28" t="s">
        <v>63554</v>
      </c>
      <c r="C9" s="27">
        <v>200.0</v>
      </c>
      <c r="D9" s="28" t="s">
        <v>63555</v>
      </c>
      <c r="E9" s="28" t="s">
        <v>63556</v>
      </c>
      <c r="F9" s="29">
        <v>16.0</v>
      </c>
      <c r="G9" s="27">
        <v>2.00270164E8</v>
      </c>
    </row>
    <row r="10" ht="12.75" customHeight="1">
      <c r="A10" s="31">
        <v>127.0</v>
      </c>
      <c r="B10" s="32" t="s">
        <v>63557</v>
      </c>
      <c r="C10" s="31">
        <v>200.0</v>
      </c>
      <c r="D10" s="32" t="s">
        <v>63558</v>
      </c>
      <c r="E10" s="32" t="s">
        <v>63559</v>
      </c>
      <c r="F10" s="33">
        <v>19.0</v>
      </c>
      <c r="G10" s="31">
        <v>2.00270193E8</v>
      </c>
    </row>
    <row r="11" ht="12.75" customHeight="1">
      <c r="A11" s="27">
        <v>127.0</v>
      </c>
      <c r="B11" s="28" t="s">
        <v>63560</v>
      </c>
      <c r="C11" s="27">
        <v>200.0</v>
      </c>
      <c r="D11" s="28" t="s">
        <v>63561</v>
      </c>
      <c r="E11" s="28" t="s">
        <v>63562</v>
      </c>
      <c r="F11" s="29">
        <v>31.0</v>
      </c>
      <c r="G11" s="27">
        <v>2.00270319E8</v>
      </c>
    </row>
    <row r="12" ht="12.75" customHeight="1">
      <c r="A12" s="31">
        <v>127.0</v>
      </c>
      <c r="B12" s="32" t="s">
        <v>63563</v>
      </c>
      <c r="C12" s="31">
        <v>200.0</v>
      </c>
      <c r="D12" s="32" t="s">
        <v>63564</v>
      </c>
      <c r="E12" s="32" t="s">
        <v>63565</v>
      </c>
      <c r="F12" s="33">
        <v>34.0</v>
      </c>
      <c r="G12" s="31">
        <v>2.00270348E8</v>
      </c>
    </row>
    <row r="13" ht="12.75" customHeight="1">
      <c r="A13" s="27">
        <v>127.0</v>
      </c>
      <c r="B13" s="28" t="s">
        <v>63566</v>
      </c>
      <c r="C13" s="27">
        <v>200.0</v>
      </c>
      <c r="D13" s="28" t="s">
        <v>63567</v>
      </c>
      <c r="E13" s="28" t="s">
        <v>63568</v>
      </c>
      <c r="F13" s="29">
        <v>40.0</v>
      </c>
      <c r="G13" s="27">
        <v>2.00270401E8</v>
      </c>
    </row>
    <row r="14" ht="12.75" customHeight="1">
      <c r="A14" s="31">
        <v>127.0</v>
      </c>
      <c r="B14" s="32" t="s">
        <v>63569</v>
      </c>
      <c r="C14" s="31">
        <v>200.0</v>
      </c>
      <c r="D14" s="32" t="s">
        <v>63570</v>
      </c>
      <c r="E14" s="32" t="s">
        <v>63571</v>
      </c>
      <c r="F14" s="33">
        <v>46.0</v>
      </c>
      <c r="G14" s="31">
        <v>2.00270469E8</v>
      </c>
    </row>
    <row r="15" ht="12.75" customHeight="1">
      <c r="A15" s="27">
        <v>127.0</v>
      </c>
      <c r="B15" s="28" t="s">
        <v>63572</v>
      </c>
      <c r="C15" s="27">
        <v>200.0</v>
      </c>
      <c r="D15" s="28" t="s">
        <v>63573</v>
      </c>
      <c r="E15" s="28" t="s">
        <v>63574</v>
      </c>
      <c r="F15" s="29">
        <v>52.0</v>
      </c>
      <c r="G15" s="27">
        <v>2.00270522E8</v>
      </c>
    </row>
    <row r="16" ht="12.75" customHeight="1">
      <c r="A16" s="31">
        <v>127.0</v>
      </c>
      <c r="B16" s="32" t="s">
        <v>63575</v>
      </c>
      <c r="C16" s="31">
        <v>200.0</v>
      </c>
      <c r="D16" s="32" t="s">
        <v>63576</v>
      </c>
      <c r="E16" s="32" t="s">
        <v>63577</v>
      </c>
      <c r="F16" s="33">
        <v>55.0</v>
      </c>
      <c r="G16" s="31">
        <v>2.00270551E8</v>
      </c>
    </row>
    <row r="17" ht="12.75" customHeight="1">
      <c r="A17" s="27">
        <v>127.0</v>
      </c>
      <c r="B17" s="28" t="s">
        <v>63578</v>
      </c>
      <c r="C17" s="27">
        <v>200.0</v>
      </c>
      <c r="D17" s="28" t="s">
        <v>63579</v>
      </c>
      <c r="E17" s="28" t="s">
        <v>63580</v>
      </c>
      <c r="F17" s="29">
        <v>61.0</v>
      </c>
      <c r="G17" s="27">
        <v>2.00270614E8</v>
      </c>
    </row>
    <row r="18" ht="12.75" customHeight="1">
      <c r="A18" s="31">
        <v>127.0</v>
      </c>
      <c r="B18" s="32" t="s">
        <v>63581</v>
      </c>
      <c r="C18" s="31">
        <v>200.0</v>
      </c>
      <c r="D18" s="32" t="s">
        <v>63582</v>
      </c>
      <c r="E18" s="32" t="s">
        <v>63583</v>
      </c>
      <c r="F18" s="33">
        <v>70.0</v>
      </c>
      <c r="G18" s="31">
        <v>2.00270706E8</v>
      </c>
    </row>
    <row r="19" ht="12.75" customHeight="1">
      <c r="A19" s="27">
        <v>127.0</v>
      </c>
      <c r="B19" s="28" t="s">
        <v>63584</v>
      </c>
      <c r="C19" s="27">
        <v>200.0</v>
      </c>
      <c r="D19" s="28" t="s">
        <v>63585</v>
      </c>
      <c r="E19" s="28" t="s">
        <v>63586</v>
      </c>
      <c r="F19" s="29">
        <v>73.0</v>
      </c>
      <c r="G19" s="27">
        <v>2.00270735E8</v>
      </c>
    </row>
    <row r="20" ht="12.75" customHeight="1">
      <c r="A20" s="31">
        <v>127.0</v>
      </c>
      <c r="B20" s="32" t="s">
        <v>63587</v>
      </c>
      <c r="C20" s="31">
        <v>200.0</v>
      </c>
      <c r="D20" s="32" t="s">
        <v>63588</v>
      </c>
      <c r="E20" s="32" t="s">
        <v>63589</v>
      </c>
      <c r="F20" s="33">
        <v>76.0</v>
      </c>
      <c r="G20" s="31">
        <v>2.00270764E8</v>
      </c>
    </row>
    <row r="21" ht="12.75" customHeight="1">
      <c r="A21" s="27">
        <v>127.0</v>
      </c>
      <c r="B21" s="28" t="s">
        <v>63590</v>
      </c>
      <c r="C21" s="27">
        <v>200.0</v>
      </c>
      <c r="D21" s="28" t="s">
        <v>63591</v>
      </c>
      <c r="E21" s="28" t="s">
        <v>63592</v>
      </c>
      <c r="F21" s="29">
        <v>97.0</v>
      </c>
      <c r="G21" s="27">
        <v>2.00270977E8</v>
      </c>
    </row>
    <row r="22" ht="12.75" customHeight="1">
      <c r="A22" s="31">
        <v>127.0</v>
      </c>
      <c r="B22" s="32" t="s">
        <v>63593</v>
      </c>
      <c r="C22" s="31">
        <v>200.0</v>
      </c>
      <c r="D22" s="32" t="s">
        <v>63594</v>
      </c>
      <c r="E22" s="32" t="s">
        <v>63595</v>
      </c>
      <c r="F22" s="31">
        <v>100.0</v>
      </c>
      <c r="G22" s="31">
        <v>2.00271E8</v>
      </c>
    </row>
    <row r="23" ht="12.75" customHeight="1">
      <c r="A23" s="27">
        <v>127.0</v>
      </c>
      <c r="B23" s="28" t="s">
        <v>63596</v>
      </c>
      <c r="C23" s="27">
        <v>200.0</v>
      </c>
      <c r="D23" s="28" t="s">
        <v>63597</v>
      </c>
      <c r="E23" s="28" t="s">
        <v>63598</v>
      </c>
      <c r="F23" s="27">
        <v>127.0</v>
      </c>
      <c r="G23" s="27">
        <v>2.00271271E8</v>
      </c>
    </row>
    <row r="24" ht="12.75" customHeight="1">
      <c r="A24" s="31">
        <v>127.0</v>
      </c>
      <c r="B24" s="32" t="s">
        <v>63599</v>
      </c>
      <c r="C24" s="31">
        <v>200.0</v>
      </c>
      <c r="D24" s="32" t="s">
        <v>63600</v>
      </c>
      <c r="E24" s="32" t="s">
        <v>63601</v>
      </c>
      <c r="F24" s="31">
        <v>136.0</v>
      </c>
      <c r="G24" s="31">
        <v>2.00271363E8</v>
      </c>
    </row>
    <row r="25" ht="12.75" customHeight="1">
      <c r="A25" s="27">
        <v>127.0</v>
      </c>
      <c r="B25" s="28" t="s">
        <v>63602</v>
      </c>
      <c r="C25" s="27">
        <v>200.0</v>
      </c>
      <c r="D25" s="28" t="s">
        <v>63603</v>
      </c>
      <c r="E25" s="28" t="s">
        <v>63604</v>
      </c>
      <c r="F25" s="27">
        <v>145.0</v>
      </c>
      <c r="G25" s="27">
        <v>2.00271455E8</v>
      </c>
    </row>
    <row r="26" ht="12.75" customHeight="1">
      <c r="A26" s="31">
        <v>127.0</v>
      </c>
      <c r="B26" s="32" t="s">
        <v>63605</v>
      </c>
      <c r="C26" s="31">
        <v>200.0</v>
      </c>
      <c r="D26" s="32" t="s">
        <v>63606</v>
      </c>
      <c r="E26" s="32" t="s">
        <v>63607</v>
      </c>
      <c r="F26" s="31">
        <v>163.0</v>
      </c>
      <c r="G26" s="31">
        <v>2.00271639E8</v>
      </c>
    </row>
    <row r="27" ht="12.75" customHeight="1">
      <c r="A27" s="27">
        <v>127.0</v>
      </c>
      <c r="B27" s="28" t="s">
        <v>63608</v>
      </c>
      <c r="C27" s="27">
        <v>200.0</v>
      </c>
      <c r="D27" s="28" t="s">
        <v>63609</v>
      </c>
      <c r="E27" s="28" t="s">
        <v>63610</v>
      </c>
      <c r="F27" s="27">
        <v>175.0</v>
      </c>
      <c r="G27" s="27">
        <v>2.0027175E8</v>
      </c>
    </row>
    <row r="28" ht="12.75" customHeight="1">
      <c r="A28" s="31">
        <v>127.0</v>
      </c>
      <c r="B28" s="32" t="s">
        <v>63611</v>
      </c>
      <c r="C28" s="31">
        <v>200.0</v>
      </c>
      <c r="D28" s="32" t="s">
        <v>63612</v>
      </c>
      <c r="E28" s="32" t="s">
        <v>63613</v>
      </c>
      <c r="F28" s="31">
        <v>193.0</v>
      </c>
      <c r="G28" s="31">
        <v>2.00271934E8</v>
      </c>
    </row>
    <row r="29" ht="12.75" customHeight="1">
      <c r="A29" s="27">
        <v>127.0</v>
      </c>
      <c r="B29" s="28" t="s">
        <v>63614</v>
      </c>
      <c r="C29" s="27">
        <v>200.0</v>
      </c>
      <c r="D29" s="28" t="s">
        <v>63615</v>
      </c>
      <c r="E29" s="28" t="s">
        <v>63616</v>
      </c>
      <c r="F29" s="27">
        <v>196.0</v>
      </c>
      <c r="G29" s="27">
        <v>2.00271963E8</v>
      </c>
    </row>
    <row r="30" ht="12.75" customHeight="1">
      <c r="A30" s="31">
        <v>127.0</v>
      </c>
      <c r="B30" s="32" t="s">
        <v>63617</v>
      </c>
      <c r="C30" s="31">
        <v>200.0</v>
      </c>
      <c r="D30" s="32" t="s">
        <v>63618</v>
      </c>
      <c r="E30" s="32" t="s">
        <v>63619</v>
      </c>
      <c r="F30" s="31">
        <v>199.0</v>
      </c>
      <c r="G30" s="31">
        <v>2.00271992E8</v>
      </c>
    </row>
    <row r="31" ht="12.75" customHeight="1">
      <c r="A31" s="27">
        <v>127.0</v>
      </c>
      <c r="B31" s="28" t="s">
        <v>63620</v>
      </c>
      <c r="C31" s="27">
        <v>200.0</v>
      </c>
      <c r="D31" s="28" t="s">
        <v>63621</v>
      </c>
      <c r="E31" s="28" t="s">
        <v>63622</v>
      </c>
      <c r="F31" s="27">
        <v>217.0</v>
      </c>
      <c r="G31" s="27">
        <v>2.00272175E8</v>
      </c>
    </row>
    <row r="32" ht="12.75" customHeight="1">
      <c r="A32" s="31">
        <v>127.0</v>
      </c>
      <c r="B32" s="32" t="s">
        <v>63623</v>
      </c>
      <c r="C32" s="31">
        <v>200.0</v>
      </c>
      <c r="D32" s="32" t="s">
        <v>63624</v>
      </c>
      <c r="E32" s="32" t="s">
        <v>63625</v>
      </c>
      <c r="F32" s="31">
        <v>223.0</v>
      </c>
      <c r="G32" s="31">
        <v>2.00272238E8</v>
      </c>
    </row>
    <row r="33" ht="12.75" customHeight="1">
      <c r="A33" s="27">
        <v>127.0</v>
      </c>
      <c r="B33" s="28" t="s">
        <v>63626</v>
      </c>
      <c r="C33" s="27">
        <v>200.0</v>
      </c>
      <c r="D33" s="28" t="s">
        <v>63627</v>
      </c>
      <c r="E33" s="28" t="s">
        <v>63628</v>
      </c>
      <c r="F33" s="27">
        <v>232.0</v>
      </c>
      <c r="G33" s="27">
        <v>2.0027232E8</v>
      </c>
    </row>
    <row r="34" ht="12.75" customHeight="1">
      <c r="A34" s="31">
        <v>127.0</v>
      </c>
      <c r="B34" s="32" t="s">
        <v>63629</v>
      </c>
      <c r="C34" s="31">
        <v>200.0</v>
      </c>
      <c r="D34" s="32" t="s">
        <v>63630</v>
      </c>
      <c r="E34" s="32" t="s">
        <v>63631</v>
      </c>
      <c r="F34" s="31">
        <v>247.0</v>
      </c>
      <c r="G34" s="31">
        <v>2.0027247E8</v>
      </c>
    </row>
    <row r="35" ht="12.75" customHeight="1">
      <c r="A35" s="27">
        <v>127.0</v>
      </c>
      <c r="B35" s="28" t="s">
        <v>63632</v>
      </c>
      <c r="C35" s="27">
        <v>200.0</v>
      </c>
      <c r="D35" s="28" t="s">
        <v>63633</v>
      </c>
      <c r="E35" s="28" t="s">
        <v>63634</v>
      </c>
      <c r="F35" s="27">
        <v>268.0</v>
      </c>
      <c r="G35" s="27">
        <v>2.00272683E8</v>
      </c>
    </row>
    <row r="36" ht="12.75" customHeight="1">
      <c r="A36" s="31">
        <v>127.0</v>
      </c>
      <c r="B36" s="32" t="s">
        <v>63635</v>
      </c>
      <c r="C36" s="31">
        <v>200.0</v>
      </c>
      <c r="D36" s="32" t="s">
        <v>63636</v>
      </c>
      <c r="E36" s="32" t="s">
        <v>63637</v>
      </c>
      <c r="F36" s="31">
        <v>304.0</v>
      </c>
      <c r="G36" s="31">
        <v>2.0027304E8</v>
      </c>
    </row>
    <row r="37" ht="12.75" customHeight="1">
      <c r="A37" s="27">
        <v>127.0</v>
      </c>
      <c r="B37" s="28" t="s">
        <v>63638</v>
      </c>
      <c r="C37" s="27">
        <v>200.0</v>
      </c>
      <c r="D37" s="28" t="s">
        <v>63639</v>
      </c>
      <c r="E37" s="28" t="s">
        <v>63640</v>
      </c>
      <c r="F37" s="27">
        <v>322.0</v>
      </c>
      <c r="G37" s="27">
        <v>2.00273224E8</v>
      </c>
    </row>
    <row r="38" ht="12.75" customHeight="1">
      <c r="A38" s="31">
        <v>127.0</v>
      </c>
      <c r="B38" s="32" t="s">
        <v>63641</v>
      </c>
      <c r="C38" s="31">
        <v>200.0</v>
      </c>
      <c r="D38" s="32" t="s">
        <v>63642</v>
      </c>
      <c r="E38" s="32" t="s">
        <v>63643</v>
      </c>
      <c r="F38" s="31">
        <v>328.0</v>
      </c>
      <c r="G38" s="31">
        <v>2.00273282E8</v>
      </c>
    </row>
    <row r="39" ht="12.75" customHeight="1">
      <c r="A39" s="27">
        <v>127.0</v>
      </c>
      <c r="B39" s="28" t="s">
        <v>63644</v>
      </c>
      <c r="C39" s="27">
        <v>200.0</v>
      </c>
      <c r="D39" s="28" t="s">
        <v>63645</v>
      </c>
      <c r="E39" s="28" t="s">
        <v>63646</v>
      </c>
      <c r="F39" s="27">
        <v>337.0</v>
      </c>
      <c r="G39" s="27">
        <v>2.00273374E8</v>
      </c>
    </row>
    <row r="40" ht="12.75" customHeight="1">
      <c r="A40" s="31">
        <v>127.0</v>
      </c>
      <c r="B40" s="32" t="s">
        <v>63647</v>
      </c>
      <c r="C40" s="31">
        <v>200.0</v>
      </c>
      <c r="D40" s="32" t="s">
        <v>63648</v>
      </c>
      <c r="E40" s="32" t="s">
        <v>63649</v>
      </c>
      <c r="F40" s="31">
        <v>340.0</v>
      </c>
      <c r="G40" s="31">
        <v>2.00273408E8</v>
      </c>
    </row>
    <row r="41" ht="12.75" customHeight="1">
      <c r="A41" s="27">
        <v>127.0</v>
      </c>
      <c r="B41" s="28" t="s">
        <v>63650</v>
      </c>
      <c r="C41" s="27">
        <v>200.0</v>
      </c>
      <c r="D41" s="28" t="s">
        <v>63651</v>
      </c>
      <c r="E41" s="28" t="s">
        <v>63652</v>
      </c>
      <c r="F41" s="27">
        <v>343.0</v>
      </c>
      <c r="G41" s="27">
        <v>2.00273437E8</v>
      </c>
    </row>
    <row r="42" ht="12.75" customHeight="1">
      <c r="A42" s="31">
        <v>127.0</v>
      </c>
      <c r="B42" s="32" t="s">
        <v>63653</v>
      </c>
      <c r="C42" s="31">
        <v>200.0</v>
      </c>
      <c r="D42" s="32" t="s">
        <v>63654</v>
      </c>
      <c r="E42" s="32" t="s">
        <v>63655</v>
      </c>
      <c r="F42" s="31">
        <v>355.0</v>
      </c>
      <c r="G42" s="31">
        <v>2.00273558E8</v>
      </c>
    </row>
    <row r="43" ht="12.75" customHeight="1">
      <c r="A43" s="27">
        <v>127.0</v>
      </c>
      <c r="B43" s="28" t="s">
        <v>63656</v>
      </c>
      <c r="C43" s="27">
        <v>200.0</v>
      </c>
      <c r="D43" s="28" t="s">
        <v>63657</v>
      </c>
      <c r="E43" s="28" t="s">
        <v>63658</v>
      </c>
      <c r="F43" s="27">
        <v>364.0</v>
      </c>
      <c r="G43" s="27">
        <v>2.0027364E8</v>
      </c>
    </row>
    <row r="44" ht="12.75" customHeight="1">
      <c r="A44" s="31">
        <v>127.0</v>
      </c>
      <c r="B44" s="32" t="s">
        <v>63659</v>
      </c>
      <c r="C44" s="31">
        <v>200.0</v>
      </c>
      <c r="D44" s="32" t="s">
        <v>63660</v>
      </c>
      <c r="E44" s="32" t="s">
        <v>63661</v>
      </c>
      <c r="F44" s="31">
        <v>367.0</v>
      </c>
      <c r="G44" s="31">
        <v>2.00273679E8</v>
      </c>
    </row>
    <row r="45" ht="12.75" customHeight="1">
      <c r="A45" s="27">
        <v>127.0</v>
      </c>
      <c r="B45" s="28" t="s">
        <v>63662</v>
      </c>
      <c r="C45" s="27">
        <v>200.0</v>
      </c>
      <c r="D45" s="28" t="s">
        <v>63663</v>
      </c>
      <c r="E45" s="28" t="s">
        <v>63664</v>
      </c>
      <c r="F45" s="27">
        <v>376.0</v>
      </c>
      <c r="G45" s="27">
        <v>2.00273761E8</v>
      </c>
    </row>
    <row r="46" ht="12.75" customHeight="1">
      <c r="A46" s="31">
        <v>127.0</v>
      </c>
      <c r="B46" s="32" t="s">
        <v>63665</v>
      </c>
      <c r="C46" s="31">
        <v>200.0</v>
      </c>
      <c r="D46" s="32" t="s">
        <v>63666</v>
      </c>
      <c r="E46" s="32" t="s">
        <v>63667</v>
      </c>
      <c r="F46" s="31">
        <v>382.0</v>
      </c>
      <c r="G46" s="31">
        <v>2.00273824E8</v>
      </c>
    </row>
    <row r="47" ht="12.75" customHeight="1">
      <c r="A47" s="27">
        <v>127.0</v>
      </c>
      <c r="B47" s="28" t="s">
        <v>63668</v>
      </c>
      <c r="C47" s="27">
        <v>200.0</v>
      </c>
      <c r="D47" s="28" t="s">
        <v>63669</v>
      </c>
      <c r="E47" s="28" t="s">
        <v>63670</v>
      </c>
      <c r="F47" s="27">
        <v>385.0</v>
      </c>
      <c r="G47" s="27">
        <v>2.00273853E8</v>
      </c>
    </row>
    <row r="48" ht="12.75" customHeight="1">
      <c r="A48" s="31">
        <v>127.0</v>
      </c>
      <c r="B48" s="32" t="s">
        <v>63671</v>
      </c>
      <c r="C48" s="31">
        <v>200.0</v>
      </c>
      <c r="D48" s="32" t="s">
        <v>63672</v>
      </c>
      <c r="E48" s="32" t="s">
        <v>63673</v>
      </c>
      <c r="F48" s="31">
        <v>388.0</v>
      </c>
      <c r="G48" s="31">
        <v>2.00273882E8</v>
      </c>
    </row>
    <row r="49" ht="12.75" customHeight="1">
      <c r="A49" s="27">
        <v>127.0</v>
      </c>
      <c r="B49" s="28" t="s">
        <v>63674</v>
      </c>
      <c r="C49" s="27">
        <v>200.0</v>
      </c>
      <c r="D49" s="28" t="s">
        <v>63675</v>
      </c>
      <c r="E49" s="28" t="s">
        <v>63676</v>
      </c>
      <c r="F49" s="27">
        <v>394.0</v>
      </c>
      <c r="G49" s="27">
        <v>2.00273945E8</v>
      </c>
    </row>
    <row r="50" ht="12.75" customHeight="1">
      <c r="A50" s="31">
        <v>127.0</v>
      </c>
      <c r="B50" s="32" t="s">
        <v>63677</v>
      </c>
      <c r="C50" s="31">
        <v>200.0</v>
      </c>
      <c r="D50" s="32" t="s">
        <v>63678</v>
      </c>
      <c r="E50" s="32" t="s">
        <v>63679</v>
      </c>
      <c r="F50" s="31">
        <v>412.0</v>
      </c>
      <c r="G50" s="31">
        <v>2.00274128E8</v>
      </c>
    </row>
    <row r="51" ht="12.75" customHeight="1">
      <c r="A51" s="27">
        <v>127.0</v>
      </c>
      <c r="B51" s="28" t="s">
        <v>63680</v>
      </c>
      <c r="C51" s="27">
        <v>200.0</v>
      </c>
      <c r="D51" s="28" t="s">
        <v>63681</v>
      </c>
      <c r="E51" s="28" t="s">
        <v>63682</v>
      </c>
      <c r="F51" s="27">
        <v>418.0</v>
      </c>
      <c r="G51" s="27">
        <v>2.00274186E8</v>
      </c>
    </row>
    <row r="52" ht="12.75" customHeight="1">
      <c r="A52" s="31">
        <v>127.0</v>
      </c>
      <c r="B52" s="32" t="s">
        <v>63683</v>
      </c>
      <c r="C52" s="31">
        <v>200.0</v>
      </c>
      <c r="D52" s="32" t="s">
        <v>63684</v>
      </c>
      <c r="E52" s="32" t="s">
        <v>63685</v>
      </c>
      <c r="F52" s="31">
        <v>421.0</v>
      </c>
      <c r="G52" s="31">
        <v>2.0027421E8</v>
      </c>
    </row>
    <row r="53" ht="12.75" customHeight="1">
      <c r="A53" s="27">
        <v>127.0</v>
      </c>
      <c r="B53" s="28" t="s">
        <v>63686</v>
      </c>
      <c r="C53" s="27">
        <v>200.0</v>
      </c>
      <c r="D53" s="28" t="s">
        <v>63687</v>
      </c>
      <c r="E53" s="28" t="s">
        <v>63688</v>
      </c>
      <c r="F53" s="27">
        <v>454.0</v>
      </c>
      <c r="G53" s="27">
        <v>2.00274544E8</v>
      </c>
    </row>
    <row r="54" ht="12.75" customHeight="1">
      <c r="A54" s="31">
        <v>127.0</v>
      </c>
      <c r="B54" s="32" t="s">
        <v>63689</v>
      </c>
      <c r="C54" s="31">
        <v>200.0</v>
      </c>
      <c r="D54" s="32" t="s">
        <v>63690</v>
      </c>
      <c r="E54" s="32" t="s">
        <v>63691</v>
      </c>
      <c r="F54" s="31">
        <v>457.0</v>
      </c>
      <c r="G54" s="31">
        <v>2.00274573E8</v>
      </c>
    </row>
    <row r="55" ht="12.75" customHeight="1">
      <c r="A55" s="27">
        <v>127.0</v>
      </c>
      <c r="B55" s="28" t="s">
        <v>63692</v>
      </c>
      <c r="C55" s="27">
        <v>200.0</v>
      </c>
      <c r="D55" s="28" t="s">
        <v>63693</v>
      </c>
      <c r="E55" s="28" t="s">
        <v>63694</v>
      </c>
      <c r="F55" s="27">
        <v>469.0</v>
      </c>
      <c r="G55" s="27">
        <v>2.00274694E8</v>
      </c>
    </row>
    <row r="56" ht="12.75" customHeight="1">
      <c r="A56" s="31">
        <v>127.0</v>
      </c>
      <c r="B56" s="32" t="s">
        <v>63695</v>
      </c>
      <c r="C56" s="31">
        <v>200.0</v>
      </c>
      <c r="D56" s="32" t="s">
        <v>63696</v>
      </c>
      <c r="E56" s="32" t="s">
        <v>63697</v>
      </c>
      <c r="F56" s="31">
        <v>475.0</v>
      </c>
      <c r="G56" s="31">
        <v>2.00274757E8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63698</v>
      </c>
      <c r="C1" s="27">
        <v>200.0</v>
      </c>
      <c r="D1" s="28" t="s">
        <v>63699</v>
      </c>
      <c r="E1" s="28" t="s">
        <v>63700</v>
      </c>
      <c r="F1" s="27">
        <v>481.0</v>
      </c>
      <c r="G1" s="27">
        <v>2.0027481E8</v>
      </c>
    </row>
    <row r="2" ht="12.75" customHeight="1">
      <c r="A2" s="31">
        <v>127.0</v>
      </c>
      <c r="B2" s="32" t="s">
        <v>63701</v>
      </c>
      <c r="C2" s="31">
        <v>200.0</v>
      </c>
      <c r="D2" s="32" t="s">
        <v>63702</v>
      </c>
      <c r="E2" s="32" t="s">
        <v>63703</v>
      </c>
      <c r="F2" s="31">
        <v>493.0</v>
      </c>
      <c r="G2" s="31">
        <v>2.00274931E8</v>
      </c>
    </row>
    <row r="3" ht="12.75" customHeight="1">
      <c r="A3" s="27">
        <v>127.0</v>
      </c>
      <c r="B3" s="28" t="s">
        <v>63704</v>
      </c>
      <c r="C3" s="27">
        <v>200.0</v>
      </c>
      <c r="D3" s="28" t="s">
        <v>63705</v>
      </c>
      <c r="E3" s="28" t="s">
        <v>63706</v>
      </c>
      <c r="F3" s="27">
        <v>496.0</v>
      </c>
      <c r="G3" s="27">
        <v>2.0027496E8</v>
      </c>
    </row>
    <row r="4" ht="12.75" customHeight="1">
      <c r="A4" s="31">
        <v>127.0</v>
      </c>
      <c r="B4" s="32" t="s">
        <v>63707</v>
      </c>
      <c r="C4" s="31">
        <v>200.0</v>
      </c>
      <c r="D4" s="32" t="s">
        <v>63708</v>
      </c>
      <c r="E4" s="32" t="s">
        <v>63709</v>
      </c>
      <c r="F4" s="31">
        <v>511.0</v>
      </c>
      <c r="G4" s="31">
        <v>2.00275114E8</v>
      </c>
    </row>
    <row r="5" ht="12.75" customHeight="1">
      <c r="A5" s="27">
        <v>127.0</v>
      </c>
      <c r="B5" s="28" t="s">
        <v>63710</v>
      </c>
      <c r="C5" s="27">
        <v>200.0</v>
      </c>
      <c r="D5" s="28" t="s">
        <v>63711</v>
      </c>
      <c r="E5" s="28" t="s">
        <v>63712</v>
      </c>
      <c r="F5" s="27">
        <v>517.0</v>
      </c>
      <c r="G5" s="27">
        <v>2.00275172E8</v>
      </c>
    </row>
    <row r="6" ht="12.75" customHeight="1">
      <c r="A6" s="31">
        <v>127.0</v>
      </c>
      <c r="B6" s="32" t="s">
        <v>63713</v>
      </c>
      <c r="C6" s="31">
        <v>200.0</v>
      </c>
      <c r="D6" s="32" t="s">
        <v>63714</v>
      </c>
      <c r="E6" s="32" t="s">
        <v>63715</v>
      </c>
      <c r="F6" s="31">
        <v>532.0</v>
      </c>
      <c r="G6" s="31">
        <v>2.00275327E8</v>
      </c>
    </row>
    <row r="7" ht="12.75" customHeight="1">
      <c r="A7" s="27">
        <v>127.0</v>
      </c>
      <c r="B7" s="28" t="s">
        <v>63716</v>
      </c>
      <c r="C7" s="27">
        <v>200.0</v>
      </c>
      <c r="D7" s="28" t="s">
        <v>63717</v>
      </c>
      <c r="E7" s="28" t="s">
        <v>63718</v>
      </c>
      <c r="F7" s="27">
        <v>562.0</v>
      </c>
      <c r="G7" s="27">
        <v>2.00275622E8</v>
      </c>
    </row>
    <row r="8" ht="12.75" customHeight="1">
      <c r="A8" s="31">
        <v>127.0</v>
      </c>
      <c r="B8" s="32" t="s">
        <v>63719</v>
      </c>
      <c r="C8" s="31">
        <v>200.0</v>
      </c>
      <c r="D8" s="32" t="s">
        <v>63720</v>
      </c>
      <c r="E8" s="32" t="s">
        <v>63721</v>
      </c>
      <c r="F8" s="31">
        <v>571.0</v>
      </c>
      <c r="G8" s="31">
        <v>2.00275714E8</v>
      </c>
    </row>
    <row r="9" ht="12.75" customHeight="1">
      <c r="A9" s="27">
        <v>127.0</v>
      </c>
      <c r="B9" s="28" t="s">
        <v>63722</v>
      </c>
      <c r="C9" s="27">
        <v>200.0</v>
      </c>
      <c r="D9" s="28" t="s">
        <v>63723</v>
      </c>
      <c r="E9" s="28" t="s">
        <v>63724</v>
      </c>
      <c r="F9" s="27">
        <v>574.0</v>
      </c>
      <c r="G9" s="27">
        <v>2.00275743E8</v>
      </c>
    </row>
    <row r="10" ht="12.75" customHeight="1">
      <c r="A10" s="31">
        <v>127.0</v>
      </c>
      <c r="B10" s="32" t="s">
        <v>63725</v>
      </c>
      <c r="C10" s="31">
        <v>200.0</v>
      </c>
      <c r="D10" s="32" t="s">
        <v>63726</v>
      </c>
      <c r="E10" s="32" t="s">
        <v>63727</v>
      </c>
      <c r="F10" s="31">
        <v>577.0</v>
      </c>
      <c r="G10" s="31">
        <v>2.00275772E8</v>
      </c>
    </row>
    <row r="11" ht="12.75" customHeight="1">
      <c r="A11" s="27">
        <v>127.0</v>
      </c>
      <c r="B11" s="28" t="s">
        <v>63728</v>
      </c>
      <c r="C11" s="27">
        <v>200.0</v>
      </c>
      <c r="D11" s="28" t="s">
        <v>63729</v>
      </c>
      <c r="E11" s="28" t="s">
        <v>63730</v>
      </c>
      <c r="F11" s="27">
        <v>583.0</v>
      </c>
      <c r="G11" s="27">
        <v>2.00275835E8</v>
      </c>
    </row>
    <row r="12" ht="12.75" customHeight="1">
      <c r="A12" s="31">
        <v>127.0</v>
      </c>
      <c r="B12" s="32" t="s">
        <v>63731</v>
      </c>
      <c r="C12" s="31">
        <v>200.0</v>
      </c>
      <c r="D12" s="32" t="s">
        <v>63732</v>
      </c>
      <c r="E12" s="32" t="s">
        <v>63733</v>
      </c>
      <c r="F12" s="31">
        <v>595.0</v>
      </c>
      <c r="G12" s="31">
        <v>2.00275956E8</v>
      </c>
    </row>
    <row r="13" ht="12.75" customHeight="1">
      <c r="A13" s="27">
        <v>127.0</v>
      </c>
      <c r="B13" s="28" t="s">
        <v>63734</v>
      </c>
      <c r="C13" s="27">
        <v>200.0</v>
      </c>
      <c r="D13" s="28" t="s">
        <v>63735</v>
      </c>
      <c r="E13" s="28" t="s">
        <v>63736</v>
      </c>
      <c r="F13" s="27">
        <v>598.0</v>
      </c>
      <c r="G13" s="27">
        <v>2.00275985E8</v>
      </c>
    </row>
    <row r="14" ht="12.75" customHeight="1">
      <c r="A14" s="31">
        <v>127.0</v>
      </c>
      <c r="B14" s="32" t="s">
        <v>63737</v>
      </c>
      <c r="C14" s="31">
        <v>200.0</v>
      </c>
      <c r="D14" s="32" t="s">
        <v>63738</v>
      </c>
      <c r="E14" s="32" t="s">
        <v>63739</v>
      </c>
      <c r="F14" s="31">
        <v>616.0</v>
      </c>
      <c r="G14" s="31">
        <v>2.00276168E8</v>
      </c>
    </row>
    <row r="15" ht="12.75" customHeight="1">
      <c r="A15" s="27">
        <v>127.0</v>
      </c>
      <c r="B15" s="28" t="s">
        <v>63740</v>
      </c>
      <c r="C15" s="27">
        <v>200.0</v>
      </c>
      <c r="D15" s="28" t="s">
        <v>63741</v>
      </c>
      <c r="E15" s="28" t="s">
        <v>63742</v>
      </c>
      <c r="F15" s="27">
        <v>625.0</v>
      </c>
      <c r="G15" s="27">
        <v>2.0027625E8</v>
      </c>
    </row>
    <row r="16" ht="12.75" customHeight="1">
      <c r="A16" s="31">
        <v>127.0</v>
      </c>
      <c r="B16" s="32" t="s">
        <v>63743</v>
      </c>
      <c r="C16" s="31">
        <v>200.0</v>
      </c>
      <c r="D16" s="32" t="s">
        <v>63744</v>
      </c>
      <c r="E16" s="32" t="s">
        <v>63745</v>
      </c>
      <c r="F16" s="31">
        <v>643.0</v>
      </c>
      <c r="G16" s="31">
        <v>2.00276434E8</v>
      </c>
    </row>
    <row r="17" ht="12.75" customHeight="1">
      <c r="A17" s="27">
        <v>127.0</v>
      </c>
      <c r="B17" s="28" t="s">
        <v>63746</v>
      </c>
      <c r="C17" s="27">
        <v>200.0</v>
      </c>
      <c r="D17" s="28" t="s">
        <v>63747</v>
      </c>
      <c r="E17" s="28" t="s">
        <v>63748</v>
      </c>
      <c r="F17" s="27">
        <v>658.0</v>
      </c>
      <c r="G17" s="27">
        <v>2.00276584E8</v>
      </c>
    </row>
    <row r="18" ht="12.75" customHeight="1">
      <c r="A18" s="31">
        <v>127.0</v>
      </c>
      <c r="B18" s="32" t="s">
        <v>63749</v>
      </c>
      <c r="C18" s="31">
        <v>200.0</v>
      </c>
      <c r="D18" s="32" t="s">
        <v>63750</v>
      </c>
      <c r="E18" s="32" t="s">
        <v>63751</v>
      </c>
      <c r="F18" s="31">
        <v>661.0</v>
      </c>
      <c r="G18" s="31">
        <v>2.00276618E8</v>
      </c>
    </row>
    <row r="19" ht="12.75" customHeight="1">
      <c r="A19" s="27">
        <v>127.0</v>
      </c>
      <c r="B19" s="28" t="s">
        <v>63752</v>
      </c>
      <c r="C19" s="27">
        <v>200.0</v>
      </c>
      <c r="D19" s="28" t="s">
        <v>63753</v>
      </c>
      <c r="E19" s="28" t="s">
        <v>63754</v>
      </c>
      <c r="F19" s="27">
        <v>679.0</v>
      </c>
      <c r="G19" s="27">
        <v>2.00276797E8</v>
      </c>
    </row>
    <row r="20" ht="12.75" customHeight="1">
      <c r="A20" s="31">
        <v>127.0</v>
      </c>
      <c r="B20" s="32" t="s">
        <v>63755</v>
      </c>
      <c r="C20" s="31">
        <v>200.0</v>
      </c>
      <c r="D20" s="32" t="s">
        <v>63756</v>
      </c>
      <c r="E20" s="32" t="s">
        <v>63757</v>
      </c>
      <c r="F20" s="31">
        <v>688.0</v>
      </c>
      <c r="G20" s="31">
        <v>2.00276889E8</v>
      </c>
    </row>
    <row r="21" ht="12.75" customHeight="1">
      <c r="A21" s="27">
        <v>127.0</v>
      </c>
      <c r="B21" s="28" t="s">
        <v>63758</v>
      </c>
      <c r="C21" s="27">
        <v>200.0</v>
      </c>
      <c r="D21" s="28" t="s">
        <v>63759</v>
      </c>
      <c r="E21" s="28" t="s">
        <v>63760</v>
      </c>
      <c r="F21" s="27">
        <v>691.0</v>
      </c>
      <c r="G21" s="27">
        <v>2.00276913E8</v>
      </c>
    </row>
    <row r="22" ht="12.75" customHeight="1">
      <c r="A22" s="31">
        <v>127.0</v>
      </c>
      <c r="B22" s="32" t="s">
        <v>63761</v>
      </c>
      <c r="C22" s="31">
        <v>200.0</v>
      </c>
      <c r="D22" s="32" t="s">
        <v>63762</v>
      </c>
      <c r="E22" s="32" t="s">
        <v>63763</v>
      </c>
      <c r="F22" s="31">
        <v>697.0</v>
      </c>
      <c r="G22" s="31">
        <v>2.00276971E8</v>
      </c>
    </row>
    <row r="23" ht="12.75" customHeight="1">
      <c r="A23" s="27">
        <v>127.0</v>
      </c>
      <c r="B23" s="28" t="s">
        <v>63764</v>
      </c>
      <c r="C23" s="27">
        <v>200.0</v>
      </c>
      <c r="D23" s="28" t="s">
        <v>63765</v>
      </c>
      <c r="E23" s="28" t="s">
        <v>63766</v>
      </c>
      <c r="F23" s="27">
        <v>700.0</v>
      </c>
      <c r="G23" s="27">
        <v>2.00277004E8</v>
      </c>
    </row>
    <row r="24" ht="12.75" customHeight="1">
      <c r="A24" s="31">
        <v>728.0</v>
      </c>
      <c r="B24" s="32" t="s">
        <v>63767</v>
      </c>
      <c r="C24" s="31">
        <v>200.0</v>
      </c>
      <c r="D24" s="32" t="s">
        <v>63768</v>
      </c>
      <c r="E24" s="32" t="s">
        <v>63769</v>
      </c>
      <c r="F24" s="33">
        <v>4.0</v>
      </c>
      <c r="G24" s="31">
        <v>2.00280046E8</v>
      </c>
    </row>
    <row r="25" ht="12.75" customHeight="1">
      <c r="A25" s="27">
        <v>728.0</v>
      </c>
      <c r="B25" s="28" t="s">
        <v>63770</v>
      </c>
      <c r="C25" s="27">
        <v>200.0</v>
      </c>
      <c r="D25" s="28" t="s">
        <v>63771</v>
      </c>
      <c r="E25" s="28" t="s">
        <v>63772</v>
      </c>
      <c r="F25" s="29">
        <v>16.0</v>
      </c>
      <c r="G25" s="27">
        <v>2.00280167E8</v>
      </c>
    </row>
    <row r="26" ht="12.75" customHeight="1">
      <c r="A26" s="31">
        <v>728.0</v>
      </c>
      <c r="B26" s="32" t="s">
        <v>63773</v>
      </c>
      <c r="C26" s="31">
        <v>200.0</v>
      </c>
      <c r="D26" s="32" t="s">
        <v>63774</v>
      </c>
      <c r="E26" s="32" t="s">
        <v>63775</v>
      </c>
      <c r="F26" s="33">
        <v>25.0</v>
      </c>
      <c r="G26" s="31">
        <v>2.00280259E8</v>
      </c>
    </row>
    <row r="27" ht="12.75" customHeight="1">
      <c r="A27" s="27">
        <v>728.0</v>
      </c>
      <c r="B27" s="28" t="s">
        <v>63776</v>
      </c>
      <c r="C27" s="27">
        <v>200.0</v>
      </c>
      <c r="D27" s="28" t="s">
        <v>63777</v>
      </c>
      <c r="E27" s="28" t="s">
        <v>63778</v>
      </c>
      <c r="F27" s="29">
        <v>31.0</v>
      </c>
      <c r="G27" s="27">
        <v>2.00280312E8</v>
      </c>
    </row>
    <row r="28" ht="12.75" customHeight="1">
      <c r="A28" s="31">
        <v>728.0</v>
      </c>
      <c r="B28" s="32" t="s">
        <v>63779</v>
      </c>
      <c r="C28" s="31">
        <v>200.0</v>
      </c>
      <c r="D28" s="32" t="s">
        <v>63780</v>
      </c>
      <c r="E28" s="32" t="s">
        <v>63781</v>
      </c>
      <c r="F28" s="33">
        <v>34.0</v>
      </c>
      <c r="G28" s="31">
        <v>2.00280341E8</v>
      </c>
    </row>
    <row r="29" ht="12.75" customHeight="1">
      <c r="A29" s="27">
        <v>728.0</v>
      </c>
      <c r="B29" s="28" t="s">
        <v>63782</v>
      </c>
      <c r="C29" s="27">
        <v>200.0</v>
      </c>
      <c r="D29" s="28" t="s">
        <v>63783</v>
      </c>
      <c r="E29" s="28" t="s">
        <v>63784</v>
      </c>
      <c r="F29" s="29">
        <v>37.0</v>
      </c>
      <c r="G29" s="27">
        <v>2.0028037E8</v>
      </c>
    </row>
    <row r="30" ht="12.75" customHeight="1">
      <c r="A30" s="31">
        <v>728.0</v>
      </c>
      <c r="B30" s="32" t="s">
        <v>63785</v>
      </c>
      <c r="C30" s="31">
        <v>200.0</v>
      </c>
      <c r="D30" s="32" t="s">
        <v>63786</v>
      </c>
      <c r="E30" s="32" t="s">
        <v>63787</v>
      </c>
      <c r="F30" s="33">
        <v>40.0</v>
      </c>
      <c r="G30" s="31">
        <v>2.00280404E8</v>
      </c>
    </row>
    <row r="31" ht="12.75" customHeight="1">
      <c r="A31" s="27">
        <v>728.0</v>
      </c>
      <c r="B31" s="28" t="s">
        <v>63788</v>
      </c>
      <c r="C31" s="27">
        <v>200.0</v>
      </c>
      <c r="D31" s="28" t="s">
        <v>63789</v>
      </c>
      <c r="E31" s="28" t="s">
        <v>63790</v>
      </c>
      <c r="F31" s="29">
        <v>52.0</v>
      </c>
      <c r="G31" s="27">
        <v>2.00280525E8</v>
      </c>
    </row>
    <row r="32" ht="12.75" customHeight="1">
      <c r="A32" s="31">
        <v>728.0</v>
      </c>
      <c r="B32" s="32" t="s">
        <v>63791</v>
      </c>
      <c r="C32" s="31">
        <v>200.0</v>
      </c>
      <c r="D32" s="32" t="s">
        <v>63792</v>
      </c>
      <c r="E32" s="32" t="s">
        <v>63793</v>
      </c>
      <c r="F32" s="33">
        <v>55.0</v>
      </c>
      <c r="G32" s="31">
        <v>2.00280554E8</v>
      </c>
    </row>
    <row r="33" ht="12.75" customHeight="1">
      <c r="A33" s="27">
        <v>728.0</v>
      </c>
      <c r="B33" s="28" t="s">
        <v>63794</v>
      </c>
      <c r="C33" s="27">
        <v>200.0</v>
      </c>
      <c r="D33" s="28" t="s">
        <v>63795</v>
      </c>
      <c r="E33" s="28" t="s">
        <v>63796</v>
      </c>
      <c r="F33" s="29">
        <v>70.0</v>
      </c>
      <c r="G33" s="27">
        <v>2.00280709E8</v>
      </c>
    </row>
    <row r="34" ht="12.75" customHeight="1">
      <c r="A34" s="31">
        <v>728.0</v>
      </c>
      <c r="B34" s="32" t="s">
        <v>63797</v>
      </c>
      <c r="C34" s="31">
        <v>200.0</v>
      </c>
      <c r="D34" s="32" t="s">
        <v>63798</v>
      </c>
      <c r="E34" s="32" t="s">
        <v>63799</v>
      </c>
      <c r="F34" s="33">
        <v>79.0</v>
      </c>
      <c r="G34" s="31">
        <v>2.00280796E8</v>
      </c>
    </row>
    <row r="35" ht="12.75" customHeight="1">
      <c r="A35" s="27">
        <v>728.0</v>
      </c>
      <c r="B35" s="28" t="s">
        <v>63800</v>
      </c>
      <c r="C35" s="27">
        <v>200.0</v>
      </c>
      <c r="D35" s="28" t="s">
        <v>63801</v>
      </c>
      <c r="E35" s="28" t="s">
        <v>63802</v>
      </c>
      <c r="F35" s="29">
        <v>82.0</v>
      </c>
      <c r="G35" s="27">
        <v>2.0028082E8</v>
      </c>
    </row>
    <row r="36" ht="12.75" customHeight="1">
      <c r="A36" s="31">
        <v>728.0</v>
      </c>
      <c r="B36" s="32" t="s">
        <v>63803</v>
      </c>
      <c r="C36" s="31">
        <v>200.0</v>
      </c>
      <c r="D36" s="32" t="s">
        <v>63804</v>
      </c>
      <c r="E36" s="32" t="s">
        <v>63805</v>
      </c>
      <c r="F36" s="33">
        <v>91.0</v>
      </c>
      <c r="G36" s="31">
        <v>2.00280912E8</v>
      </c>
    </row>
    <row r="37" ht="12.75" customHeight="1">
      <c r="A37" s="27">
        <v>728.0</v>
      </c>
      <c r="B37" s="28" t="s">
        <v>63806</v>
      </c>
      <c r="C37" s="27">
        <v>200.0</v>
      </c>
      <c r="D37" s="28" t="s">
        <v>63807</v>
      </c>
      <c r="E37" s="28" t="s">
        <v>63808</v>
      </c>
      <c r="F37" s="29">
        <v>97.0</v>
      </c>
      <c r="G37" s="27">
        <v>2.0028097E8</v>
      </c>
    </row>
    <row r="38" ht="12.75" customHeight="1">
      <c r="A38" s="31">
        <v>728.0</v>
      </c>
      <c r="B38" s="32" t="s">
        <v>63809</v>
      </c>
      <c r="C38" s="31">
        <v>200.0</v>
      </c>
      <c r="D38" s="32" t="s">
        <v>63810</v>
      </c>
      <c r="E38" s="32" t="s">
        <v>63811</v>
      </c>
      <c r="F38" s="31">
        <v>100.0</v>
      </c>
      <c r="G38" s="31">
        <v>2.00281003E8</v>
      </c>
    </row>
    <row r="39" ht="12.75" customHeight="1">
      <c r="A39" s="27">
        <v>728.0</v>
      </c>
      <c r="B39" s="28" t="s">
        <v>63812</v>
      </c>
      <c r="C39" s="27">
        <v>200.0</v>
      </c>
      <c r="D39" s="28" t="s">
        <v>63813</v>
      </c>
      <c r="E39" s="28" t="s">
        <v>63814</v>
      </c>
      <c r="F39" s="27">
        <v>106.0</v>
      </c>
      <c r="G39" s="27">
        <v>2.00281061E8</v>
      </c>
    </row>
    <row r="40" ht="12.75" customHeight="1">
      <c r="A40" s="31">
        <v>728.0</v>
      </c>
      <c r="B40" s="32" t="s">
        <v>63815</v>
      </c>
      <c r="C40" s="31">
        <v>200.0</v>
      </c>
      <c r="D40" s="32" t="s">
        <v>63816</v>
      </c>
      <c r="E40" s="32" t="s">
        <v>63817</v>
      </c>
      <c r="F40" s="31">
        <v>109.0</v>
      </c>
      <c r="G40" s="31">
        <v>2.0028109E8</v>
      </c>
    </row>
    <row r="41" ht="12.75" customHeight="1">
      <c r="A41" s="27">
        <v>728.0</v>
      </c>
      <c r="B41" s="28" t="s">
        <v>63818</v>
      </c>
      <c r="C41" s="27">
        <v>200.0</v>
      </c>
      <c r="D41" s="28" t="s">
        <v>63819</v>
      </c>
      <c r="E41" s="28" t="s">
        <v>63820</v>
      </c>
      <c r="F41" s="27">
        <v>121.0</v>
      </c>
      <c r="G41" s="27">
        <v>2.00281216E8</v>
      </c>
    </row>
    <row r="42" ht="12.75" customHeight="1">
      <c r="A42" s="31">
        <v>728.0</v>
      </c>
      <c r="B42" s="32" t="s">
        <v>63821</v>
      </c>
      <c r="C42" s="31">
        <v>200.0</v>
      </c>
      <c r="D42" s="32" t="s">
        <v>63822</v>
      </c>
      <c r="E42" s="32" t="s">
        <v>63823</v>
      </c>
      <c r="F42" s="31">
        <v>133.0</v>
      </c>
      <c r="G42" s="31">
        <v>2.00281337E8</v>
      </c>
    </row>
    <row r="43" ht="12.75" customHeight="1">
      <c r="A43" s="27">
        <v>728.0</v>
      </c>
      <c r="B43" s="28" t="s">
        <v>63824</v>
      </c>
      <c r="C43" s="27">
        <v>200.0</v>
      </c>
      <c r="D43" s="28" t="s">
        <v>63825</v>
      </c>
      <c r="E43" s="28" t="s">
        <v>63826</v>
      </c>
      <c r="F43" s="27">
        <v>145.0</v>
      </c>
      <c r="G43" s="27">
        <v>2.00281458E8</v>
      </c>
    </row>
    <row r="44" ht="12.75" customHeight="1">
      <c r="A44" s="31">
        <v>728.0</v>
      </c>
      <c r="B44" s="32" t="s">
        <v>63827</v>
      </c>
      <c r="C44" s="31">
        <v>200.0</v>
      </c>
      <c r="D44" s="32" t="s">
        <v>63828</v>
      </c>
      <c r="E44" s="32" t="s">
        <v>63829</v>
      </c>
      <c r="F44" s="31">
        <v>163.0</v>
      </c>
      <c r="G44" s="31">
        <v>2.00281632E8</v>
      </c>
    </row>
    <row r="45" ht="12.75" customHeight="1">
      <c r="A45" s="27">
        <v>728.0</v>
      </c>
      <c r="B45" s="28" t="s">
        <v>63830</v>
      </c>
      <c r="C45" s="27">
        <v>200.0</v>
      </c>
      <c r="D45" s="28" t="s">
        <v>63831</v>
      </c>
      <c r="E45" s="28" t="s">
        <v>63832</v>
      </c>
      <c r="F45" s="27">
        <v>172.0</v>
      </c>
      <c r="G45" s="27">
        <v>2.00281724E8</v>
      </c>
    </row>
    <row r="46" ht="12.75" customHeight="1">
      <c r="A46" s="31">
        <v>728.0</v>
      </c>
      <c r="B46" s="32" t="s">
        <v>63833</v>
      </c>
      <c r="C46" s="31">
        <v>200.0</v>
      </c>
      <c r="D46" s="32" t="s">
        <v>63834</v>
      </c>
      <c r="E46" s="32" t="s">
        <v>63835</v>
      </c>
      <c r="F46" s="31">
        <v>175.0</v>
      </c>
      <c r="G46" s="31">
        <v>2.00281753E8</v>
      </c>
    </row>
    <row r="47" ht="12.75" customHeight="1">
      <c r="A47" s="27">
        <v>728.0</v>
      </c>
      <c r="B47" s="28" t="s">
        <v>63836</v>
      </c>
      <c r="C47" s="27">
        <v>200.0</v>
      </c>
      <c r="D47" s="28" t="s">
        <v>63837</v>
      </c>
      <c r="E47" s="28" t="s">
        <v>63838</v>
      </c>
      <c r="F47" s="27">
        <v>181.0</v>
      </c>
      <c r="G47" s="27">
        <v>2.00281816E8</v>
      </c>
    </row>
    <row r="48" ht="12.75" customHeight="1">
      <c r="A48" s="31">
        <v>728.0</v>
      </c>
      <c r="B48" s="32" t="s">
        <v>63839</v>
      </c>
      <c r="C48" s="31">
        <v>200.0</v>
      </c>
      <c r="D48" s="32" t="s">
        <v>63840</v>
      </c>
      <c r="E48" s="32" t="s">
        <v>63841</v>
      </c>
      <c r="F48" s="31">
        <v>187.0</v>
      </c>
      <c r="G48" s="31">
        <v>2.00281874E8</v>
      </c>
    </row>
    <row r="49" ht="12.75" customHeight="1">
      <c r="A49" s="27">
        <v>728.0</v>
      </c>
      <c r="B49" s="28" t="s">
        <v>63842</v>
      </c>
      <c r="C49" s="27">
        <v>200.0</v>
      </c>
      <c r="D49" s="28" t="s">
        <v>63843</v>
      </c>
      <c r="E49" s="28" t="s">
        <v>63844</v>
      </c>
      <c r="F49" s="27">
        <v>193.0</v>
      </c>
      <c r="G49" s="27">
        <v>2.00281937E8</v>
      </c>
    </row>
    <row r="50" ht="12.75" customHeight="1">
      <c r="A50" s="31">
        <v>728.0</v>
      </c>
      <c r="B50" s="32" t="s">
        <v>63845</v>
      </c>
      <c r="C50" s="31">
        <v>200.0</v>
      </c>
      <c r="D50" s="32" t="s">
        <v>63846</v>
      </c>
      <c r="E50" s="32" t="s">
        <v>63847</v>
      </c>
      <c r="F50" s="31">
        <v>205.0</v>
      </c>
      <c r="G50" s="31">
        <v>2.00282057E8</v>
      </c>
    </row>
    <row r="51" ht="12.75" customHeight="1">
      <c r="A51" s="27">
        <v>728.0</v>
      </c>
      <c r="B51" s="28" t="s">
        <v>63848</v>
      </c>
      <c r="C51" s="27">
        <v>200.0</v>
      </c>
      <c r="D51" s="28" t="s">
        <v>63849</v>
      </c>
      <c r="E51" s="28" t="s">
        <v>63850</v>
      </c>
      <c r="F51" s="27">
        <v>217.0</v>
      </c>
      <c r="G51" s="27">
        <v>2.00282178E8</v>
      </c>
    </row>
    <row r="52" ht="12.75" customHeight="1">
      <c r="A52" s="31">
        <v>728.0</v>
      </c>
      <c r="B52" s="32" t="s">
        <v>63851</v>
      </c>
      <c r="C52" s="31">
        <v>200.0</v>
      </c>
      <c r="D52" s="32" t="s">
        <v>63852</v>
      </c>
      <c r="E52" s="32" t="s">
        <v>63853</v>
      </c>
      <c r="F52" s="31">
        <v>220.0</v>
      </c>
      <c r="G52" s="31">
        <v>2.00282202E8</v>
      </c>
    </row>
    <row r="53" ht="12.75" customHeight="1">
      <c r="A53" s="27">
        <v>728.0</v>
      </c>
      <c r="B53" s="28" t="s">
        <v>63854</v>
      </c>
      <c r="C53" s="27">
        <v>200.0</v>
      </c>
      <c r="D53" s="28" t="s">
        <v>63855</v>
      </c>
      <c r="E53" s="28" t="s">
        <v>63856</v>
      </c>
      <c r="F53" s="27">
        <v>223.0</v>
      </c>
      <c r="G53" s="27">
        <v>2.00282231E8</v>
      </c>
    </row>
    <row r="54" ht="12.75" customHeight="1">
      <c r="A54" s="31">
        <v>728.0</v>
      </c>
      <c r="B54" s="32" t="s">
        <v>63857</v>
      </c>
      <c r="C54" s="31">
        <v>200.0</v>
      </c>
      <c r="D54" s="32" t="s">
        <v>63858</v>
      </c>
      <c r="E54" s="32" t="s">
        <v>63859</v>
      </c>
      <c r="F54" s="31">
        <v>232.0</v>
      </c>
      <c r="G54" s="31">
        <v>2.00282323E8</v>
      </c>
    </row>
    <row r="55" ht="12.75" customHeight="1">
      <c r="A55" s="27">
        <v>728.0</v>
      </c>
      <c r="B55" s="28" t="s">
        <v>63860</v>
      </c>
      <c r="C55" s="27">
        <v>200.0</v>
      </c>
      <c r="D55" s="28" t="s">
        <v>63861</v>
      </c>
      <c r="E55" s="28" t="s">
        <v>63862</v>
      </c>
      <c r="F55" s="27">
        <v>235.0</v>
      </c>
      <c r="G55" s="27">
        <v>2.00282352E8</v>
      </c>
    </row>
    <row r="56" ht="12.75" customHeight="1">
      <c r="A56" s="31">
        <v>329.0</v>
      </c>
      <c r="B56" s="32" t="s">
        <v>63863</v>
      </c>
      <c r="C56" s="31">
        <v>200.0</v>
      </c>
      <c r="D56" s="32" t="s">
        <v>63864</v>
      </c>
      <c r="E56" s="32" t="s">
        <v>63865</v>
      </c>
      <c r="F56" s="33">
        <v>4.0</v>
      </c>
      <c r="G56" s="31">
        <v>2.00290049E8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329.0</v>
      </c>
      <c r="B1" s="28" t="s">
        <v>63866</v>
      </c>
      <c r="C1" s="27">
        <v>200.0</v>
      </c>
      <c r="D1" s="28" t="s">
        <v>63867</v>
      </c>
      <c r="E1" s="28" t="s">
        <v>63868</v>
      </c>
      <c r="F1" s="29">
        <v>28.0</v>
      </c>
      <c r="G1" s="27">
        <v>2.00290281E8</v>
      </c>
    </row>
    <row r="2" ht="12.75" customHeight="1">
      <c r="A2" s="31">
        <v>329.0</v>
      </c>
      <c r="B2" s="32" t="s">
        <v>63869</v>
      </c>
      <c r="C2" s="31">
        <v>200.0</v>
      </c>
      <c r="D2" s="32" t="s">
        <v>63870</v>
      </c>
      <c r="E2" s="32" t="s">
        <v>63871</v>
      </c>
      <c r="F2" s="33">
        <v>32.0</v>
      </c>
      <c r="G2" s="31">
        <v>2.00290328E8</v>
      </c>
    </row>
    <row r="3" ht="12.75" customHeight="1">
      <c r="A3" s="27">
        <v>329.0</v>
      </c>
      <c r="B3" s="28" t="s">
        <v>63872</v>
      </c>
      <c r="C3" s="27">
        <v>200.0</v>
      </c>
      <c r="D3" s="28" t="s">
        <v>63873</v>
      </c>
      <c r="E3" s="28" t="s">
        <v>63874</v>
      </c>
      <c r="F3" s="29">
        <v>34.0</v>
      </c>
      <c r="G3" s="27">
        <v>2.00290344E8</v>
      </c>
    </row>
    <row r="4" ht="12.75" customHeight="1">
      <c r="A4" s="31">
        <v>329.0</v>
      </c>
      <c r="B4" s="32" t="s">
        <v>63875</v>
      </c>
      <c r="C4" s="31">
        <v>200.0</v>
      </c>
      <c r="D4" s="32" t="s">
        <v>63876</v>
      </c>
      <c r="E4" s="32" t="s">
        <v>63877</v>
      </c>
      <c r="F4" s="33">
        <v>43.0</v>
      </c>
      <c r="G4" s="31">
        <v>2.00290436E8</v>
      </c>
    </row>
    <row r="5" ht="12.75" customHeight="1">
      <c r="A5" s="27">
        <v>329.0</v>
      </c>
      <c r="B5" s="28" t="s">
        <v>63878</v>
      </c>
      <c r="C5" s="27">
        <v>200.0</v>
      </c>
      <c r="D5" s="28" t="s">
        <v>63879</v>
      </c>
      <c r="E5" s="28" t="s">
        <v>63880</v>
      </c>
      <c r="F5" s="29">
        <v>49.0</v>
      </c>
      <c r="G5" s="27">
        <v>2.00290494E8</v>
      </c>
    </row>
    <row r="6" ht="12.75" customHeight="1">
      <c r="A6" s="31">
        <v>329.0</v>
      </c>
      <c r="B6" s="32" t="s">
        <v>63881</v>
      </c>
      <c r="C6" s="31">
        <v>200.0</v>
      </c>
      <c r="D6" s="32" t="s">
        <v>63882</v>
      </c>
      <c r="E6" s="32" t="s">
        <v>63883</v>
      </c>
      <c r="F6" s="33">
        <v>52.0</v>
      </c>
      <c r="G6" s="31">
        <v>2.00290528E8</v>
      </c>
    </row>
    <row r="7" ht="12.75" customHeight="1">
      <c r="A7" s="27">
        <v>329.0</v>
      </c>
      <c r="B7" s="28" t="s">
        <v>63884</v>
      </c>
      <c r="C7" s="27">
        <v>200.0</v>
      </c>
      <c r="D7" s="28" t="s">
        <v>63885</v>
      </c>
      <c r="E7" s="28" t="s">
        <v>63886</v>
      </c>
      <c r="F7" s="29">
        <v>61.0</v>
      </c>
      <c r="G7" s="27">
        <v>2.0029061E8</v>
      </c>
    </row>
    <row r="8" ht="12.75" customHeight="1">
      <c r="A8" s="31">
        <v>329.0</v>
      </c>
      <c r="B8" s="32" t="s">
        <v>63887</v>
      </c>
      <c r="C8" s="31">
        <v>200.0</v>
      </c>
      <c r="D8" s="32" t="s">
        <v>63888</v>
      </c>
      <c r="E8" s="32" t="s">
        <v>63889</v>
      </c>
      <c r="F8" s="33">
        <v>70.0</v>
      </c>
      <c r="G8" s="31">
        <v>2.00290702E8</v>
      </c>
    </row>
    <row r="9" ht="12.75" customHeight="1">
      <c r="A9" s="27">
        <v>329.0</v>
      </c>
      <c r="B9" s="28" t="s">
        <v>63890</v>
      </c>
      <c r="C9" s="27">
        <v>200.0</v>
      </c>
      <c r="D9" s="28" t="s">
        <v>63891</v>
      </c>
      <c r="E9" s="28" t="s">
        <v>63892</v>
      </c>
      <c r="F9" s="29">
        <v>73.0</v>
      </c>
      <c r="G9" s="27">
        <v>2.00290731E8</v>
      </c>
    </row>
    <row r="10" ht="12.75" customHeight="1">
      <c r="A10" s="31">
        <v>329.0</v>
      </c>
      <c r="B10" s="32" t="s">
        <v>63893</v>
      </c>
      <c r="C10" s="31">
        <v>200.0</v>
      </c>
      <c r="D10" s="32" t="s">
        <v>63894</v>
      </c>
      <c r="E10" s="32" t="s">
        <v>63895</v>
      </c>
      <c r="F10" s="33">
        <v>88.0</v>
      </c>
      <c r="G10" s="31">
        <v>2.00290881E8</v>
      </c>
    </row>
    <row r="11" ht="12.75" customHeight="1">
      <c r="A11" s="27">
        <v>329.0</v>
      </c>
      <c r="B11" s="28" t="s">
        <v>63896</v>
      </c>
      <c r="C11" s="27">
        <v>200.0</v>
      </c>
      <c r="D11" s="28" t="s">
        <v>63897</v>
      </c>
      <c r="E11" s="28" t="s">
        <v>63898</v>
      </c>
      <c r="F11" s="29">
        <v>91.0</v>
      </c>
      <c r="G11" s="27">
        <v>2.00290915E8</v>
      </c>
    </row>
    <row r="12" ht="12.75" customHeight="1">
      <c r="A12" s="31">
        <v>329.0</v>
      </c>
      <c r="B12" s="32" t="s">
        <v>63899</v>
      </c>
      <c r="C12" s="31">
        <v>200.0</v>
      </c>
      <c r="D12" s="32" t="s">
        <v>63900</v>
      </c>
      <c r="E12" s="32" t="s">
        <v>63901</v>
      </c>
      <c r="F12" s="33">
        <v>97.0</v>
      </c>
      <c r="G12" s="31">
        <v>2.00290973E8</v>
      </c>
    </row>
    <row r="13" ht="12.75" customHeight="1">
      <c r="A13" s="27">
        <v>329.0</v>
      </c>
      <c r="B13" s="28" t="s">
        <v>63902</v>
      </c>
      <c r="C13" s="27">
        <v>200.0</v>
      </c>
      <c r="D13" s="28" t="s">
        <v>63903</v>
      </c>
      <c r="E13" s="28" t="s">
        <v>63904</v>
      </c>
      <c r="F13" s="27">
        <v>106.0</v>
      </c>
      <c r="G13" s="27">
        <v>2.00291064E8</v>
      </c>
    </row>
    <row r="14" ht="12.75" customHeight="1">
      <c r="A14" s="31">
        <v>329.0</v>
      </c>
      <c r="B14" s="32" t="s">
        <v>63905</v>
      </c>
      <c r="C14" s="31">
        <v>200.0</v>
      </c>
      <c r="D14" s="32" t="s">
        <v>63906</v>
      </c>
      <c r="E14" s="32" t="s">
        <v>63907</v>
      </c>
      <c r="F14" s="31">
        <v>109.0</v>
      </c>
      <c r="G14" s="31">
        <v>2.00291093E8</v>
      </c>
    </row>
    <row r="15" ht="12.75" customHeight="1">
      <c r="A15" s="27">
        <v>329.0</v>
      </c>
      <c r="B15" s="28" t="s">
        <v>63908</v>
      </c>
      <c r="C15" s="27">
        <v>200.0</v>
      </c>
      <c r="D15" s="28" t="s">
        <v>63909</v>
      </c>
      <c r="E15" s="28" t="s">
        <v>63910</v>
      </c>
      <c r="F15" s="27">
        <v>115.0</v>
      </c>
      <c r="G15" s="27">
        <v>2.00291156E8</v>
      </c>
    </row>
    <row r="16" ht="12.75" customHeight="1">
      <c r="A16" s="31">
        <v>329.0</v>
      </c>
      <c r="B16" s="32" t="s">
        <v>63911</v>
      </c>
      <c r="C16" s="31">
        <v>200.0</v>
      </c>
      <c r="D16" s="32" t="s">
        <v>63912</v>
      </c>
      <c r="E16" s="32" t="s">
        <v>63913</v>
      </c>
      <c r="F16" s="31">
        <v>118.0</v>
      </c>
      <c r="G16" s="31">
        <v>2.00291185E8</v>
      </c>
    </row>
    <row r="17" ht="12.75" customHeight="1">
      <c r="A17" s="27">
        <v>329.0</v>
      </c>
      <c r="B17" s="28" t="s">
        <v>63914</v>
      </c>
      <c r="C17" s="27">
        <v>200.0</v>
      </c>
      <c r="D17" s="28" t="s">
        <v>63915</v>
      </c>
      <c r="E17" s="28" t="s">
        <v>63916</v>
      </c>
      <c r="F17" s="27">
        <v>124.0</v>
      </c>
      <c r="G17" s="27">
        <v>2.00291248E8</v>
      </c>
    </row>
    <row r="18" ht="12.75" customHeight="1">
      <c r="A18" s="31">
        <v>329.0</v>
      </c>
      <c r="B18" s="32" t="s">
        <v>63917</v>
      </c>
      <c r="C18" s="31">
        <v>200.0</v>
      </c>
      <c r="D18" s="32" t="s">
        <v>63918</v>
      </c>
      <c r="E18" s="32" t="s">
        <v>63919</v>
      </c>
      <c r="F18" s="31">
        <v>127.0</v>
      </c>
      <c r="G18" s="31">
        <v>2.00291277E8</v>
      </c>
    </row>
    <row r="19" ht="12.75" customHeight="1">
      <c r="A19" s="27">
        <v>329.0</v>
      </c>
      <c r="B19" s="28" t="s">
        <v>63920</v>
      </c>
      <c r="C19" s="27">
        <v>200.0</v>
      </c>
      <c r="D19" s="28" t="s">
        <v>63921</v>
      </c>
      <c r="E19" s="28" t="s">
        <v>63922</v>
      </c>
      <c r="F19" s="27">
        <v>130.0</v>
      </c>
      <c r="G19" s="27">
        <v>2.00291301E8</v>
      </c>
    </row>
    <row r="20" ht="12.75" customHeight="1">
      <c r="A20" s="31">
        <v>329.0</v>
      </c>
      <c r="B20" s="32" t="s">
        <v>63923</v>
      </c>
      <c r="C20" s="31">
        <v>200.0</v>
      </c>
      <c r="D20" s="32" t="s">
        <v>63924</v>
      </c>
      <c r="E20" s="32" t="s">
        <v>63925</v>
      </c>
      <c r="F20" s="31">
        <v>136.0</v>
      </c>
      <c r="G20" s="31">
        <v>2.00291369E8</v>
      </c>
    </row>
    <row r="21" ht="12.75" customHeight="1">
      <c r="A21" s="27">
        <v>329.0</v>
      </c>
      <c r="B21" s="28" t="s">
        <v>63926</v>
      </c>
      <c r="C21" s="27">
        <v>200.0</v>
      </c>
      <c r="D21" s="28" t="s">
        <v>63927</v>
      </c>
      <c r="E21" s="28" t="s">
        <v>63928</v>
      </c>
      <c r="F21" s="27">
        <v>142.0</v>
      </c>
      <c r="G21" s="27">
        <v>2.00291422E8</v>
      </c>
    </row>
    <row r="22" ht="12.75" customHeight="1">
      <c r="A22" s="31">
        <v>329.0</v>
      </c>
      <c r="B22" s="32" t="s">
        <v>63929</v>
      </c>
      <c r="C22" s="31">
        <v>200.0</v>
      </c>
      <c r="D22" s="32" t="s">
        <v>63930</v>
      </c>
      <c r="E22" s="32" t="s">
        <v>63931</v>
      </c>
      <c r="F22" s="31">
        <v>145.0</v>
      </c>
      <c r="G22" s="31">
        <v>2.00291451E8</v>
      </c>
    </row>
    <row r="23" ht="12.75" customHeight="1">
      <c r="A23" s="27">
        <v>230.0</v>
      </c>
      <c r="B23" s="28" t="s">
        <v>63932</v>
      </c>
      <c r="C23" s="27">
        <v>200.0</v>
      </c>
      <c r="D23" s="28" t="s">
        <v>63933</v>
      </c>
      <c r="E23" s="28" t="s">
        <v>63934</v>
      </c>
      <c r="F23" s="29">
        <v>19.0</v>
      </c>
      <c r="G23" s="27">
        <v>2.00300197E8</v>
      </c>
    </row>
    <row r="24" ht="12.75" customHeight="1">
      <c r="A24" s="31">
        <v>230.0</v>
      </c>
      <c r="B24" s="32" t="s">
        <v>63935</v>
      </c>
      <c r="C24" s="31">
        <v>200.0</v>
      </c>
      <c r="D24" s="32" t="s">
        <v>63936</v>
      </c>
      <c r="E24" s="32" t="s">
        <v>63937</v>
      </c>
      <c r="F24" s="33">
        <v>31.0</v>
      </c>
      <c r="G24" s="31">
        <v>2.00300313E8</v>
      </c>
    </row>
    <row r="25" ht="12.75" customHeight="1">
      <c r="A25" s="27">
        <v>230.0</v>
      </c>
      <c r="B25" s="28" t="s">
        <v>63938</v>
      </c>
      <c r="C25" s="27">
        <v>200.0</v>
      </c>
      <c r="D25" s="28" t="s">
        <v>63939</v>
      </c>
      <c r="E25" s="28" t="s">
        <v>63940</v>
      </c>
      <c r="F25" s="29">
        <v>37.0</v>
      </c>
      <c r="G25" s="27">
        <v>2.00300371E8</v>
      </c>
    </row>
    <row r="26" ht="12.75" customHeight="1">
      <c r="A26" s="31">
        <v>230.0</v>
      </c>
      <c r="B26" s="32" t="s">
        <v>63941</v>
      </c>
      <c r="C26" s="31">
        <v>200.0</v>
      </c>
      <c r="D26" s="32" t="s">
        <v>63942</v>
      </c>
      <c r="E26" s="32" t="s">
        <v>63943</v>
      </c>
      <c r="F26" s="33">
        <v>52.0</v>
      </c>
      <c r="G26" s="31">
        <v>2.00300526E8</v>
      </c>
    </row>
    <row r="27" ht="12.75" customHeight="1">
      <c r="A27" s="27">
        <v>230.0</v>
      </c>
      <c r="B27" s="28" t="s">
        <v>63944</v>
      </c>
      <c r="C27" s="27">
        <v>200.0</v>
      </c>
      <c r="D27" s="28" t="s">
        <v>63945</v>
      </c>
      <c r="E27" s="28" t="s">
        <v>63946</v>
      </c>
      <c r="F27" s="29">
        <v>61.0</v>
      </c>
      <c r="G27" s="27">
        <v>2.00300618E8</v>
      </c>
    </row>
    <row r="28" ht="12.75" customHeight="1">
      <c r="A28" s="31">
        <v>230.0</v>
      </c>
      <c r="B28" s="32" t="s">
        <v>63947</v>
      </c>
      <c r="C28" s="31">
        <v>200.0</v>
      </c>
      <c r="D28" s="32" t="s">
        <v>63948</v>
      </c>
      <c r="E28" s="32" t="s">
        <v>63949</v>
      </c>
      <c r="F28" s="33">
        <v>67.0</v>
      </c>
      <c r="G28" s="31">
        <v>2.00300676E8</v>
      </c>
    </row>
    <row r="29" ht="12.75" customHeight="1">
      <c r="A29" s="27">
        <v>230.0</v>
      </c>
      <c r="B29" s="28" t="s">
        <v>63950</v>
      </c>
      <c r="C29" s="27">
        <v>200.0</v>
      </c>
      <c r="D29" s="28" t="s">
        <v>63951</v>
      </c>
      <c r="E29" s="28" t="s">
        <v>63952</v>
      </c>
      <c r="F29" s="29">
        <v>73.0</v>
      </c>
      <c r="G29" s="27">
        <v>2.00300739E8</v>
      </c>
    </row>
    <row r="30" ht="12.75" customHeight="1">
      <c r="A30" s="31">
        <v>230.0</v>
      </c>
      <c r="B30" s="32" t="s">
        <v>63953</v>
      </c>
      <c r="C30" s="31">
        <v>200.0</v>
      </c>
      <c r="D30" s="32" t="s">
        <v>63954</v>
      </c>
      <c r="E30" s="32" t="s">
        <v>63955</v>
      </c>
      <c r="F30" s="33">
        <v>97.0</v>
      </c>
      <c r="G30" s="31">
        <v>2.00300971E8</v>
      </c>
    </row>
    <row r="31" ht="12.75" customHeight="1">
      <c r="A31" s="27">
        <v>230.0</v>
      </c>
      <c r="B31" s="28" t="s">
        <v>63956</v>
      </c>
      <c r="C31" s="27">
        <v>200.0</v>
      </c>
      <c r="D31" s="28" t="s">
        <v>63957</v>
      </c>
      <c r="E31" s="28" t="s">
        <v>63958</v>
      </c>
      <c r="F31" s="27">
        <v>100.0</v>
      </c>
      <c r="G31" s="27">
        <v>2.00301004E8</v>
      </c>
    </row>
    <row r="32" ht="12.75" customHeight="1">
      <c r="A32" s="31">
        <v>230.0</v>
      </c>
      <c r="B32" s="32" t="s">
        <v>63959</v>
      </c>
      <c r="C32" s="31">
        <v>200.0</v>
      </c>
      <c r="D32" s="32" t="s">
        <v>63960</v>
      </c>
      <c r="E32" s="32" t="s">
        <v>63961</v>
      </c>
      <c r="F32" s="31">
        <v>103.0</v>
      </c>
      <c r="G32" s="31">
        <v>2.00301033E8</v>
      </c>
    </row>
    <row r="33" ht="12.75" customHeight="1">
      <c r="A33" s="27">
        <v>230.0</v>
      </c>
      <c r="B33" s="28" t="s">
        <v>63962</v>
      </c>
      <c r="C33" s="27">
        <v>200.0</v>
      </c>
      <c r="D33" s="28" t="s">
        <v>63963</v>
      </c>
      <c r="E33" s="28" t="s">
        <v>63964</v>
      </c>
      <c r="F33" s="27">
        <v>106.0</v>
      </c>
      <c r="G33" s="27">
        <v>2.00301062E8</v>
      </c>
    </row>
    <row r="34" ht="12.75" customHeight="1">
      <c r="A34" s="31">
        <v>230.0</v>
      </c>
      <c r="B34" s="32" t="s">
        <v>63965</v>
      </c>
      <c r="C34" s="31">
        <v>200.0</v>
      </c>
      <c r="D34" s="32" t="s">
        <v>63966</v>
      </c>
      <c r="E34" s="32" t="s">
        <v>63967</v>
      </c>
      <c r="F34" s="31">
        <v>115.0</v>
      </c>
      <c r="G34" s="31">
        <v>2.00301154E8</v>
      </c>
    </row>
    <row r="35" ht="12.75" customHeight="1">
      <c r="A35" s="27">
        <v>230.0</v>
      </c>
      <c r="B35" s="28" t="s">
        <v>63968</v>
      </c>
      <c r="C35" s="27">
        <v>200.0</v>
      </c>
      <c r="D35" s="28" t="s">
        <v>63969</v>
      </c>
      <c r="E35" s="28" t="s">
        <v>63970</v>
      </c>
      <c r="F35" s="27">
        <v>124.0</v>
      </c>
      <c r="G35" s="27">
        <v>2.00301246E8</v>
      </c>
    </row>
    <row r="36" ht="12.75" customHeight="1">
      <c r="A36" s="31">
        <v>230.0</v>
      </c>
      <c r="B36" s="32" t="s">
        <v>63971</v>
      </c>
      <c r="C36" s="31">
        <v>200.0</v>
      </c>
      <c r="D36" s="32" t="s">
        <v>63972</v>
      </c>
      <c r="E36" s="32" t="s">
        <v>63973</v>
      </c>
      <c r="F36" s="31">
        <v>127.0</v>
      </c>
      <c r="G36" s="31">
        <v>2.00301275E8</v>
      </c>
    </row>
    <row r="37" ht="12.75" customHeight="1">
      <c r="A37" s="27">
        <v>230.0</v>
      </c>
      <c r="B37" s="28" t="s">
        <v>63974</v>
      </c>
      <c r="C37" s="27">
        <v>200.0</v>
      </c>
      <c r="D37" s="28" t="s">
        <v>63975</v>
      </c>
      <c r="E37" s="28" t="s">
        <v>63976</v>
      </c>
      <c r="F37" s="27">
        <v>133.0</v>
      </c>
      <c r="G37" s="27">
        <v>2.00301338E8</v>
      </c>
    </row>
    <row r="38" ht="12.75" customHeight="1">
      <c r="A38" s="31">
        <v>230.0</v>
      </c>
      <c r="B38" s="32" t="s">
        <v>63977</v>
      </c>
      <c r="C38" s="31">
        <v>200.0</v>
      </c>
      <c r="D38" s="32" t="s">
        <v>63978</v>
      </c>
      <c r="E38" s="32" t="s">
        <v>63979</v>
      </c>
      <c r="F38" s="31">
        <v>142.0</v>
      </c>
      <c r="G38" s="31">
        <v>2.0030142E8</v>
      </c>
    </row>
    <row r="39" ht="12.75" customHeight="1">
      <c r="A39" s="27">
        <v>230.0</v>
      </c>
      <c r="B39" s="28" t="s">
        <v>63980</v>
      </c>
      <c r="C39" s="27">
        <v>200.0</v>
      </c>
      <c r="D39" s="28" t="s">
        <v>63981</v>
      </c>
      <c r="E39" s="28" t="s">
        <v>63982</v>
      </c>
      <c r="F39" s="27">
        <v>148.0</v>
      </c>
      <c r="G39" s="27">
        <v>2.00301488E8</v>
      </c>
    </row>
    <row r="40" ht="12.75" customHeight="1">
      <c r="A40" s="31">
        <v>632.0</v>
      </c>
      <c r="B40" s="32" t="s">
        <v>63983</v>
      </c>
      <c r="C40" s="31">
        <v>200.0</v>
      </c>
      <c r="D40" s="32" t="s">
        <v>63984</v>
      </c>
      <c r="E40" s="32" t="s">
        <v>63985</v>
      </c>
      <c r="F40" s="33">
        <v>16.0</v>
      </c>
      <c r="G40" s="31">
        <v>2.00320164E8</v>
      </c>
    </row>
    <row r="41" ht="12.75" customHeight="1">
      <c r="A41" s="27">
        <v>632.0</v>
      </c>
      <c r="B41" s="28" t="s">
        <v>63986</v>
      </c>
      <c r="C41" s="27">
        <v>200.0</v>
      </c>
      <c r="D41" s="28" t="s">
        <v>63987</v>
      </c>
      <c r="E41" s="28" t="s">
        <v>63988</v>
      </c>
      <c r="F41" s="29">
        <v>19.0</v>
      </c>
      <c r="G41" s="27">
        <v>2.00320193E8</v>
      </c>
    </row>
    <row r="42" ht="12.75" customHeight="1">
      <c r="A42" s="31">
        <v>632.0</v>
      </c>
      <c r="B42" s="32" t="s">
        <v>63989</v>
      </c>
      <c r="C42" s="31">
        <v>200.0</v>
      </c>
      <c r="D42" s="32" t="s">
        <v>63990</v>
      </c>
      <c r="E42" s="32" t="s">
        <v>63991</v>
      </c>
      <c r="F42" s="33">
        <v>22.0</v>
      </c>
      <c r="G42" s="31">
        <v>2.00320227E8</v>
      </c>
    </row>
    <row r="43" ht="12.75" customHeight="1">
      <c r="A43" s="27">
        <v>632.0</v>
      </c>
      <c r="B43" s="28" t="s">
        <v>63992</v>
      </c>
      <c r="C43" s="27">
        <v>200.0</v>
      </c>
      <c r="D43" s="28" t="s">
        <v>63993</v>
      </c>
      <c r="E43" s="28" t="s">
        <v>63994</v>
      </c>
      <c r="F43" s="29">
        <v>43.0</v>
      </c>
      <c r="G43" s="27">
        <v>2.0032043E8</v>
      </c>
    </row>
    <row r="44" ht="12.75" customHeight="1">
      <c r="A44" s="31">
        <v>632.0</v>
      </c>
      <c r="B44" s="32" t="s">
        <v>63995</v>
      </c>
      <c r="C44" s="31">
        <v>200.0</v>
      </c>
      <c r="D44" s="32" t="s">
        <v>63996</v>
      </c>
      <c r="E44" s="32" t="s">
        <v>63997</v>
      </c>
      <c r="F44" s="33">
        <v>46.0</v>
      </c>
      <c r="G44" s="31">
        <v>2.00320469E8</v>
      </c>
    </row>
    <row r="45" ht="12.75" customHeight="1">
      <c r="A45" s="27">
        <v>632.0</v>
      </c>
      <c r="B45" s="28" t="s">
        <v>63998</v>
      </c>
      <c r="C45" s="27">
        <v>200.0</v>
      </c>
      <c r="D45" s="28" t="s">
        <v>63999</v>
      </c>
      <c r="E45" s="28" t="s">
        <v>64000</v>
      </c>
      <c r="F45" s="29">
        <v>52.0</v>
      </c>
      <c r="G45" s="27">
        <v>2.00320522E8</v>
      </c>
    </row>
    <row r="46" ht="12.75" customHeight="1">
      <c r="A46" s="31">
        <v>632.0</v>
      </c>
      <c r="B46" s="32" t="s">
        <v>64001</v>
      </c>
      <c r="C46" s="31">
        <v>200.0</v>
      </c>
      <c r="D46" s="32" t="s">
        <v>64002</v>
      </c>
      <c r="E46" s="32" t="s">
        <v>64003</v>
      </c>
      <c r="F46" s="33">
        <v>58.0</v>
      </c>
      <c r="G46" s="31">
        <v>2.0032058E8</v>
      </c>
    </row>
    <row r="47" ht="12.75" customHeight="1">
      <c r="A47" s="27">
        <v>632.0</v>
      </c>
      <c r="B47" s="28" t="s">
        <v>64004</v>
      </c>
      <c r="C47" s="27">
        <v>200.0</v>
      </c>
      <c r="D47" s="28" t="s">
        <v>64005</v>
      </c>
      <c r="E47" s="28" t="s">
        <v>64006</v>
      </c>
      <c r="F47" s="29">
        <v>67.0</v>
      </c>
      <c r="G47" s="27">
        <v>2.00320672E8</v>
      </c>
    </row>
    <row r="48" ht="12.75" customHeight="1">
      <c r="A48" s="31">
        <v>632.0</v>
      </c>
      <c r="B48" s="32" t="s">
        <v>64007</v>
      </c>
      <c r="C48" s="31">
        <v>200.0</v>
      </c>
      <c r="D48" s="32" t="s">
        <v>64008</v>
      </c>
      <c r="E48" s="32" t="s">
        <v>64009</v>
      </c>
      <c r="F48" s="33">
        <v>73.0</v>
      </c>
      <c r="G48" s="31">
        <v>2.00320735E8</v>
      </c>
    </row>
    <row r="49" ht="12.75" customHeight="1">
      <c r="A49" s="27">
        <v>632.0</v>
      </c>
      <c r="B49" s="28" t="s">
        <v>64010</v>
      </c>
      <c r="C49" s="27">
        <v>200.0</v>
      </c>
      <c r="D49" s="28" t="s">
        <v>64011</v>
      </c>
      <c r="E49" s="28" t="s">
        <v>64012</v>
      </c>
      <c r="F49" s="29">
        <v>91.0</v>
      </c>
      <c r="G49" s="27">
        <v>2.00320919E8</v>
      </c>
    </row>
    <row r="50" ht="12.75" customHeight="1">
      <c r="A50" s="31">
        <v>632.0</v>
      </c>
      <c r="B50" s="32" t="s">
        <v>64013</v>
      </c>
      <c r="C50" s="31">
        <v>200.0</v>
      </c>
      <c r="D50" s="32" t="s">
        <v>64014</v>
      </c>
      <c r="E50" s="32" t="s">
        <v>64015</v>
      </c>
      <c r="F50" s="33">
        <v>97.0</v>
      </c>
      <c r="G50" s="31">
        <v>2.00320977E8</v>
      </c>
    </row>
    <row r="51" ht="12.75" customHeight="1">
      <c r="A51" s="27">
        <v>632.0</v>
      </c>
      <c r="B51" s="28" t="s">
        <v>64016</v>
      </c>
      <c r="C51" s="27">
        <v>200.0</v>
      </c>
      <c r="D51" s="28" t="s">
        <v>64017</v>
      </c>
      <c r="E51" s="28" t="s">
        <v>64018</v>
      </c>
      <c r="F51" s="27">
        <v>109.0</v>
      </c>
      <c r="G51" s="27">
        <v>2.00321097E8</v>
      </c>
    </row>
    <row r="52" ht="12.75" customHeight="1">
      <c r="A52" s="31">
        <v>632.0</v>
      </c>
      <c r="B52" s="32" t="s">
        <v>64019</v>
      </c>
      <c r="C52" s="31">
        <v>200.0</v>
      </c>
      <c r="D52" s="32" t="s">
        <v>64020</v>
      </c>
      <c r="E52" s="32" t="s">
        <v>64021</v>
      </c>
      <c r="F52" s="31">
        <v>118.0</v>
      </c>
      <c r="G52" s="31">
        <v>2.00321189E8</v>
      </c>
    </row>
    <row r="53" ht="12.75" customHeight="1">
      <c r="A53" s="27">
        <v>632.0</v>
      </c>
      <c r="B53" s="28" t="s">
        <v>64022</v>
      </c>
      <c r="C53" s="27">
        <v>200.0</v>
      </c>
      <c r="D53" s="28" t="s">
        <v>64023</v>
      </c>
      <c r="E53" s="28" t="s">
        <v>64024</v>
      </c>
      <c r="F53" s="27">
        <v>124.0</v>
      </c>
      <c r="G53" s="27">
        <v>2.00321242E8</v>
      </c>
    </row>
    <row r="54" ht="12.75" customHeight="1">
      <c r="A54" s="31">
        <v>632.0</v>
      </c>
      <c r="B54" s="32" t="s">
        <v>64025</v>
      </c>
      <c r="C54" s="31">
        <v>200.0</v>
      </c>
      <c r="D54" s="32" t="s">
        <v>64026</v>
      </c>
      <c r="E54" s="32" t="s">
        <v>64027</v>
      </c>
      <c r="F54" s="31">
        <v>127.0</v>
      </c>
      <c r="G54" s="31">
        <v>2.00321271E8</v>
      </c>
    </row>
    <row r="55" ht="12.75" customHeight="1">
      <c r="A55" s="27">
        <v>632.0</v>
      </c>
      <c r="B55" s="28" t="s">
        <v>64028</v>
      </c>
      <c r="C55" s="27">
        <v>200.0</v>
      </c>
      <c r="D55" s="28" t="s">
        <v>64029</v>
      </c>
      <c r="E55" s="28" t="s">
        <v>64030</v>
      </c>
      <c r="F55" s="27">
        <v>130.0</v>
      </c>
      <c r="G55" s="27">
        <v>2.00321305E8</v>
      </c>
    </row>
    <row r="56" ht="12.75" customHeight="1">
      <c r="A56" s="31">
        <v>133.0</v>
      </c>
      <c r="B56" s="32" t="s">
        <v>64031</v>
      </c>
      <c r="C56" s="31">
        <v>200.0</v>
      </c>
      <c r="D56" s="32" t="s">
        <v>64032</v>
      </c>
      <c r="E56" s="32" t="s">
        <v>64033</v>
      </c>
      <c r="F56" s="33">
        <v>10.0</v>
      </c>
      <c r="G56" s="31">
        <v>2.00330109E8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133.0</v>
      </c>
      <c r="B1" s="28" t="s">
        <v>64034</v>
      </c>
      <c r="C1" s="27">
        <v>200.0</v>
      </c>
      <c r="D1" s="28" t="s">
        <v>64035</v>
      </c>
      <c r="E1" s="28" t="s">
        <v>64036</v>
      </c>
      <c r="F1" s="29">
        <v>13.0</v>
      </c>
      <c r="G1" s="27">
        <v>2.00330138E8</v>
      </c>
    </row>
    <row r="2" ht="12.75" customHeight="1">
      <c r="A2" s="31">
        <v>133.0</v>
      </c>
      <c r="B2" s="32" t="s">
        <v>64037</v>
      </c>
      <c r="C2" s="31">
        <v>200.0</v>
      </c>
      <c r="D2" s="32" t="s">
        <v>64038</v>
      </c>
      <c r="E2" s="32" t="s">
        <v>64039</v>
      </c>
      <c r="F2" s="33">
        <v>19.0</v>
      </c>
      <c r="G2" s="31">
        <v>2.00330196E8</v>
      </c>
    </row>
    <row r="3" ht="12.75" customHeight="1">
      <c r="A3" s="27">
        <v>133.0</v>
      </c>
      <c r="B3" s="28" t="s">
        <v>64040</v>
      </c>
      <c r="C3" s="27">
        <v>200.0</v>
      </c>
      <c r="D3" s="28" t="s">
        <v>64041</v>
      </c>
      <c r="E3" s="28" t="s">
        <v>64042</v>
      </c>
      <c r="F3" s="29">
        <v>25.0</v>
      </c>
      <c r="G3" s="27">
        <v>2.00330259E8</v>
      </c>
    </row>
    <row r="4" ht="12.75" customHeight="1">
      <c r="A4" s="31">
        <v>133.0</v>
      </c>
      <c r="B4" s="32" t="s">
        <v>64043</v>
      </c>
      <c r="C4" s="31">
        <v>200.0</v>
      </c>
      <c r="D4" s="32" t="s">
        <v>64044</v>
      </c>
      <c r="E4" s="32" t="s">
        <v>64045</v>
      </c>
      <c r="F4" s="33">
        <v>31.0</v>
      </c>
      <c r="G4" s="31">
        <v>2.00330312E8</v>
      </c>
    </row>
    <row r="5" ht="12.75" customHeight="1">
      <c r="A5" s="27">
        <v>133.0</v>
      </c>
      <c r="B5" s="28" t="s">
        <v>64046</v>
      </c>
      <c r="C5" s="27">
        <v>200.0</v>
      </c>
      <c r="D5" s="28" t="s">
        <v>64047</v>
      </c>
      <c r="E5" s="28" t="s">
        <v>64048</v>
      </c>
      <c r="F5" s="29">
        <v>34.0</v>
      </c>
      <c r="G5" s="27">
        <v>2.00330341E8</v>
      </c>
    </row>
    <row r="6" ht="12.75" customHeight="1">
      <c r="A6" s="31">
        <v>133.0</v>
      </c>
      <c r="B6" s="32" t="s">
        <v>64049</v>
      </c>
      <c r="C6" s="31">
        <v>200.0</v>
      </c>
      <c r="D6" s="32" t="s">
        <v>64050</v>
      </c>
      <c r="E6" s="32" t="s">
        <v>64051</v>
      </c>
      <c r="F6" s="33">
        <v>37.0</v>
      </c>
      <c r="G6" s="31">
        <v>2.0033037E8</v>
      </c>
    </row>
    <row r="7" ht="12.75" customHeight="1">
      <c r="A7" s="27">
        <v>133.0</v>
      </c>
      <c r="B7" s="28" t="s">
        <v>64052</v>
      </c>
      <c r="C7" s="27">
        <v>200.0</v>
      </c>
      <c r="D7" s="28" t="s">
        <v>64053</v>
      </c>
      <c r="E7" s="28" t="s">
        <v>64054</v>
      </c>
      <c r="F7" s="29">
        <v>58.0</v>
      </c>
      <c r="G7" s="27">
        <v>2.00330583E8</v>
      </c>
    </row>
    <row r="8" ht="12.75" customHeight="1">
      <c r="A8" s="31">
        <v>133.0</v>
      </c>
      <c r="B8" s="32" t="s">
        <v>64055</v>
      </c>
      <c r="C8" s="31">
        <v>200.0</v>
      </c>
      <c r="D8" s="32" t="s">
        <v>64056</v>
      </c>
      <c r="E8" s="32" t="s">
        <v>64057</v>
      </c>
      <c r="F8" s="33">
        <v>61.0</v>
      </c>
      <c r="G8" s="31">
        <v>2.00330617E8</v>
      </c>
    </row>
    <row r="9" ht="12.75" customHeight="1">
      <c r="A9" s="27">
        <v>133.0</v>
      </c>
      <c r="B9" s="28" t="s">
        <v>64058</v>
      </c>
      <c r="C9" s="27">
        <v>200.0</v>
      </c>
      <c r="D9" s="28" t="s">
        <v>64059</v>
      </c>
      <c r="E9" s="28" t="s">
        <v>64060</v>
      </c>
      <c r="F9" s="29">
        <v>70.0</v>
      </c>
      <c r="G9" s="27">
        <v>2.00330709E8</v>
      </c>
    </row>
    <row r="10" ht="12.75" customHeight="1">
      <c r="A10" s="31">
        <v>133.0</v>
      </c>
      <c r="B10" s="32" t="s">
        <v>64061</v>
      </c>
      <c r="C10" s="31">
        <v>200.0</v>
      </c>
      <c r="D10" s="32" t="s">
        <v>64062</v>
      </c>
      <c r="E10" s="32" t="s">
        <v>64063</v>
      </c>
      <c r="F10" s="33">
        <v>73.0</v>
      </c>
      <c r="G10" s="31">
        <v>2.00330738E8</v>
      </c>
    </row>
    <row r="11" ht="12.75" customHeight="1">
      <c r="A11" s="27">
        <v>133.0</v>
      </c>
      <c r="B11" s="28" t="s">
        <v>64064</v>
      </c>
      <c r="C11" s="27">
        <v>200.0</v>
      </c>
      <c r="D11" s="28" t="s">
        <v>64065</v>
      </c>
      <c r="E11" s="28" t="s">
        <v>64066</v>
      </c>
      <c r="F11" s="29">
        <v>79.0</v>
      </c>
      <c r="G11" s="27">
        <v>2.00330796E8</v>
      </c>
    </row>
    <row r="12" ht="12.75" customHeight="1">
      <c r="A12" s="31">
        <v>133.0</v>
      </c>
      <c r="B12" s="32" t="s">
        <v>64067</v>
      </c>
      <c r="C12" s="31">
        <v>200.0</v>
      </c>
      <c r="D12" s="32" t="s">
        <v>64068</v>
      </c>
      <c r="E12" s="32" t="s">
        <v>64069</v>
      </c>
      <c r="F12" s="33">
        <v>82.0</v>
      </c>
      <c r="G12" s="31">
        <v>2.0033082E8</v>
      </c>
    </row>
    <row r="13" ht="12.75" customHeight="1">
      <c r="A13" s="27">
        <v>133.0</v>
      </c>
      <c r="B13" s="28" t="s">
        <v>64070</v>
      </c>
      <c r="C13" s="27">
        <v>200.0</v>
      </c>
      <c r="D13" s="28" t="s">
        <v>64071</v>
      </c>
      <c r="E13" s="28" t="s">
        <v>64072</v>
      </c>
      <c r="F13" s="29">
        <v>88.0</v>
      </c>
      <c r="G13" s="27">
        <v>2.00330888E8</v>
      </c>
    </row>
    <row r="14" ht="12.75" customHeight="1">
      <c r="A14" s="31">
        <v>133.0</v>
      </c>
      <c r="B14" s="32" t="s">
        <v>64073</v>
      </c>
      <c r="C14" s="31">
        <v>200.0</v>
      </c>
      <c r="D14" s="32" t="s">
        <v>64074</v>
      </c>
      <c r="E14" s="32" t="s">
        <v>64075</v>
      </c>
      <c r="F14" s="31">
        <v>127.0</v>
      </c>
      <c r="G14" s="31">
        <v>2.00331274E8</v>
      </c>
    </row>
    <row r="15" ht="12.75" customHeight="1">
      <c r="A15" s="27">
        <v>133.0</v>
      </c>
      <c r="B15" s="28" t="s">
        <v>64076</v>
      </c>
      <c r="C15" s="27">
        <v>200.0</v>
      </c>
      <c r="D15" s="28" t="s">
        <v>64077</v>
      </c>
      <c r="E15" s="28" t="s">
        <v>64078</v>
      </c>
      <c r="F15" s="27">
        <v>133.0</v>
      </c>
      <c r="G15" s="27">
        <v>2.00331337E8</v>
      </c>
    </row>
    <row r="16" ht="12.75" customHeight="1">
      <c r="A16" s="31">
        <v>133.0</v>
      </c>
      <c r="B16" s="32" t="s">
        <v>64079</v>
      </c>
      <c r="C16" s="31">
        <v>200.0</v>
      </c>
      <c r="D16" s="32" t="s">
        <v>64080</v>
      </c>
      <c r="E16" s="32" t="s">
        <v>64081</v>
      </c>
      <c r="F16" s="31">
        <v>145.0</v>
      </c>
      <c r="G16" s="31">
        <v>2.00331458E8</v>
      </c>
    </row>
    <row r="17" ht="12.75" customHeight="1">
      <c r="A17" s="27">
        <v>133.0</v>
      </c>
      <c r="B17" s="28" t="s">
        <v>64082</v>
      </c>
      <c r="C17" s="27">
        <v>200.0</v>
      </c>
      <c r="D17" s="28" t="s">
        <v>64083</v>
      </c>
      <c r="E17" s="28" t="s">
        <v>64084</v>
      </c>
      <c r="F17" s="27">
        <v>147.0</v>
      </c>
      <c r="G17" s="27">
        <v>2.00331474E8</v>
      </c>
    </row>
    <row r="18" ht="12.75" customHeight="1">
      <c r="A18" s="31">
        <v>133.0</v>
      </c>
      <c r="B18" s="32" t="s">
        <v>64085</v>
      </c>
      <c r="C18" s="31">
        <v>200.0</v>
      </c>
      <c r="D18" s="32" t="s">
        <v>64086</v>
      </c>
      <c r="E18" s="32" t="s">
        <v>64087</v>
      </c>
      <c r="F18" s="31">
        <v>151.0</v>
      </c>
      <c r="G18" s="31">
        <v>2.00331511E8</v>
      </c>
    </row>
    <row r="19" ht="12.75" customHeight="1">
      <c r="A19" s="27">
        <v>133.0</v>
      </c>
      <c r="B19" s="28" t="s">
        <v>64088</v>
      </c>
      <c r="C19" s="27">
        <v>200.0</v>
      </c>
      <c r="D19" s="28" t="s">
        <v>64089</v>
      </c>
      <c r="E19" s="28" t="s">
        <v>64090</v>
      </c>
      <c r="F19" s="27">
        <v>154.0</v>
      </c>
      <c r="G19" s="27">
        <v>2.0033154E8</v>
      </c>
    </row>
    <row r="20" ht="12.75" customHeight="1">
      <c r="A20" s="31">
        <v>133.0</v>
      </c>
      <c r="B20" s="32" t="s">
        <v>64091</v>
      </c>
      <c r="C20" s="31">
        <v>200.0</v>
      </c>
      <c r="D20" s="32" t="s">
        <v>64092</v>
      </c>
      <c r="E20" s="32" t="s">
        <v>64093</v>
      </c>
      <c r="F20" s="31">
        <v>163.0</v>
      </c>
      <c r="G20" s="31">
        <v>2.00331632E8</v>
      </c>
    </row>
    <row r="21" ht="12.75" customHeight="1">
      <c r="A21" s="27">
        <v>133.0</v>
      </c>
      <c r="B21" s="28" t="s">
        <v>64094</v>
      </c>
      <c r="C21" s="27">
        <v>200.0</v>
      </c>
      <c r="D21" s="28" t="s">
        <v>64095</v>
      </c>
      <c r="E21" s="28" t="s">
        <v>64096</v>
      </c>
      <c r="F21" s="27">
        <v>166.0</v>
      </c>
      <c r="G21" s="27">
        <v>2.00331661E8</v>
      </c>
    </row>
    <row r="22" ht="12.75" customHeight="1">
      <c r="A22" s="31">
        <v>435.0</v>
      </c>
      <c r="B22" s="32" t="s">
        <v>64097</v>
      </c>
      <c r="C22" s="31">
        <v>200.0</v>
      </c>
      <c r="D22" s="32" t="s">
        <v>64098</v>
      </c>
      <c r="E22" s="32" t="s">
        <v>64099</v>
      </c>
      <c r="F22" s="33">
        <v>7.0</v>
      </c>
      <c r="G22" s="31">
        <v>2.00350071E8</v>
      </c>
    </row>
    <row r="23" ht="12.75" customHeight="1">
      <c r="A23" s="27">
        <v>435.0</v>
      </c>
      <c r="B23" s="28" t="s">
        <v>64100</v>
      </c>
      <c r="C23" s="27">
        <v>200.0</v>
      </c>
      <c r="D23" s="28" t="s">
        <v>64101</v>
      </c>
      <c r="E23" s="28" t="s">
        <v>64102</v>
      </c>
      <c r="F23" s="29">
        <v>11.0</v>
      </c>
      <c r="G23" s="27">
        <v>2.00350118E8</v>
      </c>
    </row>
    <row r="24" ht="12.75" customHeight="1">
      <c r="A24" s="31">
        <v>435.0</v>
      </c>
      <c r="B24" s="32" t="s">
        <v>64103</v>
      </c>
      <c r="C24" s="31">
        <v>200.0</v>
      </c>
      <c r="D24" s="32" t="s">
        <v>64104</v>
      </c>
      <c r="E24" s="32" t="s">
        <v>64105</v>
      </c>
      <c r="F24" s="33">
        <v>16.0</v>
      </c>
      <c r="G24" s="31">
        <v>2.00350163E8</v>
      </c>
    </row>
    <row r="25" ht="12.75" customHeight="1">
      <c r="A25" s="27">
        <v>435.0</v>
      </c>
      <c r="B25" s="28" t="s">
        <v>64106</v>
      </c>
      <c r="C25" s="27">
        <v>200.0</v>
      </c>
      <c r="D25" s="28" t="s">
        <v>64107</v>
      </c>
      <c r="E25" s="28" t="s">
        <v>64108</v>
      </c>
      <c r="F25" s="29">
        <v>22.0</v>
      </c>
      <c r="G25" s="27">
        <v>2.00350226E8</v>
      </c>
    </row>
    <row r="26" ht="12.75" customHeight="1">
      <c r="A26" s="31">
        <v>435.0</v>
      </c>
      <c r="B26" s="32" t="s">
        <v>64109</v>
      </c>
      <c r="C26" s="31">
        <v>200.0</v>
      </c>
      <c r="D26" s="32" t="s">
        <v>64110</v>
      </c>
      <c r="E26" s="32" t="s">
        <v>64111</v>
      </c>
      <c r="F26" s="33">
        <v>28.0</v>
      </c>
      <c r="G26" s="31">
        <v>2.00350284E8</v>
      </c>
    </row>
    <row r="27" ht="12.75" customHeight="1">
      <c r="A27" s="27">
        <v>435.0</v>
      </c>
      <c r="B27" s="28" t="s">
        <v>64112</v>
      </c>
      <c r="C27" s="27">
        <v>200.0</v>
      </c>
      <c r="D27" s="28" t="s">
        <v>64113</v>
      </c>
      <c r="E27" s="28" t="s">
        <v>64114</v>
      </c>
      <c r="F27" s="29">
        <v>37.0</v>
      </c>
      <c r="G27" s="27">
        <v>2.00350376E8</v>
      </c>
    </row>
    <row r="28" ht="12.75" customHeight="1">
      <c r="A28" s="31">
        <v>435.0</v>
      </c>
      <c r="B28" s="32" t="s">
        <v>64115</v>
      </c>
      <c r="C28" s="31">
        <v>200.0</v>
      </c>
      <c r="D28" s="32" t="s">
        <v>64116</v>
      </c>
      <c r="E28" s="32" t="s">
        <v>64117</v>
      </c>
      <c r="F28" s="33">
        <v>58.0</v>
      </c>
      <c r="G28" s="31">
        <v>2.00350589E8</v>
      </c>
    </row>
    <row r="29" ht="12.75" customHeight="1">
      <c r="A29" s="27">
        <v>435.0</v>
      </c>
      <c r="B29" s="28" t="s">
        <v>64118</v>
      </c>
      <c r="C29" s="27">
        <v>200.0</v>
      </c>
      <c r="D29" s="28" t="s">
        <v>64119</v>
      </c>
      <c r="E29" s="28" t="s">
        <v>64120</v>
      </c>
      <c r="F29" s="29">
        <v>70.0</v>
      </c>
      <c r="G29" s="27">
        <v>2.00350705E8</v>
      </c>
    </row>
    <row r="30" ht="12.75" customHeight="1">
      <c r="A30" s="31">
        <v>435.0</v>
      </c>
      <c r="B30" s="32" t="s">
        <v>64121</v>
      </c>
      <c r="C30" s="31">
        <v>200.0</v>
      </c>
      <c r="D30" s="32" t="s">
        <v>64122</v>
      </c>
      <c r="E30" s="32" t="s">
        <v>64123</v>
      </c>
      <c r="F30" s="33">
        <v>73.0</v>
      </c>
      <c r="G30" s="31">
        <v>2.00350734E8</v>
      </c>
    </row>
    <row r="31" ht="12.75" customHeight="1">
      <c r="A31" s="27">
        <v>435.0</v>
      </c>
      <c r="B31" s="28" t="s">
        <v>64124</v>
      </c>
      <c r="C31" s="27">
        <v>200.0</v>
      </c>
      <c r="D31" s="28" t="s">
        <v>64125</v>
      </c>
      <c r="E31" s="28" t="s">
        <v>64126</v>
      </c>
      <c r="F31" s="29">
        <v>79.0</v>
      </c>
      <c r="G31" s="27">
        <v>2.00350792E8</v>
      </c>
    </row>
    <row r="32" ht="12.75" customHeight="1">
      <c r="A32" s="31">
        <v>435.0</v>
      </c>
      <c r="B32" s="32" t="s">
        <v>64127</v>
      </c>
      <c r="C32" s="31">
        <v>200.0</v>
      </c>
      <c r="D32" s="32" t="s">
        <v>64128</v>
      </c>
      <c r="E32" s="32" t="s">
        <v>64129</v>
      </c>
      <c r="F32" s="33">
        <v>82.0</v>
      </c>
      <c r="G32" s="31">
        <v>2.00350826E8</v>
      </c>
    </row>
    <row r="33" ht="12.75" customHeight="1">
      <c r="A33" s="27">
        <v>435.0</v>
      </c>
      <c r="B33" s="28" t="s">
        <v>64130</v>
      </c>
      <c r="C33" s="27">
        <v>200.0</v>
      </c>
      <c r="D33" s="28" t="s">
        <v>64131</v>
      </c>
      <c r="E33" s="28" t="s">
        <v>64132</v>
      </c>
      <c r="F33" s="27">
        <v>109.0</v>
      </c>
      <c r="G33" s="27">
        <v>2.00351096E8</v>
      </c>
    </row>
    <row r="34" ht="12.75" customHeight="1">
      <c r="A34" s="31">
        <v>836.0</v>
      </c>
      <c r="B34" s="32" t="s">
        <v>64133</v>
      </c>
      <c r="C34" s="31">
        <v>200.0</v>
      </c>
      <c r="D34" s="32" t="s">
        <v>64134</v>
      </c>
      <c r="E34" s="32" t="s">
        <v>64135</v>
      </c>
      <c r="F34" s="33">
        <v>4.0</v>
      </c>
      <c r="G34" s="31">
        <v>2.00360045E8</v>
      </c>
    </row>
    <row r="35" ht="12.75" customHeight="1">
      <c r="A35" s="27">
        <v>836.0</v>
      </c>
      <c r="B35" s="28" t="s">
        <v>64136</v>
      </c>
      <c r="C35" s="27">
        <v>200.0</v>
      </c>
      <c r="D35" s="28" t="s">
        <v>64137</v>
      </c>
      <c r="E35" s="28" t="s">
        <v>64138</v>
      </c>
      <c r="F35" s="29">
        <v>10.0</v>
      </c>
      <c r="G35" s="27">
        <v>2.00360108E8</v>
      </c>
    </row>
    <row r="36" ht="12.75" customHeight="1">
      <c r="A36" s="31">
        <v>836.0</v>
      </c>
      <c r="B36" s="32" t="s">
        <v>64139</v>
      </c>
      <c r="C36" s="31">
        <v>200.0</v>
      </c>
      <c r="D36" s="32" t="s">
        <v>64140</v>
      </c>
      <c r="E36" s="32" t="s">
        <v>64141</v>
      </c>
      <c r="F36" s="33">
        <v>13.0</v>
      </c>
      <c r="G36" s="31">
        <v>2.00360137E8</v>
      </c>
    </row>
    <row r="37" ht="12.75" customHeight="1">
      <c r="A37" s="27">
        <v>836.0</v>
      </c>
      <c r="B37" s="28" t="s">
        <v>64142</v>
      </c>
      <c r="C37" s="27">
        <v>200.0</v>
      </c>
      <c r="D37" s="28" t="s">
        <v>64143</v>
      </c>
      <c r="E37" s="28" t="s">
        <v>64144</v>
      </c>
      <c r="F37" s="29">
        <v>16.0</v>
      </c>
      <c r="G37" s="27">
        <v>2.00360166E8</v>
      </c>
    </row>
    <row r="38" ht="12.75" customHeight="1">
      <c r="A38" s="31">
        <v>836.0</v>
      </c>
      <c r="B38" s="32" t="s">
        <v>64145</v>
      </c>
      <c r="C38" s="31">
        <v>200.0</v>
      </c>
      <c r="D38" s="32" t="s">
        <v>64146</v>
      </c>
      <c r="E38" s="32" t="s">
        <v>64147</v>
      </c>
      <c r="F38" s="33">
        <v>28.0</v>
      </c>
      <c r="G38" s="31">
        <v>2.00360287E8</v>
      </c>
    </row>
    <row r="39" ht="12.75" customHeight="1">
      <c r="A39" s="27">
        <v>836.0</v>
      </c>
      <c r="B39" s="28" t="s">
        <v>64148</v>
      </c>
      <c r="C39" s="27">
        <v>200.0</v>
      </c>
      <c r="D39" s="28" t="s">
        <v>64149</v>
      </c>
      <c r="E39" s="28" t="s">
        <v>64150</v>
      </c>
      <c r="F39" s="29">
        <v>34.0</v>
      </c>
      <c r="G39" s="27">
        <v>2.0036034E8</v>
      </c>
    </row>
    <row r="40" ht="12.75" customHeight="1">
      <c r="A40" s="31">
        <v>836.0</v>
      </c>
      <c r="B40" s="32" t="s">
        <v>64151</v>
      </c>
      <c r="C40" s="31">
        <v>200.0</v>
      </c>
      <c r="D40" s="32" t="s">
        <v>64152</v>
      </c>
      <c r="E40" s="32" t="s">
        <v>64153</v>
      </c>
      <c r="F40" s="33">
        <v>43.0</v>
      </c>
      <c r="G40" s="31">
        <v>2.00360432E8</v>
      </c>
    </row>
    <row r="41" ht="12.75" customHeight="1">
      <c r="A41" s="27">
        <v>836.0</v>
      </c>
      <c r="B41" s="28" t="s">
        <v>64154</v>
      </c>
      <c r="C41" s="27">
        <v>200.0</v>
      </c>
      <c r="D41" s="28" t="s">
        <v>64155</v>
      </c>
      <c r="E41" s="28" t="s">
        <v>64156</v>
      </c>
      <c r="F41" s="29">
        <v>61.0</v>
      </c>
      <c r="G41" s="27">
        <v>2.00360616E8</v>
      </c>
    </row>
    <row r="42" ht="12.75" customHeight="1">
      <c r="A42" s="31">
        <v>836.0</v>
      </c>
      <c r="B42" s="32" t="s">
        <v>64157</v>
      </c>
      <c r="C42" s="31">
        <v>200.0</v>
      </c>
      <c r="D42" s="32" t="s">
        <v>64158</v>
      </c>
      <c r="E42" s="32" t="s">
        <v>64159</v>
      </c>
      <c r="F42" s="33">
        <v>73.0</v>
      </c>
      <c r="G42" s="31">
        <v>2.00360737E8</v>
      </c>
    </row>
    <row r="43" ht="12.75" customHeight="1">
      <c r="A43" s="27">
        <v>836.0</v>
      </c>
      <c r="B43" s="28" t="s">
        <v>64160</v>
      </c>
      <c r="C43" s="27">
        <v>200.0</v>
      </c>
      <c r="D43" s="28" t="s">
        <v>64161</v>
      </c>
      <c r="E43" s="28" t="s">
        <v>64162</v>
      </c>
      <c r="F43" s="29">
        <v>85.0</v>
      </c>
      <c r="G43" s="27">
        <v>2.00360858E8</v>
      </c>
    </row>
    <row r="44" ht="12.75" customHeight="1">
      <c r="A44" s="31">
        <v>836.0</v>
      </c>
      <c r="B44" s="32" t="s">
        <v>64163</v>
      </c>
      <c r="C44" s="31">
        <v>200.0</v>
      </c>
      <c r="D44" s="32" t="s">
        <v>64164</v>
      </c>
      <c r="E44" s="32" t="s">
        <v>64165</v>
      </c>
      <c r="F44" s="33">
        <v>88.0</v>
      </c>
      <c r="G44" s="31">
        <v>2.00360887E8</v>
      </c>
    </row>
    <row r="45" ht="12.75" customHeight="1">
      <c r="A45" s="27">
        <v>836.0</v>
      </c>
      <c r="B45" s="28" t="s">
        <v>64166</v>
      </c>
      <c r="C45" s="27">
        <v>200.0</v>
      </c>
      <c r="D45" s="28" t="s">
        <v>64167</v>
      </c>
      <c r="E45" s="28" t="s">
        <v>64168</v>
      </c>
      <c r="F45" s="27">
        <v>109.0</v>
      </c>
      <c r="G45" s="27">
        <v>2.00361099E8</v>
      </c>
    </row>
    <row r="46" ht="12.75" customHeight="1">
      <c r="A46" s="31">
        <v>836.0</v>
      </c>
      <c r="B46" s="32" t="s">
        <v>64169</v>
      </c>
      <c r="C46" s="31">
        <v>200.0</v>
      </c>
      <c r="D46" s="32" t="s">
        <v>64170</v>
      </c>
      <c r="E46" s="32" t="s">
        <v>64171</v>
      </c>
      <c r="F46" s="31">
        <v>139.0</v>
      </c>
      <c r="G46" s="31">
        <v>2.00361394E8</v>
      </c>
    </row>
    <row r="47" ht="12.75" customHeight="1">
      <c r="A47" s="27">
        <v>638.0</v>
      </c>
      <c r="B47" s="28" t="s">
        <v>64172</v>
      </c>
      <c r="C47" s="27">
        <v>200.0</v>
      </c>
      <c r="D47" s="28" t="s">
        <v>64173</v>
      </c>
      <c r="E47" s="28" t="s">
        <v>64174</v>
      </c>
      <c r="F47" s="29">
        <v>4.0</v>
      </c>
      <c r="G47" s="27">
        <v>2.00380041E8</v>
      </c>
    </row>
    <row r="48" ht="12.75" customHeight="1">
      <c r="A48" s="31">
        <v>638.0</v>
      </c>
      <c r="B48" s="32" t="s">
        <v>64175</v>
      </c>
      <c r="C48" s="31">
        <v>200.0</v>
      </c>
      <c r="D48" s="32" t="s">
        <v>64176</v>
      </c>
      <c r="E48" s="32" t="s">
        <v>64177</v>
      </c>
      <c r="F48" s="33">
        <v>34.0</v>
      </c>
      <c r="G48" s="31">
        <v>2.00380346E8</v>
      </c>
    </row>
    <row r="49" ht="12.75" customHeight="1">
      <c r="A49" s="27">
        <v>638.0</v>
      </c>
      <c r="B49" s="28" t="s">
        <v>64178</v>
      </c>
      <c r="C49" s="27">
        <v>200.0</v>
      </c>
      <c r="D49" s="28" t="s">
        <v>64179</v>
      </c>
      <c r="E49" s="28" t="s">
        <v>64180</v>
      </c>
      <c r="F49" s="29">
        <v>40.0</v>
      </c>
      <c r="G49" s="27">
        <v>2.00380409E8</v>
      </c>
    </row>
    <row r="50" ht="12.75" customHeight="1">
      <c r="A50" s="31">
        <v>638.0</v>
      </c>
      <c r="B50" s="32" t="s">
        <v>64181</v>
      </c>
      <c r="C50" s="31">
        <v>200.0</v>
      </c>
      <c r="D50" s="32" t="s">
        <v>64182</v>
      </c>
      <c r="E50" s="32" t="s">
        <v>64183</v>
      </c>
      <c r="F50" s="33">
        <v>43.0</v>
      </c>
      <c r="G50" s="31">
        <v>2.00380438E8</v>
      </c>
    </row>
    <row r="51" ht="12.75" customHeight="1">
      <c r="A51" s="27">
        <v>638.0</v>
      </c>
      <c r="B51" s="28" t="s">
        <v>64184</v>
      </c>
      <c r="C51" s="27">
        <v>200.0</v>
      </c>
      <c r="D51" s="28" t="s">
        <v>64185</v>
      </c>
      <c r="E51" s="28" t="s">
        <v>64186</v>
      </c>
      <c r="F51" s="29">
        <v>46.0</v>
      </c>
      <c r="G51" s="27">
        <v>2.00380467E8</v>
      </c>
    </row>
    <row r="52" ht="12.75" customHeight="1">
      <c r="A52" s="31">
        <v>638.0</v>
      </c>
      <c r="B52" s="32" t="s">
        <v>64187</v>
      </c>
      <c r="C52" s="31">
        <v>200.0</v>
      </c>
      <c r="D52" s="32" t="s">
        <v>64188</v>
      </c>
      <c r="E52" s="32" t="s">
        <v>64189</v>
      </c>
      <c r="F52" s="33">
        <v>49.0</v>
      </c>
      <c r="G52" s="31">
        <v>2.00380496E8</v>
      </c>
    </row>
    <row r="53" ht="12.75" customHeight="1">
      <c r="A53" s="27">
        <v>638.0</v>
      </c>
      <c r="B53" s="28" t="s">
        <v>64190</v>
      </c>
      <c r="C53" s="27">
        <v>200.0</v>
      </c>
      <c r="D53" s="28" t="s">
        <v>64191</v>
      </c>
      <c r="E53" s="28" t="s">
        <v>64192</v>
      </c>
      <c r="F53" s="29">
        <v>67.0</v>
      </c>
      <c r="G53" s="27">
        <v>2.0038067E8</v>
      </c>
    </row>
    <row r="54" ht="12.75" customHeight="1">
      <c r="A54" s="31">
        <v>638.0</v>
      </c>
      <c r="B54" s="32" t="s">
        <v>64193</v>
      </c>
      <c r="C54" s="31">
        <v>200.0</v>
      </c>
      <c r="D54" s="32" t="s">
        <v>64194</v>
      </c>
      <c r="E54" s="32" t="s">
        <v>64195</v>
      </c>
      <c r="F54" s="33">
        <v>70.0</v>
      </c>
      <c r="G54" s="31">
        <v>2.00380704E8</v>
      </c>
    </row>
    <row r="55" ht="12.75" customHeight="1">
      <c r="A55" s="27">
        <v>139.0</v>
      </c>
      <c r="B55" s="28" t="s">
        <v>64196</v>
      </c>
      <c r="C55" s="27">
        <v>200.0</v>
      </c>
      <c r="D55" s="28" t="s">
        <v>64197</v>
      </c>
      <c r="E55" s="28" t="s">
        <v>64198</v>
      </c>
      <c r="F55" s="29">
        <v>10.0</v>
      </c>
      <c r="G55" s="27">
        <v>2.00390107E8</v>
      </c>
    </row>
    <row r="56" ht="12.75" customHeight="1">
      <c r="A56" s="31">
        <v>139.0</v>
      </c>
      <c r="B56" s="32" t="s">
        <v>64199</v>
      </c>
      <c r="C56" s="31">
        <v>200.0</v>
      </c>
      <c r="D56" s="32" t="s">
        <v>64200</v>
      </c>
      <c r="E56" s="32" t="s">
        <v>64201</v>
      </c>
      <c r="F56" s="33">
        <v>37.0</v>
      </c>
      <c r="G56" s="31">
        <v>2.00390378E8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139.0</v>
      </c>
      <c r="B1" s="28" t="s">
        <v>64202</v>
      </c>
      <c r="C1" s="27">
        <v>200.0</v>
      </c>
      <c r="D1" s="28" t="s">
        <v>64203</v>
      </c>
      <c r="E1" s="28" t="s">
        <v>64204</v>
      </c>
      <c r="F1" s="29">
        <v>43.0</v>
      </c>
      <c r="G1" s="27">
        <v>2.00390431E8</v>
      </c>
    </row>
    <row r="2" ht="12.75" customHeight="1">
      <c r="A2" s="31">
        <v>139.0</v>
      </c>
      <c r="B2" s="32" t="s">
        <v>64205</v>
      </c>
      <c r="C2" s="31">
        <v>200.0</v>
      </c>
      <c r="D2" s="32" t="s">
        <v>64206</v>
      </c>
      <c r="E2" s="32" t="s">
        <v>64207</v>
      </c>
      <c r="F2" s="33">
        <v>49.0</v>
      </c>
      <c r="G2" s="31">
        <v>2.00390499E8</v>
      </c>
    </row>
    <row r="3" ht="12.75" customHeight="1">
      <c r="A3" s="27">
        <v>139.0</v>
      </c>
      <c r="B3" s="28" t="s">
        <v>64208</v>
      </c>
      <c r="C3" s="27">
        <v>200.0</v>
      </c>
      <c r="D3" s="28" t="s">
        <v>64209</v>
      </c>
      <c r="E3" s="28" t="s">
        <v>64210</v>
      </c>
      <c r="F3" s="29">
        <v>52.0</v>
      </c>
      <c r="G3" s="27">
        <v>2.00390523E8</v>
      </c>
    </row>
    <row r="4" ht="12.75" customHeight="1">
      <c r="A4" s="31">
        <v>139.0</v>
      </c>
      <c r="B4" s="32" t="s">
        <v>64211</v>
      </c>
      <c r="C4" s="31">
        <v>200.0</v>
      </c>
      <c r="D4" s="32" t="s">
        <v>64212</v>
      </c>
      <c r="E4" s="32" t="s">
        <v>64213</v>
      </c>
      <c r="F4" s="33">
        <v>73.0</v>
      </c>
      <c r="G4" s="31">
        <v>2.00390736E8</v>
      </c>
    </row>
    <row r="5" ht="12.75" customHeight="1">
      <c r="A5" s="27">
        <v>139.0</v>
      </c>
      <c r="B5" s="28" t="s">
        <v>64214</v>
      </c>
      <c r="C5" s="27">
        <v>200.0</v>
      </c>
      <c r="D5" s="28" t="s">
        <v>64215</v>
      </c>
      <c r="E5" s="28" t="s">
        <v>64216</v>
      </c>
      <c r="F5" s="29">
        <v>76.0</v>
      </c>
      <c r="G5" s="27">
        <v>2.00390765E8</v>
      </c>
    </row>
    <row r="6" ht="12.75" customHeight="1">
      <c r="A6" s="31">
        <v>139.0</v>
      </c>
      <c r="B6" s="32" t="s">
        <v>64217</v>
      </c>
      <c r="C6" s="31">
        <v>200.0</v>
      </c>
      <c r="D6" s="32" t="s">
        <v>64218</v>
      </c>
      <c r="E6" s="32" t="s">
        <v>64219</v>
      </c>
      <c r="F6" s="33">
        <v>85.0</v>
      </c>
      <c r="G6" s="31">
        <v>2.00390857E8</v>
      </c>
    </row>
    <row r="7" ht="12.75" customHeight="1">
      <c r="A7" s="27">
        <v>139.0</v>
      </c>
      <c r="B7" s="28" t="s">
        <v>64220</v>
      </c>
      <c r="C7" s="27">
        <v>200.0</v>
      </c>
      <c r="D7" s="28" t="s">
        <v>64221</v>
      </c>
      <c r="E7" s="28" t="s">
        <v>64222</v>
      </c>
      <c r="F7" s="29">
        <v>88.0</v>
      </c>
      <c r="G7" s="27">
        <v>2.00390886E8</v>
      </c>
    </row>
    <row r="8" ht="12.75" customHeight="1">
      <c r="A8" s="31">
        <v>139.0</v>
      </c>
      <c r="B8" s="32" t="s">
        <v>64223</v>
      </c>
      <c r="C8" s="31">
        <v>200.0</v>
      </c>
      <c r="D8" s="32" t="s">
        <v>64224</v>
      </c>
      <c r="E8" s="32" t="s">
        <v>64225</v>
      </c>
      <c r="F8" s="31">
        <v>100.0</v>
      </c>
      <c r="G8" s="31">
        <v>2.00391001E8</v>
      </c>
    </row>
    <row r="9" ht="12.75" customHeight="1">
      <c r="A9" s="27">
        <v>139.0</v>
      </c>
      <c r="B9" s="28" t="s">
        <v>64226</v>
      </c>
      <c r="C9" s="27">
        <v>200.0</v>
      </c>
      <c r="D9" s="28" t="s">
        <v>64227</v>
      </c>
      <c r="E9" s="28" t="s">
        <v>64228</v>
      </c>
      <c r="F9" s="27">
        <v>109.0</v>
      </c>
      <c r="G9" s="27">
        <v>2.00391098E8</v>
      </c>
    </row>
    <row r="10" ht="12.75" customHeight="1">
      <c r="A10" s="31">
        <v>139.0</v>
      </c>
      <c r="B10" s="32" t="s">
        <v>64229</v>
      </c>
      <c r="C10" s="31">
        <v>200.0</v>
      </c>
      <c r="D10" s="32" t="s">
        <v>64230</v>
      </c>
      <c r="E10" s="32" t="s">
        <v>64231</v>
      </c>
      <c r="F10" s="31">
        <v>115.0</v>
      </c>
      <c r="G10" s="31">
        <v>2.00391151E8</v>
      </c>
    </row>
    <row r="11" ht="12.75" customHeight="1">
      <c r="A11" s="27">
        <v>139.0</v>
      </c>
      <c r="B11" s="28" t="s">
        <v>64232</v>
      </c>
      <c r="C11" s="27">
        <v>200.0</v>
      </c>
      <c r="D11" s="28" t="s">
        <v>64233</v>
      </c>
      <c r="E11" s="28" t="s">
        <v>64234</v>
      </c>
      <c r="F11" s="27">
        <v>124.0</v>
      </c>
      <c r="G11" s="27">
        <v>2.00391243E8</v>
      </c>
    </row>
    <row r="12" ht="12.75" customHeight="1">
      <c r="A12" s="31">
        <v>139.0</v>
      </c>
      <c r="B12" s="32" t="s">
        <v>64235</v>
      </c>
      <c r="C12" s="31">
        <v>200.0</v>
      </c>
      <c r="D12" s="32" t="s">
        <v>64236</v>
      </c>
      <c r="E12" s="32" t="s">
        <v>64237</v>
      </c>
      <c r="F12" s="31">
        <v>127.0</v>
      </c>
      <c r="G12" s="31">
        <v>2.00391272E8</v>
      </c>
    </row>
    <row r="13" ht="12.75" customHeight="1">
      <c r="A13" s="27">
        <v>139.0</v>
      </c>
      <c r="B13" s="28" t="s">
        <v>64238</v>
      </c>
      <c r="C13" s="27">
        <v>200.0</v>
      </c>
      <c r="D13" s="28" t="s">
        <v>64239</v>
      </c>
      <c r="E13" s="28" t="s">
        <v>64240</v>
      </c>
      <c r="F13" s="27">
        <v>130.0</v>
      </c>
      <c r="G13" s="27">
        <v>2.00391306E8</v>
      </c>
    </row>
    <row r="14" ht="12.75" customHeight="1">
      <c r="A14" s="31">
        <v>139.0</v>
      </c>
      <c r="B14" s="32" t="s">
        <v>64241</v>
      </c>
      <c r="C14" s="31">
        <v>200.0</v>
      </c>
      <c r="D14" s="32" t="s">
        <v>64242</v>
      </c>
      <c r="E14" s="32" t="s">
        <v>64243</v>
      </c>
      <c r="F14" s="31">
        <v>145.0</v>
      </c>
      <c r="G14" s="31">
        <v>2.00391456E8</v>
      </c>
    </row>
    <row r="15" ht="12.75" customHeight="1">
      <c r="A15" s="27">
        <v>139.0</v>
      </c>
      <c r="B15" s="28" t="s">
        <v>64244</v>
      </c>
      <c r="C15" s="27">
        <v>200.0</v>
      </c>
      <c r="D15" s="28" t="s">
        <v>64245</v>
      </c>
      <c r="E15" s="28" t="s">
        <v>64246</v>
      </c>
      <c r="F15" s="27">
        <v>148.0</v>
      </c>
      <c r="G15" s="27">
        <v>2.00391485E8</v>
      </c>
    </row>
    <row r="16" ht="12.75" customHeight="1">
      <c r="A16" s="31">
        <v>139.0</v>
      </c>
      <c r="B16" s="32" t="s">
        <v>64247</v>
      </c>
      <c r="C16" s="31">
        <v>200.0</v>
      </c>
      <c r="D16" s="32" t="s">
        <v>64248</v>
      </c>
      <c r="E16" s="32" t="s">
        <v>64249</v>
      </c>
      <c r="F16" s="31">
        <v>151.0</v>
      </c>
      <c r="G16" s="31">
        <v>2.00391519E8</v>
      </c>
    </row>
    <row r="17" ht="12.75" customHeight="1">
      <c r="A17" s="27">
        <v>139.0</v>
      </c>
      <c r="B17" s="28" t="s">
        <v>64250</v>
      </c>
      <c r="C17" s="27">
        <v>200.0</v>
      </c>
      <c r="D17" s="28" t="s">
        <v>64251</v>
      </c>
      <c r="E17" s="28" t="s">
        <v>64252</v>
      </c>
      <c r="F17" s="27">
        <v>163.0</v>
      </c>
      <c r="G17" s="27">
        <v>2.0039163E8</v>
      </c>
    </row>
    <row r="18" ht="12.75" customHeight="1">
      <c r="A18" s="31">
        <v>441.0</v>
      </c>
      <c r="B18" s="32" t="s">
        <v>64253</v>
      </c>
      <c r="C18" s="31">
        <v>200.0</v>
      </c>
      <c r="D18" s="32" t="s">
        <v>64254</v>
      </c>
      <c r="E18" s="32" t="s">
        <v>64255</v>
      </c>
      <c r="F18" s="33">
        <v>4.0</v>
      </c>
      <c r="G18" s="31">
        <v>2.00410045E8</v>
      </c>
    </row>
    <row r="19" ht="12.75" customHeight="1">
      <c r="A19" s="27">
        <v>441.0</v>
      </c>
      <c r="B19" s="28" t="s">
        <v>64256</v>
      </c>
      <c r="C19" s="27">
        <v>200.0</v>
      </c>
      <c r="D19" s="28" t="s">
        <v>64257</v>
      </c>
      <c r="E19" s="28" t="s">
        <v>64258</v>
      </c>
      <c r="F19" s="29">
        <v>7.0</v>
      </c>
      <c r="G19" s="27">
        <v>2.00410074E8</v>
      </c>
    </row>
    <row r="20" ht="12.75" customHeight="1">
      <c r="A20" s="31">
        <v>441.0</v>
      </c>
      <c r="B20" s="32" t="s">
        <v>64259</v>
      </c>
      <c r="C20" s="31">
        <v>200.0</v>
      </c>
      <c r="D20" s="32" t="s">
        <v>64260</v>
      </c>
      <c r="E20" s="32" t="s">
        <v>64261</v>
      </c>
      <c r="F20" s="33">
        <v>10.0</v>
      </c>
      <c r="G20" s="31">
        <v>2.00410108E8</v>
      </c>
    </row>
    <row r="21" ht="12.75" customHeight="1">
      <c r="A21" s="27">
        <v>441.0</v>
      </c>
      <c r="B21" s="28" t="s">
        <v>64262</v>
      </c>
      <c r="C21" s="27">
        <v>200.0</v>
      </c>
      <c r="D21" s="28" t="s">
        <v>64263</v>
      </c>
      <c r="E21" s="28" t="s">
        <v>64264</v>
      </c>
      <c r="F21" s="29">
        <v>13.0</v>
      </c>
      <c r="G21" s="27">
        <v>2.00410137E8</v>
      </c>
    </row>
    <row r="22" ht="12.75" customHeight="1">
      <c r="A22" s="31">
        <v>441.0</v>
      </c>
      <c r="B22" s="32" t="s">
        <v>64265</v>
      </c>
      <c r="C22" s="31">
        <v>200.0</v>
      </c>
      <c r="D22" s="32" t="s">
        <v>64266</v>
      </c>
      <c r="E22" s="32" t="s">
        <v>64267</v>
      </c>
      <c r="F22" s="33">
        <v>19.0</v>
      </c>
      <c r="G22" s="31">
        <v>2.00410195E8</v>
      </c>
    </row>
    <row r="23" ht="12.75" customHeight="1">
      <c r="A23" s="27">
        <v>441.0</v>
      </c>
      <c r="B23" s="28" t="s">
        <v>64268</v>
      </c>
      <c r="C23" s="27">
        <v>200.0</v>
      </c>
      <c r="D23" s="28" t="s">
        <v>64269</v>
      </c>
      <c r="E23" s="28" t="s">
        <v>64270</v>
      </c>
      <c r="F23" s="29">
        <v>22.0</v>
      </c>
      <c r="G23" s="27">
        <v>2.00410229E8</v>
      </c>
    </row>
    <row r="24" ht="12.75" customHeight="1">
      <c r="A24" s="31">
        <v>441.0</v>
      </c>
      <c r="B24" s="32" t="s">
        <v>64271</v>
      </c>
      <c r="C24" s="31">
        <v>200.0</v>
      </c>
      <c r="D24" s="32" t="s">
        <v>64272</v>
      </c>
      <c r="E24" s="32" t="s">
        <v>64273</v>
      </c>
      <c r="F24" s="33">
        <v>28.0</v>
      </c>
      <c r="G24" s="31">
        <v>2.00410287E8</v>
      </c>
    </row>
    <row r="25" ht="12.75" customHeight="1">
      <c r="A25" s="27">
        <v>441.0</v>
      </c>
      <c r="B25" s="28" t="s">
        <v>64274</v>
      </c>
      <c r="C25" s="27">
        <v>200.0</v>
      </c>
      <c r="D25" s="28" t="s">
        <v>64275</v>
      </c>
      <c r="E25" s="28" t="s">
        <v>64276</v>
      </c>
      <c r="F25" s="29">
        <v>37.0</v>
      </c>
      <c r="G25" s="27">
        <v>2.00410379E8</v>
      </c>
    </row>
    <row r="26" ht="12.75" customHeight="1">
      <c r="A26" s="31">
        <v>441.0</v>
      </c>
      <c r="B26" s="32" t="s">
        <v>64277</v>
      </c>
      <c r="C26" s="31">
        <v>200.0</v>
      </c>
      <c r="D26" s="32" t="s">
        <v>64278</v>
      </c>
      <c r="E26" s="32" t="s">
        <v>64279</v>
      </c>
      <c r="F26" s="33">
        <v>46.0</v>
      </c>
      <c r="G26" s="31">
        <v>2.00410461E8</v>
      </c>
    </row>
    <row r="27" ht="12.75" customHeight="1">
      <c r="A27" s="27">
        <v>441.0</v>
      </c>
      <c r="B27" s="28" t="s">
        <v>64280</v>
      </c>
      <c r="C27" s="27">
        <v>200.0</v>
      </c>
      <c r="D27" s="28" t="s">
        <v>64281</v>
      </c>
      <c r="E27" s="28" t="s">
        <v>64282</v>
      </c>
      <c r="F27" s="29">
        <v>52.0</v>
      </c>
      <c r="G27" s="27">
        <v>2.00410524E8</v>
      </c>
    </row>
    <row r="28" ht="12.75" customHeight="1">
      <c r="A28" s="31">
        <v>441.0</v>
      </c>
      <c r="B28" s="32" t="s">
        <v>64283</v>
      </c>
      <c r="C28" s="31">
        <v>200.0</v>
      </c>
      <c r="D28" s="32" t="s">
        <v>64284</v>
      </c>
      <c r="E28" s="32" t="s">
        <v>64285</v>
      </c>
      <c r="F28" s="33">
        <v>55.0</v>
      </c>
      <c r="G28" s="31">
        <v>2.00410553E8</v>
      </c>
    </row>
    <row r="29" ht="12.75" customHeight="1">
      <c r="A29" s="27">
        <v>441.0</v>
      </c>
      <c r="B29" s="28" t="s">
        <v>64286</v>
      </c>
      <c r="C29" s="27">
        <v>200.0</v>
      </c>
      <c r="D29" s="28" t="s">
        <v>64287</v>
      </c>
      <c r="E29" s="28" t="s">
        <v>64288</v>
      </c>
      <c r="F29" s="29">
        <v>58.0</v>
      </c>
      <c r="G29" s="27">
        <v>2.00410582E8</v>
      </c>
    </row>
    <row r="30" ht="12.75" customHeight="1">
      <c r="A30" s="31">
        <v>441.0</v>
      </c>
      <c r="B30" s="32" t="s">
        <v>64289</v>
      </c>
      <c r="C30" s="31">
        <v>200.0</v>
      </c>
      <c r="D30" s="32" t="s">
        <v>64290</v>
      </c>
      <c r="E30" s="32" t="s">
        <v>64291</v>
      </c>
      <c r="F30" s="33">
        <v>64.0</v>
      </c>
      <c r="G30" s="31">
        <v>2.00410645E8</v>
      </c>
    </row>
    <row r="31" ht="12.75" customHeight="1">
      <c r="A31" s="27">
        <v>441.0</v>
      </c>
      <c r="B31" s="28" t="s">
        <v>64292</v>
      </c>
      <c r="C31" s="27">
        <v>200.0</v>
      </c>
      <c r="D31" s="28" t="s">
        <v>64293</v>
      </c>
      <c r="E31" s="28" t="s">
        <v>64294</v>
      </c>
      <c r="F31" s="29">
        <v>70.0</v>
      </c>
      <c r="G31" s="27">
        <v>2.00410708E8</v>
      </c>
    </row>
    <row r="32" ht="12.75" customHeight="1">
      <c r="A32" s="31">
        <v>441.0</v>
      </c>
      <c r="B32" s="32" t="s">
        <v>64295</v>
      </c>
      <c r="C32" s="31">
        <v>200.0</v>
      </c>
      <c r="D32" s="32" t="s">
        <v>64296</v>
      </c>
      <c r="E32" s="32" t="s">
        <v>64297</v>
      </c>
      <c r="F32" s="33">
        <v>88.0</v>
      </c>
      <c r="G32" s="31">
        <v>2.00410887E8</v>
      </c>
    </row>
    <row r="33" ht="12.75" customHeight="1">
      <c r="A33" s="27">
        <v>441.0</v>
      </c>
      <c r="B33" s="28" t="s">
        <v>64298</v>
      </c>
      <c r="C33" s="27">
        <v>200.0</v>
      </c>
      <c r="D33" s="28" t="s">
        <v>64299</v>
      </c>
      <c r="E33" s="28" t="s">
        <v>64300</v>
      </c>
      <c r="F33" s="27">
        <v>100.0</v>
      </c>
      <c r="G33" s="27">
        <v>2.00411002E8</v>
      </c>
    </row>
    <row r="34" ht="12.75" customHeight="1">
      <c r="A34" s="31">
        <v>441.0</v>
      </c>
      <c r="B34" s="32" t="s">
        <v>64301</v>
      </c>
      <c r="C34" s="31">
        <v>200.0</v>
      </c>
      <c r="D34" s="32" t="s">
        <v>64302</v>
      </c>
      <c r="E34" s="32" t="s">
        <v>64303</v>
      </c>
      <c r="F34" s="31">
        <v>106.0</v>
      </c>
      <c r="G34" s="31">
        <v>2.0041106E8</v>
      </c>
    </row>
    <row r="35" ht="12.75" customHeight="1">
      <c r="A35" s="27">
        <v>441.0</v>
      </c>
      <c r="B35" s="28" t="s">
        <v>64304</v>
      </c>
      <c r="C35" s="27">
        <v>200.0</v>
      </c>
      <c r="D35" s="28" t="s">
        <v>64305</v>
      </c>
      <c r="E35" s="28" t="s">
        <v>64306</v>
      </c>
      <c r="F35" s="27">
        <v>109.0</v>
      </c>
      <c r="G35" s="27">
        <v>2.00411099E8</v>
      </c>
    </row>
    <row r="36" ht="12.75" customHeight="1">
      <c r="A36" s="31">
        <v>441.0</v>
      </c>
      <c r="B36" s="32" t="s">
        <v>64307</v>
      </c>
      <c r="C36" s="31">
        <v>200.0</v>
      </c>
      <c r="D36" s="32" t="s">
        <v>64308</v>
      </c>
      <c r="E36" s="32" t="s">
        <v>64309</v>
      </c>
      <c r="F36" s="31">
        <v>115.0</v>
      </c>
      <c r="G36" s="31">
        <v>2.00411152E8</v>
      </c>
    </row>
    <row r="37" ht="12.75" customHeight="1">
      <c r="A37" s="27">
        <v>441.0</v>
      </c>
      <c r="B37" s="28" t="s">
        <v>64310</v>
      </c>
      <c r="C37" s="27">
        <v>200.0</v>
      </c>
      <c r="D37" s="28" t="s">
        <v>64311</v>
      </c>
      <c r="E37" s="28" t="s">
        <v>64312</v>
      </c>
      <c r="F37" s="27">
        <v>121.0</v>
      </c>
      <c r="G37" s="27">
        <v>2.00411215E8</v>
      </c>
    </row>
    <row r="38" ht="12.75" customHeight="1">
      <c r="A38" s="31">
        <v>441.0</v>
      </c>
      <c r="B38" s="32" t="s">
        <v>64313</v>
      </c>
      <c r="C38" s="31">
        <v>200.0</v>
      </c>
      <c r="D38" s="32" t="s">
        <v>64314</v>
      </c>
      <c r="E38" s="32" t="s">
        <v>64315</v>
      </c>
      <c r="F38" s="31">
        <v>125.0</v>
      </c>
      <c r="G38" s="31">
        <v>2.00411257E8</v>
      </c>
    </row>
    <row r="39" ht="12.75" customHeight="1">
      <c r="A39" s="27">
        <v>441.0</v>
      </c>
      <c r="B39" s="28" t="s">
        <v>64316</v>
      </c>
      <c r="C39" s="27">
        <v>200.0</v>
      </c>
      <c r="D39" s="28" t="s">
        <v>64317</v>
      </c>
      <c r="E39" s="28" t="s">
        <v>64318</v>
      </c>
      <c r="F39" s="27">
        <v>151.0</v>
      </c>
      <c r="G39" s="27">
        <v>2.0041151E8</v>
      </c>
    </row>
    <row r="40" ht="12.75" customHeight="1">
      <c r="A40" s="31">
        <v>441.0</v>
      </c>
      <c r="B40" s="32" t="s">
        <v>64319</v>
      </c>
      <c r="C40" s="31">
        <v>200.0</v>
      </c>
      <c r="D40" s="32" t="s">
        <v>64320</v>
      </c>
      <c r="E40" s="32" t="s">
        <v>64321</v>
      </c>
      <c r="F40" s="31">
        <v>157.0</v>
      </c>
      <c r="G40" s="31">
        <v>2.00411578E8</v>
      </c>
    </row>
    <row r="41" ht="12.75" customHeight="1">
      <c r="A41" s="27">
        <v>441.0</v>
      </c>
      <c r="B41" s="28" t="s">
        <v>64322</v>
      </c>
      <c r="C41" s="27">
        <v>200.0</v>
      </c>
      <c r="D41" s="28" t="s">
        <v>64323</v>
      </c>
      <c r="E41" s="28" t="s">
        <v>64324</v>
      </c>
      <c r="F41" s="27">
        <v>163.0</v>
      </c>
      <c r="G41" s="27">
        <v>2.00411631E8</v>
      </c>
    </row>
    <row r="42" ht="12.75" customHeight="1">
      <c r="A42" s="31">
        <v>441.0</v>
      </c>
      <c r="B42" s="32" t="s">
        <v>64325</v>
      </c>
      <c r="C42" s="31">
        <v>200.0</v>
      </c>
      <c r="D42" s="32" t="s">
        <v>64326</v>
      </c>
      <c r="E42" s="32" t="s">
        <v>64327</v>
      </c>
      <c r="F42" s="31">
        <v>172.0</v>
      </c>
      <c r="G42" s="31">
        <v>2.00411723E8</v>
      </c>
    </row>
    <row r="43" ht="12.75" customHeight="1">
      <c r="A43" s="27">
        <v>441.0</v>
      </c>
      <c r="B43" s="28" t="s">
        <v>64328</v>
      </c>
      <c r="C43" s="27">
        <v>200.0</v>
      </c>
      <c r="D43" s="28" t="s">
        <v>64329</v>
      </c>
      <c r="E43" s="28" t="s">
        <v>64330</v>
      </c>
      <c r="F43" s="27">
        <v>181.0</v>
      </c>
      <c r="G43" s="27">
        <v>2.00411815E8</v>
      </c>
    </row>
    <row r="44" ht="12.75" customHeight="1">
      <c r="A44" s="31">
        <v>441.0</v>
      </c>
      <c r="B44" s="32" t="s">
        <v>64331</v>
      </c>
      <c r="C44" s="31">
        <v>200.0</v>
      </c>
      <c r="D44" s="32" t="s">
        <v>64332</v>
      </c>
      <c r="E44" s="32" t="s">
        <v>64333</v>
      </c>
      <c r="F44" s="31">
        <v>184.0</v>
      </c>
      <c r="G44" s="31">
        <v>2.00411844E8</v>
      </c>
    </row>
    <row r="45" ht="12.75" customHeight="1">
      <c r="A45" s="27">
        <v>441.0</v>
      </c>
      <c r="B45" s="28" t="s">
        <v>64334</v>
      </c>
      <c r="C45" s="27">
        <v>200.0</v>
      </c>
      <c r="D45" s="28" t="s">
        <v>64335</v>
      </c>
      <c r="E45" s="28" t="s">
        <v>64336</v>
      </c>
      <c r="F45" s="27">
        <v>190.0</v>
      </c>
      <c r="G45" s="27">
        <v>2.00411907E8</v>
      </c>
    </row>
    <row r="46" ht="12.75" customHeight="1">
      <c r="A46" s="31">
        <v>441.0</v>
      </c>
      <c r="B46" s="32" t="s">
        <v>64337</v>
      </c>
      <c r="C46" s="31">
        <v>200.0</v>
      </c>
      <c r="D46" s="32" t="s">
        <v>64338</v>
      </c>
      <c r="E46" s="32" t="s">
        <v>64339</v>
      </c>
      <c r="F46" s="31">
        <v>199.0</v>
      </c>
      <c r="G46" s="31">
        <v>2.00411994E8</v>
      </c>
    </row>
    <row r="47" ht="12.75" customHeight="1">
      <c r="A47" s="27">
        <v>441.0</v>
      </c>
      <c r="B47" s="28" t="s">
        <v>64340</v>
      </c>
      <c r="C47" s="27">
        <v>200.0</v>
      </c>
      <c r="D47" s="28" t="s">
        <v>64341</v>
      </c>
      <c r="E47" s="28" t="s">
        <v>64342</v>
      </c>
      <c r="F47" s="27">
        <v>202.0</v>
      </c>
      <c r="G47" s="27">
        <v>2.00412027E8</v>
      </c>
    </row>
    <row r="48" ht="12.75" customHeight="1">
      <c r="A48" s="31">
        <v>441.0</v>
      </c>
      <c r="B48" s="32" t="s">
        <v>64343</v>
      </c>
      <c r="C48" s="31">
        <v>200.0</v>
      </c>
      <c r="D48" s="32" t="s">
        <v>64344</v>
      </c>
      <c r="E48" s="32" t="s">
        <v>64345</v>
      </c>
      <c r="F48" s="31">
        <v>208.0</v>
      </c>
      <c r="G48" s="31">
        <v>2.00412085E8</v>
      </c>
    </row>
    <row r="49" ht="12.75" customHeight="1">
      <c r="A49" s="27">
        <v>441.0</v>
      </c>
      <c r="B49" s="28" t="s">
        <v>64346</v>
      </c>
      <c r="C49" s="27">
        <v>200.0</v>
      </c>
      <c r="D49" s="28" t="s">
        <v>64347</v>
      </c>
      <c r="E49" s="28" t="s">
        <v>64348</v>
      </c>
      <c r="F49" s="27">
        <v>211.0</v>
      </c>
      <c r="G49" s="27">
        <v>2.00412119E8</v>
      </c>
    </row>
    <row r="50" ht="12.75" customHeight="1">
      <c r="A50" s="31">
        <v>441.0</v>
      </c>
      <c r="B50" s="32" t="s">
        <v>64349</v>
      </c>
      <c r="C50" s="31">
        <v>200.0</v>
      </c>
      <c r="D50" s="32" t="s">
        <v>64350</v>
      </c>
      <c r="E50" s="32" t="s">
        <v>64351</v>
      </c>
      <c r="F50" s="31">
        <v>214.0</v>
      </c>
      <c r="G50" s="31">
        <v>2.00412148E8</v>
      </c>
    </row>
    <row r="51" ht="12.75" customHeight="1">
      <c r="A51" s="27">
        <v>441.0</v>
      </c>
      <c r="B51" s="28" t="s">
        <v>64352</v>
      </c>
      <c r="C51" s="27">
        <v>200.0</v>
      </c>
      <c r="D51" s="28" t="s">
        <v>64353</v>
      </c>
      <c r="E51" s="28" t="s">
        <v>64354</v>
      </c>
      <c r="F51" s="27">
        <v>223.0</v>
      </c>
      <c r="G51" s="27">
        <v>2.0041223E8</v>
      </c>
    </row>
    <row r="52" ht="12.75" customHeight="1">
      <c r="A52" s="31">
        <v>441.0</v>
      </c>
      <c r="B52" s="32" t="s">
        <v>64355</v>
      </c>
      <c r="C52" s="31">
        <v>200.0</v>
      </c>
      <c r="D52" s="32" t="s">
        <v>64356</v>
      </c>
      <c r="E52" s="32" t="s">
        <v>64357</v>
      </c>
      <c r="F52" s="31">
        <v>226.0</v>
      </c>
      <c r="G52" s="31">
        <v>2.00412269E8</v>
      </c>
    </row>
    <row r="53" ht="12.75" customHeight="1">
      <c r="A53" s="27">
        <v>342.0</v>
      </c>
      <c r="B53" s="28" t="s">
        <v>64358</v>
      </c>
      <c r="C53" s="27">
        <v>200.0</v>
      </c>
      <c r="D53" s="28" t="s">
        <v>64359</v>
      </c>
      <c r="E53" s="28" t="s">
        <v>64360</v>
      </c>
      <c r="F53" s="29">
        <v>28.0</v>
      </c>
      <c r="G53" s="27">
        <v>2.0042028E8</v>
      </c>
    </row>
    <row r="54" ht="12.75" customHeight="1">
      <c r="A54" s="31">
        <v>342.0</v>
      </c>
      <c r="B54" s="32" t="s">
        <v>64361</v>
      </c>
      <c r="C54" s="31">
        <v>200.0</v>
      </c>
      <c r="D54" s="32" t="s">
        <v>64362</v>
      </c>
      <c r="E54" s="32" t="s">
        <v>64363</v>
      </c>
      <c r="F54" s="33">
        <v>37.0</v>
      </c>
      <c r="G54" s="31">
        <v>2.00420372E8</v>
      </c>
    </row>
    <row r="55" ht="12.75" customHeight="1">
      <c r="A55" s="27">
        <v>342.0</v>
      </c>
      <c r="B55" s="28" t="s">
        <v>64364</v>
      </c>
      <c r="C55" s="27">
        <v>200.0</v>
      </c>
      <c r="D55" s="28" t="s">
        <v>64365</v>
      </c>
      <c r="E55" s="28" t="s">
        <v>64366</v>
      </c>
      <c r="F55" s="29">
        <v>40.0</v>
      </c>
      <c r="G55" s="27">
        <v>2.00420406E8</v>
      </c>
    </row>
    <row r="56" ht="12.75" customHeight="1">
      <c r="A56" s="31">
        <v>342.0</v>
      </c>
      <c r="B56" s="32" t="s">
        <v>64367</v>
      </c>
      <c r="C56" s="31">
        <v>200.0</v>
      </c>
      <c r="D56" s="32" t="s">
        <v>64368</v>
      </c>
      <c r="E56" s="32" t="s">
        <v>64369</v>
      </c>
      <c r="F56" s="33">
        <v>46.0</v>
      </c>
      <c r="G56" s="31">
        <v>2.00420464E8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342.0</v>
      </c>
      <c r="B1" s="28" t="s">
        <v>64370</v>
      </c>
      <c r="C1" s="27">
        <v>200.0</v>
      </c>
      <c r="D1" s="28" t="s">
        <v>64371</v>
      </c>
      <c r="E1" s="28" t="s">
        <v>64372</v>
      </c>
      <c r="F1" s="29">
        <v>49.0</v>
      </c>
      <c r="G1" s="27">
        <v>2.00420493E8</v>
      </c>
    </row>
    <row r="2" ht="12.75" customHeight="1">
      <c r="A2" s="31">
        <v>342.0</v>
      </c>
      <c r="B2" s="32" t="s">
        <v>64373</v>
      </c>
      <c r="C2" s="31">
        <v>200.0</v>
      </c>
      <c r="D2" s="32" t="s">
        <v>64374</v>
      </c>
      <c r="E2" s="32" t="s">
        <v>64375</v>
      </c>
      <c r="F2" s="33">
        <v>55.0</v>
      </c>
      <c r="G2" s="31">
        <v>2.00420556E8</v>
      </c>
    </row>
    <row r="3" ht="12.75" customHeight="1">
      <c r="A3" s="27">
        <v>444.0</v>
      </c>
      <c r="B3" s="28" t="s">
        <v>64376</v>
      </c>
      <c r="C3" s="27">
        <v>200.0</v>
      </c>
      <c r="D3" s="28" t="s">
        <v>64377</v>
      </c>
      <c r="E3" s="28" t="s">
        <v>64378</v>
      </c>
      <c r="F3" s="29">
        <v>7.0</v>
      </c>
      <c r="G3" s="27">
        <v>2.00440073E8</v>
      </c>
    </row>
    <row r="4" ht="12.75" customHeight="1">
      <c r="A4" s="31">
        <v>444.0</v>
      </c>
      <c r="B4" s="32" t="s">
        <v>64379</v>
      </c>
      <c r="C4" s="31">
        <v>200.0</v>
      </c>
      <c r="D4" s="32" t="s">
        <v>64380</v>
      </c>
      <c r="E4" s="32" t="s">
        <v>64381</v>
      </c>
      <c r="F4" s="33">
        <v>28.0</v>
      </c>
      <c r="G4" s="31">
        <v>2.00440286E8</v>
      </c>
    </row>
    <row r="5" ht="12.75" customHeight="1">
      <c r="A5" s="27">
        <v>444.0</v>
      </c>
      <c r="B5" s="28" t="s">
        <v>64382</v>
      </c>
      <c r="C5" s="27">
        <v>200.0</v>
      </c>
      <c r="D5" s="28" t="s">
        <v>64383</v>
      </c>
      <c r="E5" s="28" t="s">
        <v>64384</v>
      </c>
      <c r="F5" s="29">
        <v>40.0</v>
      </c>
      <c r="G5" s="27">
        <v>2.00440402E8</v>
      </c>
    </row>
    <row r="6" ht="12.75" customHeight="1">
      <c r="A6" s="31">
        <v>444.0</v>
      </c>
      <c r="B6" s="32" t="s">
        <v>64385</v>
      </c>
      <c r="C6" s="31">
        <v>200.0</v>
      </c>
      <c r="D6" s="32" t="s">
        <v>64386</v>
      </c>
      <c r="E6" s="32" t="s">
        <v>64387</v>
      </c>
      <c r="F6" s="33">
        <v>49.0</v>
      </c>
      <c r="G6" s="31">
        <v>2.00440499E8</v>
      </c>
    </row>
    <row r="7" ht="12.75" customHeight="1">
      <c r="A7" s="27">
        <v>444.0</v>
      </c>
      <c r="B7" s="28" t="s">
        <v>64388</v>
      </c>
      <c r="C7" s="27">
        <v>200.0</v>
      </c>
      <c r="D7" s="28" t="s">
        <v>64389</v>
      </c>
      <c r="E7" s="28" t="s">
        <v>64390</v>
      </c>
      <c r="F7" s="29">
        <v>55.0</v>
      </c>
      <c r="G7" s="27">
        <v>2.00440552E8</v>
      </c>
    </row>
    <row r="8" ht="12.75" customHeight="1">
      <c r="A8" s="31">
        <v>444.0</v>
      </c>
      <c r="B8" s="32" t="s">
        <v>64391</v>
      </c>
      <c r="C8" s="31">
        <v>200.0</v>
      </c>
      <c r="D8" s="32" t="s">
        <v>64392</v>
      </c>
      <c r="E8" s="32" t="s">
        <v>64393</v>
      </c>
      <c r="F8" s="33">
        <v>64.0</v>
      </c>
      <c r="G8" s="31">
        <v>2.00440644E8</v>
      </c>
    </row>
    <row r="9" ht="12.75" customHeight="1">
      <c r="A9" s="27">
        <v>444.0</v>
      </c>
      <c r="B9" s="28" t="s">
        <v>64394</v>
      </c>
      <c r="C9" s="27">
        <v>200.0</v>
      </c>
      <c r="D9" s="28" t="s">
        <v>64395</v>
      </c>
      <c r="E9" s="28" t="s">
        <v>64396</v>
      </c>
      <c r="F9" s="29">
        <v>67.0</v>
      </c>
      <c r="G9" s="27">
        <v>2.00440673E8</v>
      </c>
    </row>
    <row r="10" ht="12.75" customHeight="1">
      <c r="A10" s="31">
        <v>444.0</v>
      </c>
      <c r="B10" s="32" t="s">
        <v>64397</v>
      </c>
      <c r="C10" s="31">
        <v>200.0</v>
      </c>
      <c r="D10" s="32" t="s">
        <v>64398</v>
      </c>
      <c r="E10" s="32" t="s">
        <v>64399</v>
      </c>
      <c r="F10" s="33">
        <v>82.0</v>
      </c>
      <c r="G10" s="31">
        <v>2.00440828E8</v>
      </c>
    </row>
    <row r="11" ht="12.75" customHeight="1">
      <c r="A11" s="27">
        <v>444.0</v>
      </c>
      <c r="B11" s="28" t="s">
        <v>64400</v>
      </c>
      <c r="C11" s="27">
        <v>200.0</v>
      </c>
      <c r="D11" s="28" t="s">
        <v>64401</v>
      </c>
      <c r="E11" s="28" t="s">
        <v>64402</v>
      </c>
      <c r="F11" s="29">
        <v>97.0</v>
      </c>
      <c r="G11" s="27">
        <v>2.00440978E8</v>
      </c>
    </row>
    <row r="12" ht="12.75" customHeight="1">
      <c r="A12" s="31">
        <v>444.0</v>
      </c>
      <c r="B12" s="32" t="s">
        <v>64403</v>
      </c>
      <c r="C12" s="31">
        <v>200.0</v>
      </c>
      <c r="D12" s="32" t="s">
        <v>64404</v>
      </c>
      <c r="E12" s="32" t="s">
        <v>64405</v>
      </c>
      <c r="F12" s="31">
        <v>100.0</v>
      </c>
      <c r="G12" s="31">
        <v>2.00441001E8</v>
      </c>
    </row>
    <row r="13" ht="12.75" customHeight="1">
      <c r="A13" s="27">
        <v>444.0</v>
      </c>
      <c r="B13" s="28" t="s">
        <v>64406</v>
      </c>
      <c r="C13" s="27">
        <v>200.0</v>
      </c>
      <c r="D13" s="28" t="s">
        <v>64407</v>
      </c>
      <c r="E13" s="28" t="s">
        <v>64408</v>
      </c>
      <c r="F13" s="27">
        <v>103.0</v>
      </c>
      <c r="G13" s="27">
        <v>2.0044103E8</v>
      </c>
    </row>
    <row r="14" ht="12.75" customHeight="1">
      <c r="A14" s="31">
        <v>444.0</v>
      </c>
      <c r="B14" s="32" t="s">
        <v>64409</v>
      </c>
      <c r="C14" s="31">
        <v>200.0</v>
      </c>
      <c r="D14" s="32" t="s">
        <v>64410</v>
      </c>
      <c r="E14" s="32" t="s">
        <v>64411</v>
      </c>
      <c r="F14" s="31">
        <v>106.0</v>
      </c>
      <c r="G14" s="31">
        <v>2.00441069E8</v>
      </c>
    </row>
    <row r="15" ht="12.75" customHeight="1">
      <c r="A15" s="27">
        <v>444.0</v>
      </c>
      <c r="B15" s="28" t="s">
        <v>64412</v>
      </c>
      <c r="C15" s="27">
        <v>200.0</v>
      </c>
      <c r="D15" s="28" t="s">
        <v>64413</v>
      </c>
      <c r="E15" s="28" t="s">
        <v>64414</v>
      </c>
      <c r="F15" s="27">
        <v>109.0</v>
      </c>
      <c r="G15" s="27">
        <v>2.00441098E8</v>
      </c>
    </row>
    <row r="16" ht="12.75" customHeight="1">
      <c r="A16" s="31">
        <v>444.0</v>
      </c>
      <c r="B16" s="32" t="s">
        <v>64415</v>
      </c>
      <c r="C16" s="31">
        <v>200.0</v>
      </c>
      <c r="D16" s="32" t="s">
        <v>64416</v>
      </c>
      <c r="E16" s="32" t="s">
        <v>64417</v>
      </c>
      <c r="F16" s="31">
        <v>112.0</v>
      </c>
      <c r="G16" s="31">
        <v>2.00441122E8</v>
      </c>
    </row>
    <row r="17" ht="12.75" customHeight="1">
      <c r="A17" s="27">
        <v>444.0</v>
      </c>
      <c r="B17" s="28" t="s">
        <v>64418</v>
      </c>
      <c r="C17" s="27">
        <v>200.0</v>
      </c>
      <c r="D17" s="28" t="s">
        <v>64419</v>
      </c>
      <c r="E17" s="28" t="s">
        <v>64420</v>
      </c>
      <c r="F17" s="27">
        <v>118.0</v>
      </c>
      <c r="G17" s="27">
        <v>2.0044118E8</v>
      </c>
    </row>
    <row r="18" ht="12.75" customHeight="1">
      <c r="A18" s="31">
        <v>444.0</v>
      </c>
      <c r="B18" s="32" t="s">
        <v>64421</v>
      </c>
      <c r="C18" s="31">
        <v>200.0</v>
      </c>
      <c r="D18" s="32" t="s">
        <v>64422</v>
      </c>
      <c r="E18" s="32" t="s">
        <v>64423</v>
      </c>
      <c r="F18" s="31">
        <v>124.0</v>
      </c>
      <c r="G18" s="31">
        <v>2.00441243E8</v>
      </c>
    </row>
    <row r="19" ht="12.75" customHeight="1">
      <c r="A19" s="27">
        <v>246.0</v>
      </c>
      <c r="B19" s="28" t="s">
        <v>64424</v>
      </c>
      <c r="C19" s="27">
        <v>200.0</v>
      </c>
      <c r="D19" s="28" t="s">
        <v>64425</v>
      </c>
      <c r="E19" s="28" t="s">
        <v>64426</v>
      </c>
      <c r="F19" s="29">
        <v>4.0</v>
      </c>
      <c r="G19" s="27">
        <v>2.0046004E8</v>
      </c>
    </row>
    <row r="20" ht="12.75" customHeight="1">
      <c r="A20" s="31">
        <v>246.0</v>
      </c>
      <c r="B20" s="32" t="s">
        <v>64427</v>
      </c>
      <c r="C20" s="31">
        <v>200.0</v>
      </c>
      <c r="D20" s="32" t="s">
        <v>64428</v>
      </c>
      <c r="E20" s="32" t="s">
        <v>64429</v>
      </c>
      <c r="F20" s="33">
        <v>7.0</v>
      </c>
      <c r="G20" s="31">
        <v>2.00460079E8</v>
      </c>
    </row>
    <row r="21" ht="12.75" customHeight="1">
      <c r="A21" s="27">
        <v>246.0</v>
      </c>
      <c r="B21" s="28" t="s">
        <v>64430</v>
      </c>
      <c r="C21" s="27">
        <v>200.0</v>
      </c>
      <c r="D21" s="28" t="s">
        <v>64431</v>
      </c>
      <c r="E21" s="28" t="s">
        <v>64432</v>
      </c>
      <c r="F21" s="29">
        <v>13.0</v>
      </c>
      <c r="G21" s="27">
        <v>2.00460132E8</v>
      </c>
    </row>
    <row r="22" ht="12.75" customHeight="1">
      <c r="A22" s="31">
        <v>246.0</v>
      </c>
      <c r="B22" s="32" t="s">
        <v>64433</v>
      </c>
      <c r="C22" s="31">
        <v>200.0</v>
      </c>
      <c r="D22" s="32" t="s">
        <v>64434</v>
      </c>
      <c r="E22" s="32" t="s">
        <v>64435</v>
      </c>
      <c r="F22" s="33">
        <v>16.0</v>
      </c>
      <c r="G22" s="31">
        <v>2.00460161E8</v>
      </c>
    </row>
    <row r="23" ht="12.75" customHeight="1">
      <c r="A23" s="27">
        <v>246.0</v>
      </c>
      <c r="B23" s="28" t="s">
        <v>64436</v>
      </c>
      <c r="C23" s="27">
        <v>200.0</v>
      </c>
      <c r="D23" s="28" t="s">
        <v>64437</v>
      </c>
      <c r="E23" s="28" t="s">
        <v>64438</v>
      </c>
      <c r="F23" s="29">
        <v>19.0</v>
      </c>
      <c r="G23" s="27">
        <v>2.0046019E8</v>
      </c>
    </row>
    <row r="24" ht="12.75" customHeight="1">
      <c r="A24" s="31">
        <v>246.0</v>
      </c>
      <c r="B24" s="32" t="s">
        <v>64439</v>
      </c>
      <c r="C24" s="31">
        <v>200.0</v>
      </c>
      <c r="D24" s="32" t="s">
        <v>64440</v>
      </c>
      <c r="E24" s="32" t="s">
        <v>64441</v>
      </c>
      <c r="F24" s="33">
        <v>22.0</v>
      </c>
      <c r="G24" s="31">
        <v>2.00460224E8</v>
      </c>
    </row>
    <row r="25" ht="12.75" customHeight="1">
      <c r="A25" s="27">
        <v>246.0</v>
      </c>
      <c r="B25" s="28" t="s">
        <v>64442</v>
      </c>
      <c r="C25" s="27">
        <v>200.0</v>
      </c>
      <c r="D25" s="28" t="s">
        <v>64443</v>
      </c>
      <c r="E25" s="28" t="s">
        <v>64444</v>
      </c>
      <c r="F25" s="29">
        <v>28.0</v>
      </c>
      <c r="G25" s="27">
        <v>2.00460282E8</v>
      </c>
    </row>
    <row r="26" ht="12.75" customHeight="1">
      <c r="A26" s="31">
        <v>246.0</v>
      </c>
      <c r="B26" s="32" t="s">
        <v>64445</v>
      </c>
      <c r="C26" s="31">
        <v>200.0</v>
      </c>
      <c r="D26" s="32" t="s">
        <v>64446</v>
      </c>
      <c r="E26" s="32" t="s">
        <v>64447</v>
      </c>
      <c r="F26" s="33">
        <v>31.0</v>
      </c>
      <c r="G26" s="31">
        <v>2.00460316E8</v>
      </c>
    </row>
    <row r="27" ht="12.75" customHeight="1">
      <c r="A27" s="27">
        <v>447.0</v>
      </c>
      <c r="B27" s="28" t="s">
        <v>64448</v>
      </c>
      <c r="C27" s="27">
        <v>200.0</v>
      </c>
      <c r="D27" s="28" t="s">
        <v>64449</v>
      </c>
      <c r="E27" s="28" t="s">
        <v>64450</v>
      </c>
      <c r="F27" s="29">
        <v>16.0</v>
      </c>
      <c r="G27" s="27">
        <v>2.00470164E8</v>
      </c>
    </row>
    <row r="28" ht="12.75" customHeight="1">
      <c r="A28" s="31">
        <v>447.0</v>
      </c>
      <c r="B28" s="32" t="s">
        <v>64451</v>
      </c>
      <c r="C28" s="31">
        <v>200.0</v>
      </c>
      <c r="D28" s="32" t="s">
        <v>64452</v>
      </c>
      <c r="E28" s="32" t="s">
        <v>64453</v>
      </c>
      <c r="F28" s="33">
        <v>31.0</v>
      </c>
      <c r="G28" s="31">
        <v>2.00470319E8</v>
      </c>
    </row>
    <row r="29" ht="12.75" customHeight="1">
      <c r="A29" s="27">
        <v>447.0</v>
      </c>
      <c r="B29" s="28" t="s">
        <v>64454</v>
      </c>
      <c r="C29" s="27">
        <v>200.0</v>
      </c>
      <c r="D29" s="28" t="s">
        <v>64455</v>
      </c>
      <c r="E29" s="28" t="s">
        <v>64456</v>
      </c>
      <c r="F29" s="29">
        <v>40.0</v>
      </c>
      <c r="G29" s="27">
        <v>2.00470401E8</v>
      </c>
    </row>
    <row r="30" ht="12.75" customHeight="1">
      <c r="A30" s="31">
        <v>447.0</v>
      </c>
      <c r="B30" s="32" t="s">
        <v>64457</v>
      </c>
      <c r="C30" s="31">
        <v>200.0</v>
      </c>
      <c r="D30" s="32" t="s">
        <v>64458</v>
      </c>
      <c r="E30" s="32" t="s">
        <v>64459</v>
      </c>
      <c r="F30" s="33">
        <v>46.0</v>
      </c>
      <c r="G30" s="31">
        <v>2.00470469E8</v>
      </c>
    </row>
    <row r="31" ht="12.75" customHeight="1">
      <c r="A31" s="27">
        <v>447.0</v>
      </c>
      <c r="B31" s="28" t="s">
        <v>64460</v>
      </c>
      <c r="C31" s="27">
        <v>200.0</v>
      </c>
      <c r="D31" s="28" t="s">
        <v>64461</v>
      </c>
      <c r="E31" s="28" t="s">
        <v>64462</v>
      </c>
      <c r="F31" s="29">
        <v>49.0</v>
      </c>
      <c r="G31" s="27">
        <v>2.00470498E8</v>
      </c>
    </row>
    <row r="32" ht="12.75" customHeight="1">
      <c r="A32" s="31">
        <v>447.0</v>
      </c>
      <c r="B32" s="32" t="s">
        <v>64463</v>
      </c>
      <c r="C32" s="31">
        <v>200.0</v>
      </c>
      <c r="D32" s="32" t="s">
        <v>64464</v>
      </c>
      <c r="E32" s="32" t="s">
        <v>64465</v>
      </c>
      <c r="F32" s="33">
        <v>61.0</v>
      </c>
      <c r="G32" s="31">
        <v>2.00470614E8</v>
      </c>
    </row>
    <row r="33" ht="12.75" customHeight="1">
      <c r="A33" s="27">
        <v>447.0</v>
      </c>
      <c r="B33" s="28" t="s">
        <v>64466</v>
      </c>
      <c r="C33" s="27">
        <v>200.0</v>
      </c>
      <c r="D33" s="28" t="s">
        <v>64467</v>
      </c>
      <c r="E33" s="28" t="s">
        <v>64468</v>
      </c>
      <c r="F33" s="29">
        <v>70.0</v>
      </c>
      <c r="G33" s="27">
        <v>2.00470706E8</v>
      </c>
    </row>
    <row r="34" ht="12.75" customHeight="1">
      <c r="A34" s="31">
        <v>447.0</v>
      </c>
      <c r="B34" s="32" t="s">
        <v>64469</v>
      </c>
      <c r="C34" s="31">
        <v>200.0</v>
      </c>
      <c r="D34" s="32" t="s">
        <v>64470</v>
      </c>
      <c r="E34" s="32" t="s">
        <v>64471</v>
      </c>
      <c r="F34" s="33">
        <v>73.0</v>
      </c>
      <c r="G34" s="31">
        <v>2.00470735E8</v>
      </c>
    </row>
    <row r="35" ht="12.75" customHeight="1">
      <c r="A35" s="27">
        <v>447.0</v>
      </c>
      <c r="B35" s="28" t="s">
        <v>64472</v>
      </c>
      <c r="C35" s="27">
        <v>200.0</v>
      </c>
      <c r="D35" s="28" t="s">
        <v>64473</v>
      </c>
      <c r="E35" s="28" t="s">
        <v>64474</v>
      </c>
      <c r="F35" s="29">
        <v>76.0</v>
      </c>
      <c r="G35" s="27">
        <v>2.00470764E8</v>
      </c>
    </row>
    <row r="36" ht="12.75" customHeight="1">
      <c r="A36" s="31">
        <v>447.0</v>
      </c>
      <c r="B36" s="32" t="s">
        <v>64475</v>
      </c>
      <c r="C36" s="31">
        <v>200.0</v>
      </c>
      <c r="D36" s="32" t="s">
        <v>64476</v>
      </c>
      <c r="E36" s="32" t="s">
        <v>64477</v>
      </c>
      <c r="F36" s="33">
        <v>79.0</v>
      </c>
      <c r="G36" s="31">
        <v>2.00470793E8</v>
      </c>
    </row>
    <row r="37" ht="12.75" customHeight="1">
      <c r="A37" s="27">
        <v>447.0</v>
      </c>
      <c r="B37" s="28" t="s">
        <v>64478</v>
      </c>
      <c r="C37" s="27">
        <v>200.0</v>
      </c>
      <c r="D37" s="28" t="s">
        <v>64479</v>
      </c>
      <c r="E37" s="28" t="s">
        <v>64480</v>
      </c>
      <c r="F37" s="29">
        <v>85.0</v>
      </c>
      <c r="G37" s="27">
        <v>2.00470856E8</v>
      </c>
    </row>
    <row r="38" ht="12.75" customHeight="1">
      <c r="A38" s="31">
        <v>447.0</v>
      </c>
      <c r="B38" s="32" t="s">
        <v>64481</v>
      </c>
      <c r="C38" s="31">
        <v>200.0</v>
      </c>
      <c r="D38" s="32" t="s">
        <v>64482</v>
      </c>
      <c r="E38" s="32" t="s">
        <v>64483</v>
      </c>
      <c r="F38" s="31">
        <v>121.0</v>
      </c>
      <c r="G38" s="31">
        <v>2.00471213E8</v>
      </c>
    </row>
    <row r="39" ht="12.75" customHeight="1">
      <c r="A39" s="27">
        <v>447.0</v>
      </c>
      <c r="B39" s="28" t="s">
        <v>64484</v>
      </c>
      <c r="C39" s="27">
        <v>200.0</v>
      </c>
      <c r="D39" s="28" t="s">
        <v>64485</v>
      </c>
      <c r="E39" s="28" t="s">
        <v>64486</v>
      </c>
      <c r="F39" s="27">
        <v>136.0</v>
      </c>
      <c r="G39" s="27">
        <v>2.00471363E8</v>
      </c>
    </row>
    <row r="40" ht="12.75" customHeight="1">
      <c r="A40" s="31">
        <v>447.0</v>
      </c>
      <c r="B40" s="32" t="s">
        <v>64487</v>
      </c>
      <c r="C40" s="31">
        <v>200.0</v>
      </c>
      <c r="D40" s="32" t="s">
        <v>64488</v>
      </c>
      <c r="E40" s="32" t="s">
        <v>64489</v>
      </c>
      <c r="F40" s="31">
        <v>145.0</v>
      </c>
      <c r="G40" s="31">
        <v>2.00471455E8</v>
      </c>
    </row>
    <row r="41" ht="12.75" customHeight="1">
      <c r="A41" s="27">
        <v>447.0</v>
      </c>
      <c r="B41" s="28" t="s">
        <v>64490</v>
      </c>
      <c r="C41" s="27">
        <v>200.0</v>
      </c>
      <c r="D41" s="28" t="s">
        <v>64491</v>
      </c>
      <c r="E41" s="28" t="s">
        <v>64492</v>
      </c>
      <c r="F41" s="27">
        <v>160.0</v>
      </c>
      <c r="G41" s="27">
        <v>2.004716E8</v>
      </c>
    </row>
    <row r="42" ht="12.75" customHeight="1">
      <c r="A42" s="31">
        <v>447.0</v>
      </c>
      <c r="B42" s="32" t="s">
        <v>64493</v>
      </c>
      <c r="C42" s="31">
        <v>200.0</v>
      </c>
      <c r="D42" s="32" t="s">
        <v>64494</v>
      </c>
      <c r="E42" s="32" t="s">
        <v>64495</v>
      </c>
      <c r="F42" s="31">
        <v>166.0</v>
      </c>
      <c r="G42" s="31">
        <v>2.00471668E8</v>
      </c>
    </row>
    <row r="43" ht="12.75" customHeight="1">
      <c r="A43" s="27">
        <v>447.0</v>
      </c>
      <c r="B43" s="28" t="s">
        <v>64496</v>
      </c>
      <c r="C43" s="27">
        <v>200.0</v>
      </c>
      <c r="D43" s="28" t="s">
        <v>64497</v>
      </c>
      <c r="E43" s="28" t="s">
        <v>64498</v>
      </c>
      <c r="F43" s="27">
        <v>178.0</v>
      </c>
      <c r="G43" s="27">
        <v>2.00471789E8</v>
      </c>
    </row>
    <row r="44" ht="12.75" customHeight="1">
      <c r="A44" s="31">
        <v>447.0</v>
      </c>
      <c r="B44" s="32" t="s">
        <v>64499</v>
      </c>
      <c r="C44" s="31">
        <v>200.0</v>
      </c>
      <c r="D44" s="32" t="s">
        <v>64500</v>
      </c>
      <c r="E44" s="32" t="s">
        <v>64501</v>
      </c>
      <c r="F44" s="31">
        <v>208.0</v>
      </c>
      <c r="G44" s="31">
        <v>2.00472083E8</v>
      </c>
    </row>
    <row r="45" ht="12.75" customHeight="1">
      <c r="A45" s="27">
        <v>447.0</v>
      </c>
      <c r="B45" s="28" t="s">
        <v>64502</v>
      </c>
      <c r="C45" s="27">
        <v>200.0</v>
      </c>
      <c r="D45" s="28" t="s">
        <v>64503</v>
      </c>
      <c r="E45" s="28" t="s">
        <v>64504</v>
      </c>
      <c r="F45" s="27">
        <v>214.0</v>
      </c>
      <c r="G45" s="27">
        <v>2.00472146E8</v>
      </c>
    </row>
    <row r="46" ht="12.75" customHeight="1">
      <c r="A46" s="31">
        <v>447.0</v>
      </c>
      <c r="B46" s="32" t="s">
        <v>64505</v>
      </c>
      <c r="C46" s="31">
        <v>200.0</v>
      </c>
      <c r="D46" s="32" t="s">
        <v>64506</v>
      </c>
      <c r="E46" s="32" t="s">
        <v>64507</v>
      </c>
      <c r="F46" s="31">
        <v>229.0</v>
      </c>
      <c r="G46" s="31">
        <v>2.00472296E8</v>
      </c>
    </row>
    <row r="47" ht="12.75" customHeight="1">
      <c r="A47" s="27">
        <v>447.0</v>
      </c>
      <c r="B47" s="28" t="s">
        <v>64508</v>
      </c>
      <c r="C47" s="27">
        <v>200.0</v>
      </c>
      <c r="D47" s="28" t="s">
        <v>64509</v>
      </c>
      <c r="E47" s="28" t="s">
        <v>64510</v>
      </c>
      <c r="F47" s="27">
        <v>244.0</v>
      </c>
      <c r="G47" s="27">
        <v>2.00472441E8</v>
      </c>
    </row>
    <row r="48" ht="12.75" customHeight="1">
      <c r="A48" s="31">
        <v>447.0</v>
      </c>
      <c r="B48" s="32" t="s">
        <v>64511</v>
      </c>
      <c r="C48" s="31">
        <v>200.0</v>
      </c>
      <c r="D48" s="32" t="s">
        <v>64512</v>
      </c>
      <c r="E48" s="32" t="s">
        <v>64513</v>
      </c>
      <c r="F48" s="31">
        <v>259.0</v>
      </c>
      <c r="G48" s="31">
        <v>2.00472591E8</v>
      </c>
    </row>
    <row r="49" ht="12.75" customHeight="1">
      <c r="A49" s="27">
        <v>447.0</v>
      </c>
      <c r="B49" s="28" t="s">
        <v>64514</v>
      </c>
      <c r="C49" s="27">
        <v>200.0</v>
      </c>
      <c r="D49" s="28" t="s">
        <v>64515</v>
      </c>
      <c r="E49" s="28" t="s">
        <v>64516</v>
      </c>
      <c r="F49" s="27">
        <v>265.0</v>
      </c>
      <c r="G49" s="27">
        <v>2.00472654E8</v>
      </c>
    </row>
    <row r="50" ht="12.75" customHeight="1">
      <c r="A50" s="31">
        <v>148.0</v>
      </c>
      <c r="B50" s="32" t="s">
        <v>64517</v>
      </c>
      <c r="C50" s="31">
        <v>200.0</v>
      </c>
      <c r="D50" s="32" t="s">
        <v>64518</v>
      </c>
      <c r="E50" s="32" t="s">
        <v>64519</v>
      </c>
      <c r="F50" s="33">
        <v>7.0</v>
      </c>
      <c r="G50" s="31">
        <v>2.00480075E8</v>
      </c>
    </row>
    <row r="51" ht="12.75" customHeight="1">
      <c r="A51" s="27">
        <v>148.0</v>
      </c>
      <c r="B51" s="28" t="s">
        <v>64520</v>
      </c>
      <c r="C51" s="27">
        <v>200.0</v>
      </c>
      <c r="D51" s="28" t="s">
        <v>64521</v>
      </c>
      <c r="E51" s="28" t="s">
        <v>64522</v>
      </c>
      <c r="F51" s="29">
        <v>10.0</v>
      </c>
      <c r="G51" s="27">
        <v>2.00480109E8</v>
      </c>
    </row>
    <row r="52" ht="12.75" customHeight="1">
      <c r="A52" s="31">
        <v>148.0</v>
      </c>
      <c r="B52" s="32" t="s">
        <v>64523</v>
      </c>
      <c r="C52" s="31">
        <v>200.0</v>
      </c>
      <c r="D52" s="32" t="s">
        <v>64524</v>
      </c>
      <c r="E52" s="32" t="s">
        <v>64525</v>
      </c>
      <c r="F52" s="33">
        <v>19.0</v>
      </c>
      <c r="G52" s="31">
        <v>2.00480196E8</v>
      </c>
    </row>
    <row r="53" ht="12.75" customHeight="1">
      <c r="A53" s="27">
        <v>148.0</v>
      </c>
      <c r="B53" s="28" t="s">
        <v>64526</v>
      </c>
      <c r="C53" s="27">
        <v>200.0</v>
      </c>
      <c r="D53" s="28" t="s">
        <v>64527</v>
      </c>
      <c r="E53" s="28" t="s">
        <v>64528</v>
      </c>
      <c r="F53" s="29">
        <v>28.0</v>
      </c>
      <c r="G53" s="27">
        <v>2.00480288E8</v>
      </c>
    </row>
    <row r="54" ht="12.75" customHeight="1">
      <c r="A54" s="31">
        <v>148.0</v>
      </c>
      <c r="B54" s="32" t="s">
        <v>64529</v>
      </c>
      <c r="C54" s="31">
        <v>200.0</v>
      </c>
      <c r="D54" s="32" t="s">
        <v>64530</v>
      </c>
      <c r="E54" s="32" t="s">
        <v>64531</v>
      </c>
      <c r="F54" s="33">
        <v>31.0</v>
      </c>
      <c r="G54" s="31">
        <v>2.00480312E8</v>
      </c>
    </row>
    <row r="55" ht="12.75" customHeight="1">
      <c r="A55" s="27">
        <v>148.0</v>
      </c>
      <c r="B55" s="28" t="s">
        <v>64532</v>
      </c>
      <c r="C55" s="27">
        <v>200.0</v>
      </c>
      <c r="D55" s="28" t="s">
        <v>64533</v>
      </c>
      <c r="E55" s="28" t="s">
        <v>64534</v>
      </c>
      <c r="F55" s="29">
        <v>40.0</v>
      </c>
      <c r="G55" s="27">
        <v>2.00480404E8</v>
      </c>
    </row>
    <row r="56" ht="12.75" customHeight="1">
      <c r="A56" s="31">
        <v>148.0</v>
      </c>
      <c r="B56" s="32" t="s">
        <v>64535</v>
      </c>
      <c r="C56" s="31">
        <v>200.0</v>
      </c>
      <c r="D56" s="32" t="s">
        <v>64536</v>
      </c>
      <c r="E56" s="32" t="s">
        <v>64537</v>
      </c>
      <c r="F56" s="33">
        <v>43.0</v>
      </c>
      <c r="G56" s="31">
        <v>2.00480433E8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148.0</v>
      </c>
      <c r="B1" s="28" t="s">
        <v>64538</v>
      </c>
      <c r="C1" s="27">
        <v>200.0</v>
      </c>
      <c r="D1" s="28" t="s">
        <v>64539</v>
      </c>
      <c r="E1" s="28" t="s">
        <v>64540</v>
      </c>
      <c r="F1" s="29">
        <v>49.0</v>
      </c>
      <c r="G1" s="27">
        <v>2.00480491E8</v>
      </c>
    </row>
    <row r="2" ht="12.75" customHeight="1">
      <c r="A2" s="31">
        <v>148.0</v>
      </c>
      <c r="B2" s="32" t="s">
        <v>64541</v>
      </c>
      <c r="C2" s="31">
        <v>200.0</v>
      </c>
      <c r="D2" s="32" t="s">
        <v>64542</v>
      </c>
      <c r="E2" s="32" t="s">
        <v>64543</v>
      </c>
      <c r="F2" s="33">
        <v>55.0</v>
      </c>
      <c r="G2" s="31">
        <v>2.00480554E8</v>
      </c>
    </row>
    <row r="3" ht="12.75" customHeight="1">
      <c r="A3" s="27">
        <v>148.0</v>
      </c>
      <c r="B3" s="28" t="s">
        <v>64544</v>
      </c>
      <c r="C3" s="27">
        <v>200.0</v>
      </c>
      <c r="D3" s="28" t="s">
        <v>64545</v>
      </c>
      <c r="E3" s="28" t="s">
        <v>64546</v>
      </c>
      <c r="F3" s="29">
        <v>61.0</v>
      </c>
      <c r="G3" s="27">
        <v>2.00480617E8</v>
      </c>
    </row>
    <row r="4" ht="12.75" customHeight="1">
      <c r="A4" s="31">
        <v>148.0</v>
      </c>
      <c r="B4" s="32" t="s">
        <v>64547</v>
      </c>
      <c r="C4" s="31">
        <v>200.0</v>
      </c>
      <c r="D4" s="32" t="s">
        <v>64548</v>
      </c>
      <c r="E4" s="32" t="s">
        <v>64549</v>
      </c>
      <c r="F4" s="33">
        <v>67.0</v>
      </c>
      <c r="G4" s="31">
        <v>2.00480675E8</v>
      </c>
    </row>
    <row r="5" ht="12.75" customHeight="1">
      <c r="A5" s="27">
        <v>148.0</v>
      </c>
      <c r="B5" s="28" t="s">
        <v>64550</v>
      </c>
      <c r="C5" s="27">
        <v>200.0</v>
      </c>
      <c r="D5" s="28" t="s">
        <v>64551</v>
      </c>
      <c r="E5" s="28" t="s">
        <v>64552</v>
      </c>
      <c r="F5" s="29">
        <v>73.0</v>
      </c>
      <c r="G5" s="27">
        <v>2.00480738E8</v>
      </c>
    </row>
    <row r="6" ht="12.75" customHeight="1">
      <c r="A6" s="31">
        <v>148.0</v>
      </c>
      <c r="B6" s="32" t="s">
        <v>64553</v>
      </c>
      <c r="C6" s="31">
        <v>200.0</v>
      </c>
      <c r="D6" s="32" t="s">
        <v>64554</v>
      </c>
      <c r="E6" s="32" t="s">
        <v>64555</v>
      </c>
      <c r="F6" s="33">
        <v>94.0</v>
      </c>
      <c r="G6" s="31">
        <v>2.00480941E8</v>
      </c>
    </row>
    <row r="7" ht="12.75" customHeight="1">
      <c r="A7" s="27">
        <v>148.0</v>
      </c>
      <c r="B7" s="28" t="s">
        <v>64556</v>
      </c>
      <c r="C7" s="27">
        <v>200.0</v>
      </c>
      <c r="D7" s="28" t="s">
        <v>64557</v>
      </c>
      <c r="E7" s="28" t="s">
        <v>64558</v>
      </c>
      <c r="F7" s="29">
        <v>97.0</v>
      </c>
      <c r="G7" s="27">
        <v>2.0048097E8</v>
      </c>
    </row>
    <row r="8" ht="12.75" customHeight="1">
      <c r="A8" s="31">
        <v>148.0</v>
      </c>
      <c r="B8" s="32" t="s">
        <v>64559</v>
      </c>
      <c r="C8" s="31">
        <v>200.0</v>
      </c>
      <c r="D8" s="32" t="s">
        <v>64560</v>
      </c>
      <c r="E8" s="32" t="s">
        <v>64561</v>
      </c>
      <c r="F8" s="31">
        <v>100.0</v>
      </c>
      <c r="G8" s="31">
        <v>2.00481003E8</v>
      </c>
    </row>
    <row r="9" ht="12.75" customHeight="1">
      <c r="A9" s="27">
        <v>148.0</v>
      </c>
      <c r="B9" s="28" t="s">
        <v>64562</v>
      </c>
      <c r="C9" s="27">
        <v>200.0</v>
      </c>
      <c r="D9" s="28" t="s">
        <v>64563</v>
      </c>
      <c r="E9" s="28" t="s">
        <v>64564</v>
      </c>
      <c r="F9" s="27">
        <v>106.0</v>
      </c>
      <c r="G9" s="27">
        <v>2.00481061E8</v>
      </c>
    </row>
    <row r="10" ht="12.75" customHeight="1">
      <c r="A10" s="31">
        <v>148.0</v>
      </c>
      <c r="B10" s="32" t="s">
        <v>64565</v>
      </c>
      <c r="C10" s="31">
        <v>200.0</v>
      </c>
      <c r="D10" s="32" t="s">
        <v>64566</v>
      </c>
      <c r="E10" s="32" t="s">
        <v>64567</v>
      </c>
      <c r="F10" s="31">
        <v>115.0</v>
      </c>
      <c r="G10" s="31">
        <v>2.00481153E8</v>
      </c>
    </row>
    <row r="11" ht="12.75" customHeight="1">
      <c r="A11" s="27">
        <v>749.0</v>
      </c>
      <c r="B11" s="28" t="s">
        <v>64568</v>
      </c>
      <c r="C11" s="27">
        <v>200.0</v>
      </c>
      <c r="D11" s="28" t="s">
        <v>64569</v>
      </c>
      <c r="E11" s="28" t="s">
        <v>64570</v>
      </c>
      <c r="F11" s="29">
        <v>10.0</v>
      </c>
      <c r="G11" s="27">
        <v>2.00490102E8</v>
      </c>
    </row>
    <row r="12" ht="12.75" customHeight="1">
      <c r="A12" s="31">
        <v>749.0</v>
      </c>
      <c r="B12" s="32" t="s">
        <v>64571</v>
      </c>
      <c r="C12" s="31">
        <v>200.0</v>
      </c>
      <c r="D12" s="32" t="s">
        <v>64572</v>
      </c>
      <c r="E12" s="32" t="s">
        <v>64573</v>
      </c>
      <c r="F12" s="33">
        <v>13.0</v>
      </c>
      <c r="G12" s="31">
        <v>2.00490131E8</v>
      </c>
    </row>
    <row r="13" ht="12.75" customHeight="1">
      <c r="A13" s="27">
        <v>749.0</v>
      </c>
      <c r="B13" s="28" t="s">
        <v>64574</v>
      </c>
      <c r="C13" s="27">
        <v>200.0</v>
      </c>
      <c r="D13" s="28" t="s">
        <v>64575</v>
      </c>
      <c r="E13" s="28" t="s">
        <v>64576</v>
      </c>
      <c r="F13" s="29">
        <v>19.0</v>
      </c>
      <c r="G13" s="27">
        <v>2.00490199E8</v>
      </c>
    </row>
    <row r="14" ht="12.75" customHeight="1">
      <c r="A14" s="31">
        <v>749.0</v>
      </c>
      <c r="B14" s="32" t="s">
        <v>64577</v>
      </c>
      <c r="C14" s="31">
        <v>200.0</v>
      </c>
      <c r="D14" s="32" t="s">
        <v>64578</v>
      </c>
      <c r="E14" s="32" t="s">
        <v>64579</v>
      </c>
      <c r="F14" s="33">
        <v>40.0</v>
      </c>
      <c r="G14" s="31">
        <v>2.00490407E8</v>
      </c>
    </row>
    <row r="15" ht="12.75" customHeight="1">
      <c r="A15" s="27">
        <v>749.0</v>
      </c>
      <c r="B15" s="28" t="s">
        <v>64580</v>
      </c>
      <c r="C15" s="27">
        <v>200.0</v>
      </c>
      <c r="D15" s="28" t="s">
        <v>64581</v>
      </c>
      <c r="E15" s="28" t="s">
        <v>64582</v>
      </c>
      <c r="F15" s="29">
        <v>46.0</v>
      </c>
      <c r="G15" s="27">
        <v>2.00490465E8</v>
      </c>
    </row>
    <row r="16" ht="12.75" customHeight="1">
      <c r="A16" s="31">
        <v>749.0</v>
      </c>
      <c r="B16" s="32" t="s">
        <v>64583</v>
      </c>
      <c r="C16" s="31">
        <v>200.0</v>
      </c>
      <c r="D16" s="32" t="s">
        <v>64584</v>
      </c>
      <c r="E16" s="32" t="s">
        <v>64585</v>
      </c>
      <c r="F16" s="33">
        <v>58.0</v>
      </c>
      <c r="G16" s="31">
        <v>2.00490586E8</v>
      </c>
    </row>
    <row r="17" ht="12.75" customHeight="1">
      <c r="A17" s="27">
        <v>749.0</v>
      </c>
      <c r="B17" s="28" t="s">
        <v>64586</v>
      </c>
      <c r="C17" s="27">
        <v>200.0</v>
      </c>
      <c r="D17" s="28" t="s">
        <v>64587</v>
      </c>
      <c r="E17" s="28" t="s">
        <v>64588</v>
      </c>
      <c r="F17" s="29">
        <v>61.0</v>
      </c>
      <c r="G17" s="27">
        <v>2.0049061E8</v>
      </c>
    </row>
    <row r="18" ht="12.75" customHeight="1">
      <c r="A18" s="31">
        <v>749.0</v>
      </c>
      <c r="B18" s="32" t="s">
        <v>64589</v>
      </c>
      <c r="C18" s="31">
        <v>200.0</v>
      </c>
      <c r="D18" s="32" t="s">
        <v>64590</v>
      </c>
      <c r="E18" s="32" t="s">
        <v>64591</v>
      </c>
      <c r="F18" s="33">
        <v>64.0</v>
      </c>
      <c r="G18" s="31">
        <v>2.00490649E8</v>
      </c>
    </row>
    <row r="19" ht="12.75" customHeight="1">
      <c r="A19" s="27">
        <v>749.0</v>
      </c>
      <c r="B19" s="28" t="s">
        <v>64592</v>
      </c>
      <c r="C19" s="27">
        <v>200.0</v>
      </c>
      <c r="D19" s="28" t="s">
        <v>64593</v>
      </c>
      <c r="E19" s="28" t="s">
        <v>64594</v>
      </c>
      <c r="F19" s="29">
        <v>70.0</v>
      </c>
      <c r="G19" s="27">
        <v>2.00490702E8</v>
      </c>
    </row>
    <row r="20" ht="12.75" customHeight="1">
      <c r="A20" s="31">
        <v>450.0</v>
      </c>
      <c r="B20" s="32" t="s">
        <v>64595</v>
      </c>
      <c r="C20" s="31">
        <v>200.0</v>
      </c>
      <c r="D20" s="32" t="s">
        <v>64596</v>
      </c>
      <c r="E20" s="32" t="s">
        <v>64597</v>
      </c>
      <c r="F20" s="33">
        <v>10.0</v>
      </c>
      <c r="G20" s="31">
        <v>2.005001E8</v>
      </c>
    </row>
    <row r="21" ht="12.75" customHeight="1">
      <c r="A21" s="27">
        <v>450.0</v>
      </c>
      <c r="B21" s="28" t="s">
        <v>64598</v>
      </c>
      <c r="C21" s="27">
        <v>200.0</v>
      </c>
      <c r="D21" s="28" t="s">
        <v>64599</v>
      </c>
      <c r="E21" s="28" t="s">
        <v>64600</v>
      </c>
      <c r="F21" s="29">
        <v>28.0</v>
      </c>
      <c r="G21" s="27">
        <v>2.00500289E8</v>
      </c>
    </row>
    <row r="22" ht="12.75" customHeight="1">
      <c r="A22" s="31">
        <v>450.0</v>
      </c>
      <c r="B22" s="32" t="s">
        <v>64601</v>
      </c>
      <c r="C22" s="31">
        <v>200.0</v>
      </c>
      <c r="D22" s="32" t="s">
        <v>64602</v>
      </c>
      <c r="E22" s="32" t="s">
        <v>64603</v>
      </c>
      <c r="F22" s="33">
        <v>31.0</v>
      </c>
      <c r="G22" s="31">
        <v>2.00500313E8</v>
      </c>
    </row>
    <row r="23" ht="12.75" customHeight="1">
      <c r="A23" s="27">
        <v>450.0</v>
      </c>
      <c r="B23" s="28" t="s">
        <v>64604</v>
      </c>
      <c r="C23" s="27">
        <v>200.0</v>
      </c>
      <c r="D23" s="28" t="s">
        <v>64605</v>
      </c>
      <c r="E23" s="28" t="s">
        <v>64606</v>
      </c>
      <c r="F23" s="29">
        <v>37.0</v>
      </c>
      <c r="G23" s="27">
        <v>2.00500371E8</v>
      </c>
    </row>
    <row r="24" ht="12.75" customHeight="1">
      <c r="A24" s="31">
        <v>450.0</v>
      </c>
      <c r="B24" s="32" t="s">
        <v>64607</v>
      </c>
      <c r="C24" s="31">
        <v>200.0</v>
      </c>
      <c r="D24" s="32" t="s">
        <v>64608</v>
      </c>
      <c r="E24" s="32" t="s">
        <v>64609</v>
      </c>
      <c r="F24" s="33">
        <v>46.0</v>
      </c>
      <c r="G24" s="31">
        <v>2.00500463E8</v>
      </c>
    </row>
    <row r="25" ht="12.75" customHeight="1">
      <c r="A25" s="27">
        <v>450.0</v>
      </c>
      <c r="B25" s="28" t="s">
        <v>64610</v>
      </c>
      <c r="C25" s="27">
        <v>200.0</v>
      </c>
      <c r="D25" s="28" t="s">
        <v>64611</v>
      </c>
      <c r="E25" s="28" t="s">
        <v>64612</v>
      </c>
      <c r="F25" s="29">
        <v>49.0</v>
      </c>
      <c r="G25" s="27">
        <v>2.00500492E8</v>
      </c>
    </row>
    <row r="26" ht="12.75" customHeight="1">
      <c r="A26" s="31">
        <v>450.0</v>
      </c>
      <c r="B26" s="32" t="s">
        <v>64613</v>
      </c>
      <c r="C26" s="31">
        <v>200.0</v>
      </c>
      <c r="D26" s="32" t="s">
        <v>64614</v>
      </c>
      <c r="E26" s="32" t="s">
        <v>64615</v>
      </c>
      <c r="F26" s="33">
        <v>52.0</v>
      </c>
      <c r="G26" s="31">
        <v>2.00500526E8</v>
      </c>
    </row>
    <row r="27" ht="12.75" customHeight="1">
      <c r="A27" s="27">
        <v>450.0</v>
      </c>
      <c r="B27" s="28" t="s">
        <v>64616</v>
      </c>
      <c r="C27" s="27">
        <v>200.0</v>
      </c>
      <c r="D27" s="28" t="s">
        <v>64617</v>
      </c>
      <c r="E27" s="28" t="s">
        <v>64618</v>
      </c>
      <c r="F27" s="29">
        <v>58.0</v>
      </c>
      <c r="G27" s="27">
        <v>2.00500584E8</v>
      </c>
    </row>
    <row r="28" ht="12.75" customHeight="1">
      <c r="A28" s="31">
        <v>450.0</v>
      </c>
      <c r="B28" s="32" t="s">
        <v>64619</v>
      </c>
      <c r="C28" s="31">
        <v>200.0</v>
      </c>
      <c r="D28" s="32" t="s">
        <v>64620</v>
      </c>
      <c r="E28" s="32" t="s">
        <v>64621</v>
      </c>
      <c r="F28" s="33">
        <v>61.0</v>
      </c>
      <c r="G28" s="31">
        <v>2.00500618E8</v>
      </c>
    </row>
    <row r="29" ht="12.75" customHeight="1">
      <c r="A29" s="27">
        <v>450.0</v>
      </c>
      <c r="B29" s="28" t="s">
        <v>64622</v>
      </c>
      <c r="C29" s="27">
        <v>200.0</v>
      </c>
      <c r="D29" s="28" t="s">
        <v>64623</v>
      </c>
      <c r="E29" s="28" t="s">
        <v>64624</v>
      </c>
      <c r="F29" s="29">
        <v>76.0</v>
      </c>
      <c r="G29" s="27">
        <v>2.00500768E8</v>
      </c>
    </row>
    <row r="30" ht="12.75" customHeight="1">
      <c r="A30" s="31">
        <v>450.0</v>
      </c>
      <c r="B30" s="32" t="s">
        <v>64625</v>
      </c>
      <c r="C30" s="31">
        <v>200.0</v>
      </c>
      <c r="D30" s="32" t="s">
        <v>64626</v>
      </c>
      <c r="E30" s="32" t="s">
        <v>64627</v>
      </c>
      <c r="F30" s="33">
        <v>82.0</v>
      </c>
      <c r="G30" s="31">
        <v>2.00500821E8</v>
      </c>
    </row>
    <row r="31" ht="12.75" customHeight="1">
      <c r="A31" s="27">
        <v>450.0</v>
      </c>
      <c r="B31" s="28" t="s">
        <v>64628</v>
      </c>
      <c r="C31" s="27">
        <v>200.0</v>
      </c>
      <c r="D31" s="28" t="s">
        <v>64629</v>
      </c>
      <c r="E31" s="28" t="s">
        <v>64630</v>
      </c>
      <c r="F31" s="29">
        <v>88.0</v>
      </c>
      <c r="G31" s="27">
        <v>2.00500889E8</v>
      </c>
    </row>
    <row r="32" ht="12.75" customHeight="1">
      <c r="A32" s="31">
        <v>450.0</v>
      </c>
      <c r="B32" s="32" t="s">
        <v>64631</v>
      </c>
      <c r="C32" s="31">
        <v>200.0</v>
      </c>
      <c r="D32" s="32" t="s">
        <v>64632</v>
      </c>
      <c r="E32" s="32" t="s">
        <v>64633</v>
      </c>
      <c r="F32" s="33">
        <v>91.0</v>
      </c>
      <c r="G32" s="31">
        <v>2.00500913E8</v>
      </c>
    </row>
    <row r="33" ht="12.75" customHeight="1">
      <c r="A33" s="27">
        <v>450.0</v>
      </c>
      <c r="B33" s="28" t="s">
        <v>64634</v>
      </c>
      <c r="C33" s="27">
        <v>200.0</v>
      </c>
      <c r="D33" s="28" t="s">
        <v>64635</v>
      </c>
      <c r="E33" s="28" t="s">
        <v>64636</v>
      </c>
      <c r="F33" s="29">
        <v>94.0</v>
      </c>
      <c r="G33" s="27">
        <v>2.00500942E8</v>
      </c>
    </row>
    <row r="34" ht="12.75" customHeight="1">
      <c r="A34" s="31">
        <v>450.0</v>
      </c>
      <c r="B34" s="32" t="s">
        <v>64637</v>
      </c>
      <c r="C34" s="31">
        <v>200.0</v>
      </c>
      <c r="D34" s="32" t="s">
        <v>64638</v>
      </c>
      <c r="E34" s="32" t="s">
        <v>64639</v>
      </c>
      <c r="F34" s="31">
        <v>100.0</v>
      </c>
      <c r="G34" s="31">
        <v>2.00501004E8</v>
      </c>
    </row>
    <row r="35" ht="12.75" customHeight="1">
      <c r="A35" s="27">
        <v>450.0</v>
      </c>
      <c r="B35" s="28" t="s">
        <v>64640</v>
      </c>
      <c r="C35" s="27">
        <v>200.0</v>
      </c>
      <c r="D35" s="28" t="s">
        <v>64641</v>
      </c>
      <c r="E35" s="28" t="s">
        <v>64642</v>
      </c>
      <c r="F35" s="27">
        <v>106.0</v>
      </c>
      <c r="G35" s="27">
        <v>2.00501062E8</v>
      </c>
    </row>
    <row r="36" ht="12.75" customHeight="1">
      <c r="A36" s="31">
        <v>450.0</v>
      </c>
      <c r="B36" s="32" t="s">
        <v>64643</v>
      </c>
      <c r="C36" s="31">
        <v>200.0</v>
      </c>
      <c r="D36" s="32" t="s">
        <v>64644</v>
      </c>
      <c r="E36" s="32" t="s">
        <v>64645</v>
      </c>
      <c r="F36" s="31">
        <v>109.0</v>
      </c>
      <c r="G36" s="31">
        <v>2.00501091E8</v>
      </c>
    </row>
    <row r="37" ht="12.75" customHeight="1">
      <c r="A37" s="27">
        <v>450.0</v>
      </c>
      <c r="B37" s="28" t="s">
        <v>64646</v>
      </c>
      <c r="C37" s="27">
        <v>200.0</v>
      </c>
      <c r="D37" s="28" t="s">
        <v>64647</v>
      </c>
      <c r="E37" s="28" t="s">
        <v>64648</v>
      </c>
      <c r="F37" s="27">
        <v>118.0</v>
      </c>
      <c r="G37" s="27">
        <v>2.00501183E8</v>
      </c>
    </row>
    <row r="38" ht="12.75" customHeight="1">
      <c r="A38" s="31">
        <v>450.0</v>
      </c>
      <c r="B38" s="32" t="s">
        <v>64649</v>
      </c>
      <c r="C38" s="31">
        <v>200.0</v>
      </c>
      <c r="D38" s="32" t="s">
        <v>64650</v>
      </c>
      <c r="E38" s="32" t="s">
        <v>64651</v>
      </c>
      <c r="F38" s="31">
        <v>121.0</v>
      </c>
      <c r="G38" s="31">
        <v>2.00501217E8</v>
      </c>
    </row>
    <row r="39" ht="12.75" customHeight="1">
      <c r="A39" s="27">
        <v>450.0</v>
      </c>
      <c r="B39" s="28" t="s">
        <v>64652</v>
      </c>
      <c r="C39" s="27">
        <v>200.0</v>
      </c>
      <c r="D39" s="28" t="s">
        <v>64653</v>
      </c>
      <c r="E39" s="28" t="s">
        <v>64654</v>
      </c>
      <c r="F39" s="27">
        <v>130.0</v>
      </c>
      <c r="G39" s="27">
        <v>2.00501309E8</v>
      </c>
    </row>
    <row r="40" ht="12.75" customHeight="1">
      <c r="A40" s="31">
        <v>450.0</v>
      </c>
      <c r="B40" s="32" t="s">
        <v>64655</v>
      </c>
      <c r="C40" s="31">
        <v>200.0</v>
      </c>
      <c r="D40" s="32" t="s">
        <v>64656</v>
      </c>
      <c r="E40" s="32" t="s">
        <v>64657</v>
      </c>
      <c r="F40" s="31">
        <v>136.0</v>
      </c>
      <c r="G40" s="31">
        <v>2.00501367E8</v>
      </c>
    </row>
    <row r="41" ht="12.75" customHeight="1">
      <c r="A41" s="27">
        <v>450.0</v>
      </c>
      <c r="B41" s="28" t="s">
        <v>64658</v>
      </c>
      <c r="C41" s="27">
        <v>200.0</v>
      </c>
      <c r="D41" s="28" t="s">
        <v>64659</v>
      </c>
      <c r="E41" s="28" t="s">
        <v>64660</v>
      </c>
      <c r="F41" s="27">
        <v>151.0</v>
      </c>
      <c r="G41" s="27">
        <v>2.00501512E8</v>
      </c>
    </row>
    <row r="42" ht="12.75" customHeight="1">
      <c r="A42" s="31">
        <v>251.0</v>
      </c>
      <c r="B42" s="32" t="s">
        <v>64661</v>
      </c>
      <c r="C42" s="31">
        <v>200.0</v>
      </c>
      <c r="D42" s="32" t="s">
        <v>64662</v>
      </c>
      <c r="E42" s="32" t="s">
        <v>64663</v>
      </c>
      <c r="F42" s="33">
        <v>10.0</v>
      </c>
      <c r="G42" s="31">
        <v>2.00510103E8</v>
      </c>
    </row>
    <row r="43" ht="12.75" customHeight="1">
      <c r="A43" s="27">
        <v>251.0</v>
      </c>
      <c r="B43" s="28" t="s">
        <v>64664</v>
      </c>
      <c r="C43" s="27">
        <v>200.0</v>
      </c>
      <c r="D43" s="28" t="s">
        <v>64665</v>
      </c>
      <c r="E43" s="28" t="s">
        <v>64666</v>
      </c>
      <c r="F43" s="29">
        <v>19.0</v>
      </c>
      <c r="G43" s="27">
        <v>2.0051019E8</v>
      </c>
    </row>
    <row r="44" ht="12.75" customHeight="1">
      <c r="A44" s="31">
        <v>251.0</v>
      </c>
      <c r="B44" s="32" t="s">
        <v>64667</v>
      </c>
      <c r="C44" s="31">
        <v>200.0</v>
      </c>
      <c r="D44" s="32" t="s">
        <v>64668</v>
      </c>
      <c r="E44" s="32" t="s">
        <v>64669</v>
      </c>
      <c r="F44" s="33">
        <v>22.0</v>
      </c>
      <c r="G44" s="31">
        <v>2.00510224E8</v>
      </c>
    </row>
    <row r="45" ht="12.75" customHeight="1">
      <c r="A45" s="27">
        <v>251.0</v>
      </c>
      <c r="B45" s="28" t="s">
        <v>64670</v>
      </c>
      <c r="C45" s="27">
        <v>200.0</v>
      </c>
      <c r="D45" s="28" t="s">
        <v>64671</v>
      </c>
      <c r="E45" s="28" t="s">
        <v>64672</v>
      </c>
      <c r="F45" s="29">
        <v>31.0</v>
      </c>
      <c r="G45" s="27">
        <v>2.00510316E8</v>
      </c>
    </row>
    <row r="46" ht="12.75" customHeight="1">
      <c r="A46" s="31">
        <v>251.0</v>
      </c>
      <c r="B46" s="32" t="s">
        <v>64673</v>
      </c>
      <c r="C46" s="31">
        <v>200.0</v>
      </c>
      <c r="D46" s="32" t="s">
        <v>64674</v>
      </c>
      <c r="E46" s="32" t="s">
        <v>64675</v>
      </c>
      <c r="F46" s="33">
        <v>34.0</v>
      </c>
      <c r="G46" s="31">
        <v>2.00510345E8</v>
      </c>
    </row>
    <row r="47" ht="12.75" customHeight="1">
      <c r="A47" s="27">
        <v>251.0</v>
      </c>
      <c r="B47" s="28" t="s">
        <v>64676</v>
      </c>
      <c r="C47" s="27">
        <v>200.0</v>
      </c>
      <c r="D47" s="28" t="s">
        <v>64677</v>
      </c>
      <c r="E47" s="28" t="s">
        <v>64678</v>
      </c>
      <c r="F47" s="29">
        <v>52.0</v>
      </c>
      <c r="G47" s="27">
        <v>2.00510529E8</v>
      </c>
    </row>
    <row r="48" ht="12.75" customHeight="1">
      <c r="A48" s="31">
        <v>251.0</v>
      </c>
      <c r="B48" s="32" t="s">
        <v>64679</v>
      </c>
      <c r="C48" s="31">
        <v>200.0</v>
      </c>
      <c r="D48" s="32" t="s">
        <v>64680</v>
      </c>
      <c r="E48" s="32" t="s">
        <v>64681</v>
      </c>
      <c r="F48" s="33">
        <v>66.0</v>
      </c>
      <c r="G48" s="31">
        <v>2.00510666E8</v>
      </c>
    </row>
    <row r="49" ht="12.75" customHeight="1">
      <c r="A49" s="27">
        <v>251.0</v>
      </c>
      <c r="B49" s="28" t="s">
        <v>64682</v>
      </c>
      <c r="C49" s="27">
        <v>200.0</v>
      </c>
      <c r="D49" s="28" t="s">
        <v>64683</v>
      </c>
      <c r="E49" s="28" t="s">
        <v>64684</v>
      </c>
      <c r="F49" s="29">
        <v>67.0</v>
      </c>
      <c r="G49" s="27">
        <v>2.00510679E8</v>
      </c>
    </row>
    <row r="50" ht="12.75" customHeight="1">
      <c r="A50" s="31">
        <v>251.0</v>
      </c>
      <c r="B50" s="32" t="s">
        <v>64685</v>
      </c>
      <c r="C50" s="31">
        <v>200.0</v>
      </c>
      <c r="D50" s="32" t="s">
        <v>64686</v>
      </c>
      <c r="E50" s="32" t="s">
        <v>64687</v>
      </c>
      <c r="F50" s="33">
        <v>73.0</v>
      </c>
      <c r="G50" s="31">
        <v>2.00510732E8</v>
      </c>
    </row>
    <row r="51" ht="12.75" customHeight="1">
      <c r="A51" s="27">
        <v>251.0</v>
      </c>
      <c r="B51" s="28" t="s">
        <v>64688</v>
      </c>
      <c r="C51" s="27">
        <v>200.0</v>
      </c>
      <c r="D51" s="28" t="s">
        <v>64689</v>
      </c>
      <c r="E51" s="28" t="s">
        <v>64690</v>
      </c>
      <c r="F51" s="29">
        <v>97.0</v>
      </c>
      <c r="G51" s="27">
        <v>2.00510974E8</v>
      </c>
    </row>
    <row r="52" ht="12.75" customHeight="1">
      <c r="A52" s="31">
        <v>251.0</v>
      </c>
      <c r="B52" s="32" t="s">
        <v>64691</v>
      </c>
      <c r="C52" s="31">
        <v>200.0</v>
      </c>
      <c r="D52" s="32" t="s">
        <v>64692</v>
      </c>
      <c r="E52" s="32" t="s">
        <v>64693</v>
      </c>
      <c r="F52" s="31">
        <v>100.0</v>
      </c>
      <c r="G52" s="31">
        <v>2.00511007E8</v>
      </c>
    </row>
    <row r="53" ht="12.75" customHeight="1">
      <c r="A53" s="27">
        <v>251.0</v>
      </c>
      <c r="B53" s="28" t="s">
        <v>64694</v>
      </c>
      <c r="C53" s="27">
        <v>200.0</v>
      </c>
      <c r="D53" s="28" t="s">
        <v>64695</v>
      </c>
      <c r="E53" s="28" t="s">
        <v>64696</v>
      </c>
      <c r="F53" s="27">
        <v>103.0</v>
      </c>
      <c r="G53" s="27">
        <v>2.00511036E8</v>
      </c>
    </row>
    <row r="54" ht="12.75" customHeight="1">
      <c r="A54" s="31">
        <v>752.0</v>
      </c>
      <c r="B54" s="32" t="s">
        <v>64697</v>
      </c>
      <c r="C54" s="31">
        <v>200.0</v>
      </c>
      <c r="D54" s="32" t="s">
        <v>64698</v>
      </c>
      <c r="E54" s="32" t="s">
        <v>64699</v>
      </c>
      <c r="F54" s="33">
        <v>4.0</v>
      </c>
      <c r="G54" s="31">
        <v>2.00520043E8</v>
      </c>
    </row>
    <row r="55" ht="12.75" customHeight="1">
      <c r="A55" s="27">
        <v>752.0</v>
      </c>
      <c r="B55" s="28" t="s">
        <v>64700</v>
      </c>
      <c r="C55" s="27">
        <v>200.0</v>
      </c>
      <c r="D55" s="28" t="s">
        <v>64701</v>
      </c>
      <c r="E55" s="28" t="s">
        <v>64702</v>
      </c>
      <c r="F55" s="29">
        <v>6.0</v>
      </c>
      <c r="G55" s="27">
        <v>2.00520069E8</v>
      </c>
    </row>
    <row r="56" ht="12.75" customHeight="1">
      <c r="A56" s="31">
        <v>752.0</v>
      </c>
      <c r="B56" s="32" t="s">
        <v>64703</v>
      </c>
      <c r="C56" s="31">
        <v>200.0</v>
      </c>
      <c r="D56" s="32" t="s">
        <v>64704</v>
      </c>
      <c r="E56" s="32" t="s">
        <v>64705</v>
      </c>
      <c r="F56" s="33">
        <v>7.0</v>
      </c>
      <c r="G56" s="31">
        <v>2.00520072E8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752.0</v>
      </c>
      <c r="B1" s="28" t="s">
        <v>64706</v>
      </c>
      <c r="C1" s="27">
        <v>200.0</v>
      </c>
      <c r="D1" s="28" t="s">
        <v>64707</v>
      </c>
      <c r="E1" s="28" t="s">
        <v>64708</v>
      </c>
      <c r="F1" s="29">
        <v>19.0</v>
      </c>
      <c r="G1" s="27">
        <v>2.00520193E8</v>
      </c>
    </row>
    <row r="2" ht="12.75" customHeight="1">
      <c r="A2" s="31">
        <v>752.0</v>
      </c>
      <c r="B2" s="32" t="s">
        <v>64709</v>
      </c>
      <c r="C2" s="31">
        <v>200.0</v>
      </c>
      <c r="D2" s="32" t="s">
        <v>64710</v>
      </c>
      <c r="E2" s="32" t="s">
        <v>64711</v>
      </c>
      <c r="F2" s="33">
        <v>40.0</v>
      </c>
      <c r="G2" s="31">
        <v>2.00520401E8</v>
      </c>
    </row>
    <row r="3" ht="12.75" customHeight="1">
      <c r="A3" s="27">
        <v>752.0</v>
      </c>
      <c r="B3" s="28" t="s">
        <v>64712</v>
      </c>
      <c r="C3" s="27">
        <v>200.0</v>
      </c>
      <c r="D3" s="28" t="s">
        <v>64713</v>
      </c>
      <c r="E3" s="28" t="s">
        <v>64714</v>
      </c>
      <c r="F3" s="29">
        <v>43.0</v>
      </c>
      <c r="G3" s="27">
        <v>2.0052043E8</v>
      </c>
    </row>
    <row r="4" ht="12.75" customHeight="1">
      <c r="A4" s="31">
        <v>752.0</v>
      </c>
      <c r="B4" s="32" t="s">
        <v>64715</v>
      </c>
      <c r="C4" s="31">
        <v>200.0</v>
      </c>
      <c r="D4" s="32" t="s">
        <v>64716</v>
      </c>
      <c r="E4" s="32" t="s">
        <v>64717</v>
      </c>
      <c r="F4" s="33">
        <v>46.0</v>
      </c>
      <c r="G4" s="31">
        <v>2.00520469E8</v>
      </c>
    </row>
    <row r="5" ht="12.75" customHeight="1">
      <c r="A5" s="27">
        <v>752.0</v>
      </c>
      <c r="B5" s="28" t="s">
        <v>64718</v>
      </c>
      <c r="C5" s="27">
        <v>200.0</v>
      </c>
      <c r="D5" s="28" t="s">
        <v>64719</v>
      </c>
      <c r="E5" s="28" t="s">
        <v>64720</v>
      </c>
      <c r="F5" s="29">
        <v>52.0</v>
      </c>
      <c r="G5" s="27">
        <v>2.00520522E8</v>
      </c>
    </row>
    <row r="6" ht="12.75" customHeight="1">
      <c r="A6" s="31">
        <v>752.0</v>
      </c>
      <c r="B6" s="32" t="s">
        <v>64721</v>
      </c>
      <c r="C6" s="31">
        <v>200.0</v>
      </c>
      <c r="D6" s="32" t="s">
        <v>64722</v>
      </c>
      <c r="E6" s="32" t="s">
        <v>64723</v>
      </c>
      <c r="F6" s="33">
        <v>58.0</v>
      </c>
      <c r="G6" s="31">
        <v>2.0052058E8</v>
      </c>
    </row>
    <row r="7" ht="12.75" customHeight="1">
      <c r="A7" s="27">
        <v>354.0</v>
      </c>
      <c r="B7" s="28" t="s">
        <v>64724</v>
      </c>
      <c r="C7" s="27">
        <v>200.0</v>
      </c>
      <c r="D7" s="28" t="s">
        <v>64725</v>
      </c>
      <c r="E7" s="28" t="s">
        <v>64726</v>
      </c>
      <c r="F7" s="29">
        <v>13.0</v>
      </c>
      <c r="G7" s="27">
        <v>2.00540131E8</v>
      </c>
    </row>
    <row r="8" ht="12.75" customHeight="1">
      <c r="A8" s="31">
        <v>354.0</v>
      </c>
      <c r="B8" s="32" t="s">
        <v>64727</v>
      </c>
      <c r="C8" s="31">
        <v>200.0</v>
      </c>
      <c r="D8" s="32" t="s">
        <v>64728</v>
      </c>
      <c r="E8" s="32" t="s">
        <v>64729</v>
      </c>
      <c r="F8" s="33">
        <v>16.0</v>
      </c>
      <c r="G8" s="31">
        <v>2.0054016E8</v>
      </c>
    </row>
    <row r="9" ht="12.75" customHeight="1">
      <c r="A9" s="27">
        <v>354.0</v>
      </c>
      <c r="B9" s="28" t="s">
        <v>64730</v>
      </c>
      <c r="C9" s="27">
        <v>200.0</v>
      </c>
      <c r="D9" s="28" t="s">
        <v>64731</v>
      </c>
      <c r="E9" s="28" t="s">
        <v>64732</v>
      </c>
      <c r="F9" s="29">
        <v>28.0</v>
      </c>
      <c r="G9" s="27">
        <v>2.00540281E8</v>
      </c>
    </row>
    <row r="10" ht="12.75" customHeight="1">
      <c r="A10" s="31">
        <v>354.0</v>
      </c>
      <c r="B10" s="32" t="s">
        <v>64733</v>
      </c>
      <c r="C10" s="31">
        <v>200.0</v>
      </c>
      <c r="D10" s="32" t="s">
        <v>64734</v>
      </c>
      <c r="E10" s="32" t="s">
        <v>64735</v>
      </c>
      <c r="F10" s="33">
        <v>34.0</v>
      </c>
      <c r="G10" s="31">
        <v>2.00540344E8</v>
      </c>
    </row>
    <row r="11" ht="12.75" customHeight="1">
      <c r="A11" s="27">
        <v>354.0</v>
      </c>
      <c r="B11" s="28" t="s">
        <v>64736</v>
      </c>
      <c r="C11" s="27">
        <v>200.0</v>
      </c>
      <c r="D11" s="28" t="s">
        <v>64737</v>
      </c>
      <c r="E11" s="28" t="s">
        <v>64738</v>
      </c>
      <c r="F11" s="29">
        <v>37.0</v>
      </c>
      <c r="G11" s="27">
        <v>2.00540373E8</v>
      </c>
    </row>
    <row r="12" ht="12.75" customHeight="1">
      <c r="A12" s="31">
        <v>354.0</v>
      </c>
      <c r="B12" s="32" t="s">
        <v>64739</v>
      </c>
      <c r="C12" s="31">
        <v>200.0</v>
      </c>
      <c r="D12" s="32" t="s">
        <v>64740</v>
      </c>
      <c r="E12" s="32" t="s">
        <v>64741</v>
      </c>
      <c r="F12" s="33">
        <v>40.0</v>
      </c>
      <c r="G12" s="31">
        <v>2.00540407E8</v>
      </c>
    </row>
    <row r="13" ht="12.75" customHeight="1">
      <c r="A13" s="27">
        <v>354.0</v>
      </c>
      <c r="B13" s="28" t="s">
        <v>64742</v>
      </c>
      <c r="C13" s="27">
        <v>200.0</v>
      </c>
      <c r="D13" s="28" t="s">
        <v>64743</v>
      </c>
      <c r="E13" s="28" t="s">
        <v>64744</v>
      </c>
      <c r="F13" s="29">
        <v>52.0</v>
      </c>
      <c r="G13" s="27">
        <v>2.00540528E8</v>
      </c>
    </row>
    <row r="14" ht="12.75" customHeight="1">
      <c r="A14" s="31">
        <v>354.0</v>
      </c>
      <c r="B14" s="32" t="s">
        <v>64745</v>
      </c>
      <c r="C14" s="31">
        <v>200.0</v>
      </c>
      <c r="D14" s="32" t="s">
        <v>64746</v>
      </c>
      <c r="E14" s="32" t="s">
        <v>64747</v>
      </c>
      <c r="F14" s="33">
        <v>64.0</v>
      </c>
      <c r="G14" s="31">
        <v>2.00540649E8</v>
      </c>
    </row>
    <row r="15" ht="12.75" customHeight="1">
      <c r="A15" s="27">
        <v>354.0</v>
      </c>
      <c r="B15" s="28" t="s">
        <v>64748</v>
      </c>
      <c r="C15" s="27">
        <v>200.0</v>
      </c>
      <c r="D15" s="28" t="s">
        <v>64749</v>
      </c>
      <c r="E15" s="28" t="s">
        <v>64750</v>
      </c>
      <c r="F15" s="29">
        <v>70.0</v>
      </c>
      <c r="G15" s="27">
        <v>2.00540702E8</v>
      </c>
    </row>
    <row r="16" ht="12.75" customHeight="1">
      <c r="A16" s="31">
        <v>354.0</v>
      </c>
      <c r="B16" s="32" t="s">
        <v>64751</v>
      </c>
      <c r="C16" s="31">
        <v>200.0</v>
      </c>
      <c r="D16" s="32" t="s">
        <v>64752</v>
      </c>
      <c r="E16" s="32" t="s">
        <v>64753</v>
      </c>
      <c r="F16" s="33">
        <v>76.0</v>
      </c>
      <c r="G16" s="31">
        <v>2.0054076E8</v>
      </c>
    </row>
    <row r="17" ht="12.75" customHeight="1">
      <c r="A17" s="27">
        <v>455.0</v>
      </c>
      <c r="B17" s="28" t="s">
        <v>64754</v>
      </c>
      <c r="C17" s="27">
        <v>200.0</v>
      </c>
      <c r="D17" s="28" t="s">
        <v>64755</v>
      </c>
      <c r="E17" s="28" t="s">
        <v>64756</v>
      </c>
      <c r="F17" s="29">
        <v>25.0</v>
      </c>
      <c r="G17" s="27">
        <v>2.00550255E8</v>
      </c>
    </row>
    <row r="18" ht="12.75" customHeight="1">
      <c r="A18" s="31">
        <v>455.0</v>
      </c>
      <c r="B18" s="32" t="s">
        <v>64757</v>
      </c>
      <c r="C18" s="31">
        <v>200.0</v>
      </c>
      <c r="D18" s="32" t="s">
        <v>64758</v>
      </c>
      <c r="E18" s="32" t="s">
        <v>64759</v>
      </c>
      <c r="F18" s="33">
        <v>49.0</v>
      </c>
      <c r="G18" s="31">
        <v>2.00550497E8</v>
      </c>
    </row>
    <row r="19" ht="12.75" customHeight="1">
      <c r="A19" s="27">
        <v>455.0</v>
      </c>
      <c r="B19" s="28" t="s">
        <v>64760</v>
      </c>
      <c r="C19" s="27">
        <v>200.0</v>
      </c>
      <c r="D19" s="28" t="s">
        <v>64761</v>
      </c>
      <c r="E19" s="28" t="s">
        <v>64762</v>
      </c>
      <c r="F19" s="29">
        <v>55.0</v>
      </c>
      <c r="G19" s="27">
        <v>2.0055055E8</v>
      </c>
    </row>
    <row r="20" ht="12.75" customHeight="1">
      <c r="A20" s="31">
        <v>455.0</v>
      </c>
      <c r="B20" s="32" t="s">
        <v>64763</v>
      </c>
      <c r="C20" s="31">
        <v>200.0</v>
      </c>
      <c r="D20" s="32" t="s">
        <v>64764</v>
      </c>
      <c r="E20" s="32" t="s">
        <v>64765</v>
      </c>
      <c r="F20" s="33">
        <v>61.0</v>
      </c>
      <c r="G20" s="31">
        <v>2.00550613E8</v>
      </c>
    </row>
    <row r="21" ht="12.75" customHeight="1">
      <c r="A21" s="27">
        <v>455.0</v>
      </c>
      <c r="B21" s="28" t="s">
        <v>64766</v>
      </c>
      <c r="C21" s="27">
        <v>200.0</v>
      </c>
      <c r="D21" s="28" t="s">
        <v>64767</v>
      </c>
      <c r="E21" s="28" t="s">
        <v>64768</v>
      </c>
      <c r="F21" s="29">
        <v>70.0</v>
      </c>
      <c r="G21" s="27">
        <v>2.00550705E8</v>
      </c>
    </row>
    <row r="22" ht="12.75" customHeight="1">
      <c r="A22" s="31">
        <v>455.0</v>
      </c>
      <c r="B22" s="32" t="s">
        <v>64769</v>
      </c>
      <c r="C22" s="31">
        <v>200.0</v>
      </c>
      <c r="D22" s="32" t="s">
        <v>64770</v>
      </c>
      <c r="E22" s="32" t="s">
        <v>64771</v>
      </c>
      <c r="F22" s="33">
        <v>88.0</v>
      </c>
      <c r="G22" s="31">
        <v>2.00550884E8</v>
      </c>
    </row>
    <row r="23" ht="12.75" customHeight="1">
      <c r="A23" s="27">
        <v>455.0</v>
      </c>
      <c r="B23" s="28" t="s">
        <v>64772</v>
      </c>
      <c r="C23" s="27">
        <v>200.0</v>
      </c>
      <c r="D23" s="28" t="s">
        <v>64773</v>
      </c>
      <c r="E23" s="28" t="s">
        <v>64774</v>
      </c>
      <c r="F23" s="29">
        <v>97.0</v>
      </c>
      <c r="G23" s="27">
        <v>2.00550976E8</v>
      </c>
    </row>
    <row r="24" ht="12.75" customHeight="1">
      <c r="A24" s="31">
        <v>156.0</v>
      </c>
      <c r="B24" s="32" t="s">
        <v>64775</v>
      </c>
      <c r="C24" s="31">
        <v>200.0</v>
      </c>
      <c r="D24" s="32" t="s">
        <v>64776</v>
      </c>
      <c r="E24" s="32" t="s">
        <v>64777</v>
      </c>
      <c r="F24" s="33">
        <v>10.0</v>
      </c>
      <c r="G24" s="31">
        <v>2.00560108E8</v>
      </c>
    </row>
    <row r="25" ht="12.75" customHeight="1">
      <c r="A25" s="27">
        <v>156.0</v>
      </c>
      <c r="B25" s="28" t="s">
        <v>64778</v>
      </c>
      <c r="C25" s="27">
        <v>200.0</v>
      </c>
      <c r="D25" s="28" t="s">
        <v>64779</v>
      </c>
      <c r="E25" s="28" t="s">
        <v>64780</v>
      </c>
      <c r="F25" s="29">
        <v>19.0</v>
      </c>
      <c r="G25" s="27">
        <v>2.00560195E8</v>
      </c>
    </row>
    <row r="26" ht="12.75" customHeight="1">
      <c r="A26" s="31">
        <v>156.0</v>
      </c>
      <c r="B26" s="32" t="s">
        <v>64781</v>
      </c>
      <c r="C26" s="31">
        <v>200.0</v>
      </c>
      <c r="D26" s="32" t="s">
        <v>64782</v>
      </c>
      <c r="E26" s="32" t="s">
        <v>64783</v>
      </c>
      <c r="F26" s="33">
        <v>25.0</v>
      </c>
      <c r="G26" s="31">
        <v>2.00560258E8</v>
      </c>
    </row>
    <row r="27" ht="12.75" customHeight="1">
      <c r="A27" s="27">
        <v>156.0</v>
      </c>
      <c r="B27" s="28" t="s">
        <v>64784</v>
      </c>
      <c r="C27" s="27">
        <v>200.0</v>
      </c>
      <c r="D27" s="28" t="s">
        <v>64785</v>
      </c>
      <c r="E27" s="28" t="s">
        <v>64786</v>
      </c>
      <c r="F27" s="29">
        <v>28.0</v>
      </c>
      <c r="G27" s="27">
        <v>2.00560287E8</v>
      </c>
    </row>
    <row r="28" ht="12.75" customHeight="1">
      <c r="A28" s="31">
        <v>156.0</v>
      </c>
      <c r="B28" s="32" t="s">
        <v>64787</v>
      </c>
      <c r="C28" s="31">
        <v>200.0</v>
      </c>
      <c r="D28" s="32" t="s">
        <v>64788</v>
      </c>
      <c r="E28" s="32" t="s">
        <v>64789</v>
      </c>
      <c r="F28" s="33">
        <v>37.0</v>
      </c>
      <c r="G28" s="31">
        <v>2.00560379E8</v>
      </c>
    </row>
    <row r="29" ht="12.75" customHeight="1">
      <c r="A29" s="27">
        <v>156.0</v>
      </c>
      <c r="B29" s="28" t="s">
        <v>64790</v>
      </c>
      <c r="C29" s="27">
        <v>200.0</v>
      </c>
      <c r="D29" s="28" t="s">
        <v>64791</v>
      </c>
      <c r="E29" s="28" t="s">
        <v>64792</v>
      </c>
      <c r="F29" s="29">
        <v>43.0</v>
      </c>
      <c r="G29" s="27">
        <v>2.00560432E8</v>
      </c>
    </row>
    <row r="30" ht="12.75" customHeight="1">
      <c r="A30" s="31">
        <v>156.0</v>
      </c>
      <c r="B30" s="32" t="s">
        <v>64793</v>
      </c>
      <c r="C30" s="31">
        <v>200.0</v>
      </c>
      <c r="D30" s="32" t="s">
        <v>64794</v>
      </c>
      <c r="E30" s="32" t="s">
        <v>64795</v>
      </c>
      <c r="F30" s="33">
        <v>61.0</v>
      </c>
      <c r="G30" s="31">
        <v>2.00560616E8</v>
      </c>
    </row>
    <row r="31" ht="12.75" customHeight="1">
      <c r="A31" s="27">
        <v>156.0</v>
      </c>
      <c r="B31" s="28" t="s">
        <v>64796</v>
      </c>
      <c r="C31" s="27">
        <v>200.0</v>
      </c>
      <c r="D31" s="28" t="s">
        <v>64797</v>
      </c>
      <c r="E31" s="28" t="s">
        <v>64798</v>
      </c>
      <c r="F31" s="29">
        <v>64.0</v>
      </c>
      <c r="G31" s="27">
        <v>2.00560645E8</v>
      </c>
    </row>
    <row r="32" ht="12.75" customHeight="1">
      <c r="A32" s="31">
        <v>156.0</v>
      </c>
      <c r="B32" s="32" t="s">
        <v>64799</v>
      </c>
      <c r="C32" s="31">
        <v>200.0</v>
      </c>
      <c r="D32" s="32" t="s">
        <v>64800</v>
      </c>
      <c r="E32" s="32" t="s">
        <v>64801</v>
      </c>
      <c r="F32" s="33">
        <v>76.0</v>
      </c>
      <c r="G32" s="31">
        <v>2.00560766E8</v>
      </c>
    </row>
    <row r="33" ht="12.75" customHeight="1">
      <c r="A33" s="27">
        <v>156.0</v>
      </c>
      <c r="B33" s="28" t="s">
        <v>64802</v>
      </c>
      <c r="C33" s="27">
        <v>200.0</v>
      </c>
      <c r="D33" s="28" t="s">
        <v>64803</v>
      </c>
      <c r="E33" s="28" t="s">
        <v>64804</v>
      </c>
      <c r="F33" s="29">
        <v>79.0</v>
      </c>
      <c r="G33" s="27">
        <v>2.00560795E8</v>
      </c>
    </row>
    <row r="34" ht="12.75" customHeight="1">
      <c r="A34" s="31">
        <v>156.0</v>
      </c>
      <c r="B34" s="32" t="s">
        <v>64805</v>
      </c>
      <c r="C34" s="31">
        <v>200.0</v>
      </c>
      <c r="D34" s="32" t="s">
        <v>64806</v>
      </c>
      <c r="E34" s="32" t="s">
        <v>64807</v>
      </c>
      <c r="F34" s="33">
        <v>82.0</v>
      </c>
      <c r="G34" s="31">
        <v>2.00560829E8</v>
      </c>
    </row>
    <row r="35" ht="12.75" customHeight="1">
      <c r="A35" s="27">
        <v>457.0</v>
      </c>
      <c r="B35" s="28" t="s">
        <v>64808</v>
      </c>
      <c r="C35" s="27">
        <v>200.0</v>
      </c>
      <c r="D35" s="28" t="s">
        <v>64809</v>
      </c>
      <c r="E35" s="28" t="s">
        <v>64810</v>
      </c>
      <c r="F35" s="29">
        <v>4.0</v>
      </c>
      <c r="G35" s="27">
        <v>2.00570048E8</v>
      </c>
    </row>
    <row r="36" ht="12.75" customHeight="1">
      <c r="A36" s="31">
        <v>457.0</v>
      </c>
      <c r="B36" s="32" t="s">
        <v>64811</v>
      </c>
      <c r="C36" s="31">
        <v>200.0</v>
      </c>
      <c r="D36" s="32" t="s">
        <v>64812</v>
      </c>
      <c r="E36" s="32" t="s">
        <v>64813</v>
      </c>
      <c r="F36" s="33">
        <v>22.0</v>
      </c>
      <c r="G36" s="31">
        <v>2.00570222E8</v>
      </c>
    </row>
    <row r="37" ht="12.75" customHeight="1">
      <c r="A37" s="27">
        <v>457.0</v>
      </c>
      <c r="B37" s="28" t="s">
        <v>64814</v>
      </c>
      <c r="C37" s="27">
        <v>200.0</v>
      </c>
      <c r="D37" s="28" t="s">
        <v>64815</v>
      </c>
      <c r="E37" s="28" t="s">
        <v>64816</v>
      </c>
      <c r="F37" s="29">
        <v>25.0</v>
      </c>
      <c r="G37" s="27">
        <v>2.00570251E8</v>
      </c>
    </row>
    <row r="38" ht="12.75" customHeight="1">
      <c r="A38" s="31">
        <v>457.0</v>
      </c>
      <c r="B38" s="32" t="s">
        <v>64817</v>
      </c>
      <c r="C38" s="31">
        <v>200.0</v>
      </c>
      <c r="D38" s="32" t="s">
        <v>64818</v>
      </c>
      <c r="E38" s="32" t="s">
        <v>64819</v>
      </c>
      <c r="F38" s="33">
        <v>28.0</v>
      </c>
      <c r="G38" s="31">
        <v>2.0057028E8</v>
      </c>
    </row>
    <row r="39" ht="12.75" customHeight="1">
      <c r="A39" s="27">
        <v>457.0</v>
      </c>
      <c r="B39" s="28" t="s">
        <v>64820</v>
      </c>
      <c r="C39" s="27">
        <v>200.0</v>
      </c>
      <c r="D39" s="28" t="s">
        <v>64821</v>
      </c>
      <c r="E39" s="28" t="s">
        <v>64822</v>
      </c>
      <c r="F39" s="29">
        <v>31.0</v>
      </c>
      <c r="G39" s="27">
        <v>2.00570314E8</v>
      </c>
    </row>
    <row r="40" ht="12.75" customHeight="1">
      <c r="A40" s="31">
        <v>457.0</v>
      </c>
      <c r="B40" s="32" t="s">
        <v>64823</v>
      </c>
      <c r="C40" s="31">
        <v>200.0</v>
      </c>
      <c r="D40" s="32" t="s">
        <v>64824</v>
      </c>
      <c r="E40" s="32" t="s">
        <v>64825</v>
      </c>
      <c r="F40" s="33">
        <v>37.0</v>
      </c>
      <c r="G40" s="31">
        <v>2.00570372E8</v>
      </c>
    </row>
    <row r="41" ht="12.75" customHeight="1">
      <c r="A41" s="27">
        <v>457.0</v>
      </c>
      <c r="B41" s="28" t="s">
        <v>64826</v>
      </c>
      <c r="C41" s="27">
        <v>200.0</v>
      </c>
      <c r="D41" s="28" t="s">
        <v>64827</v>
      </c>
      <c r="E41" s="28" t="s">
        <v>64828</v>
      </c>
      <c r="F41" s="29">
        <v>40.0</v>
      </c>
      <c r="G41" s="27">
        <v>2.00570406E8</v>
      </c>
    </row>
    <row r="42" ht="12.75" customHeight="1">
      <c r="A42" s="31">
        <v>457.0</v>
      </c>
      <c r="B42" s="32" t="s">
        <v>64829</v>
      </c>
      <c r="C42" s="31">
        <v>200.0</v>
      </c>
      <c r="D42" s="32" t="s">
        <v>64830</v>
      </c>
      <c r="E42" s="32" t="s">
        <v>64831</v>
      </c>
      <c r="F42" s="33">
        <v>49.0</v>
      </c>
      <c r="G42" s="31">
        <v>2.00570493E8</v>
      </c>
    </row>
    <row r="43" ht="12.75" customHeight="1">
      <c r="A43" s="27">
        <v>858.0</v>
      </c>
      <c r="B43" s="28" t="s">
        <v>64832</v>
      </c>
      <c r="C43" s="27">
        <v>200.0</v>
      </c>
      <c r="D43" s="28" t="s">
        <v>64833</v>
      </c>
      <c r="E43" s="28" t="s">
        <v>64834</v>
      </c>
      <c r="F43" s="29">
        <v>10.0</v>
      </c>
      <c r="G43" s="27">
        <v>2.00580104E8</v>
      </c>
    </row>
    <row r="44" ht="12.75" customHeight="1">
      <c r="A44" s="31">
        <v>858.0</v>
      </c>
      <c r="B44" s="32" t="s">
        <v>64835</v>
      </c>
      <c r="C44" s="31">
        <v>200.0</v>
      </c>
      <c r="D44" s="32" t="s">
        <v>64836</v>
      </c>
      <c r="E44" s="32" t="s">
        <v>64837</v>
      </c>
      <c r="F44" s="33">
        <v>16.0</v>
      </c>
      <c r="G44" s="31">
        <v>2.00580162E8</v>
      </c>
    </row>
    <row r="45" ht="12.75" customHeight="1">
      <c r="A45" s="27">
        <v>858.0</v>
      </c>
      <c r="B45" s="28" t="s">
        <v>64838</v>
      </c>
      <c r="C45" s="27">
        <v>200.0</v>
      </c>
      <c r="D45" s="28" t="s">
        <v>64839</v>
      </c>
      <c r="E45" s="28" t="s">
        <v>64840</v>
      </c>
      <c r="F45" s="29">
        <v>31.0</v>
      </c>
      <c r="G45" s="27">
        <v>2.00580317E8</v>
      </c>
    </row>
    <row r="46" ht="12.75" customHeight="1">
      <c r="A46" s="31">
        <v>858.0</v>
      </c>
      <c r="B46" s="32" t="s">
        <v>64841</v>
      </c>
      <c r="C46" s="31">
        <v>200.0</v>
      </c>
      <c r="D46" s="32" t="s">
        <v>64842</v>
      </c>
      <c r="E46" s="32" t="s">
        <v>64843</v>
      </c>
      <c r="F46" s="33">
        <v>34.0</v>
      </c>
      <c r="G46" s="31">
        <v>2.00580346E8</v>
      </c>
    </row>
    <row r="47" ht="12.75" customHeight="1">
      <c r="A47" s="27">
        <v>858.0</v>
      </c>
      <c r="B47" s="28" t="s">
        <v>64844</v>
      </c>
      <c r="C47" s="27">
        <v>200.0</v>
      </c>
      <c r="D47" s="28" t="s">
        <v>64845</v>
      </c>
      <c r="E47" s="28" t="s">
        <v>64846</v>
      </c>
      <c r="F47" s="29">
        <v>46.0</v>
      </c>
      <c r="G47" s="27">
        <v>2.00580467E8</v>
      </c>
    </row>
    <row r="48" ht="12.75" customHeight="1">
      <c r="A48" s="31">
        <v>858.0</v>
      </c>
      <c r="B48" s="32" t="s">
        <v>64847</v>
      </c>
      <c r="C48" s="31">
        <v>200.0</v>
      </c>
      <c r="D48" s="32" t="s">
        <v>64848</v>
      </c>
      <c r="E48" s="32" t="s">
        <v>64849</v>
      </c>
      <c r="F48" s="33">
        <v>52.0</v>
      </c>
      <c r="G48" s="31">
        <v>2.0058052E8</v>
      </c>
    </row>
    <row r="49" ht="12.75" customHeight="1">
      <c r="A49" s="27">
        <v>858.0</v>
      </c>
      <c r="B49" s="28" t="s">
        <v>64850</v>
      </c>
      <c r="C49" s="27">
        <v>200.0</v>
      </c>
      <c r="D49" s="28" t="s">
        <v>64851</v>
      </c>
      <c r="E49" s="28" t="s">
        <v>64852</v>
      </c>
      <c r="F49" s="29">
        <v>67.0</v>
      </c>
      <c r="G49" s="27">
        <v>2.0058067E8</v>
      </c>
    </row>
    <row r="50" ht="12.75" customHeight="1">
      <c r="A50" s="31">
        <v>858.0</v>
      </c>
      <c r="B50" s="32" t="s">
        <v>64853</v>
      </c>
      <c r="C50" s="31">
        <v>200.0</v>
      </c>
      <c r="D50" s="32" t="s">
        <v>64854</v>
      </c>
      <c r="E50" s="32" t="s">
        <v>64855</v>
      </c>
      <c r="F50" s="33">
        <v>70.0</v>
      </c>
      <c r="G50" s="31">
        <v>2.00580704E8</v>
      </c>
    </row>
    <row r="51" ht="12.75" customHeight="1">
      <c r="A51" s="27">
        <v>858.0</v>
      </c>
      <c r="B51" s="28" t="s">
        <v>64856</v>
      </c>
      <c r="C51" s="27">
        <v>200.0</v>
      </c>
      <c r="D51" s="28" t="s">
        <v>64857</v>
      </c>
      <c r="E51" s="28" t="s">
        <v>64858</v>
      </c>
      <c r="F51" s="29">
        <v>76.0</v>
      </c>
      <c r="G51" s="27">
        <v>2.00580762E8</v>
      </c>
    </row>
    <row r="52" ht="12.75" customHeight="1">
      <c r="A52" s="31">
        <v>858.0</v>
      </c>
      <c r="B52" s="32" t="s">
        <v>64859</v>
      </c>
      <c r="C52" s="31">
        <v>200.0</v>
      </c>
      <c r="D52" s="32" t="s">
        <v>64860</v>
      </c>
      <c r="E52" s="32" t="s">
        <v>64861</v>
      </c>
      <c r="F52" s="33">
        <v>79.0</v>
      </c>
      <c r="G52" s="31">
        <v>2.00580791E8</v>
      </c>
    </row>
    <row r="53" ht="12.75" customHeight="1">
      <c r="A53" s="27">
        <v>858.0</v>
      </c>
      <c r="B53" s="28" t="s">
        <v>64862</v>
      </c>
      <c r="C53" s="27">
        <v>200.0</v>
      </c>
      <c r="D53" s="28" t="s">
        <v>64863</v>
      </c>
      <c r="E53" s="28" t="s">
        <v>64864</v>
      </c>
      <c r="F53" s="29">
        <v>94.0</v>
      </c>
      <c r="G53" s="27">
        <v>2.00580946E8</v>
      </c>
    </row>
    <row r="54" ht="12.75" customHeight="1">
      <c r="A54" s="31">
        <v>858.0</v>
      </c>
      <c r="B54" s="32" t="s">
        <v>64865</v>
      </c>
      <c r="C54" s="31">
        <v>200.0</v>
      </c>
      <c r="D54" s="32" t="s">
        <v>64866</v>
      </c>
      <c r="E54" s="32" t="s">
        <v>64867</v>
      </c>
      <c r="F54" s="33">
        <v>97.0</v>
      </c>
      <c r="G54" s="31">
        <v>2.00580975E8</v>
      </c>
    </row>
    <row r="55" ht="12.75" customHeight="1">
      <c r="A55" s="27">
        <v>858.0</v>
      </c>
      <c r="B55" s="28" t="s">
        <v>64868</v>
      </c>
      <c r="C55" s="27">
        <v>200.0</v>
      </c>
      <c r="D55" s="28" t="s">
        <v>64869</v>
      </c>
      <c r="E55" s="28" t="s">
        <v>64870</v>
      </c>
      <c r="F55" s="27">
        <v>118.0</v>
      </c>
      <c r="G55" s="27">
        <v>2.00581187E8</v>
      </c>
    </row>
    <row r="56" ht="12.75" customHeight="1">
      <c r="A56" s="31">
        <v>858.0</v>
      </c>
      <c r="B56" s="32" t="s">
        <v>64871</v>
      </c>
      <c r="C56" s="31">
        <v>200.0</v>
      </c>
      <c r="D56" s="32" t="s">
        <v>64872</v>
      </c>
      <c r="E56" s="32" t="s">
        <v>64873</v>
      </c>
      <c r="F56" s="31">
        <v>124.0</v>
      </c>
      <c r="G56" s="31">
        <v>2.0058124E8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858.0</v>
      </c>
      <c r="B1" s="28" t="s">
        <v>64874</v>
      </c>
      <c r="C1" s="27">
        <v>200.0</v>
      </c>
      <c r="D1" s="28" t="s">
        <v>64875</v>
      </c>
      <c r="E1" s="28" t="s">
        <v>64876</v>
      </c>
      <c r="F1" s="27">
        <v>133.0</v>
      </c>
      <c r="G1" s="27">
        <v>2.00581332E8</v>
      </c>
    </row>
    <row r="2" ht="12.75" customHeight="1">
      <c r="A2" s="31">
        <v>858.0</v>
      </c>
      <c r="B2" s="32" t="s">
        <v>64877</v>
      </c>
      <c r="C2" s="31">
        <v>200.0</v>
      </c>
      <c r="D2" s="32" t="s">
        <v>64878</v>
      </c>
      <c r="E2" s="32" t="s">
        <v>64879</v>
      </c>
      <c r="F2" s="31">
        <v>139.0</v>
      </c>
      <c r="G2" s="31">
        <v>2.0058139E8</v>
      </c>
    </row>
    <row r="3" ht="12.75" customHeight="1">
      <c r="A3" s="27">
        <v>858.0</v>
      </c>
      <c r="B3" s="28" t="s">
        <v>64880</v>
      </c>
      <c r="C3" s="27">
        <v>200.0</v>
      </c>
      <c r="D3" s="28" t="s">
        <v>64881</v>
      </c>
      <c r="E3" s="28" t="s">
        <v>64882</v>
      </c>
      <c r="F3" s="27">
        <v>148.0</v>
      </c>
      <c r="G3" s="27">
        <v>2.00581482E8</v>
      </c>
    </row>
    <row r="4" ht="12.75" customHeight="1">
      <c r="A4" s="31">
        <v>858.0</v>
      </c>
      <c r="B4" s="32" t="s">
        <v>64883</v>
      </c>
      <c r="C4" s="31">
        <v>200.0</v>
      </c>
      <c r="D4" s="32" t="s">
        <v>64884</v>
      </c>
      <c r="E4" s="32" t="s">
        <v>64885</v>
      </c>
      <c r="F4" s="31">
        <v>151.0</v>
      </c>
      <c r="G4" s="31">
        <v>2.00581516E8</v>
      </c>
    </row>
    <row r="5" ht="12.75" customHeight="1">
      <c r="A5" s="27">
        <v>858.0</v>
      </c>
      <c r="B5" s="28" t="s">
        <v>64886</v>
      </c>
      <c r="C5" s="27">
        <v>200.0</v>
      </c>
      <c r="D5" s="28" t="s">
        <v>64887</v>
      </c>
      <c r="E5" s="28" t="s">
        <v>64888</v>
      </c>
      <c r="F5" s="27">
        <v>154.0</v>
      </c>
      <c r="G5" s="27">
        <v>2.00581545E8</v>
      </c>
    </row>
    <row r="6" ht="12.75" customHeight="1">
      <c r="A6" s="31">
        <v>858.0</v>
      </c>
      <c r="B6" s="32" t="s">
        <v>64889</v>
      </c>
      <c r="C6" s="31">
        <v>200.0</v>
      </c>
      <c r="D6" s="32" t="s">
        <v>64890</v>
      </c>
      <c r="E6" s="32" t="s">
        <v>64891</v>
      </c>
      <c r="F6" s="31">
        <v>160.0</v>
      </c>
      <c r="G6" s="31">
        <v>2.00581608E8</v>
      </c>
    </row>
    <row r="7" ht="12.75" customHeight="1">
      <c r="A7" s="27">
        <v>858.0</v>
      </c>
      <c r="B7" s="28" t="s">
        <v>64892</v>
      </c>
      <c r="C7" s="27">
        <v>200.0</v>
      </c>
      <c r="D7" s="28" t="s">
        <v>64893</v>
      </c>
      <c r="E7" s="28" t="s">
        <v>64894</v>
      </c>
      <c r="F7" s="27">
        <v>172.0</v>
      </c>
      <c r="G7" s="27">
        <v>2.00581729E8</v>
      </c>
    </row>
    <row r="8" ht="12.75" customHeight="1">
      <c r="A8" s="31">
        <v>858.0</v>
      </c>
      <c r="B8" s="32" t="s">
        <v>64895</v>
      </c>
      <c r="C8" s="31">
        <v>200.0</v>
      </c>
      <c r="D8" s="32" t="s">
        <v>64896</v>
      </c>
      <c r="E8" s="32" t="s">
        <v>64897</v>
      </c>
      <c r="F8" s="31">
        <v>175.0</v>
      </c>
      <c r="G8" s="31">
        <v>2.00581758E8</v>
      </c>
    </row>
    <row r="9" ht="12.75" customHeight="1">
      <c r="A9" s="27">
        <v>159.0</v>
      </c>
      <c r="B9" s="28" t="s">
        <v>64898</v>
      </c>
      <c r="C9" s="27">
        <v>200.0</v>
      </c>
      <c r="D9" s="28" t="s">
        <v>64899</v>
      </c>
      <c r="E9" s="28" t="s">
        <v>64900</v>
      </c>
      <c r="F9" s="29">
        <v>16.0</v>
      </c>
      <c r="G9" s="27">
        <v>2.00590165E8</v>
      </c>
    </row>
    <row r="10" ht="12.75" customHeight="1">
      <c r="A10" s="31">
        <v>159.0</v>
      </c>
      <c r="B10" s="32" t="s">
        <v>64901</v>
      </c>
      <c r="C10" s="31">
        <v>200.0</v>
      </c>
      <c r="D10" s="32" t="s">
        <v>64902</v>
      </c>
      <c r="E10" s="32" t="s">
        <v>64903</v>
      </c>
      <c r="F10" s="33">
        <v>19.0</v>
      </c>
      <c r="G10" s="31">
        <v>2.00590194E8</v>
      </c>
    </row>
    <row r="11" ht="12.75" customHeight="1">
      <c r="A11" s="27">
        <v>159.0</v>
      </c>
      <c r="B11" s="28" t="s">
        <v>64904</v>
      </c>
      <c r="C11" s="27">
        <v>200.0</v>
      </c>
      <c r="D11" s="28" t="s">
        <v>64905</v>
      </c>
      <c r="E11" s="28" t="s">
        <v>64906</v>
      </c>
      <c r="F11" s="29">
        <v>28.0</v>
      </c>
      <c r="G11" s="27">
        <v>2.00590286E8</v>
      </c>
    </row>
    <row r="12" ht="12.75" customHeight="1">
      <c r="A12" s="31">
        <v>159.0</v>
      </c>
      <c r="B12" s="32" t="s">
        <v>64907</v>
      </c>
      <c r="C12" s="31">
        <v>200.0</v>
      </c>
      <c r="D12" s="32" t="s">
        <v>64908</v>
      </c>
      <c r="E12" s="32" t="s">
        <v>64909</v>
      </c>
      <c r="F12" s="33">
        <v>40.0</v>
      </c>
      <c r="G12" s="31">
        <v>2.00590402E8</v>
      </c>
    </row>
    <row r="13" ht="12.75" customHeight="1">
      <c r="A13" s="27">
        <v>159.0</v>
      </c>
      <c r="B13" s="28" t="s">
        <v>64910</v>
      </c>
      <c r="C13" s="27">
        <v>200.0</v>
      </c>
      <c r="D13" s="28" t="s">
        <v>64911</v>
      </c>
      <c r="E13" s="28" t="s">
        <v>64912</v>
      </c>
      <c r="F13" s="29">
        <v>46.0</v>
      </c>
      <c r="G13" s="27">
        <v>2.0059046E8</v>
      </c>
    </row>
    <row r="14" ht="12.75" customHeight="1">
      <c r="A14" s="31">
        <v>159.0</v>
      </c>
      <c r="B14" s="32" t="s">
        <v>64913</v>
      </c>
      <c r="C14" s="31">
        <v>200.0</v>
      </c>
      <c r="D14" s="32" t="s">
        <v>64914</v>
      </c>
      <c r="E14" s="32" t="s">
        <v>64915</v>
      </c>
      <c r="F14" s="33">
        <v>52.0</v>
      </c>
      <c r="G14" s="31">
        <v>2.00590523E8</v>
      </c>
    </row>
    <row r="15" ht="12.75" customHeight="1">
      <c r="A15" s="27">
        <v>159.0</v>
      </c>
      <c r="B15" s="28" t="s">
        <v>64916</v>
      </c>
      <c r="C15" s="27">
        <v>200.0</v>
      </c>
      <c r="D15" s="28" t="s">
        <v>64917</v>
      </c>
      <c r="E15" s="28" t="s">
        <v>64918</v>
      </c>
      <c r="F15" s="29">
        <v>79.0</v>
      </c>
      <c r="G15" s="27">
        <v>2.00590794E8</v>
      </c>
    </row>
    <row r="16" ht="12.75" customHeight="1">
      <c r="A16" s="31">
        <v>159.0</v>
      </c>
      <c r="B16" s="32" t="s">
        <v>64919</v>
      </c>
      <c r="C16" s="31">
        <v>200.0</v>
      </c>
      <c r="D16" s="32" t="s">
        <v>64920</v>
      </c>
      <c r="E16" s="32" t="s">
        <v>64921</v>
      </c>
      <c r="F16" s="33">
        <v>91.0</v>
      </c>
      <c r="G16" s="31">
        <v>2.0059091E8</v>
      </c>
    </row>
    <row r="17" ht="12.75" customHeight="1">
      <c r="A17" s="27">
        <v>159.0</v>
      </c>
      <c r="B17" s="28" t="s">
        <v>64922</v>
      </c>
      <c r="C17" s="27">
        <v>200.0</v>
      </c>
      <c r="D17" s="28" t="s">
        <v>64923</v>
      </c>
      <c r="E17" s="28" t="s">
        <v>64924</v>
      </c>
      <c r="F17" s="27">
        <v>103.0</v>
      </c>
      <c r="G17" s="27">
        <v>2.0059103E8</v>
      </c>
    </row>
    <row r="18" ht="12.75" customHeight="1">
      <c r="A18" s="31">
        <v>159.0</v>
      </c>
      <c r="B18" s="32" t="s">
        <v>64925</v>
      </c>
      <c r="C18" s="31">
        <v>200.0</v>
      </c>
      <c r="D18" s="32" t="s">
        <v>64926</v>
      </c>
      <c r="E18" s="32" t="s">
        <v>64927</v>
      </c>
      <c r="F18" s="31">
        <v>121.0</v>
      </c>
      <c r="G18" s="31">
        <v>2.00591214E8</v>
      </c>
    </row>
    <row r="19" ht="12.75" customHeight="1">
      <c r="A19" s="27">
        <v>159.0</v>
      </c>
      <c r="B19" s="28" t="s">
        <v>64928</v>
      </c>
      <c r="C19" s="27">
        <v>200.0</v>
      </c>
      <c r="D19" s="28" t="s">
        <v>64929</v>
      </c>
      <c r="E19" s="28" t="s">
        <v>64930</v>
      </c>
      <c r="F19" s="27">
        <v>124.0</v>
      </c>
      <c r="G19" s="27">
        <v>2.00591243E8</v>
      </c>
    </row>
    <row r="20" ht="12.75" customHeight="1">
      <c r="A20" s="31">
        <v>159.0</v>
      </c>
      <c r="B20" s="32" t="s">
        <v>64931</v>
      </c>
      <c r="C20" s="31">
        <v>200.0</v>
      </c>
      <c r="D20" s="32" t="s">
        <v>64932</v>
      </c>
      <c r="E20" s="32" t="s">
        <v>64933</v>
      </c>
      <c r="F20" s="31">
        <v>130.0</v>
      </c>
      <c r="G20" s="31">
        <v>2.00591306E8</v>
      </c>
    </row>
    <row r="21" ht="12.75" customHeight="1">
      <c r="A21" s="27">
        <v>159.0</v>
      </c>
      <c r="B21" s="28" t="s">
        <v>64934</v>
      </c>
      <c r="C21" s="27">
        <v>200.0</v>
      </c>
      <c r="D21" s="28" t="s">
        <v>64935</v>
      </c>
      <c r="E21" s="28" t="s">
        <v>64936</v>
      </c>
      <c r="F21" s="27">
        <v>139.0</v>
      </c>
      <c r="G21" s="27">
        <v>2.00591393E8</v>
      </c>
    </row>
    <row r="22" ht="12.75" customHeight="1">
      <c r="A22" s="31">
        <v>159.0</v>
      </c>
      <c r="B22" s="32" t="s">
        <v>64937</v>
      </c>
      <c r="C22" s="31">
        <v>200.0</v>
      </c>
      <c r="D22" s="32" t="s">
        <v>64938</v>
      </c>
      <c r="E22" s="32" t="s">
        <v>64939</v>
      </c>
      <c r="F22" s="31">
        <v>142.0</v>
      </c>
      <c r="G22" s="31">
        <v>2.00591427E8</v>
      </c>
    </row>
    <row r="23" ht="12.75" customHeight="1">
      <c r="A23" s="27">
        <v>159.0</v>
      </c>
      <c r="B23" s="28" t="s">
        <v>64940</v>
      </c>
      <c r="C23" s="27">
        <v>200.0</v>
      </c>
      <c r="D23" s="28" t="s">
        <v>64941</v>
      </c>
      <c r="E23" s="28" t="s">
        <v>64942</v>
      </c>
      <c r="F23" s="27">
        <v>148.0</v>
      </c>
      <c r="G23" s="27">
        <v>2.00591485E8</v>
      </c>
    </row>
    <row r="24" ht="12.75" customHeight="1">
      <c r="A24" s="31">
        <v>159.0</v>
      </c>
      <c r="B24" s="32" t="s">
        <v>64943</v>
      </c>
      <c r="C24" s="31">
        <v>200.0</v>
      </c>
      <c r="D24" s="32" t="s">
        <v>64944</v>
      </c>
      <c r="E24" s="32" t="s">
        <v>64945</v>
      </c>
      <c r="F24" s="31">
        <v>151.0</v>
      </c>
      <c r="G24" s="31">
        <v>2.00591519E8</v>
      </c>
    </row>
    <row r="25" ht="12.75" customHeight="1">
      <c r="A25" s="27">
        <v>159.0</v>
      </c>
      <c r="B25" s="28" t="s">
        <v>64946</v>
      </c>
      <c r="C25" s="27">
        <v>200.0</v>
      </c>
      <c r="D25" s="28" t="s">
        <v>64947</v>
      </c>
      <c r="E25" s="28" t="s">
        <v>64948</v>
      </c>
      <c r="F25" s="27">
        <v>154.0</v>
      </c>
      <c r="G25" s="27">
        <v>2.00591548E8</v>
      </c>
    </row>
    <row r="26" ht="12.75" customHeight="1">
      <c r="A26" s="31">
        <v>161.0</v>
      </c>
      <c r="B26" s="32" t="s">
        <v>64949</v>
      </c>
      <c r="C26" s="31">
        <v>200.0</v>
      </c>
      <c r="D26" s="32" t="s">
        <v>64950</v>
      </c>
      <c r="E26" s="32" t="s">
        <v>64951</v>
      </c>
      <c r="F26" s="33">
        <v>10.0</v>
      </c>
      <c r="G26" s="31">
        <v>2.00610108E8</v>
      </c>
    </row>
    <row r="27" ht="12.75" customHeight="1">
      <c r="A27" s="27">
        <v>161.0</v>
      </c>
      <c r="B27" s="28" t="s">
        <v>64952</v>
      </c>
      <c r="C27" s="27">
        <v>200.0</v>
      </c>
      <c r="D27" s="28" t="s">
        <v>64953</v>
      </c>
      <c r="E27" s="28" t="s">
        <v>64954</v>
      </c>
      <c r="F27" s="29">
        <v>14.0</v>
      </c>
      <c r="G27" s="27">
        <v>2.0061014E8</v>
      </c>
    </row>
    <row r="28" ht="12.75" customHeight="1">
      <c r="A28" s="31">
        <v>161.0</v>
      </c>
      <c r="B28" s="32" t="s">
        <v>64955</v>
      </c>
      <c r="C28" s="31">
        <v>200.0</v>
      </c>
      <c r="D28" s="32" t="s">
        <v>64956</v>
      </c>
      <c r="E28" s="32" t="s">
        <v>64957</v>
      </c>
      <c r="F28" s="33">
        <v>22.0</v>
      </c>
      <c r="G28" s="31">
        <v>2.00610229E8</v>
      </c>
    </row>
    <row r="29" ht="12.75" customHeight="1">
      <c r="A29" s="27">
        <v>161.0</v>
      </c>
      <c r="B29" s="28" t="s">
        <v>64958</v>
      </c>
      <c r="C29" s="27">
        <v>200.0</v>
      </c>
      <c r="D29" s="28" t="s">
        <v>64959</v>
      </c>
      <c r="E29" s="28" t="s">
        <v>64960</v>
      </c>
      <c r="F29" s="29">
        <v>31.0</v>
      </c>
      <c r="G29" s="27">
        <v>2.00610311E8</v>
      </c>
    </row>
    <row r="30" ht="12.75" customHeight="1">
      <c r="A30" s="31">
        <v>161.0</v>
      </c>
      <c r="B30" s="32" t="s">
        <v>64961</v>
      </c>
      <c r="C30" s="31">
        <v>200.0</v>
      </c>
      <c r="D30" s="32" t="s">
        <v>64962</v>
      </c>
      <c r="E30" s="32" t="s">
        <v>64963</v>
      </c>
      <c r="F30" s="33">
        <v>34.0</v>
      </c>
      <c r="G30" s="31">
        <v>2.0061034E8</v>
      </c>
    </row>
    <row r="31" ht="12.75" customHeight="1">
      <c r="A31" s="27">
        <v>161.0</v>
      </c>
      <c r="B31" s="28" t="s">
        <v>64964</v>
      </c>
      <c r="C31" s="27">
        <v>200.0</v>
      </c>
      <c r="D31" s="28" t="s">
        <v>64965</v>
      </c>
      <c r="E31" s="28" t="s">
        <v>64966</v>
      </c>
      <c r="F31" s="29">
        <v>52.0</v>
      </c>
      <c r="G31" s="27">
        <v>2.00610524E8</v>
      </c>
    </row>
    <row r="32" ht="12.75" customHeight="1">
      <c r="A32" s="31">
        <v>161.0</v>
      </c>
      <c r="B32" s="32" t="s">
        <v>64967</v>
      </c>
      <c r="C32" s="31">
        <v>200.0</v>
      </c>
      <c r="D32" s="32" t="s">
        <v>64968</v>
      </c>
      <c r="E32" s="32" t="s">
        <v>64969</v>
      </c>
      <c r="F32" s="33">
        <v>85.0</v>
      </c>
      <c r="G32" s="31">
        <v>2.00610858E8</v>
      </c>
    </row>
    <row r="33" ht="12.75" customHeight="1">
      <c r="A33" s="27">
        <v>161.0</v>
      </c>
      <c r="B33" s="28" t="s">
        <v>64970</v>
      </c>
      <c r="C33" s="27">
        <v>200.0</v>
      </c>
      <c r="D33" s="28" t="s">
        <v>64971</v>
      </c>
      <c r="E33" s="28" t="s">
        <v>64972</v>
      </c>
      <c r="F33" s="29">
        <v>94.0</v>
      </c>
      <c r="G33" s="27">
        <v>2.0061094E8</v>
      </c>
    </row>
    <row r="34" ht="12.75" customHeight="1">
      <c r="A34" s="31">
        <v>161.0</v>
      </c>
      <c r="B34" s="32" t="s">
        <v>64973</v>
      </c>
      <c r="C34" s="31">
        <v>200.0</v>
      </c>
      <c r="D34" s="32" t="s">
        <v>64974</v>
      </c>
      <c r="E34" s="32" t="s">
        <v>64975</v>
      </c>
      <c r="F34" s="33">
        <v>97.0</v>
      </c>
      <c r="G34" s="31">
        <v>2.00610979E8</v>
      </c>
    </row>
    <row r="35" ht="12.75" customHeight="1">
      <c r="A35" s="27">
        <v>161.0</v>
      </c>
      <c r="B35" s="28" t="s">
        <v>64976</v>
      </c>
      <c r="C35" s="27">
        <v>200.0</v>
      </c>
      <c r="D35" s="28" t="s">
        <v>64977</v>
      </c>
      <c r="E35" s="28" t="s">
        <v>64978</v>
      </c>
      <c r="F35" s="27">
        <v>100.0</v>
      </c>
      <c r="G35" s="27">
        <v>2.00611002E8</v>
      </c>
    </row>
    <row r="36" ht="12.75" customHeight="1">
      <c r="A36" s="31">
        <v>161.0</v>
      </c>
      <c r="B36" s="32" t="s">
        <v>64979</v>
      </c>
      <c r="C36" s="31">
        <v>200.0</v>
      </c>
      <c r="D36" s="32" t="s">
        <v>64980</v>
      </c>
      <c r="E36" s="32" t="s">
        <v>64981</v>
      </c>
      <c r="F36" s="31">
        <v>106.0</v>
      </c>
      <c r="G36" s="31">
        <v>2.0061106E8</v>
      </c>
    </row>
    <row r="37" ht="12.75" customHeight="1">
      <c r="A37" s="27">
        <v>161.0</v>
      </c>
      <c r="B37" s="28" t="s">
        <v>64982</v>
      </c>
      <c r="C37" s="27">
        <v>200.0</v>
      </c>
      <c r="D37" s="28" t="s">
        <v>64983</v>
      </c>
      <c r="E37" s="28" t="s">
        <v>64984</v>
      </c>
      <c r="F37" s="27">
        <v>112.0</v>
      </c>
      <c r="G37" s="27">
        <v>2.00611123E8</v>
      </c>
    </row>
    <row r="38" ht="12.75" customHeight="1">
      <c r="A38" s="31">
        <v>161.0</v>
      </c>
      <c r="B38" s="32" t="s">
        <v>64985</v>
      </c>
      <c r="C38" s="31">
        <v>200.0</v>
      </c>
      <c r="D38" s="32" t="s">
        <v>64986</v>
      </c>
      <c r="E38" s="32" t="s">
        <v>64987</v>
      </c>
      <c r="F38" s="31">
        <v>115.0</v>
      </c>
      <c r="G38" s="31">
        <v>2.00611152E8</v>
      </c>
    </row>
    <row r="39" ht="12.75" customHeight="1">
      <c r="A39" s="27">
        <v>161.0</v>
      </c>
      <c r="B39" s="28" t="s">
        <v>64988</v>
      </c>
      <c r="C39" s="27">
        <v>200.0</v>
      </c>
      <c r="D39" s="28" t="s">
        <v>64989</v>
      </c>
      <c r="E39" s="28" t="s">
        <v>64990</v>
      </c>
      <c r="F39" s="27">
        <v>118.0</v>
      </c>
      <c r="G39" s="27">
        <v>2.00611181E8</v>
      </c>
    </row>
    <row r="40" ht="12.75" customHeight="1">
      <c r="A40" s="31">
        <v>161.0</v>
      </c>
      <c r="B40" s="32" t="s">
        <v>64991</v>
      </c>
      <c r="C40" s="31">
        <v>200.0</v>
      </c>
      <c r="D40" s="32" t="s">
        <v>64992</v>
      </c>
      <c r="E40" s="32" t="s">
        <v>64993</v>
      </c>
      <c r="F40" s="31">
        <v>136.0</v>
      </c>
      <c r="G40" s="31">
        <v>2.00611365E8</v>
      </c>
    </row>
    <row r="41" ht="12.75" customHeight="1">
      <c r="A41" s="27">
        <v>161.0</v>
      </c>
      <c r="B41" s="28" t="s">
        <v>64994</v>
      </c>
      <c r="C41" s="27">
        <v>200.0</v>
      </c>
      <c r="D41" s="28" t="s">
        <v>64995</v>
      </c>
      <c r="E41" s="28" t="s">
        <v>64996</v>
      </c>
      <c r="F41" s="27">
        <v>154.0</v>
      </c>
      <c r="G41" s="27">
        <v>2.00611549E8</v>
      </c>
    </row>
    <row r="42" ht="12.75" customHeight="1">
      <c r="A42" s="31">
        <v>161.0</v>
      </c>
      <c r="B42" s="32" t="s">
        <v>64997</v>
      </c>
      <c r="C42" s="31">
        <v>200.0</v>
      </c>
      <c r="D42" s="32" t="s">
        <v>64998</v>
      </c>
      <c r="E42" s="32" t="s">
        <v>64999</v>
      </c>
      <c r="F42" s="31">
        <v>169.0</v>
      </c>
      <c r="G42" s="31">
        <v>2.00611699E8</v>
      </c>
    </row>
    <row r="43" ht="12.75" customHeight="1">
      <c r="A43" s="27">
        <v>161.0</v>
      </c>
      <c r="B43" s="28" t="s">
        <v>65000</v>
      </c>
      <c r="C43" s="27">
        <v>200.0</v>
      </c>
      <c r="D43" s="28" t="s">
        <v>65001</v>
      </c>
      <c r="E43" s="28" t="s">
        <v>65002</v>
      </c>
      <c r="F43" s="27">
        <v>175.0</v>
      </c>
      <c r="G43" s="27">
        <v>2.00611752E8</v>
      </c>
    </row>
    <row r="44" ht="12.75" customHeight="1">
      <c r="A44" s="31">
        <v>161.0</v>
      </c>
      <c r="B44" s="32" t="s">
        <v>65003</v>
      </c>
      <c r="C44" s="31">
        <v>200.0</v>
      </c>
      <c r="D44" s="32" t="s">
        <v>65004</v>
      </c>
      <c r="E44" s="32" t="s">
        <v>65005</v>
      </c>
      <c r="F44" s="31">
        <v>178.0</v>
      </c>
      <c r="G44" s="31">
        <v>2.00611781E8</v>
      </c>
    </row>
    <row r="45" ht="12.75" customHeight="1">
      <c r="A45" s="27">
        <v>161.0</v>
      </c>
      <c r="B45" s="28" t="s">
        <v>65006</v>
      </c>
      <c r="C45" s="27">
        <v>200.0</v>
      </c>
      <c r="D45" s="28" t="s">
        <v>65007</v>
      </c>
      <c r="E45" s="28" t="s">
        <v>65008</v>
      </c>
      <c r="F45" s="27">
        <v>190.0</v>
      </c>
      <c r="G45" s="27">
        <v>2.00611907E8</v>
      </c>
    </row>
    <row r="46" ht="12.75" customHeight="1">
      <c r="A46" s="31">
        <v>161.0</v>
      </c>
      <c r="B46" s="32" t="s">
        <v>65009</v>
      </c>
      <c r="C46" s="31">
        <v>200.0</v>
      </c>
      <c r="D46" s="32" t="s">
        <v>65010</v>
      </c>
      <c r="E46" s="32" t="s">
        <v>65011</v>
      </c>
      <c r="F46" s="31">
        <v>199.0</v>
      </c>
      <c r="G46" s="31">
        <v>2.00611994E8</v>
      </c>
    </row>
    <row r="47" ht="12.75" customHeight="1">
      <c r="A47" s="27">
        <v>161.0</v>
      </c>
      <c r="B47" s="28" t="s">
        <v>65012</v>
      </c>
      <c r="C47" s="27">
        <v>200.0</v>
      </c>
      <c r="D47" s="28" t="s">
        <v>65013</v>
      </c>
      <c r="E47" s="28" t="s">
        <v>65014</v>
      </c>
      <c r="F47" s="27">
        <v>214.0</v>
      </c>
      <c r="G47" s="27">
        <v>2.00612148E8</v>
      </c>
    </row>
    <row r="48" ht="12.75" customHeight="1">
      <c r="A48" s="31">
        <v>161.0</v>
      </c>
      <c r="B48" s="32" t="s">
        <v>65015</v>
      </c>
      <c r="C48" s="31">
        <v>200.0</v>
      </c>
      <c r="D48" s="32" t="s">
        <v>65016</v>
      </c>
      <c r="E48" s="32" t="s">
        <v>65017</v>
      </c>
      <c r="F48" s="31">
        <v>226.0</v>
      </c>
      <c r="G48" s="31">
        <v>2.00612269E8</v>
      </c>
    </row>
    <row r="49" ht="12.75" customHeight="1">
      <c r="A49" s="27">
        <v>161.0</v>
      </c>
      <c r="B49" s="28" t="s">
        <v>65018</v>
      </c>
      <c r="C49" s="27">
        <v>200.0</v>
      </c>
      <c r="D49" s="28" t="s">
        <v>65019</v>
      </c>
      <c r="E49" s="28" t="s">
        <v>65020</v>
      </c>
      <c r="F49" s="27">
        <v>229.0</v>
      </c>
      <c r="G49" s="27">
        <v>2.00612298E8</v>
      </c>
    </row>
    <row r="50" ht="12.75" customHeight="1">
      <c r="A50" s="31">
        <v>161.0</v>
      </c>
      <c r="B50" s="32" t="s">
        <v>65021</v>
      </c>
      <c r="C50" s="31">
        <v>200.0</v>
      </c>
      <c r="D50" s="32" t="s">
        <v>65022</v>
      </c>
      <c r="E50" s="32" t="s">
        <v>65023</v>
      </c>
      <c r="F50" s="31">
        <v>235.0</v>
      </c>
      <c r="G50" s="31">
        <v>2.00612351E8</v>
      </c>
    </row>
    <row r="51" ht="12.75" customHeight="1">
      <c r="A51" s="27">
        <v>564.0</v>
      </c>
      <c r="B51" s="28" t="s">
        <v>65024</v>
      </c>
      <c r="C51" s="27">
        <v>200.0</v>
      </c>
      <c r="D51" s="28" t="s">
        <v>65025</v>
      </c>
      <c r="E51" s="28" t="s">
        <v>65026</v>
      </c>
      <c r="F51" s="29">
        <v>4.0</v>
      </c>
      <c r="G51" s="27">
        <v>2.00640044E8</v>
      </c>
    </row>
    <row r="52" ht="12.75" customHeight="1">
      <c r="A52" s="31">
        <v>564.0</v>
      </c>
      <c r="B52" s="32" t="s">
        <v>65027</v>
      </c>
      <c r="C52" s="31">
        <v>200.0</v>
      </c>
      <c r="D52" s="32" t="s">
        <v>65028</v>
      </c>
      <c r="E52" s="32" t="s">
        <v>65029</v>
      </c>
      <c r="F52" s="33">
        <v>16.0</v>
      </c>
      <c r="G52" s="31">
        <v>2.00640165E8</v>
      </c>
    </row>
    <row r="53" ht="12.75" customHeight="1">
      <c r="A53" s="27">
        <v>564.0</v>
      </c>
      <c r="B53" s="28" t="s">
        <v>65030</v>
      </c>
      <c r="C53" s="27">
        <v>200.0</v>
      </c>
      <c r="D53" s="28" t="s">
        <v>65031</v>
      </c>
      <c r="E53" s="28" t="s">
        <v>65032</v>
      </c>
      <c r="F53" s="29">
        <v>19.0</v>
      </c>
      <c r="G53" s="27">
        <v>2.00640194E8</v>
      </c>
    </row>
    <row r="54" ht="12.75" customHeight="1">
      <c r="A54" s="31">
        <v>564.0</v>
      </c>
      <c r="B54" s="32" t="s">
        <v>65033</v>
      </c>
      <c r="C54" s="31">
        <v>200.0</v>
      </c>
      <c r="D54" s="32" t="s">
        <v>65034</v>
      </c>
      <c r="E54" s="32" t="s">
        <v>65035</v>
      </c>
      <c r="F54" s="33">
        <v>34.0</v>
      </c>
      <c r="G54" s="31">
        <v>2.00640349E8</v>
      </c>
    </row>
    <row r="55" ht="12.75" customHeight="1">
      <c r="A55" s="27">
        <v>564.0</v>
      </c>
      <c r="B55" s="28" t="s">
        <v>65036</v>
      </c>
      <c r="C55" s="27">
        <v>200.0</v>
      </c>
      <c r="D55" s="28" t="s">
        <v>65037</v>
      </c>
      <c r="E55" s="28" t="s">
        <v>65038</v>
      </c>
      <c r="F55" s="29">
        <v>37.0</v>
      </c>
      <c r="G55" s="27">
        <v>2.00640378E8</v>
      </c>
    </row>
    <row r="56" ht="12.75" customHeight="1">
      <c r="A56" s="31">
        <v>564.0</v>
      </c>
      <c r="B56" s="32" t="s">
        <v>65039</v>
      </c>
      <c r="C56" s="31">
        <v>200.0</v>
      </c>
      <c r="D56" s="32" t="s">
        <v>65040</v>
      </c>
      <c r="E56" s="32" t="s">
        <v>65041</v>
      </c>
      <c r="F56" s="33">
        <v>49.0</v>
      </c>
      <c r="G56" s="31">
        <v>2.00640499E8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564.0</v>
      </c>
      <c r="B1" s="28" t="s">
        <v>65042</v>
      </c>
      <c r="C1" s="27">
        <v>200.0</v>
      </c>
      <c r="D1" s="28" t="s">
        <v>65043</v>
      </c>
      <c r="E1" s="28" t="s">
        <v>65044</v>
      </c>
      <c r="F1" s="29">
        <v>91.0</v>
      </c>
      <c r="G1" s="27">
        <v>2.0064091E8</v>
      </c>
    </row>
    <row r="2" ht="12.75" customHeight="1">
      <c r="A2" s="31">
        <v>564.0</v>
      </c>
      <c r="B2" s="32" t="s">
        <v>65045</v>
      </c>
      <c r="C2" s="31">
        <v>200.0</v>
      </c>
      <c r="D2" s="32" t="s">
        <v>65046</v>
      </c>
      <c r="E2" s="32" t="s">
        <v>65047</v>
      </c>
      <c r="F2" s="31">
        <v>100.0</v>
      </c>
      <c r="G2" s="31">
        <v>2.00641001E8</v>
      </c>
    </row>
    <row r="3" ht="12.75" customHeight="1">
      <c r="A3" s="27">
        <v>564.0</v>
      </c>
      <c r="B3" s="28" t="s">
        <v>65048</v>
      </c>
      <c r="C3" s="27">
        <v>200.0</v>
      </c>
      <c r="D3" s="28" t="s">
        <v>65049</v>
      </c>
      <c r="E3" s="28" t="s">
        <v>65050</v>
      </c>
      <c r="F3" s="27">
        <v>109.0</v>
      </c>
      <c r="G3" s="27">
        <v>2.00641098E8</v>
      </c>
    </row>
    <row r="4" ht="12.75" customHeight="1">
      <c r="A4" s="31">
        <v>564.0</v>
      </c>
      <c r="B4" s="32" t="s">
        <v>65051</v>
      </c>
      <c r="C4" s="31">
        <v>200.0</v>
      </c>
      <c r="D4" s="32" t="s">
        <v>65052</v>
      </c>
      <c r="E4" s="32" t="s">
        <v>65053</v>
      </c>
      <c r="F4" s="31">
        <v>112.0</v>
      </c>
      <c r="G4" s="31">
        <v>2.00641122E8</v>
      </c>
    </row>
    <row r="5" ht="12.75" customHeight="1">
      <c r="A5" s="27">
        <v>564.0</v>
      </c>
      <c r="B5" s="28" t="s">
        <v>65054</v>
      </c>
      <c r="C5" s="27">
        <v>200.0</v>
      </c>
      <c r="D5" s="28" t="s">
        <v>65055</v>
      </c>
      <c r="E5" s="28" t="s">
        <v>65056</v>
      </c>
      <c r="F5" s="27">
        <v>115.0</v>
      </c>
      <c r="G5" s="27">
        <v>2.00641151E8</v>
      </c>
    </row>
    <row r="6" ht="12.75" customHeight="1">
      <c r="A6" s="31">
        <v>564.0</v>
      </c>
      <c r="B6" s="32" t="s">
        <v>65057</v>
      </c>
      <c r="C6" s="31">
        <v>200.0</v>
      </c>
      <c r="D6" s="32" t="s">
        <v>65058</v>
      </c>
      <c r="E6" s="32" t="s">
        <v>65059</v>
      </c>
      <c r="F6" s="31">
        <v>118.0</v>
      </c>
      <c r="G6" s="31">
        <v>2.0064118E8</v>
      </c>
    </row>
    <row r="7" ht="12.75" customHeight="1">
      <c r="A7" s="27">
        <v>564.0</v>
      </c>
      <c r="B7" s="28" t="s">
        <v>65060</v>
      </c>
      <c r="C7" s="27">
        <v>200.0</v>
      </c>
      <c r="D7" s="28" t="s">
        <v>65061</v>
      </c>
      <c r="E7" s="28" t="s">
        <v>65062</v>
      </c>
      <c r="F7" s="27">
        <v>127.0</v>
      </c>
      <c r="G7" s="27">
        <v>2.00641272E8</v>
      </c>
    </row>
    <row r="8" ht="12.75" customHeight="1">
      <c r="A8" s="31">
        <v>564.0</v>
      </c>
      <c r="B8" s="32" t="s">
        <v>65063</v>
      </c>
      <c r="C8" s="31">
        <v>200.0</v>
      </c>
      <c r="D8" s="32" t="s">
        <v>65064</v>
      </c>
      <c r="E8" s="32" t="s">
        <v>65065</v>
      </c>
      <c r="F8" s="31">
        <v>145.0</v>
      </c>
      <c r="G8" s="31">
        <v>2.00641456E8</v>
      </c>
    </row>
    <row r="9" ht="12.75" customHeight="1">
      <c r="A9" s="27">
        <v>564.0</v>
      </c>
      <c r="B9" s="28" t="s">
        <v>65066</v>
      </c>
      <c r="C9" s="27">
        <v>200.0</v>
      </c>
      <c r="D9" s="28" t="s">
        <v>65067</v>
      </c>
      <c r="E9" s="28" t="s">
        <v>65068</v>
      </c>
      <c r="F9" s="27">
        <v>151.0</v>
      </c>
      <c r="G9" s="27">
        <v>2.00641519E8</v>
      </c>
    </row>
    <row r="10" ht="12.75" customHeight="1">
      <c r="A10" s="31">
        <v>564.0</v>
      </c>
      <c r="B10" s="32" t="s">
        <v>65069</v>
      </c>
      <c r="C10" s="31">
        <v>200.0</v>
      </c>
      <c r="D10" s="32" t="s">
        <v>65070</v>
      </c>
      <c r="E10" s="32" t="s">
        <v>65071</v>
      </c>
      <c r="F10" s="31">
        <v>160.0</v>
      </c>
      <c r="G10" s="31">
        <v>2.00641601E8</v>
      </c>
    </row>
    <row r="11" ht="12.75" customHeight="1">
      <c r="A11" s="27">
        <v>564.0</v>
      </c>
      <c r="B11" s="28" t="s">
        <v>65072</v>
      </c>
      <c r="C11" s="27">
        <v>200.0</v>
      </c>
      <c r="D11" s="28" t="s">
        <v>65073</v>
      </c>
      <c r="E11" s="28" t="s">
        <v>65074</v>
      </c>
      <c r="F11" s="27">
        <v>163.0</v>
      </c>
      <c r="G11" s="27">
        <v>2.0064163E8</v>
      </c>
    </row>
    <row r="12" ht="12.75" customHeight="1">
      <c r="A12" s="31">
        <v>564.0</v>
      </c>
      <c r="B12" s="32" t="s">
        <v>65075</v>
      </c>
      <c r="C12" s="31">
        <v>200.0</v>
      </c>
      <c r="D12" s="32" t="s">
        <v>65076</v>
      </c>
      <c r="E12" s="32" t="s">
        <v>65077</v>
      </c>
      <c r="F12" s="31">
        <v>175.0</v>
      </c>
      <c r="G12" s="31">
        <v>2.00641751E8</v>
      </c>
    </row>
    <row r="13" ht="12.75" customHeight="1">
      <c r="A13" s="27">
        <v>564.0</v>
      </c>
      <c r="B13" s="28" t="s">
        <v>65078</v>
      </c>
      <c r="C13" s="27">
        <v>200.0</v>
      </c>
      <c r="D13" s="28" t="s">
        <v>65079</v>
      </c>
      <c r="E13" s="28" t="s">
        <v>65080</v>
      </c>
      <c r="F13" s="27">
        <v>193.0</v>
      </c>
      <c r="G13" s="27">
        <v>2.00641935E8</v>
      </c>
    </row>
    <row r="14" ht="12.75" customHeight="1">
      <c r="A14" s="31">
        <v>465.0</v>
      </c>
      <c r="B14" s="32" t="s">
        <v>65081</v>
      </c>
      <c r="C14" s="31">
        <v>200.0</v>
      </c>
      <c r="D14" s="32" t="s">
        <v>65082</v>
      </c>
      <c r="E14" s="32" t="s">
        <v>65083</v>
      </c>
      <c r="F14" s="33">
        <v>16.0</v>
      </c>
      <c r="G14" s="31">
        <v>2.00650168E8</v>
      </c>
    </row>
    <row r="15" ht="12.75" customHeight="1">
      <c r="A15" s="27">
        <v>465.0</v>
      </c>
      <c r="B15" s="28" t="s">
        <v>65084</v>
      </c>
      <c r="C15" s="27">
        <v>200.0</v>
      </c>
      <c r="D15" s="28" t="s">
        <v>65085</v>
      </c>
      <c r="E15" s="28" t="s">
        <v>65086</v>
      </c>
      <c r="F15" s="29">
        <v>22.0</v>
      </c>
      <c r="G15" s="27">
        <v>2.00650221E8</v>
      </c>
    </row>
    <row r="16" ht="12.75" customHeight="1">
      <c r="A16" s="31">
        <v>465.0</v>
      </c>
      <c r="B16" s="32" t="s">
        <v>65087</v>
      </c>
      <c r="C16" s="31">
        <v>200.0</v>
      </c>
      <c r="D16" s="32" t="s">
        <v>65088</v>
      </c>
      <c r="E16" s="32" t="s">
        <v>65089</v>
      </c>
      <c r="F16" s="33">
        <v>34.0</v>
      </c>
      <c r="G16" s="31">
        <v>2.00650342E8</v>
      </c>
    </row>
    <row r="17" ht="12.75" customHeight="1">
      <c r="A17" s="27">
        <v>465.0</v>
      </c>
      <c r="B17" s="28" t="s">
        <v>65090</v>
      </c>
      <c r="C17" s="27">
        <v>200.0</v>
      </c>
      <c r="D17" s="28" t="s">
        <v>65091</v>
      </c>
      <c r="E17" s="28" t="s">
        <v>65092</v>
      </c>
      <c r="F17" s="29">
        <v>37.0</v>
      </c>
      <c r="G17" s="27">
        <v>2.00650371E8</v>
      </c>
    </row>
    <row r="18" ht="12.75" customHeight="1">
      <c r="A18" s="31">
        <v>465.0</v>
      </c>
      <c r="B18" s="32" t="s">
        <v>65093</v>
      </c>
      <c r="C18" s="31">
        <v>200.0</v>
      </c>
      <c r="D18" s="32" t="s">
        <v>65094</v>
      </c>
      <c r="E18" s="32" t="s">
        <v>65095</v>
      </c>
      <c r="F18" s="33">
        <v>43.0</v>
      </c>
      <c r="G18" s="31">
        <v>2.00650434E8</v>
      </c>
    </row>
    <row r="19" ht="12.75" customHeight="1">
      <c r="A19" s="27">
        <v>465.0</v>
      </c>
      <c r="B19" s="28" t="s">
        <v>65096</v>
      </c>
      <c r="C19" s="27">
        <v>200.0</v>
      </c>
      <c r="D19" s="28" t="s">
        <v>65097</v>
      </c>
      <c r="E19" s="28" t="s">
        <v>65098</v>
      </c>
      <c r="F19" s="29">
        <v>49.0</v>
      </c>
      <c r="G19" s="27">
        <v>2.00650492E8</v>
      </c>
    </row>
    <row r="20" ht="12.75" customHeight="1">
      <c r="A20" s="31">
        <v>465.0</v>
      </c>
      <c r="B20" s="32" t="s">
        <v>65099</v>
      </c>
      <c r="C20" s="31">
        <v>200.0</v>
      </c>
      <c r="D20" s="32" t="s">
        <v>65100</v>
      </c>
      <c r="E20" s="32" t="s">
        <v>65101</v>
      </c>
      <c r="F20" s="33">
        <v>55.0</v>
      </c>
      <c r="G20" s="31">
        <v>2.00650555E8</v>
      </c>
    </row>
    <row r="21" ht="12.75" customHeight="1">
      <c r="A21" s="27">
        <v>465.0</v>
      </c>
      <c r="B21" s="28" t="s">
        <v>65102</v>
      </c>
      <c r="C21" s="27">
        <v>200.0</v>
      </c>
      <c r="D21" s="28" t="s">
        <v>65103</v>
      </c>
      <c r="E21" s="28" t="s">
        <v>65104</v>
      </c>
      <c r="F21" s="29">
        <v>64.0</v>
      </c>
      <c r="G21" s="27">
        <v>2.00650647E8</v>
      </c>
    </row>
    <row r="22" ht="12.75" customHeight="1">
      <c r="A22" s="31">
        <v>465.0</v>
      </c>
      <c r="B22" s="32" t="s">
        <v>65105</v>
      </c>
      <c r="C22" s="31">
        <v>200.0</v>
      </c>
      <c r="D22" s="32" t="s">
        <v>65106</v>
      </c>
      <c r="E22" s="32" t="s">
        <v>65107</v>
      </c>
      <c r="F22" s="33">
        <v>67.0</v>
      </c>
      <c r="G22" s="31">
        <v>2.00650676E8</v>
      </c>
    </row>
    <row r="23" ht="12.75" customHeight="1">
      <c r="A23" s="27">
        <v>465.0</v>
      </c>
      <c r="B23" s="28" t="s">
        <v>65108</v>
      </c>
      <c r="C23" s="27">
        <v>200.0</v>
      </c>
      <c r="D23" s="28" t="s">
        <v>65109</v>
      </c>
      <c r="E23" s="28" t="s">
        <v>65110</v>
      </c>
      <c r="F23" s="29">
        <v>73.0</v>
      </c>
      <c r="G23" s="27">
        <v>2.00650739E8</v>
      </c>
    </row>
    <row r="24" ht="12.75" customHeight="1">
      <c r="A24" s="31">
        <v>465.0</v>
      </c>
      <c r="B24" s="32" t="s">
        <v>65111</v>
      </c>
      <c r="C24" s="31">
        <v>200.0</v>
      </c>
      <c r="D24" s="32" t="s">
        <v>65112</v>
      </c>
      <c r="E24" s="32" t="s">
        <v>65113</v>
      </c>
      <c r="F24" s="33">
        <v>79.0</v>
      </c>
      <c r="G24" s="31">
        <v>2.00650797E8</v>
      </c>
    </row>
    <row r="25" ht="12.75" customHeight="1">
      <c r="A25" s="27">
        <v>167.0</v>
      </c>
      <c r="B25" s="28" t="s">
        <v>65114</v>
      </c>
      <c r="C25" s="27">
        <v>200.0</v>
      </c>
      <c r="D25" s="28" t="s">
        <v>65115</v>
      </c>
      <c r="E25" s="28" t="s">
        <v>65116</v>
      </c>
      <c r="F25" s="29">
        <v>4.0</v>
      </c>
      <c r="G25" s="27">
        <v>2.00670043E8</v>
      </c>
    </row>
    <row r="26" ht="12.75" customHeight="1">
      <c r="A26" s="31">
        <v>167.0</v>
      </c>
      <c r="B26" s="32" t="s">
        <v>65117</v>
      </c>
      <c r="C26" s="31">
        <v>200.0</v>
      </c>
      <c r="D26" s="32" t="s">
        <v>65118</v>
      </c>
      <c r="E26" s="32" t="s">
        <v>65119</v>
      </c>
      <c r="F26" s="33">
        <v>16.0</v>
      </c>
      <c r="G26" s="31">
        <v>2.00670164E8</v>
      </c>
    </row>
    <row r="27" ht="12.75" customHeight="1">
      <c r="A27" s="27">
        <v>167.0</v>
      </c>
      <c r="B27" s="28" t="s">
        <v>65120</v>
      </c>
      <c r="C27" s="27">
        <v>200.0</v>
      </c>
      <c r="D27" s="28" t="s">
        <v>65121</v>
      </c>
      <c r="E27" s="28" t="s">
        <v>65122</v>
      </c>
      <c r="F27" s="29">
        <v>37.0</v>
      </c>
      <c r="G27" s="27">
        <v>2.00670377E8</v>
      </c>
    </row>
    <row r="28" ht="12.75" customHeight="1">
      <c r="A28" s="31">
        <v>167.0</v>
      </c>
      <c r="B28" s="32" t="s">
        <v>65123</v>
      </c>
      <c r="C28" s="31">
        <v>200.0</v>
      </c>
      <c r="D28" s="32" t="s">
        <v>65124</v>
      </c>
      <c r="E28" s="32" t="s">
        <v>65125</v>
      </c>
      <c r="F28" s="33">
        <v>43.0</v>
      </c>
      <c r="G28" s="31">
        <v>2.0067043E8</v>
      </c>
    </row>
    <row r="29" ht="12.75" customHeight="1">
      <c r="A29" s="27">
        <v>167.0</v>
      </c>
      <c r="B29" s="28" t="s">
        <v>65126</v>
      </c>
      <c r="C29" s="27">
        <v>200.0</v>
      </c>
      <c r="D29" s="28" t="s">
        <v>65127</v>
      </c>
      <c r="E29" s="28" t="s">
        <v>65128</v>
      </c>
      <c r="F29" s="29">
        <v>52.0</v>
      </c>
      <c r="G29" s="27">
        <v>2.00670522E8</v>
      </c>
    </row>
    <row r="30" ht="12.75" customHeight="1">
      <c r="A30" s="31">
        <v>167.0</v>
      </c>
      <c r="B30" s="32" t="s">
        <v>65129</v>
      </c>
      <c r="C30" s="31">
        <v>200.0</v>
      </c>
      <c r="D30" s="32" t="s">
        <v>65130</v>
      </c>
      <c r="E30" s="32" t="s">
        <v>65131</v>
      </c>
      <c r="F30" s="33">
        <v>55.0</v>
      </c>
      <c r="G30" s="31">
        <v>2.00670551E8</v>
      </c>
    </row>
    <row r="31" ht="12.75" customHeight="1">
      <c r="A31" s="27">
        <v>167.0</v>
      </c>
      <c r="B31" s="28" t="s">
        <v>65132</v>
      </c>
      <c r="C31" s="27">
        <v>200.0</v>
      </c>
      <c r="D31" s="28" t="s">
        <v>65133</v>
      </c>
      <c r="E31" s="28" t="s">
        <v>65134</v>
      </c>
      <c r="F31" s="29">
        <v>61.0</v>
      </c>
      <c r="G31" s="27">
        <v>2.00670614E8</v>
      </c>
    </row>
    <row r="32" ht="12.75" customHeight="1">
      <c r="A32" s="31">
        <v>167.0</v>
      </c>
      <c r="B32" s="32" t="s">
        <v>65135</v>
      </c>
      <c r="C32" s="31">
        <v>200.0</v>
      </c>
      <c r="D32" s="32" t="s">
        <v>65136</v>
      </c>
      <c r="E32" s="32" t="s">
        <v>65137</v>
      </c>
      <c r="F32" s="33">
        <v>85.0</v>
      </c>
      <c r="G32" s="31">
        <v>2.00670856E8</v>
      </c>
    </row>
    <row r="33" ht="12.75" customHeight="1">
      <c r="A33" s="27">
        <v>167.0</v>
      </c>
      <c r="B33" s="28" t="s">
        <v>65138</v>
      </c>
      <c r="C33" s="27">
        <v>200.0</v>
      </c>
      <c r="D33" s="28" t="s">
        <v>65139</v>
      </c>
      <c r="E33" s="28" t="s">
        <v>65140</v>
      </c>
      <c r="F33" s="29">
        <v>88.0</v>
      </c>
      <c r="G33" s="27">
        <v>2.00670885E8</v>
      </c>
    </row>
    <row r="34" ht="12.75" customHeight="1">
      <c r="A34" s="31">
        <v>167.0</v>
      </c>
      <c r="B34" s="32" t="s">
        <v>65141</v>
      </c>
      <c r="C34" s="31">
        <v>200.0</v>
      </c>
      <c r="D34" s="32" t="s">
        <v>65142</v>
      </c>
      <c r="E34" s="32" t="s">
        <v>65143</v>
      </c>
      <c r="F34" s="33">
        <v>94.0</v>
      </c>
      <c r="G34" s="31">
        <v>2.00670948E8</v>
      </c>
    </row>
    <row r="35" ht="12.75" customHeight="1">
      <c r="A35" s="27">
        <v>167.0</v>
      </c>
      <c r="B35" s="28" t="s">
        <v>65144</v>
      </c>
      <c r="C35" s="27">
        <v>200.0</v>
      </c>
      <c r="D35" s="28" t="s">
        <v>65145</v>
      </c>
      <c r="E35" s="28" t="s">
        <v>65146</v>
      </c>
      <c r="F35" s="27">
        <v>106.0</v>
      </c>
      <c r="G35" s="27">
        <v>2.00671068E8</v>
      </c>
    </row>
    <row r="36" ht="12.75" customHeight="1">
      <c r="A36" s="31">
        <v>167.0</v>
      </c>
      <c r="B36" s="32" t="s">
        <v>65147</v>
      </c>
      <c r="C36" s="31">
        <v>200.0</v>
      </c>
      <c r="D36" s="32" t="s">
        <v>65148</v>
      </c>
      <c r="E36" s="32" t="s">
        <v>65149</v>
      </c>
      <c r="F36" s="31">
        <v>115.0</v>
      </c>
      <c r="G36" s="31">
        <v>2.0067115E8</v>
      </c>
    </row>
    <row r="37" ht="12.75" customHeight="1">
      <c r="A37" s="27">
        <v>167.0</v>
      </c>
      <c r="B37" s="28" t="s">
        <v>65150</v>
      </c>
      <c r="C37" s="27">
        <v>200.0</v>
      </c>
      <c r="D37" s="28" t="s">
        <v>65151</v>
      </c>
      <c r="E37" s="28" t="s">
        <v>65152</v>
      </c>
      <c r="F37" s="27">
        <v>121.0</v>
      </c>
      <c r="G37" s="27">
        <v>2.00671213E8</v>
      </c>
    </row>
    <row r="38" ht="12.75" customHeight="1">
      <c r="A38" s="31">
        <v>167.0</v>
      </c>
      <c r="B38" s="32" t="s">
        <v>65153</v>
      </c>
      <c r="C38" s="31">
        <v>200.0</v>
      </c>
      <c r="D38" s="32" t="s">
        <v>65154</v>
      </c>
      <c r="E38" s="32" t="s">
        <v>65155</v>
      </c>
      <c r="F38" s="31">
        <v>124.0</v>
      </c>
      <c r="G38" s="31">
        <v>2.00671242E8</v>
      </c>
    </row>
    <row r="39" ht="12.75" customHeight="1">
      <c r="A39" s="27">
        <v>167.0</v>
      </c>
      <c r="B39" s="28" t="s">
        <v>65156</v>
      </c>
      <c r="C39" s="27">
        <v>200.0</v>
      </c>
      <c r="D39" s="28" t="s">
        <v>65157</v>
      </c>
      <c r="E39" s="28" t="s">
        <v>65158</v>
      </c>
      <c r="F39" s="27">
        <v>127.0</v>
      </c>
      <c r="G39" s="27">
        <v>2.00671271E8</v>
      </c>
    </row>
    <row r="40" ht="12.75" customHeight="1">
      <c r="A40" s="31">
        <v>167.0</v>
      </c>
      <c r="B40" s="32" t="s">
        <v>65159</v>
      </c>
      <c r="C40" s="31">
        <v>200.0</v>
      </c>
      <c r="D40" s="32" t="s">
        <v>65160</v>
      </c>
      <c r="E40" s="32" t="s">
        <v>65161</v>
      </c>
      <c r="F40" s="31">
        <v>139.0</v>
      </c>
      <c r="G40" s="31">
        <v>2.00671392E8</v>
      </c>
    </row>
    <row r="41" ht="12.75" customHeight="1">
      <c r="A41" s="27">
        <v>167.0</v>
      </c>
      <c r="B41" s="28" t="s">
        <v>65162</v>
      </c>
      <c r="C41" s="27">
        <v>200.0</v>
      </c>
      <c r="D41" s="28" t="s">
        <v>65163</v>
      </c>
      <c r="E41" s="28" t="s">
        <v>65164</v>
      </c>
      <c r="F41" s="27">
        <v>145.0</v>
      </c>
      <c r="G41" s="27">
        <v>2.00671455E8</v>
      </c>
    </row>
    <row r="42" ht="12.75" customHeight="1">
      <c r="A42" s="31">
        <v>167.0</v>
      </c>
      <c r="B42" s="32" t="s">
        <v>65165</v>
      </c>
      <c r="C42" s="31">
        <v>200.0</v>
      </c>
      <c r="D42" s="32" t="s">
        <v>65166</v>
      </c>
      <c r="E42" s="32" t="s">
        <v>65167</v>
      </c>
      <c r="F42" s="31">
        <v>169.0</v>
      </c>
      <c r="G42" s="31">
        <v>2.00671697E8</v>
      </c>
    </row>
    <row r="43" ht="12.75" customHeight="1">
      <c r="A43" s="27">
        <v>167.0</v>
      </c>
      <c r="B43" s="28" t="s">
        <v>65168</v>
      </c>
      <c r="C43" s="27">
        <v>200.0</v>
      </c>
      <c r="D43" s="28" t="s">
        <v>65169</v>
      </c>
      <c r="E43" s="28" t="s">
        <v>65170</v>
      </c>
      <c r="F43" s="27">
        <v>181.0</v>
      </c>
      <c r="G43" s="27">
        <v>2.00671813E8</v>
      </c>
    </row>
    <row r="44" ht="12.75" customHeight="1">
      <c r="A44" s="31">
        <v>168.0</v>
      </c>
      <c r="B44" s="32" t="s">
        <v>65171</v>
      </c>
      <c r="C44" s="31">
        <v>200.0</v>
      </c>
      <c r="D44" s="32" t="s">
        <v>65172</v>
      </c>
      <c r="E44" s="32" t="s">
        <v>65173</v>
      </c>
      <c r="F44" s="33">
        <v>13.0</v>
      </c>
      <c r="G44" s="31">
        <v>2.00680138E8</v>
      </c>
    </row>
    <row r="45" ht="12.75" customHeight="1">
      <c r="A45" s="27">
        <v>168.0</v>
      </c>
      <c r="B45" s="28" t="s">
        <v>65174</v>
      </c>
      <c r="C45" s="27">
        <v>200.0</v>
      </c>
      <c r="D45" s="28" t="s">
        <v>65175</v>
      </c>
      <c r="E45" s="28" t="s">
        <v>65176</v>
      </c>
      <c r="F45" s="29">
        <v>25.0</v>
      </c>
      <c r="G45" s="27">
        <v>2.00680259E8</v>
      </c>
    </row>
    <row r="46" ht="12.75" customHeight="1">
      <c r="A46" s="31">
        <v>168.0</v>
      </c>
      <c r="B46" s="32" t="s">
        <v>65177</v>
      </c>
      <c r="C46" s="31">
        <v>200.0</v>
      </c>
      <c r="D46" s="32" t="s">
        <v>65178</v>
      </c>
      <c r="E46" s="32" t="s">
        <v>65179</v>
      </c>
      <c r="F46" s="33">
        <v>26.0</v>
      </c>
      <c r="G46" s="31">
        <v>2.00680262E8</v>
      </c>
    </row>
    <row r="47" ht="12.75" customHeight="1">
      <c r="A47" s="27">
        <v>168.0</v>
      </c>
      <c r="B47" s="28" t="s">
        <v>65180</v>
      </c>
      <c r="C47" s="27">
        <v>200.0</v>
      </c>
      <c r="D47" s="28" t="s">
        <v>65181</v>
      </c>
      <c r="E47" s="28" t="s">
        <v>65182</v>
      </c>
      <c r="F47" s="29">
        <v>40.0</v>
      </c>
      <c r="G47" s="27">
        <v>2.00680404E8</v>
      </c>
    </row>
    <row r="48" ht="12.75" customHeight="1">
      <c r="A48" s="31">
        <v>168.0</v>
      </c>
      <c r="B48" s="32" t="s">
        <v>65183</v>
      </c>
      <c r="C48" s="31">
        <v>200.0</v>
      </c>
      <c r="D48" s="32" t="s">
        <v>65184</v>
      </c>
      <c r="E48" s="32" t="s">
        <v>65185</v>
      </c>
      <c r="F48" s="33">
        <v>43.0</v>
      </c>
      <c r="G48" s="31">
        <v>2.00680433E8</v>
      </c>
    </row>
    <row r="49" ht="12.75" customHeight="1">
      <c r="A49" s="27">
        <v>168.0</v>
      </c>
      <c r="B49" s="28" t="s">
        <v>65186</v>
      </c>
      <c r="C49" s="27">
        <v>200.0</v>
      </c>
      <c r="D49" s="28" t="s">
        <v>65187</v>
      </c>
      <c r="E49" s="28" t="s">
        <v>65188</v>
      </c>
      <c r="F49" s="29">
        <v>46.0</v>
      </c>
      <c r="G49" s="27">
        <v>2.00680462E8</v>
      </c>
    </row>
    <row r="50" ht="12.75" customHeight="1">
      <c r="A50" s="31">
        <v>168.0</v>
      </c>
      <c r="B50" s="32" t="s">
        <v>65189</v>
      </c>
      <c r="C50" s="31">
        <v>200.0</v>
      </c>
      <c r="D50" s="32" t="s">
        <v>65190</v>
      </c>
      <c r="E50" s="32" t="s">
        <v>65191</v>
      </c>
      <c r="F50" s="33">
        <v>49.0</v>
      </c>
      <c r="G50" s="31">
        <v>2.00680491E8</v>
      </c>
    </row>
    <row r="51" ht="12.75" customHeight="1">
      <c r="A51" s="27">
        <v>168.0</v>
      </c>
      <c r="B51" s="28" t="s">
        <v>65192</v>
      </c>
      <c r="C51" s="27">
        <v>200.0</v>
      </c>
      <c r="D51" s="28" t="s">
        <v>65193</v>
      </c>
      <c r="E51" s="28" t="s">
        <v>65194</v>
      </c>
      <c r="F51" s="29">
        <v>58.0</v>
      </c>
      <c r="G51" s="27">
        <v>2.00680583E8</v>
      </c>
    </row>
    <row r="52" ht="12.75" customHeight="1">
      <c r="A52" s="31">
        <v>168.0</v>
      </c>
      <c r="B52" s="32" t="s">
        <v>65195</v>
      </c>
      <c r="C52" s="31">
        <v>200.0</v>
      </c>
      <c r="D52" s="32" t="s">
        <v>65196</v>
      </c>
      <c r="E52" s="32" t="s">
        <v>65197</v>
      </c>
      <c r="F52" s="33">
        <v>67.0</v>
      </c>
      <c r="G52" s="31">
        <v>2.00680675E8</v>
      </c>
    </row>
    <row r="53" ht="12.75" customHeight="1">
      <c r="A53" s="27">
        <v>168.0</v>
      </c>
      <c r="B53" s="28" t="s">
        <v>65198</v>
      </c>
      <c r="C53" s="27">
        <v>200.0</v>
      </c>
      <c r="D53" s="28" t="s">
        <v>65199</v>
      </c>
      <c r="E53" s="28" t="s">
        <v>65200</v>
      </c>
      <c r="F53" s="29">
        <v>73.0</v>
      </c>
      <c r="G53" s="27">
        <v>2.00680738E8</v>
      </c>
    </row>
    <row r="54" ht="12.75" customHeight="1">
      <c r="A54" s="31">
        <v>168.0</v>
      </c>
      <c r="B54" s="32" t="s">
        <v>65201</v>
      </c>
      <c r="C54" s="31">
        <v>200.0</v>
      </c>
      <c r="D54" s="32" t="s">
        <v>65202</v>
      </c>
      <c r="E54" s="32" t="s">
        <v>65203</v>
      </c>
      <c r="F54" s="33">
        <v>82.0</v>
      </c>
      <c r="G54" s="31">
        <v>2.0068082E8</v>
      </c>
    </row>
    <row r="55" ht="12.75" customHeight="1">
      <c r="A55" s="27">
        <v>168.0</v>
      </c>
      <c r="B55" s="28" t="s">
        <v>65204</v>
      </c>
      <c r="C55" s="27">
        <v>200.0</v>
      </c>
      <c r="D55" s="28" t="s">
        <v>65205</v>
      </c>
      <c r="E55" s="28" t="s">
        <v>65206</v>
      </c>
      <c r="F55" s="29">
        <v>85.0</v>
      </c>
      <c r="G55" s="27">
        <v>2.00680859E8</v>
      </c>
    </row>
    <row r="56" ht="12.75" customHeight="1">
      <c r="A56" s="31">
        <v>168.0</v>
      </c>
      <c r="B56" s="32" t="s">
        <v>65207</v>
      </c>
      <c r="C56" s="31">
        <v>200.0</v>
      </c>
      <c r="D56" s="32" t="s">
        <v>65208</v>
      </c>
      <c r="E56" s="32" t="s">
        <v>65209</v>
      </c>
      <c r="F56" s="33">
        <v>91.0</v>
      </c>
      <c r="G56" s="31">
        <v>2.00680912E8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168.0</v>
      </c>
      <c r="B1" s="28" t="s">
        <v>65210</v>
      </c>
      <c r="C1" s="27">
        <v>200.0</v>
      </c>
      <c r="D1" s="28" t="s">
        <v>65211</v>
      </c>
      <c r="E1" s="28" t="s">
        <v>65212</v>
      </c>
      <c r="F1" s="29">
        <v>97.0</v>
      </c>
      <c r="G1" s="27">
        <v>2.0068097E8</v>
      </c>
    </row>
    <row r="2" ht="12.75" customHeight="1">
      <c r="A2" s="31">
        <v>168.0</v>
      </c>
      <c r="B2" s="32" t="s">
        <v>65213</v>
      </c>
      <c r="C2" s="31">
        <v>200.0</v>
      </c>
      <c r="D2" s="32" t="s">
        <v>65214</v>
      </c>
      <c r="E2" s="32" t="s">
        <v>65215</v>
      </c>
      <c r="F2" s="31">
        <v>100.0</v>
      </c>
      <c r="G2" s="31">
        <v>2.00681003E8</v>
      </c>
    </row>
    <row r="3" ht="12.75" customHeight="1">
      <c r="A3" s="27">
        <v>168.0</v>
      </c>
      <c r="B3" s="28" t="s">
        <v>65216</v>
      </c>
      <c r="C3" s="27">
        <v>200.0</v>
      </c>
      <c r="D3" s="28" t="s">
        <v>65217</v>
      </c>
      <c r="E3" s="28" t="s">
        <v>65218</v>
      </c>
      <c r="F3" s="27">
        <v>103.0</v>
      </c>
      <c r="G3" s="27">
        <v>2.00681032E8</v>
      </c>
    </row>
    <row r="4" ht="12.75" customHeight="1">
      <c r="A4" s="31">
        <v>168.0</v>
      </c>
      <c r="B4" s="32" t="s">
        <v>65219</v>
      </c>
      <c r="C4" s="31">
        <v>200.0</v>
      </c>
      <c r="D4" s="32" t="s">
        <v>65220</v>
      </c>
      <c r="E4" s="32" t="s">
        <v>65221</v>
      </c>
      <c r="F4" s="31">
        <v>109.0</v>
      </c>
      <c r="G4" s="31">
        <v>2.0068109E8</v>
      </c>
    </row>
    <row r="5" ht="12.75" customHeight="1">
      <c r="A5" s="27">
        <v>168.0</v>
      </c>
      <c r="B5" s="28" t="s">
        <v>65222</v>
      </c>
      <c r="C5" s="27">
        <v>200.0</v>
      </c>
      <c r="D5" s="28" t="s">
        <v>65223</v>
      </c>
      <c r="E5" s="28" t="s">
        <v>65224</v>
      </c>
      <c r="F5" s="27">
        <v>112.0</v>
      </c>
      <c r="G5" s="27">
        <v>2.00681124E8</v>
      </c>
    </row>
    <row r="6" ht="12.75" customHeight="1">
      <c r="A6" s="31">
        <v>168.0</v>
      </c>
      <c r="B6" s="32" t="s">
        <v>65225</v>
      </c>
      <c r="C6" s="31">
        <v>200.0</v>
      </c>
      <c r="D6" s="32" t="s">
        <v>65226</v>
      </c>
      <c r="E6" s="32" t="s">
        <v>65227</v>
      </c>
      <c r="F6" s="31">
        <v>115.0</v>
      </c>
      <c r="G6" s="31">
        <v>2.00681153E8</v>
      </c>
    </row>
    <row r="7" ht="12.75" customHeight="1">
      <c r="A7" s="27">
        <v>168.0</v>
      </c>
      <c r="B7" s="28" t="s">
        <v>65228</v>
      </c>
      <c r="C7" s="27">
        <v>200.0</v>
      </c>
      <c r="D7" s="28" t="s">
        <v>65229</v>
      </c>
      <c r="E7" s="28" t="s">
        <v>65230</v>
      </c>
      <c r="F7" s="27">
        <v>121.0</v>
      </c>
      <c r="G7" s="27">
        <v>2.00681216E8</v>
      </c>
    </row>
    <row r="8" ht="12.75" customHeight="1">
      <c r="A8" s="31">
        <v>168.0</v>
      </c>
      <c r="B8" s="32" t="s">
        <v>65231</v>
      </c>
      <c r="C8" s="31">
        <v>200.0</v>
      </c>
      <c r="D8" s="32" t="s">
        <v>65232</v>
      </c>
      <c r="E8" s="32" t="s">
        <v>65233</v>
      </c>
      <c r="F8" s="31">
        <v>130.0</v>
      </c>
      <c r="G8" s="31">
        <v>2.00681308E8</v>
      </c>
    </row>
    <row r="9" ht="12.75" customHeight="1">
      <c r="A9" s="27">
        <v>569.0</v>
      </c>
      <c r="B9" s="28" t="s">
        <v>65234</v>
      </c>
      <c r="C9" s="27">
        <v>200.0</v>
      </c>
      <c r="D9" s="28" t="s">
        <v>65235</v>
      </c>
      <c r="E9" s="28" t="s">
        <v>65236</v>
      </c>
      <c r="F9" s="29">
        <v>7.0</v>
      </c>
      <c r="G9" s="27">
        <v>2.00690078E8</v>
      </c>
    </row>
    <row r="10" ht="12.75" customHeight="1">
      <c r="A10" s="31">
        <v>569.0</v>
      </c>
      <c r="B10" s="32" t="s">
        <v>65237</v>
      </c>
      <c r="C10" s="31">
        <v>200.0</v>
      </c>
      <c r="D10" s="32" t="s">
        <v>65238</v>
      </c>
      <c r="E10" s="32" t="s">
        <v>65239</v>
      </c>
      <c r="F10" s="33">
        <v>9.0</v>
      </c>
      <c r="G10" s="31">
        <v>2.00690094E8</v>
      </c>
    </row>
    <row r="11" ht="12.75" customHeight="1">
      <c r="A11" s="27">
        <v>569.0</v>
      </c>
      <c r="B11" s="28" t="s">
        <v>65240</v>
      </c>
      <c r="C11" s="27">
        <v>200.0</v>
      </c>
      <c r="D11" s="28" t="s">
        <v>65241</v>
      </c>
      <c r="E11" s="28" t="s">
        <v>65242</v>
      </c>
      <c r="F11" s="29">
        <v>13.0</v>
      </c>
      <c r="G11" s="27">
        <v>2.00690131E8</v>
      </c>
    </row>
    <row r="12" ht="12.75" customHeight="1">
      <c r="A12" s="31">
        <v>569.0</v>
      </c>
      <c r="B12" s="32" t="s">
        <v>65243</v>
      </c>
      <c r="C12" s="31">
        <v>200.0</v>
      </c>
      <c r="D12" s="32" t="s">
        <v>65244</v>
      </c>
      <c r="E12" s="32" t="s">
        <v>65245</v>
      </c>
      <c r="F12" s="33">
        <v>16.0</v>
      </c>
      <c r="G12" s="31">
        <v>2.0069016E8</v>
      </c>
    </row>
    <row r="13" ht="12.75" customHeight="1">
      <c r="A13" s="27">
        <v>569.0</v>
      </c>
      <c r="B13" s="28" t="s">
        <v>65246</v>
      </c>
      <c r="C13" s="27">
        <v>200.0</v>
      </c>
      <c r="D13" s="28" t="s">
        <v>65247</v>
      </c>
      <c r="E13" s="28" t="s">
        <v>65248</v>
      </c>
      <c r="F13" s="29">
        <v>31.0</v>
      </c>
      <c r="G13" s="27">
        <v>2.00690315E8</v>
      </c>
    </row>
    <row r="14" ht="12.75" customHeight="1">
      <c r="A14" s="31">
        <v>569.0</v>
      </c>
      <c r="B14" s="32" t="s">
        <v>65249</v>
      </c>
      <c r="C14" s="31">
        <v>200.0</v>
      </c>
      <c r="D14" s="32" t="s">
        <v>65250</v>
      </c>
      <c r="E14" s="32" t="s">
        <v>65251</v>
      </c>
      <c r="F14" s="33">
        <v>40.0</v>
      </c>
      <c r="G14" s="31">
        <v>2.00690407E8</v>
      </c>
    </row>
    <row r="15" ht="12.75" customHeight="1">
      <c r="A15" s="27">
        <v>569.0</v>
      </c>
      <c r="B15" s="28" t="s">
        <v>65252</v>
      </c>
      <c r="C15" s="27">
        <v>200.0</v>
      </c>
      <c r="D15" s="28" t="s">
        <v>65253</v>
      </c>
      <c r="E15" s="28" t="s">
        <v>65254</v>
      </c>
      <c r="F15" s="29">
        <v>55.0</v>
      </c>
      <c r="G15" s="27">
        <v>2.00690557E8</v>
      </c>
    </row>
    <row r="16" ht="12.75" customHeight="1">
      <c r="A16" s="31">
        <v>569.0</v>
      </c>
      <c r="B16" s="32" t="s">
        <v>65255</v>
      </c>
      <c r="C16" s="31">
        <v>200.0</v>
      </c>
      <c r="D16" s="32" t="s">
        <v>65256</v>
      </c>
      <c r="E16" s="32" t="s">
        <v>65257</v>
      </c>
      <c r="F16" s="33">
        <v>88.0</v>
      </c>
      <c r="G16" s="31">
        <v>2.00690881E8</v>
      </c>
    </row>
    <row r="17" ht="12.75" customHeight="1">
      <c r="A17" s="27">
        <v>569.0</v>
      </c>
      <c r="B17" s="28" t="s">
        <v>65258</v>
      </c>
      <c r="C17" s="27">
        <v>200.0</v>
      </c>
      <c r="D17" s="28" t="s">
        <v>65259</v>
      </c>
      <c r="E17" s="28" t="s">
        <v>65260</v>
      </c>
      <c r="F17" s="29">
        <v>91.0</v>
      </c>
      <c r="G17" s="27">
        <v>2.00690915E8</v>
      </c>
    </row>
    <row r="18" ht="12.75" customHeight="1">
      <c r="A18" s="31">
        <v>569.0</v>
      </c>
      <c r="B18" s="32" t="s">
        <v>65261</v>
      </c>
      <c r="C18" s="31">
        <v>200.0</v>
      </c>
      <c r="D18" s="32" t="s">
        <v>65262</v>
      </c>
      <c r="E18" s="32" t="s">
        <v>65263</v>
      </c>
      <c r="F18" s="31">
        <v>109.0</v>
      </c>
      <c r="G18" s="31">
        <v>2.00691093E8</v>
      </c>
    </row>
    <row r="19" ht="12.75" customHeight="1">
      <c r="A19" s="27">
        <v>569.0</v>
      </c>
      <c r="B19" s="28" t="s">
        <v>65264</v>
      </c>
      <c r="C19" s="27">
        <v>200.0</v>
      </c>
      <c r="D19" s="28" t="s">
        <v>65265</v>
      </c>
      <c r="E19" s="28" t="s">
        <v>65266</v>
      </c>
      <c r="F19" s="27">
        <v>130.0</v>
      </c>
      <c r="G19" s="27">
        <v>2.00691301E8</v>
      </c>
    </row>
    <row r="20" ht="12.75" customHeight="1">
      <c r="A20" s="31">
        <v>569.0</v>
      </c>
      <c r="B20" s="32" t="s">
        <v>65267</v>
      </c>
      <c r="C20" s="31">
        <v>200.0</v>
      </c>
      <c r="D20" s="32" t="s">
        <v>65268</v>
      </c>
      <c r="E20" s="32" t="s">
        <v>65269</v>
      </c>
      <c r="F20" s="31">
        <v>148.0</v>
      </c>
      <c r="G20" s="31">
        <v>2.0069148E8</v>
      </c>
    </row>
    <row r="21" ht="12.75" customHeight="1">
      <c r="A21" s="27">
        <v>569.0</v>
      </c>
      <c r="B21" s="28" t="s">
        <v>65270</v>
      </c>
      <c r="C21" s="27">
        <v>200.0</v>
      </c>
      <c r="D21" s="28" t="s">
        <v>65271</v>
      </c>
      <c r="E21" s="28" t="s">
        <v>65272</v>
      </c>
      <c r="F21" s="27">
        <v>154.0</v>
      </c>
      <c r="G21" s="27">
        <v>2.00691543E8</v>
      </c>
    </row>
    <row r="22" ht="12.75" customHeight="1">
      <c r="A22" s="31">
        <v>570.0</v>
      </c>
      <c r="B22" s="32" t="s">
        <v>65273</v>
      </c>
      <c r="C22" s="31">
        <v>200.0</v>
      </c>
      <c r="D22" s="32" t="s">
        <v>65274</v>
      </c>
      <c r="E22" s="32" t="s">
        <v>65275</v>
      </c>
      <c r="F22" s="33">
        <v>16.0</v>
      </c>
      <c r="G22" s="31">
        <v>2.00700168E8</v>
      </c>
    </row>
    <row r="23" ht="12.75" customHeight="1">
      <c r="A23" s="27">
        <v>570.0</v>
      </c>
      <c r="B23" s="28" t="s">
        <v>65276</v>
      </c>
      <c r="C23" s="27">
        <v>200.0</v>
      </c>
      <c r="D23" s="28" t="s">
        <v>65277</v>
      </c>
      <c r="E23" s="28" t="s">
        <v>65278</v>
      </c>
      <c r="F23" s="29">
        <v>25.0</v>
      </c>
      <c r="G23" s="27">
        <v>2.0070025E8</v>
      </c>
    </row>
    <row r="24" ht="12.75" customHeight="1">
      <c r="A24" s="31">
        <v>570.0</v>
      </c>
      <c r="B24" s="32" t="s">
        <v>65279</v>
      </c>
      <c r="C24" s="31">
        <v>200.0</v>
      </c>
      <c r="D24" s="32" t="s">
        <v>65280</v>
      </c>
      <c r="E24" s="32" t="s">
        <v>65281</v>
      </c>
      <c r="F24" s="33">
        <v>46.0</v>
      </c>
      <c r="G24" s="31">
        <v>2.00700463E8</v>
      </c>
    </row>
    <row r="25" ht="12.75" customHeight="1">
      <c r="A25" s="27">
        <v>570.0</v>
      </c>
      <c r="B25" s="28" t="s">
        <v>65282</v>
      </c>
      <c r="C25" s="27">
        <v>200.0</v>
      </c>
      <c r="D25" s="28" t="s">
        <v>65283</v>
      </c>
      <c r="E25" s="28" t="s">
        <v>65284</v>
      </c>
      <c r="F25" s="29">
        <v>58.0</v>
      </c>
      <c r="G25" s="27">
        <v>2.00700584E8</v>
      </c>
    </row>
    <row r="26" ht="12.75" customHeight="1">
      <c r="A26" s="31">
        <v>570.0</v>
      </c>
      <c r="B26" s="32" t="s">
        <v>65285</v>
      </c>
      <c r="C26" s="31">
        <v>200.0</v>
      </c>
      <c r="D26" s="32" t="s">
        <v>65286</v>
      </c>
      <c r="E26" s="32" t="s">
        <v>65287</v>
      </c>
      <c r="F26" s="33">
        <v>73.0</v>
      </c>
      <c r="G26" s="31">
        <v>2.00700739E8</v>
      </c>
    </row>
    <row r="27" ht="12.75" customHeight="1">
      <c r="A27" s="27">
        <v>570.0</v>
      </c>
      <c r="B27" s="28" t="s">
        <v>65288</v>
      </c>
      <c r="C27" s="27">
        <v>200.0</v>
      </c>
      <c r="D27" s="28" t="s">
        <v>65289</v>
      </c>
      <c r="E27" s="28" t="s">
        <v>65290</v>
      </c>
      <c r="F27" s="29">
        <v>88.0</v>
      </c>
      <c r="G27" s="27">
        <v>2.00700889E8</v>
      </c>
    </row>
    <row r="28" ht="12.75" customHeight="1">
      <c r="A28" s="31">
        <v>570.0</v>
      </c>
      <c r="B28" s="32" t="s">
        <v>65291</v>
      </c>
      <c r="C28" s="31">
        <v>200.0</v>
      </c>
      <c r="D28" s="32" t="s">
        <v>65292</v>
      </c>
      <c r="E28" s="32" t="s">
        <v>65293</v>
      </c>
      <c r="F28" s="33">
        <v>94.0</v>
      </c>
      <c r="G28" s="31">
        <v>2.00700942E8</v>
      </c>
    </row>
    <row r="29" ht="12.75" customHeight="1">
      <c r="A29" s="27">
        <v>570.0</v>
      </c>
      <c r="B29" s="28" t="s">
        <v>65294</v>
      </c>
      <c r="C29" s="27">
        <v>200.0</v>
      </c>
      <c r="D29" s="28" t="s">
        <v>65295</v>
      </c>
      <c r="E29" s="28" t="s">
        <v>65296</v>
      </c>
      <c r="F29" s="27">
        <v>106.0</v>
      </c>
      <c r="G29" s="27">
        <v>2.00701062E8</v>
      </c>
    </row>
    <row r="30" ht="12.75" customHeight="1">
      <c r="A30" s="31">
        <v>172.0</v>
      </c>
      <c r="B30" s="32" t="s">
        <v>65297</v>
      </c>
      <c r="C30" s="31">
        <v>200.0</v>
      </c>
      <c r="D30" s="32" t="s">
        <v>65298</v>
      </c>
      <c r="E30" s="32" t="s">
        <v>65299</v>
      </c>
      <c r="F30" s="33">
        <v>4.0</v>
      </c>
      <c r="G30" s="31">
        <v>2.00720043E8</v>
      </c>
    </row>
    <row r="31" ht="12.75" customHeight="1">
      <c r="A31" s="27">
        <v>172.0</v>
      </c>
      <c r="B31" s="28" t="s">
        <v>65300</v>
      </c>
      <c r="C31" s="27">
        <v>200.0</v>
      </c>
      <c r="D31" s="28" t="s">
        <v>65301</v>
      </c>
      <c r="E31" s="28" t="s">
        <v>65302</v>
      </c>
      <c r="F31" s="29">
        <v>5.0</v>
      </c>
      <c r="G31" s="27">
        <v>2.00720056E8</v>
      </c>
    </row>
    <row r="32" ht="12.75" customHeight="1">
      <c r="A32" s="31">
        <v>172.0</v>
      </c>
      <c r="B32" s="32" t="s">
        <v>65303</v>
      </c>
      <c r="C32" s="31">
        <v>200.0</v>
      </c>
      <c r="D32" s="32" t="s">
        <v>65304</v>
      </c>
      <c r="E32" s="32" t="s">
        <v>65305</v>
      </c>
      <c r="F32" s="33">
        <v>7.0</v>
      </c>
      <c r="G32" s="31">
        <v>2.00720072E8</v>
      </c>
    </row>
    <row r="33" ht="12.75" customHeight="1">
      <c r="A33" s="27">
        <v>172.0</v>
      </c>
      <c r="B33" s="28" t="s">
        <v>65306</v>
      </c>
      <c r="C33" s="27">
        <v>200.0</v>
      </c>
      <c r="D33" s="28" t="s">
        <v>65307</v>
      </c>
      <c r="E33" s="28" t="s">
        <v>65308</v>
      </c>
      <c r="F33" s="29">
        <v>19.0</v>
      </c>
      <c r="G33" s="27">
        <v>2.00720193E8</v>
      </c>
    </row>
    <row r="34" ht="12.75" customHeight="1">
      <c r="A34" s="31">
        <v>172.0</v>
      </c>
      <c r="B34" s="32" t="s">
        <v>65309</v>
      </c>
      <c r="C34" s="31">
        <v>200.0</v>
      </c>
      <c r="D34" s="32" t="s">
        <v>65310</v>
      </c>
      <c r="E34" s="32" t="s">
        <v>65311</v>
      </c>
      <c r="F34" s="33">
        <v>43.0</v>
      </c>
      <c r="G34" s="31">
        <v>2.0072043E8</v>
      </c>
    </row>
    <row r="35" ht="12.75" customHeight="1">
      <c r="A35" s="27">
        <v>172.0</v>
      </c>
      <c r="B35" s="28" t="s">
        <v>65312</v>
      </c>
      <c r="C35" s="27">
        <v>200.0</v>
      </c>
      <c r="D35" s="28" t="s">
        <v>65313</v>
      </c>
      <c r="E35" s="28" t="s">
        <v>65314</v>
      </c>
      <c r="F35" s="29">
        <v>46.0</v>
      </c>
      <c r="G35" s="27">
        <v>2.00720469E8</v>
      </c>
    </row>
    <row r="36" ht="12.75" customHeight="1">
      <c r="A36" s="31">
        <v>172.0</v>
      </c>
      <c r="B36" s="32" t="s">
        <v>65315</v>
      </c>
      <c r="C36" s="31">
        <v>200.0</v>
      </c>
      <c r="D36" s="32" t="s">
        <v>65316</v>
      </c>
      <c r="E36" s="32" t="s">
        <v>65317</v>
      </c>
      <c r="F36" s="33">
        <v>49.0</v>
      </c>
      <c r="G36" s="31">
        <v>2.00720498E8</v>
      </c>
    </row>
    <row r="37" ht="12.75" customHeight="1">
      <c r="A37" s="27">
        <v>172.0</v>
      </c>
      <c r="B37" s="28" t="s">
        <v>65318</v>
      </c>
      <c r="C37" s="27">
        <v>200.0</v>
      </c>
      <c r="D37" s="28" t="s">
        <v>65319</v>
      </c>
      <c r="E37" s="28" t="s">
        <v>65320</v>
      </c>
      <c r="F37" s="29">
        <v>58.0</v>
      </c>
      <c r="G37" s="27">
        <v>2.0072058E8</v>
      </c>
    </row>
    <row r="38" ht="12.75" customHeight="1">
      <c r="A38" s="31">
        <v>172.0</v>
      </c>
      <c r="B38" s="32" t="s">
        <v>65321</v>
      </c>
      <c r="C38" s="31">
        <v>200.0</v>
      </c>
      <c r="D38" s="32" t="s">
        <v>65322</v>
      </c>
      <c r="E38" s="32" t="s">
        <v>65323</v>
      </c>
      <c r="F38" s="33">
        <v>61.0</v>
      </c>
      <c r="G38" s="31">
        <v>2.00720614E8</v>
      </c>
    </row>
    <row r="39" ht="12.75" customHeight="1">
      <c r="A39" s="27">
        <v>172.0</v>
      </c>
      <c r="B39" s="28" t="s">
        <v>65324</v>
      </c>
      <c r="C39" s="27">
        <v>200.0</v>
      </c>
      <c r="D39" s="28" t="s">
        <v>65325</v>
      </c>
      <c r="E39" s="28" t="s">
        <v>65326</v>
      </c>
      <c r="F39" s="29">
        <v>64.0</v>
      </c>
      <c r="G39" s="27">
        <v>2.00720643E8</v>
      </c>
    </row>
    <row r="40" ht="12.75" customHeight="1">
      <c r="A40" s="31">
        <v>172.0</v>
      </c>
      <c r="B40" s="32" t="s">
        <v>65327</v>
      </c>
      <c r="C40" s="31">
        <v>200.0</v>
      </c>
      <c r="D40" s="32" t="s">
        <v>65328</v>
      </c>
      <c r="E40" s="32" t="s">
        <v>65329</v>
      </c>
      <c r="F40" s="33">
        <v>67.0</v>
      </c>
      <c r="G40" s="31">
        <v>2.00720672E8</v>
      </c>
    </row>
    <row r="41" ht="12.75" customHeight="1">
      <c r="A41" s="27">
        <v>172.0</v>
      </c>
      <c r="B41" s="28" t="s">
        <v>65330</v>
      </c>
      <c r="C41" s="27">
        <v>200.0</v>
      </c>
      <c r="D41" s="28" t="s">
        <v>65331</v>
      </c>
      <c r="E41" s="28" t="s">
        <v>65332</v>
      </c>
      <c r="F41" s="29">
        <v>73.0</v>
      </c>
      <c r="G41" s="27">
        <v>2.00720735E8</v>
      </c>
    </row>
    <row r="42" ht="12.75" customHeight="1">
      <c r="A42" s="31">
        <v>172.0</v>
      </c>
      <c r="B42" s="32" t="s">
        <v>65333</v>
      </c>
      <c r="C42" s="31">
        <v>200.0</v>
      </c>
      <c r="D42" s="32" t="s">
        <v>65334</v>
      </c>
      <c r="E42" s="32" t="s">
        <v>65335</v>
      </c>
      <c r="F42" s="33">
        <v>79.0</v>
      </c>
      <c r="G42" s="31">
        <v>2.00720793E8</v>
      </c>
    </row>
    <row r="43" ht="12.75" customHeight="1">
      <c r="A43" s="27">
        <v>172.0</v>
      </c>
      <c r="B43" s="28" t="s">
        <v>65336</v>
      </c>
      <c r="C43" s="27">
        <v>200.0</v>
      </c>
      <c r="D43" s="28" t="s">
        <v>65337</v>
      </c>
      <c r="E43" s="28" t="s">
        <v>65338</v>
      </c>
      <c r="F43" s="27">
        <v>103.0</v>
      </c>
      <c r="G43" s="27">
        <v>2.00721039E8</v>
      </c>
    </row>
    <row r="44" ht="12.75" customHeight="1">
      <c r="A44" s="31">
        <v>773.0</v>
      </c>
      <c r="B44" s="32" t="s">
        <v>65339</v>
      </c>
      <c r="C44" s="31">
        <v>200.0</v>
      </c>
      <c r="D44" s="32" t="s">
        <v>65340</v>
      </c>
      <c r="E44" s="32" t="s">
        <v>65341</v>
      </c>
      <c r="F44" s="33">
        <v>13.0</v>
      </c>
      <c r="G44" s="31">
        <v>2.00730138E8</v>
      </c>
    </row>
    <row r="45" ht="12.75" customHeight="1">
      <c r="A45" s="27">
        <v>773.0</v>
      </c>
      <c r="B45" s="28" t="s">
        <v>65342</v>
      </c>
      <c r="C45" s="27">
        <v>200.0</v>
      </c>
      <c r="D45" s="28" t="s">
        <v>65343</v>
      </c>
      <c r="E45" s="28" t="s">
        <v>65344</v>
      </c>
      <c r="F45" s="29">
        <v>25.0</v>
      </c>
      <c r="G45" s="27">
        <v>2.00730259E8</v>
      </c>
    </row>
    <row r="46" ht="12.75" customHeight="1">
      <c r="A46" s="31">
        <v>773.0</v>
      </c>
      <c r="B46" s="32" t="s">
        <v>65345</v>
      </c>
      <c r="C46" s="31">
        <v>200.0</v>
      </c>
      <c r="D46" s="32" t="s">
        <v>65346</v>
      </c>
      <c r="E46" s="32" t="s">
        <v>65347</v>
      </c>
      <c r="F46" s="33">
        <v>31.0</v>
      </c>
      <c r="G46" s="31">
        <v>2.00730312E8</v>
      </c>
    </row>
    <row r="47" ht="12.75" customHeight="1">
      <c r="A47" s="27">
        <v>773.0</v>
      </c>
      <c r="B47" s="28" t="s">
        <v>65348</v>
      </c>
      <c r="C47" s="27">
        <v>200.0</v>
      </c>
      <c r="D47" s="28" t="s">
        <v>65349</v>
      </c>
      <c r="E47" s="28" t="s">
        <v>65350</v>
      </c>
      <c r="F47" s="29">
        <v>34.0</v>
      </c>
      <c r="G47" s="27">
        <v>2.00730341E8</v>
      </c>
    </row>
    <row r="48" ht="12.75" customHeight="1">
      <c r="A48" s="31">
        <v>773.0</v>
      </c>
      <c r="B48" s="32" t="s">
        <v>65351</v>
      </c>
      <c r="C48" s="31">
        <v>200.0</v>
      </c>
      <c r="D48" s="32" t="s">
        <v>65352</v>
      </c>
      <c r="E48" s="32" t="s">
        <v>65353</v>
      </c>
      <c r="F48" s="33">
        <v>46.0</v>
      </c>
      <c r="G48" s="31">
        <v>2.00730462E8</v>
      </c>
    </row>
    <row r="49" ht="12.75" customHeight="1">
      <c r="A49" s="27">
        <v>773.0</v>
      </c>
      <c r="B49" s="28" t="s">
        <v>65354</v>
      </c>
      <c r="C49" s="27">
        <v>200.0</v>
      </c>
      <c r="D49" s="28" t="s">
        <v>65355</v>
      </c>
      <c r="E49" s="28" t="s">
        <v>65356</v>
      </c>
      <c r="F49" s="29">
        <v>58.0</v>
      </c>
      <c r="G49" s="27">
        <v>2.00730583E8</v>
      </c>
    </row>
    <row r="50" ht="12.75" customHeight="1">
      <c r="A50" s="31">
        <v>773.0</v>
      </c>
      <c r="B50" s="32" t="s">
        <v>65357</v>
      </c>
      <c r="C50" s="31">
        <v>200.0</v>
      </c>
      <c r="D50" s="32" t="s">
        <v>65358</v>
      </c>
      <c r="E50" s="32" t="s">
        <v>65359</v>
      </c>
      <c r="F50" s="33">
        <v>64.0</v>
      </c>
      <c r="G50" s="31">
        <v>2.00730646E8</v>
      </c>
    </row>
    <row r="51" ht="12.75" customHeight="1">
      <c r="A51" s="27">
        <v>773.0</v>
      </c>
      <c r="B51" s="28" t="s">
        <v>65360</v>
      </c>
      <c r="C51" s="27">
        <v>200.0</v>
      </c>
      <c r="D51" s="28" t="s">
        <v>65361</v>
      </c>
      <c r="E51" s="28" t="s">
        <v>65362</v>
      </c>
      <c r="F51" s="29">
        <v>73.0</v>
      </c>
      <c r="G51" s="27">
        <v>2.00730738E8</v>
      </c>
    </row>
    <row r="52" ht="12.75" customHeight="1">
      <c r="A52" s="31">
        <v>773.0</v>
      </c>
      <c r="B52" s="32" t="s">
        <v>65363</v>
      </c>
      <c r="C52" s="31">
        <v>200.0</v>
      </c>
      <c r="D52" s="32" t="s">
        <v>65364</v>
      </c>
      <c r="E52" s="32" t="s">
        <v>65365</v>
      </c>
      <c r="F52" s="33">
        <v>79.0</v>
      </c>
      <c r="G52" s="31">
        <v>2.00730796E8</v>
      </c>
    </row>
    <row r="53" ht="12.75" customHeight="1">
      <c r="A53" s="27">
        <v>773.0</v>
      </c>
      <c r="B53" s="28" t="s">
        <v>65366</v>
      </c>
      <c r="C53" s="27">
        <v>200.0</v>
      </c>
      <c r="D53" s="28" t="s">
        <v>65367</v>
      </c>
      <c r="E53" s="28" t="s">
        <v>65368</v>
      </c>
      <c r="F53" s="29">
        <v>82.0</v>
      </c>
      <c r="G53" s="27">
        <v>2.0073082E8</v>
      </c>
    </row>
    <row r="54" ht="12.75" customHeight="1">
      <c r="A54" s="31">
        <v>275.0</v>
      </c>
      <c r="B54" s="32" t="s">
        <v>65369</v>
      </c>
      <c r="C54" s="31">
        <v>200.0</v>
      </c>
      <c r="D54" s="32" t="s">
        <v>65370</v>
      </c>
      <c r="E54" s="32" t="s">
        <v>65371</v>
      </c>
      <c r="F54" s="33">
        <v>7.0</v>
      </c>
      <c r="G54" s="31">
        <v>2.00750071E8</v>
      </c>
    </row>
    <row r="55" ht="12.75" customHeight="1">
      <c r="A55" s="27">
        <v>275.0</v>
      </c>
      <c r="B55" s="28" t="s">
        <v>65372</v>
      </c>
      <c r="C55" s="27">
        <v>200.0</v>
      </c>
      <c r="D55" s="28" t="s">
        <v>65373</v>
      </c>
      <c r="E55" s="28" t="s">
        <v>65374</v>
      </c>
      <c r="F55" s="29">
        <v>25.0</v>
      </c>
      <c r="G55" s="27">
        <v>2.00750255E8</v>
      </c>
    </row>
    <row r="56" ht="12.75" customHeight="1">
      <c r="A56" s="31">
        <v>275.0</v>
      </c>
      <c r="B56" s="32" t="s">
        <v>65375</v>
      </c>
      <c r="C56" s="31">
        <v>200.0</v>
      </c>
      <c r="D56" s="32" t="s">
        <v>65376</v>
      </c>
      <c r="E56" s="32" t="s">
        <v>65377</v>
      </c>
      <c r="F56" s="33">
        <v>43.0</v>
      </c>
      <c r="G56" s="31">
        <v>2.00750439E8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275.0</v>
      </c>
      <c r="B1" s="28" t="s">
        <v>65378</v>
      </c>
      <c r="C1" s="27">
        <v>200.0</v>
      </c>
      <c r="D1" s="28" t="s">
        <v>65379</v>
      </c>
      <c r="E1" s="28" t="s">
        <v>65380</v>
      </c>
      <c r="F1" s="29">
        <v>49.0</v>
      </c>
      <c r="G1" s="27">
        <v>2.00750497E8</v>
      </c>
    </row>
    <row r="2" ht="12.75" customHeight="1">
      <c r="A2" s="31">
        <v>275.0</v>
      </c>
      <c r="B2" s="32" t="s">
        <v>65381</v>
      </c>
      <c r="C2" s="31">
        <v>200.0</v>
      </c>
      <c r="D2" s="32" t="s">
        <v>65382</v>
      </c>
      <c r="E2" s="32" t="s">
        <v>65383</v>
      </c>
      <c r="F2" s="33">
        <v>55.0</v>
      </c>
      <c r="G2" s="31">
        <v>2.0075055E8</v>
      </c>
    </row>
    <row r="3" ht="12.75" customHeight="1">
      <c r="A3" s="27">
        <v>275.0</v>
      </c>
      <c r="B3" s="28" t="s">
        <v>65384</v>
      </c>
      <c r="C3" s="27">
        <v>200.0</v>
      </c>
      <c r="D3" s="28" t="s">
        <v>65385</v>
      </c>
      <c r="E3" s="28" t="s">
        <v>65386</v>
      </c>
      <c r="F3" s="29">
        <v>58.0</v>
      </c>
      <c r="G3" s="27">
        <v>2.00750589E8</v>
      </c>
    </row>
    <row r="4" ht="12.75" customHeight="1">
      <c r="A4" s="31">
        <v>275.0</v>
      </c>
      <c r="B4" s="32" t="s">
        <v>65387</v>
      </c>
      <c r="C4" s="31">
        <v>200.0</v>
      </c>
      <c r="D4" s="32" t="s">
        <v>65388</v>
      </c>
      <c r="E4" s="32" t="s">
        <v>65389</v>
      </c>
      <c r="F4" s="33">
        <v>64.0</v>
      </c>
      <c r="G4" s="31">
        <v>2.00750642E8</v>
      </c>
    </row>
    <row r="5" ht="12.75" customHeight="1">
      <c r="A5" s="27">
        <v>275.0</v>
      </c>
      <c r="B5" s="28" t="s">
        <v>65390</v>
      </c>
      <c r="C5" s="27">
        <v>200.0</v>
      </c>
      <c r="D5" s="28" t="s">
        <v>65391</v>
      </c>
      <c r="E5" s="28" t="s">
        <v>65392</v>
      </c>
      <c r="F5" s="29">
        <v>67.0</v>
      </c>
      <c r="G5" s="27">
        <v>2.00750671E8</v>
      </c>
    </row>
    <row r="6" ht="12.75" customHeight="1">
      <c r="A6" s="31">
        <v>275.0</v>
      </c>
      <c r="B6" s="32" t="s">
        <v>65393</v>
      </c>
      <c r="C6" s="31">
        <v>200.0</v>
      </c>
      <c r="D6" s="32" t="s">
        <v>65394</v>
      </c>
      <c r="E6" s="32" t="s">
        <v>65395</v>
      </c>
      <c r="F6" s="33">
        <v>70.0</v>
      </c>
      <c r="G6" s="31">
        <v>2.00750705E8</v>
      </c>
    </row>
    <row r="7" ht="12.75" customHeight="1">
      <c r="A7" s="27">
        <v>275.0</v>
      </c>
      <c r="B7" s="28" t="s">
        <v>65396</v>
      </c>
      <c r="C7" s="27">
        <v>200.0</v>
      </c>
      <c r="D7" s="28" t="s">
        <v>65397</v>
      </c>
      <c r="E7" s="28" t="s">
        <v>65398</v>
      </c>
      <c r="F7" s="29">
        <v>73.0</v>
      </c>
      <c r="G7" s="27">
        <v>2.00750734E8</v>
      </c>
    </row>
    <row r="8" ht="12.75" customHeight="1">
      <c r="A8" s="31">
        <v>275.0</v>
      </c>
      <c r="B8" s="32" t="s">
        <v>65399</v>
      </c>
      <c r="C8" s="31">
        <v>200.0</v>
      </c>
      <c r="D8" s="32" t="s">
        <v>65400</v>
      </c>
      <c r="E8" s="32" t="s">
        <v>65401</v>
      </c>
      <c r="F8" s="33">
        <v>82.0</v>
      </c>
      <c r="G8" s="31">
        <v>2.00750826E8</v>
      </c>
    </row>
    <row r="9" ht="12.75" customHeight="1">
      <c r="A9" s="27">
        <v>275.0</v>
      </c>
      <c r="B9" s="28" t="s">
        <v>65402</v>
      </c>
      <c r="C9" s="27">
        <v>200.0</v>
      </c>
      <c r="D9" s="28" t="s">
        <v>65403</v>
      </c>
      <c r="E9" s="28" t="s">
        <v>65404</v>
      </c>
      <c r="F9" s="27">
        <v>103.0</v>
      </c>
      <c r="G9" s="27">
        <v>2.00751038E8</v>
      </c>
    </row>
    <row r="10" ht="12.75" customHeight="1">
      <c r="A10" s="31">
        <v>275.0</v>
      </c>
      <c r="B10" s="32" t="s">
        <v>65405</v>
      </c>
      <c r="C10" s="31">
        <v>200.0</v>
      </c>
      <c r="D10" s="32" t="s">
        <v>65406</v>
      </c>
      <c r="E10" s="32" t="s">
        <v>65407</v>
      </c>
      <c r="F10" s="31">
        <v>106.0</v>
      </c>
      <c r="G10" s="31">
        <v>2.00751067E8</v>
      </c>
    </row>
    <row r="11" ht="12.75" customHeight="1">
      <c r="A11" s="27">
        <v>275.0</v>
      </c>
      <c r="B11" s="28" t="s">
        <v>65408</v>
      </c>
      <c r="C11" s="27">
        <v>200.0</v>
      </c>
      <c r="D11" s="28" t="s">
        <v>65409</v>
      </c>
      <c r="E11" s="28" t="s">
        <v>65410</v>
      </c>
      <c r="F11" s="27">
        <v>115.0</v>
      </c>
      <c r="G11" s="27">
        <v>2.00751159E8</v>
      </c>
    </row>
    <row r="12" ht="12.75" customHeight="1">
      <c r="A12" s="31">
        <v>275.0</v>
      </c>
      <c r="B12" s="32" t="s">
        <v>65411</v>
      </c>
      <c r="C12" s="31">
        <v>200.0</v>
      </c>
      <c r="D12" s="32" t="s">
        <v>65412</v>
      </c>
      <c r="E12" s="32" t="s">
        <v>65413</v>
      </c>
      <c r="F12" s="31">
        <v>127.0</v>
      </c>
      <c r="G12" s="31">
        <v>2.0075127E8</v>
      </c>
    </row>
    <row r="13" ht="12.75" customHeight="1">
      <c r="A13" s="27">
        <v>275.0</v>
      </c>
      <c r="B13" s="28" t="s">
        <v>65414</v>
      </c>
      <c r="C13" s="27">
        <v>200.0</v>
      </c>
      <c r="D13" s="28" t="s">
        <v>65415</v>
      </c>
      <c r="E13" s="28" t="s">
        <v>65416</v>
      </c>
      <c r="F13" s="27">
        <v>130.0</v>
      </c>
      <c r="G13" s="27">
        <v>2.00751304E8</v>
      </c>
    </row>
    <row r="14" ht="12.75" customHeight="1">
      <c r="A14" s="31">
        <v>275.0</v>
      </c>
      <c r="B14" s="32" t="s">
        <v>65417</v>
      </c>
      <c r="C14" s="31">
        <v>200.0</v>
      </c>
      <c r="D14" s="32" t="s">
        <v>65418</v>
      </c>
      <c r="E14" s="32" t="s">
        <v>65419</v>
      </c>
      <c r="F14" s="31">
        <v>142.0</v>
      </c>
      <c r="G14" s="31">
        <v>2.00751425E8</v>
      </c>
    </row>
    <row r="15" ht="12.75" customHeight="1">
      <c r="A15" s="27">
        <v>275.0</v>
      </c>
      <c r="B15" s="28" t="s">
        <v>65420</v>
      </c>
      <c r="C15" s="27">
        <v>200.0</v>
      </c>
      <c r="D15" s="28" t="s">
        <v>65421</v>
      </c>
      <c r="E15" s="28" t="s">
        <v>65422</v>
      </c>
      <c r="F15" s="27">
        <v>154.0</v>
      </c>
      <c r="G15" s="27">
        <v>2.00751546E8</v>
      </c>
    </row>
    <row r="16" ht="12.75" customHeight="1">
      <c r="A16" s="31">
        <v>275.0</v>
      </c>
      <c r="B16" s="32" t="s">
        <v>65423</v>
      </c>
      <c r="C16" s="31">
        <v>200.0</v>
      </c>
      <c r="D16" s="32" t="s">
        <v>65424</v>
      </c>
      <c r="E16" s="32" t="s">
        <v>65425</v>
      </c>
      <c r="F16" s="31">
        <v>157.0</v>
      </c>
      <c r="G16" s="31">
        <v>2.00751575E8</v>
      </c>
    </row>
    <row r="17" ht="12.75" customHeight="1">
      <c r="A17" s="27">
        <v>275.0</v>
      </c>
      <c r="B17" s="28" t="s">
        <v>65426</v>
      </c>
      <c r="C17" s="27">
        <v>200.0</v>
      </c>
      <c r="D17" s="28" t="s">
        <v>65427</v>
      </c>
      <c r="E17" s="28" t="s">
        <v>65428</v>
      </c>
      <c r="F17" s="27">
        <v>184.0</v>
      </c>
      <c r="G17" s="27">
        <v>2.00751841E8</v>
      </c>
    </row>
    <row r="18" ht="12.75" customHeight="1">
      <c r="A18" s="31">
        <v>275.0</v>
      </c>
      <c r="B18" s="32" t="s">
        <v>65429</v>
      </c>
      <c r="C18" s="31">
        <v>200.0</v>
      </c>
      <c r="D18" s="32" t="s">
        <v>65430</v>
      </c>
      <c r="E18" s="32" t="s">
        <v>65431</v>
      </c>
      <c r="F18" s="31">
        <v>196.0</v>
      </c>
      <c r="G18" s="31">
        <v>2.00751962E8</v>
      </c>
    </row>
    <row r="19" ht="12.75" customHeight="1">
      <c r="A19" s="27">
        <v>275.0</v>
      </c>
      <c r="B19" s="28" t="s">
        <v>65432</v>
      </c>
      <c r="C19" s="27">
        <v>200.0</v>
      </c>
      <c r="D19" s="28" t="s">
        <v>65433</v>
      </c>
      <c r="E19" s="28" t="s">
        <v>65434</v>
      </c>
      <c r="F19" s="27">
        <v>205.0</v>
      </c>
      <c r="G19" s="27">
        <v>2.00752053E8</v>
      </c>
    </row>
    <row r="20" ht="12.75" customHeight="1">
      <c r="A20" s="31">
        <v>275.0</v>
      </c>
      <c r="B20" s="32" t="s">
        <v>65435</v>
      </c>
      <c r="C20" s="31">
        <v>200.0</v>
      </c>
      <c r="D20" s="32" t="s">
        <v>65436</v>
      </c>
      <c r="E20" s="32" t="s">
        <v>65437</v>
      </c>
      <c r="F20" s="31">
        <v>208.0</v>
      </c>
      <c r="G20" s="31">
        <v>2.00752082E8</v>
      </c>
    </row>
    <row r="21" ht="12.75" customHeight="1">
      <c r="A21" s="27">
        <v>275.0</v>
      </c>
      <c r="B21" s="28" t="s">
        <v>65438</v>
      </c>
      <c r="C21" s="27">
        <v>200.0</v>
      </c>
      <c r="D21" s="28" t="s">
        <v>65439</v>
      </c>
      <c r="E21" s="28" t="s">
        <v>65440</v>
      </c>
      <c r="F21" s="27">
        <v>211.0</v>
      </c>
      <c r="G21" s="27">
        <v>2.00752116E8</v>
      </c>
    </row>
    <row r="22" ht="12.75" customHeight="1">
      <c r="A22" s="31">
        <v>275.0</v>
      </c>
      <c r="B22" s="32" t="s">
        <v>65441</v>
      </c>
      <c r="C22" s="31">
        <v>200.0</v>
      </c>
      <c r="D22" s="32" t="s">
        <v>65442</v>
      </c>
      <c r="E22" s="32" t="s">
        <v>65443</v>
      </c>
      <c r="F22" s="31">
        <v>223.0</v>
      </c>
      <c r="G22" s="31">
        <v>2.00752237E8</v>
      </c>
    </row>
    <row r="23" ht="12.75" customHeight="1">
      <c r="A23" s="27">
        <v>275.0</v>
      </c>
      <c r="B23" s="28" t="s">
        <v>65444</v>
      </c>
      <c r="C23" s="27">
        <v>200.0</v>
      </c>
      <c r="D23" s="28" t="s">
        <v>65445</v>
      </c>
      <c r="E23" s="28" t="s">
        <v>65446</v>
      </c>
      <c r="F23" s="27">
        <v>229.0</v>
      </c>
      <c r="G23" s="27">
        <v>2.00752295E8</v>
      </c>
    </row>
    <row r="24" ht="12.75" customHeight="1">
      <c r="A24" s="31">
        <v>275.0</v>
      </c>
      <c r="B24" s="32" t="s">
        <v>65447</v>
      </c>
      <c r="C24" s="31">
        <v>200.0</v>
      </c>
      <c r="D24" s="32" t="s">
        <v>65448</v>
      </c>
      <c r="E24" s="32" t="s">
        <v>65449</v>
      </c>
      <c r="F24" s="31">
        <v>235.0</v>
      </c>
      <c r="G24" s="31">
        <v>2.00752358E8</v>
      </c>
    </row>
    <row r="25" ht="12.75" customHeight="1">
      <c r="A25" s="27">
        <v>275.0</v>
      </c>
      <c r="B25" s="28" t="s">
        <v>65450</v>
      </c>
      <c r="C25" s="27">
        <v>200.0</v>
      </c>
      <c r="D25" s="28" t="s">
        <v>65451</v>
      </c>
      <c r="E25" s="28" t="s">
        <v>65452</v>
      </c>
      <c r="F25" s="27">
        <v>241.0</v>
      </c>
      <c r="G25" s="27">
        <v>2.00752411E8</v>
      </c>
    </row>
    <row r="26" ht="12.75" customHeight="1">
      <c r="A26" s="31">
        <v>576.0</v>
      </c>
      <c r="B26" s="32" t="s">
        <v>65453</v>
      </c>
      <c r="C26" s="31">
        <v>200.0</v>
      </c>
      <c r="D26" s="32" t="s">
        <v>65454</v>
      </c>
      <c r="E26" s="32" t="s">
        <v>65455</v>
      </c>
      <c r="F26" s="33">
        <v>10.0</v>
      </c>
      <c r="G26" s="31">
        <v>2.00760108E8</v>
      </c>
    </row>
    <row r="27" ht="12.75" customHeight="1">
      <c r="A27" s="27">
        <v>576.0</v>
      </c>
      <c r="B27" s="28" t="s">
        <v>65456</v>
      </c>
      <c r="C27" s="27">
        <v>200.0</v>
      </c>
      <c r="D27" s="28" t="s">
        <v>65457</v>
      </c>
      <c r="E27" s="28" t="s">
        <v>65458</v>
      </c>
      <c r="F27" s="29">
        <v>16.0</v>
      </c>
      <c r="G27" s="27">
        <v>2.00760166E8</v>
      </c>
    </row>
    <row r="28" ht="12.75" customHeight="1">
      <c r="A28" s="31">
        <v>576.0</v>
      </c>
      <c r="B28" s="32" t="s">
        <v>65459</v>
      </c>
      <c r="C28" s="31">
        <v>200.0</v>
      </c>
      <c r="D28" s="32" t="s">
        <v>65460</v>
      </c>
      <c r="E28" s="32" t="s">
        <v>65461</v>
      </c>
      <c r="F28" s="33">
        <v>25.0</v>
      </c>
      <c r="G28" s="31">
        <v>2.00760258E8</v>
      </c>
    </row>
    <row r="29" ht="12.75" customHeight="1">
      <c r="A29" s="27">
        <v>576.0</v>
      </c>
      <c r="B29" s="28" t="s">
        <v>65462</v>
      </c>
      <c r="C29" s="27">
        <v>200.0</v>
      </c>
      <c r="D29" s="28" t="s">
        <v>65463</v>
      </c>
      <c r="E29" s="28" t="s">
        <v>65464</v>
      </c>
      <c r="F29" s="29">
        <v>34.0</v>
      </c>
      <c r="G29" s="27">
        <v>2.0076034E8</v>
      </c>
    </row>
    <row r="30" ht="12.75" customHeight="1">
      <c r="A30" s="31">
        <v>576.0</v>
      </c>
      <c r="B30" s="32" t="s">
        <v>65465</v>
      </c>
      <c r="C30" s="31">
        <v>200.0</v>
      </c>
      <c r="D30" s="32" t="s">
        <v>65466</v>
      </c>
      <c r="E30" s="32" t="s">
        <v>65467</v>
      </c>
      <c r="F30" s="33">
        <v>43.0</v>
      </c>
      <c r="G30" s="31">
        <v>2.00760432E8</v>
      </c>
    </row>
    <row r="31" ht="12.75" customHeight="1">
      <c r="A31" s="27">
        <v>576.0</v>
      </c>
      <c r="B31" s="28" t="s">
        <v>65468</v>
      </c>
      <c r="C31" s="27">
        <v>200.0</v>
      </c>
      <c r="D31" s="28" t="s">
        <v>65469</v>
      </c>
      <c r="E31" s="28" t="s">
        <v>65470</v>
      </c>
      <c r="F31" s="29">
        <v>46.0</v>
      </c>
      <c r="G31" s="27">
        <v>2.00760461E8</v>
      </c>
    </row>
    <row r="32" ht="12.75" customHeight="1">
      <c r="A32" s="31">
        <v>576.0</v>
      </c>
      <c r="B32" s="32" t="s">
        <v>65471</v>
      </c>
      <c r="C32" s="31">
        <v>200.0</v>
      </c>
      <c r="D32" s="32" t="s">
        <v>65472</v>
      </c>
      <c r="E32" s="32" t="s">
        <v>65473</v>
      </c>
      <c r="F32" s="33">
        <v>52.0</v>
      </c>
      <c r="G32" s="31">
        <v>2.00760524E8</v>
      </c>
    </row>
    <row r="33" ht="12.75" customHeight="1">
      <c r="A33" s="27">
        <v>576.0</v>
      </c>
      <c r="B33" s="28" t="s">
        <v>65474</v>
      </c>
      <c r="C33" s="27">
        <v>200.0</v>
      </c>
      <c r="D33" s="28" t="s">
        <v>65475</v>
      </c>
      <c r="E33" s="28" t="s">
        <v>65476</v>
      </c>
      <c r="F33" s="29">
        <v>64.0</v>
      </c>
      <c r="G33" s="27">
        <v>2.00760645E8</v>
      </c>
    </row>
    <row r="34" ht="12.75" customHeight="1">
      <c r="A34" s="31">
        <v>576.0</v>
      </c>
      <c r="B34" s="32" t="s">
        <v>65477</v>
      </c>
      <c r="C34" s="31">
        <v>200.0</v>
      </c>
      <c r="D34" s="32" t="s">
        <v>65478</v>
      </c>
      <c r="E34" s="32" t="s">
        <v>65479</v>
      </c>
      <c r="F34" s="33">
        <v>79.0</v>
      </c>
      <c r="G34" s="31">
        <v>2.00760795E8</v>
      </c>
    </row>
    <row r="35" ht="12.75" customHeight="1">
      <c r="A35" s="27">
        <v>576.0</v>
      </c>
      <c r="B35" s="28" t="s">
        <v>65480</v>
      </c>
      <c r="C35" s="27">
        <v>200.0</v>
      </c>
      <c r="D35" s="28" t="s">
        <v>65481</v>
      </c>
      <c r="E35" s="28" t="s">
        <v>65482</v>
      </c>
      <c r="F35" s="27">
        <v>103.0</v>
      </c>
      <c r="G35" s="27">
        <v>2.00761031E8</v>
      </c>
    </row>
    <row r="36" ht="12.75" customHeight="1">
      <c r="A36" s="31">
        <v>576.0</v>
      </c>
      <c r="B36" s="32" t="s">
        <v>65483</v>
      </c>
      <c r="C36" s="31">
        <v>200.0</v>
      </c>
      <c r="D36" s="32" t="s">
        <v>65484</v>
      </c>
      <c r="E36" s="32" t="s">
        <v>65485</v>
      </c>
      <c r="F36" s="31">
        <v>121.0</v>
      </c>
      <c r="G36" s="31">
        <v>2.00761215E8</v>
      </c>
    </row>
    <row r="37" ht="12.75" customHeight="1">
      <c r="A37" s="27">
        <v>576.0</v>
      </c>
      <c r="B37" s="28" t="s">
        <v>65486</v>
      </c>
      <c r="C37" s="27">
        <v>200.0</v>
      </c>
      <c r="D37" s="28" t="s">
        <v>65487</v>
      </c>
      <c r="E37" s="28" t="s">
        <v>65488</v>
      </c>
      <c r="F37" s="27">
        <v>127.0</v>
      </c>
      <c r="G37" s="27">
        <v>2.00761273E8</v>
      </c>
    </row>
    <row r="38" ht="12.75" customHeight="1">
      <c r="A38" s="31">
        <v>576.0</v>
      </c>
      <c r="B38" s="32" t="s">
        <v>65489</v>
      </c>
      <c r="C38" s="31">
        <v>200.0</v>
      </c>
      <c r="D38" s="32" t="s">
        <v>65490</v>
      </c>
      <c r="E38" s="32" t="s">
        <v>65491</v>
      </c>
      <c r="F38" s="31">
        <v>130.0</v>
      </c>
      <c r="G38" s="31">
        <v>2.00761307E8</v>
      </c>
    </row>
    <row r="39" ht="12.75" customHeight="1">
      <c r="A39" s="27">
        <v>576.0</v>
      </c>
      <c r="B39" s="28" t="s">
        <v>65492</v>
      </c>
      <c r="C39" s="27">
        <v>200.0</v>
      </c>
      <c r="D39" s="28" t="s">
        <v>65493</v>
      </c>
      <c r="E39" s="28" t="s">
        <v>65494</v>
      </c>
      <c r="F39" s="27">
        <v>139.0</v>
      </c>
      <c r="G39" s="27">
        <v>2.00761394E8</v>
      </c>
    </row>
    <row r="40" ht="12.75" customHeight="1">
      <c r="A40" s="31">
        <v>576.0</v>
      </c>
      <c r="B40" s="32" t="s">
        <v>65495</v>
      </c>
      <c r="C40" s="31">
        <v>200.0</v>
      </c>
      <c r="D40" s="32" t="s">
        <v>65496</v>
      </c>
      <c r="E40" s="32" t="s">
        <v>65497</v>
      </c>
      <c r="F40" s="31">
        <v>178.0</v>
      </c>
      <c r="G40" s="31">
        <v>2.00761781E8</v>
      </c>
    </row>
    <row r="41" ht="12.75" customHeight="1">
      <c r="A41" s="27">
        <v>576.0</v>
      </c>
      <c r="B41" s="28" t="s">
        <v>65498</v>
      </c>
      <c r="C41" s="27">
        <v>200.0</v>
      </c>
      <c r="D41" s="28" t="s">
        <v>65499</v>
      </c>
      <c r="E41" s="28" t="s">
        <v>65500</v>
      </c>
      <c r="F41" s="27">
        <v>205.0</v>
      </c>
      <c r="G41" s="27">
        <v>2.00762056E8</v>
      </c>
    </row>
    <row r="42" ht="12.75" customHeight="1">
      <c r="A42" s="31">
        <v>576.0</v>
      </c>
      <c r="B42" s="32" t="s">
        <v>65501</v>
      </c>
      <c r="C42" s="31">
        <v>200.0</v>
      </c>
      <c r="D42" s="32" t="s">
        <v>65502</v>
      </c>
      <c r="E42" s="32" t="s">
        <v>65503</v>
      </c>
      <c r="F42" s="31">
        <v>226.0</v>
      </c>
      <c r="G42" s="31">
        <v>2.00762269E8</v>
      </c>
    </row>
    <row r="43" ht="12.75" customHeight="1">
      <c r="A43" s="27">
        <v>576.0</v>
      </c>
      <c r="B43" s="28" t="s">
        <v>65504</v>
      </c>
      <c r="C43" s="27">
        <v>200.0</v>
      </c>
      <c r="D43" s="28" t="s">
        <v>65505</v>
      </c>
      <c r="E43" s="28" t="s">
        <v>65506</v>
      </c>
      <c r="F43" s="27">
        <v>232.0</v>
      </c>
      <c r="G43" s="27">
        <v>2.00762322E8</v>
      </c>
    </row>
    <row r="44" ht="12.75" customHeight="1">
      <c r="A44" s="31">
        <v>777.0</v>
      </c>
      <c r="B44" s="32" t="s">
        <v>65507</v>
      </c>
      <c r="C44" s="31">
        <v>200.0</v>
      </c>
      <c r="D44" s="32" t="s">
        <v>65508</v>
      </c>
      <c r="E44" s="32" t="s">
        <v>65509</v>
      </c>
      <c r="F44" s="33">
        <v>4.0</v>
      </c>
      <c r="G44" s="31">
        <v>2.00770048E8</v>
      </c>
    </row>
    <row r="45" ht="12.75" customHeight="1">
      <c r="A45" s="27">
        <v>777.0</v>
      </c>
      <c r="B45" s="28" t="s">
        <v>65510</v>
      </c>
      <c r="C45" s="27">
        <v>200.0</v>
      </c>
      <c r="D45" s="28" t="s">
        <v>65511</v>
      </c>
      <c r="E45" s="28" t="s">
        <v>65512</v>
      </c>
      <c r="F45" s="29">
        <v>10.0</v>
      </c>
      <c r="G45" s="27">
        <v>2.00770101E8</v>
      </c>
    </row>
    <row r="46" ht="12.75" customHeight="1">
      <c r="A46" s="31">
        <v>777.0</v>
      </c>
      <c r="B46" s="32" t="s">
        <v>65513</v>
      </c>
      <c r="C46" s="31">
        <v>200.0</v>
      </c>
      <c r="D46" s="32" t="s">
        <v>65514</v>
      </c>
      <c r="E46" s="32" t="s">
        <v>65515</v>
      </c>
      <c r="F46" s="33">
        <v>13.0</v>
      </c>
      <c r="G46" s="31">
        <v>2.0077013E8</v>
      </c>
    </row>
    <row r="47" ht="12.75" customHeight="1">
      <c r="A47" s="27">
        <v>777.0</v>
      </c>
      <c r="B47" s="28" t="s">
        <v>65516</v>
      </c>
      <c r="C47" s="27">
        <v>200.0</v>
      </c>
      <c r="D47" s="28" t="s">
        <v>65517</v>
      </c>
      <c r="E47" s="28" t="s">
        <v>65518</v>
      </c>
      <c r="F47" s="29">
        <v>19.0</v>
      </c>
      <c r="G47" s="27">
        <v>2.00770198E8</v>
      </c>
    </row>
    <row r="48" ht="12.75" customHeight="1">
      <c r="A48" s="31">
        <v>777.0</v>
      </c>
      <c r="B48" s="32" t="s">
        <v>65519</v>
      </c>
      <c r="C48" s="31">
        <v>200.0</v>
      </c>
      <c r="D48" s="32" t="s">
        <v>65520</v>
      </c>
      <c r="E48" s="32" t="s">
        <v>65521</v>
      </c>
      <c r="F48" s="33">
        <v>55.0</v>
      </c>
      <c r="G48" s="31">
        <v>2.00770556E8</v>
      </c>
    </row>
    <row r="49" ht="12.75" customHeight="1">
      <c r="A49" s="27">
        <v>777.0</v>
      </c>
      <c r="B49" s="28" t="s">
        <v>65522</v>
      </c>
      <c r="C49" s="27">
        <v>200.0</v>
      </c>
      <c r="D49" s="28" t="s">
        <v>65523</v>
      </c>
      <c r="E49" s="28" t="s">
        <v>65524</v>
      </c>
      <c r="F49" s="29">
        <v>73.0</v>
      </c>
      <c r="G49" s="27">
        <v>2.0077073E8</v>
      </c>
    </row>
    <row r="50" ht="12.75" customHeight="1">
      <c r="A50" s="31">
        <v>378.0</v>
      </c>
      <c r="B50" s="32" t="s">
        <v>65525</v>
      </c>
      <c r="C50" s="31">
        <v>200.0</v>
      </c>
      <c r="D50" s="32" t="s">
        <v>65526</v>
      </c>
      <c r="E50" s="32" t="s">
        <v>65527</v>
      </c>
      <c r="F50" s="33">
        <v>7.0</v>
      </c>
      <c r="G50" s="31">
        <v>2.0078007E8</v>
      </c>
    </row>
    <row r="51" ht="12.75" customHeight="1">
      <c r="A51" s="27">
        <v>378.0</v>
      </c>
      <c r="B51" s="28" t="s">
        <v>65528</v>
      </c>
      <c r="C51" s="27">
        <v>200.0</v>
      </c>
      <c r="D51" s="28" t="s">
        <v>65529</v>
      </c>
      <c r="E51" s="28" t="s">
        <v>65530</v>
      </c>
      <c r="F51" s="29">
        <v>16.0</v>
      </c>
      <c r="G51" s="27">
        <v>2.00780162E8</v>
      </c>
    </row>
    <row r="52" ht="12.75" customHeight="1">
      <c r="A52" s="31">
        <v>378.0</v>
      </c>
      <c r="B52" s="32" t="s">
        <v>65531</v>
      </c>
      <c r="C52" s="31">
        <v>200.0</v>
      </c>
      <c r="D52" s="32" t="s">
        <v>65532</v>
      </c>
      <c r="E52" s="32" t="s">
        <v>65533</v>
      </c>
      <c r="F52" s="33">
        <v>19.0</v>
      </c>
      <c r="G52" s="31">
        <v>2.00780191E8</v>
      </c>
    </row>
    <row r="53" ht="12.75" customHeight="1">
      <c r="A53" s="27">
        <v>378.0</v>
      </c>
      <c r="B53" s="28" t="s">
        <v>65534</v>
      </c>
      <c r="C53" s="27">
        <v>200.0</v>
      </c>
      <c r="D53" s="28" t="s">
        <v>65535</v>
      </c>
      <c r="E53" s="28" t="s">
        <v>65536</v>
      </c>
      <c r="F53" s="29">
        <v>34.0</v>
      </c>
      <c r="G53" s="27">
        <v>2.00780346E8</v>
      </c>
    </row>
    <row r="54" ht="12.75" customHeight="1">
      <c r="A54" s="31">
        <v>378.0</v>
      </c>
      <c r="B54" s="32" t="s">
        <v>65537</v>
      </c>
      <c r="C54" s="31">
        <v>200.0</v>
      </c>
      <c r="D54" s="32" t="s">
        <v>65538</v>
      </c>
      <c r="E54" s="32" t="s">
        <v>65539</v>
      </c>
      <c r="F54" s="33">
        <v>43.0</v>
      </c>
      <c r="G54" s="31">
        <v>2.00780438E8</v>
      </c>
    </row>
    <row r="55" ht="12.75" customHeight="1">
      <c r="A55" s="27">
        <v>378.0</v>
      </c>
      <c r="B55" s="28" t="s">
        <v>65540</v>
      </c>
      <c r="C55" s="27">
        <v>200.0</v>
      </c>
      <c r="D55" s="28" t="s">
        <v>65541</v>
      </c>
      <c r="E55" s="28" t="s">
        <v>65542</v>
      </c>
      <c r="F55" s="29">
        <v>49.0</v>
      </c>
      <c r="G55" s="27">
        <v>2.00780496E8</v>
      </c>
    </row>
    <row r="56" ht="12.75" customHeight="1">
      <c r="A56" s="31">
        <v>378.0</v>
      </c>
      <c r="B56" s="32" t="s">
        <v>65543</v>
      </c>
      <c r="C56" s="31">
        <v>200.0</v>
      </c>
      <c r="D56" s="32" t="s">
        <v>65544</v>
      </c>
      <c r="E56" s="32" t="s">
        <v>65545</v>
      </c>
      <c r="F56" s="33">
        <v>55.0</v>
      </c>
      <c r="G56" s="31">
        <v>2.00780559E8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378.0</v>
      </c>
      <c r="B1" s="28" t="s">
        <v>65546</v>
      </c>
      <c r="C1" s="27">
        <v>200.0</v>
      </c>
      <c r="D1" s="28" t="s">
        <v>65547</v>
      </c>
      <c r="E1" s="28" t="s">
        <v>65548</v>
      </c>
      <c r="F1" s="29">
        <v>85.0</v>
      </c>
      <c r="G1" s="27">
        <v>2.00780854E8</v>
      </c>
    </row>
    <row r="2" ht="12.75" customHeight="1">
      <c r="A2" s="31">
        <v>378.0</v>
      </c>
      <c r="B2" s="32" t="s">
        <v>65549</v>
      </c>
      <c r="C2" s="31">
        <v>200.0</v>
      </c>
      <c r="D2" s="32" t="s">
        <v>65550</v>
      </c>
      <c r="E2" s="32" t="s">
        <v>65551</v>
      </c>
      <c r="F2" s="33">
        <v>88.0</v>
      </c>
      <c r="G2" s="31">
        <v>2.00780883E8</v>
      </c>
    </row>
    <row r="3" ht="12.75" customHeight="1">
      <c r="A3" s="27">
        <v>378.0</v>
      </c>
      <c r="B3" s="28" t="s">
        <v>65552</v>
      </c>
      <c r="C3" s="27">
        <v>200.0</v>
      </c>
      <c r="D3" s="28" t="s">
        <v>65553</v>
      </c>
      <c r="E3" s="28" t="s">
        <v>65554</v>
      </c>
      <c r="F3" s="29">
        <v>97.0</v>
      </c>
      <c r="G3" s="27">
        <v>2.00780975E8</v>
      </c>
    </row>
    <row r="4" ht="12.75" customHeight="1">
      <c r="A4" s="31">
        <v>378.0</v>
      </c>
      <c r="B4" s="32" t="s">
        <v>65555</v>
      </c>
      <c r="C4" s="31">
        <v>200.0</v>
      </c>
      <c r="D4" s="32" t="s">
        <v>65556</v>
      </c>
      <c r="E4" s="32" t="s">
        <v>65557</v>
      </c>
      <c r="F4" s="31">
        <v>109.0</v>
      </c>
      <c r="G4" s="31">
        <v>2.00781095E8</v>
      </c>
    </row>
    <row r="5" ht="12.75" customHeight="1">
      <c r="A5" s="27">
        <v>378.0</v>
      </c>
      <c r="B5" s="28" t="s">
        <v>65558</v>
      </c>
      <c r="C5" s="27">
        <v>200.0</v>
      </c>
      <c r="D5" s="28" t="s">
        <v>65559</v>
      </c>
      <c r="E5" s="28" t="s">
        <v>65560</v>
      </c>
      <c r="F5" s="27">
        <v>127.0</v>
      </c>
      <c r="G5" s="27">
        <v>2.00781279E8</v>
      </c>
    </row>
    <row r="6" ht="12.75" customHeight="1">
      <c r="A6" s="31">
        <v>378.0</v>
      </c>
      <c r="B6" s="32" t="s">
        <v>65561</v>
      </c>
      <c r="C6" s="31">
        <v>200.0</v>
      </c>
      <c r="D6" s="32" t="s">
        <v>65562</v>
      </c>
      <c r="E6" s="32" t="s">
        <v>65563</v>
      </c>
      <c r="F6" s="31">
        <v>133.0</v>
      </c>
      <c r="G6" s="31">
        <v>2.00781332E8</v>
      </c>
    </row>
    <row r="7" ht="12.75" customHeight="1">
      <c r="A7" s="27">
        <v>379.0</v>
      </c>
      <c r="B7" s="28" t="s">
        <v>65564</v>
      </c>
      <c r="C7" s="27">
        <v>200.0</v>
      </c>
      <c r="D7" s="28" t="s">
        <v>65565</v>
      </c>
      <c r="E7" s="28" t="s">
        <v>65566</v>
      </c>
      <c r="F7" s="29">
        <v>13.0</v>
      </c>
      <c r="G7" s="27">
        <v>2.00790136E8</v>
      </c>
    </row>
    <row r="8" ht="12.75" customHeight="1">
      <c r="A8" s="31">
        <v>379.0</v>
      </c>
      <c r="B8" s="32" t="s">
        <v>65567</v>
      </c>
      <c r="C8" s="31">
        <v>200.0</v>
      </c>
      <c r="D8" s="32" t="s">
        <v>65568</v>
      </c>
      <c r="E8" s="32" t="s">
        <v>65569</v>
      </c>
      <c r="F8" s="33">
        <v>43.0</v>
      </c>
      <c r="G8" s="31">
        <v>2.00790431E8</v>
      </c>
    </row>
    <row r="9" ht="12.75" customHeight="1">
      <c r="A9" s="27">
        <v>379.0</v>
      </c>
      <c r="B9" s="28" t="s">
        <v>65570</v>
      </c>
      <c r="C9" s="27">
        <v>200.0</v>
      </c>
      <c r="D9" s="28" t="s">
        <v>65571</v>
      </c>
      <c r="E9" s="28" t="s">
        <v>65572</v>
      </c>
      <c r="F9" s="29">
        <v>52.0</v>
      </c>
      <c r="G9" s="27">
        <v>2.00790523E8</v>
      </c>
    </row>
    <row r="10" ht="12.75" customHeight="1">
      <c r="A10" s="31">
        <v>379.0</v>
      </c>
      <c r="B10" s="32" t="s">
        <v>65573</v>
      </c>
      <c r="C10" s="31">
        <v>200.0</v>
      </c>
      <c r="D10" s="32" t="s">
        <v>65574</v>
      </c>
      <c r="E10" s="32" t="s">
        <v>65575</v>
      </c>
      <c r="F10" s="33">
        <v>70.0</v>
      </c>
      <c r="G10" s="31">
        <v>2.00790707E8</v>
      </c>
    </row>
    <row r="11" ht="12.75" customHeight="1">
      <c r="A11" s="27">
        <v>379.0</v>
      </c>
      <c r="B11" s="28" t="s">
        <v>65576</v>
      </c>
      <c r="C11" s="27">
        <v>200.0</v>
      </c>
      <c r="D11" s="28" t="s">
        <v>65577</v>
      </c>
      <c r="E11" s="28" t="s">
        <v>65578</v>
      </c>
      <c r="F11" s="29">
        <v>73.0</v>
      </c>
      <c r="G11" s="27">
        <v>2.00790736E8</v>
      </c>
    </row>
    <row r="12" ht="12.75" customHeight="1">
      <c r="A12" s="31">
        <v>379.0</v>
      </c>
      <c r="B12" s="32" t="s">
        <v>65579</v>
      </c>
      <c r="C12" s="31">
        <v>200.0</v>
      </c>
      <c r="D12" s="32" t="s">
        <v>65580</v>
      </c>
      <c r="E12" s="32" t="s">
        <v>65581</v>
      </c>
      <c r="F12" s="33">
        <v>76.0</v>
      </c>
      <c r="G12" s="31">
        <v>2.00790765E8</v>
      </c>
    </row>
    <row r="13" ht="12.75" customHeight="1">
      <c r="A13" s="27">
        <v>379.0</v>
      </c>
      <c r="B13" s="28" t="s">
        <v>65582</v>
      </c>
      <c r="C13" s="27">
        <v>200.0</v>
      </c>
      <c r="D13" s="28" t="s">
        <v>65583</v>
      </c>
      <c r="E13" s="28" t="s">
        <v>65584</v>
      </c>
      <c r="F13" s="29">
        <v>94.0</v>
      </c>
      <c r="G13" s="27">
        <v>2.00790949E8</v>
      </c>
    </row>
    <row r="14" ht="12.75" customHeight="1">
      <c r="A14" s="31">
        <v>379.0</v>
      </c>
      <c r="B14" s="32" t="s">
        <v>65585</v>
      </c>
      <c r="C14" s="31">
        <v>200.0</v>
      </c>
      <c r="D14" s="32" t="s">
        <v>65586</v>
      </c>
      <c r="E14" s="32" t="s">
        <v>65587</v>
      </c>
      <c r="F14" s="33">
        <v>97.0</v>
      </c>
      <c r="G14" s="31">
        <v>2.00790978E8</v>
      </c>
    </row>
    <row r="15" ht="12.75" customHeight="1">
      <c r="A15" s="27">
        <v>379.0</v>
      </c>
      <c r="B15" s="28" t="s">
        <v>65588</v>
      </c>
      <c r="C15" s="27">
        <v>200.0</v>
      </c>
      <c r="D15" s="28" t="s">
        <v>65589</v>
      </c>
      <c r="E15" s="28" t="s">
        <v>65590</v>
      </c>
      <c r="F15" s="27">
        <v>103.0</v>
      </c>
      <c r="G15" s="27">
        <v>2.0079103E8</v>
      </c>
    </row>
    <row r="16" ht="12.75" customHeight="1">
      <c r="A16" s="31">
        <v>379.0</v>
      </c>
      <c r="B16" s="32" t="s">
        <v>65591</v>
      </c>
      <c r="C16" s="31">
        <v>200.0</v>
      </c>
      <c r="D16" s="32" t="s">
        <v>65592</v>
      </c>
      <c r="E16" s="32" t="s">
        <v>65593</v>
      </c>
      <c r="F16" s="31">
        <v>106.0</v>
      </c>
      <c r="G16" s="31">
        <v>2.00791069E8</v>
      </c>
    </row>
    <row r="17" ht="12.75" customHeight="1">
      <c r="A17" s="27">
        <v>581.0</v>
      </c>
      <c r="B17" s="28" t="s">
        <v>65594</v>
      </c>
      <c r="C17" s="27">
        <v>200.0</v>
      </c>
      <c r="D17" s="28" t="s">
        <v>65595</v>
      </c>
      <c r="E17" s="28" t="s">
        <v>65596</v>
      </c>
      <c r="F17" s="29">
        <v>10.0</v>
      </c>
      <c r="G17" s="27">
        <v>2.00810108E8</v>
      </c>
    </row>
    <row r="18" ht="12.75" customHeight="1">
      <c r="A18" s="31">
        <v>581.0</v>
      </c>
      <c r="B18" s="32" t="s">
        <v>65597</v>
      </c>
      <c r="C18" s="31">
        <v>200.0</v>
      </c>
      <c r="D18" s="32" t="s">
        <v>65598</v>
      </c>
      <c r="E18" s="32" t="s">
        <v>65599</v>
      </c>
      <c r="F18" s="33">
        <v>34.0</v>
      </c>
      <c r="G18" s="31">
        <v>2.0081034E8</v>
      </c>
    </row>
    <row r="19" ht="12.75" customHeight="1">
      <c r="A19" s="27">
        <v>581.0</v>
      </c>
      <c r="B19" s="28" t="s">
        <v>65600</v>
      </c>
      <c r="C19" s="27">
        <v>200.0</v>
      </c>
      <c r="D19" s="28" t="s">
        <v>65601</v>
      </c>
      <c r="E19" s="28" t="s">
        <v>65602</v>
      </c>
      <c r="F19" s="29">
        <v>40.0</v>
      </c>
      <c r="G19" s="27">
        <v>2.00810403E8</v>
      </c>
    </row>
    <row r="20" ht="12.75" customHeight="1">
      <c r="A20" s="31">
        <v>581.0</v>
      </c>
      <c r="B20" s="32" t="s">
        <v>65603</v>
      </c>
      <c r="C20" s="31">
        <v>200.0</v>
      </c>
      <c r="D20" s="32" t="s">
        <v>65604</v>
      </c>
      <c r="E20" s="32" t="s">
        <v>65605</v>
      </c>
      <c r="F20" s="33">
        <v>46.0</v>
      </c>
      <c r="G20" s="31">
        <v>2.00810461E8</v>
      </c>
    </row>
    <row r="21" ht="12.75" customHeight="1">
      <c r="A21" s="27">
        <v>581.0</v>
      </c>
      <c r="B21" s="28" t="s">
        <v>65606</v>
      </c>
      <c r="C21" s="27">
        <v>200.0</v>
      </c>
      <c r="D21" s="28" t="s">
        <v>65607</v>
      </c>
      <c r="E21" s="28" t="s">
        <v>65608</v>
      </c>
      <c r="F21" s="29">
        <v>49.0</v>
      </c>
      <c r="G21" s="27">
        <v>2.0081049E8</v>
      </c>
    </row>
    <row r="22" ht="12.75" customHeight="1">
      <c r="A22" s="31">
        <v>581.0</v>
      </c>
      <c r="B22" s="32" t="s">
        <v>65609</v>
      </c>
      <c r="C22" s="31">
        <v>200.0</v>
      </c>
      <c r="D22" s="32" t="s">
        <v>65610</v>
      </c>
      <c r="E22" s="32" t="s">
        <v>65611</v>
      </c>
      <c r="F22" s="33">
        <v>55.0</v>
      </c>
      <c r="G22" s="31">
        <v>2.00810553E8</v>
      </c>
    </row>
    <row r="23" ht="12.75" customHeight="1">
      <c r="A23" s="27">
        <v>581.0</v>
      </c>
      <c r="B23" s="28" t="s">
        <v>65612</v>
      </c>
      <c r="C23" s="27">
        <v>200.0</v>
      </c>
      <c r="D23" s="28" t="s">
        <v>65613</v>
      </c>
      <c r="E23" s="28" t="s">
        <v>65614</v>
      </c>
      <c r="F23" s="29">
        <v>61.0</v>
      </c>
      <c r="G23" s="27">
        <v>2.00810616E8</v>
      </c>
    </row>
    <row r="24" ht="12.75" customHeight="1">
      <c r="A24" s="31">
        <v>581.0</v>
      </c>
      <c r="B24" s="32" t="s">
        <v>65615</v>
      </c>
      <c r="C24" s="31">
        <v>200.0</v>
      </c>
      <c r="D24" s="32" t="s">
        <v>65616</v>
      </c>
      <c r="E24" s="32" t="s">
        <v>65617</v>
      </c>
      <c r="F24" s="33">
        <v>67.0</v>
      </c>
      <c r="G24" s="31">
        <v>2.00810674E8</v>
      </c>
    </row>
    <row r="25" ht="12.75" customHeight="1">
      <c r="A25" s="27">
        <v>581.0</v>
      </c>
      <c r="B25" s="28" t="s">
        <v>65618</v>
      </c>
      <c r="C25" s="27">
        <v>200.0</v>
      </c>
      <c r="D25" s="28" t="s">
        <v>65619</v>
      </c>
      <c r="E25" s="28" t="s">
        <v>65620</v>
      </c>
      <c r="F25" s="27">
        <v>103.0</v>
      </c>
      <c r="G25" s="27">
        <v>2.00811031E8</v>
      </c>
    </row>
    <row r="26" ht="12.75" customHeight="1">
      <c r="A26" s="31">
        <v>581.0</v>
      </c>
      <c r="B26" s="32" t="s">
        <v>65621</v>
      </c>
      <c r="C26" s="31">
        <v>200.0</v>
      </c>
      <c r="D26" s="32" t="s">
        <v>65622</v>
      </c>
      <c r="E26" s="32" t="s">
        <v>65623</v>
      </c>
      <c r="F26" s="31">
        <v>139.0</v>
      </c>
      <c r="G26" s="31">
        <v>2.00811394E8</v>
      </c>
    </row>
    <row r="27" ht="12.75" customHeight="1">
      <c r="A27" s="27">
        <v>581.0</v>
      </c>
      <c r="B27" s="28" t="s">
        <v>65624</v>
      </c>
      <c r="C27" s="27">
        <v>200.0</v>
      </c>
      <c r="D27" s="28" t="s">
        <v>65625</v>
      </c>
      <c r="E27" s="28" t="s">
        <v>65626</v>
      </c>
      <c r="F27" s="27">
        <v>148.0</v>
      </c>
      <c r="G27" s="27">
        <v>2.00811486E8</v>
      </c>
    </row>
    <row r="28" ht="12.75" customHeight="1">
      <c r="A28" s="31">
        <v>581.0</v>
      </c>
      <c r="B28" s="32" t="s">
        <v>65627</v>
      </c>
      <c r="C28" s="31">
        <v>200.0</v>
      </c>
      <c r="D28" s="32" t="s">
        <v>65628</v>
      </c>
      <c r="E28" s="32" t="s">
        <v>65629</v>
      </c>
      <c r="F28" s="31">
        <v>151.0</v>
      </c>
      <c r="G28" s="31">
        <v>2.0081151E8</v>
      </c>
    </row>
    <row r="29" ht="12.75" customHeight="1">
      <c r="A29" s="27">
        <v>581.0</v>
      </c>
      <c r="B29" s="28" t="s">
        <v>65630</v>
      </c>
      <c r="C29" s="27">
        <v>200.0</v>
      </c>
      <c r="D29" s="28" t="s">
        <v>65631</v>
      </c>
      <c r="E29" s="28" t="s">
        <v>65632</v>
      </c>
      <c r="F29" s="27">
        <v>154.0</v>
      </c>
      <c r="G29" s="27">
        <v>2.00811549E8</v>
      </c>
    </row>
    <row r="30" ht="12.75" customHeight="1">
      <c r="A30" s="31">
        <v>581.0</v>
      </c>
      <c r="B30" s="32" t="s">
        <v>65633</v>
      </c>
      <c r="C30" s="31">
        <v>200.0</v>
      </c>
      <c r="D30" s="32" t="s">
        <v>65634</v>
      </c>
      <c r="E30" s="32" t="s">
        <v>65635</v>
      </c>
      <c r="F30" s="31">
        <v>157.0</v>
      </c>
      <c r="G30" s="31">
        <v>2.00811578E8</v>
      </c>
    </row>
    <row r="31" ht="12.75" customHeight="1">
      <c r="A31" s="27">
        <v>581.0</v>
      </c>
      <c r="B31" s="28" t="s">
        <v>65636</v>
      </c>
      <c r="C31" s="27">
        <v>200.0</v>
      </c>
      <c r="D31" s="28" t="s">
        <v>65637</v>
      </c>
      <c r="E31" s="28" t="s">
        <v>65638</v>
      </c>
      <c r="F31" s="27">
        <v>169.0</v>
      </c>
      <c r="G31" s="27">
        <v>2.00811699E8</v>
      </c>
    </row>
    <row r="32" ht="12.75" customHeight="1">
      <c r="A32" s="31">
        <v>581.0</v>
      </c>
      <c r="B32" s="32" t="s">
        <v>65639</v>
      </c>
      <c r="C32" s="31">
        <v>200.0</v>
      </c>
      <c r="D32" s="32" t="s">
        <v>65640</v>
      </c>
      <c r="E32" s="32" t="s">
        <v>65641</v>
      </c>
      <c r="F32" s="31">
        <v>178.0</v>
      </c>
      <c r="G32" s="31">
        <v>2.00811781E8</v>
      </c>
    </row>
    <row r="33" ht="12.75" customHeight="1">
      <c r="A33" s="27">
        <v>581.0</v>
      </c>
      <c r="B33" s="28" t="s">
        <v>65642</v>
      </c>
      <c r="C33" s="27">
        <v>200.0</v>
      </c>
      <c r="D33" s="28" t="s">
        <v>65643</v>
      </c>
      <c r="E33" s="28" t="s">
        <v>65644</v>
      </c>
      <c r="F33" s="27">
        <v>184.0</v>
      </c>
      <c r="G33" s="27">
        <v>2.00811844E8</v>
      </c>
    </row>
    <row r="34" ht="12.75" customHeight="1">
      <c r="A34" s="31">
        <v>581.0</v>
      </c>
      <c r="B34" s="32" t="s">
        <v>65645</v>
      </c>
      <c r="C34" s="31">
        <v>200.0</v>
      </c>
      <c r="D34" s="32" t="s">
        <v>65646</v>
      </c>
      <c r="E34" s="32" t="s">
        <v>65647</v>
      </c>
      <c r="F34" s="31">
        <v>196.0</v>
      </c>
      <c r="G34" s="31">
        <v>2.00811965E8</v>
      </c>
    </row>
    <row r="35" ht="12.75" customHeight="1">
      <c r="A35" s="27">
        <v>581.0</v>
      </c>
      <c r="B35" s="28" t="s">
        <v>65648</v>
      </c>
      <c r="C35" s="27">
        <v>200.0</v>
      </c>
      <c r="D35" s="28" t="s">
        <v>65649</v>
      </c>
      <c r="E35" s="28" t="s">
        <v>65650</v>
      </c>
      <c r="F35" s="27">
        <v>199.0</v>
      </c>
      <c r="G35" s="27">
        <v>2.00811994E8</v>
      </c>
    </row>
    <row r="36" ht="12.75" customHeight="1">
      <c r="A36" s="31">
        <v>581.0</v>
      </c>
      <c r="B36" s="32" t="s">
        <v>65651</v>
      </c>
      <c r="C36" s="31">
        <v>200.0</v>
      </c>
      <c r="D36" s="32" t="s">
        <v>65652</v>
      </c>
      <c r="E36" s="32" t="s">
        <v>65653</v>
      </c>
      <c r="F36" s="31">
        <v>202.0</v>
      </c>
      <c r="G36" s="31">
        <v>2.00812027E8</v>
      </c>
    </row>
    <row r="37" ht="12.75" customHeight="1">
      <c r="A37" s="27">
        <v>581.0</v>
      </c>
      <c r="B37" s="28" t="s">
        <v>65654</v>
      </c>
      <c r="C37" s="27">
        <v>200.0</v>
      </c>
      <c r="D37" s="28" t="s">
        <v>65655</v>
      </c>
      <c r="E37" s="28" t="s">
        <v>65656</v>
      </c>
      <c r="F37" s="27">
        <v>205.0</v>
      </c>
      <c r="G37" s="27">
        <v>2.00812056E8</v>
      </c>
    </row>
    <row r="38" ht="12.75" customHeight="1">
      <c r="A38" s="31">
        <v>581.0</v>
      </c>
      <c r="B38" s="32" t="s">
        <v>65657</v>
      </c>
      <c r="C38" s="31">
        <v>200.0</v>
      </c>
      <c r="D38" s="32" t="s">
        <v>65658</v>
      </c>
      <c r="E38" s="32" t="s">
        <v>65659</v>
      </c>
      <c r="F38" s="31">
        <v>208.0</v>
      </c>
      <c r="G38" s="31">
        <v>2.00812085E8</v>
      </c>
    </row>
    <row r="39" ht="12.75" customHeight="1">
      <c r="A39" s="27">
        <v>581.0</v>
      </c>
      <c r="B39" s="28" t="s">
        <v>65660</v>
      </c>
      <c r="C39" s="27">
        <v>200.0</v>
      </c>
      <c r="D39" s="28" t="s">
        <v>65661</v>
      </c>
      <c r="E39" s="28" t="s">
        <v>65662</v>
      </c>
      <c r="F39" s="27">
        <v>238.0</v>
      </c>
      <c r="G39" s="27">
        <v>2.0081238E8</v>
      </c>
    </row>
    <row r="40" ht="12.75" customHeight="1">
      <c r="A40" s="31">
        <v>382.0</v>
      </c>
      <c r="B40" s="32" t="s">
        <v>65663</v>
      </c>
      <c r="C40" s="31">
        <v>200.0</v>
      </c>
      <c r="D40" s="32" t="s">
        <v>65664</v>
      </c>
      <c r="E40" s="32" t="s">
        <v>65665</v>
      </c>
      <c r="F40" s="33">
        <v>13.0</v>
      </c>
      <c r="G40" s="31">
        <v>2.0082013E8</v>
      </c>
    </row>
    <row r="41" ht="12.75" customHeight="1">
      <c r="A41" s="27">
        <v>382.0</v>
      </c>
      <c r="B41" s="28" t="s">
        <v>65666</v>
      </c>
      <c r="C41" s="27">
        <v>200.0</v>
      </c>
      <c r="D41" s="28" t="s">
        <v>65667</v>
      </c>
      <c r="E41" s="28" t="s">
        <v>65668</v>
      </c>
      <c r="F41" s="29">
        <v>16.0</v>
      </c>
      <c r="G41" s="27">
        <v>2.00820169E8</v>
      </c>
    </row>
    <row r="42" ht="12.75" customHeight="1">
      <c r="A42" s="31">
        <v>382.0</v>
      </c>
      <c r="B42" s="32" t="s">
        <v>65669</v>
      </c>
      <c r="C42" s="31">
        <v>200.0</v>
      </c>
      <c r="D42" s="32" t="s">
        <v>65670</v>
      </c>
      <c r="E42" s="32" t="s">
        <v>65671</v>
      </c>
      <c r="F42" s="33">
        <v>22.0</v>
      </c>
      <c r="G42" s="31">
        <v>2.00820222E8</v>
      </c>
    </row>
    <row r="43" ht="12.75" customHeight="1">
      <c r="A43" s="27">
        <v>382.0</v>
      </c>
      <c r="B43" s="28" t="s">
        <v>65672</v>
      </c>
      <c r="C43" s="27">
        <v>200.0</v>
      </c>
      <c r="D43" s="28" t="s">
        <v>65673</v>
      </c>
      <c r="E43" s="28" t="s">
        <v>65674</v>
      </c>
      <c r="F43" s="29">
        <v>28.0</v>
      </c>
      <c r="G43" s="27">
        <v>2.0082028E8</v>
      </c>
    </row>
    <row r="44" ht="12.75" customHeight="1">
      <c r="A44" s="31">
        <v>382.0</v>
      </c>
      <c r="B44" s="32" t="s">
        <v>65675</v>
      </c>
      <c r="C44" s="31">
        <v>200.0</v>
      </c>
      <c r="D44" s="32" t="s">
        <v>65676</v>
      </c>
      <c r="E44" s="32" t="s">
        <v>65677</v>
      </c>
      <c r="F44" s="33">
        <v>31.0</v>
      </c>
      <c r="G44" s="31">
        <v>2.00820314E8</v>
      </c>
    </row>
    <row r="45" ht="12.75" customHeight="1">
      <c r="A45" s="27">
        <v>382.0</v>
      </c>
      <c r="B45" s="28" t="s">
        <v>65678</v>
      </c>
      <c r="C45" s="27">
        <v>200.0</v>
      </c>
      <c r="D45" s="28" t="s">
        <v>65679</v>
      </c>
      <c r="E45" s="28" t="s">
        <v>65680</v>
      </c>
      <c r="F45" s="29">
        <v>37.0</v>
      </c>
      <c r="G45" s="27">
        <v>2.00820372E8</v>
      </c>
    </row>
    <row r="46" ht="12.75" customHeight="1">
      <c r="A46" s="31">
        <v>382.0</v>
      </c>
      <c r="B46" s="32" t="s">
        <v>65681</v>
      </c>
      <c r="C46" s="31">
        <v>200.0</v>
      </c>
      <c r="D46" s="32" t="s">
        <v>65682</v>
      </c>
      <c r="E46" s="32" t="s">
        <v>65683</v>
      </c>
      <c r="F46" s="33">
        <v>40.0</v>
      </c>
      <c r="G46" s="31">
        <v>2.00820406E8</v>
      </c>
    </row>
    <row r="47" ht="12.75" customHeight="1">
      <c r="A47" s="27">
        <v>382.0</v>
      </c>
      <c r="B47" s="28" t="s">
        <v>65684</v>
      </c>
      <c r="C47" s="27">
        <v>200.0</v>
      </c>
      <c r="D47" s="28" t="s">
        <v>65685</v>
      </c>
      <c r="E47" s="28" t="s">
        <v>65686</v>
      </c>
      <c r="F47" s="29">
        <v>46.0</v>
      </c>
      <c r="G47" s="27">
        <v>2.00820464E8</v>
      </c>
    </row>
    <row r="48" ht="12.75" customHeight="1">
      <c r="A48" s="31">
        <v>382.0</v>
      </c>
      <c r="B48" s="32" t="s">
        <v>65687</v>
      </c>
      <c r="C48" s="31">
        <v>200.0</v>
      </c>
      <c r="D48" s="32" t="s">
        <v>65688</v>
      </c>
      <c r="E48" s="32" t="s">
        <v>65689</v>
      </c>
      <c r="F48" s="33">
        <v>64.0</v>
      </c>
      <c r="G48" s="31">
        <v>2.00820648E8</v>
      </c>
    </row>
    <row r="49" ht="12.75" customHeight="1">
      <c r="A49" s="27">
        <v>382.0</v>
      </c>
      <c r="B49" s="28" t="s">
        <v>65690</v>
      </c>
      <c r="C49" s="27">
        <v>200.0</v>
      </c>
      <c r="D49" s="28" t="s">
        <v>65691</v>
      </c>
      <c r="E49" s="28" t="s">
        <v>65692</v>
      </c>
      <c r="F49" s="29">
        <v>67.0</v>
      </c>
      <c r="G49" s="27">
        <v>2.00820677E8</v>
      </c>
    </row>
    <row r="50" ht="12.75" customHeight="1">
      <c r="A50" s="31">
        <v>382.0</v>
      </c>
      <c r="B50" s="32" t="s">
        <v>65693</v>
      </c>
      <c r="C50" s="31">
        <v>200.0</v>
      </c>
      <c r="D50" s="32" t="s">
        <v>65694</v>
      </c>
      <c r="E50" s="32" t="s">
        <v>65695</v>
      </c>
      <c r="F50" s="33">
        <v>73.0</v>
      </c>
      <c r="G50" s="31">
        <v>2.0082073E8</v>
      </c>
    </row>
    <row r="51" ht="12.75" customHeight="1">
      <c r="A51" s="27">
        <v>382.0</v>
      </c>
      <c r="B51" s="28" t="s">
        <v>65696</v>
      </c>
      <c r="C51" s="27">
        <v>200.0</v>
      </c>
      <c r="D51" s="28" t="s">
        <v>65697</v>
      </c>
      <c r="E51" s="28" t="s">
        <v>65698</v>
      </c>
      <c r="F51" s="29">
        <v>76.0</v>
      </c>
      <c r="G51" s="27">
        <v>2.00820769E8</v>
      </c>
    </row>
    <row r="52" ht="12.75" customHeight="1">
      <c r="A52" s="31">
        <v>284.0</v>
      </c>
      <c r="B52" s="32" t="s">
        <v>65699</v>
      </c>
      <c r="C52" s="31">
        <v>200.0</v>
      </c>
      <c r="D52" s="32" t="s">
        <v>65700</v>
      </c>
      <c r="E52" s="32" t="s">
        <v>65701</v>
      </c>
      <c r="F52" s="33">
        <v>4.0</v>
      </c>
      <c r="G52" s="31">
        <v>2.00840044E8</v>
      </c>
    </row>
    <row r="53" ht="12.75" customHeight="1">
      <c r="A53" s="27">
        <v>284.0</v>
      </c>
      <c r="B53" s="28" t="s">
        <v>65702</v>
      </c>
      <c r="C53" s="27">
        <v>200.0</v>
      </c>
      <c r="D53" s="28" t="s">
        <v>65703</v>
      </c>
      <c r="E53" s="28" t="s">
        <v>65704</v>
      </c>
      <c r="F53" s="29">
        <v>7.0</v>
      </c>
      <c r="G53" s="27">
        <v>2.00840073E8</v>
      </c>
    </row>
    <row r="54" ht="12.75" customHeight="1">
      <c r="A54" s="31">
        <v>284.0</v>
      </c>
      <c r="B54" s="32" t="s">
        <v>65705</v>
      </c>
      <c r="C54" s="31">
        <v>200.0</v>
      </c>
      <c r="D54" s="32" t="s">
        <v>65706</v>
      </c>
      <c r="E54" s="32" t="s">
        <v>65707</v>
      </c>
      <c r="F54" s="33">
        <v>10.0</v>
      </c>
      <c r="G54" s="31">
        <v>2.00840107E8</v>
      </c>
    </row>
    <row r="55" ht="12.75" customHeight="1">
      <c r="A55" s="27">
        <v>284.0</v>
      </c>
      <c r="B55" s="28" t="s">
        <v>65708</v>
      </c>
      <c r="C55" s="27">
        <v>200.0</v>
      </c>
      <c r="D55" s="28" t="s">
        <v>65709</v>
      </c>
      <c r="E55" s="28" t="s">
        <v>65710</v>
      </c>
      <c r="F55" s="29">
        <v>13.0</v>
      </c>
      <c r="G55" s="27">
        <v>2.00840136E8</v>
      </c>
    </row>
    <row r="56" ht="12.75" customHeight="1">
      <c r="A56" s="31">
        <v>284.0</v>
      </c>
      <c r="B56" s="32" t="s">
        <v>65711</v>
      </c>
      <c r="C56" s="31">
        <v>200.0</v>
      </c>
      <c r="D56" s="32" t="s">
        <v>65712</v>
      </c>
      <c r="E56" s="32" t="s">
        <v>65713</v>
      </c>
      <c r="F56" s="33">
        <v>16.0</v>
      </c>
      <c r="G56" s="31">
        <v>2.00840165E8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284.0</v>
      </c>
      <c r="B1" s="28" t="s">
        <v>65714</v>
      </c>
      <c r="C1" s="27">
        <v>200.0</v>
      </c>
      <c r="D1" s="28" t="s">
        <v>65715</v>
      </c>
      <c r="E1" s="28" t="s">
        <v>65716</v>
      </c>
      <c r="F1" s="29">
        <v>19.0</v>
      </c>
      <c r="G1" s="27">
        <v>2.00840194E8</v>
      </c>
    </row>
    <row r="2" ht="12.75" customHeight="1">
      <c r="A2" s="31">
        <v>284.0</v>
      </c>
      <c r="B2" s="32" t="s">
        <v>65717</v>
      </c>
      <c r="C2" s="31">
        <v>200.0</v>
      </c>
      <c r="D2" s="32" t="s">
        <v>65718</v>
      </c>
      <c r="E2" s="32" t="s">
        <v>65719</v>
      </c>
      <c r="F2" s="33">
        <v>22.0</v>
      </c>
      <c r="G2" s="31">
        <v>2.00840228E8</v>
      </c>
    </row>
    <row r="3" ht="12.75" customHeight="1">
      <c r="A3" s="27">
        <v>284.0</v>
      </c>
      <c r="B3" s="28" t="s">
        <v>65720</v>
      </c>
      <c r="C3" s="27">
        <v>200.0</v>
      </c>
      <c r="D3" s="28" t="s">
        <v>65721</v>
      </c>
      <c r="E3" s="28" t="s">
        <v>65722</v>
      </c>
      <c r="F3" s="29">
        <v>25.0</v>
      </c>
      <c r="G3" s="27">
        <v>2.00840257E8</v>
      </c>
    </row>
    <row r="4" ht="12.75" customHeight="1">
      <c r="A4" s="31">
        <v>284.0</v>
      </c>
      <c r="B4" s="32" t="s">
        <v>65723</v>
      </c>
      <c r="C4" s="31">
        <v>200.0</v>
      </c>
      <c r="D4" s="32" t="s">
        <v>65724</v>
      </c>
      <c r="E4" s="32" t="s">
        <v>65725</v>
      </c>
      <c r="F4" s="33">
        <v>28.0</v>
      </c>
      <c r="G4" s="31">
        <v>2.00840286E8</v>
      </c>
    </row>
    <row r="5" ht="12.75" customHeight="1">
      <c r="A5" s="27">
        <v>284.0</v>
      </c>
      <c r="B5" s="28" t="s">
        <v>65726</v>
      </c>
      <c r="C5" s="27">
        <v>200.0</v>
      </c>
      <c r="D5" s="28" t="s">
        <v>65727</v>
      </c>
      <c r="E5" s="28" t="s">
        <v>65728</v>
      </c>
      <c r="F5" s="29">
        <v>34.0</v>
      </c>
      <c r="G5" s="27">
        <v>2.00840349E8</v>
      </c>
    </row>
    <row r="6" ht="12.75" customHeight="1">
      <c r="A6" s="31">
        <v>284.0</v>
      </c>
      <c r="B6" s="32" t="s">
        <v>65729</v>
      </c>
      <c r="C6" s="31">
        <v>200.0</v>
      </c>
      <c r="D6" s="32" t="s">
        <v>65730</v>
      </c>
      <c r="E6" s="32" t="s">
        <v>65731</v>
      </c>
      <c r="F6" s="33">
        <v>37.0</v>
      </c>
      <c r="G6" s="31">
        <v>2.00840378E8</v>
      </c>
    </row>
    <row r="7" ht="12.75" customHeight="1">
      <c r="A7" s="27">
        <v>284.0</v>
      </c>
      <c r="B7" s="28" t="s">
        <v>65732</v>
      </c>
      <c r="C7" s="27">
        <v>200.0</v>
      </c>
      <c r="D7" s="28" t="s">
        <v>65733</v>
      </c>
      <c r="E7" s="28" t="s">
        <v>65734</v>
      </c>
      <c r="F7" s="29">
        <v>40.0</v>
      </c>
      <c r="G7" s="27">
        <v>2.00840402E8</v>
      </c>
    </row>
    <row r="8" ht="12.75" customHeight="1">
      <c r="A8" s="31">
        <v>284.0</v>
      </c>
      <c r="B8" s="32" t="s">
        <v>65735</v>
      </c>
      <c r="C8" s="31">
        <v>200.0</v>
      </c>
      <c r="D8" s="32" t="s">
        <v>65736</v>
      </c>
      <c r="E8" s="32" t="s">
        <v>65737</v>
      </c>
      <c r="F8" s="33">
        <v>43.0</v>
      </c>
      <c r="G8" s="31">
        <v>2.00840431E8</v>
      </c>
    </row>
    <row r="9" ht="12.75" customHeight="1">
      <c r="A9" s="27">
        <v>284.0</v>
      </c>
      <c r="B9" s="28" t="s">
        <v>65738</v>
      </c>
      <c r="C9" s="27">
        <v>200.0</v>
      </c>
      <c r="D9" s="28" t="s">
        <v>65739</v>
      </c>
      <c r="E9" s="28" t="s">
        <v>65740</v>
      </c>
      <c r="F9" s="29">
        <v>49.0</v>
      </c>
      <c r="G9" s="27">
        <v>2.00840499E8</v>
      </c>
    </row>
    <row r="10" ht="12.75" customHeight="1">
      <c r="A10" s="31">
        <v>284.0</v>
      </c>
      <c r="B10" s="32" t="s">
        <v>65741</v>
      </c>
      <c r="C10" s="31">
        <v>200.0</v>
      </c>
      <c r="D10" s="32" t="s">
        <v>65742</v>
      </c>
      <c r="E10" s="32" t="s">
        <v>65743</v>
      </c>
      <c r="F10" s="33">
        <v>52.0</v>
      </c>
      <c r="G10" s="31">
        <v>2.00840523E8</v>
      </c>
    </row>
    <row r="11" ht="12.75" customHeight="1">
      <c r="A11" s="27">
        <v>785.0</v>
      </c>
      <c r="B11" s="28" t="s">
        <v>65744</v>
      </c>
      <c r="C11" s="27">
        <v>200.0</v>
      </c>
      <c r="D11" s="28" t="s">
        <v>65745</v>
      </c>
      <c r="E11" s="28" t="s">
        <v>65746</v>
      </c>
      <c r="F11" s="29">
        <v>10.0</v>
      </c>
      <c r="G11" s="27">
        <v>2.008501E8</v>
      </c>
    </row>
    <row r="12" ht="12.75" customHeight="1">
      <c r="A12" s="31">
        <v>785.0</v>
      </c>
      <c r="B12" s="32" t="s">
        <v>65747</v>
      </c>
      <c r="C12" s="31">
        <v>200.0</v>
      </c>
      <c r="D12" s="32" t="s">
        <v>65748</v>
      </c>
      <c r="E12" s="32" t="s">
        <v>65749</v>
      </c>
      <c r="F12" s="33">
        <v>37.0</v>
      </c>
      <c r="G12" s="31">
        <v>2.00850371E8</v>
      </c>
    </row>
    <row r="13" ht="12.75" customHeight="1">
      <c r="A13" s="27">
        <v>785.0</v>
      </c>
      <c r="B13" s="28" t="s">
        <v>65750</v>
      </c>
      <c r="C13" s="27">
        <v>200.0</v>
      </c>
      <c r="D13" s="28" t="s">
        <v>65751</v>
      </c>
      <c r="E13" s="28" t="s">
        <v>65752</v>
      </c>
      <c r="F13" s="29">
        <v>52.0</v>
      </c>
      <c r="G13" s="27">
        <v>2.00850526E8</v>
      </c>
    </row>
    <row r="14" ht="12.75" customHeight="1">
      <c r="A14" s="31">
        <v>785.0</v>
      </c>
      <c r="B14" s="32" t="s">
        <v>65753</v>
      </c>
      <c r="C14" s="31">
        <v>200.0</v>
      </c>
      <c r="D14" s="32" t="s">
        <v>65754</v>
      </c>
      <c r="E14" s="32" t="s">
        <v>65755</v>
      </c>
      <c r="F14" s="33">
        <v>61.0</v>
      </c>
      <c r="G14" s="31">
        <v>2.00850618E8</v>
      </c>
    </row>
    <row r="15" ht="12.75" customHeight="1">
      <c r="A15" s="27">
        <v>785.0</v>
      </c>
      <c r="B15" s="28" t="s">
        <v>65756</v>
      </c>
      <c r="C15" s="27">
        <v>200.0</v>
      </c>
      <c r="D15" s="28" t="s">
        <v>65757</v>
      </c>
      <c r="E15" s="28" t="s">
        <v>65758</v>
      </c>
      <c r="F15" s="29">
        <v>67.0</v>
      </c>
      <c r="G15" s="27">
        <v>2.00850676E8</v>
      </c>
    </row>
    <row r="16" ht="12.75" customHeight="1">
      <c r="A16" s="31">
        <v>785.0</v>
      </c>
      <c r="B16" s="32" t="s">
        <v>65759</v>
      </c>
      <c r="C16" s="31">
        <v>200.0</v>
      </c>
      <c r="D16" s="32" t="s">
        <v>65760</v>
      </c>
      <c r="E16" s="32" t="s">
        <v>65761</v>
      </c>
      <c r="F16" s="33">
        <v>70.0</v>
      </c>
      <c r="G16" s="31">
        <v>2.008507E8</v>
      </c>
    </row>
    <row r="17" ht="12.75" customHeight="1">
      <c r="A17" s="27">
        <v>785.0</v>
      </c>
      <c r="B17" s="28" t="s">
        <v>65762</v>
      </c>
      <c r="C17" s="27">
        <v>200.0</v>
      </c>
      <c r="D17" s="28" t="s">
        <v>65763</v>
      </c>
      <c r="E17" s="28" t="s">
        <v>65764</v>
      </c>
      <c r="F17" s="29">
        <v>73.0</v>
      </c>
      <c r="G17" s="27">
        <v>2.00850739E8</v>
      </c>
    </row>
    <row r="18" ht="12.75" customHeight="1">
      <c r="A18" s="31">
        <v>785.0</v>
      </c>
      <c r="B18" s="32" t="s">
        <v>65765</v>
      </c>
      <c r="C18" s="31">
        <v>200.0</v>
      </c>
      <c r="D18" s="32" t="s">
        <v>65766</v>
      </c>
      <c r="E18" s="32" t="s">
        <v>65767</v>
      </c>
      <c r="F18" s="33">
        <v>76.0</v>
      </c>
      <c r="G18" s="31">
        <v>2.00850768E8</v>
      </c>
    </row>
    <row r="19" ht="12.75" customHeight="1">
      <c r="A19" s="27">
        <v>785.0</v>
      </c>
      <c r="B19" s="28" t="s">
        <v>65768</v>
      </c>
      <c r="C19" s="27">
        <v>200.0</v>
      </c>
      <c r="D19" s="28" t="s">
        <v>65769</v>
      </c>
      <c r="E19" s="28" t="s">
        <v>65770</v>
      </c>
      <c r="F19" s="29">
        <v>79.0</v>
      </c>
      <c r="G19" s="27">
        <v>2.00850797E8</v>
      </c>
    </row>
    <row r="20" ht="12.75" customHeight="1">
      <c r="A20" s="31">
        <v>785.0</v>
      </c>
      <c r="B20" s="32" t="s">
        <v>65771</v>
      </c>
      <c r="C20" s="31">
        <v>200.0</v>
      </c>
      <c r="D20" s="32" t="s">
        <v>65772</v>
      </c>
      <c r="E20" s="32" t="s">
        <v>65773</v>
      </c>
      <c r="F20" s="33">
        <v>85.0</v>
      </c>
      <c r="G20" s="31">
        <v>2.0085085E8</v>
      </c>
    </row>
    <row r="21" ht="12.75" customHeight="1">
      <c r="A21" s="27">
        <v>785.0</v>
      </c>
      <c r="B21" s="28" t="s">
        <v>65774</v>
      </c>
      <c r="C21" s="27">
        <v>200.0</v>
      </c>
      <c r="D21" s="28" t="s">
        <v>65775</v>
      </c>
      <c r="E21" s="28" t="s">
        <v>65776</v>
      </c>
      <c r="F21" s="29">
        <v>91.0</v>
      </c>
      <c r="G21" s="27">
        <v>2.00850913E8</v>
      </c>
    </row>
    <row r="22" ht="12.75" customHeight="1">
      <c r="A22" s="31">
        <v>785.0</v>
      </c>
      <c r="B22" s="32" t="s">
        <v>65777</v>
      </c>
      <c r="C22" s="31">
        <v>200.0</v>
      </c>
      <c r="D22" s="32" t="s">
        <v>65778</v>
      </c>
      <c r="E22" s="32" t="s">
        <v>65779</v>
      </c>
      <c r="F22" s="33">
        <v>97.0</v>
      </c>
      <c r="G22" s="31">
        <v>2.00850971E8</v>
      </c>
    </row>
    <row r="23" ht="12.75" customHeight="1">
      <c r="A23" s="27">
        <v>785.0</v>
      </c>
      <c r="B23" s="28" t="s">
        <v>65780</v>
      </c>
      <c r="C23" s="27">
        <v>200.0</v>
      </c>
      <c r="D23" s="28" t="s">
        <v>65781</v>
      </c>
      <c r="E23" s="28" t="s">
        <v>65782</v>
      </c>
      <c r="F23" s="27">
        <v>106.0</v>
      </c>
      <c r="G23" s="27">
        <v>2.00851062E8</v>
      </c>
    </row>
    <row r="24" ht="12.75" customHeight="1">
      <c r="A24" s="31">
        <v>785.0</v>
      </c>
      <c r="B24" s="32" t="s">
        <v>65783</v>
      </c>
      <c r="C24" s="31">
        <v>200.0</v>
      </c>
      <c r="D24" s="32" t="s">
        <v>65784</v>
      </c>
      <c r="E24" s="32" t="s">
        <v>65785</v>
      </c>
      <c r="F24" s="31">
        <v>109.0</v>
      </c>
      <c r="G24" s="31">
        <v>2.00851091E8</v>
      </c>
    </row>
    <row r="25" ht="12.75" customHeight="1">
      <c r="A25" s="27">
        <v>785.0</v>
      </c>
      <c r="B25" s="28" t="s">
        <v>65786</v>
      </c>
      <c r="C25" s="27">
        <v>200.0</v>
      </c>
      <c r="D25" s="28" t="s">
        <v>65787</v>
      </c>
      <c r="E25" s="28" t="s">
        <v>65788</v>
      </c>
      <c r="F25" s="27">
        <v>133.0</v>
      </c>
      <c r="G25" s="27">
        <v>2.00851338E8</v>
      </c>
    </row>
    <row r="26" ht="12.75" customHeight="1">
      <c r="A26" s="31">
        <v>785.0</v>
      </c>
      <c r="B26" s="32" t="s">
        <v>65789</v>
      </c>
      <c r="C26" s="31">
        <v>200.0</v>
      </c>
      <c r="D26" s="32" t="s">
        <v>65790</v>
      </c>
      <c r="E26" s="32" t="s">
        <v>65791</v>
      </c>
      <c r="F26" s="31">
        <v>136.0</v>
      </c>
      <c r="G26" s="31">
        <v>2.00851367E8</v>
      </c>
    </row>
    <row r="27" ht="12.75" customHeight="1">
      <c r="A27" s="27">
        <v>785.0</v>
      </c>
      <c r="B27" s="28" t="s">
        <v>65792</v>
      </c>
      <c r="C27" s="27">
        <v>200.0</v>
      </c>
      <c r="D27" s="28" t="s">
        <v>65793</v>
      </c>
      <c r="E27" s="28" t="s">
        <v>65794</v>
      </c>
      <c r="F27" s="27">
        <v>148.0</v>
      </c>
      <c r="G27" s="27">
        <v>2.00851488E8</v>
      </c>
    </row>
    <row r="28" ht="12.75" customHeight="1">
      <c r="A28" s="31">
        <v>785.0</v>
      </c>
      <c r="B28" s="32" t="s">
        <v>65795</v>
      </c>
      <c r="C28" s="31">
        <v>200.0</v>
      </c>
      <c r="D28" s="32" t="s">
        <v>65796</v>
      </c>
      <c r="E28" s="32" t="s">
        <v>65797</v>
      </c>
      <c r="F28" s="31">
        <v>154.0</v>
      </c>
      <c r="G28" s="31">
        <v>2.00851541E8</v>
      </c>
    </row>
    <row r="29" ht="12.75" customHeight="1">
      <c r="A29" s="27">
        <v>785.0</v>
      </c>
      <c r="B29" s="28" t="s">
        <v>65798</v>
      </c>
      <c r="C29" s="27">
        <v>200.0</v>
      </c>
      <c r="D29" s="28" t="s">
        <v>65799</v>
      </c>
      <c r="E29" s="28" t="s">
        <v>65800</v>
      </c>
      <c r="F29" s="27">
        <v>193.0</v>
      </c>
      <c r="G29" s="27">
        <v>2.00851938E8</v>
      </c>
    </row>
    <row r="30" ht="12.75" customHeight="1">
      <c r="A30" s="31">
        <v>386.0</v>
      </c>
      <c r="B30" s="32" t="s">
        <v>65801</v>
      </c>
      <c r="C30" s="31">
        <v>200.0</v>
      </c>
      <c r="D30" s="32" t="s">
        <v>65802</v>
      </c>
      <c r="E30" s="32" t="s">
        <v>65803</v>
      </c>
      <c r="F30" s="33">
        <v>4.0</v>
      </c>
      <c r="G30" s="31">
        <v>2.0086004E8</v>
      </c>
    </row>
    <row r="31" ht="12.75" customHeight="1">
      <c r="A31" s="27">
        <v>386.0</v>
      </c>
      <c r="B31" s="28" t="s">
        <v>65804</v>
      </c>
      <c r="C31" s="27">
        <v>200.0</v>
      </c>
      <c r="D31" s="28" t="s">
        <v>65805</v>
      </c>
      <c r="E31" s="28" t="s">
        <v>65806</v>
      </c>
      <c r="F31" s="29">
        <v>10.0</v>
      </c>
      <c r="G31" s="27">
        <v>2.00860103E8</v>
      </c>
    </row>
    <row r="32" ht="12.75" customHeight="1">
      <c r="A32" s="31">
        <v>386.0</v>
      </c>
      <c r="B32" s="32" t="s">
        <v>65807</v>
      </c>
      <c r="C32" s="31">
        <v>200.0</v>
      </c>
      <c r="D32" s="32" t="s">
        <v>65808</v>
      </c>
      <c r="E32" s="32" t="s">
        <v>65809</v>
      </c>
      <c r="F32" s="33">
        <v>19.0</v>
      </c>
      <c r="G32" s="31">
        <v>2.0086019E8</v>
      </c>
    </row>
    <row r="33" ht="12.75" customHeight="1">
      <c r="A33" s="27">
        <v>386.0</v>
      </c>
      <c r="B33" s="28" t="s">
        <v>65810</v>
      </c>
      <c r="C33" s="27">
        <v>200.0</v>
      </c>
      <c r="D33" s="28" t="s">
        <v>65811</v>
      </c>
      <c r="E33" s="28" t="s">
        <v>65812</v>
      </c>
      <c r="F33" s="29">
        <v>34.0</v>
      </c>
      <c r="G33" s="27">
        <v>2.00860345E8</v>
      </c>
    </row>
    <row r="34" ht="12.75" customHeight="1">
      <c r="A34" s="31">
        <v>386.0</v>
      </c>
      <c r="B34" s="32" t="s">
        <v>65813</v>
      </c>
      <c r="C34" s="31">
        <v>200.0</v>
      </c>
      <c r="D34" s="32" t="s">
        <v>65814</v>
      </c>
      <c r="E34" s="32" t="s">
        <v>65815</v>
      </c>
      <c r="F34" s="33">
        <v>58.0</v>
      </c>
      <c r="G34" s="31">
        <v>2.00860587E8</v>
      </c>
    </row>
    <row r="35" ht="12.75" customHeight="1">
      <c r="A35" s="27">
        <v>386.0</v>
      </c>
      <c r="B35" s="28" t="s">
        <v>65816</v>
      </c>
      <c r="C35" s="27">
        <v>200.0</v>
      </c>
      <c r="D35" s="28" t="s">
        <v>65817</v>
      </c>
      <c r="E35" s="28" t="s">
        <v>65818</v>
      </c>
      <c r="F35" s="29">
        <v>67.0</v>
      </c>
      <c r="G35" s="27">
        <v>2.00860679E8</v>
      </c>
    </row>
    <row r="36" ht="12.75" customHeight="1">
      <c r="A36" s="31">
        <v>386.0</v>
      </c>
      <c r="B36" s="32" t="s">
        <v>65819</v>
      </c>
      <c r="C36" s="31">
        <v>200.0</v>
      </c>
      <c r="D36" s="32" t="s">
        <v>65820</v>
      </c>
      <c r="E36" s="32" t="s">
        <v>65821</v>
      </c>
      <c r="F36" s="33">
        <v>70.0</v>
      </c>
      <c r="G36" s="31">
        <v>2.00860703E8</v>
      </c>
    </row>
    <row r="37" ht="12.75" customHeight="1">
      <c r="A37" s="27">
        <v>487.0</v>
      </c>
      <c r="B37" s="28" t="s">
        <v>65822</v>
      </c>
      <c r="C37" s="27">
        <v>200.0</v>
      </c>
      <c r="D37" s="28" t="s">
        <v>65823</v>
      </c>
      <c r="E37" s="28" t="s">
        <v>65824</v>
      </c>
      <c r="F37" s="29">
        <v>7.0</v>
      </c>
      <c r="G37" s="27">
        <v>2.00870072E8</v>
      </c>
    </row>
    <row r="38" ht="12.75" customHeight="1">
      <c r="A38" s="31">
        <v>487.0</v>
      </c>
      <c r="B38" s="32" t="s">
        <v>65825</v>
      </c>
      <c r="C38" s="31">
        <v>200.0</v>
      </c>
      <c r="D38" s="32" t="s">
        <v>65826</v>
      </c>
      <c r="E38" s="32" t="s">
        <v>65827</v>
      </c>
      <c r="F38" s="33">
        <v>34.0</v>
      </c>
      <c r="G38" s="31">
        <v>2.00870348E8</v>
      </c>
    </row>
    <row r="39" ht="12.75" customHeight="1">
      <c r="A39" s="27">
        <v>487.0</v>
      </c>
      <c r="B39" s="28" t="s">
        <v>65828</v>
      </c>
      <c r="C39" s="27">
        <v>200.0</v>
      </c>
      <c r="D39" s="28" t="s">
        <v>65829</v>
      </c>
      <c r="E39" s="28" t="s">
        <v>65830</v>
      </c>
      <c r="F39" s="29">
        <v>37.0</v>
      </c>
      <c r="G39" s="27">
        <v>2.00870377E8</v>
      </c>
    </row>
    <row r="40" ht="12.75" customHeight="1">
      <c r="A40" s="31">
        <v>487.0</v>
      </c>
      <c r="B40" s="32" t="s">
        <v>65831</v>
      </c>
      <c r="C40" s="31">
        <v>200.0</v>
      </c>
      <c r="D40" s="32" t="s">
        <v>65832</v>
      </c>
      <c r="E40" s="32" t="s">
        <v>65833</v>
      </c>
      <c r="F40" s="33">
        <v>49.0</v>
      </c>
      <c r="G40" s="31">
        <v>2.00870498E8</v>
      </c>
    </row>
    <row r="41" ht="12.75" customHeight="1">
      <c r="A41" s="27">
        <v>487.0</v>
      </c>
      <c r="B41" s="28" t="s">
        <v>65834</v>
      </c>
      <c r="C41" s="27">
        <v>200.0</v>
      </c>
      <c r="D41" s="28" t="s">
        <v>65835</v>
      </c>
      <c r="E41" s="28" t="s">
        <v>65836</v>
      </c>
      <c r="F41" s="29">
        <v>55.0</v>
      </c>
      <c r="G41" s="27">
        <v>2.00870551E8</v>
      </c>
    </row>
    <row r="42" ht="12.75" customHeight="1">
      <c r="A42" s="31">
        <v>487.0</v>
      </c>
      <c r="B42" s="32" t="s">
        <v>65837</v>
      </c>
      <c r="C42" s="31">
        <v>200.0</v>
      </c>
      <c r="D42" s="32" t="s">
        <v>65838</v>
      </c>
      <c r="E42" s="32" t="s">
        <v>65839</v>
      </c>
      <c r="F42" s="33">
        <v>58.0</v>
      </c>
      <c r="G42" s="31">
        <v>2.0087058E8</v>
      </c>
    </row>
    <row r="43" ht="12.75" customHeight="1">
      <c r="A43" s="27">
        <v>487.0</v>
      </c>
      <c r="B43" s="28" t="s">
        <v>65840</v>
      </c>
      <c r="C43" s="27">
        <v>200.0</v>
      </c>
      <c r="D43" s="28" t="s">
        <v>65841</v>
      </c>
      <c r="E43" s="28" t="s">
        <v>65842</v>
      </c>
      <c r="F43" s="29">
        <v>61.0</v>
      </c>
      <c r="G43" s="27">
        <v>2.00870614E8</v>
      </c>
    </row>
    <row r="44" ht="12.75" customHeight="1">
      <c r="A44" s="31">
        <v>487.0</v>
      </c>
      <c r="B44" s="32" t="s">
        <v>65843</v>
      </c>
      <c r="C44" s="31">
        <v>200.0</v>
      </c>
      <c r="D44" s="32" t="s">
        <v>65844</v>
      </c>
      <c r="E44" s="32" t="s">
        <v>65845</v>
      </c>
      <c r="F44" s="33">
        <v>64.0</v>
      </c>
      <c r="G44" s="31">
        <v>2.00870643E8</v>
      </c>
    </row>
    <row r="45" ht="12.75" customHeight="1">
      <c r="A45" s="27">
        <v>487.0</v>
      </c>
      <c r="B45" s="28" t="s">
        <v>65846</v>
      </c>
      <c r="C45" s="27">
        <v>200.0</v>
      </c>
      <c r="D45" s="28" t="s">
        <v>65847</v>
      </c>
      <c r="E45" s="28" t="s">
        <v>65848</v>
      </c>
      <c r="F45" s="29">
        <v>67.0</v>
      </c>
      <c r="G45" s="27">
        <v>2.00870672E8</v>
      </c>
    </row>
    <row r="46" ht="12.75" customHeight="1">
      <c r="A46" s="31">
        <v>487.0</v>
      </c>
      <c r="B46" s="32" t="s">
        <v>65849</v>
      </c>
      <c r="C46" s="31">
        <v>200.0</v>
      </c>
      <c r="D46" s="32" t="s">
        <v>65850</v>
      </c>
      <c r="E46" s="32" t="s">
        <v>65851</v>
      </c>
      <c r="F46" s="33">
        <v>76.0</v>
      </c>
      <c r="G46" s="31">
        <v>2.00870764E8</v>
      </c>
    </row>
    <row r="47" ht="12.75" customHeight="1">
      <c r="A47" s="27">
        <v>487.0</v>
      </c>
      <c r="B47" s="28" t="s">
        <v>65852</v>
      </c>
      <c r="C47" s="27">
        <v>200.0</v>
      </c>
      <c r="D47" s="28" t="s">
        <v>65853</v>
      </c>
      <c r="E47" s="28" t="s">
        <v>65854</v>
      </c>
      <c r="F47" s="29">
        <v>79.0</v>
      </c>
      <c r="G47" s="27">
        <v>2.00870793E8</v>
      </c>
    </row>
    <row r="48" ht="12.75" customHeight="1">
      <c r="A48" s="31">
        <v>487.0</v>
      </c>
      <c r="B48" s="32" t="s">
        <v>65855</v>
      </c>
      <c r="C48" s="31">
        <v>200.0</v>
      </c>
      <c r="D48" s="32" t="s">
        <v>65856</v>
      </c>
      <c r="E48" s="32" t="s">
        <v>65857</v>
      </c>
      <c r="F48" s="33">
        <v>82.0</v>
      </c>
      <c r="G48" s="31">
        <v>2.00870827E8</v>
      </c>
    </row>
    <row r="49" ht="12.75" customHeight="1">
      <c r="A49" s="27">
        <v>487.0</v>
      </c>
      <c r="B49" s="28" t="s">
        <v>65858</v>
      </c>
      <c r="C49" s="27">
        <v>200.0</v>
      </c>
      <c r="D49" s="28" t="s">
        <v>65859</v>
      </c>
      <c r="E49" s="28" t="s">
        <v>65860</v>
      </c>
      <c r="F49" s="27">
        <v>100.0</v>
      </c>
      <c r="G49" s="27">
        <v>2.00871E8</v>
      </c>
    </row>
    <row r="50" ht="12.75" customHeight="1">
      <c r="A50" s="31">
        <v>487.0</v>
      </c>
      <c r="B50" s="32" t="s">
        <v>65861</v>
      </c>
      <c r="C50" s="31">
        <v>200.0</v>
      </c>
      <c r="D50" s="32" t="s">
        <v>65862</v>
      </c>
      <c r="E50" s="32" t="s">
        <v>65863</v>
      </c>
      <c r="F50" s="31">
        <v>109.0</v>
      </c>
      <c r="G50" s="31">
        <v>2.00871097E8</v>
      </c>
    </row>
    <row r="51" ht="12.75" customHeight="1">
      <c r="A51" s="27">
        <v>487.0</v>
      </c>
      <c r="B51" s="28" t="s">
        <v>65864</v>
      </c>
      <c r="C51" s="27">
        <v>200.0</v>
      </c>
      <c r="D51" s="28" t="s">
        <v>65865</v>
      </c>
      <c r="E51" s="28" t="s">
        <v>65866</v>
      </c>
      <c r="F51" s="27">
        <v>121.0</v>
      </c>
      <c r="G51" s="27">
        <v>2.00871213E8</v>
      </c>
    </row>
    <row r="52" ht="12.75" customHeight="1">
      <c r="A52" s="31">
        <v>487.0</v>
      </c>
      <c r="B52" s="32" t="s">
        <v>65867</v>
      </c>
      <c r="C52" s="31">
        <v>200.0</v>
      </c>
      <c r="D52" s="32" t="s">
        <v>65868</v>
      </c>
      <c r="E52" s="32" t="s">
        <v>65869</v>
      </c>
      <c r="F52" s="31">
        <v>130.0</v>
      </c>
      <c r="G52" s="31">
        <v>2.00871305E8</v>
      </c>
    </row>
    <row r="53" ht="12.75" customHeight="1">
      <c r="A53" s="27">
        <v>487.0</v>
      </c>
      <c r="B53" s="28" t="s">
        <v>65870</v>
      </c>
      <c r="C53" s="27">
        <v>200.0</v>
      </c>
      <c r="D53" s="28" t="s">
        <v>65871</v>
      </c>
      <c r="E53" s="28" t="s">
        <v>65872</v>
      </c>
      <c r="F53" s="27">
        <v>136.0</v>
      </c>
      <c r="G53" s="27">
        <v>2.00871363E8</v>
      </c>
    </row>
    <row r="54" ht="12.75" customHeight="1">
      <c r="A54" s="31">
        <v>688.0</v>
      </c>
      <c r="B54" s="32" t="s">
        <v>65873</v>
      </c>
      <c r="C54" s="31">
        <v>200.0</v>
      </c>
      <c r="D54" s="32" t="s">
        <v>65874</v>
      </c>
      <c r="E54" s="32" t="s">
        <v>65875</v>
      </c>
      <c r="F54" s="33">
        <v>13.0</v>
      </c>
      <c r="G54" s="31">
        <v>2.00880138E8</v>
      </c>
    </row>
    <row r="55" ht="12.75" customHeight="1">
      <c r="A55" s="27">
        <v>688.0</v>
      </c>
      <c r="B55" s="28" t="s">
        <v>65876</v>
      </c>
      <c r="C55" s="27">
        <v>200.0</v>
      </c>
      <c r="D55" s="28" t="s">
        <v>65877</v>
      </c>
      <c r="E55" s="28" t="s">
        <v>65878</v>
      </c>
      <c r="F55" s="29">
        <v>43.0</v>
      </c>
      <c r="G55" s="27">
        <v>2.00880433E8</v>
      </c>
    </row>
    <row r="56" ht="12.75" customHeight="1">
      <c r="A56" s="31">
        <v>688.0</v>
      </c>
      <c r="B56" s="32" t="s">
        <v>65879</v>
      </c>
      <c r="C56" s="31">
        <v>200.0</v>
      </c>
      <c r="D56" s="32" t="s">
        <v>65880</v>
      </c>
      <c r="E56" s="32" t="s">
        <v>65881</v>
      </c>
      <c r="F56" s="33">
        <v>49.0</v>
      </c>
      <c r="G56" s="31">
        <v>2.00880491E8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688.0</v>
      </c>
      <c r="B1" s="28" t="s">
        <v>65882</v>
      </c>
      <c r="C1" s="27">
        <v>200.0</v>
      </c>
      <c r="D1" s="28" t="s">
        <v>65883</v>
      </c>
      <c r="E1" s="28" t="s">
        <v>65884</v>
      </c>
      <c r="F1" s="29">
        <v>55.0</v>
      </c>
      <c r="G1" s="27">
        <v>2.00880554E8</v>
      </c>
    </row>
    <row r="2" ht="12.75" customHeight="1">
      <c r="A2" s="31">
        <v>688.0</v>
      </c>
      <c r="B2" s="32" t="s">
        <v>65885</v>
      </c>
      <c r="C2" s="31">
        <v>200.0</v>
      </c>
      <c r="D2" s="32" t="s">
        <v>65886</v>
      </c>
      <c r="E2" s="32" t="s">
        <v>65887</v>
      </c>
      <c r="F2" s="33">
        <v>67.0</v>
      </c>
      <c r="G2" s="31">
        <v>2.00880675E8</v>
      </c>
    </row>
    <row r="3" ht="12.75" customHeight="1">
      <c r="A3" s="27">
        <v>688.0</v>
      </c>
      <c r="B3" s="28" t="s">
        <v>65888</v>
      </c>
      <c r="C3" s="27">
        <v>200.0</v>
      </c>
      <c r="D3" s="28" t="s">
        <v>65889</v>
      </c>
      <c r="E3" s="28" t="s">
        <v>65890</v>
      </c>
      <c r="F3" s="29">
        <v>82.0</v>
      </c>
      <c r="G3" s="27">
        <v>2.0088082E8</v>
      </c>
    </row>
    <row r="4" ht="12.75" customHeight="1">
      <c r="A4" s="31">
        <v>688.0</v>
      </c>
      <c r="B4" s="32" t="s">
        <v>65891</v>
      </c>
      <c r="C4" s="31">
        <v>200.0</v>
      </c>
      <c r="D4" s="32" t="s">
        <v>65892</v>
      </c>
      <c r="E4" s="32" t="s">
        <v>65893</v>
      </c>
      <c r="F4" s="33">
        <v>91.0</v>
      </c>
      <c r="G4" s="31">
        <v>2.00880912E8</v>
      </c>
    </row>
    <row r="5" ht="12.75" customHeight="1">
      <c r="A5" s="27">
        <v>688.0</v>
      </c>
      <c r="B5" s="28" t="s">
        <v>65894</v>
      </c>
      <c r="C5" s="27">
        <v>200.0</v>
      </c>
      <c r="D5" s="28" t="s">
        <v>65895</v>
      </c>
      <c r="E5" s="28" t="s">
        <v>65896</v>
      </c>
      <c r="F5" s="29">
        <v>94.0</v>
      </c>
      <c r="G5" s="27">
        <v>2.00880941E8</v>
      </c>
    </row>
    <row r="6" ht="12.75" customHeight="1">
      <c r="A6" s="31">
        <v>688.0</v>
      </c>
      <c r="B6" s="32" t="s">
        <v>65897</v>
      </c>
      <c r="C6" s="31">
        <v>200.0</v>
      </c>
      <c r="D6" s="32" t="s">
        <v>65898</v>
      </c>
      <c r="E6" s="32" t="s">
        <v>65899</v>
      </c>
      <c r="F6" s="31">
        <v>109.0</v>
      </c>
      <c r="G6" s="31">
        <v>2.0088109E8</v>
      </c>
    </row>
    <row r="7" ht="12.75" customHeight="1">
      <c r="A7" s="27">
        <v>688.0</v>
      </c>
      <c r="B7" s="28" t="s">
        <v>65900</v>
      </c>
      <c r="C7" s="27">
        <v>200.0</v>
      </c>
      <c r="D7" s="28" t="s">
        <v>65901</v>
      </c>
      <c r="E7" s="28" t="s">
        <v>65902</v>
      </c>
      <c r="F7" s="27">
        <v>115.0</v>
      </c>
      <c r="G7" s="27">
        <v>2.00881153E8</v>
      </c>
    </row>
    <row r="8" ht="12.75" customHeight="1">
      <c r="A8" s="31">
        <v>688.0</v>
      </c>
      <c r="B8" s="32" t="s">
        <v>65903</v>
      </c>
      <c r="C8" s="31">
        <v>200.0</v>
      </c>
      <c r="D8" s="32" t="s">
        <v>65904</v>
      </c>
      <c r="E8" s="32" t="s">
        <v>65905</v>
      </c>
      <c r="F8" s="31">
        <v>130.0</v>
      </c>
      <c r="G8" s="31">
        <v>2.00881308E8</v>
      </c>
    </row>
    <row r="9" ht="12.75" customHeight="1">
      <c r="A9" s="27">
        <v>688.0</v>
      </c>
      <c r="B9" s="28" t="s">
        <v>65906</v>
      </c>
      <c r="C9" s="27">
        <v>200.0</v>
      </c>
      <c r="D9" s="28" t="s">
        <v>65907</v>
      </c>
      <c r="E9" s="28" t="s">
        <v>65908</v>
      </c>
      <c r="F9" s="27">
        <v>139.0</v>
      </c>
      <c r="G9" s="27">
        <v>2.00881395E8</v>
      </c>
    </row>
    <row r="10" ht="12.75" customHeight="1">
      <c r="A10" s="31">
        <v>688.0</v>
      </c>
      <c r="B10" s="32" t="s">
        <v>65909</v>
      </c>
      <c r="C10" s="31">
        <v>200.0</v>
      </c>
      <c r="D10" s="32" t="s">
        <v>65910</v>
      </c>
      <c r="E10" s="32" t="s">
        <v>65911</v>
      </c>
      <c r="F10" s="31">
        <v>142.0</v>
      </c>
      <c r="G10" s="31">
        <v>2.00881429E8</v>
      </c>
    </row>
    <row r="11" ht="12.75" customHeight="1">
      <c r="A11" s="27">
        <v>688.0</v>
      </c>
      <c r="B11" s="28" t="s">
        <v>65912</v>
      </c>
      <c r="C11" s="27">
        <v>200.0</v>
      </c>
      <c r="D11" s="28" t="s">
        <v>65913</v>
      </c>
      <c r="E11" s="28" t="s">
        <v>65914</v>
      </c>
      <c r="F11" s="27">
        <v>166.0</v>
      </c>
      <c r="G11" s="27">
        <v>2.00881661E8</v>
      </c>
    </row>
    <row r="12" ht="12.75" customHeight="1">
      <c r="A12" s="31">
        <v>688.0</v>
      </c>
      <c r="B12" s="32" t="s">
        <v>65915</v>
      </c>
      <c r="C12" s="31">
        <v>200.0</v>
      </c>
      <c r="D12" s="32" t="s">
        <v>65916</v>
      </c>
      <c r="E12" s="32" t="s">
        <v>65917</v>
      </c>
      <c r="F12" s="31">
        <v>179.0</v>
      </c>
      <c r="G12" s="31">
        <v>2.00881795E8</v>
      </c>
    </row>
    <row r="13" ht="12.75" customHeight="1">
      <c r="A13" s="27">
        <v>688.0</v>
      </c>
      <c r="B13" s="28" t="s">
        <v>65918</v>
      </c>
      <c r="C13" s="27">
        <v>200.0</v>
      </c>
      <c r="D13" s="28" t="s">
        <v>65919</v>
      </c>
      <c r="E13" s="28" t="s">
        <v>65920</v>
      </c>
      <c r="F13" s="27">
        <v>187.0</v>
      </c>
      <c r="G13" s="27">
        <v>2.00881874E8</v>
      </c>
    </row>
    <row r="14" ht="12.75" customHeight="1">
      <c r="A14" s="31">
        <v>688.0</v>
      </c>
      <c r="B14" s="32" t="s">
        <v>65921</v>
      </c>
      <c r="C14" s="31">
        <v>200.0</v>
      </c>
      <c r="D14" s="32" t="s">
        <v>65922</v>
      </c>
      <c r="E14" s="32" t="s">
        <v>65923</v>
      </c>
      <c r="F14" s="31">
        <v>190.0</v>
      </c>
      <c r="G14" s="31">
        <v>2.00881908E8</v>
      </c>
    </row>
    <row r="15" ht="12.75" customHeight="1">
      <c r="A15" s="27">
        <v>688.0</v>
      </c>
      <c r="B15" s="28" t="s">
        <v>65924</v>
      </c>
      <c r="C15" s="27">
        <v>200.0</v>
      </c>
      <c r="D15" s="28" t="s">
        <v>65925</v>
      </c>
      <c r="E15" s="28" t="s">
        <v>65926</v>
      </c>
      <c r="F15" s="27">
        <v>196.0</v>
      </c>
      <c r="G15" s="27">
        <v>2.00881966E8</v>
      </c>
    </row>
    <row r="16" ht="12.75" customHeight="1">
      <c r="A16" s="31">
        <v>688.0</v>
      </c>
      <c r="B16" s="32" t="s">
        <v>65927</v>
      </c>
      <c r="C16" s="31">
        <v>200.0</v>
      </c>
      <c r="D16" s="32" t="s">
        <v>65928</v>
      </c>
      <c r="E16" s="32" t="s">
        <v>65929</v>
      </c>
      <c r="F16" s="31">
        <v>202.0</v>
      </c>
      <c r="G16" s="31">
        <v>2.00882028E8</v>
      </c>
    </row>
    <row r="17" ht="12.75" customHeight="1">
      <c r="A17" s="27">
        <v>688.0</v>
      </c>
      <c r="B17" s="28" t="s">
        <v>65930</v>
      </c>
      <c r="C17" s="27">
        <v>200.0</v>
      </c>
      <c r="D17" s="28" t="s">
        <v>65931</v>
      </c>
      <c r="E17" s="28" t="s">
        <v>65932</v>
      </c>
      <c r="F17" s="27">
        <v>217.0</v>
      </c>
      <c r="G17" s="27">
        <v>2.00882178E8</v>
      </c>
    </row>
    <row r="18" ht="12.75" customHeight="1">
      <c r="A18" s="31">
        <v>688.0</v>
      </c>
      <c r="B18" s="32" t="s">
        <v>65933</v>
      </c>
      <c r="C18" s="31">
        <v>200.0</v>
      </c>
      <c r="D18" s="32" t="s">
        <v>65934</v>
      </c>
      <c r="E18" s="32" t="s">
        <v>65935</v>
      </c>
      <c r="F18" s="31">
        <v>223.0</v>
      </c>
      <c r="G18" s="31">
        <v>2.00882231E8</v>
      </c>
    </row>
    <row r="19" ht="12.75" customHeight="1">
      <c r="A19" s="27">
        <v>189.0</v>
      </c>
      <c r="B19" s="28" t="s">
        <v>65936</v>
      </c>
      <c r="C19" s="27">
        <v>200.0</v>
      </c>
      <c r="D19" s="28" t="s">
        <v>65937</v>
      </c>
      <c r="E19" s="28" t="s">
        <v>65938</v>
      </c>
      <c r="F19" s="29">
        <v>16.0</v>
      </c>
      <c r="G19" s="27">
        <v>2.0089016E8</v>
      </c>
    </row>
    <row r="20" ht="12.75" customHeight="1">
      <c r="A20" s="31">
        <v>189.0</v>
      </c>
      <c r="B20" s="32" t="s">
        <v>65939</v>
      </c>
      <c r="C20" s="31">
        <v>200.0</v>
      </c>
      <c r="D20" s="32" t="s">
        <v>65940</v>
      </c>
      <c r="E20" s="32" t="s">
        <v>65941</v>
      </c>
      <c r="F20" s="33">
        <v>31.0</v>
      </c>
      <c r="G20" s="31">
        <v>2.00890315E8</v>
      </c>
    </row>
    <row r="21" ht="12.75" customHeight="1">
      <c r="A21" s="27">
        <v>189.0</v>
      </c>
      <c r="B21" s="28" t="s">
        <v>65942</v>
      </c>
      <c r="C21" s="27">
        <v>200.0</v>
      </c>
      <c r="D21" s="28" t="s">
        <v>65943</v>
      </c>
      <c r="E21" s="28" t="s">
        <v>65944</v>
      </c>
      <c r="F21" s="29">
        <v>34.0</v>
      </c>
      <c r="G21" s="27">
        <v>2.00890344E8</v>
      </c>
    </row>
    <row r="22" ht="12.75" customHeight="1">
      <c r="A22" s="31">
        <v>189.0</v>
      </c>
      <c r="B22" s="32" t="s">
        <v>65945</v>
      </c>
      <c r="C22" s="31">
        <v>200.0</v>
      </c>
      <c r="D22" s="32" t="s">
        <v>65946</v>
      </c>
      <c r="E22" s="32" t="s">
        <v>65947</v>
      </c>
      <c r="F22" s="33">
        <v>43.0</v>
      </c>
      <c r="G22" s="31">
        <v>2.00890436E8</v>
      </c>
    </row>
    <row r="23" ht="12.75" customHeight="1">
      <c r="A23" s="27">
        <v>189.0</v>
      </c>
      <c r="B23" s="28" t="s">
        <v>65948</v>
      </c>
      <c r="C23" s="27">
        <v>200.0</v>
      </c>
      <c r="D23" s="28" t="s">
        <v>65949</v>
      </c>
      <c r="E23" s="28" t="s">
        <v>65950</v>
      </c>
      <c r="F23" s="29">
        <v>55.0</v>
      </c>
      <c r="G23" s="27">
        <v>2.00890557E8</v>
      </c>
    </row>
    <row r="24" ht="12.75" customHeight="1">
      <c r="A24" s="31">
        <v>189.0</v>
      </c>
      <c r="B24" s="32" t="s">
        <v>65951</v>
      </c>
      <c r="C24" s="31">
        <v>200.0</v>
      </c>
      <c r="D24" s="32" t="s">
        <v>65952</v>
      </c>
      <c r="E24" s="32" t="s">
        <v>65953</v>
      </c>
      <c r="F24" s="33">
        <v>64.0</v>
      </c>
      <c r="G24" s="31">
        <v>2.00890649E8</v>
      </c>
    </row>
    <row r="25" ht="12.75" customHeight="1">
      <c r="A25" s="27">
        <v>189.0</v>
      </c>
      <c r="B25" s="28" t="s">
        <v>65954</v>
      </c>
      <c r="C25" s="27">
        <v>200.0</v>
      </c>
      <c r="D25" s="28" t="s">
        <v>65955</v>
      </c>
      <c r="E25" s="28" t="s">
        <v>65956</v>
      </c>
      <c r="F25" s="29">
        <v>67.0</v>
      </c>
      <c r="G25" s="27">
        <v>2.00890678E8</v>
      </c>
    </row>
    <row r="26" ht="12.75" customHeight="1">
      <c r="A26" s="31">
        <v>890.0</v>
      </c>
      <c r="B26" s="32" t="s">
        <v>65957</v>
      </c>
      <c r="C26" s="31">
        <v>200.0</v>
      </c>
      <c r="D26" s="32" t="s">
        <v>65958</v>
      </c>
      <c r="E26" s="32" t="s">
        <v>65959</v>
      </c>
      <c r="F26" s="33">
        <v>6.0</v>
      </c>
      <c r="G26" s="31">
        <v>2.00900063E8</v>
      </c>
    </row>
    <row r="27" ht="12.75" customHeight="1">
      <c r="A27" s="27">
        <v>890.0</v>
      </c>
      <c r="B27" s="28" t="s">
        <v>65960</v>
      </c>
      <c r="C27" s="27">
        <v>200.0</v>
      </c>
      <c r="D27" s="28" t="s">
        <v>65961</v>
      </c>
      <c r="E27" s="28" t="s">
        <v>65962</v>
      </c>
      <c r="F27" s="29">
        <v>19.0</v>
      </c>
      <c r="G27" s="27">
        <v>2.00900197E8</v>
      </c>
    </row>
    <row r="28" ht="12.75" customHeight="1">
      <c r="A28" s="31">
        <v>890.0</v>
      </c>
      <c r="B28" s="32" t="s">
        <v>65963</v>
      </c>
      <c r="C28" s="31">
        <v>200.0</v>
      </c>
      <c r="D28" s="32" t="s">
        <v>65964</v>
      </c>
      <c r="E28" s="32" t="s">
        <v>65965</v>
      </c>
      <c r="F28" s="33">
        <v>22.0</v>
      </c>
      <c r="G28" s="31">
        <v>2.00900221E8</v>
      </c>
    </row>
    <row r="29" ht="12.75" customHeight="1">
      <c r="A29" s="27">
        <v>890.0</v>
      </c>
      <c r="B29" s="28" t="s">
        <v>65966</v>
      </c>
      <c r="C29" s="27">
        <v>200.0</v>
      </c>
      <c r="D29" s="28" t="s">
        <v>65967</v>
      </c>
      <c r="E29" s="28" t="s">
        <v>65968</v>
      </c>
      <c r="F29" s="29">
        <v>25.0</v>
      </c>
      <c r="G29" s="27">
        <v>2.0090025E8</v>
      </c>
    </row>
    <row r="30" ht="12.75" customHeight="1">
      <c r="A30" s="31">
        <v>890.0</v>
      </c>
      <c r="B30" s="32" t="s">
        <v>65969</v>
      </c>
      <c r="C30" s="31">
        <v>200.0</v>
      </c>
      <c r="D30" s="32" t="s">
        <v>65970</v>
      </c>
      <c r="E30" s="32" t="s">
        <v>65971</v>
      </c>
      <c r="F30" s="33">
        <v>28.0</v>
      </c>
      <c r="G30" s="31">
        <v>2.00900289E8</v>
      </c>
    </row>
    <row r="31" ht="12.75" customHeight="1">
      <c r="A31" s="27">
        <v>890.0</v>
      </c>
      <c r="B31" s="28" t="s">
        <v>65972</v>
      </c>
      <c r="C31" s="27">
        <v>200.0</v>
      </c>
      <c r="D31" s="28" t="s">
        <v>65973</v>
      </c>
      <c r="E31" s="28" t="s">
        <v>65974</v>
      </c>
      <c r="F31" s="29">
        <v>34.0</v>
      </c>
      <c r="G31" s="27">
        <v>2.00900342E8</v>
      </c>
    </row>
    <row r="32" ht="12.75" customHeight="1">
      <c r="A32" s="31">
        <v>890.0</v>
      </c>
      <c r="B32" s="32" t="s">
        <v>65975</v>
      </c>
      <c r="C32" s="31">
        <v>200.0</v>
      </c>
      <c r="D32" s="32" t="s">
        <v>65976</v>
      </c>
      <c r="E32" s="32" t="s">
        <v>65977</v>
      </c>
      <c r="F32" s="33">
        <v>49.0</v>
      </c>
      <c r="G32" s="31">
        <v>2.00900492E8</v>
      </c>
    </row>
    <row r="33" ht="12.75" customHeight="1">
      <c r="A33" s="27">
        <v>890.0</v>
      </c>
      <c r="B33" s="28" t="s">
        <v>65978</v>
      </c>
      <c r="C33" s="27">
        <v>200.0</v>
      </c>
      <c r="D33" s="28" t="s">
        <v>65979</v>
      </c>
      <c r="E33" s="28" t="s">
        <v>65980</v>
      </c>
      <c r="F33" s="29">
        <v>52.0</v>
      </c>
      <c r="G33" s="27">
        <v>2.00900526E8</v>
      </c>
    </row>
    <row r="34" ht="12.75" customHeight="1">
      <c r="A34" s="31">
        <v>890.0</v>
      </c>
      <c r="B34" s="32" t="s">
        <v>65981</v>
      </c>
      <c r="C34" s="31">
        <v>200.0</v>
      </c>
      <c r="D34" s="32" t="s">
        <v>65982</v>
      </c>
      <c r="E34" s="32" t="s">
        <v>65983</v>
      </c>
      <c r="F34" s="33">
        <v>67.0</v>
      </c>
      <c r="G34" s="31">
        <v>2.00900676E8</v>
      </c>
    </row>
    <row r="35" ht="12.75" customHeight="1">
      <c r="A35" s="27">
        <v>890.0</v>
      </c>
      <c r="B35" s="28" t="s">
        <v>65984</v>
      </c>
      <c r="C35" s="27">
        <v>200.0</v>
      </c>
      <c r="D35" s="28" t="s">
        <v>65985</v>
      </c>
      <c r="E35" s="28" t="s">
        <v>65986</v>
      </c>
      <c r="F35" s="27">
        <v>103.0</v>
      </c>
      <c r="G35" s="27">
        <v>2.00901033E8</v>
      </c>
    </row>
    <row r="36" ht="12.75" customHeight="1">
      <c r="A36" s="31">
        <v>890.0</v>
      </c>
      <c r="B36" s="32" t="s">
        <v>65987</v>
      </c>
      <c r="C36" s="31">
        <v>200.0</v>
      </c>
      <c r="D36" s="32" t="s">
        <v>65988</v>
      </c>
      <c r="E36" s="32" t="s">
        <v>65989</v>
      </c>
      <c r="F36" s="31">
        <v>112.0</v>
      </c>
      <c r="G36" s="31">
        <v>2.00901125E8</v>
      </c>
    </row>
    <row r="37" ht="12.75" customHeight="1">
      <c r="A37" s="27">
        <v>890.0</v>
      </c>
      <c r="B37" s="28" t="s">
        <v>65990</v>
      </c>
      <c r="C37" s="27">
        <v>200.0</v>
      </c>
      <c r="D37" s="28" t="s">
        <v>65991</v>
      </c>
      <c r="E37" s="28" t="s">
        <v>65992</v>
      </c>
      <c r="F37" s="27">
        <v>121.0</v>
      </c>
      <c r="G37" s="27">
        <v>2.00901217E8</v>
      </c>
    </row>
    <row r="38" ht="12.75" customHeight="1">
      <c r="A38" s="31">
        <v>891.0</v>
      </c>
      <c r="B38" s="32" t="s">
        <v>65993</v>
      </c>
      <c r="C38" s="31">
        <v>200.0</v>
      </c>
      <c r="D38" s="32" t="s">
        <v>65994</v>
      </c>
      <c r="E38" s="32" t="s">
        <v>65995</v>
      </c>
      <c r="F38" s="33">
        <v>7.0</v>
      </c>
      <c r="G38" s="31">
        <v>2.00910079E8</v>
      </c>
    </row>
    <row r="39" ht="12.75" customHeight="1">
      <c r="A39" s="27">
        <v>891.0</v>
      </c>
      <c r="B39" s="28" t="s">
        <v>65996</v>
      </c>
      <c r="C39" s="27">
        <v>200.0</v>
      </c>
      <c r="D39" s="28" t="s">
        <v>65997</v>
      </c>
      <c r="E39" s="28" t="s">
        <v>65998</v>
      </c>
      <c r="F39" s="29">
        <v>13.0</v>
      </c>
      <c r="G39" s="27">
        <v>2.00910132E8</v>
      </c>
    </row>
    <row r="40" ht="12.75" customHeight="1">
      <c r="A40" s="31">
        <v>891.0</v>
      </c>
      <c r="B40" s="32" t="s">
        <v>65999</v>
      </c>
      <c r="C40" s="31">
        <v>200.0</v>
      </c>
      <c r="D40" s="32" t="s">
        <v>66000</v>
      </c>
      <c r="E40" s="32" t="s">
        <v>66001</v>
      </c>
      <c r="F40" s="33">
        <v>16.0</v>
      </c>
      <c r="G40" s="31">
        <v>2.00910161E8</v>
      </c>
    </row>
    <row r="41" ht="12.75" customHeight="1">
      <c r="A41" s="27">
        <v>891.0</v>
      </c>
      <c r="B41" s="28" t="s">
        <v>66002</v>
      </c>
      <c r="C41" s="27">
        <v>200.0</v>
      </c>
      <c r="D41" s="28" t="s">
        <v>66003</v>
      </c>
      <c r="E41" s="28" t="s">
        <v>66004</v>
      </c>
      <c r="F41" s="29">
        <v>31.0</v>
      </c>
      <c r="G41" s="27">
        <v>2.00910316E8</v>
      </c>
    </row>
    <row r="42" ht="12.75" customHeight="1">
      <c r="A42" s="31">
        <v>891.0</v>
      </c>
      <c r="B42" s="32" t="s">
        <v>66005</v>
      </c>
      <c r="C42" s="31">
        <v>200.0</v>
      </c>
      <c r="D42" s="32" t="s">
        <v>66006</v>
      </c>
      <c r="E42" s="32" t="s">
        <v>66007</v>
      </c>
      <c r="F42" s="33">
        <v>40.0</v>
      </c>
      <c r="G42" s="31">
        <v>2.00910408E8</v>
      </c>
    </row>
    <row r="43" ht="12.75" customHeight="1">
      <c r="A43" s="27">
        <v>891.0</v>
      </c>
      <c r="B43" s="28" t="s">
        <v>66008</v>
      </c>
      <c r="C43" s="27">
        <v>200.0</v>
      </c>
      <c r="D43" s="28" t="s">
        <v>66009</v>
      </c>
      <c r="E43" s="28" t="s">
        <v>66010</v>
      </c>
      <c r="F43" s="29">
        <v>43.0</v>
      </c>
      <c r="G43" s="27">
        <v>2.00910437E8</v>
      </c>
    </row>
    <row r="44" ht="12.75" customHeight="1">
      <c r="A44" s="31">
        <v>891.0</v>
      </c>
      <c r="B44" s="32" t="s">
        <v>66011</v>
      </c>
      <c r="C44" s="31">
        <v>200.0</v>
      </c>
      <c r="D44" s="32" t="s">
        <v>66012</v>
      </c>
      <c r="E44" s="32" t="s">
        <v>66013</v>
      </c>
      <c r="F44" s="33">
        <v>70.0</v>
      </c>
      <c r="G44" s="31">
        <v>2.00910703E8</v>
      </c>
    </row>
    <row r="45" ht="12.75" customHeight="1">
      <c r="A45" s="27">
        <v>891.0</v>
      </c>
      <c r="B45" s="28" t="s">
        <v>66014</v>
      </c>
      <c r="C45" s="27">
        <v>200.0</v>
      </c>
      <c r="D45" s="28" t="s">
        <v>66015</v>
      </c>
      <c r="E45" s="28" t="s">
        <v>66016</v>
      </c>
      <c r="F45" s="29">
        <v>91.0</v>
      </c>
      <c r="G45" s="27">
        <v>2.00910916E8</v>
      </c>
    </row>
    <row r="46" ht="12.75" customHeight="1">
      <c r="A46" s="31">
        <v>891.0</v>
      </c>
      <c r="B46" s="32" t="s">
        <v>66017</v>
      </c>
      <c r="C46" s="31">
        <v>200.0</v>
      </c>
      <c r="D46" s="32" t="s">
        <v>66018</v>
      </c>
      <c r="E46" s="32" t="s">
        <v>66019</v>
      </c>
      <c r="F46" s="33">
        <v>94.0</v>
      </c>
      <c r="G46" s="31">
        <v>2.00910945E8</v>
      </c>
    </row>
    <row r="47" ht="12.75" customHeight="1">
      <c r="A47" s="27">
        <v>891.0</v>
      </c>
      <c r="B47" s="28" t="s">
        <v>66020</v>
      </c>
      <c r="C47" s="27">
        <v>200.0</v>
      </c>
      <c r="D47" s="28" t="s">
        <v>66021</v>
      </c>
      <c r="E47" s="28" t="s">
        <v>66022</v>
      </c>
      <c r="F47" s="29">
        <v>97.0</v>
      </c>
      <c r="G47" s="27">
        <v>2.00910974E8</v>
      </c>
    </row>
    <row r="48" ht="12.75" customHeight="1">
      <c r="A48" s="31">
        <v>891.0</v>
      </c>
      <c r="B48" s="32" t="s">
        <v>66023</v>
      </c>
      <c r="C48" s="31">
        <v>200.0</v>
      </c>
      <c r="D48" s="32" t="s">
        <v>66024</v>
      </c>
      <c r="E48" s="32" t="s">
        <v>66025</v>
      </c>
      <c r="F48" s="31">
        <v>106.0</v>
      </c>
      <c r="G48" s="31">
        <v>2.00911065E8</v>
      </c>
    </row>
    <row r="49" ht="12.75" customHeight="1">
      <c r="A49" s="27">
        <v>891.0</v>
      </c>
      <c r="B49" s="28" t="s">
        <v>66026</v>
      </c>
      <c r="C49" s="27">
        <v>200.0</v>
      </c>
      <c r="D49" s="28" t="s">
        <v>66027</v>
      </c>
      <c r="E49" s="28" t="s">
        <v>66028</v>
      </c>
      <c r="F49" s="27">
        <v>130.0</v>
      </c>
      <c r="G49" s="27">
        <v>2.00911302E8</v>
      </c>
    </row>
    <row r="50" ht="12.75" customHeight="1">
      <c r="A50" s="31">
        <v>891.0</v>
      </c>
      <c r="B50" s="32" t="s">
        <v>66029</v>
      </c>
      <c r="C50" s="31">
        <v>200.0</v>
      </c>
      <c r="D50" s="32" t="s">
        <v>66030</v>
      </c>
      <c r="E50" s="32" t="s">
        <v>66031</v>
      </c>
      <c r="F50" s="31">
        <v>136.0</v>
      </c>
      <c r="G50" s="31">
        <v>2.0091136E8</v>
      </c>
    </row>
    <row r="51" ht="12.75" customHeight="1">
      <c r="A51" s="27">
        <v>891.0</v>
      </c>
      <c r="B51" s="28" t="s">
        <v>66032</v>
      </c>
      <c r="C51" s="27">
        <v>200.0</v>
      </c>
      <c r="D51" s="28" t="s">
        <v>66033</v>
      </c>
      <c r="E51" s="28" t="s">
        <v>66034</v>
      </c>
      <c r="F51" s="27">
        <v>139.0</v>
      </c>
      <c r="G51" s="27">
        <v>2.00911399E8</v>
      </c>
    </row>
    <row r="52" ht="12.75" customHeight="1">
      <c r="A52" s="31">
        <v>891.0</v>
      </c>
      <c r="B52" s="32" t="s">
        <v>66035</v>
      </c>
      <c r="C52" s="31">
        <v>200.0</v>
      </c>
      <c r="D52" s="32" t="s">
        <v>66036</v>
      </c>
      <c r="E52" s="32" t="s">
        <v>66037</v>
      </c>
      <c r="F52" s="31">
        <v>160.0</v>
      </c>
      <c r="G52" s="31">
        <v>2.00911607E8</v>
      </c>
    </row>
    <row r="53" ht="12.75" customHeight="1">
      <c r="A53" s="27">
        <v>891.0</v>
      </c>
      <c r="B53" s="28" t="s">
        <v>66038</v>
      </c>
      <c r="C53" s="27">
        <v>200.0</v>
      </c>
      <c r="D53" s="28" t="s">
        <v>66039</v>
      </c>
      <c r="E53" s="28" t="s">
        <v>66040</v>
      </c>
      <c r="F53" s="27">
        <v>163.0</v>
      </c>
      <c r="G53" s="27">
        <v>2.00911636E8</v>
      </c>
    </row>
    <row r="54" ht="12.75" customHeight="1">
      <c r="A54" s="31">
        <v>891.0</v>
      </c>
      <c r="B54" s="32" t="s">
        <v>66041</v>
      </c>
      <c r="C54" s="31">
        <v>200.0</v>
      </c>
      <c r="D54" s="32" t="s">
        <v>66042</v>
      </c>
      <c r="E54" s="32" t="s">
        <v>66043</v>
      </c>
      <c r="F54" s="31">
        <v>181.0</v>
      </c>
      <c r="G54" s="31">
        <v>2.0091181E8</v>
      </c>
    </row>
    <row r="55" ht="12.75" customHeight="1">
      <c r="A55" s="27">
        <v>891.0</v>
      </c>
      <c r="B55" s="28" t="s">
        <v>66044</v>
      </c>
      <c r="C55" s="27">
        <v>200.0</v>
      </c>
      <c r="D55" s="28" t="s">
        <v>66045</v>
      </c>
      <c r="E55" s="28" t="s">
        <v>66046</v>
      </c>
      <c r="F55" s="27">
        <v>205.0</v>
      </c>
      <c r="G55" s="27">
        <v>2.00912051E8</v>
      </c>
    </row>
    <row r="56" ht="12.75" customHeight="1">
      <c r="A56" s="31">
        <v>891.0</v>
      </c>
      <c r="B56" s="32" t="s">
        <v>66047</v>
      </c>
      <c r="C56" s="31">
        <v>200.0</v>
      </c>
      <c r="D56" s="32" t="s">
        <v>66048</v>
      </c>
      <c r="E56" s="32" t="s">
        <v>66049</v>
      </c>
      <c r="F56" s="31">
        <v>208.0</v>
      </c>
      <c r="G56" s="31">
        <v>2.0091208E8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891.0</v>
      </c>
      <c r="B1" s="28" t="s">
        <v>66050</v>
      </c>
      <c r="C1" s="27">
        <v>200.0</v>
      </c>
      <c r="D1" s="28" t="s">
        <v>66051</v>
      </c>
      <c r="E1" s="28" t="s">
        <v>66052</v>
      </c>
      <c r="F1" s="27">
        <v>211.0</v>
      </c>
      <c r="G1" s="27">
        <v>2.00912114E8</v>
      </c>
    </row>
    <row r="2" ht="12.75" customHeight="1">
      <c r="A2" s="31">
        <v>891.0</v>
      </c>
      <c r="B2" s="32" t="s">
        <v>66053</v>
      </c>
      <c r="C2" s="31">
        <v>200.0</v>
      </c>
      <c r="D2" s="32" t="s">
        <v>66054</v>
      </c>
      <c r="E2" s="32" t="s">
        <v>66055</v>
      </c>
      <c r="F2" s="31">
        <v>220.0</v>
      </c>
      <c r="G2" s="31">
        <v>2.00912206E8</v>
      </c>
    </row>
    <row r="3" ht="12.75" customHeight="1">
      <c r="A3" s="27">
        <v>891.0</v>
      </c>
      <c r="B3" s="28" t="s">
        <v>66056</v>
      </c>
      <c r="C3" s="27">
        <v>200.0</v>
      </c>
      <c r="D3" s="28" t="s">
        <v>66057</v>
      </c>
      <c r="E3" s="28" t="s">
        <v>66058</v>
      </c>
      <c r="F3" s="27">
        <v>271.0</v>
      </c>
      <c r="G3" s="27">
        <v>2.00912714E8</v>
      </c>
    </row>
    <row r="4" ht="12.75" customHeight="1">
      <c r="A4" s="31">
        <v>891.0</v>
      </c>
      <c r="B4" s="32" t="s">
        <v>66059</v>
      </c>
      <c r="C4" s="31">
        <v>200.0</v>
      </c>
      <c r="D4" s="32" t="s">
        <v>66060</v>
      </c>
      <c r="E4" s="32" t="s">
        <v>66061</v>
      </c>
      <c r="F4" s="31">
        <v>289.0</v>
      </c>
      <c r="G4" s="31">
        <v>2.00912893E8</v>
      </c>
    </row>
    <row r="5" ht="12.75" customHeight="1">
      <c r="A5" s="27">
        <v>891.0</v>
      </c>
      <c r="B5" s="28" t="s">
        <v>66062</v>
      </c>
      <c r="C5" s="27">
        <v>200.0</v>
      </c>
      <c r="D5" s="28" t="s">
        <v>66063</v>
      </c>
      <c r="E5" s="28" t="s">
        <v>66064</v>
      </c>
      <c r="F5" s="27">
        <v>307.0</v>
      </c>
      <c r="G5" s="27">
        <v>2.00913076E8</v>
      </c>
    </row>
    <row r="6" ht="12.75" customHeight="1">
      <c r="A6" s="31">
        <v>891.0</v>
      </c>
      <c r="B6" s="32" t="s">
        <v>66065</v>
      </c>
      <c r="C6" s="31">
        <v>200.0</v>
      </c>
      <c r="D6" s="32" t="s">
        <v>66066</v>
      </c>
      <c r="E6" s="32" t="s">
        <v>66067</v>
      </c>
      <c r="F6" s="31">
        <v>346.0</v>
      </c>
      <c r="G6" s="31">
        <v>2.00913463E8</v>
      </c>
    </row>
    <row r="7" ht="12.75" customHeight="1">
      <c r="A7" s="27">
        <v>891.0</v>
      </c>
      <c r="B7" s="28" t="s">
        <v>66068</v>
      </c>
      <c r="C7" s="27">
        <v>200.0</v>
      </c>
      <c r="D7" s="28" t="s">
        <v>66069</v>
      </c>
      <c r="E7" s="28" t="s">
        <v>66070</v>
      </c>
      <c r="F7" s="27">
        <v>358.0</v>
      </c>
      <c r="G7" s="27">
        <v>2.00913584E8</v>
      </c>
    </row>
    <row r="8" ht="12.75" customHeight="1">
      <c r="A8" s="31">
        <v>891.0</v>
      </c>
      <c r="B8" s="32" t="s">
        <v>66071</v>
      </c>
      <c r="C8" s="31">
        <v>200.0</v>
      </c>
      <c r="D8" s="32" t="s">
        <v>66072</v>
      </c>
      <c r="E8" s="32" t="s">
        <v>66073</v>
      </c>
      <c r="F8" s="31">
        <v>361.0</v>
      </c>
      <c r="G8" s="31">
        <v>2.00913618E8</v>
      </c>
    </row>
    <row r="9" ht="12.75" customHeight="1">
      <c r="A9" s="27">
        <v>891.0</v>
      </c>
      <c r="B9" s="28" t="s">
        <v>66074</v>
      </c>
      <c r="C9" s="27">
        <v>200.0</v>
      </c>
      <c r="D9" s="28" t="s">
        <v>66075</v>
      </c>
      <c r="E9" s="28" t="s">
        <v>66076</v>
      </c>
      <c r="F9" s="27">
        <v>364.0</v>
      </c>
      <c r="G9" s="27">
        <v>2.00913647E8</v>
      </c>
    </row>
    <row r="10" ht="12.75" customHeight="1">
      <c r="A10" s="31">
        <v>891.0</v>
      </c>
      <c r="B10" s="32" t="s">
        <v>66077</v>
      </c>
      <c r="C10" s="31">
        <v>200.0</v>
      </c>
      <c r="D10" s="32" t="s">
        <v>66078</v>
      </c>
      <c r="E10" s="32" t="s">
        <v>66079</v>
      </c>
      <c r="F10" s="31">
        <v>382.0</v>
      </c>
      <c r="G10" s="31">
        <v>2.00913821E8</v>
      </c>
    </row>
    <row r="11" ht="12.75" customHeight="1">
      <c r="A11" s="27">
        <v>891.0</v>
      </c>
      <c r="B11" s="28" t="s">
        <v>66080</v>
      </c>
      <c r="C11" s="27">
        <v>200.0</v>
      </c>
      <c r="D11" s="28" t="s">
        <v>66081</v>
      </c>
      <c r="E11" s="28" t="s">
        <v>66082</v>
      </c>
      <c r="F11" s="27">
        <v>391.0</v>
      </c>
      <c r="G11" s="27">
        <v>2.00913913E8</v>
      </c>
    </row>
    <row r="12" ht="12.75" customHeight="1">
      <c r="A12" s="31">
        <v>891.0</v>
      </c>
      <c r="B12" s="32" t="s">
        <v>66083</v>
      </c>
      <c r="C12" s="31">
        <v>200.0</v>
      </c>
      <c r="D12" s="32" t="s">
        <v>66084</v>
      </c>
      <c r="E12" s="32" t="s">
        <v>66085</v>
      </c>
      <c r="F12" s="31">
        <v>394.0</v>
      </c>
      <c r="G12" s="31">
        <v>2.00913942E8</v>
      </c>
    </row>
    <row r="13" ht="12.75" customHeight="1">
      <c r="A13" s="27">
        <v>891.0</v>
      </c>
      <c r="B13" s="28" t="s">
        <v>66086</v>
      </c>
      <c r="C13" s="27">
        <v>200.0</v>
      </c>
      <c r="D13" s="28" t="s">
        <v>66087</v>
      </c>
      <c r="E13" s="28" t="s">
        <v>66088</v>
      </c>
      <c r="F13" s="27">
        <v>412.0</v>
      </c>
      <c r="G13" s="27">
        <v>2.00914125E8</v>
      </c>
    </row>
    <row r="14" ht="12.75" customHeight="1">
      <c r="A14" s="31">
        <v>193.0</v>
      </c>
      <c r="B14" s="32" t="s">
        <v>66089</v>
      </c>
      <c r="C14" s="31">
        <v>200.0</v>
      </c>
      <c r="D14" s="32" t="s">
        <v>66090</v>
      </c>
      <c r="E14" s="32" t="s">
        <v>66091</v>
      </c>
      <c r="F14" s="33">
        <v>31.0</v>
      </c>
      <c r="G14" s="31">
        <v>2.00930312E8</v>
      </c>
    </row>
    <row r="15" ht="12.75" customHeight="1">
      <c r="A15" s="27">
        <v>193.0</v>
      </c>
      <c r="B15" s="28" t="s">
        <v>66092</v>
      </c>
      <c r="C15" s="27">
        <v>200.0</v>
      </c>
      <c r="D15" s="28" t="s">
        <v>66093</v>
      </c>
      <c r="E15" s="28" t="s">
        <v>66094</v>
      </c>
      <c r="F15" s="29">
        <v>37.0</v>
      </c>
      <c r="G15" s="27">
        <v>2.0093037E8</v>
      </c>
    </row>
    <row r="16" ht="12.75" customHeight="1">
      <c r="A16" s="31">
        <v>193.0</v>
      </c>
      <c r="B16" s="32" t="s">
        <v>66095</v>
      </c>
      <c r="C16" s="31">
        <v>200.0</v>
      </c>
      <c r="D16" s="32" t="s">
        <v>66096</v>
      </c>
      <c r="E16" s="32" t="s">
        <v>66097</v>
      </c>
      <c r="F16" s="33">
        <v>46.0</v>
      </c>
      <c r="G16" s="31">
        <v>2.00930462E8</v>
      </c>
    </row>
    <row r="17" ht="12.75" customHeight="1">
      <c r="A17" s="27">
        <v>193.0</v>
      </c>
      <c r="B17" s="28" t="s">
        <v>66098</v>
      </c>
      <c r="C17" s="27">
        <v>200.0</v>
      </c>
      <c r="D17" s="28" t="s">
        <v>66099</v>
      </c>
      <c r="E17" s="28" t="s">
        <v>66100</v>
      </c>
      <c r="F17" s="29">
        <v>55.0</v>
      </c>
      <c r="G17" s="27">
        <v>2.00930554E8</v>
      </c>
    </row>
    <row r="18" ht="12.75" customHeight="1">
      <c r="A18" s="31">
        <v>193.0</v>
      </c>
      <c r="B18" s="32" t="s">
        <v>66101</v>
      </c>
      <c r="C18" s="31">
        <v>200.0</v>
      </c>
      <c r="D18" s="32" t="s">
        <v>66102</v>
      </c>
      <c r="E18" s="32" t="s">
        <v>66103</v>
      </c>
      <c r="F18" s="33">
        <v>58.0</v>
      </c>
      <c r="G18" s="31">
        <v>2.00930583E8</v>
      </c>
    </row>
    <row r="19" ht="12.75" customHeight="1">
      <c r="A19" s="27">
        <v>193.0</v>
      </c>
      <c r="B19" s="28" t="s">
        <v>66104</v>
      </c>
      <c r="C19" s="27">
        <v>200.0</v>
      </c>
      <c r="D19" s="28" t="s">
        <v>66105</v>
      </c>
      <c r="E19" s="28" t="s">
        <v>66106</v>
      </c>
      <c r="F19" s="29">
        <v>67.0</v>
      </c>
      <c r="G19" s="27">
        <v>2.00930675E8</v>
      </c>
    </row>
    <row r="20" ht="12.75" customHeight="1">
      <c r="A20" s="31">
        <v>193.0</v>
      </c>
      <c r="B20" s="32" t="s">
        <v>66107</v>
      </c>
      <c r="C20" s="31">
        <v>200.0</v>
      </c>
      <c r="D20" s="32" t="s">
        <v>66108</v>
      </c>
      <c r="E20" s="32" t="s">
        <v>66109</v>
      </c>
      <c r="F20" s="33">
        <v>88.0</v>
      </c>
      <c r="G20" s="31">
        <v>2.00930888E8</v>
      </c>
    </row>
    <row r="21" ht="12.75" customHeight="1">
      <c r="A21" s="27">
        <v>193.0</v>
      </c>
      <c r="B21" s="28" t="s">
        <v>66110</v>
      </c>
      <c r="C21" s="27">
        <v>200.0</v>
      </c>
      <c r="D21" s="28" t="s">
        <v>66111</v>
      </c>
      <c r="E21" s="28" t="s">
        <v>66112</v>
      </c>
      <c r="F21" s="29">
        <v>90.0</v>
      </c>
      <c r="G21" s="27">
        <v>2.00930909E8</v>
      </c>
    </row>
    <row r="22" ht="12.75" customHeight="1">
      <c r="A22" s="31">
        <v>193.0</v>
      </c>
      <c r="B22" s="32" t="s">
        <v>66113</v>
      </c>
      <c r="C22" s="31">
        <v>200.0</v>
      </c>
      <c r="D22" s="32" t="s">
        <v>66114</v>
      </c>
      <c r="E22" s="32" t="s">
        <v>66115</v>
      </c>
      <c r="F22" s="33">
        <v>91.0</v>
      </c>
      <c r="G22" s="31">
        <v>2.00930912E8</v>
      </c>
    </row>
    <row r="23" ht="12.75" customHeight="1">
      <c r="A23" s="27">
        <v>193.0</v>
      </c>
      <c r="B23" s="28" t="s">
        <v>66116</v>
      </c>
      <c r="C23" s="27">
        <v>200.0</v>
      </c>
      <c r="D23" s="28" t="s">
        <v>66117</v>
      </c>
      <c r="E23" s="28" t="s">
        <v>66118</v>
      </c>
      <c r="F23" s="29">
        <v>97.0</v>
      </c>
      <c r="G23" s="27">
        <v>2.0093097E8</v>
      </c>
    </row>
    <row r="24" ht="12.75" customHeight="1">
      <c r="A24" s="31">
        <v>193.0</v>
      </c>
      <c r="B24" s="32" t="s">
        <v>66119</v>
      </c>
      <c r="C24" s="31">
        <v>200.0</v>
      </c>
      <c r="D24" s="32" t="s">
        <v>66120</v>
      </c>
      <c r="E24" s="32" t="s">
        <v>66121</v>
      </c>
      <c r="F24" s="31">
        <v>100.0</v>
      </c>
      <c r="G24" s="31">
        <v>2.00931003E8</v>
      </c>
    </row>
    <row r="25" ht="12.75" customHeight="1">
      <c r="A25" s="27">
        <v>193.0</v>
      </c>
      <c r="B25" s="28" t="s">
        <v>66122</v>
      </c>
      <c r="C25" s="27">
        <v>200.0</v>
      </c>
      <c r="D25" s="28" t="s">
        <v>66123</v>
      </c>
      <c r="E25" s="28" t="s">
        <v>66124</v>
      </c>
      <c r="F25" s="27">
        <v>103.0</v>
      </c>
      <c r="G25" s="27">
        <v>2.00931032E8</v>
      </c>
    </row>
    <row r="26" ht="12.75" customHeight="1">
      <c r="A26" s="31">
        <v>193.0</v>
      </c>
      <c r="B26" s="32" t="s">
        <v>66125</v>
      </c>
      <c r="C26" s="31">
        <v>200.0</v>
      </c>
      <c r="D26" s="32" t="s">
        <v>66126</v>
      </c>
      <c r="E26" s="32" t="s">
        <v>66127</v>
      </c>
      <c r="F26" s="31">
        <v>111.0</v>
      </c>
      <c r="G26" s="31">
        <v>2.00931111E8</v>
      </c>
    </row>
    <row r="27" ht="12.75" customHeight="1">
      <c r="A27" s="27">
        <v>193.0</v>
      </c>
      <c r="B27" s="28" t="s">
        <v>66128</v>
      </c>
      <c r="C27" s="27">
        <v>200.0</v>
      </c>
      <c r="D27" s="28" t="s">
        <v>66129</v>
      </c>
      <c r="E27" s="28" t="s">
        <v>66130</v>
      </c>
      <c r="F27" s="27">
        <v>130.0</v>
      </c>
      <c r="G27" s="27">
        <v>2.00931308E8</v>
      </c>
    </row>
    <row r="28" ht="12.75" customHeight="1">
      <c r="A28" s="31">
        <v>193.0</v>
      </c>
      <c r="B28" s="32" t="s">
        <v>66131</v>
      </c>
      <c r="C28" s="31">
        <v>200.0</v>
      </c>
      <c r="D28" s="32" t="s">
        <v>66132</v>
      </c>
      <c r="E28" s="32" t="s">
        <v>66133</v>
      </c>
      <c r="F28" s="31">
        <v>140.0</v>
      </c>
      <c r="G28" s="31">
        <v>2.00931403E8</v>
      </c>
    </row>
    <row r="29" ht="12.75" customHeight="1">
      <c r="A29" s="27">
        <v>193.0</v>
      </c>
      <c r="B29" s="28" t="s">
        <v>66134</v>
      </c>
      <c r="C29" s="27">
        <v>200.0</v>
      </c>
      <c r="D29" s="28" t="s">
        <v>66135</v>
      </c>
      <c r="E29" s="28" t="s">
        <v>66136</v>
      </c>
      <c r="F29" s="27">
        <v>142.0</v>
      </c>
      <c r="G29" s="27">
        <v>2.00931429E8</v>
      </c>
    </row>
    <row r="30" ht="12.75" customHeight="1">
      <c r="A30" s="31">
        <v>193.0</v>
      </c>
      <c r="B30" s="32" t="s">
        <v>66137</v>
      </c>
      <c r="C30" s="31">
        <v>200.0</v>
      </c>
      <c r="D30" s="32" t="s">
        <v>66138</v>
      </c>
      <c r="E30" s="32" t="s">
        <v>66139</v>
      </c>
      <c r="F30" s="31">
        <v>145.0</v>
      </c>
      <c r="G30" s="31">
        <v>2.00931458E8</v>
      </c>
    </row>
    <row r="31" ht="12.75" customHeight="1">
      <c r="A31" s="27">
        <v>193.0</v>
      </c>
      <c r="B31" s="28" t="s">
        <v>66140</v>
      </c>
      <c r="C31" s="27">
        <v>200.0</v>
      </c>
      <c r="D31" s="28" t="s">
        <v>66141</v>
      </c>
      <c r="E31" s="28" t="s">
        <v>66142</v>
      </c>
      <c r="F31" s="27">
        <v>148.0</v>
      </c>
      <c r="G31" s="27">
        <v>2.00931487E8</v>
      </c>
    </row>
    <row r="32" ht="12.75" customHeight="1">
      <c r="A32" s="31">
        <v>193.0</v>
      </c>
      <c r="B32" s="32" t="s">
        <v>66143</v>
      </c>
      <c r="C32" s="31">
        <v>200.0</v>
      </c>
      <c r="D32" s="32" t="s">
        <v>66144</v>
      </c>
      <c r="E32" s="32" t="s">
        <v>66145</v>
      </c>
      <c r="F32" s="31">
        <v>149.0</v>
      </c>
      <c r="G32" s="31">
        <v>2.0093149E8</v>
      </c>
    </row>
    <row r="33" ht="12.75" customHeight="1">
      <c r="A33" s="27">
        <v>193.0</v>
      </c>
      <c r="B33" s="28" t="s">
        <v>66146</v>
      </c>
      <c r="C33" s="27">
        <v>200.0</v>
      </c>
      <c r="D33" s="28" t="s">
        <v>66147</v>
      </c>
      <c r="E33" s="28" t="s">
        <v>66148</v>
      </c>
      <c r="F33" s="27">
        <v>151.0</v>
      </c>
      <c r="G33" s="27">
        <v>2.00931511E8</v>
      </c>
    </row>
    <row r="34" ht="12.75" customHeight="1">
      <c r="A34" s="31">
        <v>193.0</v>
      </c>
      <c r="B34" s="32" t="s">
        <v>66149</v>
      </c>
      <c r="C34" s="31">
        <v>200.0</v>
      </c>
      <c r="D34" s="32" t="s">
        <v>66150</v>
      </c>
      <c r="E34" s="32" t="s">
        <v>66151</v>
      </c>
      <c r="F34" s="31">
        <v>160.0</v>
      </c>
      <c r="G34" s="31">
        <v>2.00931603E8</v>
      </c>
    </row>
    <row r="35" ht="12.75" customHeight="1">
      <c r="A35" s="27">
        <v>193.0</v>
      </c>
      <c r="B35" s="28" t="s">
        <v>66152</v>
      </c>
      <c r="C35" s="27">
        <v>200.0</v>
      </c>
      <c r="D35" s="28" t="s">
        <v>66153</v>
      </c>
      <c r="E35" s="28" t="s">
        <v>66154</v>
      </c>
      <c r="F35" s="27">
        <v>169.0</v>
      </c>
      <c r="G35" s="27">
        <v>2.0093169E8</v>
      </c>
    </row>
    <row r="36" ht="12.75" customHeight="1">
      <c r="A36" s="31">
        <v>193.0</v>
      </c>
      <c r="B36" s="32" t="s">
        <v>66155</v>
      </c>
      <c r="C36" s="31">
        <v>200.0</v>
      </c>
      <c r="D36" s="32" t="s">
        <v>66156</v>
      </c>
      <c r="E36" s="32" t="s">
        <v>66157</v>
      </c>
      <c r="F36" s="31">
        <v>181.0</v>
      </c>
      <c r="G36" s="31">
        <v>2.00931816E8</v>
      </c>
    </row>
    <row r="37" ht="12.75" customHeight="1">
      <c r="A37" s="27">
        <v>193.0</v>
      </c>
      <c r="B37" s="28" t="s">
        <v>66158</v>
      </c>
      <c r="C37" s="27">
        <v>200.0</v>
      </c>
      <c r="D37" s="28" t="s">
        <v>66159</v>
      </c>
      <c r="E37" s="28" t="s">
        <v>66160</v>
      </c>
      <c r="F37" s="27">
        <v>187.0</v>
      </c>
      <c r="G37" s="27">
        <v>2.00931874E8</v>
      </c>
    </row>
    <row r="38" ht="12.75" customHeight="1">
      <c r="A38" s="31">
        <v>193.0</v>
      </c>
      <c r="B38" s="32" t="s">
        <v>66161</v>
      </c>
      <c r="C38" s="31">
        <v>200.0</v>
      </c>
      <c r="D38" s="32" t="s">
        <v>66162</v>
      </c>
      <c r="E38" s="32" t="s">
        <v>66163</v>
      </c>
      <c r="F38" s="31">
        <v>190.0</v>
      </c>
      <c r="G38" s="31">
        <v>2.00931908E8</v>
      </c>
    </row>
    <row r="39" ht="12.75" customHeight="1">
      <c r="A39" s="27">
        <v>193.0</v>
      </c>
      <c r="B39" s="28" t="s">
        <v>66164</v>
      </c>
      <c r="C39" s="27">
        <v>200.0</v>
      </c>
      <c r="D39" s="28" t="s">
        <v>66165</v>
      </c>
      <c r="E39" s="28" t="s">
        <v>66166</v>
      </c>
      <c r="F39" s="27">
        <v>217.0</v>
      </c>
      <c r="G39" s="27">
        <v>2.00932178E8</v>
      </c>
    </row>
    <row r="40" ht="12.75" customHeight="1">
      <c r="A40" s="31">
        <v>193.0</v>
      </c>
      <c r="B40" s="32" t="s">
        <v>66167</v>
      </c>
      <c r="C40" s="31">
        <v>200.0</v>
      </c>
      <c r="D40" s="32" t="s">
        <v>66168</v>
      </c>
      <c r="E40" s="32" t="s">
        <v>66169</v>
      </c>
      <c r="F40" s="31">
        <v>220.0</v>
      </c>
      <c r="G40" s="31">
        <v>2.00932202E8</v>
      </c>
    </row>
    <row r="41" ht="12.75" customHeight="1">
      <c r="A41" s="27">
        <v>193.0</v>
      </c>
      <c r="B41" s="28" t="s">
        <v>66170</v>
      </c>
      <c r="C41" s="27">
        <v>200.0</v>
      </c>
      <c r="D41" s="28" t="s">
        <v>66171</v>
      </c>
      <c r="E41" s="28" t="s">
        <v>66172</v>
      </c>
      <c r="F41" s="27">
        <v>229.0</v>
      </c>
      <c r="G41" s="27">
        <v>2.00932299E8</v>
      </c>
    </row>
    <row r="42" ht="12.75" customHeight="1">
      <c r="A42" s="31">
        <v>193.0</v>
      </c>
      <c r="B42" s="32" t="s">
        <v>66173</v>
      </c>
      <c r="C42" s="31">
        <v>200.0</v>
      </c>
      <c r="D42" s="32" t="s">
        <v>66174</v>
      </c>
      <c r="E42" s="32" t="s">
        <v>66175</v>
      </c>
      <c r="F42" s="31">
        <v>232.0</v>
      </c>
      <c r="G42" s="31">
        <v>2.00932323E8</v>
      </c>
    </row>
    <row r="43" ht="12.75" customHeight="1">
      <c r="A43" s="27">
        <v>193.0</v>
      </c>
      <c r="B43" s="28" t="s">
        <v>66176</v>
      </c>
      <c r="C43" s="27">
        <v>200.0</v>
      </c>
      <c r="D43" s="28" t="s">
        <v>66177</v>
      </c>
      <c r="E43" s="28" t="s">
        <v>66178</v>
      </c>
      <c r="F43" s="27">
        <v>238.0</v>
      </c>
      <c r="G43" s="27">
        <v>2.00932381E8</v>
      </c>
    </row>
    <row r="44" ht="12.75" customHeight="1">
      <c r="A44" s="31">
        <v>794.0</v>
      </c>
      <c r="B44" s="32" t="s">
        <v>66179</v>
      </c>
      <c r="C44" s="31">
        <v>200.0</v>
      </c>
      <c r="D44" s="32" t="s">
        <v>66180</v>
      </c>
      <c r="E44" s="32" t="s">
        <v>66181</v>
      </c>
      <c r="F44" s="33">
        <v>4.0</v>
      </c>
      <c r="G44" s="31">
        <v>2.00940049E8</v>
      </c>
    </row>
    <row r="45" ht="12.75" customHeight="1">
      <c r="A45" s="27">
        <v>794.0</v>
      </c>
      <c r="B45" s="28" t="s">
        <v>66182</v>
      </c>
      <c r="C45" s="27">
        <v>200.0</v>
      </c>
      <c r="D45" s="28" t="s">
        <v>66183</v>
      </c>
      <c r="E45" s="28" t="s">
        <v>66184</v>
      </c>
      <c r="F45" s="29">
        <v>10.0</v>
      </c>
      <c r="G45" s="27">
        <v>2.00940102E8</v>
      </c>
    </row>
    <row r="46" ht="12.75" customHeight="1">
      <c r="A46" s="31">
        <v>794.0</v>
      </c>
      <c r="B46" s="32" t="s">
        <v>66185</v>
      </c>
      <c r="C46" s="31">
        <v>200.0</v>
      </c>
      <c r="D46" s="32" t="s">
        <v>66186</v>
      </c>
      <c r="E46" s="32" t="s">
        <v>66187</v>
      </c>
      <c r="F46" s="33">
        <v>28.0</v>
      </c>
      <c r="G46" s="31">
        <v>2.00940281E8</v>
      </c>
    </row>
    <row r="47" ht="12.75" customHeight="1">
      <c r="A47" s="27">
        <v>794.0</v>
      </c>
      <c r="B47" s="28" t="s">
        <v>66188</v>
      </c>
      <c r="C47" s="27">
        <v>200.0</v>
      </c>
      <c r="D47" s="28" t="s">
        <v>66189</v>
      </c>
      <c r="E47" s="28" t="s">
        <v>66190</v>
      </c>
      <c r="F47" s="29">
        <v>43.0</v>
      </c>
      <c r="G47" s="27">
        <v>2.00940436E8</v>
      </c>
    </row>
    <row r="48" ht="12.75" customHeight="1">
      <c r="A48" s="31">
        <v>794.0</v>
      </c>
      <c r="B48" s="32" t="s">
        <v>66191</v>
      </c>
      <c r="C48" s="31">
        <v>200.0</v>
      </c>
      <c r="D48" s="32" t="s">
        <v>66192</v>
      </c>
      <c r="E48" s="32" t="s">
        <v>66193</v>
      </c>
      <c r="F48" s="33">
        <v>46.0</v>
      </c>
      <c r="G48" s="31">
        <v>2.00940465E8</v>
      </c>
    </row>
    <row r="49" ht="12.75" customHeight="1">
      <c r="A49" s="27">
        <v>794.0</v>
      </c>
      <c r="B49" s="28" t="s">
        <v>66194</v>
      </c>
      <c r="C49" s="27">
        <v>200.0</v>
      </c>
      <c r="D49" s="28" t="s">
        <v>66195</v>
      </c>
      <c r="E49" s="28" t="s">
        <v>66196</v>
      </c>
      <c r="F49" s="29">
        <v>49.0</v>
      </c>
      <c r="G49" s="27">
        <v>2.00940494E8</v>
      </c>
    </row>
    <row r="50" ht="12.75" customHeight="1">
      <c r="A50" s="31">
        <v>794.0</v>
      </c>
      <c r="B50" s="32" t="s">
        <v>66197</v>
      </c>
      <c r="C50" s="31">
        <v>200.0</v>
      </c>
      <c r="D50" s="32" t="s">
        <v>66198</v>
      </c>
      <c r="E50" s="32" t="s">
        <v>66199</v>
      </c>
      <c r="F50" s="33">
        <v>58.0</v>
      </c>
      <c r="G50" s="31">
        <v>2.00940586E8</v>
      </c>
    </row>
    <row r="51" ht="12.75" customHeight="1">
      <c r="A51" s="27">
        <v>794.0</v>
      </c>
      <c r="B51" s="28" t="s">
        <v>66200</v>
      </c>
      <c r="C51" s="27">
        <v>200.0</v>
      </c>
      <c r="D51" s="28" t="s">
        <v>66201</v>
      </c>
      <c r="E51" s="28" t="s">
        <v>66202</v>
      </c>
      <c r="F51" s="29">
        <v>73.0</v>
      </c>
      <c r="G51" s="27">
        <v>2.00940731E8</v>
      </c>
    </row>
    <row r="52" ht="12.75" customHeight="1">
      <c r="A52" s="31">
        <v>794.0</v>
      </c>
      <c r="B52" s="32" t="s">
        <v>66203</v>
      </c>
      <c r="C52" s="31">
        <v>200.0</v>
      </c>
      <c r="D52" s="32" t="s">
        <v>66204</v>
      </c>
      <c r="E52" s="32" t="s">
        <v>66205</v>
      </c>
      <c r="F52" s="33">
        <v>76.0</v>
      </c>
      <c r="G52" s="31">
        <v>2.0094076E8</v>
      </c>
    </row>
    <row r="53" ht="12.75" customHeight="1">
      <c r="A53" s="27">
        <v>794.0</v>
      </c>
      <c r="B53" s="28" t="s">
        <v>66206</v>
      </c>
      <c r="C53" s="27">
        <v>200.0</v>
      </c>
      <c r="D53" s="28" t="s">
        <v>66207</v>
      </c>
      <c r="E53" s="28" t="s">
        <v>66208</v>
      </c>
      <c r="F53" s="29">
        <v>82.0</v>
      </c>
      <c r="G53" s="27">
        <v>2.00940823E8</v>
      </c>
    </row>
    <row r="54" ht="12.75" customHeight="1">
      <c r="A54" s="31">
        <v>794.0</v>
      </c>
      <c r="B54" s="32" t="s">
        <v>66209</v>
      </c>
      <c r="C54" s="31">
        <v>200.0</v>
      </c>
      <c r="D54" s="32" t="s">
        <v>66210</v>
      </c>
      <c r="E54" s="32" t="s">
        <v>66211</v>
      </c>
      <c r="F54" s="33">
        <v>85.0</v>
      </c>
      <c r="G54" s="31">
        <v>2.00940852E8</v>
      </c>
    </row>
    <row r="55" ht="12.75" customHeight="1">
      <c r="A55" s="27">
        <v>794.0</v>
      </c>
      <c r="B55" s="28" t="s">
        <v>66212</v>
      </c>
      <c r="C55" s="27">
        <v>200.0</v>
      </c>
      <c r="D55" s="28" t="s">
        <v>66213</v>
      </c>
      <c r="E55" s="28" t="s">
        <v>66214</v>
      </c>
      <c r="F55" s="29">
        <v>88.0</v>
      </c>
      <c r="G55" s="27">
        <v>2.00940881E8</v>
      </c>
    </row>
    <row r="56" ht="12.75" customHeight="1">
      <c r="A56" s="31">
        <v>794.0</v>
      </c>
      <c r="B56" s="32" t="s">
        <v>66215</v>
      </c>
      <c r="C56" s="31">
        <v>200.0</v>
      </c>
      <c r="D56" s="32" t="s">
        <v>66216</v>
      </c>
      <c r="E56" s="32" t="s">
        <v>66217</v>
      </c>
      <c r="F56" s="33">
        <v>91.0</v>
      </c>
      <c r="G56" s="31">
        <v>2.00940915E8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794.0</v>
      </c>
      <c r="B1" s="28" t="s">
        <v>66218</v>
      </c>
      <c r="C1" s="27">
        <v>200.0</v>
      </c>
      <c r="D1" s="28" t="s">
        <v>66219</v>
      </c>
      <c r="E1" s="28" t="s">
        <v>66220</v>
      </c>
      <c r="F1" s="29">
        <v>97.0</v>
      </c>
      <c r="G1" s="27">
        <v>2.00940973E8</v>
      </c>
    </row>
    <row r="2" ht="12.75" customHeight="1">
      <c r="A2" s="31">
        <v>794.0</v>
      </c>
      <c r="B2" s="32" t="s">
        <v>66221</v>
      </c>
      <c r="C2" s="31">
        <v>200.0</v>
      </c>
      <c r="D2" s="32" t="s">
        <v>66222</v>
      </c>
      <c r="E2" s="32" t="s">
        <v>66223</v>
      </c>
      <c r="F2" s="31">
        <v>103.0</v>
      </c>
      <c r="G2" s="31">
        <v>2.00941035E8</v>
      </c>
    </row>
    <row r="3" ht="12.75" customHeight="1">
      <c r="A3" s="27">
        <v>306.0</v>
      </c>
      <c r="B3" s="28" t="s">
        <v>66224</v>
      </c>
      <c r="C3" s="27">
        <v>205.0</v>
      </c>
      <c r="D3" s="28" t="s">
        <v>66225</v>
      </c>
      <c r="E3" s="28" t="s">
        <v>66226</v>
      </c>
      <c r="F3" s="29">
        <v>28.0</v>
      </c>
      <c r="G3" s="27">
        <v>2.05060287E8</v>
      </c>
    </row>
    <row r="4" ht="12.75" customHeight="1">
      <c r="A4" s="31">
        <v>610.0</v>
      </c>
      <c r="B4" s="32" t="s">
        <v>66227</v>
      </c>
      <c r="C4" s="31">
        <v>205.0</v>
      </c>
      <c r="D4" s="32" t="s">
        <v>66228</v>
      </c>
      <c r="E4" s="32" t="s">
        <v>66229</v>
      </c>
      <c r="F4" s="33">
        <v>37.0</v>
      </c>
      <c r="G4" s="31">
        <v>2.05100376E8</v>
      </c>
    </row>
    <row r="5" ht="12.75" customHeight="1">
      <c r="A5" s="27">
        <v>112.0</v>
      </c>
      <c r="B5" s="28" t="s">
        <v>66230</v>
      </c>
      <c r="C5" s="27">
        <v>205.0</v>
      </c>
      <c r="D5" s="28" t="s">
        <v>66231</v>
      </c>
      <c r="E5" s="28" t="s">
        <v>66232</v>
      </c>
      <c r="F5" s="29">
        <v>44.0</v>
      </c>
      <c r="G5" s="27">
        <v>2.05120448E8</v>
      </c>
    </row>
    <row r="6" ht="12.75" customHeight="1">
      <c r="A6" s="31">
        <v>215.0</v>
      </c>
      <c r="B6" s="32" t="s">
        <v>66233</v>
      </c>
      <c r="C6" s="31">
        <v>205.0</v>
      </c>
      <c r="D6" s="32" t="s">
        <v>66234</v>
      </c>
      <c r="E6" s="32" t="s">
        <v>66235</v>
      </c>
      <c r="F6" s="33">
        <v>13.0</v>
      </c>
      <c r="G6" s="31">
        <v>2.05150139E8</v>
      </c>
    </row>
    <row r="7" ht="12.75" customHeight="1">
      <c r="A7" s="27">
        <v>215.0</v>
      </c>
      <c r="B7" s="28" t="s">
        <v>66236</v>
      </c>
      <c r="C7" s="27">
        <v>205.0</v>
      </c>
      <c r="D7" s="28" t="s">
        <v>66237</v>
      </c>
      <c r="E7" s="28" t="s">
        <v>66238</v>
      </c>
      <c r="F7" s="27">
        <v>151.0</v>
      </c>
      <c r="G7" s="27">
        <v>2.05151512E8</v>
      </c>
    </row>
    <row r="8" ht="12.75" customHeight="1">
      <c r="A8" s="31">
        <v>215.0</v>
      </c>
      <c r="B8" s="32" t="s">
        <v>66239</v>
      </c>
      <c r="C8" s="31">
        <v>205.0</v>
      </c>
      <c r="D8" s="32" t="s">
        <v>66240</v>
      </c>
      <c r="E8" s="32" t="s">
        <v>66241</v>
      </c>
      <c r="F8" s="31">
        <v>218.0</v>
      </c>
      <c r="G8" s="31">
        <v>2.05152182E8</v>
      </c>
    </row>
    <row r="9" ht="12.75" customHeight="1">
      <c r="A9" s="27">
        <v>215.0</v>
      </c>
      <c r="B9" s="28" t="s">
        <v>66242</v>
      </c>
      <c r="C9" s="27">
        <v>205.0</v>
      </c>
      <c r="D9" s="28" t="s">
        <v>66243</v>
      </c>
      <c r="E9" s="28" t="s">
        <v>66244</v>
      </c>
      <c r="F9" s="27">
        <v>274.0</v>
      </c>
      <c r="G9" s="27">
        <v>2.0515274E8</v>
      </c>
    </row>
    <row r="10" ht="12.75" customHeight="1">
      <c r="A10" s="31">
        <v>215.0</v>
      </c>
      <c r="B10" s="32" t="s">
        <v>66245</v>
      </c>
      <c r="C10" s="31">
        <v>205.0</v>
      </c>
      <c r="D10" s="32" t="s">
        <v>66246</v>
      </c>
      <c r="E10" s="32" t="s">
        <v>66247</v>
      </c>
      <c r="F10" s="31">
        <v>316.0</v>
      </c>
      <c r="G10" s="31">
        <v>2.05153165E8</v>
      </c>
    </row>
    <row r="11" ht="12.75" customHeight="1">
      <c r="A11" s="27">
        <v>215.0</v>
      </c>
      <c r="B11" s="28" t="s">
        <v>66248</v>
      </c>
      <c r="C11" s="27">
        <v>205.0</v>
      </c>
      <c r="D11" s="28" t="s">
        <v>66249</v>
      </c>
      <c r="E11" s="28" t="s">
        <v>66250</v>
      </c>
      <c r="F11" s="27">
        <v>323.0</v>
      </c>
      <c r="G11" s="27">
        <v>2.05153231E8</v>
      </c>
    </row>
    <row r="12" ht="12.75" customHeight="1">
      <c r="A12" s="31">
        <v>215.0</v>
      </c>
      <c r="B12" s="32" t="s">
        <v>66251</v>
      </c>
      <c r="C12" s="31">
        <v>205.0</v>
      </c>
      <c r="D12" s="32" t="s">
        <v>66252</v>
      </c>
      <c r="E12" s="32" t="s">
        <v>66253</v>
      </c>
      <c r="F12" s="31">
        <v>364.0</v>
      </c>
      <c r="G12" s="31">
        <v>2.05153644E8</v>
      </c>
    </row>
    <row r="13" ht="12.75" customHeight="1">
      <c r="A13" s="27">
        <v>215.0</v>
      </c>
      <c r="B13" s="28" t="s">
        <v>66254</v>
      </c>
      <c r="C13" s="27">
        <v>205.0</v>
      </c>
      <c r="D13" s="28" t="s">
        <v>66255</v>
      </c>
      <c r="E13" s="28" t="s">
        <v>66256</v>
      </c>
      <c r="F13" s="27">
        <v>427.0</v>
      </c>
      <c r="G13" s="27">
        <v>2.05154272E8</v>
      </c>
    </row>
    <row r="14" ht="12.75" customHeight="1">
      <c r="A14" s="31">
        <v>215.0</v>
      </c>
      <c r="B14" s="32" t="s">
        <v>66257</v>
      </c>
      <c r="C14" s="31">
        <v>205.0</v>
      </c>
      <c r="D14" s="32" t="s">
        <v>66258</v>
      </c>
      <c r="E14" s="32" t="s">
        <v>66259</v>
      </c>
      <c r="F14" s="31">
        <v>440.0</v>
      </c>
      <c r="G14" s="31">
        <v>2.05154401E8</v>
      </c>
    </row>
    <row r="15" ht="12.75" customHeight="1">
      <c r="A15" s="27">
        <v>215.0</v>
      </c>
      <c r="B15" s="28" t="s">
        <v>66260</v>
      </c>
      <c r="C15" s="27">
        <v>205.0</v>
      </c>
      <c r="D15" s="28" t="s">
        <v>66261</v>
      </c>
      <c r="E15" s="28" t="s">
        <v>66262</v>
      </c>
      <c r="F15" s="27">
        <v>467.0</v>
      </c>
      <c r="G15" s="27">
        <v>2.05154672E8</v>
      </c>
    </row>
    <row r="16" ht="12.75" customHeight="1">
      <c r="A16" s="31">
        <v>215.0</v>
      </c>
      <c r="B16" s="32" t="s">
        <v>66263</v>
      </c>
      <c r="C16" s="31">
        <v>205.0</v>
      </c>
      <c r="D16" s="32" t="s">
        <v>66264</v>
      </c>
      <c r="E16" s="32" t="s">
        <v>66265</v>
      </c>
      <c r="F16" s="31">
        <v>469.0</v>
      </c>
      <c r="G16" s="31">
        <v>2.05154698E8</v>
      </c>
    </row>
    <row r="17" ht="12.75" customHeight="1">
      <c r="A17" s="27">
        <v>215.0</v>
      </c>
      <c r="B17" s="28" t="s">
        <v>66266</v>
      </c>
      <c r="C17" s="27">
        <v>205.0</v>
      </c>
      <c r="D17" s="28" t="s">
        <v>66267</v>
      </c>
      <c r="E17" s="28" t="s">
        <v>66268</v>
      </c>
      <c r="F17" s="27">
        <v>526.0</v>
      </c>
      <c r="G17" s="27">
        <v>2.05155268E8</v>
      </c>
    </row>
    <row r="18" ht="12.75" customHeight="1">
      <c r="A18" s="31">
        <v>215.0</v>
      </c>
      <c r="B18" s="32" t="s">
        <v>66269</v>
      </c>
      <c r="C18" s="31">
        <v>205.0</v>
      </c>
      <c r="D18" s="32" t="s">
        <v>66270</v>
      </c>
      <c r="E18" s="32" t="s">
        <v>66271</v>
      </c>
      <c r="F18" s="31">
        <v>587.0</v>
      </c>
      <c r="G18" s="31">
        <v>2.05155871E8</v>
      </c>
    </row>
    <row r="19" ht="12.75" customHeight="1">
      <c r="A19" s="27">
        <v>215.0</v>
      </c>
      <c r="B19" s="28" t="s">
        <v>66272</v>
      </c>
      <c r="C19" s="27">
        <v>205.0</v>
      </c>
      <c r="D19" s="28" t="s">
        <v>66273</v>
      </c>
      <c r="E19" s="28" t="s">
        <v>66274</v>
      </c>
      <c r="F19" s="27">
        <v>592.0</v>
      </c>
      <c r="G19" s="27">
        <v>2.05155921E8</v>
      </c>
    </row>
    <row r="20" ht="12.75" customHeight="1">
      <c r="A20" s="31">
        <v>215.0</v>
      </c>
      <c r="B20" s="32" t="s">
        <v>66275</v>
      </c>
      <c r="C20" s="31">
        <v>205.0</v>
      </c>
      <c r="D20" s="32" t="s">
        <v>66276</v>
      </c>
      <c r="E20" s="32" t="s">
        <v>66277</v>
      </c>
      <c r="F20" s="31">
        <v>613.0</v>
      </c>
      <c r="G20" s="31">
        <v>2.05156133E8</v>
      </c>
    </row>
    <row r="21" ht="12.75" customHeight="1">
      <c r="A21" s="27">
        <v>418.0</v>
      </c>
      <c r="B21" s="28" t="s">
        <v>66278</v>
      </c>
      <c r="C21" s="27">
        <v>205.0</v>
      </c>
      <c r="D21" s="28" t="s">
        <v>66279</v>
      </c>
      <c r="E21" s="28" t="s">
        <v>66280</v>
      </c>
      <c r="F21" s="29">
        <v>19.0</v>
      </c>
      <c r="G21" s="27">
        <v>2.05180196E8</v>
      </c>
    </row>
    <row r="22" ht="12.75" customHeight="1">
      <c r="A22" s="31">
        <v>119.0</v>
      </c>
      <c r="B22" s="32" t="s">
        <v>66281</v>
      </c>
      <c r="C22" s="31">
        <v>205.0</v>
      </c>
      <c r="D22" s="32" t="s">
        <v>66282</v>
      </c>
      <c r="E22" s="32" t="s">
        <v>66283</v>
      </c>
      <c r="F22" s="31">
        <v>115.0</v>
      </c>
      <c r="G22" s="31">
        <v>2.05191156E8</v>
      </c>
    </row>
    <row r="23" ht="12.75" customHeight="1">
      <c r="A23" s="27">
        <v>119.0</v>
      </c>
      <c r="B23" s="28" t="s">
        <v>66284</v>
      </c>
      <c r="C23" s="27">
        <v>205.0</v>
      </c>
      <c r="D23" s="28" t="s">
        <v>66285</v>
      </c>
      <c r="E23" s="28" t="s">
        <v>66286</v>
      </c>
      <c r="F23" s="27">
        <v>142.0</v>
      </c>
      <c r="G23" s="27">
        <v>2.05191422E8</v>
      </c>
    </row>
    <row r="24" ht="12.75" customHeight="1">
      <c r="A24" s="31">
        <v>119.0</v>
      </c>
      <c r="B24" s="32" t="s">
        <v>66287</v>
      </c>
      <c r="C24" s="31">
        <v>205.0</v>
      </c>
      <c r="D24" s="32" t="s">
        <v>66288</v>
      </c>
      <c r="E24" s="32" t="s">
        <v>66289</v>
      </c>
      <c r="F24" s="31">
        <v>217.0</v>
      </c>
      <c r="G24" s="31">
        <v>2.05192171E8</v>
      </c>
    </row>
    <row r="25" ht="12.75" customHeight="1">
      <c r="A25" s="27">
        <v>119.0</v>
      </c>
      <c r="B25" s="28" t="s">
        <v>66290</v>
      </c>
      <c r="C25" s="27">
        <v>205.0</v>
      </c>
      <c r="D25" s="28" t="s">
        <v>66291</v>
      </c>
      <c r="E25" s="28" t="s">
        <v>66292</v>
      </c>
      <c r="F25" s="27">
        <v>292.0</v>
      </c>
      <c r="G25" s="27">
        <v>2.05192926E8</v>
      </c>
    </row>
    <row r="26" ht="12.75" customHeight="1">
      <c r="A26" s="31">
        <v>222.0</v>
      </c>
      <c r="B26" s="32" t="s">
        <v>66293</v>
      </c>
      <c r="C26" s="31">
        <v>205.0</v>
      </c>
      <c r="D26" s="32" t="s">
        <v>66294</v>
      </c>
      <c r="E26" s="32" t="s">
        <v>66295</v>
      </c>
      <c r="F26" s="33">
        <v>8.0</v>
      </c>
      <c r="G26" s="31">
        <v>2.05220085E8</v>
      </c>
    </row>
    <row r="27" ht="12.75" customHeight="1">
      <c r="A27" s="27">
        <v>222.0</v>
      </c>
      <c r="B27" s="28" t="s">
        <v>66296</v>
      </c>
      <c r="C27" s="27">
        <v>205.0</v>
      </c>
      <c r="D27" s="28" t="s">
        <v>66297</v>
      </c>
      <c r="E27" s="28" t="s">
        <v>66298</v>
      </c>
      <c r="F27" s="29">
        <v>16.0</v>
      </c>
      <c r="G27" s="27">
        <v>2.05220164E8</v>
      </c>
    </row>
    <row r="28" ht="12.75" customHeight="1">
      <c r="A28" s="31">
        <v>222.0</v>
      </c>
      <c r="B28" s="32" t="s">
        <v>66299</v>
      </c>
      <c r="C28" s="31">
        <v>205.0</v>
      </c>
      <c r="D28" s="32" t="s">
        <v>66300</v>
      </c>
      <c r="E28" s="32" t="s">
        <v>66301</v>
      </c>
      <c r="F28" s="33">
        <v>28.0</v>
      </c>
      <c r="G28" s="31">
        <v>2.05220285E8</v>
      </c>
    </row>
    <row r="29" ht="12.75" customHeight="1">
      <c r="A29" s="27">
        <v>126.0</v>
      </c>
      <c r="B29" s="28" t="s">
        <v>66302</v>
      </c>
      <c r="C29" s="27">
        <v>205.0</v>
      </c>
      <c r="D29" s="28" t="s">
        <v>66303</v>
      </c>
      <c r="E29" s="28" t="s">
        <v>66304</v>
      </c>
      <c r="F29" s="29">
        <v>4.0</v>
      </c>
      <c r="G29" s="27">
        <v>2.05260045E8</v>
      </c>
    </row>
    <row r="30" ht="12.75" customHeight="1">
      <c r="A30" s="31">
        <v>126.0</v>
      </c>
      <c r="B30" s="32" t="s">
        <v>66305</v>
      </c>
      <c r="C30" s="31">
        <v>205.0</v>
      </c>
      <c r="D30" s="32" t="s">
        <v>66306</v>
      </c>
      <c r="E30" s="32" t="s">
        <v>66307</v>
      </c>
      <c r="F30" s="33">
        <v>22.0</v>
      </c>
      <c r="G30" s="31">
        <v>2.05260229E8</v>
      </c>
    </row>
    <row r="31" ht="12.75" customHeight="1">
      <c r="A31" s="27">
        <v>126.0</v>
      </c>
      <c r="B31" s="28" t="s">
        <v>66308</v>
      </c>
      <c r="C31" s="27">
        <v>205.0</v>
      </c>
      <c r="D31" s="28" t="s">
        <v>66309</v>
      </c>
      <c r="E31" s="28" t="s">
        <v>66310</v>
      </c>
      <c r="F31" s="29">
        <v>25.0</v>
      </c>
      <c r="G31" s="27">
        <v>2.05260258E8</v>
      </c>
    </row>
    <row r="32" ht="12.75" customHeight="1">
      <c r="A32" s="31">
        <v>126.0</v>
      </c>
      <c r="B32" s="32" t="s">
        <v>66311</v>
      </c>
      <c r="C32" s="31">
        <v>205.0</v>
      </c>
      <c r="D32" s="32" t="s">
        <v>66312</v>
      </c>
      <c r="E32" s="32" t="s">
        <v>66313</v>
      </c>
      <c r="F32" s="33">
        <v>42.0</v>
      </c>
      <c r="G32" s="31">
        <v>2.05260429E8</v>
      </c>
    </row>
    <row r="33" ht="12.75" customHeight="1">
      <c r="A33" s="27">
        <v>126.0</v>
      </c>
      <c r="B33" s="28" t="s">
        <v>66314</v>
      </c>
      <c r="C33" s="27">
        <v>205.0</v>
      </c>
      <c r="D33" s="28" t="s">
        <v>66315</v>
      </c>
      <c r="E33" s="28" t="s">
        <v>66316</v>
      </c>
      <c r="F33" s="29">
        <v>43.0</v>
      </c>
      <c r="G33" s="27">
        <v>2.05260432E8</v>
      </c>
    </row>
    <row r="34" ht="12.75" customHeight="1">
      <c r="A34" s="31">
        <v>126.0</v>
      </c>
      <c r="B34" s="32" t="s">
        <v>66317</v>
      </c>
      <c r="C34" s="31">
        <v>205.0</v>
      </c>
      <c r="D34" s="32" t="s">
        <v>66318</v>
      </c>
      <c r="E34" s="32" t="s">
        <v>66319</v>
      </c>
      <c r="F34" s="33">
        <v>47.0</v>
      </c>
      <c r="G34" s="31">
        <v>2.05260474E8</v>
      </c>
    </row>
    <row r="35" ht="12.75" customHeight="1">
      <c r="A35" s="27">
        <v>126.0</v>
      </c>
      <c r="B35" s="28" t="s">
        <v>66320</v>
      </c>
      <c r="C35" s="27">
        <v>205.0</v>
      </c>
      <c r="D35" s="28" t="s">
        <v>66321</v>
      </c>
      <c r="E35" s="28" t="s">
        <v>66322</v>
      </c>
      <c r="F35" s="29">
        <v>55.0</v>
      </c>
      <c r="G35" s="27">
        <v>2.05260553E8</v>
      </c>
    </row>
    <row r="36" ht="12.75" customHeight="1">
      <c r="A36" s="31">
        <v>126.0</v>
      </c>
      <c r="B36" s="32" t="s">
        <v>66323</v>
      </c>
      <c r="C36" s="31">
        <v>205.0</v>
      </c>
      <c r="D36" s="32" t="s">
        <v>66324</v>
      </c>
      <c r="E36" s="32" t="s">
        <v>66325</v>
      </c>
      <c r="F36" s="33">
        <v>72.0</v>
      </c>
      <c r="G36" s="31">
        <v>2.05260724E8</v>
      </c>
    </row>
    <row r="37" ht="12.75" customHeight="1">
      <c r="A37" s="27">
        <v>126.0</v>
      </c>
      <c r="B37" s="28" t="s">
        <v>66326</v>
      </c>
      <c r="C37" s="27">
        <v>205.0</v>
      </c>
      <c r="D37" s="28" t="s">
        <v>66327</v>
      </c>
      <c r="E37" s="28" t="s">
        <v>66328</v>
      </c>
      <c r="F37" s="29">
        <v>91.0</v>
      </c>
      <c r="G37" s="27">
        <v>2.05260911E8</v>
      </c>
    </row>
    <row r="38" ht="12.75" customHeight="1">
      <c r="A38" s="31">
        <v>126.0</v>
      </c>
      <c r="B38" s="32" t="s">
        <v>66329</v>
      </c>
      <c r="C38" s="31">
        <v>205.0</v>
      </c>
      <c r="D38" s="32" t="s">
        <v>66330</v>
      </c>
      <c r="E38" s="32" t="s">
        <v>66331</v>
      </c>
      <c r="F38" s="31">
        <v>118.0</v>
      </c>
      <c r="G38" s="31">
        <v>2.05261181E8</v>
      </c>
    </row>
    <row r="39" ht="12.75" customHeight="1">
      <c r="A39" s="27">
        <v>126.0</v>
      </c>
      <c r="B39" s="28" t="s">
        <v>66332</v>
      </c>
      <c r="C39" s="27">
        <v>205.0</v>
      </c>
      <c r="D39" s="28" t="s">
        <v>66333</v>
      </c>
      <c r="E39" s="28" t="s">
        <v>66334</v>
      </c>
      <c r="F39" s="27">
        <v>172.0</v>
      </c>
      <c r="G39" s="27">
        <v>2.05261723E8</v>
      </c>
    </row>
    <row r="40" ht="12.75" customHeight="1">
      <c r="A40" s="31">
        <v>126.0</v>
      </c>
      <c r="B40" s="32" t="s">
        <v>66335</v>
      </c>
      <c r="C40" s="31">
        <v>205.0</v>
      </c>
      <c r="D40" s="32" t="s">
        <v>66336</v>
      </c>
      <c r="E40" s="32" t="s">
        <v>66337</v>
      </c>
      <c r="F40" s="31">
        <v>205.0</v>
      </c>
      <c r="G40" s="31">
        <v>2.05262056E8</v>
      </c>
    </row>
    <row r="41" ht="12.75" customHeight="1">
      <c r="A41" s="27">
        <v>126.0</v>
      </c>
      <c r="B41" s="28" t="s">
        <v>66338</v>
      </c>
      <c r="C41" s="27">
        <v>205.0</v>
      </c>
      <c r="D41" s="28" t="s">
        <v>66339</v>
      </c>
      <c r="E41" s="28" t="s">
        <v>66340</v>
      </c>
      <c r="F41" s="27">
        <v>253.0</v>
      </c>
      <c r="G41" s="27">
        <v>2.05262535E8</v>
      </c>
    </row>
    <row r="42" ht="12.75" customHeight="1">
      <c r="A42" s="31">
        <v>126.0</v>
      </c>
      <c r="B42" s="32" t="s">
        <v>66341</v>
      </c>
      <c r="C42" s="31">
        <v>205.0</v>
      </c>
      <c r="D42" s="32" t="s">
        <v>66342</v>
      </c>
      <c r="E42" s="32" t="s">
        <v>66343</v>
      </c>
      <c r="F42" s="31">
        <v>298.0</v>
      </c>
      <c r="G42" s="31">
        <v>2.0526298E8</v>
      </c>
    </row>
    <row r="43" ht="12.75" customHeight="1">
      <c r="A43" s="27">
        <v>126.0</v>
      </c>
      <c r="B43" s="28" t="s">
        <v>66344</v>
      </c>
      <c r="C43" s="27">
        <v>205.0</v>
      </c>
      <c r="D43" s="28" t="s">
        <v>66345</v>
      </c>
      <c r="E43" s="28" t="s">
        <v>66346</v>
      </c>
      <c r="F43" s="27">
        <v>319.0</v>
      </c>
      <c r="G43" s="27">
        <v>2.05263192E8</v>
      </c>
    </row>
    <row r="44" ht="12.75" customHeight="1">
      <c r="A44" s="31">
        <v>126.0</v>
      </c>
      <c r="B44" s="32" t="s">
        <v>66347</v>
      </c>
      <c r="C44" s="31">
        <v>205.0</v>
      </c>
      <c r="D44" s="32" t="s">
        <v>66348</v>
      </c>
      <c r="E44" s="32" t="s">
        <v>66349</v>
      </c>
      <c r="F44" s="31">
        <v>328.0</v>
      </c>
      <c r="G44" s="31">
        <v>2.05263284E8</v>
      </c>
    </row>
    <row r="45" ht="12.75" customHeight="1">
      <c r="A45" s="27">
        <v>126.0</v>
      </c>
      <c r="B45" s="28" t="s">
        <v>66350</v>
      </c>
      <c r="C45" s="27">
        <v>205.0</v>
      </c>
      <c r="D45" s="28" t="s">
        <v>66351</v>
      </c>
      <c r="E45" s="28" t="s">
        <v>66352</v>
      </c>
      <c r="F45" s="27">
        <v>349.0</v>
      </c>
      <c r="G45" s="27">
        <v>2.05263497E8</v>
      </c>
    </row>
    <row r="46" ht="12.75" customHeight="1">
      <c r="A46" s="31">
        <v>126.0</v>
      </c>
      <c r="B46" s="32" t="s">
        <v>66353</v>
      </c>
      <c r="C46" s="31">
        <v>205.0</v>
      </c>
      <c r="D46" s="32" t="s">
        <v>66354</v>
      </c>
      <c r="E46" s="32" t="s">
        <v>66355</v>
      </c>
      <c r="F46" s="31">
        <v>370.0</v>
      </c>
      <c r="G46" s="31">
        <v>2.05263705E8</v>
      </c>
    </row>
    <row r="47" ht="12.75" customHeight="1">
      <c r="A47" s="27">
        <v>126.0</v>
      </c>
      <c r="B47" s="28" t="s">
        <v>66356</v>
      </c>
      <c r="C47" s="27">
        <v>205.0</v>
      </c>
      <c r="D47" s="28" t="s">
        <v>66357</v>
      </c>
      <c r="E47" s="28" t="s">
        <v>66358</v>
      </c>
      <c r="F47" s="27">
        <v>400.0</v>
      </c>
      <c r="G47" s="27">
        <v>2.05264009E8</v>
      </c>
    </row>
    <row r="48" ht="12.75" customHeight="1">
      <c r="A48" s="31">
        <v>126.0</v>
      </c>
      <c r="B48" s="32" t="s">
        <v>66359</v>
      </c>
      <c r="C48" s="31">
        <v>205.0</v>
      </c>
      <c r="D48" s="32" t="s">
        <v>66360</v>
      </c>
      <c r="E48" s="32" t="s">
        <v>66361</v>
      </c>
      <c r="F48" s="31">
        <v>401.0</v>
      </c>
      <c r="G48" s="31">
        <v>2.05264012E8</v>
      </c>
    </row>
    <row r="49" ht="12.75" customHeight="1">
      <c r="A49" s="27">
        <v>126.0</v>
      </c>
      <c r="B49" s="28" t="s">
        <v>66362</v>
      </c>
      <c r="C49" s="27">
        <v>205.0</v>
      </c>
      <c r="D49" s="28" t="s">
        <v>66363</v>
      </c>
      <c r="E49" s="28" t="s">
        <v>66364</v>
      </c>
      <c r="F49" s="27">
        <v>403.0</v>
      </c>
      <c r="G49" s="27">
        <v>2.05264038E8</v>
      </c>
    </row>
    <row r="50" ht="12.75" customHeight="1">
      <c r="A50" s="31">
        <v>126.0</v>
      </c>
      <c r="B50" s="32" t="s">
        <v>66365</v>
      </c>
      <c r="C50" s="31">
        <v>205.0</v>
      </c>
      <c r="D50" s="32" t="s">
        <v>66366</v>
      </c>
      <c r="E50" s="32" t="s">
        <v>66367</v>
      </c>
      <c r="F50" s="31">
        <v>409.0</v>
      </c>
      <c r="G50" s="31">
        <v>2.05264096E8</v>
      </c>
    </row>
    <row r="51" ht="12.75" customHeight="1">
      <c r="A51" s="27">
        <v>126.0</v>
      </c>
      <c r="B51" s="28" t="s">
        <v>66368</v>
      </c>
      <c r="C51" s="27">
        <v>205.0</v>
      </c>
      <c r="D51" s="28" t="s">
        <v>66369</v>
      </c>
      <c r="E51" s="28" t="s">
        <v>66370</v>
      </c>
      <c r="F51" s="27">
        <v>430.0</v>
      </c>
      <c r="G51" s="27">
        <v>2.05264304E8</v>
      </c>
    </row>
    <row r="52" ht="12.75" customHeight="1">
      <c r="A52" s="31">
        <v>126.0</v>
      </c>
      <c r="B52" s="32" t="s">
        <v>66371</v>
      </c>
      <c r="C52" s="31">
        <v>205.0</v>
      </c>
      <c r="D52" s="32" t="s">
        <v>66372</v>
      </c>
      <c r="E52" s="32" t="s">
        <v>66373</v>
      </c>
      <c r="F52" s="31">
        <v>463.0</v>
      </c>
      <c r="G52" s="31">
        <v>2.05264638E8</v>
      </c>
    </row>
    <row r="53" ht="12.75" customHeight="1">
      <c r="A53" s="27">
        <v>127.0</v>
      </c>
      <c r="B53" s="28" t="s">
        <v>66374</v>
      </c>
      <c r="C53" s="27">
        <v>205.0</v>
      </c>
      <c r="D53" s="28" t="s">
        <v>66375</v>
      </c>
      <c r="E53" s="28" t="s">
        <v>66376</v>
      </c>
      <c r="F53" s="29">
        <v>0.0</v>
      </c>
      <c r="G53" s="27">
        <v>2.05270006E8</v>
      </c>
    </row>
    <row r="54" ht="12.75" customHeight="1">
      <c r="A54" s="31">
        <v>127.0</v>
      </c>
      <c r="B54" s="32" t="s">
        <v>66377</v>
      </c>
      <c r="C54" s="31">
        <v>205.0</v>
      </c>
      <c r="D54" s="32" t="s">
        <v>66378</v>
      </c>
      <c r="E54" s="32" t="s">
        <v>66379</v>
      </c>
      <c r="F54" s="33">
        <v>13.0</v>
      </c>
      <c r="G54" s="31">
        <v>2.0527013E8</v>
      </c>
    </row>
    <row r="55" ht="12.75" customHeight="1">
      <c r="A55" s="27">
        <v>127.0</v>
      </c>
      <c r="B55" s="28" t="s">
        <v>66380</v>
      </c>
      <c r="C55" s="27">
        <v>205.0</v>
      </c>
      <c r="D55" s="28" t="s">
        <v>66381</v>
      </c>
      <c r="E55" s="28" t="s">
        <v>66382</v>
      </c>
      <c r="F55" s="29">
        <v>24.0</v>
      </c>
      <c r="G55" s="27">
        <v>2.05270248E8</v>
      </c>
    </row>
    <row r="56" ht="12.75" customHeight="1">
      <c r="A56" s="31">
        <v>127.0</v>
      </c>
      <c r="B56" s="32" t="s">
        <v>66383</v>
      </c>
      <c r="C56" s="31">
        <v>205.0</v>
      </c>
      <c r="D56" s="32" t="s">
        <v>66384</v>
      </c>
      <c r="E56" s="32" t="s">
        <v>66385</v>
      </c>
      <c r="F56" s="33">
        <v>30.0</v>
      </c>
      <c r="G56" s="31">
        <v>2.05270301E8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66386</v>
      </c>
      <c r="C1" s="27">
        <v>205.0</v>
      </c>
      <c r="D1" s="28" t="s">
        <v>66387</v>
      </c>
      <c r="E1" s="28" t="s">
        <v>66388</v>
      </c>
      <c r="F1" s="29">
        <v>34.0</v>
      </c>
      <c r="G1" s="27">
        <v>2.05270343E8</v>
      </c>
    </row>
    <row r="2" ht="12.75" customHeight="1">
      <c r="A2" s="31">
        <v>127.0</v>
      </c>
      <c r="B2" s="32" t="s">
        <v>66389</v>
      </c>
      <c r="C2" s="31">
        <v>205.0</v>
      </c>
      <c r="D2" s="32" t="s">
        <v>66390</v>
      </c>
      <c r="E2" s="32" t="s">
        <v>66391</v>
      </c>
      <c r="F2" s="33">
        <v>64.0</v>
      </c>
      <c r="G2" s="31">
        <v>2.05270648E8</v>
      </c>
    </row>
    <row r="3" ht="12.75" customHeight="1">
      <c r="A3" s="27">
        <v>127.0</v>
      </c>
      <c r="B3" s="28" t="s">
        <v>66392</v>
      </c>
      <c r="C3" s="27">
        <v>205.0</v>
      </c>
      <c r="D3" s="28" t="s">
        <v>66393</v>
      </c>
      <c r="E3" s="28" t="s">
        <v>66394</v>
      </c>
      <c r="F3" s="29">
        <v>88.0</v>
      </c>
      <c r="G3" s="27">
        <v>2.0527088E8</v>
      </c>
    </row>
    <row r="4" ht="12.75" customHeight="1">
      <c r="A4" s="31">
        <v>127.0</v>
      </c>
      <c r="B4" s="32" t="s">
        <v>66395</v>
      </c>
      <c r="C4" s="31">
        <v>205.0</v>
      </c>
      <c r="D4" s="32" t="s">
        <v>66396</v>
      </c>
      <c r="E4" s="32" t="s">
        <v>66397</v>
      </c>
      <c r="F4" s="31">
        <v>139.0</v>
      </c>
      <c r="G4" s="31">
        <v>2.05271397E8</v>
      </c>
    </row>
    <row r="5" ht="12.75" customHeight="1">
      <c r="A5" s="27">
        <v>127.0</v>
      </c>
      <c r="B5" s="28" t="s">
        <v>66398</v>
      </c>
      <c r="C5" s="27">
        <v>205.0</v>
      </c>
      <c r="D5" s="28" t="s">
        <v>66399</v>
      </c>
      <c r="E5" s="28" t="s">
        <v>66400</v>
      </c>
      <c r="F5" s="27">
        <v>142.0</v>
      </c>
      <c r="G5" s="27">
        <v>2.05271421E8</v>
      </c>
    </row>
    <row r="6" ht="12.75" customHeight="1">
      <c r="A6" s="31">
        <v>127.0</v>
      </c>
      <c r="B6" s="32" t="s">
        <v>66401</v>
      </c>
      <c r="C6" s="31">
        <v>205.0</v>
      </c>
      <c r="D6" s="32" t="s">
        <v>66402</v>
      </c>
      <c r="E6" s="32" t="s">
        <v>66403</v>
      </c>
      <c r="F6" s="31">
        <v>256.0</v>
      </c>
      <c r="G6" s="31">
        <v>2.05272567E8</v>
      </c>
    </row>
    <row r="7" ht="12.75" customHeight="1">
      <c r="A7" s="27">
        <v>127.0</v>
      </c>
      <c r="B7" s="28" t="s">
        <v>66404</v>
      </c>
      <c r="C7" s="27">
        <v>205.0</v>
      </c>
      <c r="D7" s="28" t="s">
        <v>66405</v>
      </c>
      <c r="E7" s="28" t="s">
        <v>66406</v>
      </c>
      <c r="F7" s="27">
        <v>268.0</v>
      </c>
      <c r="G7" s="27">
        <v>2.05272688E8</v>
      </c>
    </row>
    <row r="8" ht="12.75" customHeight="1">
      <c r="A8" s="31">
        <v>127.0</v>
      </c>
      <c r="B8" s="32" t="s">
        <v>66407</v>
      </c>
      <c r="C8" s="31">
        <v>205.0</v>
      </c>
      <c r="D8" s="32" t="s">
        <v>66408</v>
      </c>
      <c r="E8" s="32" t="s">
        <v>66409</v>
      </c>
      <c r="F8" s="31">
        <v>280.0</v>
      </c>
      <c r="G8" s="31">
        <v>2.05272804E8</v>
      </c>
    </row>
    <row r="9" ht="12.75" customHeight="1">
      <c r="A9" s="27">
        <v>127.0</v>
      </c>
      <c r="B9" s="28" t="s">
        <v>66410</v>
      </c>
      <c r="C9" s="27">
        <v>205.0</v>
      </c>
      <c r="D9" s="28" t="s">
        <v>66411</v>
      </c>
      <c r="E9" s="28" t="s">
        <v>66412</v>
      </c>
      <c r="F9" s="27">
        <v>298.0</v>
      </c>
      <c r="G9" s="27">
        <v>2.05272983E8</v>
      </c>
    </row>
    <row r="10" ht="12.75" customHeight="1">
      <c r="A10" s="31">
        <v>127.0</v>
      </c>
      <c r="B10" s="32" t="s">
        <v>66413</v>
      </c>
      <c r="C10" s="31">
        <v>205.0</v>
      </c>
      <c r="D10" s="32" t="s">
        <v>66414</v>
      </c>
      <c r="E10" s="32" t="s">
        <v>66415</v>
      </c>
      <c r="F10" s="31">
        <v>328.0</v>
      </c>
      <c r="G10" s="31">
        <v>2.05273287E8</v>
      </c>
    </row>
    <row r="11" ht="12.75" customHeight="1">
      <c r="A11" s="27">
        <v>127.0</v>
      </c>
      <c r="B11" s="28" t="s">
        <v>66416</v>
      </c>
      <c r="C11" s="27">
        <v>205.0</v>
      </c>
      <c r="D11" s="28" t="s">
        <v>66417</v>
      </c>
      <c r="E11" s="28" t="s">
        <v>66418</v>
      </c>
      <c r="F11" s="27">
        <v>337.0</v>
      </c>
      <c r="G11" s="27">
        <v>2.05273379E8</v>
      </c>
    </row>
    <row r="12" ht="12.75" customHeight="1">
      <c r="A12" s="31">
        <v>127.0</v>
      </c>
      <c r="B12" s="32" t="s">
        <v>66419</v>
      </c>
      <c r="C12" s="31">
        <v>205.0</v>
      </c>
      <c r="D12" s="32" t="s">
        <v>66420</v>
      </c>
      <c r="E12" s="32" t="s">
        <v>66421</v>
      </c>
      <c r="F12" s="31">
        <v>358.0</v>
      </c>
      <c r="G12" s="31">
        <v>2.05273582E8</v>
      </c>
    </row>
    <row r="13" ht="12.75" customHeight="1">
      <c r="A13" s="27">
        <v>127.0</v>
      </c>
      <c r="B13" s="28" t="s">
        <v>66422</v>
      </c>
      <c r="C13" s="27">
        <v>205.0</v>
      </c>
      <c r="D13" s="28" t="s">
        <v>66423</v>
      </c>
      <c r="E13" s="28" t="s">
        <v>66424</v>
      </c>
      <c r="F13" s="27">
        <v>394.0</v>
      </c>
      <c r="G13" s="27">
        <v>2.0527394E8</v>
      </c>
    </row>
    <row r="14" ht="12.75" customHeight="1">
      <c r="A14" s="31">
        <v>127.0</v>
      </c>
      <c r="B14" s="32" t="s">
        <v>66425</v>
      </c>
      <c r="C14" s="31">
        <v>205.0</v>
      </c>
      <c r="D14" s="32" t="s">
        <v>66426</v>
      </c>
      <c r="E14" s="32" t="s">
        <v>66427</v>
      </c>
      <c r="F14" s="31">
        <v>433.0</v>
      </c>
      <c r="G14" s="31">
        <v>2.05274336E8</v>
      </c>
    </row>
    <row r="15" ht="12.75" customHeight="1">
      <c r="A15" s="27">
        <v>127.0</v>
      </c>
      <c r="B15" s="28" t="s">
        <v>66428</v>
      </c>
      <c r="C15" s="27">
        <v>205.0</v>
      </c>
      <c r="D15" s="28" t="s">
        <v>66429</v>
      </c>
      <c r="E15" s="28" t="s">
        <v>66430</v>
      </c>
      <c r="F15" s="27">
        <v>436.0</v>
      </c>
      <c r="G15" s="27">
        <v>2.05274365E8</v>
      </c>
    </row>
    <row r="16" ht="12.75" customHeight="1">
      <c r="A16" s="31">
        <v>127.0</v>
      </c>
      <c r="B16" s="32" t="s">
        <v>66431</v>
      </c>
      <c r="C16" s="31">
        <v>205.0</v>
      </c>
      <c r="D16" s="32" t="s">
        <v>66432</v>
      </c>
      <c r="E16" s="32" t="s">
        <v>66433</v>
      </c>
      <c r="F16" s="31">
        <v>502.0</v>
      </c>
      <c r="G16" s="31">
        <v>2.05275027E8</v>
      </c>
    </row>
    <row r="17" ht="12.75" customHeight="1">
      <c r="A17" s="27">
        <v>127.0</v>
      </c>
      <c r="B17" s="28" t="s">
        <v>66434</v>
      </c>
      <c r="C17" s="27">
        <v>205.0</v>
      </c>
      <c r="D17" s="28" t="s">
        <v>66435</v>
      </c>
      <c r="E17" s="28" t="s">
        <v>66436</v>
      </c>
      <c r="F17" s="27">
        <v>535.0</v>
      </c>
      <c r="G17" s="27">
        <v>2.05275351E8</v>
      </c>
    </row>
    <row r="18" ht="12.75" customHeight="1">
      <c r="A18" s="31">
        <v>127.0</v>
      </c>
      <c r="B18" s="32" t="s">
        <v>66437</v>
      </c>
      <c r="C18" s="31">
        <v>205.0</v>
      </c>
      <c r="D18" s="32" t="s">
        <v>66438</v>
      </c>
      <c r="E18" s="32" t="s">
        <v>66439</v>
      </c>
      <c r="F18" s="31">
        <v>547.0</v>
      </c>
      <c r="G18" s="31">
        <v>2.05275472E8</v>
      </c>
    </row>
    <row r="19" ht="12.75" customHeight="1">
      <c r="A19" s="27">
        <v>127.0</v>
      </c>
      <c r="B19" s="28" t="s">
        <v>66440</v>
      </c>
      <c r="C19" s="27">
        <v>205.0</v>
      </c>
      <c r="D19" s="28" t="s">
        <v>66441</v>
      </c>
      <c r="E19" s="28" t="s">
        <v>66442</v>
      </c>
      <c r="F19" s="27">
        <v>604.0</v>
      </c>
      <c r="G19" s="27">
        <v>2.05276042E8</v>
      </c>
    </row>
    <row r="20" ht="12.75" customHeight="1">
      <c r="A20" s="31">
        <v>728.0</v>
      </c>
      <c r="B20" s="32" t="s">
        <v>66443</v>
      </c>
      <c r="C20" s="31">
        <v>205.0</v>
      </c>
      <c r="D20" s="32" t="s">
        <v>66444</v>
      </c>
      <c r="E20" s="32" t="s">
        <v>66445</v>
      </c>
      <c r="F20" s="33">
        <v>67.0</v>
      </c>
      <c r="G20" s="31">
        <v>2.0528067E8</v>
      </c>
    </row>
    <row r="21" ht="12.75" customHeight="1">
      <c r="A21" s="27">
        <v>230.0</v>
      </c>
      <c r="B21" s="28" t="s">
        <v>66446</v>
      </c>
      <c r="C21" s="27">
        <v>205.0</v>
      </c>
      <c r="D21" s="28" t="s">
        <v>66447</v>
      </c>
      <c r="E21" s="28" t="s">
        <v>66448</v>
      </c>
      <c r="F21" s="29">
        <v>52.0</v>
      </c>
      <c r="G21" s="27">
        <v>2.05300521E8</v>
      </c>
    </row>
    <row r="22" ht="12.75" customHeight="1">
      <c r="A22" s="31">
        <v>230.0</v>
      </c>
      <c r="B22" s="32" t="s">
        <v>66449</v>
      </c>
      <c r="C22" s="31">
        <v>205.0</v>
      </c>
      <c r="D22" s="32" t="s">
        <v>66450</v>
      </c>
      <c r="E22" s="32" t="s">
        <v>66451</v>
      </c>
      <c r="F22" s="31">
        <v>127.0</v>
      </c>
      <c r="G22" s="31">
        <v>2.0530127E8</v>
      </c>
    </row>
    <row r="23" ht="12.75" customHeight="1">
      <c r="A23" s="27">
        <v>230.0</v>
      </c>
      <c r="B23" s="28" t="s">
        <v>66452</v>
      </c>
      <c r="C23" s="27">
        <v>205.0</v>
      </c>
      <c r="D23" s="28" t="s">
        <v>66453</v>
      </c>
      <c r="E23" s="28" t="s">
        <v>66454</v>
      </c>
      <c r="F23" s="27">
        <v>136.0</v>
      </c>
      <c r="G23" s="27">
        <v>2.05301362E8</v>
      </c>
    </row>
    <row r="24" ht="12.75" customHeight="1">
      <c r="A24" s="31">
        <v>230.0</v>
      </c>
      <c r="B24" s="32" t="s">
        <v>66455</v>
      </c>
      <c r="C24" s="31">
        <v>205.0</v>
      </c>
      <c r="D24" s="32" t="s">
        <v>66456</v>
      </c>
      <c r="E24" s="32" t="s">
        <v>66457</v>
      </c>
      <c r="F24" s="31">
        <v>142.0</v>
      </c>
      <c r="G24" s="31">
        <v>2.05301425E8</v>
      </c>
    </row>
    <row r="25" ht="12.75" customHeight="1">
      <c r="A25" s="27">
        <v>230.0</v>
      </c>
      <c r="B25" s="28" t="s">
        <v>66458</v>
      </c>
      <c r="C25" s="27">
        <v>205.0</v>
      </c>
      <c r="D25" s="28" t="s">
        <v>66459</v>
      </c>
      <c r="E25" s="28" t="s">
        <v>66460</v>
      </c>
      <c r="F25" s="27">
        <v>149.0</v>
      </c>
      <c r="G25" s="27">
        <v>2.05301496E8</v>
      </c>
    </row>
    <row r="26" ht="12.75" customHeight="1">
      <c r="A26" s="31">
        <v>133.0</v>
      </c>
      <c r="B26" s="32" t="s">
        <v>66461</v>
      </c>
      <c r="C26" s="31">
        <v>205.0</v>
      </c>
      <c r="D26" s="32" t="s">
        <v>66462</v>
      </c>
      <c r="E26" s="32" t="s">
        <v>66463</v>
      </c>
      <c r="F26" s="33">
        <v>14.0</v>
      </c>
      <c r="G26" s="31">
        <v>2.05330146E8</v>
      </c>
    </row>
    <row r="27" ht="12.75" customHeight="1">
      <c r="A27" s="27">
        <v>133.0</v>
      </c>
      <c r="B27" s="28" t="s">
        <v>66464</v>
      </c>
      <c r="C27" s="27">
        <v>205.0</v>
      </c>
      <c r="D27" s="28" t="s">
        <v>66465</v>
      </c>
      <c r="E27" s="28" t="s">
        <v>66466</v>
      </c>
      <c r="F27" s="29">
        <v>73.0</v>
      </c>
      <c r="G27" s="27">
        <v>2.05330733E8</v>
      </c>
    </row>
    <row r="28" ht="12.75" customHeight="1">
      <c r="A28" s="31">
        <v>133.0</v>
      </c>
      <c r="B28" s="32" t="s">
        <v>66467</v>
      </c>
      <c r="C28" s="31">
        <v>205.0</v>
      </c>
      <c r="D28" s="32" t="s">
        <v>66468</v>
      </c>
      <c r="E28" s="32" t="s">
        <v>66469</v>
      </c>
      <c r="F28" s="33">
        <v>88.0</v>
      </c>
      <c r="G28" s="31">
        <v>2.05330883E8</v>
      </c>
    </row>
    <row r="29" ht="12.75" customHeight="1">
      <c r="A29" s="27">
        <v>133.0</v>
      </c>
      <c r="B29" s="28" t="s">
        <v>66470</v>
      </c>
      <c r="C29" s="27">
        <v>205.0</v>
      </c>
      <c r="D29" s="28" t="s">
        <v>66471</v>
      </c>
      <c r="E29" s="28" t="s">
        <v>66472</v>
      </c>
      <c r="F29" s="29">
        <v>94.0</v>
      </c>
      <c r="G29" s="27">
        <v>2.05330946E8</v>
      </c>
    </row>
    <row r="30" ht="12.75" customHeight="1">
      <c r="A30" s="31">
        <v>133.0</v>
      </c>
      <c r="B30" s="32" t="s">
        <v>66473</v>
      </c>
      <c r="C30" s="31">
        <v>205.0</v>
      </c>
      <c r="D30" s="32" t="s">
        <v>66474</v>
      </c>
      <c r="E30" s="32" t="s">
        <v>66475</v>
      </c>
      <c r="F30" s="31">
        <v>104.0</v>
      </c>
      <c r="G30" s="31">
        <v>2.0533104E8</v>
      </c>
    </row>
    <row r="31" ht="12.75" customHeight="1">
      <c r="A31" s="27">
        <v>133.0</v>
      </c>
      <c r="B31" s="28" t="s">
        <v>66476</v>
      </c>
      <c r="C31" s="27">
        <v>205.0</v>
      </c>
      <c r="D31" s="28" t="s">
        <v>66477</v>
      </c>
      <c r="E31" s="28" t="s">
        <v>66478</v>
      </c>
      <c r="F31" s="27">
        <v>163.0</v>
      </c>
      <c r="G31" s="27">
        <v>2.05331637E8</v>
      </c>
    </row>
    <row r="32" ht="12.75" customHeight="1">
      <c r="A32" s="31">
        <v>441.0</v>
      </c>
      <c r="B32" s="32" t="s">
        <v>66479</v>
      </c>
      <c r="C32" s="31">
        <v>205.0</v>
      </c>
      <c r="D32" s="32" t="s">
        <v>66480</v>
      </c>
      <c r="E32" s="32" t="s">
        <v>66481</v>
      </c>
      <c r="F32" s="33">
        <v>8.0</v>
      </c>
      <c r="G32" s="31">
        <v>2.05410082E8</v>
      </c>
    </row>
    <row r="33" ht="12.75" customHeight="1">
      <c r="A33" s="27">
        <v>441.0</v>
      </c>
      <c r="B33" s="28" t="s">
        <v>66482</v>
      </c>
      <c r="C33" s="27">
        <v>205.0</v>
      </c>
      <c r="D33" s="28" t="s">
        <v>66483</v>
      </c>
      <c r="E33" s="28" t="s">
        <v>66484</v>
      </c>
      <c r="F33" s="29">
        <v>95.0</v>
      </c>
      <c r="G33" s="27">
        <v>2.05410958E8</v>
      </c>
    </row>
    <row r="34" ht="12.75" customHeight="1">
      <c r="A34" s="31">
        <v>447.0</v>
      </c>
      <c r="B34" s="32" t="s">
        <v>66485</v>
      </c>
      <c r="C34" s="31">
        <v>205.0</v>
      </c>
      <c r="D34" s="32" t="s">
        <v>66486</v>
      </c>
      <c r="E34" s="32" t="s">
        <v>66487</v>
      </c>
      <c r="F34" s="33">
        <v>79.0</v>
      </c>
      <c r="G34" s="31">
        <v>2.05470798E8</v>
      </c>
    </row>
    <row r="35" ht="12.75" customHeight="1">
      <c r="A35" s="27">
        <v>447.0</v>
      </c>
      <c r="B35" s="28" t="s">
        <v>66488</v>
      </c>
      <c r="C35" s="27">
        <v>205.0</v>
      </c>
      <c r="D35" s="28" t="s">
        <v>66489</v>
      </c>
      <c r="E35" s="28" t="s">
        <v>66490</v>
      </c>
      <c r="F35" s="27">
        <v>154.0</v>
      </c>
      <c r="G35" s="27">
        <v>2.05471542E8</v>
      </c>
    </row>
    <row r="36" ht="12.75" customHeight="1">
      <c r="A36" s="31">
        <v>447.0</v>
      </c>
      <c r="B36" s="32" t="s">
        <v>66491</v>
      </c>
      <c r="C36" s="31">
        <v>205.0</v>
      </c>
      <c r="D36" s="32" t="s">
        <v>66492</v>
      </c>
      <c r="E36" s="32" t="s">
        <v>66493</v>
      </c>
      <c r="F36" s="31">
        <v>259.0</v>
      </c>
      <c r="G36" s="31">
        <v>2.05472596E8</v>
      </c>
    </row>
    <row r="37" ht="12.75" customHeight="1">
      <c r="A37" s="27">
        <v>450.0</v>
      </c>
      <c r="B37" s="28" t="s">
        <v>66494</v>
      </c>
      <c r="C37" s="27">
        <v>205.0</v>
      </c>
      <c r="D37" s="28" t="s">
        <v>66495</v>
      </c>
      <c r="E37" s="28" t="s">
        <v>66496</v>
      </c>
      <c r="F37" s="29">
        <v>94.0</v>
      </c>
      <c r="G37" s="27">
        <v>2.05500947E8</v>
      </c>
    </row>
    <row r="38" ht="12.75" customHeight="1">
      <c r="A38" s="31">
        <v>251.0</v>
      </c>
      <c r="B38" s="32" t="s">
        <v>66497</v>
      </c>
      <c r="C38" s="31">
        <v>205.0</v>
      </c>
      <c r="D38" s="32" t="s">
        <v>66498</v>
      </c>
      <c r="E38" s="32" t="s">
        <v>66499</v>
      </c>
      <c r="F38" s="33">
        <v>52.0</v>
      </c>
      <c r="G38" s="31">
        <v>2.05510524E8</v>
      </c>
    </row>
    <row r="39" ht="12.75" customHeight="1">
      <c r="A39" s="27">
        <v>156.0</v>
      </c>
      <c r="B39" s="28" t="s">
        <v>66500</v>
      </c>
      <c r="C39" s="27">
        <v>205.0</v>
      </c>
      <c r="D39" s="28" t="s">
        <v>66501</v>
      </c>
      <c r="E39" s="28" t="s">
        <v>66502</v>
      </c>
      <c r="F39" s="29">
        <v>37.0</v>
      </c>
      <c r="G39" s="27">
        <v>2.05560374E8</v>
      </c>
    </row>
    <row r="40" ht="12.75" customHeight="1">
      <c r="A40" s="31">
        <v>156.0</v>
      </c>
      <c r="B40" s="32" t="s">
        <v>66503</v>
      </c>
      <c r="C40" s="31">
        <v>205.0</v>
      </c>
      <c r="D40" s="32" t="s">
        <v>66504</v>
      </c>
      <c r="E40" s="32" t="s">
        <v>66505</v>
      </c>
      <c r="F40" s="33">
        <v>82.0</v>
      </c>
      <c r="G40" s="31">
        <v>2.05560824E8</v>
      </c>
    </row>
    <row r="41" ht="12.75" customHeight="1">
      <c r="A41" s="27">
        <v>858.0</v>
      </c>
      <c r="B41" s="28" t="s">
        <v>66506</v>
      </c>
      <c r="C41" s="27">
        <v>205.0</v>
      </c>
      <c r="D41" s="28" t="s">
        <v>66507</v>
      </c>
      <c r="E41" s="28" t="s">
        <v>66508</v>
      </c>
      <c r="F41" s="29">
        <v>94.0</v>
      </c>
      <c r="G41" s="27">
        <v>2.05580941E8</v>
      </c>
    </row>
    <row r="42" ht="12.75" customHeight="1">
      <c r="A42" s="31">
        <v>858.0</v>
      </c>
      <c r="B42" s="32" t="s">
        <v>66509</v>
      </c>
      <c r="C42" s="31">
        <v>205.0</v>
      </c>
      <c r="D42" s="32" t="s">
        <v>66510</v>
      </c>
      <c r="E42" s="32" t="s">
        <v>66511</v>
      </c>
      <c r="F42" s="31">
        <v>118.0</v>
      </c>
      <c r="G42" s="31">
        <v>2.05581182E8</v>
      </c>
    </row>
    <row r="43" ht="12.75" customHeight="1">
      <c r="A43" s="27">
        <v>159.0</v>
      </c>
      <c r="B43" s="28" t="s">
        <v>66512</v>
      </c>
      <c r="C43" s="27">
        <v>205.0</v>
      </c>
      <c r="D43" s="28" t="s">
        <v>66513</v>
      </c>
      <c r="E43" s="28" t="s">
        <v>66514</v>
      </c>
      <c r="F43" s="27">
        <v>103.0</v>
      </c>
      <c r="G43" s="27">
        <v>2.05591035E8</v>
      </c>
    </row>
    <row r="44" ht="12.75" customHeight="1">
      <c r="A44" s="31">
        <v>161.0</v>
      </c>
      <c r="B44" s="32" t="s">
        <v>66515</v>
      </c>
      <c r="C44" s="31">
        <v>205.0</v>
      </c>
      <c r="D44" s="32" t="s">
        <v>66516</v>
      </c>
      <c r="E44" s="32" t="s">
        <v>66517</v>
      </c>
      <c r="F44" s="31">
        <v>175.0</v>
      </c>
      <c r="G44" s="31">
        <v>2.05611757E8</v>
      </c>
    </row>
    <row r="45" ht="12.75" customHeight="1">
      <c r="A45" s="27">
        <v>564.0</v>
      </c>
      <c r="B45" s="28" t="s">
        <v>66518</v>
      </c>
      <c r="C45" s="27">
        <v>205.0</v>
      </c>
      <c r="D45" s="28" t="s">
        <v>66519</v>
      </c>
      <c r="E45" s="28" t="s">
        <v>66520</v>
      </c>
      <c r="F45" s="27">
        <v>118.0</v>
      </c>
      <c r="G45" s="27">
        <v>2.05641185E8</v>
      </c>
    </row>
    <row r="46" ht="12.75" customHeight="1">
      <c r="A46" s="31">
        <v>167.0</v>
      </c>
      <c r="B46" s="32" t="s">
        <v>66521</v>
      </c>
      <c r="C46" s="31">
        <v>205.0</v>
      </c>
      <c r="D46" s="32" t="s">
        <v>66522</v>
      </c>
      <c r="E46" s="32" t="s">
        <v>66523</v>
      </c>
      <c r="F46" s="33">
        <v>11.0</v>
      </c>
      <c r="G46" s="31">
        <v>2.05670114E8</v>
      </c>
    </row>
    <row r="47" ht="12.75" customHeight="1">
      <c r="A47" s="27">
        <v>167.0</v>
      </c>
      <c r="B47" s="28" t="s">
        <v>66524</v>
      </c>
      <c r="C47" s="27">
        <v>205.0</v>
      </c>
      <c r="D47" s="28" t="s">
        <v>66525</v>
      </c>
      <c r="E47" s="28" t="s">
        <v>66526</v>
      </c>
      <c r="F47" s="29">
        <v>22.0</v>
      </c>
      <c r="G47" s="27">
        <v>2.05670222E8</v>
      </c>
    </row>
    <row r="48" ht="12.75" customHeight="1">
      <c r="A48" s="31">
        <v>167.0</v>
      </c>
      <c r="B48" s="32" t="s">
        <v>66527</v>
      </c>
      <c r="C48" s="31">
        <v>205.0</v>
      </c>
      <c r="D48" s="32" t="s">
        <v>66528</v>
      </c>
      <c r="E48" s="32" t="s">
        <v>66529</v>
      </c>
      <c r="F48" s="33">
        <v>60.0</v>
      </c>
      <c r="G48" s="31">
        <v>2.05670606E8</v>
      </c>
    </row>
    <row r="49" ht="12.75" customHeight="1">
      <c r="A49" s="27">
        <v>167.0</v>
      </c>
      <c r="B49" s="28" t="s">
        <v>66530</v>
      </c>
      <c r="C49" s="27">
        <v>205.0</v>
      </c>
      <c r="D49" s="28" t="s">
        <v>66531</v>
      </c>
      <c r="E49" s="28" t="s">
        <v>66532</v>
      </c>
      <c r="F49" s="29">
        <v>65.0</v>
      </c>
      <c r="G49" s="27">
        <v>2.05670651E8</v>
      </c>
    </row>
    <row r="50" ht="12.75" customHeight="1">
      <c r="A50" s="31">
        <v>167.0</v>
      </c>
      <c r="B50" s="32" t="s">
        <v>66533</v>
      </c>
      <c r="C50" s="31">
        <v>205.0</v>
      </c>
      <c r="D50" s="32" t="s">
        <v>66534</v>
      </c>
      <c r="E50" s="32" t="s">
        <v>66535</v>
      </c>
      <c r="F50" s="31">
        <v>118.0</v>
      </c>
      <c r="G50" s="31">
        <v>2.05671184E8</v>
      </c>
    </row>
    <row r="51" ht="12.75" customHeight="1">
      <c r="A51" s="27">
        <v>168.0</v>
      </c>
      <c r="B51" s="28" t="s">
        <v>66536</v>
      </c>
      <c r="C51" s="27">
        <v>205.0</v>
      </c>
      <c r="D51" s="28" t="s">
        <v>66537</v>
      </c>
      <c r="E51" s="28" t="s">
        <v>66538</v>
      </c>
      <c r="F51" s="29">
        <v>67.0</v>
      </c>
      <c r="G51" s="27">
        <v>2.0568067E8</v>
      </c>
    </row>
    <row r="52" ht="12.75" customHeight="1">
      <c r="A52" s="31">
        <v>168.0</v>
      </c>
      <c r="B52" s="32" t="s">
        <v>66539</v>
      </c>
      <c r="C52" s="31">
        <v>205.0</v>
      </c>
      <c r="D52" s="32" t="s">
        <v>66540</v>
      </c>
      <c r="E52" s="32" t="s">
        <v>66541</v>
      </c>
      <c r="F52" s="33">
        <v>85.0</v>
      </c>
      <c r="G52" s="31">
        <v>2.05680854E8</v>
      </c>
    </row>
    <row r="53" ht="12.75" customHeight="1">
      <c r="A53" s="27">
        <v>569.0</v>
      </c>
      <c r="B53" s="28" t="s">
        <v>66542</v>
      </c>
      <c r="C53" s="27">
        <v>205.0</v>
      </c>
      <c r="D53" s="28" t="s">
        <v>66543</v>
      </c>
      <c r="E53" s="28" t="s">
        <v>66544</v>
      </c>
      <c r="F53" s="27">
        <v>109.0</v>
      </c>
      <c r="G53" s="27">
        <v>2.05691098E8</v>
      </c>
    </row>
    <row r="54" ht="12.75" customHeight="1">
      <c r="A54" s="31">
        <v>570.0</v>
      </c>
      <c r="B54" s="32" t="s">
        <v>66545</v>
      </c>
      <c r="C54" s="31">
        <v>205.0</v>
      </c>
      <c r="D54" s="32" t="s">
        <v>66546</v>
      </c>
      <c r="E54" s="32" t="s">
        <v>66547</v>
      </c>
      <c r="F54" s="33">
        <v>25.0</v>
      </c>
      <c r="G54" s="31">
        <v>2.05700255E8</v>
      </c>
    </row>
    <row r="55" ht="12.75" customHeight="1">
      <c r="A55" s="27">
        <v>275.0</v>
      </c>
      <c r="B55" s="28" t="s">
        <v>66548</v>
      </c>
      <c r="C55" s="27">
        <v>205.0</v>
      </c>
      <c r="D55" s="28" t="s">
        <v>66549</v>
      </c>
      <c r="E55" s="28" t="s">
        <v>66550</v>
      </c>
      <c r="F55" s="29">
        <v>25.0</v>
      </c>
      <c r="G55" s="27">
        <v>2.0575025E8</v>
      </c>
    </row>
    <row r="56" ht="12.75" customHeight="1">
      <c r="A56" s="31">
        <v>275.0</v>
      </c>
      <c r="B56" s="32" t="s">
        <v>66551</v>
      </c>
      <c r="C56" s="31">
        <v>205.0</v>
      </c>
      <c r="D56" s="32" t="s">
        <v>66552</v>
      </c>
      <c r="E56" s="32" t="s">
        <v>66553</v>
      </c>
      <c r="F56" s="33">
        <v>67.0</v>
      </c>
      <c r="G56" s="31">
        <v>2.05750676E8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275.0</v>
      </c>
      <c r="B1" s="28" t="s">
        <v>66554</v>
      </c>
      <c r="C1" s="27">
        <v>205.0</v>
      </c>
      <c r="D1" s="28" t="s">
        <v>66555</v>
      </c>
      <c r="E1" s="28" t="s">
        <v>66556</v>
      </c>
      <c r="F1" s="27">
        <v>206.0</v>
      </c>
      <c r="G1" s="27">
        <v>2.05752061E8</v>
      </c>
    </row>
    <row r="2" ht="12.75" customHeight="1">
      <c r="A2" s="31">
        <v>576.0</v>
      </c>
      <c r="B2" s="32" t="s">
        <v>66557</v>
      </c>
      <c r="C2" s="31">
        <v>205.0</v>
      </c>
      <c r="D2" s="32" t="s">
        <v>66558</v>
      </c>
      <c r="E2" s="32" t="s">
        <v>66559</v>
      </c>
      <c r="F2" s="31">
        <v>121.0</v>
      </c>
      <c r="G2" s="31">
        <v>2.0576121E8</v>
      </c>
    </row>
    <row r="3" ht="12.75" customHeight="1">
      <c r="A3" s="27">
        <v>576.0</v>
      </c>
      <c r="B3" s="28" t="s">
        <v>66560</v>
      </c>
      <c r="C3" s="27">
        <v>205.0</v>
      </c>
      <c r="D3" s="28" t="s">
        <v>66561</v>
      </c>
      <c r="E3" s="28" t="s">
        <v>66562</v>
      </c>
      <c r="F3" s="27">
        <v>178.0</v>
      </c>
      <c r="G3" s="27">
        <v>2.05761786E8</v>
      </c>
    </row>
    <row r="4" ht="12.75" customHeight="1">
      <c r="A4" s="31">
        <v>581.0</v>
      </c>
      <c r="B4" s="32" t="s">
        <v>66563</v>
      </c>
      <c r="C4" s="31">
        <v>205.0</v>
      </c>
      <c r="D4" s="32" t="s">
        <v>66564</v>
      </c>
      <c r="E4" s="32" t="s">
        <v>66565</v>
      </c>
      <c r="F4" s="33">
        <v>22.0</v>
      </c>
      <c r="G4" s="31">
        <v>2.05810224E8</v>
      </c>
    </row>
    <row r="5" ht="12.75" customHeight="1">
      <c r="A5" s="27">
        <v>581.0</v>
      </c>
      <c r="B5" s="28" t="s">
        <v>66566</v>
      </c>
      <c r="C5" s="27">
        <v>205.0</v>
      </c>
      <c r="D5" s="28" t="s">
        <v>66567</v>
      </c>
      <c r="E5" s="28" t="s">
        <v>66568</v>
      </c>
      <c r="F5" s="27">
        <v>193.0</v>
      </c>
      <c r="G5" s="27">
        <v>2.05811931E8</v>
      </c>
    </row>
    <row r="6" ht="12.75" customHeight="1">
      <c r="A6" s="31">
        <v>382.0</v>
      </c>
      <c r="B6" s="32" t="s">
        <v>66569</v>
      </c>
      <c r="C6" s="31">
        <v>205.0</v>
      </c>
      <c r="D6" s="32" t="s">
        <v>66570</v>
      </c>
      <c r="E6" s="32" t="s">
        <v>66571</v>
      </c>
      <c r="F6" s="33">
        <v>73.0</v>
      </c>
      <c r="G6" s="31">
        <v>2.05820735E8</v>
      </c>
    </row>
    <row r="7" ht="12.75" customHeight="1">
      <c r="A7" s="27">
        <v>785.0</v>
      </c>
      <c r="B7" s="28" t="s">
        <v>66572</v>
      </c>
      <c r="C7" s="27">
        <v>205.0</v>
      </c>
      <c r="D7" s="28" t="s">
        <v>66573</v>
      </c>
      <c r="E7" s="28" t="s">
        <v>66574</v>
      </c>
      <c r="F7" s="27">
        <v>145.0</v>
      </c>
      <c r="G7" s="27">
        <v>2.05851454E8</v>
      </c>
    </row>
    <row r="8" ht="12.75" customHeight="1">
      <c r="A8" s="31">
        <v>487.0</v>
      </c>
      <c r="B8" s="32" t="s">
        <v>66575</v>
      </c>
      <c r="C8" s="31">
        <v>205.0</v>
      </c>
      <c r="D8" s="32" t="s">
        <v>66576</v>
      </c>
      <c r="E8" s="32" t="s">
        <v>66577</v>
      </c>
      <c r="F8" s="31">
        <v>110.0</v>
      </c>
      <c r="G8" s="31">
        <v>2.058711E8</v>
      </c>
    </row>
    <row r="9" ht="12.75" customHeight="1">
      <c r="A9" s="27">
        <v>688.0</v>
      </c>
      <c r="B9" s="28" t="s">
        <v>66578</v>
      </c>
      <c r="C9" s="27">
        <v>205.0</v>
      </c>
      <c r="D9" s="28" t="s">
        <v>66579</v>
      </c>
      <c r="E9" s="28" t="s">
        <v>66580</v>
      </c>
      <c r="F9" s="27">
        <v>187.0</v>
      </c>
      <c r="G9" s="27">
        <v>2.05881879E8</v>
      </c>
    </row>
    <row r="10" ht="12.75" customHeight="1">
      <c r="A10" s="31">
        <v>189.0</v>
      </c>
      <c r="B10" s="32" t="s">
        <v>66581</v>
      </c>
      <c r="C10" s="31">
        <v>205.0</v>
      </c>
      <c r="D10" s="32" t="s">
        <v>66582</v>
      </c>
      <c r="E10" s="32" t="s">
        <v>66583</v>
      </c>
      <c r="F10" s="33">
        <v>55.0</v>
      </c>
      <c r="G10" s="31">
        <v>2.05890552E8</v>
      </c>
    </row>
    <row r="11" ht="12.75" customHeight="1">
      <c r="A11" s="27">
        <v>891.0</v>
      </c>
      <c r="B11" s="28" t="s">
        <v>66584</v>
      </c>
      <c r="C11" s="27">
        <v>205.0</v>
      </c>
      <c r="D11" s="28" t="s">
        <v>66585</v>
      </c>
      <c r="E11" s="28" t="s">
        <v>66586</v>
      </c>
      <c r="F11" s="29">
        <v>22.0</v>
      </c>
      <c r="G11" s="27">
        <v>2.05910229E8</v>
      </c>
    </row>
    <row r="12" ht="12.75" customHeight="1">
      <c r="A12" s="31">
        <v>891.0</v>
      </c>
      <c r="B12" s="32" t="s">
        <v>66587</v>
      </c>
      <c r="C12" s="31">
        <v>205.0</v>
      </c>
      <c r="D12" s="32" t="s">
        <v>66588</v>
      </c>
      <c r="E12" s="32" t="s">
        <v>66589</v>
      </c>
      <c r="F12" s="33">
        <v>32.0</v>
      </c>
      <c r="G12" s="31">
        <v>2.05910324E8</v>
      </c>
    </row>
    <row r="13" ht="12.75" customHeight="1">
      <c r="A13" s="27">
        <v>891.0</v>
      </c>
      <c r="B13" s="28" t="s">
        <v>66590</v>
      </c>
      <c r="C13" s="27">
        <v>205.0</v>
      </c>
      <c r="D13" s="28" t="s">
        <v>66591</v>
      </c>
      <c r="E13" s="28" t="s">
        <v>66592</v>
      </c>
      <c r="F13" s="29">
        <v>44.0</v>
      </c>
      <c r="G13" s="27">
        <v>2.05910445E8</v>
      </c>
    </row>
    <row r="14" ht="12.75" customHeight="1">
      <c r="A14" s="31">
        <v>891.0</v>
      </c>
      <c r="B14" s="32" t="s">
        <v>66593</v>
      </c>
      <c r="C14" s="31">
        <v>205.0</v>
      </c>
      <c r="D14" s="32" t="s">
        <v>66594</v>
      </c>
      <c r="E14" s="32" t="s">
        <v>66595</v>
      </c>
      <c r="F14" s="33">
        <v>70.0</v>
      </c>
      <c r="G14" s="31">
        <v>2.05910708E8</v>
      </c>
    </row>
    <row r="15" ht="12.75" customHeight="1">
      <c r="A15" s="27">
        <v>891.0</v>
      </c>
      <c r="B15" s="28" t="s">
        <v>66596</v>
      </c>
      <c r="C15" s="27">
        <v>205.0</v>
      </c>
      <c r="D15" s="28" t="s">
        <v>66597</v>
      </c>
      <c r="E15" s="28" t="s">
        <v>66598</v>
      </c>
      <c r="F15" s="29">
        <v>85.0</v>
      </c>
      <c r="G15" s="27">
        <v>2.05910858E8</v>
      </c>
    </row>
    <row r="16" ht="12.75" customHeight="1">
      <c r="A16" s="31">
        <v>891.0</v>
      </c>
      <c r="B16" s="32" t="s">
        <v>66599</v>
      </c>
      <c r="C16" s="31">
        <v>205.0</v>
      </c>
      <c r="D16" s="32" t="s">
        <v>66600</v>
      </c>
      <c r="E16" s="32" t="s">
        <v>66601</v>
      </c>
      <c r="F16" s="31">
        <v>175.0</v>
      </c>
      <c r="G16" s="31">
        <v>2.05911752E8</v>
      </c>
    </row>
    <row r="17" ht="12.75" customHeight="1">
      <c r="A17" s="27">
        <v>891.0</v>
      </c>
      <c r="B17" s="28" t="s">
        <v>66602</v>
      </c>
      <c r="C17" s="27">
        <v>205.0</v>
      </c>
      <c r="D17" s="28" t="s">
        <v>66603</v>
      </c>
      <c r="E17" s="28" t="s">
        <v>66604</v>
      </c>
      <c r="F17" s="27">
        <v>250.0</v>
      </c>
      <c r="G17" s="27">
        <v>2.05912506E8</v>
      </c>
    </row>
    <row r="18" ht="12.75" customHeight="1">
      <c r="A18" s="31">
        <v>891.0</v>
      </c>
      <c r="B18" s="32" t="s">
        <v>66605</v>
      </c>
      <c r="C18" s="31">
        <v>205.0</v>
      </c>
      <c r="D18" s="32" t="s">
        <v>66606</v>
      </c>
      <c r="E18" s="32" t="s">
        <v>66607</v>
      </c>
      <c r="F18" s="31">
        <v>286.0</v>
      </c>
      <c r="G18" s="31">
        <v>2.05912869E8</v>
      </c>
    </row>
    <row r="19" ht="12.75" customHeight="1">
      <c r="A19" s="27">
        <v>891.0</v>
      </c>
      <c r="B19" s="28" t="s">
        <v>66608</v>
      </c>
      <c r="C19" s="27">
        <v>205.0</v>
      </c>
      <c r="D19" s="28" t="s">
        <v>66609</v>
      </c>
      <c r="E19" s="28" t="s">
        <v>66610</v>
      </c>
      <c r="F19" s="27">
        <v>325.0</v>
      </c>
      <c r="G19" s="27">
        <v>2.05913255E8</v>
      </c>
    </row>
    <row r="20" ht="12.75" customHeight="1">
      <c r="A20" s="31">
        <v>891.0</v>
      </c>
      <c r="B20" s="32" t="s">
        <v>66611</v>
      </c>
      <c r="C20" s="31">
        <v>205.0</v>
      </c>
      <c r="D20" s="32" t="s">
        <v>66612</v>
      </c>
      <c r="E20" s="32" t="s">
        <v>66613</v>
      </c>
      <c r="F20" s="31">
        <v>383.0</v>
      </c>
      <c r="G20" s="31">
        <v>2.05913839E8</v>
      </c>
    </row>
    <row r="21" ht="12.75" customHeight="1">
      <c r="A21" s="27">
        <v>193.0</v>
      </c>
      <c r="B21" s="28" t="s">
        <v>66614</v>
      </c>
      <c r="C21" s="27">
        <v>205.0</v>
      </c>
      <c r="D21" s="28" t="s">
        <v>66615</v>
      </c>
      <c r="E21" s="28" t="s">
        <v>66616</v>
      </c>
      <c r="F21" s="29">
        <v>17.0</v>
      </c>
      <c r="G21" s="27">
        <v>2.05930175E8</v>
      </c>
    </row>
    <row r="22" ht="12.75" customHeight="1">
      <c r="A22" s="31">
        <v>193.0</v>
      </c>
      <c r="B22" s="32" t="s">
        <v>66617</v>
      </c>
      <c r="C22" s="31">
        <v>205.0</v>
      </c>
      <c r="D22" s="32" t="s">
        <v>66618</v>
      </c>
      <c r="E22" s="32" t="s">
        <v>66619</v>
      </c>
      <c r="F22" s="31">
        <v>230.0</v>
      </c>
      <c r="G22" s="31">
        <v>2.05932302E8</v>
      </c>
    </row>
    <row r="23" ht="12.75" customHeight="1">
      <c r="A23" s="27">
        <v>401.0</v>
      </c>
      <c r="B23" s="28" t="s">
        <v>66620</v>
      </c>
      <c r="C23" s="27">
        <v>210.0</v>
      </c>
      <c r="D23" s="28" t="s">
        <v>66621</v>
      </c>
      <c r="E23" s="28" t="s">
        <v>66622</v>
      </c>
      <c r="F23" s="29">
        <v>7.0</v>
      </c>
      <c r="G23" s="27">
        <v>2.10010077E8</v>
      </c>
    </row>
    <row r="24" ht="12.75" customHeight="1">
      <c r="A24" s="31">
        <v>306.0</v>
      </c>
      <c r="B24" s="32" t="s">
        <v>66623</v>
      </c>
      <c r="C24" s="31">
        <v>210.0</v>
      </c>
      <c r="D24" s="32" t="s">
        <v>66624</v>
      </c>
      <c r="E24" s="32" t="s">
        <v>66625</v>
      </c>
      <c r="F24" s="33">
        <v>28.0</v>
      </c>
      <c r="G24" s="31">
        <v>2.10060285E8</v>
      </c>
    </row>
    <row r="25" ht="12.75" customHeight="1">
      <c r="A25" s="27">
        <v>610.0</v>
      </c>
      <c r="B25" s="28" t="s">
        <v>66626</v>
      </c>
      <c r="C25" s="27">
        <v>210.0</v>
      </c>
      <c r="D25" s="28" t="s">
        <v>66627</v>
      </c>
      <c r="E25" s="28" t="s">
        <v>66628</v>
      </c>
      <c r="F25" s="29">
        <v>37.0</v>
      </c>
      <c r="G25" s="27">
        <v>2.10100374E8</v>
      </c>
    </row>
    <row r="26" ht="12.75" customHeight="1">
      <c r="A26" s="31">
        <v>112.0</v>
      </c>
      <c r="B26" s="32" t="s">
        <v>66629</v>
      </c>
      <c r="C26" s="31">
        <v>210.0</v>
      </c>
      <c r="D26" s="32" t="s">
        <v>66630</v>
      </c>
      <c r="E26" s="32" t="s">
        <v>66631</v>
      </c>
      <c r="F26" s="33">
        <v>43.0</v>
      </c>
      <c r="G26" s="31">
        <v>2.10120433E8</v>
      </c>
    </row>
    <row r="27" ht="12.75" customHeight="1">
      <c r="A27" s="27">
        <v>215.0</v>
      </c>
      <c r="B27" s="28" t="s">
        <v>66632</v>
      </c>
      <c r="C27" s="27">
        <v>210.0</v>
      </c>
      <c r="D27" s="28" t="s">
        <v>66633</v>
      </c>
      <c r="E27" s="28" t="s">
        <v>66634</v>
      </c>
      <c r="F27" s="29">
        <v>8.0</v>
      </c>
      <c r="G27" s="27">
        <v>2.10150087E8</v>
      </c>
    </row>
    <row r="28" ht="12.75" customHeight="1">
      <c r="A28" s="31">
        <v>215.0</v>
      </c>
      <c r="B28" s="32" t="s">
        <v>66635</v>
      </c>
      <c r="C28" s="31">
        <v>210.0</v>
      </c>
      <c r="D28" s="32" t="s">
        <v>66636</v>
      </c>
      <c r="E28" s="32" t="s">
        <v>66637</v>
      </c>
      <c r="F28" s="33">
        <v>13.0</v>
      </c>
      <c r="G28" s="31">
        <v>2.10150137E8</v>
      </c>
    </row>
    <row r="29" ht="12.75" customHeight="1">
      <c r="A29" s="27">
        <v>215.0</v>
      </c>
      <c r="B29" s="28" t="s">
        <v>66638</v>
      </c>
      <c r="C29" s="27">
        <v>210.0</v>
      </c>
      <c r="D29" s="28" t="s">
        <v>66639</v>
      </c>
      <c r="E29" s="28" t="s">
        <v>66640</v>
      </c>
      <c r="F29" s="29">
        <v>15.0</v>
      </c>
      <c r="G29" s="27">
        <v>2.10150153E8</v>
      </c>
    </row>
    <row r="30" ht="12.75" customHeight="1">
      <c r="A30" s="31">
        <v>215.0</v>
      </c>
      <c r="B30" s="32" t="s">
        <v>66641</v>
      </c>
      <c r="C30" s="31">
        <v>210.0</v>
      </c>
      <c r="D30" s="32" t="s">
        <v>66642</v>
      </c>
      <c r="E30" s="32" t="s">
        <v>66643</v>
      </c>
      <c r="F30" s="33">
        <v>30.0</v>
      </c>
      <c r="G30" s="31">
        <v>2.10150308E8</v>
      </c>
    </row>
    <row r="31" ht="12.75" customHeight="1">
      <c r="A31" s="27">
        <v>215.0</v>
      </c>
      <c r="B31" s="28" t="s">
        <v>66644</v>
      </c>
      <c r="C31" s="27">
        <v>210.0</v>
      </c>
      <c r="D31" s="28" t="s">
        <v>66645</v>
      </c>
      <c r="E31" s="28" t="s">
        <v>66646</v>
      </c>
      <c r="F31" s="29">
        <v>32.0</v>
      </c>
      <c r="G31" s="27">
        <v>2.10150324E8</v>
      </c>
    </row>
    <row r="32" ht="12.75" customHeight="1">
      <c r="A32" s="31">
        <v>215.0</v>
      </c>
      <c r="B32" s="32" t="s">
        <v>66647</v>
      </c>
      <c r="C32" s="31">
        <v>210.0</v>
      </c>
      <c r="D32" s="32" t="s">
        <v>66648</v>
      </c>
      <c r="E32" s="32" t="s">
        <v>66649</v>
      </c>
      <c r="F32" s="33">
        <v>51.0</v>
      </c>
      <c r="G32" s="31">
        <v>2.10150511E8</v>
      </c>
    </row>
    <row r="33" ht="12.75" customHeight="1">
      <c r="A33" s="27">
        <v>215.0</v>
      </c>
      <c r="B33" s="28" t="s">
        <v>66650</v>
      </c>
      <c r="C33" s="27">
        <v>210.0</v>
      </c>
      <c r="D33" s="28" t="s">
        <v>66651</v>
      </c>
      <c r="E33" s="28" t="s">
        <v>66652</v>
      </c>
      <c r="F33" s="29">
        <v>79.0</v>
      </c>
      <c r="G33" s="27">
        <v>2.10150795E8</v>
      </c>
    </row>
    <row r="34" ht="12.75" customHeight="1">
      <c r="A34" s="31">
        <v>215.0</v>
      </c>
      <c r="B34" s="32" t="s">
        <v>66653</v>
      </c>
      <c r="C34" s="31">
        <v>210.0</v>
      </c>
      <c r="D34" s="32" t="s">
        <v>66654</v>
      </c>
      <c r="E34" s="32" t="s">
        <v>66655</v>
      </c>
      <c r="F34" s="31">
        <v>148.0</v>
      </c>
      <c r="G34" s="31">
        <v>2.10151486E8</v>
      </c>
    </row>
    <row r="35" ht="12.75" customHeight="1">
      <c r="A35" s="27">
        <v>215.0</v>
      </c>
      <c r="B35" s="28" t="s">
        <v>66656</v>
      </c>
      <c r="C35" s="27">
        <v>210.0</v>
      </c>
      <c r="D35" s="28" t="s">
        <v>66657</v>
      </c>
      <c r="E35" s="28" t="s">
        <v>66658</v>
      </c>
      <c r="F35" s="27">
        <v>157.0</v>
      </c>
      <c r="G35" s="27">
        <v>2.10151578E8</v>
      </c>
    </row>
    <row r="36" ht="12.75" customHeight="1">
      <c r="A36" s="31">
        <v>215.0</v>
      </c>
      <c r="B36" s="32" t="s">
        <v>66659</v>
      </c>
      <c r="C36" s="31">
        <v>210.0</v>
      </c>
      <c r="D36" s="32" t="s">
        <v>66660</v>
      </c>
      <c r="E36" s="32" t="s">
        <v>66661</v>
      </c>
      <c r="F36" s="31">
        <v>175.0</v>
      </c>
      <c r="G36" s="31">
        <v>2.10151752E8</v>
      </c>
    </row>
    <row r="37" ht="12.75" customHeight="1">
      <c r="A37" s="27">
        <v>215.0</v>
      </c>
      <c r="B37" s="28" t="s">
        <v>66662</v>
      </c>
      <c r="C37" s="27">
        <v>210.0</v>
      </c>
      <c r="D37" s="28" t="s">
        <v>66663</v>
      </c>
      <c r="E37" s="28" t="s">
        <v>66664</v>
      </c>
      <c r="F37" s="27">
        <v>208.0</v>
      </c>
      <c r="G37" s="27">
        <v>2.10152085E8</v>
      </c>
    </row>
    <row r="38" ht="12.75" customHeight="1">
      <c r="A38" s="31">
        <v>215.0</v>
      </c>
      <c r="B38" s="32" t="s">
        <v>66665</v>
      </c>
      <c r="C38" s="31">
        <v>210.0</v>
      </c>
      <c r="D38" s="32" t="s">
        <v>66666</v>
      </c>
      <c r="E38" s="32" t="s">
        <v>66667</v>
      </c>
      <c r="F38" s="31">
        <v>217.0</v>
      </c>
      <c r="G38" s="31">
        <v>2.10152177E8</v>
      </c>
    </row>
    <row r="39" ht="12.75" customHeight="1">
      <c r="A39" s="27">
        <v>215.0</v>
      </c>
      <c r="B39" s="28" t="s">
        <v>66668</v>
      </c>
      <c r="C39" s="27">
        <v>210.0</v>
      </c>
      <c r="D39" s="28" t="s">
        <v>66669</v>
      </c>
      <c r="E39" s="28" t="s">
        <v>66670</v>
      </c>
      <c r="F39" s="27">
        <v>307.0</v>
      </c>
      <c r="G39" s="27">
        <v>2.10153071E8</v>
      </c>
    </row>
    <row r="40" ht="12.75" customHeight="1">
      <c r="A40" s="31">
        <v>215.0</v>
      </c>
      <c r="B40" s="32" t="s">
        <v>66671</v>
      </c>
      <c r="C40" s="31">
        <v>210.0</v>
      </c>
      <c r="D40" s="32" t="s">
        <v>66672</v>
      </c>
      <c r="E40" s="32" t="s">
        <v>66673</v>
      </c>
      <c r="F40" s="31">
        <v>364.0</v>
      </c>
      <c r="G40" s="31">
        <v>2.10153642E8</v>
      </c>
    </row>
    <row r="41" ht="12.75" customHeight="1">
      <c r="A41" s="27">
        <v>215.0</v>
      </c>
      <c r="B41" s="28" t="s">
        <v>66674</v>
      </c>
      <c r="C41" s="27">
        <v>210.0</v>
      </c>
      <c r="D41" s="28" t="s">
        <v>66675</v>
      </c>
      <c r="E41" s="28" t="s">
        <v>66676</v>
      </c>
      <c r="F41" s="27">
        <v>373.0</v>
      </c>
      <c r="G41" s="27">
        <v>2.10153734E8</v>
      </c>
    </row>
    <row r="42" ht="12.75" customHeight="1">
      <c r="A42" s="31">
        <v>215.0</v>
      </c>
      <c r="B42" s="32" t="s">
        <v>66677</v>
      </c>
      <c r="C42" s="31">
        <v>210.0</v>
      </c>
      <c r="D42" s="32" t="s">
        <v>66678</v>
      </c>
      <c r="E42" s="32" t="s">
        <v>66679</v>
      </c>
      <c r="F42" s="31">
        <v>427.0</v>
      </c>
      <c r="G42" s="31">
        <v>2.1015427E8</v>
      </c>
    </row>
    <row r="43" ht="12.75" customHeight="1">
      <c r="A43" s="27">
        <v>215.0</v>
      </c>
      <c r="B43" s="28" t="s">
        <v>66680</v>
      </c>
      <c r="C43" s="27">
        <v>210.0</v>
      </c>
      <c r="D43" s="28" t="s">
        <v>66681</v>
      </c>
      <c r="E43" s="28" t="s">
        <v>66682</v>
      </c>
      <c r="F43" s="27">
        <v>445.0</v>
      </c>
      <c r="G43" s="27">
        <v>2.10154454E8</v>
      </c>
    </row>
    <row r="44" ht="12.75" customHeight="1">
      <c r="A44" s="31">
        <v>215.0</v>
      </c>
      <c r="B44" s="32" t="s">
        <v>66683</v>
      </c>
      <c r="C44" s="31">
        <v>210.0</v>
      </c>
      <c r="D44" s="32" t="s">
        <v>66684</v>
      </c>
      <c r="E44" s="32" t="s">
        <v>66685</v>
      </c>
      <c r="F44" s="31">
        <v>590.0</v>
      </c>
      <c r="G44" s="31">
        <v>2.10155903E8</v>
      </c>
    </row>
    <row r="45" ht="12.75" customHeight="1">
      <c r="A45" s="27">
        <v>215.0</v>
      </c>
      <c r="B45" s="28" t="s">
        <v>66686</v>
      </c>
      <c r="C45" s="27">
        <v>210.0</v>
      </c>
      <c r="D45" s="28" t="s">
        <v>66687</v>
      </c>
      <c r="E45" s="28" t="s">
        <v>66688</v>
      </c>
      <c r="F45" s="27">
        <v>592.0</v>
      </c>
      <c r="G45" s="27">
        <v>2.10155929E8</v>
      </c>
    </row>
    <row r="46" ht="12.75" customHeight="1">
      <c r="A46" s="31">
        <v>215.0</v>
      </c>
      <c r="B46" s="32" t="s">
        <v>66689</v>
      </c>
      <c r="C46" s="31">
        <v>210.0</v>
      </c>
      <c r="D46" s="32" t="s">
        <v>66690</v>
      </c>
      <c r="E46" s="32" t="s">
        <v>66691</v>
      </c>
      <c r="F46" s="31">
        <v>604.0</v>
      </c>
      <c r="G46" s="31">
        <v>2.10156049E8</v>
      </c>
    </row>
    <row r="47" ht="12.75" customHeight="1">
      <c r="A47" s="27">
        <v>215.0</v>
      </c>
      <c r="B47" s="28" t="s">
        <v>66692</v>
      </c>
      <c r="C47" s="27">
        <v>210.0</v>
      </c>
      <c r="D47" s="28" t="s">
        <v>66693</v>
      </c>
      <c r="E47" s="28" t="s">
        <v>66694</v>
      </c>
      <c r="F47" s="27">
        <v>613.0</v>
      </c>
      <c r="G47" s="27">
        <v>2.10156131E8</v>
      </c>
    </row>
    <row r="48" ht="12.75" customHeight="1">
      <c r="A48" s="31">
        <v>215.0</v>
      </c>
      <c r="B48" s="32" t="s">
        <v>66695</v>
      </c>
      <c r="C48" s="31">
        <v>210.0</v>
      </c>
      <c r="D48" s="32" t="s">
        <v>66696</v>
      </c>
      <c r="E48" s="32" t="s">
        <v>66697</v>
      </c>
      <c r="F48" s="31">
        <v>673.0</v>
      </c>
      <c r="G48" s="31">
        <v>2.10156731E8</v>
      </c>
    </row>
    <row r="49" ht="12.75" customHeight="1">
      <c r="A49" s="27">
        <v>418.0</v>
      </c>
      <c r="B49" s="28" t="s">
        <v>66698</v>
      </c>
      <c r="C49" s="27">
        <v>210.0</v>
      </c>
      <c r="D49" s="28" t="s">
        <v>66699</v>
      </c>
      <c r="E49" s="28" t="s">
        <v>66700</v>
      </c>
      <c r="F49" s="29">
        <v>4.0</v>
      </c>
      <c r="G49" s="27">
        <v>2.10180044E8</v>
      </c>
    </row>
    <row r="50" ht="12.75" customHeight="1">
      <c r="A50" s="31">
        <v>418.0</v>
      </c>
      <c r="B50" s="32" t="s">
        <v>66701</v>
      </c>
      <c r="C50" s="31">
        <v>210.0</v>
      </c>
      <c r="D50" s="32" t="s">
        <v>66702</v>
      </c>
      <c r="E50" s="32" t="s">
        <v>66703</v>
      </c>
      <c r="F50" s="33">
        <v>19.0</v>
      </c>
      <c r="G50" s="31">
        <v>2.10180194E8</v>
      </c>
    </row>
    <row r="51" ht="12.75" customHeight="1">
      <c r="A51" s="27">
        <v>119.0</v>
      </c>
      <c r="B51" s="28" t="s">
        <v>66704</v>
      </c>
      <c r="C51" s="27">
        <v>210.0</v>
      </c>
      <c r="D51" s="28" t="s">
        <v>66705</v>
      </c>
      <c r="E51" s="28" t="s">
        <v>66706</v>
      </c>
      <c r="F51" s="27">
        <v>115.0</v>
      </c>
      <c r="G51" s="27">
        <v>2.10191154E8</v>
      </c>
    </row>
    <row r="52" ht="12.75" customHeight="1">
      <c r="A52" s="31">
        <v>119.0</v>
      </c>
      <c r="B52" s="32" t="s">
        <v>66707</v>
      </c>
      <c r="C52" s="31">
        <v>210.0</v>
      </c>
      <c r="D52" s="32" t="s">
        <v>66708</v>
      </c>
      <c r="E52" s="32" t="s">
        <v>66709</v>
      </c>
      <c r="F52" s="31">
        <v>334.0</v>
      </c>
      <c r="G52" s="31">
        <v>2.10193349E8</v>
      </c>
    </row>
    <row r="53" ht="12.75" customHeight="1">
      <c r="A53" s="27">
        <v>119.0</v>
      </c>
      <c r="B53" s="28" t="s">
        <v>66710</v>
      </c>
      <c r="C53" s="27">
        <v>210.0</v>
      </c>
      <c r="D53" s="28" t="s">
        <v>66711</v>
      </c>
      <c r="E53" s="28" t="s">
        <v>66712</v>
      </c>
      <c r="F53" s="27">
        <v>364.0</v>
      </c>
      <c r="G53" s="27">
        <v>2.10193644E8</v>
      </c>
    </row>
    <row r="54" ht="12.75" customHeight="1">
      <c r="A54" s="31">
        <v>222.0</v>
      </c>
      <c r="B54" s="32" t="s">
        <v>66713</v>
      </c>
      <c r="C54" s="31">
        <v>210.0</v>
      </c>
      <c r="D54" s="32" t="s">
        <v>66714</v>
      </c>
      <c r="E54" s="32" t="s">
        <v>66715</v>
      </c>
      <c r="F54" s="33">
        <v>25.0</v>
      </c>
      <c r="G54" s="31">
        <v>2.10220254E8</v>
      </c>
    </row>
    <row r="55" ht="12.75" customHeight="1">
      <c r="A55" s="27">
        <v>126.0</v>
      </c>
      <c r="B55" s="28" t="s">
        <v>66716</v>
      </c>
      <c r="C55" s="27">
        <v>210.0</v>
      </c>
      <c r="D55" s="28" t="s">
        <v>66717</v>
      </c>
      <c r="E55" s="28" t="s">
        <v>66718</v>
      </c>
      <c r="F55" s="29">
        <v>20.0</v>
      </c>
      <c r="G55" s="27">
        <v>2.10260201E8</v>
      </c>
    </row>
    <row r="56" ht="12.75" customHeight="1">
      <c r="A56" s="31">
        <v>126.0</v>
      </c>
      <c r="B56" s="32" t="s">
        <v>66719</v>
      </c>
      <c r="C56" s="31">
        <v>210.0</v>
      </c>
      <c r="D56" s="32" t="s">
        <v>66720</v>
      </c>
      <c r="E56" s="32" t="s">
        <v>66721</v>
      </c>
      <c r="F56" s="33">
        <v>22.0</v>
      </c>
      <c r="G56" s="31">
        <v>2.10260227E8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66722</v>
      </c>
      <c r="C1" s="27">
        <v>210.0</v>
      </c>
      <c r="D1" s="28" t="s">
        <v>66723</v>
      </c>
      <c r="E1" s="28" t="s">
        <v>66724</v>
      </c>
      <c r="F1" s="29">
        <v>24.0</v>
      </c>
      <c r="G1" s="27">
        <v>2.10260243E8</v>
      </c>
    </row>
    <row r="2" ht="12.75" customHeight="1">
      <c r="A2" s="31">
        <v>126.0</v>
      </c>
      <c r="B2" s="32" t="s">
        <v>66725</v>
      </c>
      <c r="C2" s="31">
        <v>210.0</v>
      </c>
      <c r="D2" s="32" t="s">
        <v>66726</v>
      </c>
      <c r="E2" s="32" t="s">
        <v>66727</v>
      </c>
      <c r="F2" s="33">
        <v>43.0</v>
      </c>
      <c r="G2" s="31">
        <v>2.1026043E8</v>
      </c>
    </row>
    <row r="3" ht="12.75" customHeight="1">
      <c r="A3" s="27">
        <v>126.0</v>
      </c>
      <c r="B3" s="28" t="s">
        <v>66728</v>
      </c>
      <c r="C3" s="27">
        <v>210.0</v>
      </c>
      <c r="D3" s="28" t="s">
        <v>66729</v>
      </c>
      <c r="E3" s="28" t="s">
        <v>66730</v>
      </c>
      <c r="F3" s="29">
        <v>50.0</v>
      </c>
      <c r="G3" s="27">
        <v>2.10260506E8</v>
      </c>
    </row>
    <row r="4" ht="12.75" customHeight="1">
      <c r="A4" s="31">
        <v>126.0</v>
      </c>
      <c r="B4" s="32" t="s">
        <v>66731</v>
      </c>
      <c r="C4" s="31">
        <v>210.0</v>
      </c>
      <c r="D4" s="32" t="s">
        <v>66732</v>
      </c>
      <c r="E4" s="32" t="s">
        <v>66733</v>
      </c>
      <c r="F4" s="33">
        <v>91.0</v>
      </c>
      <c r="G4" s="31">
        <v>2.10260919E8</v>
      </c>
    </row>
    <row r="5" ht="12.75" customHeight="1">
      <c r="A5" s="27">
        <v>126.0</v>
      </c>
      <c r="B5" s="28" t="s">
        <v>66734</v>
      </c>
      <c r="C5" s="27">
        <v>210.0</v>
      </c>
      <c r="D5" s="28" t="s">
        <v>66735</v>
      </c>
      <c r="E5" s="28" t="s">
        <v>66736</v>
      </c>
      <c r="F5" s="27">
        <v>118.0</v>
      </c>
      <c r="G5" s="27">
        <v>2.10261189E8</v>
      </c>
    </row>
    <row r="6" ht="12.75" customHeight="1">
      <c r="A6" s="31">
        <v>126.0</v>
      </c>
      <c r="B6" s="32" t="s">
        <v>66737</v>
      </c>
      <c r="C6" s="31">
        <v>210.0</v>
      </c>
      <c r="D6" s="32" t="s">
        <v>66738</v>
      </c>
      <c r="E6" s="32" t="s">
        <v>66739</v>
      </c>
      <c r="F6" s="31">
        <v>151.0</v>
      </c>
      <c r="G6" s="31">
        <v>2.10261518E8</v>
      </c>
    </row>
    <row r="7" ht="12.75" customHeight="1">
      <c r="A7" s="27">
        <v>126.0</v>
      </c>
      <c r="B7" s="28" t="s">
        <v>66740</v>
      </c>
      <c r="C7" s="27">
        <v>210.0</v>
      </c>
      <c r="D7" s="28" t="s">
        <v>66741</v>
      </c>
      <c r="E7" s="28" t="s">
        <v>66742</v>
      </c>
      <c r="F7" s="27">
        <v>169.0</v>
      </c>
      <c r="G7" s="27">
        <v>2.10261697E8</v>
      </c>
    </row>
    <row r="8" ht="12.75" customHeight="1">
      <c r="A8" s="31">
        <v>126.0</v>
      </c>
      <c r="B8" s="32" t="s">
        <v>66743</v>
      </c>
      <c r="C8" s="31">
        <v>210.0</v>
      </c>
      <c r="D8" s="32" t="s">
        <v>66744</v>
      </c>
      <c r="E8" s="32" t="s">
        <v>66745</v>
      </c>
      <c r="F8" s="31">
        <v>172.0</v>
      </c>
      <c r="G8" s="31">
        <v>2.10261721E8</v>
      </c>
    </row>
    <row r="9" ht="12.75" customHeight="1">
      <c r="A9" s="27">
        <v>126.0</v>
      </c>
      <c r="B9" s="28" t="s">
        <v>66746</v>
      </c>
      <c r="C9" s="27">
        <v>210.0</v>
      </c>
      <c r="D9" s="28" t="s">
        <v>66747</v>
      </c>
      <c r="E9" s="28" t="s">
        <v>66748</v>
      </c>
      <c r="F9" s="27">
        <v>193.0</v>
      </c>
      <c r="G9" s="27">
        <v>2.10261934E8</v>
      </c>
    </row>
    <row r="10" ht="12.75" customHeight="1">
      <c r="A10" s="31">
        <v>126.0</v>
      </c>
      <c r="B10" s="32" t="s">
        <v>66749</v>
      </c>
      <c r="C10" s="31">
        <v>210.0</v>
      </c>
      <c r="D10" s="32" t="s">
        <v>66750</v>
      </c>
      <c r="E10" s="32" t="s">
        <v>66751</v>
      </c>
      <c r="F10" s="31">
        <v>253.0</v>
      </c>
      <c r="G10" s="31">
        <v>2.10262533E8</v>
      </c>
    </row>
    <row r="11" ht="12.75" customHeight="1">
      <c r="A11" s="27">
        <v>126.0</v>
      </c>
      <c r="B11" s="28" t="s">
        <v>66752</v>
      </c>
      <c r="C11" s="27">
        <v>210.0</v>
      </c>
      <c r="D11" s="28" t="s">
        <v>66753</v>
      </c>
      <c r="E11" s="28" t="s">
        <v>66754</v>
      </c>
      <c r="F11" s="27">
        <v>298.0</v>
      </c>
      <c r="G11" s="27">
        <v>2.10262988E8</v>
      </c>
    </row>
    <row r="12" ht="12.75" customHeight="1">
      <c r="A12" s="31">
        <v>126.0</v>
      </c>
      <c r="B12" s="32" t="s">
        <v>66755</v>
      </c>
      <c r="C12" s="31">
        <v>210.0</v>
      </c>
      <c r="D12" s="32" t="s">
        <v>66756</v>
      </c>
      <c r="E12" s="32" t="s">
        <v>66757</v>
      </c>
      <c r="F12" s="31">
        <v>319.0</v>
      </c>
      <c r="G12" s="31">
        <v>2.1026319E8</v>
      </c>
    </row>
    <row r="13" ht="12.75" customHeight="1">
      <c r="A13" s="27">
        <v>126.0</v>
      </c>
      <c r="B13" s="28" t="s">
        <v>66758</v>
      </c>
      <c r="C13" s="27">
        <v>210.0</v>
      </c>
      <c r="D13" s="28" t="s">
        <v>66759</v>
      </c>
      <c r="E13" s="28" t="s">
        <v>66760</v>
      </c>
      <c r="F13" s="27">
        <v>328.0</v>
      </c>
      <c r="G13" s="27">
        <v>2.10263282E8</v>
      </c>
    </row>
    <row r="14" ht="12.75" customHeight="1">
      <c r="A14" s="31">
        <v>126.0</v>
      </c>
      <c r="B14" s="32" t="s">
        <v>66761</v>
      </c>
      <c r="C14" s="31">
        <v>210.0</v>
      </c>
      <c r="D14" s="32" t="s">
        <v>66762</v>
      </c>
      <c r="E14" s="32" t="s">
        <v>66763</v>
      </c>
      <c r="F14" s="31">
        <v>361.0</v>
      </c>
      <c r="G14" s="31">
        <v>2.10263611E8</v>
      </c>
    </row>
    <row r="15" ht="12.75" customHeight="1">
      <c r="A15" s="27">
        <v>126.0</v>
      </c>
      <c r="B15" s="28" t="s">
        <v>66764</v>
      </c>
      <c r="C15" s="27">
        <v>210.0</v>
      </c>
      <c r="D15" s="28" t="s">
        <v>66765</v>
      </c>
      <c r="E15" s="28" t="s">
        <v>66766</v>
      </c>
      <c r="F15" s="27">
        <v>370.0</v>
      </c>
      <c r="G15" s="27">
        <v>2.10263703E8</v>
      </c>
    </row>
    <row r="16" ht="12.75" customHeight="1">
      <c r="A16" s="31">
        <v>126.0</v>
      </c>
      <c r="B16" s="32" t="s">
        <v>66767</v>
      </c>
      <c r="C16" s="31">
        <v>210.0</v>
      </c>
      <c r="D16" s="32" t="s">
        <v>66768</v>
      </c>
      <c r="E16" s="32" t="s">
        <v>66769</v>
      </c>
      <c r="F16" s="31">
        <v>397.0</v>
      </c>
      <c r="G16" s="31">
        <v>2.10263974E8</v>
      </c>
    </row>
    <row r="17" ht="12.75" customHeight="1">
      <c r="A17" s="27">
        <v>126.0</v>
      </c>
      <c r="B17" s="28" t="s">
        <v>66770</v>
      </c>
      <c r="C17" s="27">
        <v>210.0</v>
      </c>
      <c r="D17" s="28" t="s">
        <v>66771</v>
      </c>
      <c r="E17" s="28" t="s">
        <v>66772</v>
      </c>
      <c r="F17" s="27">
        <v>409.0</v>
      </c>
      <c r="G17" s="27">
        <v>2.10264094E8</v>
      </c>
    </row>
    <row r="18" ht="12.75" customHeight="1">
      <c r="A18" s="31">
        <v>126.0</v>
      </c>
      <c r="B18" s="32" t="s">
        <v>66773</v>
      </c>
      <c r="C18" s="31">
        <v>210.0</v>
      </c>
      <c r="D18" s="32" t="s">
        <v>66774</v>
      </c>
      <c r="E18" s="32" t="s">
        <v>66775</v>
      </c>
      <c r="F18" s="31">
        <v>452.0</v>
      </c>
      <c r="G18" s="31">
        <v>2.10264528E8</v>
      </c>
    </row>
    <row r="19" ht="12.75" customHeight="1">
      <c r="A19" s="27">
        <v>126.0</v>
      </c>
      <c r="B19" s="28" t="s">
        <v>66776</v>
      </c>
      <c r="C19" s="27">
        <v>210.0</v>
      </c>
      <c r="D19" s="28" t="s">
        <v>66777</v>
      </c>
      <c r="E19" s="28" t="s">
        <v>66778</v>
      </c>
      <c r="F19" s="27">
        <v>469.0</v>
      </c>
      <c r="G19" s="27">
        <v>2.10264694E8</v>
      </c>
    </row>
    <row r="20" ht="12.75" customHeight="1">
      <c r="A20" s="31">
        <v>127.0</v>
      </c>
      <c r="B20" s="32" t="s">
        <v>66779</v>
      </c>
      <c r="C20" s="31">
        <v>210.0</v>
      </c>
      <c r="D20" s="32" t="s">
        <v>66780</v>
      </c>
      <c r="E20" s="32" t="s">
        <v>66781</v>
      </c>
      <c r="F20" s="33">
        <v>0.0</v>
      </c>
      <c r="G20" s="31">
        <v>2.10270004E8</v>
      </c>
    </row>
    <row r="21" ht="12.75" customHeight="1">
      <c r="A21" s="27">
        <v>127.0</v>
      </c>
      <c r="B21" s="28" t="s">
        <v>66782</v>
      </c>
      <c r="C21" s="27">
        <v>210.0</v>
      </c>
      <c r="D21" s="28" t="s">
        <v>66783</v>
      </c>
      <c r="E21" s="28" t="s">
        <v>66784</v>
      </c>
      <c r="F21" s="29">
        <v>13.0</v>
      </c>
      <c r="G21" s="27">
        <v>2.10270138E8</v>
      </c>
    </row>
    <row r="22" ht="12.75" customHeight="1">
      <c r="A22" s="31">
        <v>127.0</v>
      </c>
      <c r="B22" s="32" t="s">
        <v>66785</v>
      </c>
      <c r="C22" s="31">
        <v>210.0</v>
      </c>
      <c r="D22" s="32" t="s">
        <v>66786</v>
      </c>
      <c r="E22" s="32" t="s">
        <v>66787</v>
      </c>
      <c r="F22" s="33">
        <v>33.0</v>
      </c>
      <c r="G22" s="31">
        <v>2.10270338E8</v>
      </c>
    </row>
    <row r="23" ht="12.75" customHeight="1">
      <c r="A23" s="27">
        <v>127.0</v>
      </c>
      <c r="B23" s="28" t="s">
        <v>66788</v>
      </c>
      <c r="C23" s="27">
        <v>210.0</v>
      </c>
      <c r="D23" s="28" t="s">
        <v>66789</v>
      </c>
      <c r="E23" s="28" t="s">
        <v>66790</v>
      </c>
      <c r="F23" s="27">
        <v>208.0</v>
      </c>
      <c r="G23" s="27">
        <v>2.10272086E8</v>
      </c>
    </row>
    <row r="24" ht="12.75" customHeight="1">
      <c r="A24" s="31">
        <v>127.0</v>
      </c>
      <c r="B24" s="32" t="s">
        <v>66791</v>
      </c>
      <c r="C24" s="31">
        <v>210.0</v>
      </c>
      <c r="D24" s="32" t="s">
        <v>66792</v>
      </c>
      <c r="E24" s="32" t="s">
        <v>66793</v>
      </c>
      <c r="F24" s="31">
        <v>232.0</v>
      </c>
      <c r="G24" s="31">
        <v>2.10272323E8</v>
      </c>
    </row>
    <row r="25" ht="12.75" customHeight="1">
      <c r="A25" s="27">
        <v>127.0</v>
      </c>
      <c r="B25" s="28" t="s">
        <v>66794</v>
      </c>
      <c r="C25" s="27">
        <v>210.0</v>
      </c>
      <c r="D25" s="28" t="s">
        <v>66795</v>
      </c>
      <c r="E25" s="28" t="s">
        <v>66796</v>
      </c>
      <c r="F25" s="27">
        <v>280.0</v>
      </c>
      <c r="G25" s="27">
        <v>2.10272802E8</v>
      </c>
    </row>
    <row r="26" ht="12.75" customHeight="1">
      <c r="A26" s="31">
        <v>127.0</v>
      </c>
      <c r="B26" s="32" t="s">
        <v>66797</v>
      </c>
      <c r="C26" s="31">
        <v>210.0</v>
      </c>
      <c r="D26" s="32" t="s">
        <v>66798</v>
      </c>
      <c r="E26" s="32" t="s">
        <v>66799</v>
      </c>
      <c r="F26" s="31">
        <v>298.0</v>
      </c>
      <c r="G26" s="31">
        <v>2.10272981E8</v>
      </c>
    </row>
    <row r="27" ht="12.75" customHeight="1">
      <c r="A27" s="27">
        <v>127.0</v>
      </c>
      <c r="B27" s="28" t="s">
        <v>66800</v>
      </c>
      <c r="C27" s="27">
        <v>210.0</v>
      </c>
      <c r="D27" s="28" t="s">
        <v>66801</v>
      </c>
      <c r="E27" s="28" t="s">
        <v>66802</v>
      </c>
      <c r="F27" s="27">
        <v>394.0</v>
      </c>
      <c r="G27" s="27">
        <v>2.10273948E8</v>
      </c>
    </row>
    <row r="28" ht="12.75" customHeight="1">
      <c r="A28" s="31">
        <v>127.0</v>
      </c>
      <c r="B28" s="32" t="s">
        <v>66803</v>
      </c>
      <c r="C28" s="31">
        <v>210.0</v>
      </c>
      <c r="D28" s="32" t="s">
        <v>66804</v>
      </c>
      <c r="E28" s="32" t="s">
        <v>66805</v>
      </c>
      <c r="F28" s="31">
        <v>400.0</v>
      </c>
      <c r="G28" s="31">
        <v>2.10274E8</v>
      </c>
    </row>
    <row r="29" ht="12.75" customHeight="1">
      <c r="A29" s="27">
        <v>127.0</v>
      </c>
      <c r="B29" s="28" t="s">
        <v>66806</v>
      </c>
      <c r="C29" s="27">
        <v>210.0</v>
      </c>
      <c r="D29" s="28" t="s">
        <v>66807</v>
      </c>
      <c r="E29" s="28" t="s">
        <v>66808</v>
      </c>
      <c r="F29" s="27">
        <v>451.0</v>
      </c>
      <c r="G29" s="27">
        <v>2.10274518E8</v>
      </c>
    </row>
    <row r="30" ht="12.75" customHeight="1">
      <c r="A30" s="31">
        <v>127.0</v>
      </c>
      <c r="B30" s="32" t="s">
        <v>66809</v>
      </c>
      <c r="C30" s="31">
        <v>210.0</v>
      </c>
      <c r="D30" s="32" t="s">
        <v>66810</v>
      </c>
      <c r="E30" s="32" t="s">
        <v>66811</v>
      </c>
      <c r="F30" s="31">
        <v>469.0</v>
      </c>
      <c r="G30" s="31">
        <v>2.10274697E8</v>
      </c>
    </row>
    <row r="31" ht="12.75" customHeight="1">
      <c r="A31" s="27">
        <v>127.0</v>
      </c>
      <c r="B31" s="28" t="s">
        <v>66812</v>
      </c>
      <c r="C31" s="27">
        <v>210.0</v>
      </c>
      <c r="D31" s="28" t="s">
        <v>66813</v>
      </c>
      <c r="E31" s="28" t="s">
        <v>66814</v>
      </c>
      <c r="F31" s="27">
        <v>475.0</v>
      </c>
      <c r="G31" s="27">
        <v>2.1027475E8</v>
      </c>
    </row>
    <row r="32" ht="12.75" customHeight="1">
      <c r="A32" s="31">
        <v>127.0</v>
      </c>
      <c r="B32" s="32" t="s">
        <v>66815</v>
      </c>
      <c r="C32" s="31">
        <v>210.0</v>
      </c>
      <c r="D32" s="32" t="s">
        <v>66816</v>
      </c>
      <c r="E32" s="32" t="s">
        <v>66817</v>
      </c>
      <c r="F32" s="31">
        <v>502.0</v>
      </c>
      <c r="G32" s="31">
        <v>2.10275025E8</v>
      </c>
    </row>
    <row r="33" ht="12.75" customHeight="1">
      <c r="A33" s="27">
        <v>127.0</v>
      </c>
      <c r="B33" s="28" t="s">
        <v>66818</v>
      </c>
      <c r="C33" s="27">
        <v>210.0</v>
      </c>
      <c r="D33" s="28" t="s">
        <v>66819</v>
      </c>
      <c r="E33" s="28" t="s">
        <v>66820</v>
      </c>
      <c r="F33" s="27">
        <v>535.0</v>
      </c>
      <c r="G33" s="27">
        <v>2.10275359E8</v>
      </c>
    </row>
    <row r="34" ht="12.75" customHeight="1">
      <c r="A34" s="31">
        <v>127.0</v>
      </c>
      <c r="B34" s="32" t="s">
        <v>66821</v>
      </c>
      <c r="C34" s="31">
        <v>210.0</v>
      </c>
      <c r="D34" s="32" t="s">
        <v>66822</v>
      </c>
      <c r="E34" s="32" t="s">
        <v>66823</v>
      </c>
      <c r="F34" s="31">
        <v>673.0</v>
      </c>
      <c r="G34" s="31">
        <v>2.10276732E8</v>
      </c>
    </row>
    <row r="35" ht="12.75" customHeight="1">
      <c r="A35" s="27">
        <v>127.0</v>
      </c>
      <c r="B35" s="28" t="s">
        <v>66824</v>
      </c>
      <c r="C35" s="27">
        <v>210.0</v>
      </c>
      <c r="D35" s="28" t="s">
        <v>66825</v>
      </c>
      <c r="E35" s="28" t="s">
        <v>66826</v>
      </c>
      <c r="F35" s="27">
        <v>675.0</v>
      </c>
      <c r="G35" s="27">
        <v>2.10276758E8</v>
      </c>
    </row>
    <row r="36" ht="12.75" customHeight="1">
      <c r="A36" s="31">
        <v>728.0</v>
      </c>
      <c r="B36" s="32" t="s">
        <v>66827</v>
      </c>
      <c r="C36" s="31">
        <v>210.0</v>
      </c>
      <c r="D36" s="32" t="s">
        <v>66828</v>
      </c>
      <c r="E36" s="32" t="s">
        <v>66829</v>
      </c>
      <c r="F36" s="33">
        <v>67.0</v>
      </c>
      <c r="G36" s="31">
        <v>2.10280678E8</v>
      </c>
    </row>
    <row r="37" ht="12.75" customHeight="1">
      <c r="A37" s="27">
        <v>329.0</v>
      </c>
      <c r="B37" s="28" t="s">
        <v>66830</v>
      </c>
      <c r="C37" s="27">
        <v>210.0</v>
      </c>
      <c r="D37" s="28" t="s">
        <v>66831</v>
      </c>
      <c r="E37" s="28" t="s">
        <v>66832</v>
      </c>
      <c r="F37" s="29">
        <v>52.0</v>
      </c>
      <c r="G37" s="27">
        <v>2.10290521E8</v>
      </c>
    </row>
    <row r="38" ht="12.75" customHeight="1">
      <c r="A38" s="31">
        <v>230.0</v>
      </c>
      <c r="B38" s="32" t="s">
        <v>66833</v>
      </c>
      <c r="C38" s="31">
        <v>210.0</v>
      </c>
      <c r="D38" s="32" t="s">
        <v>66834</v>
      </c>
      <c r="E38" s="32" t="s">
        <v>66835</v>
      </c>
      <c r="F38" s="33">
        <v>52.0</v>
      </c>
      <c r="G38" s="31">
        <v>2.10300529E8</v>
      </c>
    </row>
    <row r="39" ht="12.75" customHeight="1">
      <c r="A39" s="27">
        <v>632.0</v>
      </c>
      <c r="B39" s="28" t="s">
        <v>66836</v>
      </c>
      <c r="C39" s="27">
        <v>210.0</v>
      </c>
      <c r="D39" s="28" t="s">
        <v>66837</v>
      </c>
      <c r="E39" s="28" t="s">
        <v>66838</v>
      </c>
      <c r="F39" s="29">
        <v>58.0</v>
      </c>
      <c r="G39" s="27">
        <v>2.10320583E8</v>
      </c>
    </row>
    <row r="40" ht="12.75" customHeight="1">
      <c r="A40" s="31">
        <v>133.0</v>
      </c>
      <c r="B40" s="32" t="s">
        <v>66839</v>
      </c>
      <c r="C40" s="31">
        <v>210.0</v>
      </c>
      <c r="D40" s="32" t="s">
        <v>66840</v>
      </c>
      <c r="E40" s="32" t="s">
        <v>66841</v>
      </c>
      <c r="F40" s="33">
        <v>52.0</v>
      </c>
      <c r="G40" s="31">
        <v>2.10330528E8</v>
      </c>
    </row>
    <row r="41" ht="12.75" customHeight="1">
      <c r="A41" s="27">
        <v>133.0</v>
      </c>
      <c r="B41" s="28" t="s">
        <v>66842</v>
      </c>
      <c r="C41" s="27">
        <v>210.0</v>
      </c>
      <c r="D41" s="28" t="s">
        <v>66843</v>
      </c>
      <c r="E41" s="28" t="s">
        <v>66844</v>
      </c>
      <c r="F41" s="27">
        <v>142.0</v>
      </c>
      <c r="G41" s="27">
        <v>2.10331422E8</v>
      </c>
    </row>
    <row r="42" ht="12.75" customHeight="1">
      <c r="A42" s="31">
        <v>435.0</v>
      </c>
      <c r="B42" s="32" t="s">
        <v>66845</v>
      </c>
      <c r="C42" s="31">
        <v>210.0</v>
      </c>
      <c r="D42" s="32" t="s">
        <v>66846</v>
      </c>
      <c r="E42" s="32" t="s">
        <v>66847</v>
      </c>
      <c r="F42" s="33">
        <v>37.0</v>
      </c>
      <c r="G42" s="31">
        <v>2.10350379E8</v>
      </c>
    </row>
    <row r="43" ht="12.75" customHeight="1">
      <c r="A43" s="27">
        <v>435.0</v>
      </c>
      <c r="B43" s="28" t="s">
        <v>66848</v>
      </c>
      <c r="C43" s="27">
        <v>210.0</v>
      </c>
      <c r="D43" s="28" t="s">
        <v>66849</v>
      </c>
      <c r="E43" s="28" t="s">
        <v>66850</v>
      </c>
      <c r="F43" s="29">
        <v>67.0</v>
      </c>
      <c r="G43" s="27">
        <v>2.10350674E8</v>
      </c>
    </row>
    <row r="44" ht="12.75" customHeight="1">
      <c r="A44" s="31">
        <v>435.0</v>
      </c>
      <c r="B44" s="32" t="s">
        <v>66851</v>
      </c>
      <c r="C44" s="31">
        <v>210.0</v>
      </c>
      <c r="D44" s="32" t="s">
        <v>66852</v>
      </c>
      <c r="E44" s="32" t="s">
        <v>66853</v>
      </c>
      <c r="F44" s="33">
        <v>83.0</v>
      </c>
      <c r="G44" s="31">
        <v>2.10350832E8</v>
      </c>
    </row>
    <row r="45" ht="12.75" customHeight="1">
      <c r="A45" s="27">
        <v>139.0</v>
      </c>
      <c r="B45" s="28" t="s">
        <v>66854</v>
      </c>
      <c r="C45" s="27">
        <v>210.0</v>
      </c>
      <c r="D45" s="28" t="s">
        <v>66855</v>
      </c>
      <c r="E45" s="28" t="s">
        <v>66856</v>
      </c>
      <c r="F45" s="29">
        <v>10.0</v>
      </c>
      <c r="G45" s="27">
        <v>2.103901E8</v>
      </c>
    </row>
    <row r="46" ht="12.75" customHeight="1">
      <c r="A46" s="31">
        <v>441.0</v>
      </c>
      <c r="B46" s="32" t="s">
        <v>66857</v>
      </c>
      <c r="C46" s="31">
        <v>210.0</v>
      </c>
      <c r="D46" s="32" t="s">
        <v>66858</v>
      </c>
      <c r="E46" s="32" t="s">
        <v>66859</v>
      </c>
      <c r="F46" s="33">
        <v>28.0</v>
      </c>
      <c r="G46" s="31">
        <v>2.1041028E8</v>
      </c>
    </row>
    <row r="47" ht="12.75" customHeight="1">
      <c r="A47" s="27">
        <v>441.0</v>
      </c>
      <c r="B47" s="28" t="s">
        <v>66860</v>
      </c>
      <c r="C47" s="27">
        <v>210.0</v>
      </c>
      <c r="D47" s="28" t="s">
        <v>66861</v>
      </c>
      <c r="E47" s="28" t="s">
        <v>66862</v>
      </c>
      <c r="F47" s="29">
        <v>94.0</v>
      </c>
      <c r="G47" s="27">
        <v>2.10410943E8</v>
      </c>
    </row>
    <row r="48" ht="12.75" customHeight="1">
      <c r="A48" s="31">
        <v>444.0</v>
      </c>
      <c r="B48" s="32" t="s">
        <v>66863</v>
      </c>
      <c r="C48" s="31">
        <v>210.0</v>
      </c>
      <c r="D48" s="32" t="s">
        <v>66864</v>
      </c>
      <c r="E48" s="32" t="s">
        <v>66865</v>
      </c>
      <c r="F48" s="33">
        <v>64.0</v>
      </c>
      <c r="G48" s="31">
        <v>2.10440647E8</v>
      </c>
    </row>
    <row r="49" ht="12.75" customHeight="1">
      <c r="A49" s="27">
        <v>447.0</v>
      </c>
      <c r="B49" s="28" t="s">
        <v>66866</v>
      </c>
      <c r="C49" s="27">
        <v>210.0</v>
      </c>
      <c r="D49" s="28" t="s">
        <v>66867</v>
      </c>
      <c r="E49" s="28" t="s">
        <v>66868</v>
      </c>
      <c r="F49" s="29">
        <v>5.0</v>
      </c>
      <c r="G49" s="27">
        <v>2.10470059E8</v>
      </c>
    </row>
    <row r="50" ht="12.75" customHeight="1">
      <c r="A50" s="31">
        <v>447.0</v>
      </c>
      <c r="B50" s="32" t="s">
        <v>66869</v>
      </c>
      <c r="C50" s="31">
        <v>210.0</v>
      </c>
      <c r="D50" s="32" t="s">
        <v>66870</v>
      </c>
      <c r="E50" s="32" t="s">
        <v>66871</v>
      </c>
      <c r="F50" s="31">
        <v>154.0</v>
      </c>
      <c r="G50" s="31">
        <v>2.1047154E8</v>
      </c>
    </row>
    <row r="51" ht="12.75" customHeight="1">
      <c r="A51" s="27">
        <v>148.0</v>
      </c>
      <c r="B51" s="28" t="s">
        <v>66872</v>
      </c>
      <c r="C51" s="27">
        <v>210.0</v>
      </c>
      <c r="D51" s="28" t="s">
        <v>66873</v>
      </c>
      <c r="E51" s="28" t="s">
        <v>66874</v>
      </c>
      <c r="F51" s="29">
        <v>20.0</v>
      </c>
      <c r="G51" s="27">
        <v>2.10480207E8</v>
      </c>
    </row>
    <row r="52" ht="12.75" customHeight="1">
      <c r="A52" s="31">
        <v>450.0</v>
      </c>
      <c r="B52" s="32" t="s">
        <v>66875</v>
      </c>
      <c r="C52" s="31">
        <v>210.0</v>
      </c>
      <c r="D52" s="32" t="s">
        <v>66876</v>
      </c>
      <c r="E52" s="32" t="s">
        <v>66877</v>
      </c>
      <c r="F52" s="33">
        <v>94.0</v>
      </c>
      <c r="G52" s="31">
        <v>2.10500945E8</v>
      </c>
    </row>
    <row r="53" ht="12.75" customHeight="1">
      <c r="A53" s="27">
        <v>354.0</v>
      </c>
      <c r="B53" s="28" t="s">
        <v>66878</v>
      </c>
      <c r="C53" s="27">
        <v>210.0</v>
      </c>
      <c r="D53" s="28" t="s">
        <v>66879</v>
      </c>
      <c r="E53" s="28" t="s">
        <v>66880</v>
      </c>
      <c r="F53" s="29">
        <v>70.0</v>
      </c>
      <c r="G53" s="27">
        <v>2.10540705E8</v>
      </c>
    </row>
    <row r="54" ht="12.75" customHeight="1">
      <c r="A54" s="31">
        <v>354.0</v>
      </c>
      <c r="B54" s="32" t="s">
        <v>66881</v>
      </c>
      <c r="C54" s="31">
        <v>210.0</v>
      </c>
      <c r="D54" s="32" t="s">
        <v>66882</v>
      </c>
      <c r="E54" s="32" t="s">
        <v>66883</v>
      </c>
      <c r="F54" s="33">
        <v>79.0</v>
      </c>
      <c r="G54" s="31">
        <v>2.10540792E8</v>
      </c>
    </row>
    <row r="55" ht="12.75" customHeight="1">
      <c r="A55" s="27">
        <v>858.0</v>
      </c>
      <c r="B55" s="28" t="s">
        <v>66884</v>
      </c>
      <c r="C55" s="27">
        <v>210.0</v>
      </c>
      <c r="D55" s="28" t="s">
        <v>66885</v>
      </c>
      <c r="E55" s="28" t="s">
        <v>66886</v>
      </c>
      <c r="F55" s="27">
        <v>118.0</v>
      </c>
      <c r="G55" s="27">
        <v>2.1058118E8</v>
      </c>
    </row>
    <row r="56" ht="12.75" customHeight="1">
      <c r="A56" s="31">
        <v>161.0</v>
      </c>
      <c r="B56" s="32" t="s">
        <v>66887</v>
      </c>
      <c r="C56" s="31">
        <v>210.0</v>
      </c>
      <c r="D56" s="32" t="s">
        <v>66888</v>
      </c>
      <c r="E56" s="32" t="s">
        <v>66889</v>
      </c>
      <c r="F56" s="31">
        <v>175.0</v>
      </c>
      <c r="G56" s="31">
        <v>2.10611755E8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564.0</v>
      </c>
      <c r="B1" s="28" t="s">
        <v>66890</v>
      </c>
      <c r="C1" s="27">
        <v>210.0</v>
      </c>
      <c r="D1" s="28" t="s">
        <v>66891</v>
      </c>
      <c r="E1" s="28" t="s">
        <v>66892</v>
      </c>
      <c r="F1" s="29">
        <v>16.0</v>
      </c>
      <c r="G1" s="27">
        <v>2.10640168E8</v>
      </c>
    </row>
    <row r="2" ht="12.75" customHeight="1">
      <c r="A2" s="31">
        <v>167.0</v>
      </c>
      <c r="B2" s="32" t="s">
        <v>66893</v>
      </c>
      <c r="C2" s="31">
        <v>210.0</v>
      </c>
      <c r="D2" s="32" t="s">
        <v>66894</v>
      </c>
      <c r="E2" s="32" t="s">
        <v>66895</v>
      </c>
      <c r="F2" s="33">
        <v>15.0</v>
      </c>
      <c r="G2" s="31">
        <v>2.10670154E8</v>
      </c>
    </row>
    <row r="3" ht="12.75" customHeight="1">
      <c r="A3" s="27">
        <v>167.0</v>
      </c>
      <c r="B3" s="28" t="s">
        <v>66896</v>
      </c>
      <c r="C3" s="27">
        <v>210.0</v>
      </c>
      <c r="D3" s="28" t="s">
        <v>66897</v>
      </c>
      <c r="E3" s="28" t="s">
        <v>66898</v>
      </c>
      <c r="F3" s="29">
        <v>82.0</v>
      </c>
      <c r="G3" s="27">
        <v>2.1067082E8</v>
      </c>
    </row>
    <row r="4" ht="12.75" customHeight="1">
      <c r="A4" s="31">
        <v>167.0</v>
      </c>
      <c r="B4" s="32" t="s">
        <v>66899</v>
      </c>
      <c r="C4" s="31">
        <v>210.0</v>
      </c>
      <c r="D4" s="32" t="s">
        <v>66900</v>
      </c>
      <c r="E4" s="32" t="s">
        <v>66901</v>
      </c>
      <c r="F4" s="31">
        <v>118.0</v>
      </c>
      <c r="G4" s="31">
        <v>2.10671182E8</v>
      </c>
    </row>
    <row r="5" ht="12.75" customHeight="1">
      <c r="A5" s="27">
        <v>168.0</v>
      </c>
      <c r="B5" s="28" t="s">
        <v>66902</v>
      </c>
      <c r="C5" s="27">
        <v>210.0</v>
      </c>
      <c r="D5" s="28" t="s">
        <v>66903</v>
      </c>
      <c r="E5" s="28" t="s">
        <v>66904</v>
      </c>
      <c r="F5" s="29">
        <v>67.0</v>
      </c>
      <c r="G5" s="27">
        <v>2.10680678E8</v>
      </c>
    </row>
    <row r="6" ht="12.75" customHeight="1">
      <c r="A6" s="31">
        <v>570.0</v>
      </c>
      <c r="B6" s="32" t="s">
        <v>66905</v>
      </c>
      <c r="C6" s="31">
        <v>210.0</v>
      </c>
      <c r="D6" s="32" t="s">
        <v>66906</v>
      </c>
      <c r="E6" s="32" t="s">
        <v>66907</v>
      </c>
      <c r="F6" s="33">
        <v>25.0</v>
      </c>
      <c r="G6" s="31">
        <v>2.10700253E8</v>
      </c>
    </row>
    <row r="7" ht="12.75" customHeight="1">
      <c r="A7" s="27">
        <v>570.0</v>
      </c>
      <c r="B7" s="28" t="s">
        <v>66908</v>
      </c>
      <c r="C7" s="27">
        <v>210.0</v>
      </c>
      <c r="D7" s="28" t="s">
        <v>66909</v>
      </c>
      <c r="E7" s="28" t="s">
        <v>66910</v>
      </c>
      <c r="F7" s="29">
        <v>52.0</v>
      </c>
      <c r="G7" s="27">
        <v>2.10700529E8</v>
      </c>
    </row>
    <row r="8" ht="12.75" customHeight="1">
      <c r="A8" s="31">
        <v>570.0</v>
      </c>
      <c r="B8" s="32" t="s">
        <v>66911</v>
      </c>
      <c r="C8" s="31">
        <v>210.0</v>
      </c>
      <c r="D8" s="32" t="s">
        <v>66912</v>
      </c>
      <c r="E8" s="32" t="s">
        <v>66913</v>
      </c>
      <c r="F8" s="33">
        <v>88.0</v>
      </c>
      <c r="G8" s="31">
        <v>2.10700882E8</v>
      </c>
    </row>
    <row r="9" ht="12.75" customHeight="1">
      <c r="A9" s="27">
        <v>773.0</v>
      </c>
      <c r="B9" s="28" t="s">
        <v>66914</v>
      </c>
      <c r="C9" s="27">
        <v>210.0</v>
      </c>
      <c r="D9" s="28" t="s">
        <v>66915</v>
      </c>
      <c r="E9" s="28" t="s">
        <v>66916</v>
      </c>
      <c r="F9" s="29">
        <v>73.0</v>
      </c>
      <c r="G9" s="27">
        <v>2.10730731E8</v>
      </c>
    </row>
    <row r="10" ht="12.75" customHeight="1">
      <c r="A10" s="31">
        <v>773.0</v>
      </c>
      <c r="B10" s="32" t="s">
        <v>66917</v>
      </c>
      <c r="C10" s="31">
        <v>210.0</v>
      </c>
      <c r="D10" s="32" t="s">
        <v>66918</v>
      </c>
      <c r="E10" s="32" t="s">
        <v>66919</v>
      </c>
      <c r="F10" s="31">
        <v>119.0</v>
      </c>
      <c r="G10" s="31">
        <v>2.10731198E8</v>
      </c>
    </row>
    <row r="11" ht="12.75" customHeight="1">
      <c r="A11" s="27">
        <v>275.0</v>
      </c>
      <c r="B11" s="28" t="s">
        <v>66920</v>
      </c>
      <c r="C11" s="27">
        <v>210.0</v>
      </c>
      <c r="D11" s="28" t="s">
        <v>66921</v>
      </c>
      <c r="E11" s="28" t="s">
        <v>66922</v>
      </c>
      <c r="F11" s="29">
        <v>25.0</v>
      </c>
      <c r="G11" s="27">
        <v>2.10750258E8</v>
      </c>
    </row>
    <row r="12" ht="12.75" customHeight="1">
      <c r="A12" s="31">
        <v>576.0</v>
      </c>
      <c r="B12" s="32" t="s">
        <v>66923</v>
      </c>
      <c r="C12" s="31">
        <v>210.0</v>
      </c>
      <c r="D12" s="32" t="s">
        <v>66924</v>
      </c>
      <c r="E12" s="32" t="s">
        <v>66925</v>
      </c>
      <c r="F12" s="31">
        <v>178.0</v>
      </c>
      <c r="G12" s="31">
        <v>2.10761784E8</v>
      </c>
    </row>
    <row r="13" ht="12.75" customHeight="1">
      <c r="A13" s="27">
        <v>378.0</v>
      </c>
      <c r="B13" s="28" t="s">
        <v>66926</v>
      </c>
      <c r="C13" s="27">
        <v>210.0</v>
      </c>
      <c r="D13" s="28" t="s">
        <v>66927</v>
      </c>
      <c r="E13" s="28" t="s">
        <v>66928</v>
      </c>
      <c r="F13" s="27">
        <v>109.0</v>
      </c>
      <c r="G13" s="27">
        <v>2.10781098E8</v>
      </c>
    </row>
    <row r="14" ht="12.75" customHeight="1">
      <c r="A14" s="31">
        <v>379.0</v>
      </c>
      <c r="B14" s="32" t="s">
        <v>66929</v>
      </c>
      <c r="C14" s="31">
        <v>210.0</v>
      </c>
      <c r="D14" s="32" t="s">
        <v>66930</v>
      </c>
      <c r="E14" s="32" t="s">
        <v>66931</v>
      </c>
      <c r="F14" s="33">
        <v>52.0</v>
      </c>
      <c r="G14" s="31">
        <v>2.10790526E8</v>
      </c>
    </row>
    <row r="15" ht="12.75" customHeight="1">
      <c r="A15" s="27">
        <v>581.0</v>
      </c>
      <c r="B15" s="28" t="s">
        <v>66932</v>
      </c>
      <c r="C15" s="27">
        <v>210.0</v>
      </c>
      <c r="D15" s="28" t="s">
        <v>66933</v>
      </c>
      <c r="E15" s="28" t="s">
        <v>66934</v>
      </c>
      <c r="F15" s="29">
        <v>22.0</v>
      </c>
      <c r="G15" s="27">
        <v>2.10810222E8</v>
      </c>
    </row>
    <row r="16" ht="12.75" customHeight="1">
      <c r="A16" s="31">
        <v>581.0</v>
      </c>
      <c r="B16" s="32" t="s">
        <v>66935</v>
      </c>
      <c r="C16" s="31">
        <v>210.0</v>
      </c>
      <c r="D16" s="32" t="s">
        <v>66936</v>
      </c>
      <c r="E16" s="32" t="s">
        <v>66937</v>
      </c>
      <c r="F16" s="31">
        <v>193.0</v>
      </c>
      <c r="G16" s="31">
        <v>2.10811939E8</v>
      </c>
    </row>
    <row r="17" ht="12.75" customHeight="1">
      <c r="A17" s="27">
        <v>382.0</v>
      </c>
      <c r="B17" s="28" t="s">
        <v>66938</v>
      </c>
      <c r="C17" s="27">
        <v>210.0</v>
      </c>
      <c r="D17" s="28" t="s">
        <v>66939</v>
      </c>
      <c r="E17" s="28" t="s">
        <v>66940</v>
      </c>
      <c r="F17" s="29">
        <v>28.0</v>
      </c>
      <c r="G17" s="27">
        <v>2.10820283E8</v>
      </c>
    </row>
    <row r="18" ht="12.75" customHeight="1">
      <c r="A18" s="31">
        <v>785.0</v>
      </c>
      <c r="B18" s="32" t="s">
        <v>66941</v>
      </c>
      <c r="C18" s="31">
        <v>210.0</v>
      </c>
      <c r="D18" s="32" t="s">
        <v>66942</v>
      </c>
      <c r="E18" s="32" t="s">
        <v>66943</v>
      </c>
      <c r="F18" s="31">
        <v>136.0</v>
      </c>
      <c r="G18" s="31">
        <v>2.1085136E8</v>
      </c>
    </row>
    <row r="19" ht="12.75" customHeight="1">
      <c r="A19" s="27">
        <v>785.0</v>
      </c>
      <c r="B19" s="28" t="s">
        <v>66944</v>
      </c>
      <c r="C19" s="27">
        <v>210.0</v>
      </c>
      <c r="D19" s="28" t="s">
        <v>66945</v>
      </c>
      <c r="E19" s="28" t="s">
        <v>66946</v>
      </c>
      <c r="F19" s="27">
        <v>145.0</v>
      </c>
      <c r="G19" s="27">
        <v>2.10851452E8</v>
      </c>
    </row>
    <row r="20" ht="12.75" customHeight="1">
      <c r="A20" s="31">
        <v>386.0</v>
      </c>
      <c r="B20" s="32" t="s">
        <v>66947</v>
      </c>
      <c r="C20" s="31">
        <v>210.0</v>
      </c>
      <c r="D20" s="32" t="s">
        <v>66948</v>
      </c>
      <c r="E20" s="32" t="s">
        <v>66949</v>
      </c>
      <c r="F20" s="33">
        <v>15.0</v>
      </c>
      <c r="G20" s="31">
        <v>2.10860151E8</v>
      </c>
    </row>
    <row r="21" ht="12.75" customHeight="1">
      <c r="A21" s="27">
        <v>487.0</v>
      </c>
      <c r="B21" s="28" t="s">
        <v>66950</v>
      </c>
      <c r="C21" s="27">
        <v>210.0</v>
      </c>
      <c r="D21" s="28" t="s">
        <v>66951</v>
      </c>
      <c r="E21" s="28" t="s">
        <v>66952</v>
      </c>
      <c r="F21" s="27">
        <v>109.0</v>
      </c>
      <c r="G21" s="27">
        <v>2.1087109E8</v>
      </c>
    </row>
    <row r="22" ht="12.75" customHeight="1">
      <c r="A22" s="31">
        <v>688.0</v>
      </c>
      <c r="B22" s="32" t="s">
        <v>66953</v>
      </c>
      <c r="C22" s="31">
        <v>210.0</v>
      </c>
      <c r="D22" s="32" t="s">
        <v>66954</v>
      </c>
      <c r="E22" s="32" t="s">
        <v>66955</v>
      </c>
      <c r="F22" s="33">
        <v>91.0</v>
      </c>
      <c r="G22" s="31">
        <v>2.10880915E8</v>
      </c>
    </row>
    <row r="23" ht="12.75" customHeight="1">
      <c r="A23" s="27">
        <v>890.0</v>
      </c>
      <c r="B23" s="28" t="s">
        <v>66956</v>
      </c>
      <c r="C23" s="27">
        <v>210.0</v>
      </c>
      <c r="D23" s="28" t="s">
        <v>66957</v>
      </c>
      <c r="E23" s="28" t="s">
        <v>66958</v>
      </c>
      <c r="F23" s="27">
        <v>112.0</v>
      </c>
      <c r="G23" s="27">
        <v>2.10901128E8</v>
      </c>
    </row>
    <row r="24" ht="12.75" customHeight="1">
      <c r="A24" s="31">
        <v>891.0</v>
      </c>
      <c r="B24" s="32" t="s">
        <v>66959</v>
      </c>
      <c r="C24" s="31">
        <v>210.0</v>
      </c>
      <c r="D24" s="32" t="s">
        <v>66960</v>
      </c>
      <c r="E24" s="32" t="s">
        <v>66961</v>
      </c>
      <c r="F24" s="33">
        <v>31.0</v>
      </c>
      <c r="G24" s="31">
        <v>2.10910319E8</v>
      </c>
    </row>
    <row r="25" ht="12.75" customHeight="1">
      <c r="A25" s="27">
        <v>891.0</v>
      </c>
      <c r="B25" s="28" t="s">
        <v>66962</v>
      </c>
      <c r="C25" s="27">
        <v>210.0</v>
      </c>
      <c r="D25" s="28" t="s">
        <v>66963</v>
      </c>
      <c r="E25" s="28" t="s">
        <v>66964</v>
      </c>
      <c r="F25" s="29">
        <v>43.0</v>
      </c>
      <c r="G25" s="27">
        <v>2.1091043E8</v>
      </c>
    </row>
    <row r="26" ht="12.75" customHeight="1">
      <c r="A26" s="31">
        <v>891.0</v>
      </c>
      <c r="B26" s="32" t="s">
        <v>66965</v>
      </c>
      <c r="C26" s="31">
        <v>210.0</v>
      </c>
      <c r="D26" s="32" t="s">
        <v>66966</v>
      </c>
      <c r="E26" s="32" t="s">
        <v>66967</v>
      </c>
      <c r="F26" s="31">
        <v>154.0</v>
      </c>
      <c r="G26" s="31">
        <v>2.10911547E8</v>
      </c>
    </row>
    <row r="27" ht="12.75" customHeight="1">
      <c r="A27" s="27">
        <v>891.0</v>
      </c>
      <c r="B27" s="28" t="s">
        <v>66968</v>
      </c>
      <c r="C27" s="27">
        <v>210.0</v>
      </c>
      <c r="D27" s="28" t="s">
        <v>66969</v>
      </c>
      <c r="E27" s="28" t="s">
        <v>66970</v>
      </c>
      <c r="F27" s="27">
        <v>355.0</v>
      </c>
      <c r="G27" s="27">
        <v>2.10913558E8</v>
      </c>
    </row>
    <row r="28" ht="12.75" customHeight="1">
      <c r="A28" s="31">
        <v>193.0</v>
      </c>
      <c r="B28" s="32" t="s">
        <v>66971</v>
      </c>
      <c r="C28" s="31">
        <v>210.0</v>
      </c>
      <c r="D28" s="32" t="s">
        <v>66972</v>
      </c>
      <c r="E28" s="32" t="s">
        <v>66973</v>
      </c>
      <c r="F28" s="31">
        <v>229.0</v>
      </c>
      <c r="G28" s="31">
        <v>2.10932292E8</v>
      </c>
    </row>
    <row r="29" ht="12.75" customHeight="1">
      <c r="A29" s="27">
        <v>610.0</v>
      </c>
      <c r="B29" s="28" t="s">
        <v>66974</v>
      </c>
      <c r="C29" s="27">
        <v>215.0</v>
      </c>
      <c r="D29" s="28" t="s">
        <v>66975</v>
      </c>
      <c r="E29" s="28" t="s">
        <v>66976</v>
      </c>
      <c r="F29" s="29">
        <v>37.0</v>
      </c>
      <c r="G29" s="27">
        <v>2.15100379E8</v>
      </c>
    </row>
    <row r="30" ht="12.75" customHeight="1">
      <c r="A30" s="31">
        <v>215.0</v>
      </c>
      <c r="B30" s="32" t="s">
        <v>66977</v>
      </c>
      <c r="C30" s="31">
        <v>215.0</v>
      </c>
      <c r="D30" s="32" t="s">
        <v>66978</v>
      </c>
      <c r="E30" s="32" t="s">
        <v>66979</v>
      </c>
      <c r="F30" s="33">
        <v>4.0</v>
      </c>
      <c r="G30" s="31">
        <v>2.1515004E8</v>
      </c>
    </row>
    <row r="31" ht="12.75" customHeight="1">
      <c r="A31" s="27">
        <v>215.0</v>
      </c>
      <c r="B31" s="28" t="s">
        <v>66980</v>
      </c>
      <c r="C31" s="27">
        <v>215.0</v>
      </c>
      <c r="D31" s="28" t="s">
        <v>66981</v>
      </c>
      <c r="E31" s="28" t="s">
        <v>66982</v>
      </c>
      <c r="F31" s="29">
        <v>13.0</v>
      </c>
      <c r="G31" s="27">
        <v>2.15150132E8</v>
      </c>
    </row>
    <row r="32" ht="12.75" customHeight="1">
      <c r="A32" s="31">
        <v>215.0</v>
      </c>
      <c r="B32" s="32" t="s">
        <v>66983</v>
      </c>
      <c r="C32" s="31">
        <v>215.0</v>
      </c>
      <c r="D32" s="32" t="s">
        <v>66984</v>
      </c>
      <c r="E32" s="32" t="s">
        <v>66985</v>
      </c>
      <c r="F32" s="31">
        <v>214.0</v>
      </c>
      <c r="G32" s="31">
        <v>2.15152143E8</v>
      </c>
    </row>
    <row r="33" ht="12.75" customHeight="1">
      <c r="A33" s="27">
        <v>215.0</v>
      </c>
      <c r="B33" s="28" t="s">
        <v>66986</v>
      </c>
      <c r="C33" s="27">
        <v>215.0</v>
      </c>
      <c r="D33" s="28" t="s">
        <v>66987</v>
      </c>
      <c r="E33" s="28" t="s">
        <v>66988</v>
      </c>
      <c r="F33" s="27">
        <v>553.0</v>
      </c>
      <c r="G33" s="27">
        <v>2.15155537E8</v>
      </c>
    </row>
    <row r="34" ht="12.75" customHeight="1">
      <c r="A34" s="31">
        <v>215.0</v>
      </c>
      <c r="B34" s="32" t="s">
        <v>66989</v>
      </c>
      <c r="C34" s="31">
        <v>215.0</v>
      </c>
      <c r="D34" s="32" t="s">
        <v>66990</v>
      </c>
      <c r="E34" s="32" t="s">
        <v>66991</v>
      </c>
      <c r="F34" s="31">
        <v>751.0</v>
      </c>
      <c r="G34" s="31">
        <v>2.15157519E8</v>
      </c>
    </row>
    <row r="35" ht="12.75" customHeight="1">
      <c r="A35" s="27">
        <v>126.0</v>
      </c>
      <c r="B35" s="28" t="s">
        <v>66992</v>
      </c>
      <c r="C35" s="27">
        <v>215.0</v>
      </c>
      <c r="D35" s="28" t="s">
        <v>66993</v>
      </c>
      <c r="E35" s="28" t="s">
        <v>66994</v>
      </c>
      <c r="F35" s="27">
        <v>121.0</v>
      </c>
      <c r="G35" s="27">
        <v>2.15261218E8</v>
      </c>
    </row>
    <row r="36" ht="12.75" customHeight="1">
      <c r="A36" s="31">
        <v>126.0</v>
      </c>
      <c r="B36" s="32" t="s">
        <v>66995</v>
      </c>
      <c r="C36" s="31">
        <v>215.0</v>
      </c>
      <c r="D36" s="32" t="s">
        <v>66996</v>
      </c>
      <c r="E36" s="32" t="s">
        <v>66997</v>
      </c>
      <c r="F36" s="31">
        <v>124.0</v>
      </c>
      <c r="G36" s="31">
        <v>2.15261247E8</v>
      </c>
    </row>
    <row r="37" ht="12.75" customHeight="1">
      <c r="A37" s="27">
        <v>126.0</v>
      </c>
      <c r="B37" s="28" t="s">
        <v>66998</v>
      </c>
      <c r="C37" s="27">
        <v>215.0</v>
      </c>
      <c r="D37" s="28" t="s">
        <v>66999</v>
      </c>
      <c r="E37" s="28" t="s">
        <v>67000</v>
      </c>
      <c r="F37" s="27">
        <v>172.0</v>
      </c>
      <c r="G37" s="27">
        <v>2.15261726E8</v>
      </c>
    </row>
    <row r="38" ht="12.75" customHeight="1">
      <c r="A38" s="31">
        <v>126.0</v>
      </c>
      <c r="B38" s="32" t="s">
        <v>67001</v>
      </c>
      <c r="C38" s="31">
        <v>215.0</v>
      </c>
      <c r="D38" s="32" t="s">
        <v>67002</v>
      </c>
      <c r="E38" s="32" t="s">
        <v>67003</v>
      </c>
      <c r="F38" s="31">
        <v>190.0</v>
      </c>
      <c r="G38" s="31">
        <v>2.152619E8</v>
      </c>
    </row>
    <row r="39" ht="12.75" customHeight="1">
      <c r="A39" s="27">
        <v>126.0</v>
      </c>
      <c r="B39" s="28" t="s">
        <v>67004</v>
      </c>
      <c r="C39" s="27">
        <v>215.0</v>
      </c>
      <c r="D39" s="28" t="s">
        <v>67005</v>
      </c>
      <c r="E39" s="28" t="s">
        <v>67006</v>
      </c>
      <c r="F39" s="27">
        <v>253.0</v>
      </c>
      <c r="G39" s="27">
        <v>2.15262538E8</v>
      </c>
    </row>
    <row r="40" ht="12.75" customHeight="1">
      <c r="A40" s="31">
        <v>126.0</v>
      </c>
      <c r="B40" s="32" t="s">
        <v>67007</v>
      </c>
      <c r="C40" s="31">
        <v>215.0</v>
      </c>
      <c r="D40" s="32" t="s">
        <v>67008</v>
      </c>
      <c r="E40" s="32" t="s">
        <v>67009</v>
      </c>
      <c r="F40" s="31">
        <v>298.0</v>
      </c>
      <c r="G40" s="31">
        <v>2.15262983E8</v>
      </c>
    </row>
    <row r="41" ht="12.75" customHeight="1">
      <c r="A41" s="27">
        <v>126.0</v>
      </c>
      <c r="B41" s="28" t="s">
        <v>67010</v>
      </c>
      <c r="C41" s="27">
        <v>215.0</v>
      </c>
      <c r="D41" s="28" t="s">
        <v>67011</v>
      </c>
      <c r="E41" s="28" t="s">
        <v>67012</v>
      </c>
      <c r="F41" s="27">
        <v>409.0</v>
      </c>
      <c r="G41" s="27">
        <v>2.15264099E8</v>
      </c>
    </row>
    <row r="42" ht="12.75" customHeight="1">
      <c r="A42" s="31">
        <v>127.0</v>
      </c>
      <c r="B42" s="32" t="s">
        <v>67013</v>
      </c>
      <c r="C42" s="31">
        <v>215.0</v>
      </c>
      <c r="D42" s="32" t="s">
        <v>67014</v>
      </c>
      <c r="E42" s="32" t="s">
        <v>67015</v>
      </c>
      <c r="F42" s="33">
        <v>0.0</v>
      </c>
      <c r="G42" s="31">
        <v>2.15270009E8</v>
      </c>
    </row>
    <row r="43" ht="12.75" customHeight="1">
      <c r="A43" s="27">
        <v>127.0</v>
      </c>
      <c r="B43" s="28" t="s">
        <v>67016</v>
      </c>
      <c r="C43" s="27">
        <v>215.0</v>
      </c>
      <c r="D43" s="28" t="s">
        <v>67017</v>
      </c>
      <c r="E43" s="28" t="s">
        <v>67018</v>
      </c>
      <c r="F43" s="27">
        <v>127.0</v>
      </c>
      <c r="G43" s="27">
        <v>2.15271279E8</v>
      </c>
    </row>
    <row r="44" ht="12.75" customHeight="1">
      <c r="A44" s="31">
        <v>127.0</v>
      </c>
      <c r="B44" s="32" t="s">
        <v>67019</v>
      </c>
      <c r="C44" s="31">
        <v>215.0</v>
      </c>
      <c r="D44" s="32" t="s">
        <v>67020</v>
      </c>
      <c r="E44" s="32" t="s">
        <v>67021</v>
      </c>
      <c r="F44" s="31">
        <v>178.0</v>
      </c>
      <c r="G44" s="31">
        <v>2.15271787E8</v>
      </c>
    </row>
    <row r="45" ht="12.75" customHeight="1">
      <c r="A45" s="27">
        <v>127.0</v>
      </c>
      <c r="B45" s="28" t="s">
        <v>67022</v>
      </c>
      <c r="C45" s="27">
        <v>215.0</v>
      </c>
      <c r="D45" s="28" t="s">
        <v>67023</v>
      </c>
      <c r="E45" s="28" t="s">
        <v>67024</v>
      </c>
      <c r="F45" s="27">
        <v>424.0</v>
      </c>
      <c r="G45" s="27">
        <v>2.15274247E8</v>
      </c>
    </row>
    <row r="46" ht="12.75" customHeight="1">
      <c r="A46" s="31">
        <v>447.0</v>
      </c>
      <c r="B46" s="32" t="s">
        <v>67025</v>
      </c>
      <c r="C46" s="31">
        <v>215.0</v>
      </c>
      <c r="D46" s="32" t="s">
        <v>67026</v>
      </c>
      <c r="E46" s="32" t="s">
        <v>67027</v>
      </c>
      <c r="F46" s="31">
        <v>154.0</v>
      </c>
      <c r="G46" s="31">
        <v>2.15471545E8</v>
      </c>
    </row>
    <row r="47" ht="12.75" customHeight="1">
      <c r="A47" s="27">
        <v>167.0</v>
      </c>
      <c r="B47" s="28" t="s">
        <v>67028</v>
      </c>
      <c r="C47" s="27">
        <v>215.0</v>
      </c>
      <c r="D47" s="28" t="s">
        <v>67029</v>
      </c>
      <c r="E47" s="28" t="s">
        <v>67030</v>
      </c>
      <c r="F47" s="27">
        <v>118.0</v>
      </c>
      <c r="G47" s="27">
        <v>2.15671187E8</v>
      </c>
    </row>
    <row r="48" ht="12.75" customHeight="1">
      <c r="A48" s="31">
        <v>891.0</v>
      </c>
      <c r="B48" s="32" t="s">
        <v>67031</v>
      </c>
      <c r="C48" s="31">
        <v>215.0</v>
      </c>
      <c r="D48" s="32" t="s">
        <v>67032</v>
      </c>
      <c r="E48" s="32" t="s">
        <v>67033</v>
      </c>
      <c r="F48" s="31">
        <v>367.0</v>
      </c>
      <c r="G48" s="31">
        <v>2.15913674E8</v>
      </c>
    </row>
    <row r="49" ht="12.75" customHeight="1">
      <c r="A49" s="27">
        <v>215.0</v>
      </c>
      <c r="B49" s="28" t="s">
        <v>67034</v>
      </c>
      <c r="C49" s="27">
        <v>220.0</v>
      </c>
      <c r="D49" s="28" t="s">
        <v>67035</v>
      </c>
      <c r="E49" s="28" t="s">
        <v>67036</v>
      </c>
      <c r="F49" s="27">
        <v>196.0</v>
      </c>
      <c r="G49" s="27">
        <v>2.20151968E8</v>
      </c>
    </row>
    <row r="50" ht="12.75" customHeight="1">
      <c r="A50" s="31">
        <v>126.0</v>
      </c>
      <c r="B50" s="32" t="s">
        <v>67037</v>
      </c>
      <c r="C50" s="31">
        <v>220.0</v>
      </c>
      <c r="D50" s="32" t="s">
        <v>67038</v>
      </c>
      <c r="E50" s="32" t="s">
        <v>67039</v>
      </c>
      <c r="F50" s="31">
        <v>172.0</v>
      </c>
      <c r="G50" s="31">
        <v>2.20261724E8</v>
      </c>
    </row>
    <row r="51" ht="12.75" customHeight="1">
      <c r="A51" s="27">
        <v>127.0</v>
      </c>
      <c r="B51" s="28" t="s">
        <v>67040</v>
      </c>
      <c r="C51" s="27">
        <v>220.0</v>
      </c>
      <c r="D51" s="28" t="s">
        <v>67041</v>
      </c>
      <c r="E51" s="28" t="s">
        <v>67042</v>
      </c>
      <c r="F51" s="29">
        <v>0.0</v>
      </c>
      <c r="G51" s="27">
        <v>2.20270007E8</v>
      </c>
    </row>
    <row r="52" ht="12.75" customHeight="1">
      <c r="A52" s="31">
        <v>127.0</v>
      </c>
      <c r="B52" s="32" t="s">
        <v>67043</v>
      </c>
      <c r="C52" s="31">
        <v>220.0</v>
      </c>
      <c r="D52" s="32" t="s">
        <v>67044</v>
      </c>
      <c r="E52" s="32" t="s">
        <v>67045</v>
      </c>
      <c r="F52" s="31">
        <v>151.0</v>
      </c>
      <c r="G52" s="31">
        <v>2.20271514E8</v>
      </c>
    </row>
    <row r="53" ht="12.75" customHeight="1">
      <c r="A53" s="27">
        <v>447.0</v>
      </c>
      <c r="B53" s="28" t="s">
        <v>67046</v>
      </c>
      <c r="C53" s="27">
        <v>220.0</v>
      </c>
      <c r="D53" s="28" t="s">
        <v>67047</v>
      </c>
      <c r="E53" s="28" t="s">
        <v>67048</v>
      </c>
      <c r="F53" s="27">
        <v>154.0</v>
      </c>
      <c r="G53" s="27">
        <v>2.20471543E8</v>
      </c>
    </row>
    <row r="54" ht="12.75" customHeight="1">
      <c r="A54" s="31">
        <v>581.0</v>
      </c>
      <c r="B54" s="32" t="s">
        <v>67049</v>
      </c>
      <c r="C54" s="31">
        <v>220.0</v>
      </c>
      <c r="D54" s="32" t="s">
        <v>67050</v>
      </c>
      <c r="E54" s="32" t="s">
        <v>67051</v>
      </c>
      <c r="F54" s="31">
        <v>193.0</v>
      </c>
      <c r="G54" s="31">
        <v>2.20811932E8</v>
      </c>
    </row>
    <row r="55" ht="12.75" customHeight="1">
      <c r="A55" s="27">
        <v>891.0</v>
      </c>
      <c r="B55" s="28" t="s">
        <v>67052</v>
      </c>
      <c r="C55" s="27">
        <v>220.0</v>
      </c>
      <c r="D55" s="28" t="s">
        <v>67053</v>
      </c>
      <c r="E55" s="28" t="s">
        <v>67054</v>
      </c>
      <c r="F55" s="27">
        <v>355.0</v>
      </c>
      <c r="G55" s="27">
        <v>2.20913551E8</v>
      </c>
    </row>
    <row r="56" ht="12.75" customHeight="1">
      <c r="A56" s="31">
        <v>306.0</v>
      </c>
      <c r="B56" s="32" t="s">
        <v>67055</v>
      </c>
      <c r="C56" s="31">
        <v>225.0</v>
      </c>
      <c r="D56" s="32" t="s">
        <v>67056</v>
      </c>
      <c r="E56" s="32" t="s">
        <v>67057</v>
      </c>
      <c r="F56" s="33">
        <v>28.0</v>
      </c>
      <c r="G56" s="31">
        <v>2.25060283E8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610.0</v>
      </c>
      <c r="B1" s="28" t="s">
        <v>67058</v>
      </c>
      <c r="C1" s="27">
        <v>225.0</v>
      </c>
      <c r="D1" s="28" t="s">
        <v>67059</v>
      </c>
      <c r="E1" s="28" t="s">
        <v>67060</v>
      </c>
      <c r="F1" s="29">
        <v>37.0</v>
      </c>
      <c r="G1" s="27">
        <v>2.25100372E8</v>
      </c>
    </row>
    <row r="2" ht="12.75" customHeight="1">
      <c r="A2" s="31">
        <v>610.0</v>
      </c>
      <c r="B2" s="32" t="s">
        <v>67061</v>
      </c>
      <c r="C2" s="31">
        <v>225.0</v>
      </c>
      <c r="D2" s="32" t="s">
        <v>67062</v>
      </c>
      <c r="E2" s="32" t="s">
        <v>67063</v>
      </c>
      <c r="F2" s="31">
        <v>274.0</v>
      </c>
      <c r="G2" s="31">
        <v>2.25102741E8</v>
      </c>
    </row>
    <row r="3" ht="12.75" customHeight="1">
      <c r="A3" s="27">
        <v>112.0</v>
      </c>
      <c r="B3" s="28" t="s">
        <v>67064</v>
      </c>
      <c r="C3" s="27">
        <v>225.0</v>
      </c>
      <c r="D3" s="28" t="s">
        <v>67065</v>
      </c>
      <c r="E3" s="28" t="s">
        <v>67066</v>
      </c>
      <c r="F3" s="29">
        <v>43.0</v>
      </c>
      <c r="G3" s="27">
        <v>2.25120431E8</v>
      </c>
    </row>
    <row r="4" ht="12.75" customHeight="1">
      <c r="A4" s="31">
        <v>113.0</v>
      </c>
      <c r="B4" s="32" t="s">
        <v>67067</v>
      </c>
      <c r="C4" s="31">
        <v>225.0</v>
      </c>
      <c r="D4" s="32" t="s">
        <v>67068</v>
      </c>
      <c r="E4" s="32" t="s">
        <v>67069</v>
      </c>
      <c r="F4" s="33">
        <v>31.0</v>
      </c>
      <c r="G4" s="31">
        <v>2.25130313E8</v>
      </c>
    </row>
    <row r="5" ht="12.75" customHeight="1">
      <c r="A5" s="27">
        <v>113.0</v>
      </c>
      <c r="B5" s="28" t="s">
        <v>67070</v>
      </c>
      <c r="C5" s="27">
        <v>225.0</v>
      </c>
      <c r="D5" s="28" t="s">
        <v>67071</v>
      </c>
      <c r="E5" s="28" t="s">
        <v>67072</v>
      </c>
      <c r="F5" s="29">
        <v>88.0</v>
      </c>
      <c r="G5" s="27">
        <v>2.25130889E8</v>
      </c>
    </row>
    <row r="6" ht="12.75" customHeight="1">
      <c r="A6" s="31">
        <v>113.0</v>
      </c>
      <c r="B6" s="32" t="s">
        <v>67073</v>
      </c>
      <c r="C6" s="31">
        <v>225.0</v>
      </c>
      <c r="D6" s="32" t="s">
        <v>67074</v>
      </c>
      <c r="E6" s="32" t="s">
        <v>67075</v>
      </c>
      <c r="F6" s="33">
        <v>91.0</v>
      </c>
      <c r="G6" s="31">
        <v>2.25130913E8</v>
      </c>
    </row>
    <row r="7" ht="12.75" customHeight="1">
      <c r="A7" s="27">
        <v>215.0</v>
      </c>
      <c r="B7" s="28" t="s">
        <v>67076</v>
      </c>
      <c r="C7" s="27">
        <v>225.0</v>
      </c>
      <c r="D7" s="28" t="s">
        <v>67077</v>
      </c>
      <c r="E7" s="28" t="s">
        <v>67078</v>
      </c>
      <c r="F7" s="29">
        <v>13.0</v>
      </c>
      <c r="G7" s="27">
        <v>2.25150135E8</v>
      </c>
    </row>
    <row r="8" ht="12.75" customHeight="1">
      <c r="A8" s="31">
        <v>215.0</v>
      </c>
      <c r="B8" s="32" t="s">
        <v>67079</v>
      </c>
      <c r="C8" s="31">
        <v>225.0</v>
      </c>
      <c r="D8" s="32" t="s">
        <v>67080</v>
      </c>
      <c r="E8" s="32" t="s">
        <v>67081</v>
      </c>
      <c r="F8" s="33">
        <v>46.0</v>
      </c>
      <c r="G8" s="31">
        <v>2.25150469E8</v>
      </c>
    </row>
    <row r="9" ht="12.75" customHeight="1">
      <c r="A9" s="27">
        <v>215.0</v>
      </c>
      <c r="B9" s="28" t="s">
        <v>67082</v>
      </c>
      <c r="C9" s="27">
        <v>225.0</v>
      </c>
      <c r="D9" s="28" t="s">
        <v>67083</v>
      </c>
      <c r="E9" s="28" t="s">
        <v>67084</v>
      </c>
      <c r="F9" s="29">
        <v>94.0</v>
      </c>
      <c r="G9" s="27">
        <v>2.25150948E8</v>
      </c>
    </row>
    <row r="10" ht="12.75" customHeight="1">
      <c r="A10" s="31">
        <v>215.0</v>
      </c>
      <c r="B10" s="32" t="s">
        <v>67085</v>
      </c>
      <c r="C10" s="31">
        <v>225.0</v>
      </c>
      <c r="D10" s="32" t="s">
        <v>67086</v>
      </c>
      <c r="E10" s="32" t="s">
        <v>67087</v>
      </c>
      <c r="F10" s="31">
        <v>122.0</v>
      </c>
      <c r="G10" s="31">
        <v>2.25151226E8</v>
      </c>
    </row>
    <row r="11" ht="12.75" customHeight="1">
      <c r="A11" s="27">
        <v>215.0</v>
      </c>
      <c r="B11" s="28" t="s">
        <v>67088</v>
      </c>
      <c r="C11" s="27">
        <v>225.0</v>
      </c>
      <c r="D11" s="28" t="s">
        <v>67089</v>
      </c>
      <c r="E11" s="28" t="s">
        <v>67090</v>
      </c>
      <c r="F11" s="27">
        <v>193.0</v>
      </c>
      <c r="G11" s="27">
        <v>2.25151934E8</v>
      </c>
    </row>
    <row r="12" ht="12.75" customHeight="1">
      <c r="A12" s="31">
        <v>215.0</v>
      </c>
      <c r="B12" s="32" t="s">
        <v>67091</v>
      </c>
      <c r="C12" s="31">
        <v>225.0</v>
      </c>
      <c r="D12" s="32" t="s">
        <v>67092</v>
      </c>
      <c r="E12" s="32" t="s">
        <v>67093</v>
      </c>
      <c r="F12" s="31">
        <v>316.0</v>
      </c>
      <c r="G12" s="31">
        <v>2.25153161E8</v>
      </c>
    </row>
    <row r="13" ht="12.75" customHeight="1">
      <c r="A13" s="27">
        <v>215.0</v>
      </c>
      <c r="B13" s="28" t="s">
        <v>67094</v>
      </c>
      <c r="C13" s="27">
        <v>225.0</v>
      </c>
      <c r="D13" s="28" t="s">
        <v>67095</v>
      </c>
      <c r="E13" s="28" t="s">
        <v>67096</v>
      </c>
      <c r="F13" s="27">
        <v>364.0</v>
      </c>
      <c r="G13" s="27">
        <v>2.2515364E8</v>
      </c>
    </row>
    <row r="14" ht="12.75" customHeight="1">
      <c r="A14" s="31">
        <v>215.0</v>
      </c>
      <c r="B14" s="32" t="s">
        <v>67097</v>
      </c>
      <c r="C14" s="31">
        <v>225.0</v>
      </c>
      <c r="D14" s="32" t="s">
        <v>67098</v>
      </c>
      <c r="E14" s="32" t="s">
        <v>67099</v>
      </c>
      <c r="F14" s="31">
        <v>373.0</v>
      </c>
      <c r="G14" s="31">
        <v>2.25153732E8</v>
      </c>
    </row>
    <row r="15" ht="12.75" customHeight="1">
      <c r="A15" s="27">
        <v>215.0</v>
      </c>
      <c r="B15" s="28" t="s">
        <v>67100</v>
      </c>
      <c r="C15" s="27">
        <v>225.0</v>
      </c>
      <c r="D15" s="28" t="s">
        <v>67101</v>
      </c>
      <c r="E15" s="28" t="s">
        <v>67102</v>
      </c>
      <c r="F15" s="27">
        <v>427.0</v>
      </c>
      <c r="G15" s="27">
        <v>2.25154278E8</v>
      </c>
    </row>
    <row r="16" ht="12.75" customHeight="1">
      <c r="A16" s="31">
        <v>215.0</v>
      </c>
      <c r="B16" s="32" t="s">
        <v>67103</v>
      </c>
      <c r="C16" s="31">
        <v>225.0</v>
      </c>
      <c r="D16" s="32" t="s">
        <v>67104</v>
      </c>
      <c r="E16" s="32" t="s">
        <v>67105</v>
      </c>
      <c r="F16" s="31">
        <v>467.0</v>
      </c>
      <c r="G16" s="31">
        <v>2.25154678E8</v>
      </c>
    </row>
    <row r="17" ht="12.75" customHeight="1">
      <c r="A17" s="27">
        <v>215.0</v>
      </c>
      <c r="B17" s="28" t="s">
        <v>67106</v>
      </c>
      <c r="C17" s="27">
        <v>225.0</v>
      </c>
      <c r="D17" s="28" t="s">
        <v>67107</v>
      </c>
      <c r="E17" s="28" t="s">
        <v>67108</v>
      </c>
      <c r="F17" s="27">
        <v>580.0</v>
      </c>
      <c r="G17" s="27">
        <v>2.25155806E8</v>
      </c>
    </row>
    <row r="18" ht="12.75" customHeight="1">
      <c r="A18" s="31">
        <v>215.0</v>
      </c>
      <c r="B18" s="32" t="s">
        <v>67109</v>
      </c>
      <c r="C18" s="31">
        <v>225.0</v>
      </c>
      <c r="D18" s="32" t="s">
        <v>67110</v>
      </c>
      <c r="E18" s="32" t="s">
        <v>67111</v>
      </c>
      <c r="F18" s="31">
        <v>587.0</v>
      </c>
      <c r="G18" s="31">
        <v>2.25155877E8</v>
      </c>
    </row>
    <row r="19" ht="12.75" customHeight="1">
      <c r="A19" s="27">
        <v>215.0</v>
      </c>
      <c r="B19" s="28" t="s">
        <v>67112</v>
      </c>
      <c r="C19" s="27">
        <v>225.0</v>
      </c>
      <c r="D19" s="28" t="s">
        <v>67113</v>
      </c>
      <c r="E19" s="28" t="s">
        <v>67114</v>
      </c>
      <c r="F19" s="27">
        <v>592.0</v>
      </c>
      <c r="G19" s="27">
        <v>2.25155927E8</v>
      </c>
    </row>
    <row r="20" ht="12.75" customHeight="1">
      <c r="A20" s="31">
        <v>215.0</v>
      </c>
      <c r="B20" s="32" t="s">
        <v>67115</v>
      </c>
      <c r="C20" s="31">
        <v>225.0</v>
      </c>
      <c r="D20" s="32" t="s">
        <v>67116</v>
      </c>
      <c r="E20" s="32" t="s">
        <v>67117</v>
      </c>
      <c r="F20" s="31">
        <v>613.0</v>
      </c>
      <c r="G20" s="31">
        <v>2.25156139E8</v>
      </c>
    </row>
    <row r="21" ht="12.75" customHeight="1">
      <c r="A21" s="27">
        <v>215.0</v>
      </c>
      <c r="B21" s="28" t="s">
        <v>67118</v>
      </c>
      <c r="C21" s="27">
        <v>225.0</v>
      </c>
      <c r="D21" s="28" t="s">
        <v>67119</v>
      </c>
      <c r="E21" s="28" t="s">
        <v>67120</v>
      </c>
      <c r="F21" s="27">
        <v>632.0</v>
      </c>
      <c r="G21" s="27">
        <v>2.25156326E8</v>
      </c>
    </row>
    <row r="22" ht="12.75" customHeight="1">
      <c r="A22" s="31">
        <v>215.0</v>
      </c>
      <c r="B22" s="32" t="s">
        <v>67121</v>
      </c>
      <c r="C22" s="31">
        <v>225.0</v>
      </c>
      <c r="D22" s="32" t="s">
        <v>67122</v>
      </c>
      <c r="E22" s="32" t="s">
        <v>67123</v>
      </c>
      <c r="F22" s="31">
        <v>706.0</v>
      </c>
      <c r="G22" s="31">
        <v>2.25157062E8</v>
      </c>
    </row>
    <row r="23" ht="12.75" customHeight="1">
      <c r="A23" s="27">
        <v>119.0</v>
      </c>
      <c r="B23" s="28" t="s">
        <v>67124</v>
      </c>
      <c r="C23" s="27">
        <v>225.0</v>
      </c>
      <c r="D23" s="28" t="s">
        <v>67125</v>
      </c>
      <c r="E23" s="28" t="s">
        <v>67126</v>
      </c>
      <c r="F23" s="27">
        <v>106.0</v>
      </c>
      <c r="G23" s="27">
        <v>2.2519106E8</v>
      </c>
    </row>
    <row r="24" ht="12.75" customHeight="1">
      <c r="A24" s="31">
        <v>119.0</v>
      </c>
      <c r="B24" s="32" t="s">
        <v>67127</v>
      </c>
      <c r="C24" s="31">
        <v>225.0</v>
      </c>
      <c r="D24" s="32" t="s">
        <v>67128</v>
      </c>
      <c r="E24" s="32" t="s">
        <v>67129</v>
      </c>
      <c r="F24" s="31">
        <v>115.0</v>
      </c>
      <c r="G24" s="31">
        <v>2.25191152E8</v>
      </c>
    </row>
    <row r="25" ht="12.75" customHeight="1">
      <c r="A25" s="27">
        <v>119.0</v>
      </c>
      <c r="B25" s="28" t="s">
        <v>67130</v>
      </c>
      <c r="C25" s="27">
        <v>225.0</v>
      </c>
      <c r="D25" s="28" t="s">
        <v>67131</v>
      </c>
      <c r="E25" s="28" t="s">
        <v>67132</v>
      </c>
      <c r="F25" s="27">
        <v>154.0</v>
      </c>
      <c r="G25" s="27">
        <v>2.25191549E8</v>
      </c>
    </row>
    <row r="26" ht="12.75" customHeight="1">
      <c r="A26" s="31">
        <v>119.0</v>
      </c>
      <c r="B26" s="32" t="s">
        <v>67133</v>
      </c>
      <c r="C26" s="31">
        <v>225.0</v>
      </c>
      <c r="D26" s="32" t="s">
        <v>67134</v>
      </c>
      <c r="E26" s="32" t="s">
        <v>67135</v>
      </c>
      <c r="F26" s="31">
        <v>211.0</v>
      </c>
      <c r="G26" s="31">
        <v>2.25192119E8</v>
      </c>
    </row>
    <row r="27" ht="12.75" customHeight="1">
      <c r="A27" s="27">
        <v>222.0</v>
      </c>
      <c r="B27" s="28" t="s">
        <v>67136</v>
      </c>
      <c r="C27" s="27">
        <v>225.0</v>
      </c>
      <c r="D27" s="28" t="s">
        <v>67137</v>
      </c>
      <c r="E27" s="28" t="s">
        <v>67138</v>
      </c>
      <c r="F27" s="29">
        <v>25.0</v>
      </c>
      <c r="G27" s="27">
        <v>2.25220252E8</v>
      </c>
    </row>
    <row r="28" ht="12.75" customHeight="1">
      <c r="A28" s="31">
        <v>126.0</v>
      </c>
      <c r="B28" s="32" t="s">
        <v>67139</v>
      </c>
      <c r="C28" s="31">
        <v>225.0</v>
      </c>
      <c r="D28" s="32" t="s">
        <v>67140</v>
      </c>
      <c r="E28" s="32" t="s">
        <v>67141</v>
      </c>
      <c r="F28" s="33">
        <v>22.0</v>
      </c>
      <c r="G28" s="31">
        <v>2.25260225E8</v>
      </c>
    </row>
    <row r="29" ht="12.75" customHeight="1">
      <c r="A29" s="27">
        <v>126.0</v>
      </c>
      <c r="B29" s="28" t="s">
        <v>67142</v>
      </c>
      <c r="C29" s="27">
        <v>225.0</v>
      </c>
      <c r="D29" s="28" t="s">
        <v>67143</v>
      </c>
      <c r="E29" s="28" t="s">
        <v>67144</v>
      </c>
      <c r="F29" s="29">
        <v>24.0</v>
      </c>
      <c r="G29" s="27">
        <v>2.25260241E8</v>
      </c>
    </row>
    <row r="30" ht="12.75" customHeight="1">
      <c r="A30" s="31">
        <v>126.0</v>
      </c>
      <c r="B30" s="32" t="s">
        <v>67145</v>
      </c>
      <c r="C30" s="31">
        <v>225.0</v>
      </c>
      <c r="D30" s="32" t="s">
        <v>67146</v>
      </c>
      <c r="E30" s="32" t="s">
        <v>67147</v>
      </c>
      <c r="F30" s="33">
        <v>33.0</v>
      </c>
      <c r="G30" s="31">
        <v>2.25260333E8</v>
      </c>
    </row>
    <row r="31" ht="12.75" customHeight="1">
      <c r="A31" s="27">
        <v>126.0</v>
      </c>
      <c r="B31" s="28" t="s">
        <v>67148</v>
      </c>
      <c r="C31" s="27">
        <v>225.0</v>
      </c>
      <c r="D31" s="28" t="s">
        <v>67149</v>
      </c>
      <c r="E31" s="28" t="s">
        <v>67150</v>
      </c>
      <c r="F31" s="29">
        <v>43.0</v>
      </c>
      <c r="G31" s="27">
        <v>2.25260438E8</v>
      </c>
    </row>
    <row r="32" ht="12.75" customHeight="1">
      <c r="A32" s="31">
        <v>126.0</v>
      </c>
      <c r="B32" s="32" t="s">
        <v>67151</v>
      </c>
      <c r="C32" s="31">
        <v>225.0</v>
      </c>
      <c r="D32" s="32" t="s">
        <v>67152</v>
      </c>
      <c r="E32" s="32" t="s">
        <v>67153</v>
      </c>
      <c r="F32" s="33">
        <v>63.0</v>
      </c>
      <c r="G32" s="31">
        <v>2.25260638E8</v>
      </c>
    </row>
    <row r="33" ht="12.75" customHeight="1">
      <c r="A33" s="27">
        <v>126.0</v>
      </c>
      <c r="B33" s="28" t="s">
        <v>67154</v>
      </c>
      <c r="C33" s="27">
        <v>225.0</v>
      </c>
      <c r="D33" s="28" t="s">
        <v>67155</v>
      </c>
      <c r="E33" s="28" t="s">
        <v>67156</v>
      </c>
      <c r="F33" s="27">
        <v>118.0</v>
      </c>
      <c r="G33" s="27">
        <v>2.25261187E8</v>
      </c>
    </row>
    <row r="34" ht="12.75" customHeight="1">
      <c r="A34" s="31">
        <v>126.0</v>
      </c>
      <c r="B34" s="32" t="s">
        <v>67157</v>
      </c>
      <c r="C34" s="31">
        <v>225.0</v>
      </c>
      <c r="D34" s="32" t="s">
        <v>67158</v>
      </c>
      <c r="E34" s="32" t="s">
        <v>67159</v>
      </c>
      <c r="F34" s="31">
        <v>127.0</v>
      </c>
      <c r="G34" s="31">
        <v>2.25261279E8</v>
      </c>
    </row>
    <row r="35" ht="12.75" customHeight="1">
      <c r="A35" s="27">
        <v>126.0</v>
      </c>
      <c r="B35" s="28" t="s">
        <v>67160</v>
      </c>
      <c r="C35" s="27">
        <v>225.0</v>
      </c>
      <c r="D35" s="28" t="s">
        <v>67161</v>
      </c>
      <c r="E35" s="28" t="s">
        <v>67162</v>
      </c>
      <c r="F35" s="27">
        <v>172.0</v>
      </c>
      <c r="G35" s="27">
        <v>2.25261729E8</v>
      </c>
    </row>
    <row r="36" ht="12.75" customHeight="1">
      <c r="A36" s="31">
        <v>126.0</v>
      </c>
      <c r="B36" s="32" t="s">
        <v>67163</v>
      </c>
      <c r="C36" s="31">
        <v>225.0</v>
      </c>
      <c r="D36" s="32" t="s">
        <v>67164</v>
      </c>
      <c r="E36" s="32" t="s">
        <v>67165</v>
      </c>
      <c r="F36" s="31">
        <v>173.0</v>
      </c>
      <c r="G36" s="31">
        <v>2.25261732E8</v>
      </c>
    </row>
    <row r="37" ht="12.75" customHeight="1">
      <c r="A37" s="27">
        <v>126.0</v>
      </c>
      <c r="B37" s="28" t="s">
        <v>67166</v>
      </c>
      <c r="C37" s="27">
        <v>225.0</v>
      </c>
      <c r="D37" s="28" t="s">
        <v>67167</v>
      </c>
      <c r="E37" s="28" t="s">
        <v>67168</v>
      </c>
      <c r="F37" s="27">
        <v>253.0</v>
      </c>
      <c r="G37" s="27">
        <v>2.25262531E8</v>
      </c>
    </row>
    <row r="38" ht="12.75" customHeight="1">
      <c r="A38" s="31">
        <v>126.0</v>
      </c>
      <c r="B38" s="32" t="s">
        <v>67169</v>
      </c>
      <c r="C38" s="31">
        <v>225.0</v>
      </c>
      <c r="D38" s="32" t="s">
        <v>67170</v>
      </c>
      <c r="E38" s="32" t="s">
        <v>67171</v>
      </c>
      <c r="F38" s="31">
        <v>298.0</v>
      </c>
      <c r="G38" s="31">
        <v>2.25262986E8</v>
      </c>
    </row>
    <row r="39" ht="12.75" customHeight="1">
      <c r="A39" s="27">
        <v>126.0</v>
      </c>
      <c r="B39" s="28" t="s">
        <v>67172</v>
      </c>
      <c r="C39" s="27">
        <v>225.0</v>
      </c>
      <c r="D39" s="28" t="s">
        <v>67173</v>
      </c>
      <c r="E39" s="28" t="s">
        <v>67174</v>
      </c>
      <c r="F39" s="27">
        <v>352.0</v>
      </c>
      <c r="G39" s="27">
        <v>2.25263527E8</v>
      </c>
    </row>
    <row r="40" ht="12.75" customHeight="1">
      <c r="A40" s="31">
        <v>126.0</v>
      </c>
      <c r="B40" s="32" t="s">
        <v>67175</v>
      </c>
      <c r="C40" s="31">
        <v>225.0</v>
      </c>
      <c r="D40" s="32" t="s">
        <v>67176</v>
      </c>
      <c r="E40" s="32" t="s">
        <v>67177</v>
      </c>
      <c r="F40" s="31">
        <v>358.0</v>
      </c>
      <c r="G40" s="31">
        <v>2.25263585E8</v>
      </c>
    </row>
    <row r="41" ht="12.75" customHeight="1">
      <c r="A41" s="27">
        <v>126.0</v>
      </c>
      <c r="B41" s="28" t="s">
        <v>67178</v>
      </c>
      <c r="C41" s="27">
        <v>225.0</v>
      </c>
      <c r="D41" s="28" t="s">
        <v>67179</v>
      </c>
      <c r="E41" s="28" t="s">
        <v>67180</v>
      </c>
      <c r="F41" s="27">
        <v>370.0</v>
      </c>
      <c r="G41" s="27">
        <v>2.25263701E8</v>
      </c>
    </row>
    <row r="42" ht="12.75" customHeight="1">
      <c r="A42" s="31">
        <v>126.0</v>
      </c>
      <c r="B42" s="32" t="s">
        <v>67181</v>
      </c>
      <c r="C42" s="31">
        <v>225.0</v>
      </c>
      <c r="D42" s="32" t="s">
        <v>67182</v>
      </c>
      <c r="E42" s="32" t="s">
        <v>67183</v>
      </c>
      <c r="F42" s="31">
        <v>410.0</v>
      </c>
      <c r="G42" s="31">
        <v>2.252641E8</v>
      </c>
    </row>
    <row r="43" ht="12.75" customHeight="1">
      <c r="A43" s="27">
        <v>126.0</v>
      </c>
      <c r="B43" s="28" t="s">
        <v>67184</v>
      </c>
      <c r="C43" s="27">
        <v>225.0</v>
      </c>
      <c r="D43" s="28" t="s">
        <v>67185</v>
      </c>
      <c r="E43" s="28" t="s">
        <v>67186</v>
      </c>
      <c r="F43" s="27">
        <v>430.0</v>
      </c>
      <c r="G43" s="27">
        <v>2.252643E8</v>
      </c>
    </row>
    <row r="44" ht="12.75" customHeight="1">
      <c r="A44" s="31">
        <v>126.0</v>
      </c>
      <c r="B44" s="32" t="s">
        <v>67187</v>
      </c>
      <c r="C44" s="31">
        <v>225.0</v>
      </c>
      <c r="D44" s="32" t="s">
        <v>67188</v>
      </c>
      <c r="E44" s="32" t="s">
        <v>67189</v>
      </c>
      <c r="F44" s="31">
        <v>463.0</v>
      </c>
      <c r="G44" s="31">
        <v>2.25264634E8</v>
      </c>
    </row>
    <row r="45" ht="12.75" customHeight="1">
      <c r="A45" s="27">
        <v>127.0</v>
      </c>
      <c r="B45" s="28" t="s">
        <v>67190</v>
      </c>
      <c r="C45" s="27">
        <v>225.0</v>
      </c>
      <c r="D45" s="28" t="s">
        <v>67191</v>
      </c>
      <c r="E45" s="28" t="s">
        <v>67192</v>
      </c>
      <c r="F45" s="29">
        <v>0.0</v>
      </c>
      <c r="G45" s="27">
        <v>2.25270002E8</v>
      </c>
    </row>
    <row r="46" ht="12.75" customHeight="1">
      <c r="A46" s="31">
        <v>127.0</v>
      </c>
      <c r="B46" s="32" t="s">
        <v>67193</v>
      </c>
      <c r="C46" s="31">
        <v>225.0</v>
      </c>
      <c r="D46" s="32" t="s">
        <v>67194</v>
      </c>
      <c r="E46" s="32" t="s">
        <v>67195</v>
      </c>
      <c r="F46" s="33">
        <v>43.0</v>
      </c>
      <c r="G46" s="31">
        <v>2.25270431E8</v>
      </c>
    </row>
    <row r="47" ht="12.75" customHeight="1">
      <c r="A47" s="27">
        <v>127.0</v>
      </c>
      <c r="B47" s="28" t="s">
        <v>67196</v>
      </c>
      <c r="C47" s="27">
        <v>225.0</v>
      </c>
      <c r="D47" s="28" t="s">
        <v>67197</v>
      </c>
      <c r="E47" s="28" t="s">
        <v>67198</v>
      </c>
      <c r="F47" s="27">
        <v>115.0</v>
      </c>
      <c r="G47" s="27">
        <v>2.25271151E8</v>
      </c>
    </row>
    <row r="48" ht="12.75" customHeight="1">
      <c r="A48" s="31">
        <v>127.0</v>
      </c>
      <c r="B48" s="32" t="s">
        <v>67199</v>
      </c>
      <c r="C48" s="31">
        <v>225.0</v>
      </c>
      <c r="D48" s="32" t="s">
        <v>67200</v>
      </c>
      <c r="E48" s="32" t="s">
        <v>67201</v>
      </c>
      <c r="F48" s="31">
        <v>154.0</v>
      </c>
      <c r="G48" s="31">
        <v>2.25271548E8</v>
      </c>
    </row>
    <row r="49" ht="12.75" customHeight="1">
      <c r="A49" s="27">
        <v>127.0</v>
      </c>
      <c r="B49" s="28" t="s">
        <v>67202</v>
      </c>
      <c r="C49" s="27">
        <v>225.0</v>
      </c>
      <c r="D49" s="28" t="s">
        <v>67203</v>
      </c>
      <c r="E49" s="28" t="s">
        <v>67204</v>
      </c>
      <c r="F49" s="27">
        <v>232.0</v>
      </c>
      <c r="G49" s="27">
        <v>2.25272321E8</v>
      </c>
    </row>
    <row r="50" ht="12.75" customHeight="1">
      <c r="A50" s="31">
        <v>127.0</v>
      </c>
      <c r="B50" s="32" t="s">
        <v>67205</v>
      </c>
      <c r="C50" s="31">
        <v>225.0</v>
      </c>
      <c r="D50" s="32" t="s">
        <v>67206</v>
      </c>
      <c r="E50" s="32" t="s">
        <v>67207</v>
      </c>
      <c r="F50" s="31">
        <v>268.0</v>
      </c>
      <c r="G50" s="31">
        <v>2.25272684E8</v>
      </c>
    </row>
    <row r="51" ht="12.75" customHeight="1">
      <c r="A51" s="27">
        <v>127.0</v>
      </c>
      <c r="B51" s="28" t="s">
        <v>67208</v>
      </c>
      <c r="C51" s="27">
        <v>225.0</v>
      </c>
      <c r="D51" s="28" t="s">
        <v>67209</v>
      </c>
      <c r="E51" s="28" t="s">
        <v>67210</v>
      </c>
      <c r="F51" s="27">
        <v>280.0</v>
      </c>
      <c r="G51" s="27">
        <v>2.252728E8</v>
      </c>
    </row>
    <row r="52" ht="12.75" customHeight="1">
      <c r="A52" s="31">
        <v>127.0</v>
      </c>
      <c r="B52" s="32" t="s">
        <v>67211</v>
      </c>
      <c r="C52" s="31">
        <v>225.0</v>
      </c>
      <c r="D52" s="32" t="s">
        <v>67212</v>
      </c>
      <c r="E52" s="32" t="s">
        <v>67213</v>
      </c>
      <c r="F52" s="31">
        <v>286.0</v>
      </c>
      <c r="G52" s="31">
        <v>2.25272868E8</v>
      </c>
    </row>
    <row r="53" ht="12.75" customHeight="1">
      <c r="A53" s="27">
        <v>127.0</v>
      </c>
      <c r="B53" s="28" t="s">
        <v>67214</v>
      </c>
      <c r="C53" s="27">
        <v>225.0</v>
      </c>
      <c r="D53" s="28" t="s">
        <v>67215</v>
      </c>
      <c r="E53" s="28" t="s">
        <v>67216</v>
      </c>
      <c r="F53" s="27">
        <v>298.0</v>
      </c>
      <c r="G53" s="27">
        <v>2.25272989E8</v>
      </c>
    </row>
    <row r="54" ht="12.75" customHeight="1">
      <c r="A54" s="31">
        <v>127.0</v>
      </c>
      <c r="B54" s="32" t="s">
        <v>67217</v>
      </c>
      <c r="C54" s="31">
        <v>225.0</v>
      </c>
      <c r="D54" s="32" t="s">
        <v>67218</v>
      </c>
      <c r="E54" s="32" t="s">
        <v>67219</v>
      </c>
      <c r="F54" s="31">
        <v>323.0</v>
      </c>
      <c r="G54" s="31">
        <v>2.25273238E8</v>
      </c>
    </row>
    <row r="55" ht="12.75" customHeight="1">
      <c r="A55" s="27">
        <v>127.0</v>
      </c>
      <c r="B55" s="28" t="s">
        <v>67220</v>
      </c>
      <c r="C55" s="27">
        <v>225.0</v>
      </c>
      <c r="D55" s="28" t="s">
        <v>67221</v>
      </c>
      <c r="E55" s="28" t="s">
        <v>67222</v>
      </c>
      <c r="F55" s="27">
        <v>325.0</v>
      </c>
      <c r="G55" s="27">
        <v>2.25273254E8</v>
      </c>
    </row>
    <row r="56" ht="12.75" customHeight="1">
      <c r="A56" s="31">
        <v>127.0</v>
      </c>
      <c r="B56" s="32" t="s">
        <v>67223</v>
      </c>
      <c r="C56" s="31">
        <v>225.0</v>
      </c>
      <c r="D56" s="32" t="s">
        <v>67224</v>
      </c>
      <c r="E56" s="32" t="s">
        <v>67225</v>
      </c>
      <c r="F56" s="31">
        <v>329.0</v>
      </c>
      <c r="G56" s="31">
        <v>2.25273296E8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67226</v>
      </c>
      <c r="C1" s="27">
        <v>225.0</v>
      </c>
      <c r="D1" s="28" t="s">
        <v>67227</v>
      </c>
      <c r="E1" s="28" t="s">
        <v>67228</v>
      </c>
      <c r="F1" s="27">
        <v>346.0</v>
      </c>
      <c r="G1" s="27">
        <v>2.25273467E8</v>
      </c>
    </row>
    <row r="2" ht="12.75" customHeight="1">
      <c r="A2" s="31">
        <v>127.0</v>
      </c>
      <c r="B2" s="32" t="s">
        <v>67229</v>
      </c>
      <c r="C2" s="31">
        <v>225.0</v>
      </c>
      <c r="D2" s="32" t="s">
        <v>67230</v>
      </c>
      <c r="E2" s="32" t="s">
        <v>67231</v>
      </c>
      <c r="F2" s="31">
        <v>418.0</v>
      </c>
      <c r="G2" s="31">
        <v>2.25274187E8</v>
      </c>
    </row>
    <row r="3" ht="12.75" customHeight="1">
      <c r="A3" s="27">
        <v>127.0</v>
      </c>
      <c r="B3" s="28" t="s">
        <v>67232</v>
      </c>
      <c r="C3" s="27">
        <v>225.0</v>
      </c>
      <c r="D3" s="28" t="s">
        <v>67233</v>
      </c>
      <c r="E3" s="28" t="s">
        <v>67234</v>
      </c>
      <c r="F3" s="27">
        <v>436.0</v>
      </c>
      <c r="G3" s="27">
        <v>2.25274361E8</v>
      </c>
    </row>
    <row r="4" ht="12.75" customHeight="1">
      <c r="A4" s="31">
        <v>127.0</v>
      </c>
      <c r="B4" s="32" t="s">
        <v>67235</v>
      </c>
      <c r="C4" s="31">
        <v>225.0</v>
      </c>
      <c r="D4" s="32" t="s">
        <v>67236</v>
      </c>
      <c r="E4" s="32" t="s">
        <v>67237</v>
      </c>
      <c r="F4" s="31">
        <v>469.0</v>
      </c>
      <c r="G4" s="31">
        <v>2.25274695E8</v>
      </c>
    </row>
    <row r="5" ht="12.75" customHeight="1">
      <c r="A5" s="27">
        <v>127.0</v>
      </c>
      <c r="B5" s="28" t="s">
        <v>67238</v>
      </c>
      <c r="C5" s="27">
        <v>225.0</v>
      </c>
      <c r="D5" s="28" t="s">
        <v>67239</v>
      </c>
      <c r="E5" s="28" t="s">
        <v>67240</v>
      </c>
      <c r="F5" s="27">
        <v>472.0</v>
      </c>
      <c r="G5" s="27">
        <v>2.25274729E8</v>
      </c>
    </row>
    <row r="6" ht="12.75" customHeight="1">
      <c r="A6" s="31">
        <v>127.0</v>
      </c>
      <c r="B6" s="32" t="s">
        <v>67241</v>
      </c>
      <c r="C6" s="31">
        <v>225.0</v>
      </c>
      <c r="D6" s="32" t="s">
        <v>67242</v>
      </c>
      <c r="E6" s="32" t="s">
        <v>67243</v>
      </c>
      <c r="F6" s="31">
        <v>529.0</v>
      </c>
      <c r="G6" s="31">
        <v>2.25275294E8</v>
      </c>
    </row>
    <row r="7" ht="12.75" customHeight="1">
      <c r="A7" s="27">
        <v>127.0</v>
      </c>
      <c r="B7" s="28" t="s">
        <v>67244</v>
      </c>
      <c r="C7" s="27">
        <v>225.0</v>
      </c>
      <c r="D7" s="28" t="s">
        <v>67245</v>
      </c>
      <c r="E7" s="28" t="s">
        <v>67246</v>
      </c>
      <c r="F7" s="27">
        <v>535.0</v>
      </c>
      <c r="G7" s="27">
        <v>2.25275357E8</v>
      </c>
    </row>
    <row r="8" ht="12.75" customHeight="1">
      <c r="A8" s="31">
        <v>127.0</v>
      </c>
      <c r="B8" s="32" t="s">
        <v>67247</v>
      </c>
      <c r="C8" s="31">
        <v>225.0</v>
      </c>
      <c r="D8" s="32" t="s">
        <v>67248</v>
      </c>
      <c r="E8" s="32" t="s">
        <v>67249</v>
      </c>
      <c r="F8" s="31">
        <v>592.0</v>
      </c>
      <c r="G8" s="31">
        <v>2.25275928E8</v>
      </c>
    </row>
    <row r="9" ht="12.75" customHeight="1">
      <c r="A9" s="27">
        <v>127.0</v>
      </c>
      <c r="B9" s="28" t="s">
        <v>67250</v>
      </c>
      <c r="C9" s="27">
        <v>225.0</v>
      </c>
      <c r="D9" s="28" t="s">
        <v>67251</v>
      </c>
      <c r="E9" s="28" t="s">
        <v>67252</v>
      </c>
      <c r="F9" s="27">
        <v>679.0</v>
      </c>
      <c r="G9" s="27">
        <v>2.25276798E8</v>
      </c>
    </row>
    <row r="10" ht="12.75" customHeight="1">
      <c r="A10" s="31">
        <v>127.0</v>
      </c>
      <c r="B10" s="32" t="s">
        <v>67253</v>
      </c>
      <c r="C10" s="31">
        <v>225.0</v>
      </c>
      <c r="D10" s="32" t="s">
        <v>67254</v>
      </c>
      <c r="E10" s="32" t="s">
        <v>67255</v>
      </c>
      <c r="F10" s="31">
        <v>685.0</v>
      </c>
      <c r="G10" s="31">
        <v>2.25276851E8</v>
      </c>
    </row>
    <row r="11" ht="12.75" customHeight="1">
      <c r="A11" s="27">
        <v>127.0</v>
      </c>
      <c r="B11" s="28" t="s">
        <v>67256</v>
      </c>
      <c r="C11" s="27">
        <v>225.0</v>
      </c>
      <c r="D11" s="28" t="s">
        <v>67257</v>
      </c>
      <c r="E11" s="28" t="s">
        <v>67258</v>
      </c>
      <c r="F11" s="27">
        <v>709.0</v>
      </c>
      <c r="G11" s="27">
        <v>2.25277092E8</v>
      </c>
    </row>
    <row r="12" ht="12.75" customHeight="1">
      <c r="A12" s="31">
        <v>728.0</v>
      </c>
      <c r="B12" s="32" t="s">
        <v>67259</v>
      </c>
      <c r="C12" s="31">
        <v>225.0</v>
      </c>
      <c r="D12" s="32" t="s">
        <v>67260</v>
      </c>
      <c r="E12" s="32" t="s">
        <v>67261</v>
      </c>
      <c r="F12" s="33">
        <v>67.0</v>
      </c>
      <c r="G12" s="31">
        <v>2.25280676E8</v>
      </c>
    </row>
    <row r="13" ht="12.75" customHeight="1">
      <c r="A13" s="27">
        <v>329.0</v>
      </c>
      <c r="B13" s="28" t="s">
        <v>67262</v>
      </c>
      <c r="C13" s="27">
        <v>225.0</v>
      </c>
      <c r="D13" s="28" t="s">
        <v>67263</v>
      </c>
      <c r="E13" s="28" t="s">
        <v>67264</v>
      </c>
      <c r="F13" s="29">
        <v>4.0</v>
      </c>
      <c r="G13" s="27">
        <v>2.2529004E8</v>
      </c>
    </row>
    <row r="14" ht="12.75" customHeight="1">
      <c r="A14" s="31">
        <v>329.0</v>
      </c>
      <c r="B14" s="32" t="s">
        <v>67265</v>
      </c>
      <c r="C14" s="31">
        <v>225.0</v>
      </c>
      <c r="D14" s="32" t="s">
        <v>67266</v>
      </c>
      <c r="E14" s="32" t="s">
        <v>67267</v>
      </c>
      <c r="F14" s="33">
        <v>52.0</v>
      </c>
      <c r="G14" s="31">
        <v>2.25290529E8</v>
      </c>
    </row>
    <row r="15" ht="12.75" customHeight="1">
      <c r="A15" s="27">
        <v>329.0</v>
      </c>
      <c r="B15" s="28" t="s">
        <v>67268</v>
      </c>
      <c r="C15" s="27">
        <v>225.0</v>
      </c>
      <c r="D15" s="28" t="s">
        <v>67269</v>
      </c>
      <c r="E15" s="28" t="s">
        <v>67270</v>
      </c>
      <c r="F15" s="29">
        <v>91.0</v>
      </c>
      <c r="G15" s="27">
        <v>2.25290916E8</v>
      </c>
    </row>
    <row r="16" ht="12.75" customHeight="1">
      <c r="A16" s="31">
        <v>230.0</v>
      </c>
      <c r="B16" s="32" t="s">
        <v>67271</v>
      </c>
      <c r="C16" s="31">
        <v>225.0</v>
      </c>
      <c r="D16" s="32" t="s">
        <v>67272</v>
      </c>
      <c r="E16" s="32" t="s">
        <v>67273</v>
      </c>
      <c r="F16" s="33">
        <v>52.0</v>
      </c>
      <c r="G16" s="31">
        <v>2.25300527E8</v>
      </c>
    </row>
    <row r="17" ht="12.75" customHeight="1">
      <c r="A17" s="27">
        <v>632.0</v>
      </c>
      <c r="B17" s="28" t="s">
        <v>67274</v>
      </c>
      <c r="C17" s="27">
        <v>225.0</v>
      </c>
      <c r="D17" s="28" t="s">
        <v>67275</v>
      </c>
      <c r="E17" s="28" t="s">
        <v>67276</v>
      </c>
      <c r="F17" s="29">
        <v>58.0</v>
      </c>
      <c r="G17" s="27">
        <v>2.25320581E8</v>
      </c>
    </row>
    <row r="18" ht="12.75" customHeight="1">
      <c r="A18" s="31">
        <v>133.0</v>
      </c>
      <c r="B18" s="32" t="s">
        <v>67277</v>
      </c>
      <c r="C18" s="31">
        <v>225.0</v>
      </c>
      <c r="D18" s="32" t="s">
        <v>67278</v>
      </c>
      <c r="E18" s="32" t="s">
        <v>67279</v>
      </c>
      <c r="F18" s="33">
        <v>52.0</v>
      </c>
      <c r="G18" s="31">
        <v>2.25330526E8</v>
      </c>
    </row>
    <row r="19" ht="12.75" customHeight="1">
      <c r="A19" s="27">
        <v>133.0</v>
      </c>
      <c r="B19" s="28" t="s">
        <v>67280</v>
      </c>
      <c r="C19" s="27">
        <v>225.0</v>
      </c>
      <c r="D19" s="28" t="s">
        <v>67281</v>
      </c>
      <c r="E19" s="28" t="s">
        <v>67282</v>
      </c>
      <c r="F19" s="29">
        <v>53.0</v>
      </c>
      <c r="G19" s="27">
        <v>2.25330539E8</v>
      </c>
    </row>
    <row r="20" ht="12.75" customHeight="1">
      <c r="A20" s="31">
        <v>133.0</v>
      </c>
      <c r="B20" s="32" t="s">
        <v>67283</v>
      </c>
      <c r="C20" s="31">
        <v>225.0</v>
      </c>
      <c r="D20" s="32" t="s">
        <v>67284</v>
      </c>
      <c r="E20" s="32" t="s">
        <v>67285</v>
      </c>
      <c r="F20" s="31">
        <v>163.0</v>
      </c>
      <c r="G20" s="31">
        <v>2.25331633E8</v>
      </c>
    </row>
    <row r="21" ht="12.75" customHeight="1">
      <c r="A21" s="27">
        <v>836.0</v>
      </c>
      <c r="B21" s="28" t="s">
        <v>67286</v>
      </c>
      <c r="C21" s="27">
        <v>225.0</v>
      </c>
      <c r="D21" s="28" t="s">
        <v>67287</v>
      </c>
      <c r="E21" s="28" t="s">
        <v>67288</v>
      </c>
      <c r="F21" s="29">
        <v>62.0</v>
      </c>
      <c r="G21" s="27">
        <v>2.2536062E8</v>
      </c>
    </row>
    <row r="22" ht="12.75" customHeight="1">
      <c r="A22" s="31">
        <v>139.0</v>
      </c>
      <c r="B22" s="32" t="s">
        <v>67289</v>
      </c>
      <c r="C22" s="31">
        <v>225.0</v>
      </c>
      <c r="D22" s="32" t="s">
        <v>67290</v>
      </c>
      <c r="E22" s="32" t="s">
        <v>67291</v>
      </c>
      <c r="F22" s="33">
        <v>86.0</v>
      </c>
      <c r="G22" s="31">
        <v>2.25390861E8</v>
      </c>
    </row>
    <row r="23" ht="12.75" customHeight="1">
      <c r="A23" s="27">
        <v>441.0</v>
      </c>
      <c r="B23" s="28" t="s">
        <v>67292</v>
      </c>
      <c r="C23" s="27">
        <v>225.0</v>
      </c>
      <c r="D23" s="28" t="s">
        <v>67293</v>
      </c>
      <c r="E23" s="28" t="s">
        <v>67294</v>
      </c>
      <c r="F23" s="29">
        <v>28.0</v>
      </c>
      <c r="G23" s="27">
        <v>2.25410288E8</v>
      </c>
    </row>
    <row r="24" ht="12.75" customHeight="1">
      <c r="A24" s="31">
        <v>441.0</v>
      </c>
      <c r="B24" s="32" t="s">
        <v>67295</v>
      </c>
      <c r="C24" s="31">
        <v>225.0</v>
      </c>
      <c r="D24" s="32" t="s">
        <v>67296</v>
      </c>
      <c r="E24" s="32" t="s">
        <v>67297</v>
      </c>
      <c r="F24" s="33">
        <v>94.0</v>
      </c>
      <c r="G24" s="31">
        <v>2.25410941E8</v>
      </c>
    </row>
    <row r="25" ht="12.75" customHeight="1">
      <c r="A25" s="27">
        <v>447.0</v>
      </c>
      <c r="B25" s="28" t="s">
        <v>67298</v>
      </c>
      <c r="C25" s="27">
        <v>225.0</v>
      </c>
      <c r="D25" s="28" t="s">
        <v>67299</v>
      </c>
      <c r="E25" s="28" t="s">
        <v>67300</v>
      </c>
      <c r="F25" s="27">
        <v>154.0</v>
      </c>
      <c r="G25" s="27">
        <v>2.25471548E8</v>
      </c>
    </row>
    <row r="26" ht="12.75" customHeight="1">
      <c r="A26" s="31">
        <v>148.0</v>
      </c>
      <c r="B26" s="32" t="s">
        <v>67301</v>
      </c>
      <c r="C26" s="31">
        <v>225.0</v>
      </c>
      <c r="D26" s="32" t="s">
        <v>67302</v>
      </c>
      <c r="E26" s="32" t="s">
        <v>67303</v>
      </c>
      <c r="F26" s="33">
        <v>22.0</v>
      </c>
      <c r="G26" s="31">
        <v>2.25480221E8</v>
      </c>
    </row>
    <row r="27" ht="12.75" customHeight="1">
      <c r="A27" s="27">
        <v>148.0</v>
      </c>
      <c r="B27" s="28" t="s">
        <v>67304</v>
      </c>
      <c r="C27" s="27">
        <v>225.0</v>
      </c>
      <c r="D27" s="28" t="s">
        <v>67305</v>
      </c>
      <c r="E27" s="28" t="s">
        <v>67306</v>
      </c>
      <c r="F27" s="29">
        <v>68.0</v>
      </c>
      <c r="G27" s="27">
        <v>2.25480689E8</v>
      </c>
    </row>
    <row r="28" ht="12.75" customHeight="1">
      <c r="A28" s="31">
        <v>450.0</v>
      </c>
      <c r="B28" s="32" t="s">
        <v>67307</v>
      </c>
      <c r="C28" s="31">
        <v>225.0</v>
      </c>
      <c r="D28" s="32" t="s">
        <v>67308</v>
      </c>
      <c r="E28" s="32" t="s">
        <v>67309</v>
      </c>
      <c r="F28" s="33">
        <v>94.0</v>
      </c>
      <c r="G28" s="31">
        <v>2.25500943E8</v>
      </c>
    </row>
    <row r="29" ht="12.75" customHeight="1">
      <c r="A29" s="27">
        <v>251.0</v>
      </c>
      <c r="B29" s="28" t="s">
        <v>67310</v>
      </c>
      <c r="C29" s="27">
        <v>225.0</v>
      </c>
      <c r="D29" s="28" t="s">
        <v>67311</v>
      </c>
      <c r="E29" s="28" t="s">
        <v>67312</v>
      </c>
      <c r="F29" s="29">
        <v>19.0</v>
      </c>
      <c r="G29" s="27">
        <v>2.25510191E8</v>
      </c>
    </row>
    <row r="30" ht="12.75" customHeight="1">
      <c r="A30" s="31">
        <v>251.0</v>
      </c>
      <c r="B30" s="32" t="s">
        <v>67313</v>
      </c>
      <c r="C30" s="31">
        <v>225.0</v>
      </c>
      <c r="D30" s="32" t="s">
        <v>67314</v>
      </c>
      <c r="E30" s="32" t="s">
        <v>67315</v>
      </c>
      <c r="F30" s="33">
        <v>73.0</v>
      </c>
      <c r="G30" s="31">
        <v>2.25510733E8</v>
      </c>
    </row>
    <row r="31" ht="12.75" customHeight="1">
      <c r="A31" s="27">
        <v>251.0</v>
      </c>
      <c r="B31" s="28" t="s">
        <v>67316</v>
      </c>
      <c r="C31" s="27">
        <v>225.0</v>
      </c>
      <c r="D31" s="28" t="s">
        <v>67317</v>
      </c>
      <c r="E31" s="28" t="s">
        <v>67318</v>
      </c>
      <c r="F31" s="29">
        <v>97.0</v>
      </c>
      <c r="G31" s="27">
        <v>2.25510975E8</v>
      </c>
    </row>
    <row r="32" ht="12.75" customHeight="1">
      <c r="A32" s="31">
        <v>156.0</v>
      </c>
      <c r="B32" s="32" t="s">
        <v>67319</v>
      </c>
      <c r="C32" s="31">
        <v>225.0</v>
      </c>
      <c r="D32" s="32" t="s">
        <v>67320</v>
      </c>
      <c r="E32" s="32" t="s">
        <v>67321</v>
      </c>
      <c r="F32" s="33">
        <v>61.0</v>
      </c>
      <c r="G32" s="31">
        <v>2.25560617E8</v>
      </c>
    </row>
    <row r="33" ht="12.75" customHeight="1">
      <c r="A33" s="27">
        <v>858.0</v>
      </c>
      <c r="B33" s="28" t="s">
        <v>67322</v>
      </c>
      <c r="C33" s="27">
        <v>225.0</v>
      </c>
      <c r="D33" s="28" t="s">
        <v>67323</v>
      </c>
      <c r="E33" s="28" t="s">
        <v>67324</v>
      </c>
      <c r="F33" s="27">
        <v>118.0</v>
      </c>
      <c r="G33" s="27">
        <v>2.25581188E8</v>
      </c>
    </row>
    <row r="34" ht="12.75" customHeight="1">
      <c r="A34" s="31">
        <v>858.0</v>
      </c>
      <c r="B34" s="32" t="s">
        <v>67325</v>
      </c>
      <c r="C34" s="31">
        <v>225.0</v>
      </c>
      <c r="D34" s="32" t="s">
        <v>67326</v>
      </c>
      <c r="E34" s="32" t="s">
        <v>67327</v>
      </c>
      <c r="F34" s="31">
        <v>172.0</v>
      </c>
      <c r="G34" s="31">
        <v>2.2558172E8</v>
      </c>
    </row>
    <row r="35" ht="12.75" customHeight="1">
      <c r="A35" s="27">
        <v>159.0</v>
      </c>
      <c r="B35" s="28" t="s">
        <v>67328</v>
      </c>
      <c r="C35" s="27">
        <v>225.0</v>
      </c>
      <c r="D35" s="28" t="s">
        <v>67329</v>
      </c>
      <c r="E35" s="28" t="s">
        <v>67330</v>
      </c>
      <c r="F35" s="27">
        <v>121.0</v>
      </c>
      <c r="G35" s="27">
        <v>2.25591215E8</v>
      </c>
    </row>
    <row r="36" ht="12.75" customHeight="1">
      <c r="A36" s="31">
        <v>161.0</v>
      </c>
      <c r="B36" s="32" t="s">
        <v>67331</v>
      </c>
      <c r="C36" s="31">
        <v>225.0</v>
      </c>
      <c r="D36" s="32" t="s">
        <v>67332</v>
      </c>
      <c r="E36" s="32" t="s">
        <v>67333</v>
      </c>
      <c r="F36" s="31">
        <v>175.0</v>
      </c>
      <c r="G36" s="31">
        <v>2.25611753E8</v>
      </c>
    </row>
    <row r="37" ht="12.75" customHeight="1">
      <c r="A37" s="27">
        <v>564.0</v>
      </c>
      <c r="B37" s="28" t="s">
        <v>67334</v>
      </c>
      <c r="C37" s="27">
        <v>225.0</v>
      </c>
      <c r="D37" s="28" t="s">
        <v>67335</v>
      </c>
      <c r="E37" s="28" t="s">
        <v>67336</v>
      </c>
      <c r="F37" s="27">
        <v>118.0</v>
      </c>
      <c r="G37" s="27">
        <v>2.25641181E8</v>
      </c>
    </row>
    <row r="38" ht="12.75" customHeight="1">
      <c r="A38" s="31">
        <v>167.0</v>
      </c>
      <c r="B38" s="32" t="s">
        <v>67337</v>
      </c>
      <c r="C38" s="31">
        <v>225.0</v>
      </c>
      <c r="D38" s="32" t="s">
        <v>67338</v>
      </c>
      <c r="E38" s="32" t="s">
        <v>67339</v>
      </c>
      <c r="F38" s="33">
        <v>22.0</v>
      </c>
      <c r="G38" s="31">
        <v>2.25670228E8</v>
      </c>
    </row>
    <row r="39" ht="12.75" customHeight="1">
      <c r="A39" s="27">
        <v>167.0</v>
      </c>
      <c r="B39" s="28" t="s">
        <v>67340</v>
      </c>
      <c r="C39" s="27">
        <v>225.0</v>
      </c>
      <c r="D39" s="28" t="s">
        <v>67341</v>
      </c>
      <c r="E39" s="28" t="s">
        <v>67342</v>
      </c>
      <c r="F39" s="27">
        <v>127.0</v>
      </c>
      <c r="G39" s="27">
        <v>2.25671272E8</v>
      </c>
    </row>
    <row r="40" ht="12.75" customHeight="1">
      <c r="A40" s="31">
        <v>167.0</v>
      </c>
      <c r="B40" s="32" t="s">
        <v>67343</v>
      </c>
      <c r="C40" s="31">
        <v>225.0</v>
      </c>
      <c r="D40" s="32" t="s">
        <v>67344</v>
      </c>
      <c r="E40" s="32" t="s">
        <v>67345</v>
      </c>
      <c r="F40" s="31">
        <v>175.0</v>
      </c>
      <c r="G40" s="31">
        <v>2.25671751E8</v>
      </c>
    </row>
    <row r="41" ht="12.75" customHeight="1">
      <c r="A41" s="27">
        <v>168.0</v>
      </c>
      <c r="B41" s="28" t="s">
        <v>67346</v>
      </c>
      <c r="C41" s="27">
        <v>225.0</v>
      </c>
      <c r="D41" s="28" t="s">
        <v>67347</v>
      </c>
      <c r="E41" s="28" t="s">
        <v>67348</v>
      </c>
      <c r="F41" s="29">
        <v>67.0</v>
      </c>
      <c r="G41" s="27">
        <v>2.25680676E8</v>
      </c>
    </row>
    <row r="42" ht="12.75" customHeight="1">
      <c r="A42" s="31">
        <v>168.0</v>
      </c>
      <c r="B42" s="32" t="s">
        <v>67349</v>
      </c>
      <c r="C42" s="31">
        <v>225.0</v>
      </c>
      <c r="D42" s="32" t="s">
        <v>67350</v>
      </c>
      <c r="E42" s="32" t="s">
        <v>67351</v>
      </c>
      <c r="F42" s="33">
        <v>85.0</v>
      </c>
      <c r="G42" s="31">
        <v>2.2568085E8</v>
      </c>
    </row>
    <row r="43" ht="12.75" customHeight="1">
      <c r="A43" s="27">
        <v>569.0</v>
      </c>
      <c r="B43" s="28" t="s">
        <v>67352</v>
      </c>
      <c r="C43" s="27">
        <v>225.0</v>
      </c>
      <c r="D43" s="28" t="s">
        <v>67353</v>
      </c>
      <c r="E43" s="28" t="s">
        <v>67354</v>
      </c>
      <c r="F43" s="27">
        <v>111.0</v>
      </c>
      <c r="G43" s="27">
        <v>2.25691115E8</v>
      </c>
    </row>
    <row r="44" ht="12.75" customHeight="1">
      <c r="A44" s="31">
        <v>570.0</v>
      </c>
      <c r="B44" s="32" t="s">
        <v>67355</v>
      </c>
      <c r="C44" s="31">
        <v>225.0</v>
      </c>
      <c r="D44" s="32" t="s">
        <v>67356</v>
      </c>
      <c r="E44" s="32" t="s">
        <v>67357</v>
      </c>
      <c r="F44" s="33">
        <v>25.0</v>
      </c>
      <c r="G44" s="31">
        <v>2.25700251E8</v>
      </c>
    </row>
    <row r="45" ht="12.75" customHeight="1">
      <c r="A45" s="27">
        <v>570.0</v>
      </c>
      <c r="B45" s="28" t="s">
        <v>67358</v>
      </c>
      <c r="C45" s="27">
        <v>225.0</v>
      </c>
      <c r="D45" s="28" t="s">
        <v>67359</v>
      </c>
      <c r="E45" s="28" t="s">
        <v>67360</v>
      </c>
      <c r="F45" s="29">
        <v>88.0</v>
      </c>
      <c r="G45" s="27">
        <v>2.2570088E8</v>
      </c>
    </row>
    <row r="46" ht="12.75" customHeight="1">
      <c r="A46" s="31">
        <v>773.0</v>
      </c>
      <c r="B46" s="32" t="s">
        <v>67361</v>
      </c>
      <c r="C46" s="31">
        <v>225.0</v>
      </c>
      <c r="D46" s="32" t="s">
        <v>67362</v>
      </c>
      <c r="E46" s="32" t="s">
        <v>67363</v>
      </c>
      <c r="F46" s="33">
        <v>79.0</v>
      </c>
      <c r="G46" s="31">
        <v>2.25730797E8</v>
      </c>
    </row>
    <row r="47" ht="12.75" customHeight="1">
      <c r="A47" s="27">
        <v>275.0</v>
      </c>
      <c r="B47" s="28" t="s">
        <v>67364</v>
      </c>
      <c r="C47" s="27">
        <v>225.0</v>
      </c>
      <c r="D47" s="28" t="s">
        <v>67365</v>
      </c>
      <c r="E47" s="28" t="s">
        <v>67366</v>
      </c>
      <c r="F47" s="29">
        <v>67.0</v>
      </c>
      <c r="G47" s="27">
        <v>2.25750672E8</v>
      </c>
    </row>
    <row r="48" ht="12.75" customHeight="1">
      <c r="A48" s="31">
        <v>275.0</v>
      </c>
      <c r="B48" s="32" t="s">
        <v>67367</v>
      </c>
      <c r="C48" s="31">
        <v>225.0</v>
      </c>
      <c r="D48" s="32" t="s">
        <v>67368</v>
      </c>
      <c r="E48" s="32" t="s">
        <v>67369</v>
      </c>
      <c r="F48" s="31">
        <v>121.0</v>
      </c>
      <c r="G48" s="31">
        <v>2.25751213E8</v>
      </c>
    </row>
    <row r="49" ht="12.75" customHeight="1">
      <c r="A49" s="27">
        <v>275.0</v>
      </c>
      <c r="B49" s="28" t="s">
        <v>67370</v>
      </c>
      <c r="C49" s="27">
        <v>225.0</v>
      </c>
      <c r="D49" s="28" t="s">
        <v>67371</v>
      </c>
      <c r="E49" s="28" t="s">
        <v>67372</v>
      </c>
      <c r="F49" s="27">
        <v>158.0</v>
      </c>
      <c r="G49" s="27">
        <v>2.25751589E8</v>
      </c>
    </row>
    <row r="50" ht="12.75" customHeight="1">
      <c r="A50" s="31">
        <v>275.0</v>
      </c>
      <c r="B50" s="32" t="s">
        <v>67373</v>
      </c>
      <c r="C50" s="31">
        <v>225.0</v>
      </c>
      <c r="D50" s="32" t="s">
        <v>67374</v>
      </c>
      <c r="E50" s="32" t="s">
        <v>67375</v>
      </c>
      <c r="F50" s="31">
        <v>208.0</v>
      </c>
      <c r="G50" s="31">
        <v>2.25752083E8</v>
      </c>
    </row>
    <row r="51" ht="12.75" customHeight="1">
      <c r="A51" s="27">
        <v>275.0</v>
      </c>
      <c r="B51" s="28" t="s">
        <v>67376</v>
      </c>
      <c r="C51" s="27">
        <v>225.0</v>
      </c>
      <c r="D51" s="28" t="s">
        <v>67377</v>
      </c>
      <c r="E51" s="28" t="s">
        <v>67378</v>
      </c>
      <c r="F51" s="27">
        <v>235.0</v>
      </c>
      <c r="G51" s="27">
        <v>2.25752359E8</v>
      </c>
    </row>
    <row r="52" ht="12.75" customHeight="1">
      <c r="A52" s="31">
        <v>576.0</v>
      </c>
      <c r="B52" s="32" t="s">
        <v>67379</v>
      </c>
      <c r="C52" s="31">
        <v>225.0</v>
      </c>
      <c r="D52" s="32" t="s">
        <v>67380</v>
      </c>
      <c r="E52" s="32" t="s">
        <v>67381</v>
      </c>
      <c r="F52" s="31">
        <v>178.0</v>
      </c>
      <c r="G52" s="31">
        <v>2.25761782E8</v>
      </c>
    </row>
    <row r="53" ht="12.75" customHeight="1">
      <c r="A53" s="27">
        <v>581.0</v>
      </c>
      <c r="B53" s="28" t="s">
        <v>67382</v>
      </c>
      <c r="C53" s="27">
        <v>225.0</v>
      </c>
      <c r="D53" s="28" t="s">
        <v>67383</v>
      </c>
      <c r="E53" s="28" t="s">
        <v>67384</v>
      </c>
      <c r="F53" s="27">
        <v>193.0</v>
      </c>
      <c r="G53" s="27">
        <v>2.25811937E8</v>
      </c>
    </row>
    <row r="54" ht="12.75" customHeight="1">
      <c r="A54" s="31">
        <v>785.0</v>
      </c>
      <c r="B54" s="32" t="s">
        <v>67385</v>
      </c>
      <c r="C54" s="31">
        <v>225.0</v>
      </c>
      <c r="D54" s="32" t="s">
        <v>67386</v>
      </c>
      <c r="E54" s="32" t="s">
        <v>67387</v>
      </c>
      <c r="F54" s="31">
        <v>145.0</v>
      </c>
      <c r="G54" s="31">
        <v>2.2585145E8</v>
      </c>
    </row>
    <row r="55" ht="12.75" customHeight="1">
      <c r="A55" s="27">
        <v>487.0</v>
      </c>
      <c r="B55" s="28" t="s">
        <v>67388</v>
      </c>
      <c r="C55" s="27">
        <v>225.0</v>
      </c>
      <c r="D55" s="28" t="s">
        <v>67389</v>
      </c>
      <c r="E55" s="28" t="s">
        <v>67390</v>
      </c>
      <c r="F55" s="27">
        <v>109.0</v>
      </c>
      <c r="G55" s="27">
        <v>2.25871098E8</v>
      </c>
    </row>
    <row r="56" ht="12.75" customHeight="1">
      <c r="A56" s="31">
        <v>688.0</v>
      </c>
      <c r="B56" s="32" t="s">
        <v>67391</v>
      </c>
      <c r="C56" s="31">
        <v>225.0</v>
      </c>
      <c r="D56" s="32" t="s">
        <v>67392</v>
      </c>
      <c r="E56" s="32" t="s">
        <v>67393</v>
      </c>
      <c r="F56" s="31">
        <v>187.0</v>
      </c>
      <c r="G56" s="31">
        <v>2.25881875E8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890.0</v>
      </c>
      <c r="B1" s="28" t="s">
        <v>67394</v>
      </c>
      <c r="C1" s="27">
        <v>225.0</v>
      </c>
      <c r="D1" s="28" t="s">
        <v>67395</v>
      </c>
      <c r="E1" s="28" t="s">
        <v>67396</v>
      </c>
      <c r="F1" s="29">
        <v>24.0</v>
      </c>
      <c r="G1" s="27">
        <v>2.25900248E8</v>
      </c>
    </row>
    <row r="2" ht="12.75" customHeight="1">
      <c r="A2" s="31">
        <v>890.0</v>
      </c>
      <c r="B2" s="32" t="s">
        <v>67397</v>
      </c>
      <c r="C2" s="31">
        <v>225.0</v>
      </c>
      <c r="D2" s="32" t="s">
        <v>67398</v>
      </c>
      <c r="E2" s="32" t="s">
        <v>67399</v>
      </c>
      <c r="F2" s="33">
        <v>49.0</v>
      </c>
      <c r="G2" s="31">
        <v>2.25900493E8</v>
      </c>
    </row>
    <row r="3" ht="12.75" customHeight="1">
      <c r="A3" s="27">
        <v>891.0</v>
      </c>
      <c r="B3" s="28" t="s">
        <v>67400</v>
      </c>
      <c r="C3" s="27">
        <v>225.0</v>
      </c>
      <c r="D3" s="28" t="s">
        <v>67401</v>
      </c>
      <c r="E3" s="28" t="s">
        <v>67402</v>
      </c>
      <c r="F3" s="29">
        <v>4.0</v>
      </c>
      <c r="G3" s="27">
        <v>2.25910041E8</v>
      </c>
    </row>
    <row r="4" ht="12.75" customHeight="1">
      <c r="A4" s="31">
        <v>891.0</v>
      </c>
      <c r="B4" s="32" t="s">
        <v>67403</v>
      </c>
      <c r="C4" s="31">
        <v>225.0</v>
      </c>
      <c r="D4" s="32" t="s">
        <v>67404</v>
      </c>
      <c r="E4" s="32" t="s">
        <v>67405</v>
      </c>
      <c r="F4" s="33">
        <v>31.0</v>
      </c>
      <c r="G4" s="31">
        <v>2.25910317E8</v>
      </c>
    </row>
    <row r="5" ht="12.75" customHeight="1">
      <c r="A5" s="27">
        <v>891.0</v>
      </c>
      <c r="B5" s="28" t="s">
        <v>67406</v>
      </c>
      <c r="C5" s="27">
        <v>225.0</v>
      </c>
      <c r="D5" s="28" t="s">
        <v>67407</v>
      </c>
      <c r="E5" s="28" t="s">
        <v>67408</v>
      </c>
      <c r="F5" s="29">
        <v>43.0</v>
      </c>
      <c r="G5" s="27">
        <v>2.25910438E8</v>
      </c>
    </row>
    <row r="6" ht="12.75" customHeight="1">
      <c r="A6" s="31">
        <v>891.0</v>
      </c>
      <c r="B6" s="32" t="s">
        <v>67409</v>
      </c>
      <c r="C6" s="31">
        <v>225.0</v>
      </c>
      <c r="D6" s="32" t="s">
        <v>67410</v>
      </c>
      <c r="E6" s="32" t="s">
        <v>67411</v>
      </c>
      <c r="F6" s="31">
        <v>130.0</v>
      </c>
      <c r="G6" s="31">
        <v>2.25911303E8</v>
      </c>
    </row>
    <row r="7" ht="12.75" customHeight="1">
      <c r="A7" s="27">
        <v>891.0</v>
      </c>
      <c r="B7" s="28" t="s">
        <v>67412</v>
      </c>
      <c r="C7" s="27">
        <v>225.0</v>
      </c>
      <c r="D7" s="28" t="s">
        <v>67413</v>
      </c>
      <c r="E7" s="28" t="s">
        <v>67414</v>
      </c>
      <c r="F7" s="27">
        <v>355.0</v>
      </c>
      <c r="G7" s="27">
        <v>2.25913556E8</v>
      </c>
    </row>
    <row r="8" ht="12.75" customHeight="1">
      <c r="A8" s="31">
        <v>891.0</v>
      </c>
      <c r="B8" s="32" t="s">
        <v>67415</v>
      </c>
      <c r="C8" s="31">
        <v>225.0</v>
      </c>
      <c r="D8" s="32" t="s">
        <v>67416</v>
      </c>
      <c r="E8" s="32" t="s">
        <v>67417</v>
      </c>
      <c r="F8" s="31">
        <v>415.0</v>
      </c>
      <c r="G8" s="31">
        <v>2.25914155E8</v>
      </c>
    </row>
    <row r="9" ht="12.75" customHeight="1">
      <c r="A9" s="27">
        <v>193.0</v>
      </c>
      <c r="B9" s="28" t="s">
        <v>67418</v>
      </c>
      <c r="C9" s="27">
        <v>225.0</v>
      </c>
      <c r="D9" s="28" t="s">
        <v>67419</v>
      </c>
      <c r="E9" s="28" t="s">
        <v>67420</v>
      </c>
      <c r="F9" s="27">
        <v>229.0</v>
      </c>
      <c r="G9" s="27">
        <v>2.2593229E8</v>
      </c>
    </row>
    <row r="10" ht="12.75" customHeight="1">
      <c r="A10" s="31">
        <v>306.0</v>
      </c>
      <c r="B10" s="32" t="s">
        <v>67421</v>
      </c>
      <c r="C10" s="31">
        <v>230.0</v>
      </c>
      <c r="D10" s="32" t="s">
        <v>67422</v>
      </c>
      <c r="E10" s="32" t="s">
        <v>67423</v>
      </c>
      <c r="F10" s="33">
        <v>28.0</v>
      </c>
      <c r="G10" s="31">
        <v>2.30060281E8</v>
      </c>
    </row>
    <row r="11" ht="12.75" customHeight="1">
      <c r="A11" s="27">
        <v>215.0</v>
      </c>
      <c r="B11" s="28" t="s">
        <v>67424</v>
      </c>
      <c r="C11" s="27">
        <v>230.0</v>
      </c>
      <c r="D11" s="28" t="s">
        <v>67425</v>
      </c>
      <c r="E11" s="28" t="s">
        <v>67426</v>
      </c>
      <c r="F11" s="29">
        <v>13.0</v>
      </c>
      <c r="G11" s="27">
        <v>2.30150133E8</v>
      </c>
    </row>
    <row r="12" ht="12.75" customHeight="1">
      <c r="A12" s="31">
        <v>215.0</v>
      </c>
      <c r="B12" s="32" t="s">
        <v>67427</v>
      </c>
      <c r="C12" s="31">
        <v>230.0</v>
      </c>
      <c r="D12" s="32" t="s">
        <v>67428</v>
      </c>
      <c r="E12" s="32" t="s">
        <v>67429</v>
      </c>
      <c r="F12" s="31">
        <v>364.0</v>
      </c>
      <c r="G12" s="31">
        <v>2.30153648E8</v>
      </c>
    </row>
    <row r="13" ht="12.75" customHeight="1">
      <c r="A13" s="27">
        <v>215.0</v>
      </c>
      <c r="B13" s="28" t="s">
        <v>67430</v>
      </c>
      <c r="C13" s="27">
        <v>230.0</v>
      </c>
      <c r="D13" s="28" t="s">
        <v>67431</v>
      </c>
      <c r="E13" s="28" t="s">
        <v>67432</v>
      </c>
      <c r="F13" s="27">
        <v>427.0</v>
      </c>
      <c r="G13" s="27">
        <v>2.30154276E8</v>
      </c>
    </row>
    <row r="14" ht="12.75" customHeight="1">
      <c r="A14" s="31">
        <v>215.0</v>
      </c>
      <c r="B14" s="32" t="s">
        <v>67433</v>
      </c>
      <c r="C14" s="31">
        <v>230.0</v>
      </c>
      <c r="D14" s="32" t="s">
        <v>67434</v>
      </c>
      <c r="E14" s="32" t="s">
        <v>67435</v>
      </c>
      <c r="F14" s="31">
        <v>535.0</v>
      </c>
      <c r="G14" s="31">
        <v>2.30155354E8</v>
      </c>
    </row>
    <row r="15" ht="12.75" customHeight="1">
      <c r="A15" s="27">
        <v>126.0</v>
      </c>
      <c r="B15" s="28" t="s">
        <v>67436</v>
      </c>
      <c r="C15" s="27">
        <v>230.0</v>
      </c>
      <c r="D15" s="28" t="s">
        <v>67437</v>
      </c>
      <c r="E15" s="28" t="s">
        <v>67438</v>
      </c>
      <c r="F15" s="29">
        <v>43.0</v>
      </c>
      <c r="G15" s="27">
        <v>2.30260436E8</v>
      </c>
    </row>
    <row r="16" ht="12.75" customHeight="1">
      <c r="A16" s="31">
        <v>126.0</v>
      </c>
      <c r="B16" s="32" t="s">
        <v>67439</v>
      </c>
      <c r="C16" s="31">
        <v>230.0</v>
      </c>
      <c r="D16" s="32" t="s">
        <v>67440</v>
      </c>
      <c r="E16" s="32" t="s">
        <v>67441</v>
      </c>
      <c r="F16" s="31">
        <v>118.0</v>
      </c>
      <c r="G16" s="31">
        <v>2.30261185E8</v>
      </c>
    </row>
    <row r="17" ht="12.75" customHeight="1">
      <c r="A17" s="27">
        <v>126.0</v>
      </c>
      <c r="B17" s="28" t="s">
        <v>67442</v>
      </c>
      <c r="C17" s="27">
        <v>230.0</v>
      </c>
      <c r="D17" s="28" t="s">
        <v>67443</v>
      </c>
      <c r="E17" s="28" t="s">
        <v>67444</v>
      </c>
      <c r="F17" s="27">
        <v>172.0</v>
      </c>
      <c r="G17" s="27">
        <v>2.30261727E8</v>
      </c>
    </row>
    <row r="18" ht="12.75" customHeight="1">
      <c r="A18" s="31">
        <v>126.0</v>
      </c>
      <c r="B18" s="32" t="s">
        <v>67445</v>
      </c>
      <c r="C18" s="31">
        <v>230.0</v>
      </c>
      <c r="D18" s="32" t="s">
        <v>67446</v>
      </c>
      <c r="E18" s="32" t="s">
        <v>67447</v>
      </c>
      <c r="F18" s="31">
        <v>214.0</v>
      </c>
      <c r="G18" s="31">
        <v>2.30262142E8</v>
      </c>
    </row>
    <row r="19" ht="12.75" customHeight="1">
      <c r="A19" s="27">
        <v>126.0</v>
      </c>
      <c r="B19" s="28" t="s">
        <v>67448</v>
      </c>
      <c r="C19" s="27">
        <v>230.0</v>
      </c>
      <c r="D19" s="28" t="s">
        <v>67449</v>
      </c>
      <c r="E19" s="28" t="s">
        <v>67450</v>
      </c>
      <c r="F19" s="27">
        <v>253.0</v>
      </c>
      <c r="G19" s="27">
        <v>2.30262539E8</v>
      </c>
    </row>
    <row r="20" ht="12.75" customHeight="1">
      <c r="A20" s="31">
        <v>126.0</v>
      </c>
      <c r="B20" s="32" t="s">
        <v>67451</v>
      </c>
      <c r="C20" s="31">
        <v>230.0</v>
      </c>
      <c r="D20" s="32" t="s">
        <v>67452</v>
      </c>
      <c r="E20" s="32" t="s">
        <v>67453</v>
      </c>
      <c r="F20" s="31">
        <v>307.0</v>
      </c>
      <c r="G20" s="31">
        <v>2.30263075E8</v>
      </c>
    </row>
    <row r="21" ht="12.75" customHeight="1">
      <c r="A21" s="27">
        <v>126.0</v>
      </c>
      <c r="B21" s="28" t="s">
        <v>67454</v>
      </c>
      <c r="C21" s="27">
        <v>230.0</v>
      </c>
      <c r="D21" s="28" t="s">
        <v>67455</v>
      </c>
      <c r="E21" s="28" t="s">
        <v>67456</v>
      </c>
      <c r="F21" s="27">
        <v>463.0</v>
      </c>
      <c r="G21" s="27">
        <v>2.30264632E8</v>
      </c>
    </row>
    <row r="22" ht="12.75" customHeight="1">
      <c r="A22" s="31">
        <v>127.0</v>
      </c>
      <c r="B22" s="32" t="s">
        <v>67457</v>
      </c>
      <c r="C22" s="31">
        <v>230.0</v>
      </c>
      <c r="D22" s="32" t="s">
        <v>67458</v>
      </c>
      <c r="E22" s="32" t="s">
        <v>67459</v>
      </c>
      <c r="F22" s="33">
        <v>0.0</v>
      </c>
      <c r="G22" s="31">
        <v>2.3027E8</v>
      </c>
    </row>
    <row r="23" ht="12.75" customHeight="1">
      <c r="A23" s="27">
        <v>127.0</v>
      </c>
      <c r="B23" s="28" t="s">
        <v>67460</v>
      </c>
      <c r="C23" s="27">
        <v>230.0</v>
      </c>
      <c r="D23" s="28" t="s">
        <v>67461</v>
      </c>
      <c r="E23" s="28" t="s">
        <v>67462</v>
      </c>
      <c r="F23" s="29">
        <v>55.0</v>
      </c>
      <c r="G23" s="27">
        <v>2.3027055E8</v>
      </c>
    </row>
    <row r="24" ht="12.75" customHeight="1">
      <c r="A24" s="31">
        <v>127.0</v>
      </c>
      <c r="B24" s="32" t="s">
        <v>67463</v>
      </c>
      <c r="C24" s="31">
        <v>230.0</v>
      </c>
      <c r="D24" s="32" t="s">
        <v>67464</v>
      </c>
      <c r="E24" s="32" t="s">
        <v>67465</v>
      </c>
      <c r="F24" s="33">
        <v>88.0</v>
      </c>
      <c r="G24" s="31">
        <v>2.30270884E8</v>
      </c>
    </row>
    <row r="25" ht="12.75" customHeight="1">
      <c r="A25" s="27">
        <v>127.0</v>
      </c>
      <c r="B25" s="28" t="s">
        <v>67466</v>
      </c>
      <c r="C25" s="27">
        <v>230.0</v>
      </c>
      <c r="D25" s="28" t="s">
        <v>67467</v>
      </c>
      <c r="E25" s="28" t="s">
        <v>67468</v>
      </c>
      <c r="F25" s="27">
        <v>280.0</v>
      </c>
      <c r="G25" s="27">
        <v>2.30272808E8</v>
      </c>
    </row>
    <row r="26" ht="12.75" customHeight="1">
      <c r="A26" s="31">
        <v>127.0</v>
      </c>
      <c r="B26" s="32" t="s">
        <v>67469</v>
      </c>
      <c r="C26" s="31">
        <v>230.0</v>
      </c>
      <c r="D26" s="32" t="s">
        <v>67470</v>
      </c>
      <c r="E26" s="32" t="s">
        <v>67471</v>
      </c>
      <c r="F26" s="31">
        <v>298.0</v>
      </c>
      <c r="G26" s="31">
        <v>2.30272987E8</v>
      </c>
    </row>
    <row r="27" ht="12.75" customHeight="1">
      <c r="A27" s="27">
        <v>127.0</v>
      </c>
      <c r="B27" s="28" t="s">
        <v>67472</v>
      </c>
      <c r="C27" s="27">
        <v>230.0</v>
      </c>
      <c r="D27" s="28" t="s">
        <v>67473</v>
      </c>
      <c r="E27" s="28" t="s">
        <v>67474</v>
      </c>
      <c r="F27" s="27">
        <v>475.0</v>
      </c>
      <c r="G27" s="27">
        <v>2.30274756E8</v>
      </c>
    </row>
    <row r="28" ht="12.75" customHeight="1">
      <c r="A28" s="31">
        <v>127.0</v>
      </c>
      <c r="B28" s="32" t="s">
        <v>67475</v>
      </c>
      <c r="C28" s="31">
        <v>230.0</v>
      </c>
      <c r="D28" s="32" t="s">
        <v>67476</v>
      </c>
      <c r="E28" s="32" t="s">
        <v>67477</v>
      </c>
      <c r="F28" s="31">
        <v>535.0</v>
      </c>
      <c r="G28" s="31">
        <v>2.30275355E8</v>
      </c>
    </row>
    <row r="29" ht="12.75" customHeight="1">
      <c r="A29" s="27">
        <v>127.0</v>
      </c>
      <c r="B29" s="28" t="s">
        <v>67478</v>
      </c>
      <c r="C29" s="27">
        <v>230.0</v>
      </c>
      <c r="D29" s="28" t="s">
        <v>67479</v>
      </c>
      <c r="E29" s="28" t="s">
        <v>67480</v>
      </c>
      <c r="F29" s="27">
        <v>685.0</v>
      </c>
      <c r="G29" s="27">
        <v>2.30276859E8</v>
      </c>
    </row>
    <row r="30" ht="12.75" customHeight="1">
      <c r="A30" s="31">
        <v>230.0</v>
      </c>
      <c r="B30" s="32" t="s">
        <v>67481</v>
      </c>
      <c r="C30" s="31">
        <v>230.0</v>
      </c>
      <c r="D30" s="32" t="s">
        <v>67482</v>
      </c>
      <c r="E30" s="32" t="s">
        <v>67483</v>
      </c>
      <c r="F30" s="33">
        <v>52.0</v>
      </c>
      <c r="G30" s="31">
        <v>2.30300525E8</v>
      </c>
    </row>
    <row r="31" ht="12.75" customHeight="1">
      <c r="A31" s="27">
        <v>836.0</v>
      </c>
      <c r="B31" s="28" t="s">
        <v>67484</v>
      </c>
      <c r="C31" s="27">
        <v>230.0</v>
      </c>
      <c r="D31" s="28" t="s">
        <v>67485</v>
      </c>
      <c r="E31" s="28" t="s">
        <v>67486</v>
      </c>
      <c r="F31" s="29">
        <v>61.0</v>
      </c>
      <c r="G31" s="27">
        <v>2.30360615E8</v>
      </c>
    </row>
    <row r="32" ht="12.75" customHeight="1">
      <c r="A32" s="31">
        <v>441.0</v>
      </c>
      <c r="B32" s="32" t="s">
        <v>67487</v>
      </c>
      <c r="C32" s="31">
        <v>230.0</v>
      </c>
      <c r="D32" s="32" t="s">
        <v>67488</v>
      </c>
      <c r="E32" s="32" t="s">
        <v>67489</v>
      </c>
      <c r="F32" s="33">
        <v>31.0</v>
      </c>
      <c r="G32" s="31">
        <v>2.3041031E8</v>
      </c>
    </row>
    <row r="33" ht="12.75" customHeight="1">
      <c r="A33" s="27">
        <v>441.0</v>
      </c>
      <c r="B33" s="28" t="s">
        <v>67490</v>
      </c>
      <c r="C33" s="27">
        <v>230.0</v>
      </c>
      <c r="D33" s="28" t="s">
        <v>67491</v>
      </c>
      <c r="E33" s="28" t="s">
        <v>67492</v>
      </c>
      <c r="F33" s="29">
        <v>94.0</v>
      </c>
      <c r="G33" s="27">
        <v>2.30410949E8</v>
      </c>
    </row>
    <row r="34" ht="12.75" customHeight="1">
      <c r="A34" s="31">
        <v>441.0</v>
      </c>
      <c r="B34" s="32" t="s">
        <v>67493</v>
      </c>
      <c r="C34" s="31">
        <v>230.0</v>
      </c>
      <c r="D34" s="32" t="s">
        <v>67494</v>
      </c>
      <c r="E34" s="32" t="s">
        <v>67495</v>
      </c>
      <c r="F34" s="31">
        <v>163.0</v>
      </c>
      <c r="G34" s="31">
        <v>2.3041163E8</v>
      </c>
    </row>
    <row r="35" ht="12.75" customHeight="1">
      <c r="A35" s="27">
        <v>447.0</v>
      </c>
      <c r="B35" s="28" t="s">
        <v>67496</v>
      </c>
      <c r="C35" s="27">
        <v>230.0</v>
      </c>
      <c r="D35" s="28" t="s">
        <v>67497</v>
      </c>
      <c r="E35" s="28" t="s">
        <v>67498</v>
      </c>
      <c r="F35" s="27">
        <v>154.0</v>
      </c>
      <c r="G35" s="27">
        <v>2.30471546E8</v>
      </c>
    </row>
    <row r="36" ht="12.75" customHeight="1">
      <c r="A36" s="31">
        <v>858.0</v>
      </c>
      <c r="B36" s="32" t="s">
        <v>67499</v>
      </c>
      <c r="C36" s="31">
        <v>230.0</v>
      </c>
      <c r="D36" s="32" t="s">
        <v>67500</v>
      </c>
      <c r="E36" s="32" t="s">
        <v>67501</v>
      </c>
      <c r="F36" s="31">
        <v>118.0</v>
      </c>
      <c r="G36" s="31">
        <v>2.30581186E8</v>
      </c>
    </row>
    <row r="37" ht="12.75" customHeight="1">
      <c r="A37" s="27">
        <v>564.0</v>
      </c>
      <c r="B37" s="28" t="s">
        <v>67502</v>
      </c>
      <c r="C37" s="27">
        <v>230.0</v>
      </c>
      <c r="D37" s="28" t="s">
        <v>67503</v>
      </c>
      <c r="E37" s="28" t="s">
        <v>67504</v>
      </c>
      <c r="F37" s="27">
        <v>118.0</v>
      </c>
      <c r="G37" s="27">
        <v>2.30641189E8</v>
      </c>
    </row>
    <row r="38" ht="12.75" customHeight="1">
      <c r="A38" s="31">
        <v>167.0</v>
      </c>
      <c r="B38" s="32" t="s">
        <v>67505</v>
      </c>
      <c r="C38" s="31">
        <v>230.0</v>
      </c>
      <c r="D38" s="32" t="s">
        <v>67506</v>
      </c>
      <c r="E38" s="32" t="s">
        <v>67507</v>
      </c>
      <c r="F38" s="31">
        <v>118.0</v>
      </c>
      <c r="G38" s="31">
        <v>2.30671188E8</v>
      </c>
    </row>
    <row r="39" ht="12.75" customHeight="1">
      <c r="A39" s="27">
        <v>168.0</v>
      </c>
      <c r="B39" s="28" t="s">
        <v>67508</v>
      </c>
      <c r="C39" s="27">
        <v>230.0</v>
      </c>
      <c r="D39" s="28" t="s">
        <v>67509</v>
      </c>
      <c r="E39" s="28" t="s">
        <v>67510</v>
      </c>
      <c r="F39" s="29">
        <v>85.0</v>
      </c>
      <c r="G39" s="27">
        <v>2.30680858E8</v>
      </c>
    </row>
    <row r="40" ht="12.75" customHeight="1">
      <c r="A40" s="31">
        <v>581.0</v>
      </c>
      <c r="B40" s="32" t="s">
        <v>67511</v>
      </c>
      <c r="C40" s="31">
        <v>230.0</v>
      </c>
      <c r="D40" s="32" t="s">
        <v>67512</v>
      </c>
      <c r="E40" s="32" t="s">
        <v>67513</v>
      </c>
      <c r="F40" s="31">
        <v>193.0</v>
      </c>
      <c r="G40" s="31">
        <v>2.30811935E8</v>
      </c>
    </row>
    <row r="41" ht="12.75" customHeight="1">
      <c r="A41" s="27">
        <v>891.0</v>
      </c>
      <c r="B41" s="28" t="s">
        <v>67514</v>
      </c>
      <c r="C41" s="27">
        <v>230.0</v>
      </c>
      <c r="D41" s="28" t="s">
        <v>67515</v>
      </c>
      <c r="E41" s="28" t="s">
        <v>67516</v>
      </c>
      <c r="F41" s="29">
        <v>31.0</v>
      </c>
      <c r="G41" s="27">
        <v>2.30910315E8</v>
      </c>
    </row>
    <row r="42" ht="12.75" customHeight="1">
      <c r="A42" s="31">
        <v>891.0</v>
      </c>
      <c r="B42" s="32" t="s">
        <v>67517</v>
      </c>
      <c r="C42" s="31">
        <v>230.0</v>
      </c>
      <c r="D42" s="32" t="s">
        <v>67518</v>
      </c>
      <c r="E42" s="32" t="s">
        <v>67519</v>
      </c>
      <c r="F42" s="33">
        <v>46.0</v>
      </c>
      <c r="G42" s="31">
        <v>2.30910465E8</v>
      </c>
    </row>
    <row r="43" ht="12.75" customHeight="1">
      <c r="A43" s="27">
        <v>891.0</v>
      </c>
      <c r="B43" s="28" t="s">
        <v>67520</v>
      </c>
      <c r="C43" s="27">
        <v>230.0</v>
      </c>
      <c r="D43" s="28" t="s">
        <v>67521</v>
      </c>
      <c r="E43" s="28" t="s">
        <v>67522</v>
      </c>
      <c r="F43" s="27">
        <v>355.0</v>
      </c>
      <c r="G43" s="27">
        <v>2.30913554E8</v>
      </c>
    </row>
    <row r="44" ht="12.75" customHeight="1">
      <c r="A44" s="31">
        <v>306.0</v>
      </c>
      <c r="B44" s="32" t="s">
        <v>67523</v>
      </c>
      <c r="C44" s="31">
        <v>235.0</v>
      </c>
      <c r="D44" s="32" t="s">
        <v>67524</v>
      </c>
      <c r="E44" s="32" t="s">
        <v>67525</v>
      </c>
      <c r="F44" s="33">
        <v>28.0</v>
      </c>
      <c r="G44" s="31">
        <v>2.35060286E8</v>
      </c>
    </row>
    <row r="45" ht="12.75" customHeight="1">
      <c r="A45" s="27">
        <v>610.0</v>
      </c>
      <c r="B45" s="28" t="s">
        <v>67526</v>
      </c>
      <c r="C45" s="27">
        <v>235.0</v>
      </c>
      <c r="D45" s="28" t="s">
        <v>67527</v>
      </c>
      <c r="E45" s="28" t="s">
        <v>67528</v>
      </c>
      <c r="F45" s="29">
        <v>37.0</v>
      </c>
      <c r="G45" s="27">
        <v>2.35100375E8</v>
      </c>
    </row>
    <row r="46" ht="12.75" customHeight="1">
      <c r="A46" s="31">
        <v>610.0</v>
      </c>
      <c r="B46" s="32" t="s">
        <v>67529</v>
      </c>
      <c r="C46" s="31">
        <v>235.0</v>
      </c>
      <c r="D46" s="32" t="s">
        <v>67530</v>
      </c>
      <c r="E46" s="32" t="s">
        <v>67531</v>
      </c>
      <c r="F46" s="33">
        <v>50.0</v>
      </c>
      <c r="G46" s="31">
        <v>2.35100504E8</v>
      </c>
    </row>
    <row r="47" ht="12.75" customHeight="1">
      <c r="A47" s="27">
        <v>112.0</v>
      </c>
      <c r="B47" s="28" t="s">
        <v>67532</v>
      </c>
      <c r="C47" s="27">
        <v>235.0</v>
      </c>
      <c r="D47" s="28" t="s">
        <v>67533</v>
      </c>
      <c r="E47" s="28" t="s">
        <v>67534</v>
      </c>
      <c r="F47" s="29">
        <v>10.0</v>
      </c>
      <c r="G47" s="27">
        <v>2.351201E8</v>
      </c>
    </row>
    <row r="48" ht="12.75" customHeight="1">
      <c r="A48" s="31">
        <v>112.0</v>
      </c>
      <c r="B48" s="32" t="s">
        <v>67535</v>
      </c>
      <c r="C48" s="31">
        <v>235.0</v>
      </c>
      <c r="D48" s="32" t="s">
        <v>67536</v>
      </c>
      <c r="E48" s="32" t="s">
        <v>67537</v>
      </c>
      <c r="F48" s="33">
        <v>44.0</v>
      </c>
      <c r="G48" s="31">
        <v>2.35120447E8</v>
      </c>
    </row>
    <row r="49" ht="12.75" customHeight="1">
      <c r="A49" s="27">
        <v>215.0</v>
      </c>
      <c r="B49" s="28" t="s">
        <v>67538</v>
      </c>
      <c r="C49" s="27">
        <v>235.0</v>
      </c>
      <c r="D49" s="28" t="s">
        <v>67539</v>
      </c>
      <c r="E49" s="28" t="s">
        <v>67540</v>
      </c>
      <c r="F49" s="29">
        <v>13.0</v>
      </c>
      <c r="G49" s="27">
        <v>2.35150138E8</v>
      </c>
    </row>
    <row r="50" ht="12.75" customHeight="1">
      <c r="A50" s="31">
        <v>215.0</v>
      </c>
      <c r="B50" s="32" t="s">
        <v>67541</v>
      </c>
      <c r="C50" s="31">
        <v>235.0</v>
      </c>
      <c r="D50" s="32" t="s">
        <v>67542</v>
      </c>
      <c r="E50" s="32" t="s">
        <v>67543</v>
      </c>
      <c r="F50" s="31">
        <v>193.0</v>
      </c>
      <c r="G50" s="31">
        <v>2.35151937E8</v>
      </c>
    </row>
    <row r="51" ht="12.75" customHeight="1">
      <c r="A51" s="27">
        <v>215.0</v>
      </c>
      <c r="B51" s="28" t="s">
        <v>67544</v>
      </c>
      <c r="C51" s="27">
        <v>235.0</v>
      </c>
      <c r="D51" s="28" t="s">
        <v>67545</v>
      </c>
      <c r="E51" s="28" t="s">
        <v>67546</v>
      </c>
      <c r="F51" s="27">
        <v>200.0</v>
      </c>
      <c r="G51" s="27">
        <v>2.35152002E8</v>
      </c>
    </row>
    <row r="52" ht="12.75" customHeight="1">
      <c r="A52" s="31">
        <v>215.0</v>
      </c>
      <c r="B52" s="32" t="s">
        <v>67547</v>
      </c>
      <c r="C52" s="31">
        <v>235.0</v>
      </c>
      <c r="D52" s="32" t="s">
        <v>67548</v>
      </c>
      <c r="E52" s="32" t="s">
        <v>67549</v>
      </c>
      <c r="F52" s="31">
        <v>364.0</v>
      </c>
      <c r="G52" s="31">
        <v>2.35153643E8</v>
      </c>
    </row>
    <row r="53" ht="12.75" customHeight="1">
      <c r="A53" s="27">
        <v>215.0</v>
      </c>
      <c r="B53" s="28" t="s">
        <v>67550</v>
      </c>
      <c r="C53" s="27">
        <v>235.0</v>
      </c>
      <c r="D53" s="28" t="s">
        <v>67551</v>
      </c>
      <c r="E53" s="28" t="s">
        <v>67552</v>
      </c>
      <c r="F53" s="27">
        <v>373.0</v>
      </c>
      <c r="G53" s="27">
        <v>2.35153735E8</v>
      </c>
    </row>
    <row r="54" ht="12.75" customHeight="1">
      <c r="A54" s="31">
        <v>215.0</v>
      </c>
      <c r="B54" s="32" t="s">
        <v>67553</v>
      </c>
      <c r="C54" s="31">
        <v>235.0</v>
      </c>
      <c r="D54" s="32" t="s">
        <v>67554</v>
      </c>
      <c r="E54" s="32" t="s">
        <v>67555</v>
      </c>
      <c r="F54" s="31">
        <v>427.0</v>
      </c>
      <c r="G54" s="31">
        <v>2.35154271E8</v>
      </c>
    </row>
    <row r="55" ht="12.75" customHeight="1">
      <c r="A55" s="27">
        <v>215.0</v>
      </c>
      <c r="B55" s="28" t="s">
        <v>67556</v>
      </c>
      <c r="C55" s="27">
        <v>235.0</v>
      </c>
      <c r="D55" s="28" t="s">
        <v>67557</v>
      </c>
      <c r="E55" s="28" t="s">
        <v>67558</v>
      </c>
      <c r="F55" s="27">
        <v>559.0</v>
      </c>
      <c r="G55" s="27">
        <v>2.35155591E8</v>
      </c>
    </row>
    <row r="56" ht="12.75" customHeight="1">
      <c r="A56" s="31">
        <v>215.0</v>
      </c>
      <c r="B56" s="32" t="s">
        <v>67559</v>
      </c>
      <c r="C56" s="31">
        <v>235.0</v>
      </c>
      <c r="D56" s="32" t="s">
        <v>67560</v>
      </c>
      <c r="E56" s="32" t="s">
        <v>67561</v>
      </c>
      <c r="F56" s="31">
        <v>580.0</v>
      </c>
      <c r="G56" s="31">
        <v>2.35155809E8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67562</v>
      </c>
      <c r="C1" s="27">
        <v>235.0</v>
      </c>
      <c r="D1" s="28" t="s">
        <v>67563</v>
      </c>
      <c r="E1" s="28" t="s">
        <v>67564</v>
      </c>
      <c r="F1" s="27">
        <v>592.0</v>
      </c>
      <c r="G1" s="27">
        <v>2.3515592E8</v>
      </c>
    </row>
    <row r="2" ht="12.75" customHeight="1">
      <c r="A2" s="31">
        <v>215.0</v>
      </c>
      <c r="B2" s="32" t="s">
        <v>67565</v>
      </c>
      <c r="C2" s="31">
        <v>235.0</v>
      </c>
      <c r="D2" s="32" t="s">
        <v>67566</v>
      </c>
      <c r="E2" s="32" t="s">
        <v>67567</v>
      </c>
      <c r="F2" s="31">
        <v>724.0</v>
      </c>
      <c r="G2" s="31">
        <v>2.35157249E8</v>
      </c>
    </row>
    <row r="3" ht="12.75" customHeight="1">
      <c r="A3" s="27">
        <v>119.0</v>
      </c>
      <c r="B3" s="28" t="s">
        <v>67568</v>
      </c>
      <c r="C3" s="27">
        <v>235.0</v>
      </c>
      <c r="D3" s="28" t="s">
        <v>67569</v>
      </c>
      <c r="E3" s="28" t="s">
        <v>67570</v>
      </c>
      <c r="F3" s="27">
        <v>115.0</v>
      </c>
      <c r="G3" s="27">
        <v>2.35191155E8</v>
      </c>
    </row>
    <row r="4" ht="12.75" customHeight="1">
      <c r="A4" s="31">
        <v>222.0</v>
      </c>
      <c r="B4" s="32" t="s">
        <v>67571</v>
      </c>
      <c r="C4" s="31">
        <v>235.0</v>
      </c>
      <c r="D4" s="32" t="s">
        <v>67572</v>
      </c>
      <c r="E4" s="32" t="s">
        <v>67573</v>
      </c>
      <c r="F4" s="33">
        <v>25.0</v>
      </c>
      <c r="G4" s="31">
        <v>2.35220255E8</v>
      </c>
    </row>
    <row r="5" ht="12.75" customHeight="1">
      <c r="A5" s="27">
        <v>222.0</v>
      </c>
      <c r="B5" s="28" t="s">
        <v>67574</v>
      </c>
      <c r="C5" s="27">
        <v>235.0</v>
      </c>
      <c r="D5" s="28" t="s">
        <v>67575</v>
      </c>
      <c r="E5" s="28" t="s">
        <v>67576</v>
      </c>
      <c r="F5" s="29">
        <v>26.0</v>
      </c>
      <c r="G5" s="27">
        <v>2.35220268E8</v>
      </c>
    </row>
    <row r="6" ht="12.75" customHeight="1">
      <c r="A6" s="31">
        <v>126.0</v>
      </c>
      <c r="B6" s="32" t="s">
        <v>67577</v>
      </c>
      <c r="C6" s="31">
        <v>235.0</v>
      </c>
      <c r="D6" s="32" t="s">
        <v>67578</v>
      </c>
      <c r="E6" s="32" t="s">
        <v>67579</v>
      </c>
      <c r="F6" s="33">
        <v>11.0</v>
      </c>
      <c r="G6" s="31">
        <v>2.3526011E8</v>
      </c>
    </row>
    <row r="7" ht="12.75" customHeight="1">
      <c r="A7" s="27">
        <v>126.0</v>
      </c>
      <c r="B7" s="28" t="s">
        <v>67580</v>
      </c>
      <c r="C7" s="27">
        <v>235.0</v>
      </c>
      <c r="D7" s="28" t="s">
        <v>67581</v>
      </c>
      <c r="E7" s="28" t="s">
        <v>67582</v>
      </c>
      <c r="F7" s="29">
        <v>15.0</v>
      </c>
      <c r="G7" s="27">
        <v>2.35260152E8</v>
      </c>
    </row>
    <row r="8" ht="12.75" customHeight="1">
      <c r="A8" s="31">
        <v>126.0</v>
      </c>
      <c r="B8" s="32" t="s">
        <v>67583</v>
      </c>
      <c r="C8" s="31">
        <v>235.0</v>
      </c>
      <c r="D8" s="32" t="s">
        <v>67584</v>
      </c>
      <c r="E8" s="32" t="s">
        <v>67585</v>
      </c>
      <c r="F8" s="33">
        <v>20.0</v>
      </c>
      <c r="G8" s="31">
        <v>2.35260202E8</v>
      </c>
    </row>
    <row r="9" ht="12.75" customHeight="1">
      <c r="A9" s="27">
        <v>126.0</v>
      </c>
      <c r="B9" s="28" t="s">
        <v>67586</v>
      </c>
      <c r="C9" s="27">
        <v>235.0</v>
      </c>
      <c r="D9" s="28" t="s">
        <v>67587</v>
      </c>
      <c r="E9" s="28" t="s">
        <v>67588</v>
      </c>
      <c r="F9" s="29">
        <v>22.0</v>
      </c>
      <c r="G9" s="27">
        <v>2.35260228E8</v>
      </c>
    </row>
    <row r="10" ht="12.75" customHeight="1">
      <c r="A10" s="31">
        <v>126.0</v>
      </c>
      <c r="B10" s="32" t="s">
        <v>67589</v>
      </c>
      <c r="C10" s="31">
        <v>235.0</v>
      </c>
      <c r="D10" s="32" t="s">
        <v>67590</v>
      </c>
      <c r="E10" s="32" t="s">
        <v>67591</v>
      </c>
      <c r="F10" s="33">
        <v>30.0</v>
      </c>
      <c r="G10" s="31">
        <v>2.35260307E8</v>
      </c>
    </row>
    <row r="11" ht="12.75" customHeight="1">
      <c r="A11" s="27">
        <v>126.0</v>
      </c>
      <c r="B11" s="28" t="s">
        <v>67592</v>
      </c>
      <c r="C11" s="27">
        <v>235.0</v>
      </c>
      <c r="D11" s="28" t="s">
        <v>67593</v>
      </c>
      <c r="E11" s="28" t="s">
        <v>67594</v>
      </c>
      <c r="F11" s="29">
        <v>43.0</v>
      </c>
      <c r="G11" s="27">
        <v>2.35260431E8</v>
      </c>
    </row>
    <row r="12" ht="12.75" customHeight="1">
      <c r="A12" s="31">
        <v>126.0</v>
      </c>
      <c r="B12" s="32" t="s">
        <v>67595</v>
      </c>
      <c r="C12" s="31">
        <v>235.0</v>
      </c>
      <c r="D12" s="32" t="s">
        <v>67596</v>
      </c>
      <c r="E12" s="32" t="s">
        <v>67597</v>
      </c>
      <c r="F12" s="33">
        <v>44.0</v>
      </c>
      <c r="G12" s="31">
        <v>2.35260444E8</v>
      </c>
    </row>
    <row r="13" ht="12.75" customHeight="1">
      <c r="A13" s="27">
        <v>126.0</v>
      </c>
      <c r="B13" s="28" t="s">
        <v>67598</v>
      </c>
      <c r="C13" s="27">
        <v>235.0</v>
      </c>
      <c r="D13" s="28" t="s">
        <v>67599</v>
      </c>
      <c r="E13" s="28" t="s">
        <v>67600</v>
      </c>
      <c r="F13" s="29">
        <v>50.0</v>
      </c>
      <c r="G13" s="27">
        <v>2.35260507E8</v>
      </c>
    </row>
    <row r="14" ht="12.75" customHeight="1">
      <c r="A14" s="31">
        <v>126.0</v>
      </c>
      <c r="B14" s="32" t="s">
        <v>67601</v>
      </c>
      <c r="C14" s="31">
        <v>235.0</v>
      </c>
      <c r="D14" s="32" t="s">
        <v>67602</v>
      </c>
      <c r="E14" s="32" t="s">
        <v>67603</v>
      </c>
      <c r="F14" s="33">
        <v>52.0</v>
      </c>
      <c r="G14" s="31">
        <v>2.35260523E8</v>
      </c>
    </row>
    <row r="15" ht="12.75" customHeight="1">
      <c r="A15" s="27">
        <v>126.0</v>
      </c>
      <c r="B15" s="28" t="s">
        <v>67604</v>
      </c>
      <c r="C15" s="27">
        <v>235.0</v>
      </c>
      <c r="D15" s="28" t="s">
        <v>67605</v>
      </c>
      <c r="E15" s="28" t="s">
        <v>67606</v>
      </c>
      <c r="F15" s="29">
        <v>55.0</v>
      </c>
      <c r="G15" s="27">
        <v>2.35260552E8</v>
      </c>
    </row>
    <row r="16" ht="12.75" customHeight="1">
      <c r="A16" s="31">
        <v>126.0</v>
      </c>
      <c r="B16" s="32" t="s">
        <v>67607</v>
      </c>
      <c r="C16" s="31">
        <v>235.0</v>
      </c>
      <c r="D16" s="32" t="s">
        <v>67608</v>
      </c>
      <c r="E16" s="32" t="s">
        <v>67609</v>
      </c>
      <c r="F16" s="33">
        <v>86.0</v>
      </c>
      <c r="G16" s="31">
        <v>2.3526086E8</v>
      </c>
    </row>
    <row r="17" ht="12.75" customHeight="1">
      <c r="A17" s="27">
        <v>126.0</v>
      </c>
      <c r="B17" s="28" t="s">
        <v>67610</v>
      </c>
      <c r="C17" s="27">
        <v>235.0</v>
      </c>
      <c r="D17" s="28" t="s">
        <v>67611</v>
      </c>
      <c r="E17" s="28" t="s">
        <v>67612</v>
      </c>
      <c r="F17" s="27">
        <v>118.0</v>
      </c>
      <c r="G17" s="27">
        <v>2.3526118E8</v>
      </c>
    </row>
    <row r="18" ht="12.75" customHeight="1">
      <c r="A18" s="31">
        <v>126.0</v>
      </c>
      <c r="B18" s="32" t="s">
        <v>67613</v>
      </c>
      <c r="C18" s="31">
        <v>235.0</v>
      </c>
      <c r="D18" s="32" t="s">
        <v>67614</v>
      </c>
      <c r="E18" s="32" t="s">
        <v>67615</v>
      </c>
      <c r="F18" s="31">
        <v>133.0</v>
      </c>
      <c r="G18" s="31">
        <v>2.35261335E8</v>
      </c>
    </row>
    <row r="19" ht="12.75" customHeight="1">
      <c r="A19" s="27">
        <v>126.0</v>
      </c>
      <c r="B19" s="28" t="s">
        <v>67616</v>
      </c>
      <c r="C19" s="27">
        <v>235.0</v>
      </c>
      <c r="D19" s="28" t="s">
        <v>67617</v>
      </c>
      <c r="E19" s="28" t="s">
        <v>67618</v>
      </c>
      <c r="F19" s="27">
        <v>172.0</v>
      </c>
      <c r="G19" s="27">
        <v>2.35261722E8</v>
      </c>
    </row>
    <row r="20" ht="12.75" customHeight="1">
      <c r="A20" s="31">
        <v>126.0</v>
      </c>
      <c r="B20" s="32" t="s">
        <v>67619</v>
      </c>
      <c r="C20" s="31">
        <v>235.0</v>
      </c>
      <c r="D20" s="32" t="s">
        <v>67620</v>
      </c>
      <c r="E20" s="32" t="s">
        <v>67621</v>
      </c>
      <c r="F20" s="31">
        <v>177.0</v>
      </c>
      <c r="G20" s="31">
        <v>2.35261777E8</v>
      </c>
    </row>
    <row r="21" ht="12.75" customHeight="1">
      <c r="A21" s="27">
        <v>126.0</v>
      </c>
      <c r="B21" s="28" t="s">
        <v>67622</v>
      </c>
      <c r="C21" s="27">
        <v>235.0</v>
      </c>
      <c r="D21" s="28" t="s">
        <v>67623</v>
      </c>
      <c r="E21" s="28" t="s">
        <v>67624</v>
      </c>
      <c r="F21" s="27">
        <v>192.0</v>
      </c>
      <c r="G21" s="27">
        <v>2.35261922E8</v>
      </c>
    </row>
    <row r="22" ht="12.75" customHeight="1">
      <c r="A22" s="31">
        <v>126.0</v>
      </c>
      <c r="B22" s="32" t="s">
        <v>67625</v>
      </c>
      <c r="C22" s="31">
        <v>235.0</v>
      </c>
      <c r="D22" s="32" t="s">
        <v>67626</v>
      </c>
      <c r="E22" s="32" t="s">
        <v>67627</v>
      </c>
      <c r="F22" s="31">
        <v>253.0</v>
      </c>
      <c r="G22" s="31">
        <v>2.35262534E8</v>
      </c>
    </row>
    <row r="23" ht="12.75" customHeight="1">
      <c r="A23" s="27">
        <v>126.0</v>
      </c>
      <c r="B23" s="28" t="s">
        <v>67628</v>
      </c>
      <c r="C23" s="27">
        <v>235.0</v>
      </c>
      <c r="D23" s="28" t="s">
        <v>67629</v>
      </c>
      <c r="E23" s="28" t="s">
        <v>67630</v>
      </c>
      <c r="F23" s="27">
        <v>254.0</v>
      </c>
      <c r="G23" s="27">
        <v>2.35262547E8</v>
      </c>
    </row>
    <row r="24" ht="12.75" customHeight="1">
      <c r="A24" s="31">
        <v>126.0</v>
      </c>
      <c r="B24" s="32" t="s">
        <v>67631</v>
      </c>
      <c r="C24" s="31">
        <v>235.0</v>
      </c>
      <c r="D24" s="32" t="s">
        <v>67632</v>
      </c>
      <c r="E24" s="32" t="s">
        <v>67633</v>
      </c>
      <c r="F24" s="31">
        <v>307.0</v>
      </c>
      <c r="G24" s="31">
        <v>2.3526307E8</v>
      </c>
    </row>
    <row r="25" ht="12.75" customHeight="1">
      <c r="A25" s="27">
        <v>126.0</v>
      </c>
      <c r="B25" s="28" t="s">
        <v>67634</v>
      </c>
      <c r="C25" s="27">
        <v>235.0</v>
      </c>
      <c r="D25" s="28" t="s">
        <v>67635</v>
      </c>
      <c r="E25" s="28" t="s">
        <v>67636</v>
      </c>
      <c r="F25" s="27">
        <v>310.0</v>
      </c>
      <c r="G25" s="27">
        <v>2.35263104E8</v>
      </c>
    </row>
    <row r="26" ht="12.75" customHeight="1">
      <c r="A26" s="31">
        <v>126.0</v>
      </c>
      <c r="B26" s="32" t="s">
        <v>67637</v>
      </c>
      <c r="C26" s="31">
        <v>235.0</v>
      </c>
      <c r="D26" s="32" t="s">
        <v>67638</v>
      </c>
      <c r="E26" s="32" t="s">
        <v>67639</v>
      </c>
      <c r="F26" s="31">
        <v>325.0</v>
      </c>
      <c r="G26" s="31">
        <v>2.35263254E8</v>
      </c>
    </row>
    <row r="27" ht="12.75" customHeight="1">
      <c r="A27" s="27">
        <v>126.0</v>
      </c>
      <c r="B27" s="28" t="s">
        <v>67640</v>
      </c>
      <c r="C27" s="27">
        <v>235.0</v>
      </c>
      <c r="D27" s="28" t="s">
        <v>67641</v>
      </c>
      <c r="E27" s="28" t="s">
        <v>67642</v>
      </c>
      <c r="F27" s="27">
        <v>329.0</v>
      </c>
      <c r="G27" s="27">
        <v>2.35263296E8</v>
      </c>
    </row>
    <row r="28" ht="12.75" customHeight="1">
      <c r="A28" s="31">
        <v>126.0</v>
      </c>
      <c r="B28" s="32" t="s">
        <v>67643</v>
      </c>
      <c r="C28" s="31">
        <v>235.0</v>
      </c>
      <c r="D28" s="32" t="s">
        <v>67644</v>
      </c>
      <c r="E28" s="32" t="s">
        <v>67645</v>
      </c>
      <c r="F28" s="31">
        <v>352.0</v>
      </c>
      <c r="G28" s="31">
        <v>2.3526352E8</v>
      </c>
    </row>
    <row r="29" ht="12.75" customHeight="1">
      <c r="A29" s="27">
        <v>126.0</v>
      </c>
      <c r="B29" s="28" t="s">
        <v>67646</v>
      </c>
      <c r="C29" s="27">
        <v>235.0</v>
      </c>
      <c r="D29" s="28" t="s">
        <v>67647</v>
      </c>
      <c r="E29" s="28" t="s">
        <v>67648</v>
      </c>
      <c r="F29" s="27">
        <v>358.0</v>
      </c>
      <c r="G29" s="27">
        <v>2.35263588E8</v>
      </c>
    </row>
    <row r="30" ht="12.75" customHeight="1">
      <c r="A30" s="31">
        <v>126.0</v>
      </c>
      <c r="B30" s="32" t="s">
        <v>67649</v>
      </c>
      <c r="C30" s="31">
        <v>235.0</v>
      </c>
      <c r="D30" s="32" t="s">
        <v>67650</v>
      </c>
      <c r="E30" s="32" t="s">
        <v>67651</v>
      </c>
      <c r="F30" s="31">
        <v>361.0</v>
      </c>
      <c r="G30" s="31">
        <v>2.35263612E8</v>
      </c>
    </row>
    <row r="31" ht="12.75" customHeight="1">
      <c r="A31" s="27">
        <v>126.0</v>
      </c>
      <c r="B31" s="28" t="s">
        <v>67652</v>
      </c>
      <c r="C31" s="27">
        <v>235.0</v>
      </c>
      <c r="D31" s="28" t="s">
        <v>67653</v>
      </c>
      <c r="E31" s="28" t="s">
        <v>67654</v>
      </c>
      <c r="F31" s="27">
        <v>400.0</v>
      </c>
      <c r="G31" s="27">
        <v>2.35264008E8</v>
      </c>
    </row>
    <row r="32" ht="12.75" customHeight="1">
      <c r="A32" s="31">
        <v>126.0</v>
      </c>
      <c r="B32" s="32" t="s">
        <v>67655</v>
      </c>
      <c r="C32" s="31">
        <v>235.0</v>
      </c>
      <c r="D32" s="32" t="s">
        <v>67656</v>
      </c>
      <c r="E32" s="32" t="s">
        <v>67657</v>
      </c>
      <c r="F32" s="31">
        <v>402.0</v>
      </c>
      <c r="G32" s="31">
        <v>2.35264024E8</v>
      </c>
    </row>
    <row r="33" ht="12.75" customHeight="1">
      <c r="A33" s="27">
        <v>126.0</v>
      </c>
      <c r="B33" s="28" t="s">
        <v>67658</v>
      </c>
      <c r="C33" s="27">
        <v>235.0</v>
      </c>
      <c r="D33" s="28" t="s">
        <v>67659</v>
      </c>
      <c r="E33" s="28" t="s">
        <v>67660</v>
      </c>
      <c r="F33" s="27">
        <v>409.0</v>
      </c>
      <c r="G33" s="27">
        <v>2.35264095E8</v>
      </c>
    </row>
    <row r="34" ht="12.75" customHeight="1">
      <c r="A34" s="31">
        <v>126.0</v>
      </c>
      <c r="B34" s="32" t="s">
        <v>67661</v>
      </c>
      <c r="C34" s="31">
        <v>235.0</v>
      </c>
      <c r="D34" s="32" t="s">
        <v>67662</v>
      </c>
      <c r="E34" s="32" t="s">
        <v>67663</v>
      </c>
      <c r="F34" s="31">
        <v>412.0</v>
      </c>
      <c r="G34" s="31">
        <v>2.35264129E8</v>
      </c>
    </row>
    <row r="35" ht="12.75" customHeight="1">
      <c r="A35" s="27">
        <v>126.0</v>
      </c>
      <c r="B35" s="28" t="s">
        <v>67664</v>
      </c>
      <c r="C35" s="27">
        <v>235.0</v>
      </c>
      <c r="D35" s="28" t="s">
        <v>67665</v>
      </c>
      <c r="E35" s="28" t="s">
        <v>67666</v>
      </c>
      <c r="F35" s="27">
        <v>430.0</v>
      </c>
      <c r="G35" s="27">
        <v>2.35264303E8</v>
      </c>
    </row>
    <row r="36" ht="12.75" customHeight="1">
      <c r="A36" s="31">
        <v>126.0</v>
      </c>
      <c r="B36" s="32" t="s">
        <v>67667</v>
      </c>
      <c r="C36" s="31">
        <v>235.0</v>
      </c>
      <c r="D36" s="32" t="s">
        <v>67668</v>
      </c>
      <c r="E36" s="32" t="s">
        <v>67669</v>
      </c>
      <c r="F36" s="31">
        <v>463.0</v>
      </c>
      <c r="G36" s="31">
        <v>2.35264637E8</v>
      </c>
    </row>
    <row r="37" ht="12.75" customHeight="1">
      <c r="A37" s="27">
        <v>127.0</v>
      </c>
      <c r="B37" s="28" t="s">
        <v>67670</v>
      </c>
      <c r="C37" s="27">
        <v>235.0</v>
      </c>
      <c r="D37" s="28" t="s">
        <v>67671</v>
      </c>
      <c r="E37" s="28" t="s">
        <v>67672</v>
      </c>
      <c r="F37" s="29">
        <v>0.0</v>
      </c>
      <c r="G37" s="27">
        <v>2.35270005E8</v>
      </c>
    </row>
    <row r="38" ht="12.75" customHeight="1">
      <c r="A38" s="31">
        <v>127.0</v>
      </c>
      <c r="B38" s="32" t="s">
        <v>67673</v>
      </c>
      <c r="C38" s="31">
        <v>235.0</v>
      </c>
      <c r="D38" s="32" t="s">
        <v>67674</v>
      </c>
      <c r="E38" s="32" t="s">
        <v>67675</v>
      </c>
      <c r="F38" s="33">
        <v>34.0</v>
      </c>
      <c r="G38" s="31">
        <v>2.35270342E8</v>
      </c>
    </row>
    <row r="39" ht="12.75" customHeight="1">
      <c r="A39" s="27">
        <v>127.0</v>
      </c>
      <c r="B39" s="28" t="s">
        <v>67676</v>
      </c>
      <c r="C39" s="27">
        <v>235.0</v>
      </c>
      <c r="D39" s="28" t="s">
        <v>67677</v>
      </c>
      <c r="E39" s="28" t="s">
        <v>67678</v>
      </c>
      <c r="F39" s="29">
        <v>83.0</v>
      </c>
      <c r="G39" s="27">
        <v>2.35270834E8</v>
      </c>
    </row>
    <row r="40" ht="12.75" customHeight="1">
      <c r="A40" s="31">
        <v>127.0</v>
      </c>
      <c r="B40" s="32" t="s">
        <v>67679</v>
      </c>
      <c r="C40" s="31">
        <v>235.0</v>
      </c>
      <c r="D40" s="32" t="s">
        <v>67680</v>
      </c>
      <c r="E40" s="32" t="s">
        <v>67681</v>
      </c>
      <c r="F40" s="33">
        <v>88.0</v>
      </c>
      <c r="G40" s="31">
        <v>2.35270889E8</v>
      </c>
    </row>
    <row r="41" ht="12.75" customHeight="1">
      <c r="A41" s="27">
        <v>127.0</v>
      </c>
      <c r="B41" s="28" t="s">
        <v>67682</v>
      </c>
      <c r="C41" s="27">
        <v>235.0</v>
      </c>
      <c r="D41" s="28" t="s">
        <v>67683</v>
      </c>
      <c r="E41" s="28" t="s">
        <v>67684</v>
      </c>
      <c r="F41" s="27">
        <v>144.0</v>
      </c>
      <c r="G41" s="27">
        <v>2.35271446E8</v>
      </c>
    </row>
    <row r="42" ht="12.75" customHeight="1">
      <c r="A42" s="31">
        <v>127.0</v>
      </c>
      <c r="B42" s="32" t="s">
        <v>67685</v>
      </c>
      <c r="C42" s="31">
        <v>235.0</v>
      </c>
      <c r="D42" s="32" t="s">
        <v>67686</v>
      </c>
      <c r="E42" s="32" t="s">
        <v>67687</v>
      </c>
      <c r="F42" s="31">
        <v>190.0</v>
      </c>
      <c r="G42" s="31">
        <v>2.35271909E8</v>
      </c>
    </row>
    <row r="43" ht="12.75" customHeight="1">
      <c r="A43" s="27">
        <v>127.0</v>
      </c>
      <c r="B43" s="28" t="s">
        <v>67688</v>
      </c>
      <c r="C43" s="27">
        <v>235.0</v>
      </c>
      <c r="D43" s="28" t="s">
        <v>67689</v>
      </c>
      <c r="E43" s="28" t="s">
        <v>67690</v>
      </c>
      <c r="F43" s="27">
        <v>193.0</v>
      </c>
      <c r="G43" s="27">
        <v>2.35271938E8</v>
      </c>
    </row>
    <row r="44" ht="12.75" customHeight="1">
      <c r="A44" s="31">
        <v>127.0</v>
      </c>
      <c r="B44" s="32" t="s">
        <v>67691</v>
      </c>
      <c r="C44" s="31">
        <v>235.0</v>
      </c>
      <c r="D44" s="32" t="s">
        <v>67692</v>
      </c>
      <c r="E44" s="32" t="s">
        <v>67693</v>
      </c>
      <c r="F44" s="31">
        <v>270.0</v>
      </c>
      <c r="G44" s="31">
        <v>2.35272708E8</v>
      </c>
    </row>
    <row r="45" ht="12.75" customHeight="1">
      <c r="A45" s="27">
        <v>127.0</v>
      </c>
      <c r="B45" s="28" t="s">
        <v>67694</v>
      </c>
      <c r="C45" s="27">
        <v>235.0</v>
      </c>
      <c r="D45" s="28" t="s">
        <v>67695</v>
      </c>
      <c r="E45" s="28" t="s">
        <v>67696</v>
      </c>
      <c r="F45" s="27">
        <v>280.0</v>
      </c>
      <c r="G45" s="27">
        <v>2.35272803E8</v>
      </c>
    </row>
    <row r="46" ht="12.75" customHeight="1">
      <c r="A46" s="31">
        <v>127.0</v>
      </c>
      <c r="B46" s="32" t="s">
        <v>67697</v>
      </c>
      <c r="C46" s="31">
        <v>235.0</v>
      </c>
      <c r="D46" s="32" t="s">
        <v>67698</v>
      </c>
      <c r="E46" s="32" t="s">
        <v>67699</v>
      </c>
      <c r="F46" s="31">
        <v>337.0</v>
      </c>
      <c r="G46" s="31">
        <v>2.35273378E8</v>
      </c>
    </row>
    <row r="47" ht="12.75" customHeight="1">
      <c r="A47" s="27">
        <v>127.0</v>
      </c>
      <c r="B47" s="28" t="s">
        <v>67700</v>
      </c>
      <c r="C47" s="27">
        <v>235.0</v>
      </c>
      <c r="D47" s="28" t="s">
        <v>67701</v>
      </c>
      <c r="E47" s="28" t="s">
        <v>67702</v>
      </c>
      <c r="F47" s="27">
        <v>340.0</v>
      </c>
      <c r="G47" s="27">
        <v>2.35273402E8</v>
      </c>
    </row>
    <row r="48" ht="12.75" customHeight="1">
      <c r="A48" s="31">
        <v>127.0</v>
      </c>
      <c r="B48" s="32" t="s">
        <v>67703</v>
      </c>
      <c r="C48" s="31">
        <v>235.0</v>
      </c>
      <c r="D48" s="32" t="s">
        <v>67704</v>
      </c>
      <c r="E48" s="32" t="s">
        <v>67705</v>
      </c>
      <c r="F48" s="31">
        <v>365.0</v>
      </c>
      <c r="G48" s="31">
        <v>2.35273657E8</v>
      </c>
    </row>
    <row r="49" ht="12.75" customHeight="1">
      <c r="A49" s="27">
        <v>127.0</v>
      </c>
      <c r="B49" s="28" t="s">
        <v>67706</v>
      </c>
      <c r="C49" s="27">
        <v>235.0</v>
      </c>
      <c r="D49" s="28" t="s">
        <v>67707</v>
      </c>
      <c r="E49" s="28" t="s">
        <v>67708</v>
      </c>
      <c r="F49" s="27">
        <v>395.0</v>
      </c>
      <c r="G49" s="27">
        <v>2.35273952E8</v>
      </c>
    </row>
    <row r="50" ht="12.75" customHeight="1">
      <c r="A50" s="31">
        <v>127.0</v>
      </c>
      <c r="B50" s="32" t="s">
        <v>67709</v>
      </c>
      <c r="C50" s="31">
        <v>235.0</v>
      </c>
      <c r="D50" s="32" t="s">
        <v>67710</v>
      </c>
      <c r="E50" s="32" t="s">
        <v>67711</v>
      </c>
      <c r="F50" s="31">
        <v>400.0</v>
      </c>
      <c r="G50" s="31">
        <v>2.35274001E8</v>
      </c>
    </row>
    <row r="51" ht="12.75" customHeight="1">
      <c r="A51" s="27">
        <v>127.0</v>
      </c>
      <c r="B51" s="28" t="s">
        <v>67712</v>
      </c>
      <c r="C51" s="27">
        <v>235.0</v>
      </c>
      <c r="D51" s="28" t="s">
        <v>67713</v>
      </c>
      <c r="E51" s="28" t="s">
        <v>67714</v>
      </c>
      <c r="F51" s="27">
        <v>424.0</v>
      </c>
      <c r="G51" s="27">
        <v>2.35274243E8</v>
      </c>
    </row>
    <row r="52" ht="12.75" customHeight="1">
      <c r="A52" s="31">
        <v>127.0</v>
      </c>
      <c r="B52" s="32" t="s">
        <v>67715</v>
      </c>
      <c r="C52" s="31">
        <v>235.0</v>
      </c>
      <c r="D52" s="32" t="s">
        <v>67716</v>
      </c>
      <c r="E52" s="32" t="s">
        <v>67717</v>
      </c>
      <c r="F52" s="31">
        <v>472.0</v>
      </c>
      <c r="G52" s="31">
        <v>2.35274722E8</v>
      </c>
    </row>
    <row r="53" ht="12.75" customHeight="1">
      <c r="A53" s="27">
        <v>127.0</v>
      </c>
      <c r="B53" s="28" t="s">
        <v>67718</v>
      </c>
      <c r="C53" s="27">
        <v>235.0</v>
      </c>
      <c r="D53" s="28" t="s">
        <v>67719</v>
      </c>
      <c r="E53" s="28" t="s">
        <v>67720</v>
      </c>
      <c r="F53" s="27">
        <v>574.0</v>
      </c>
      <c r="G53" s="27">
        <v>2.35275747E8</v>
      </c>
    </row>
    <row r="54" ht="12.75" customHeight="1">
      <c r="A54" s="31">
        <v>127.0</v>
      </c>
      <c r="B54" s="32" t="s">
        <v>67721</v>
      </c>
      <c r="C54" s="31">
        <v>235.0</v>
      </c>
      <c r="D54" s="32" t="s">
        <v>67722</v>
      </c>
      <c r="E54" s="32" t="s">
        <v>67723</v>
      </c>
      <c r="F54" s="31">
        <v>709.0</v>
      </c>
      <c r="G54" s="31">
        <v>2.35277095E8</v>
      </c>
    </row>
    <row r="55" ht="12.75" customHeight="1">
      <c r="A55" s="27">
        <v>329.0</v>
      </c>
      <c r="B55" s="28" t="s">
        <v>67724</v>
      </c>
      <c r="C55" s="27">
        <v>235.0</v>
      </c>
      <c r="D55" s="28" t="s">
        <v>67725</v>
      </c>
      <c r="E55" s="28" t="s">
        <v>67726</v>
      </c>
      <c r="F55" s="29">
        <v>52.0</v>
      </c>
      <c r="G55" s="27">
        <v>2.35290522E8</v>
      </c>
    </row>
    <row r="56" ht="12.75" customHeight="1">
      <c r="A56" s="31">
        <v>230.0</v>
      </c>
      <c r="B56" s="32" t="s">
        <v>67727</v>
      </c>
      <c r="C56" s="31">
        <v>235.0</v>
      </c>
      <c r="D56" s="32" t="s">
        <v>67728</v>
      </c>
      <c r="E56" s="32" t="s">
        <v>67729</v>
      </c>
      <c r="F56" s="33">
        <v>52.0</v>
      </c>
      <c r="G56" s="31">
        <v>2.3530052E8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133.0</v>
      </c>
      <c r="B1" s="28" t="s">
        <v>67730</v>
      </c>
      <c r="C1" s="27">
        <v>235.0</v>
      </c>
      <c r="D1" s="28" t="s">
        <v>67731</v>
      </c>
      <c r="E1" s="28" t="s">
        <v>67732</v>
      </c>
      <c r="F1" s="29">
        <v>22.0</v>
      </c>
      <c r="G1" s="27">
        <v>2.35330224E8</v>
      </c>
    </row>
    <row r="2" ht="12.75" customHeight="1">
      <c r="A2" s="31">
        <v>133.0</v>
      </c>
      <c r="B2" s="32" t="s">
        <v>67733</v>
      </c>
      <c r="C2" s="31">
        <v>235.0</v>
      </c>
      <c r="D2" s="32" t="s">
        <v>67734</v>
      </c>
      <c r="E2" s="32" t="s">
        <v>67735</v>
      </c>
      <c r="F2" s="33">
        <v>73.0</v>
      </c>
      <c r="G2" s="31">
        <v>2.35330732E8</v>
      </c>
    </row>
    <row r="3" ht="12.75" customHeight="1">
      <c r="A3" s="27">
        <v>133.0</v>
      </c>
      <c r="B3" s="28" t="s">
        <v>67736</v>
      </c>
      <c r="C3" s="27">
        <v>235.0</v>
      </c>
      <c r="D3" s="28" t="s">
        <v>67737</v>
      </c>
      <c r="E3" s="28" t="s">
        <v>67738</v>
      </c>
      <c r="F3" s="29">
        <v>88.0</v>
      </c>
      <c r="G3" s="27">
        <v>2.35330882E8</v>
      </c>
    </row>
    <row r="4" ht="12.75" customHeight="1">
      <c r="A4" s="31">
        <v>133.0</v>
      </c>
      <c r="B4" s="32" t="s">
        <v>67739</v>
      </c>
      <c r="C4" s="31">
        <v>235.0</v>
      </c>
      <c r="D4" s="32" t="s">
        <v>67740</v>
      </c>
      <c r="E4" s="32" t="s">
        <v>67741</v>
      </c>
      <c r="F4" s="33">
        <v>94.0</v>
      </c>
      <c r="G4" s="31">
        <v>2.35330945E8</v>
      </c>
    </row>
    <row r="5" ht="12.75" customHeight="1">
      <c r="A5" s="27">
        <v>133.0</v>
      </c>
      <c r="B5" s="28" t="s">
        <v>67742</v>
      </c>
      <c r="C5" s="27">
        <v>235.0</v>
      </c>
      <c r="D5" s="28" t="s">
        <v>67743</v>
      </c>
      <c r="E5" s="28" t="s">
        <v>67744</v>
      </c>
      <c r="F5" s="27">
        <v>100.0</v>
      </c>
      <c r="G5" s="27">
        <v>2.35331007E8</v>
      </c>
    </row>
    <row r="6" ht="12.75" customHeight="1">
      <c r="A6" s="31">
        <v>133.0</v>
      </c>
      <c r="B6" s="32" t="s">
        <v>67745</v>
      </c>
      <c r="C6" s="31">
        <v>235.0</v>
      </c>
      <c r="D6" s="32" t="s">
        <v>67746</v>
      </c>
      <c r="E6" s="32" t="s">
        <v>67747</v>
      </c>
      <c r="F6" s="31">
        <v>163.0</v>
      </c>
      <c r="G6" s="31">
        <v>2.35331636E8</v>
      </c>
    </row>
    <row r="7" ht="12.75" customHeight="1">
      <c r="A7" s="27">
        <v>435.0</v>
      </c>
      <c r="B7" s="28" t="s">
        <v>67748</v>
      </c>
      <c r="C7" s="27">
        <v>235.0</v>
      </c>
      <c r="D7" s="28" t="s">
        <v>67749</v>
      </c>
      <c r="E7" s="28" t="s">
        <v>67750</v>
      </c>
      <c r="F7" s="27">
        <v>109.0</v>
      </c>
      <c r="G7" s="27">
        <v>2.3535109E8</v>
      </c>
    </row>
    <row r="8" ht="12.75" customHeight="1">
      <c r="A8" s="31">
        <v>441.0</v>
      </c>
      <c r="B8" s="32" t="s">
        <v>67751</v>
      </c>
      <c r="C8" s="31">
        <v>235.0</v>
      </c>
      <c r="D8" s="32" t="s">
        <v>67752</v>
      </c>
      <c r="E8" s="32" t="s">
        <v>67753</v>
      </c>
      <c r="F8" s="33">
        <v>94.0</v>
      </c>
      <c r="G8" s="31">
        <v>2.35410944E8</v>
      </c>
    </row>
    <row r="9" ht="12.75" customHeight="1">
      <c r="A9" s="27">
        <v>447.0</v>
      </c>
      <c r="B9" s="28" t="s">
        <v>67754</v>
      </c>
      <c r="C9" s="27">
        <v>235.0</v>
      </c>
      <c r="D9" s="28" t="s">
        <v>67755</v>
      </c>
      <c r="E9" s="28" t="s">
        <v>67756</v>
      </c>
      <c r="F9" s="27">
        <v>154.0</v>
      </c>
      <c r="G9" s="27">
        <v>2.35471541E8</v>
      </c>
    </row>
    <row r="10" ht="12.75" customHeight="1">
      <c r="A10" s="31">
        <v>148.0</v>
      </c>
      <c r="B10" s="32" t="s">
        <v>67757</v>
      </c>
      <c r="C10" s="31">
        <v>235.0</v>
      </c>
      <c r="D10" s="32" t="s">
        <v>67758</v>
      </c>
      <c r="E10" s="32" t="s">
        <v>67759</v>
      </c>
      <c r="F10" s="33">
        <v>12.0</v>
      </c>
      <c r="G10" s="31">
        <v>2.35480129E8</v>
      </c>
    </row>
    <row r="11" ht="12.75" customHeight="1">
      <c r="A11" s="27">
        <v>148.0</v>
      </c>
      <c r="B11" s="28" t="s">
        <v>67760</v>
      </c>
      <c r="C11" s="27">
        <v>235.0</v>
      </c>
      <c r="D11" s="28" t="s">
        <v>67761</v>
      </c>
      <c r="E11" s="28" t="s">
        <v>67762</v>
      </c>
      <c r="F11" s="29">
        <v>22.0</v>
      </c>
      <c r="G11" s="27">
        <v>2.35480224E8</v>
      </c>
    </row>
    <row r="12" ht="12.75" customHeight="1">
      <c r="A12" s="31">
        <v>858.0</v>
      </c>
      <c r="B12" s="32" t="s">
        <v>67763</v>
      </c>
      <c r="C12" s="31">
        <v>235.0</v>
      </c>
      <c r="D12" s="32" t="s">
        <v>67764</v>
      </c>
      <c r="E12" s="32" t="s">
        <v>67765</v>
      </c>
      <c r="F12" s="31">
        <v>118.0</v>
      </c>
      <c r="G12" s="31">
        <v>2.35581181E8</v>
      </c>
    </row>
    <row r="13" ht="12.75" customHeight="1">
      <c r="A13" s="27">
        <v>159.0</v>
      </c>
      <c r="B13" s="28" t="s">
        <v>67766</v>
      </c>
      <c r="C13" s="27">
        <v>235.0</v>
      </c>
      <c r="D13" s="28" t="s">
        <v>67767</v>
      </c>
      <c r="E13" s="28" t="s">
        <v>67768</v>
      </c>
      <c r="F13" s="27">
        <v>103.0</v>
      </c>
      <c r="G13" s="27">
        <v>2.35591034E8</v>
      </c>
    </row>
    <row r="14" ht="12.75" customHeight="1">
      <c r="A14" s="31">
        <v>161.0</v>
      </c>
      <c r="B14" s="32" t="s">
        <v>67769</v>
      </c>
      <c r="C14" s="31">
        <v>235.0</v>
      </c>
      <c r="D14" s="32" t="s">
        <v>67770</v>
      </c>
      <c r="E14" s="32" t="s">
        <v>67771</v>
      </c>
      <c r="F14" s="33">
        <v>31.0</v>
      </c>
      <c r="G14" s="31">
        <v>2.35610315E8</v>
      </c>
    </row>
    <row r="15" ht="12.75" customHeight="1">
      <c r="A15" s="27">
        <v>161.0</v>
      </c>
      <c r="B15" s="28" t="s">
        <v>67772</v>
      </c>
      <c r="C15" s="27">
        <v>235.0</v>
      </c>
      <c r="D15" s="28" t="s">
        <v>67773</v>
      </c>
      <c r="E15" s="28" t="s">
        <v>67774</v>
      </c>
      <c r="F15" s="27">
        <v>175.0</v>
      </c>
      <c r="G15" s="27">
        <v>2.35611756E8</v>
      </c>
    </row>
    <row r="16" ht="12.75" customHeight="1">
      <c r="A16" s="31">
        <v>161.0</v>
      </c>
      <c r="B16" s="32" t="s">
        <v>67775</v>
      </c>
      <c r="C16" s="31">
        <v>235.0</v>
      </c>
      <c r="D16" s="32" t="s">
        <v>67776</v>
      </c>
      <c r="E16" s="32" t="s">
        <v>67777</v>
      </c>
      <c r="F16" s="31">
        <v>211.0</v>
      </c>
      <c r="G16" s="31">
        <v>2.35612113E8</v>
      </c>
    </row>
    <row r="17" ht="12.75" customHeight="1">
      <c r="A17" s="27">
        <v>564.0</v>
      </c>
      <c r="B17" s="28" t="s">
        <v>67778</v>
      </c>
      <c r="C17" s="27">
        <v>235.0</v>
      </c>
      <c r="D17" s="28" t="s">
        <v>67779</v>
      </c>
      <c r="E17" s="28" t="s">
        <v>67780</v>
      </c>
      <c r="F17" s="27">
        <v>118.0</v>
      </c>
      <c r="G17" s="27">
        <v>2.35641184E8</v>
      </c>
    </row>
    <row r="18" ht="12.75" customHeight="1">
      <c r="A18" s="31">
        <v>167.0</v>
      </c>
      <c r="B18" s="32" t="s">
        <v>67781</v>
      </c>
      <c r="C18" s="31">
        <v>235.0</v>
      </c>
      <c r="D18" s="32" t="s">
        <v>67782</v>
      </c>
      <c r="E18" s="32" t="s">
        <v>67783</v>
      </c>
      <c r="F18" s="33">
        <v>9.0</v>
      </c>
      <c r="G18" s="31">
        <v>2.35670092E8</v>
      </c>
    </row>
    <row r="19" ht="12.75" customHeight="1">
      <c r="A19" s="27">
        <v>167.0</v>
      </c>
      <c r="B19" s="28" t="s">
        <v>67784</v>
      </c>
      <c r="C19" s="27">
        <v>235.0</v>
      </c>
      <c r="D19" s="28" t="s">
        <v>67785</v>
      </c>
      <c r="E19" s="28" t="s">
        <v>67786</v>
      </c>
      <c r="F19" s="29">
        <v>22.0</v>
      </c>
      <c r="G19" s="27">
        <v>2.35670221E8</v>
      </c>
    </row>
    <row r="20" ht="12.75" customHeight="1">
      <c r="A20" s="31">
        <v>167.0</v>
      </c>
      <c r="B20" s="32" t="s">
        <v>67787</v>
      </c>
      <c r="C20" s="31">
        <v>235.0</v>
      </c>
      <c r="D20" s="32" t="s">
        <v>67788</v>
      </c>
      <c r="E20" s="32" t="s">
        <v>67789</v>
      </c>
      <c r="F20" s="33">
        <v>97.0</v>
      </c>
      <c r="G20" s="31">
        <v>2.35670971E8</v>
      </c>
    </row>
    <row r="21" ht="12.75" customHeight="1">
      <c r="A21" s="27">
        <v>167.0</v>
      </c>
      <c r="B21" s="28" t="s">
        <v>67790</v>
      </c>
      <c r="C21" s="27">
        <v>235.0</v>
      </c>
      <c r="D21" s="28" t="s">
        <v>67791</v>
      </c>
      <c r="E21" s="28" t="s">
        <v>67792</v>
      </c>
      <c r="F21" s="27">
        <v>100.0</v>
      </c>
      <c r="G21" s="27">
        <v>2.35671004E8</v>
      </c>
    </row>
    <row r="22" ht="12.75" customHeight="1">
      <c r="A22" s="31">
        <v>167.0</v>
      </c>
      <c r="B22" s="32" t="s">
        <v>67793</v>
      </c>
      <c r="C22" s="31">
        <v>235.0</v>
      </c>
      <c r="D22" s="32" t="s">
        <v>67794</v>
      </c>
      <c r="E22" s="32" t="s">
        <v>67795</v>
      </c>
      <c r="F22" s="31">
        <v>118.0</v>
      </c>
      <c r="G22" s="31">
        <v>2.35671183E8</v>
      </c>
    </row>
    <row r="23" ht="12.75" customHeight="1">
      <c r="A23" s="27">
        <v>167.0</v>
      </c>
      <c r="B23" s="28" t="s">
        <v>67796</v>
      </c>
      <c r="C23" s="27">
        <v>235.0</v>
      </c>
      <c r="D23" s="28" t="s">
        <v>67797</v>
      </c>
      <c r="E23" s="28" t="s">
        <v>67798</v>
      </c>
      <c r="F23" s="27">
        <v>130.0</v>
      </c>
      <c r="G23" s="27">
        <v>2.35671309E8</v>
      </c>
    </row>
    <row r="24" ht="12.75" customHeight="1">
      <c r="A24" s="31">
        <v>168.0</v>
      </c>
      <c r="B24" s="32" t="s">
        <v>67799</v>
      </c>
      <c r="C24" s="31">
        <v>235.0</v>
      </c>
      <c r="D24" s="32" t="s">
        <v>67800</v>
      </c>
      <c r="E24" s="32" t="s">
        <v>67801</v>
      </c>
      <c r="F24" s="33">
        <v>43.0</v>
      </c>
      <c r="G24" s="31">
        <v>2.35680437E8</v>
      </c>
    </row>
    <row r="25" ht="12.75" customHeight="1">
      <c r="A25" s="27">
        <v>168.0</v>
      </c>
      <c r="B25" s="28" t="s">
        <v>67802</v>
      </c>
      <c r="C25" s="27">
        <v>235.0</v>
      </c>
      <c r="D25" s="28" t="s">
        <v>67803</v>
      </c>
      <c r="E25" s="28" t="s">
        <v>67804</v>
      </c>
      <c r="F25" s="29">
        <v>67.0</v>
      </c>
      <c r="G25" s="27">
        <v>2.35680679E8</v>
      </c>
    </row>
    <row r="26" ht="12.75" customHeight="1">
      <c r="A26" s="31">
        <v>168.0</v>
      </c>
      <c r="B26" s="32" t="s">
        <v>67805</v>
      </c>
      <c r="C26" s="31">
        <v>235.0</v>
      </c>
      <c r="D26" s="32" t="s">
        <v>67806</v>
      </c>
      <c r="E26" s="32" t="s">
        <v>67807</v>
      </c>
      <c r="F26" s="33">
        <v>85.0</v>
      </c>
      <c r="G26" s="31">
        <v>2.35680853E8</v>
      </c>
    </row>
    <row r="27" ht="12.75" customHeight="1">
      <c r="A27" s="27">
        <v>570.0</v>
      </c>
      <c r="B27" s="28" t="s">
        <v>67808</v>
      </c>
      <c r="C27" s="27">
        <v>235.0</v>
      </c>
      <c r="D27" s="28" t="s">
        <v>67809</v>
      </c>
      <c r="E27" s="28" t="s">
        <v>67810</v>
      </c>
      <c r="F27" s="29">
        <v>25.0</v>
      </c>
      <c r="G27" s="27">
        <v>2.35700254E8</v>
      </c>
    </row>
    <row r="28" ht="12.75" customHeight="1">
      <c r="A28" s="31">
        <v>275.0</v>
      </c>
      <c r="B28" s="32" t="s">
        <v>67811</v>
      </c>
      <c r="C28" s="31">
        <v>235.0</v>
      </c>
      <c r="D28" s="32" t="s">
        <v>67812</v>
      </c>
      <c r="E28" s="32" t="s">
        <v>67813</v>
      </c>
      <c r="F28" s="33">
        <v>36.0</v>
      </c>
      <c r="G28" s="31">
        <v>2.35750367E8</v>
      </c>
    </row>
    <row r="29" ht="12.75" customHeight="1">
      <c r="A29" s="27">
        <v>378.0</v>
      </c>
      <c r="B29" s="28" t="s">
        <v>67814</v>
      </c>
      <c r="C29" s="27">
        <v>235.0</v>
      </c>
      <c r="D29" s="28" t="s">
        <v>67815</v>
      </c>
      <c r="E29" s="28" t="s">
        <v>67816</v>
      </c>
      <c r="F29" s="29">
        <v>52.0</v>
      </c>
      <c r="G29" s="27">
        <v>2.35780524E8</v>
      </c>
    </row>
    <row r="30" ht="12.75" customHeight="1">
      <c r="A30" s="31">
        <v>581.0</v>
      </c>
      <c r="B30" s="32" t="s">
        <v>67817</v>
      </c>
      <c r="C30" s="31">
        <v>235.0</v>
      </c>
      <c r="D30" s="32" t="s">
        <v>67818</v>
      </c>
      <c r="E30" s="32" t="s">
        <v>67819</v>
      </c>
      <c r="F30" s="31">
        <v>193.0</v>
      </c>
      <c r="G30" s="31">
        <v>2.3581193E8</v>
      </c>
    </row>
    <row r="31" ht="12.75" customHeight="1">
      <c r="A31" s="27">
        <v>785.0</v>
      </c>
      <c r="B31" s="28" t="s">
        <v>67820</v>
      </c>
      <c r="C31" s="27">
        <v>235.0</v>
      </c>
      <c r="D31" s="28" t="s">
        <v>67821</v>
      </c>
      <c r="E31" s="28" t="s">
        <v>67822</v>
      </c>
      <c r="F31" s="27">
        <v>145.0</v>
      </c>
      <c r="G31" s="27">
        <v>2.35851453E8</v>
      </c>
    </row>
    <row r="32" ht="12.75" customHeight="1">
      <c r="A32" s="31">
        <v>688.0</v>
      </c>
      <c r="B32" s="32" t="s">
        <v>67823</v>
      </c>
      <c r="C32" s="31">
        <v>235.0</v>
      </c>
      <c r="D32" s="32" t="s">
        <v>67824</v>
      </c>
      <c r="E32" s="32" t="s">
        <v>67825</v>
      </c>
      <c r="F32" s="33">
        <v>13.0</v>
      </c>
      <c r="G32" s="31">
        <v>2.35880132E8</v>
      </c>
    </row>
    <row r="33" ht="12.75" customHeight="1">
      <c r="A33" s="27">
        <v>688.0</v>
      </c>
      <c r="B33" s="28" t="s">
        <v>67826</v>
      </c>
      <c r="C33" s="27">
        <v>235.0</v>
      </c>
      <c r="D33" s="28" t="s">
        <v>67827</v>
      </c>
      <c r="E33" s="28" t="s">
        <v>67828</v>
      </c>
      <c r="F33" s="27">
        <v>188.0</v>
      </c>
      <c r="G33" s="27">
        <v>2.35881881E8</v>
      </c>
    </row>
    <row r="34" ht="12.75" customHeight="1">
      <c r="A34" s="31">
        <v>891.0</v>
      </c>
      <c r="B34" s="32" t="s">
        <v>67829</v>
      </c>
      <c r="C34" s="31">
        <v>235.0</v>
      </c>
      <c r="D34" s="32" t="s">
        <v>67830</v>
      </c>
      <c r="E34" s="32" t="s">
        <v>67831</v>
      </c>
      <c r="F34" s="33">
        <v>4.0</v>
      </c>
      <c r="G34" s="31">
        <v>2.35910044E8</v>
      </c>
    </row>
    <row r="35" ht="12.75" customHeight="1">
      <c r="A35" s="27">
        <v>891.0</v>
      </c>
      <c r="B35" s="28" t="s">
        <v>67832</v>
      </c>
      <c r="C35" s="27">
        <v>235.0</v>
      </c>
      <c r="D35" s="28" t="s">
        <v>67833</v>
      </c>
      <c r="E35" s="28" t="s">
        <v>67834</v>
      </c>
      <c r="F35" s="27">
        <v>376.0</v>
      </c>
      <c r="G35" s="27">
        <v>2.35913762E8</v>
      </c>
    </row>
    <row r="36" ht="12.75" customHeight="1">
      <c r="A36" s="31">
        <v>193.0</v>
      </c>
      <c r="B36" s="32" t="s">
        <v>67835</v>
      </c>
      <c r="C36" s="31">
        <v>235.0</v>
      </c>
      <c r="D36" s="32" t="s">
        <v>67836</v>
      </c>
      <c r="E36" s="32" t="s">
        <v>67837</v>
      </c>
      <c r="F36" s="33">
        <v>82.0</v>
      </c>
      <c r="G36" s="31">
        <v>2.35930824E8</v>
      </c>
    </row>
    <row r="37" ht="12.75" customHeight="1">
      <c r="A37" s="27">
        <v>193.0</v>
      </c>
      <c r="B37" s="28" t="s">
        <v>67838</v>
      </c>
      <c r="C37" s="27">
        <v>235.0</v>
      </c>
      <c r="D37" s="28" t="s">
        <v>67839</v>
      </c>
      <c r="E37" s="28" t="s">
        <v>67840</v>
      </c>
      <c r="F37" s="27">
        <v>229.0</v>
      </c>
      <c r="G37" s="27">
        <v>2.35932293E8</v>
      </c>
    </row>
    <row r="38" ht="12.75" customHeight="1">
      <c r="A38" s="31">
        <v>401.0</v>
      </c>
      <c r="B38" s="32" t="s">
        <v>67841</v>
      </c>
      <c r="C38" s="31">
        <v>240.0</v>
      </c>
      <c r="D38" s="32" t="s">
        <v>67842</v>
      </c>
      <c r="E38" s="32" t="s">
        <v>67843</v>
      </c>
      <c r="F38" s="33">
        <v>7.0</v>
      </c>
      <c r="G38" s="31">
        <v>2.40010076E8</v>
      </c>
    </row>
    <row r="39" ht="12.75" customHeight="1">
      <c r="A39" s="27">
        <v>401.0</v>
      </c>
      <c r="B39" s="28" t="s">
        <v>67844</v>
      </c>
      <c r="C39" s="27">
        <v>240.0</v>
      </c>
      <c r="D39" s="28" t="s">
        <v>67845</v>
      </c>
      <c r="E39" s="28" t="s">
        <v>67846</v>
      </c>
      <c r="F39" s="29">
        <v>94.0</v>
      </c>
      <c r="G39" s="27">
        <v>2.40010942E8</v>
      </c>
    </row>
    <row r="40" ht="12.75" customHeight="1">
      <c r="A40" s="31">
        <v>203.0</v>
      </c>
      <c r="B40" s="32" t="s">
        <v>67847</v>
      </c>
      <c r="C40" s="31">
        <v>240.0</v>
      </c>
      <c r="D40" s="32" t="s">
        <v>67848</v>
      </c>
      <c r="E40" s="32" t="s">
        <v>67849</v>
      </c>
      <c r="F40" s="33">
        <v>13.0</v>
      </c>
      <c r="G40" s="31">
        <v>2.40030135E8</v>
      </c>
    </row>
    <row r="41" ht="12.75" customHeight="1">
      <c r="A41" s="27">
        <v>306.0</v>
      </c>
      <c r="B41" s="28" t="s">
        <v>67850</v>
      </c>
      <c r="C41" s="27">
        <v>240.0</v>
      </c>
      <c r="D41" s="28" t="s">
        <v>67851</v>
      </c>
      <c r="E41" s="28" t="s">
        <v>67852</v>
      </c>
      <c r="F41" s="29">
        <v>28.0</v>
      </c>
      <c r="G41" s="27">
        <v>2.40060284E8</v>
      </c>
    </row>
    <row r="42" ht="12.75" customHeight="1">
      <c r="A42" s="31">
        <v>610.0</v>
      </c>
      <c r="B42" s="32" t="s">
        <v>67853</v>
      </c>
      <c r="C42" s="31">
        <v>240.0</v>
      </c>
      <c r="D42" s="32" t="s">
        <v>67854</v>
      </c>
      <c r="E42" s="32" t="s">
        <v>67855</v>
      </c>
      <c r="F42" s="33">
        <v>43.0</v>
      </c>
      <c r="G42" s="31">
        <v>2.40100436E8</v>
      </c>
    </row>
    <row r="43" ht="12.75" customHeight="1">
      <c r="A43" s="27">
        <v>610.0</v>
      </c>
      <c r="B43" s="28" t="s">
        <v>67856</v>
      </c>
      <c r="C43" s="27">
        <v>240.0</v>
      </c>
      <c r="D43" s="28" t="s">
        <v>67857</v>
      </c>
      <c r="E43" s="28" t="s">
        <v>67858</v>
      </c>
      <c r="F43" s="27">
        <v>274.0</v>
      </c>
      <c r="G43" s="27">
        <v>2.40102742E8</v>
      </c>
    </row>
    <row r="44" ht="12.75" customHeight="1">
      <c r="A44" s="31">
        <v>112.0</v>
      </c>
      <c r="B44" s="32" t="s">
        <v>67859</v>
      </c>
      <c r="C44" s="31">
        <v>240.0</v>
      </c>
      <c r="D44" s="32" t="s">
        <v>67860</v>
      </c>
      <c r="E44" s="32" t="s">
        <v>67861</v>
      </c>
      <c r="F44" s="33">
        <v>10.0</v>
      </c>
      <c r="G44" s="31">
        <v>2.40120108E8</v>
      </c>
    </row>
    <row r="45" ht="12.75" customHeight="1">
      <c r="A45" s="27">
        <v>113.0</v>
      </c>
      <c r="B45" s="28" t="s">
        <v>67862</v>
      </c>
      <c r="C45" s="27">
        <v>240.0</v>
      </c>
      <c r="D45" s="28" t="s">
        <v>67863</v>
      </c>
      <c r="E45" s="28" t="s">
        <v>67864</v>
      </c>
      <c r="F45" s="29">
        <v>31.0</v>
      </c>
      <c r="G45" s="27">
        <v>2.40130314E8</v>
      </c>
    </row>
    <row r="46" ht="12.75" customHeight="1">
      <c r="A46" s="31">
        <v>215.0</v>
      </c>
      <c r="B46" s="32" t="s">
        <v>67865</v>
      </c>
      <c r="C46" s="31">
        <v>240.0</v>
      </c>
      <c r="D46" s="32" t="s">
        <v>67866</v>
      </c>
      <c r="E46" s="32" t="s">
        <v>67867</v>
      </c>
      <c r="F46" s="33">
        <v>13.0</v>
      </c>
      <c r="G46" s="31">
        <v>2.40150136E8</v>
      </c>
    </row>
    <row r="47" ht="12.75" customHeight="1">
      <c r="A47" s="27">
        <v>215.0</v>
      </c>
      <c r="B47" s="28" t="s">
        <v>67868</v>
      </c>
      <c r="C47" s="27">
        <v>240.0</v>
      </c>
      <c r="D47" s="28" t="s">
        <v>67869</v>
      </c>
      <c r="E47" s="28" t="s">
        <v>67870</v>
      </c>
      <c r="F47" s="29">
        <v>39.0</v>
      </c>
      <c r="G47" s="27">
        <v>2.40150394E8</v>
      </c>
    </row>
    <row r="48" ht="12.75" customHeight="1">
      <c r="A48" s="31">
        <v>215.0</v>
      </c>
      <c r="B48" s="32" t="s">
        <v>67871</v>
      </c>
      <c r="C48" s="31">
        <v>240.0</v>
      </c>
      <c r="D48" s="32" t="s">
        <v>67872</v>
      </c>
      <c r="E48" s="32" t="s">
        <v>67873</v>
      </c>
      <c r="F48" s="33">
        <v>41.0</v>
      </c>
      <c r="G48" s="31">
        <v>2.40150415E8</v>
      </c>
    </row>
    <row r="49" ht="12.75" customHeight="1">
      <c r="A49" s="27">
        <v>215.0</v>
      </c>
      <c r="B49" s="28" t="s">
        <v>67874</v>
      </c>
      <c r="C49" s="27">
        <v>240.0</v>
      </c>
      <c r="D49" s="28" t="s">
        <v>67875</v>
      </c>
      <c r="E49" s="28" t="s">
        <v>67876</v>
      </c>
      <c r="F49" s="27">
        <v>148.0</v>
      </c>
      <c r="G49" s="27">
        <v>2.40151485E8</v>
      </c>
    </row>
    <row r="50" ht="12.75" customHeight="1">
      <c r="A50" s="31">
        <v>215.0</v>
      </c>
      <c r="B50" s="32" t="s">
        <v>67877</v>
      </c>
      <c r="C50" s="31">
        <v>240.0</v>
      </c>
      <c r="D50" s="32" t="s">
        <v>67878</v>
      </c>
      <c r="E50" s="32" t="s">
        <v>67879</v>
      </c>
      <c r="F50" s="31">
        <v>195.0</v>
      </c>
      <c r="G50" s="31">
        <v>2.40151951E8</v>
      </c>
    </row>
    <row r="51" ht="12.75" customHeight="1">
      <c r="A51" s="27">
        <v>215.0</v>
      </c>
      <c r="B51" s="28" t="s">
        <v>67880</v>
      </c>
      <c r="C51" s="27">
        <v>240.0</v>
      </c>
      <c r="D51" s="28" t="s">
        <v>67881</v>
      </c>
      <c r="E51" s="28" t="s">
        <v>67882</v>
      </c>
      <c r="F51" s="27">
        <v>199.0</v>
      </c>
      <c r="G51" s="27">
        <v>2.40151993E8</v>
      </c>
    </row>
    <row r="52" ht="12.75" customHeight="1">
      <c r="A52" s="31">
        <v>215.0</v>
      </c>
      <c r="B52" s="32" t="s">
        <v>67883</v>
      </c>
      <c r="C52" s="31">
        <v>240.0</v>
      </c>
      <c r="D52" s="32" t="s">
        <v>67884</v>
      </c>
      <c r="E52" s="32" t="s">
        <v>67885</v>
      </c>
      <c r="F52" s="31">
        <v>241.0</v>
      </c>
      <c r="G52" s="31">
        <v>2.40152413E8</v>
      </c>
    </row>
    <row r="53" ht="12.75" customHeight="1">
      <c r="A53" s="27">
        <v>215.0</v>
      </c>
      <c r="B53" s="28" t="s">
        <v>67886</v>
      </c>
      <c r="C53" s="27">
        <v>240.0</v>
      </c>
      <c r="D53" s="28" t="s">
        <v>67887</v>
      </c>
      <c r="E53" s="28" t="s">
        <v>67888</v>
      </c>
      <c r="F53" s="27">
        <v>316.0</v>
      </c>
      <c r="G53" s="27">
        <v>2.40153162E8</v>
      </c>
    </row>
    <row r="54" ht="12.75" customHeight="1">
      <c r="A54" s="31">
        <v>215.0</v>
      </c>
      <c r="B54" s="32" t="s">
        <v>67889</v>
      </c>
      <c r="C54" s="31">
        <v>240.0</v>
      </c>
      <c r="D54" s="32" t="s">
        <v>67890</v>
      </c>
      <c r="E54" s="32" t="s">
        <v>67891</v>
      </c>
      <c r="F54" s="31">
        <v>364.0</v>
      </c>
      <c r="G54" s="31">
        <v>2.40153641E8</v>
      </c>
    </row>
    <row r="55" ht="12.75" customHeight="1">
      <c r="A55" s="27">
        <v>215.0</v>
      </c>
      <c r="B55" s="28" t="s">
        <v>67892</v>
      </c>
      <c r="C55" s="27">
        <v>240.0</v>
      </c>
      <c r="D55" s="28" t="s">
        <v>67893</v>
      </c>
      <c r="E55" s="28" t="s">
        <v>67894</v>
      </c>
      <c r="F55" s="27">
        <v>427.0</v>
      </c>
      <c r="G55" s="27">
        <v>2.40154279E8</v>
      </c>
    </row>
    <row r="56" ht="12.75" customHeight="1">
      <c r="A56" s="31">
        <v>215.0</v>
      </c>
      <c r="B56" s="32" t="s">
        <v>67895</v>
      </c>
      <c r="C56" s="31">
        <v>240.0</v>
      </c>
      <c r="D56" s="32" t="s">
        <v>67896</v>
      </c>
      <c r="E56" s="32" t="s">
        <v>67897</v>
      </c>
      <c r="F56" s="31">
        <v>556.0</v>
      </c>
      <c r="G56" s="31">
        <v>2.4015556E8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119.0</v>
      </c>
      <c r="B1" s="28" t="s">
        <v>67898</v>
      </c>
      <c r="C1" s="27">
        <v>240.0</v>
      </c>
      <c r="D1" s="28" t="s">
        <v>67899</v>
      </c>
      <c r="E1" s="28" t="s">
        <v>67900</v>
      </c>
      <c r="F1" s="29">
        <v>18.0</v>
      </c>
      <c r="G1" s="27">
        <v>2.40190183E8</v>
      </c>
    </row>
    <row r="2" ht="12.75" customHeight="1">
      <c r="A2" s="31">
        <v>119.0</v>
      </c>
      <c r="B2" s="32" t="s">
        <v>67901</v>
      </c>
      <c r="C2" s="31">
        <v>240.0</v>
      </c>
      <c r="D2" s="32" t="s">
        <v>67902</v>
      </c>
      <c r="E2" s="32" t="s">
        <v>67903</v>
      </c>
      <c r="F2" s="33">
        <v>26.0</v>
      </c>
      <c r="G2" s="31">
        <v>2.40190262E8</v>
      </c>
    </row>
    <row r="3" ht="12.75" customHeight="1">
      <c r="A3" s="27">
        <v>119.0</v>
      </c>
      <c r="B3" s="28" t="s">
        <v>67904</v>
      </c>
      <c r="C3" s="27">
        <v>240.0</v>
      </c>
      <c r="D3" s="28" t="s">
        <v>67905</v>
      </c>
      <c r="E3" s="28" t="s">
        <v>67906</v>
      </c>
      <c r="F3" s="27">
        <v>115.0</v>
      </c>
      <c r="G3" s="27">
        <v>2.40191153E8</v>
      </c>
    </row>
    <row r="4" ht="12.75" customHeight="1">
      <c r="A4" s="31">
        <v>119.0</v>
      </c>
      <c r="B4" s="32" t="s">
        <v>67907</v>
      </c>
      <c r="C4" s="31">
        <v>240.0</v>
      </c>
      <c r="D4" s="32" t="s">
        <v>67908</v>
      </c>
      <c r="E4" s="32" t="s">
        <v>67909</v>
      </c>
      <c r="F4" s="31">
        <v>121.0</v>
      </c>
      <c r="G4" s="31">
        <v>2.40191216E8</v>
      </c>
    </row>
    <row r="5" ht="12.75" customHeight="1">
      <c r="A5" s="27">
        <v>119.0</v>
      </c>
      <c r="B5" s="28" t="s">
        <v>67910</v>
      </c>
      <c r="C5" s="27">
        <v>240.0</v>
      </c>
      <c r="D5" s="28" t="s">
        <v>67911</v>
      </c>
      <c r="E5" s="28" t="s">
        <v>67912</v>
      </c>
      <c r="F5" s="27">
        <v>142.0</v>
      </c>
      <c r="G5" s="27">
        <v>2.40191429E8</v>
      </c>
    </row>
    <row r="6" ht="12.75" customHeight="1">
      <c r="A6" s="31">
        <v>222.0</v>
      </c>
      <c r="B6" s="32" t="s">
        <v>67913</v>
      </c>
      <c r="C6" s="31">
        <v>240.0</v>
      </c>
      <c r="D6" s="32" t="s">
        <v>67914</v>
      </c>
      <c r="E6" s="32" t="s">
        <v>67915</v>
      </c>
      <c r="F6" s="33">
        <v>25.0</v>
      </c>
      <c r="G6" s="31">
        <v>2.40220253E8</v>
      </c>
    </row>
    <row r="7" ht="12.75" customHeight="1">
      <c r="A7" s="27">
        <v>222.0</v>
      </c>
      <c r="B7" s="28" t="s">
        <v>67916</v>
      </c>
      <c r="C7" s="27">
        <v>240.0</v>
      </c>
      <c r="D7" s="28" t="s">
        <v>67917</v>
      </c>
      <c r="E7" s="28" t="s">
        <v>67918</v>
      </c>
      <c r="F7" s="29">
        <v>85.0</v>
      </c>
      <c r="G7" s="27">
        <v>2.40220853E8</v>
      </c>
    </row>
    <row r="8" ht="12.75" customHeight="1">
      <c r="A8" s="31">
        <v>126.0</v>
      </c>
      <c r="B8" s="32" t="s">
        <v>67919</v>
      </c>
      <c r="C8" s="31">
        <v>240.0</v>
      </c>
      <c r="D8" s="32" t="s">
        <v>67920</v>
      </c>
      <c r="E8" s="32" t="s">
        <v>67921</v>
      </c>
      <c r="F8" s="33">
        <v>22.0</v>
      </c>
      <c r="G8" s="31">
        <v>2.40260226E8</v>
      </c>
    </row>
    <row r="9" ht="12.75" customHeight="1">
      <c r="A9" s="27">
        <v>126.0</v>
      </c>
      <c r="B9" s="28" t="s">
        <v>67922</v>
      </c>
      <c r="C9" s="27">
        <v>240.0</v>
      </c>
      <c r="D9" s="28" t="s">
        <v>67923</v>
      </c>
      <c r="E9" s="28" t="s">
        <v>67924</v>
      </c>
      <c r="F9" s="29">
        <v>43.0</v>
      </c>
      <c r="G9" s="27">
        <v>2.40260439E8</v>
      </c>
    </row>
    <row r="10" ht="12.75" customHeight="1">
      <c r="A10" s="31">
        <v>126.0</v>
      </c>
      <c r="B10" s="32" t="s">
        <v>67925</v>
      </c>
      <c r="C10" s="31">
        <v>240.0</v>
      </c>
      <c r="D10" s="32" t="s">
        <v>67926</v>
      </c>
      <c r="E10" s="32" t="s">
        <v>67927</v>
      </c>
      <c r="F10" s="31">
        <v>115.0</v>
      </c>
      <c r="G10" s="31">
        <v>2.40261159E8</v>
      </c>
    </row>
    <row r="11" ht="12.75" customHeight="1">
      <c r="A11" s="27">
        <v>126.0</v>
      </c>
      <c r="B11" s="28" t="s">
        <v>67928</v>
      </c>
      <c r="C11" s="27">
        <v>240.0</v>
      </c>
      <c r="D11" s="28" t="s">
        <v>67929</v>
      </c>
      <c r="E11" s="28" t="s">
        <v>67930</v>
      </c>
      <c r="F11" s="27">
        <v>118.0</v>
      </c>
      <c r="G11" s="27">
        <v>2.40261188E8</v>
      </c>
    </row>
    <row r="12" ht="12.75" customHeight="1">
      <c r="A12" s="31">
        <v>126.0</v>
      </c>
      <c r="B12" s="32" t="s">
        <v>67931</v>
      </c>
      <c r="C12" s="31">
        <v>240.0</v>
      </c>
      <c r="D12" s="32" t="s">
        <v>67932</v>
      </c>
      <c r="E12" s="32" t="s">
        <v>67933</v>
      </c>
      <c r="F12" s="31">
        <v>133.0</v>
      </c>
      <c r="G12" s="31">
        <v>2.40261333E8</v>
      </c>
    </row>
    <row r="13" ht="12.75" customHeight="1">
      <c r="A13" s="27">
        <v>126.0</v>
      </c>
      <c r="B13" s="28" t="s">
        <v>67934</v>
      </c>
      <c r="C13" s="27">
        <v>240.0</v>
      </c>
      <c r="D13" s="28" t="s">
        <v>67935</v>
      </c>
      <c r="E13" s="28" t="s">
        <v>67936</v>
      </c>
      <c r="F13" s="27">
        <v>181.0</v>
      </c>
      <c r="G13" s="27">
        <v>2.40261812E8</v>
      </c>
    </row>
    <row r="14" ht="12.75" customHeight="1">
      <c r="A14" s="31">
        <v>126.0</v>
      </c>
      <c r="B14" s="32" t="s">
        <v>67937</v>
      </c>
      <c r="C14" s="31">
        <v>240.0</v>
      </c>
      <c r="D14" s="32" t="s">
        <v>67938</v>
      </c>
      <c r="E14" s="32" t="s">
        <v>67939</v>
      </c>
      <c r="F14" s="31">
        <v>238.0</v>
      </c>
      <c r="G14" s="31">
        <v>2.40262387E8</v>
      </c>
    </row>
    <row r="15" ht="12.75" customHeight="1">
      <c r="A15" s="27">
        <v>126.0</v>
      </c>
      <c r="B15" s="28" t="s">
        <v>67940</v>
      </c>
      <c r="C15" s="27">
        <v>240.0</v>
      </c>
      <c r="D15" s="28" t="s">
        <v>67941</v>
      </c>
      <c r="E15" s="28" t="s">
        <v>67942</v>
      </c>
      <c r="F15" s="27">
        <v>253.0</v>
      </c>
      <c r="G15" s="27">
        <v>2.40262532E8</v>
      </c>
    </row>
    <row r="16" ht="12.75" customHeight="1">
      <c r="A16" s="31">
        <v>126.0</v>
      </c>
      <c r="B16" s="32" t="s">
        <v>67943</v>
      </c>
      <c r="C16" s="31">
        <v>240.0</v>
      </c>
      <c r="D16" s="32" t="s">
        <v>67944</v>
      </c>
      <c r="E16" s="32" t="s">
        <v>67945</v>
      </c>
      <c r="F16" s="31">
        <v>261.0</v>
      </c>
      <c r="G16" s="31">
        <v>2.40262611E8</v>
      </c>
    </row>
    <row r="17" ht="12.75" customHeight="1">
      <c r="A17" s="27">
        <v>126.0</v>
      </c>
      <c r="B17" s="28" t="s">
        <v>67946</v>
      </c>
      <c r="C17" s="27">
        <v>240.0</v>
      </c>
      <c r="D17" s="28" t="s">
        <v>67947</v>
      </c>
      <c r="E17" s="28" t="s">
        <v>67948</v>
      </c>
      <c r="F17" s="27">
        <v>295.0</v>
      </c>
      <c r="G17" s="27">
        <v>2.40262958E8</v>
      </c>
    </row>
    <row r="18" ht="12.75" customHeight="1">
      <c r="A18" s="31">
        <v>126.0</v>
      </c>
      <c r="B18" s="32" t="s">
        <v>67949</v>
      </c>
      <c r="C18" s="31">
        <v>240.0</v>
      </c>
      <c r="D18" s="32" t="s">
        <v>67950</v>
      </c>
      <c r="E18" s="32" t="s">
        <v>67951</v>
      </c>
      <c r="F18" s="31">
        <v>298.0</v>
      </c>
      <c r="G18" s="31">
        <v>2.40262987E8</v>
      </c>
    </row>
    <row r="19" ht="12.75" customHeight="1">
      <c r="A19" s="27">
        <v>126.0</v>
      </c>
      <c r="B19" s="28" t="s">
        <v>67952</v>
      </c>
      <c r="C19" s="27">
        <v>240.0</v>
      </c>
      <c r="D19" s="28" t="s">
        <v>67953</v>
      </c>
      <c r="E19" s="28" t="s">
        <v>67954</v>
      </c>
      <c r="F19" s="27">
        <v>319.0</v>
      </c>
      <c r="G19" s="27">
        <v>2.40263199E8</v>
      </c>
    </row>
    <row r="20" ht="12.75" customHeight="1">
      <c r="A20" s="31">
        <v>126.0</v>
      </c>
      <c r="B20" s="32" t="s">
        <v>67955</v>
      </c>
      <c r="C20" s="31">
        <v>240.0</v>
      </c>
      <c r="D20" s="32" t="s">
        <v>67956</v>
      </c>
      <c r="E20" s="32" t="s">
        <v>67957</v>
      </c>
      <c r="F20" s="31">
        <v>328.0</v>
      </c>
      <c r="G20" s="31">
        <v>2.40263281E8</v>
      </c>
    </row>
    <row r="21" ht="12.75" customHeight="1">
      <c r="A21" s="27">
        <v>126.0</v>
      </c>
      <c r="B21" s="28" t="s">
        <v>67958</v>
      </c>
      <c r="C21" s="27">
        <v>240.0</v>
      </c>
      <c r="D21" s="28" t="s">
        <v>67959</v>
      </c>
      <c r="E21" s="28" t="s">
        <v>67960</v>
      </c>
      <c r="F21" s="27">
        <v>370.0</v>
      </c>
      <c r="G21" s="27">
        <v>2.40263702E8</v>
      </c>
    </row>
    <row r="22" ht="12.75" customHeight="1">
      <c r="A22" s="31">
        <v>126.0</v>
      </c>
      <c r="B22" s="32" t="s">
        <v>67961</v>
      </c>
      <c r="C22" s="31">
        <v>240.0</v>
      </c>
      <c r="D22" s="32" t="s">
        <v>67962</v>
      </c>
      <c r="E22" s="32" t="s">
        <v>67963</v>
      </c>
      <c r="F22" s="31">
        <v>379.0</v>
      </c>
      <c r="G22" s="31">
        <v>2.40263799E8</v>
      </c>
    </row>
    <row r="23" ht="12.75" customHeight="1">
      <c r="A23" s="27">
        <v>126.0</v>
      </c>
      <c r="B23" s="28" t="s">
        <v>67964</v>
      </c>
      <c r="C23" s="27">
        <v>240.0</v>
      </c>
      <c r="D23" s="28" t="s">
        <v>67965</v>
      </c>
      <c r="E23" s="28" t="s">
        <v>67966</v>
      </c>
      <c r="F23" s="27">
        <v>418.0</v>
      </c>
      <c r="G23" s="27">
        <v>2.40264185E8</v>
      </c>
    </row>
    <row r="24" ht="12.75" customHeight="1">
      <c r="A24" s="31">
        <v>126.0</v>
      </c>
      <c r="B24" s="32" t="s">
        <v>67967</v>
      </c>
      <c r="C24" s="31">
        <v>240.0</v>
      </c>
      <c r="D24" s="32" t="s">
        <v>67968</v>
      </c>
      <c r="E24" s="32" t="s">
        <v>67969</v>
      </c>
      <c r="F24" s="31">
        <v>466.0</v>
      </c>
      <c r="G24" s="31">
        <v>2.40264664E8</v>
      </c>
    </row>
    <row r="25" ht="12.75" customHeight="1">
      <c r="A25" s="27">
        <v>127.0</v>
      </c>
      <c r="B25" s="28" t="s">
        <v>67970</v>
      </c>
      <c r="C25" s="27">
        <v>240.0</v>
      </c>
      <c r="D25" s="28" t="s">
        <v>67971</v>
      </c>
      <c r="E25" s="28" t="s">
        <v>67972</v>
      </c>
      <c r="F25" s="29">
        <v>0.0</v>
      </c>
      <c r="G25" s="27">
        <v>2.40270003E8</v>
      </c>
    </row>
    <row r="26" ht="12.75" customHeight="1">
      <c r="A26" s="31">
        <v>127.0</v>
      </c>
      <c r="B26" s="32" t="s">
        <v>67973</v>
      </c>
      <c r="C26" s="31">
        <v>240.0</v>
      </c>
      <c r="D26" s="32" t="s">
        <v>67974</v>
      </c>
      <c r="E26" s="32" t="s">
        <v>67975</v>
      </c>
      <c r="F26" s="33">
        <v>35.0</v>
      </c>
      <c r="G26" s="31">
        <v>2.40270353E8</v>
      </c>
    </row>
    <row r="27" ht="12.75" customHeight="1">
      <c r="A27" s="27">
        <v>127.0</v>
      </c>
      <c r="B27" s="28" t="s">
        <v>67976</v>
      </c>
      <c r="C27" s="27">
        <v>240.0</v>
      </c>
      <c r="D27" s="28" t="s">
        <v>67977</v>
      </c>
      <c r="E27" s="28" t="s">
        <v>67978</v>
      </c>
      <c r="F27" s="27">
        <v>185.0</v>
      </c>
      <c r="G27" s="27">
        <v>2.40271857E8</v>
      </c>
    </row>
    <row r="28" ht="12.75" customHeight="1">
      <c r="A28" s="31">
        <v>127.0</v>
      </c>
      <c r="B28" s="32" t="s">
        <v>67979</v>
      </c>
      <c r="C28" s="31">
        <v>240.0</v>
      </c>
      <c r="D28" s="32" t="s">
        <v>67980</v>
      </c>
      <c r="E28" s="32" t="s">
        <v>67981</v>
      </c>
      <c r="F28" s="31">
        <v>193.0</v>
      </c>
      <c r="G28" s="31">
        <v>2.40271936E8</v>
      </c>
    </row>
    <row r="29" ht="12.75" customHeight="1">
      <c r="A29" s="27">
        <v>127.0</v>
      </c>
      <c r="B29" s="28" t="s">
        <v>67982</v>
      </c>
      <c r="C29" s="27">
        <v>240.0</v>
      </c>
      <c r="D29" s="28" t="s">
        <v>67983</v>
      </c>
      <c r="E29" s="28" t="s">
        <v>67984</v>
      </c>
      <c r="F29" s="27">
        <v>328.0</v>
      </c>
      <c r="G29" s="27">
        <v>2.40273284E8</v>
      </c>
    </row>
    <row r="30" ht="12.75" customHeight="1">
      <c r="A30" s="31">
        <v>127.0</v>
      </c>
      <c r="B30" s="32" t="s">
        <v>67985</v>
      </c>
      <c r="C30" s="31">
        <v>240.0</v>
      </c>
      <c r="D30" s="32" t="s">
        <v>67986</v>
      </c>
      <c r="E30" s="32" t="s">
        <v>67987</v>
      </c>
      <c r="F30" s="31">
        <v>337.0</v>
      </c>
      <c r="G30" s="31">
        <v>2.40273376E8</v>
      </c>
    </row>
    <row r="31" ht="12.75" customHeight="1">
      <c r="A31" s="27">
        <v>127.0</v>
      </c>
      <c r="B31" s="28" t="s">
        <v>67988</v>
      </c>
      <c r="C31" s="27">
        <v>240.0</v>
      </c>
      <c r="D31" s="28" t="s">
        <v>67989</v>
      </c>
      <c r="E31" s="28" t="s">
        <v>67990</v>
      </c>
      <c r="F31" s="27">
        <v>364.0</v>
      </c>
      <c r="G31" s="27">
        <v>2.40273642E8</v>
      </c>
    </row>
    <row r="32" ht="12.75" customHeight="1">
      <c r="A32" s="31">
        <v>127.0</v>
      </c>
      <c r="B32" s="32" t="s">
        <v>67991</v>
      </c>
      <c r="C32" s="31">
        <v>240.0</v>
      </c>
      <c r="D32" s="32" t="s">
        <v>67992</v>
      </c>
      <c r="E32" s="32" t="s">
        <v>67993</v>
      </c>
      <c r="F32" s="31">
        <v>400.0</v>
      </c>
      <c r="G32" s="31">
        <v>2.40274009E8</v>
      </c>
    </row>
    <row r="33" ht="12.75" customHeight="1">
      <c r="A33" s="27">
        <v>127.0</v>
      </c>
      <c r="B33" s="28" t="s">
        <v>67994</v>
      </c>
      <c r="C33" s="27">
        <v>240.0</v>
      </c>
      <c r="D33" s="28" t="s">
        <v>67995</v>
      </c>
      <c r="E33" s="28" t="s">
        <v>67996</v>
      </c>
      <c r="F33" s="27">
        <v>523.0</v>
      </c>
      <c r="G33" s="27">
        <v>2.40275237E8</v>
      </c>
    </row>
    <row r="34" ht="12.75" customHeight="1">
      <c r="A34" s="31">
        <v>127.0</v>
      </c>
      <c r="B34" s="32" t="s">
        <v>67997</v>
      </c>
      <c r="C34" s="31">
        <v>240.0</v>
      </c>
      <c r="D34" s="32" t="s">
        <v>67998</v>
      </c>
      <c r="E34" s="32" t="s">
        <v>67999</v>
      </c>
      <c r="F34" s="31">
        <v>535.0</v>
      </c>
      <c r="G34" s="31">
        <v>2.40275358E8</v>
      </c>
    </row>
    <row r="35" ht="12.75" customHeight="1">
      <c r="A35" s="27">
        <v>127.0</v>
      </c>
      <c r="B35" s="28" t="s">
        <v>68000</v>
      </c>
      <c r="C35" s="27">
        <v>240.0</v>
      </c>
      <c r="D35" s="28" t="s">
        <v>68001</v>
      </c>
      <c r="E35" s="28" t="s">
        <v>68002</v>
      </c>
      <c r="F35" s="27">
        <v>619.0</v>
      </c>
      <c r="G35" s="27">
        <v>2.40276199E8</v>
      </c>
    </row>
    <row r="36" ht="12.75" customHeight="1">
      <c r="A36" s="31">
        <v>728.0</v>
      </c>
      <c r="B36" s="32" t="s">
        <v>68003</v>
      </c>
      <c r="C36" s="31">
        <v>240.0</v>
      </c>
      <c r="D36" s="32" t="s">
        <v>68004</v>
      </c>
      <c r="E36" s="32" t="s">
        <v>68005</v>
      </c>
      <c r="F36" s="33">
        <v>6.0</v>
      </c>
      <c r="G36" s="31">
        <v>2.40280064E8</v>
      </c>
    </row>
    <row r="37" ht="12.75" customHeight="1">
      <c r="A37" s="27">
        <v>728.0</v>
      </c>
      <c r="B37" s="28" t="s">
        <v>68006</v>
      </c>
      <c r="C37" s="27">
        <v>240.0</v>
      </c>
      <c r="D37" s="28" t="s">
        <v>68007</v>
      </c>
      <c r="E37" s="28" t="s">
        <v>68008</v>
      </c>
      <c r="F37" s="29">
        <v>9.0</v>
      </c>
      <c r="G37" s="27">
        <v>2.40280093E8</v>
      </c>
    </row>
    <row r="38" ht="12.75" customHeight="1">
      <c r="A38" s="31">
        <v>329.0</v>
      </c>
      <c r="B38" s="32" t="s">
        <v>68009</v>
      </c>
      <c r="C38" s="31">
        <v>240.0</v>
      </c>
      <c r="D38" s="32" t="s">
        <v>68010</v>
      </c>
      <c r="E38" s="32" t="s">
        <v>68011</v>
      </c>
      <c r="F38" s="33">
        <v>52.0</v>
      </c>
      <c r="G38" s="31">
        <v>2.4029052E8</v>
      </c>
    </row>
    <row r="39" ht="12.75" customHeight="1">
      <c r="A39" s="27">
        <v>230.0</v>
      </c>
      <c r="B39" s="28" t="s">
        <v>68012</v>
      </c>
      <c r="C39" s="27">
        <v>240.0</v>
      </c>
      <c r="D39" s="28" t="s">
        <v>68013</v>
      </c>
      <c r="E39" s="28" t="s">
        <v>68014</v>
      </c>
      <c r="F39" s="29">
        <v>52.0</v>
      </c>
      <c r="G39" s="27">
        <v>2.40300528E8</v>
      </c>
    </row>
    <row r="40" ht="12.75" customHeight="1">
      <c r="A40" s="31">
        <v>133.0</v>
      </c>
      <c r="B40" s="32" t="s">
        <v>68015</v>
      </c>
      <c r="C40" s="31">
        <v>240.0</v>
      </c>
      <c r="D40" s="32" t="s">
        <v>68016</v>
      </c>
      <c r="E40" s="32" t="s">
        <v>68017</v>
      </c>
      <c r="F40" s="33">
        <v>26.0</v>
      </c>
      <c r="G40" s="31">
        <v>2.40330264E8</v>
      </c>
    </row>
    <row r="41" ht="12.75" customHeight="1">
      <c r="A41" s="27">
        <v>133.0</v>
      </c>
      <c r="B41" s="28" t="s">
        <v>68018</v>
      </c>
      <c r="C41" s="27">
        <v>240.0</v>
      </c>
      <c r="D41" s="28" t="s">
        <v>68019</v>
      </c>
      <c r="E41" s="28" t="s">
        <v>68020</v>
      </c>
      <c r="F41" s="27">
        <v>105.0</v>
      </c>
      <c r="G41" s="27">
        <v>2.4033105E8</v>
      </c>
    </row>
    <row r="42" ht="12.75" customHeight="1">
      <c r="A42" s="31">
        <v>133.0</v>
      </c>
      <c r="B42" s="32" t="s">
        <v>68021</v>
      </c>
      <c r="C42" s="31">
        <v>240.0</v>
      </c>
      <c r="D42" s="32" t="s">
        <v>68022</v>
      </c>
      <c r="E42" s="32" t="s">
        <v>68023</v>
      </c>
      <c r="F42" s="31">
        <v>121.0</v>
      </c>
      <c r="G42" s="31">
        <v>2.40331218E8</v>
      </c>
    </row>
    <row r="43" ht="12.75" customHeight="1">
      <c r="A43" s="27">
        <v>133.0</v>
      </c>
      <c r="B43" s="28" t="s">
        <v>68024</v>
      </c>
      <c r="C43" s="27">
        <v>240.0</v>
      </c>
      <c r="D43" s="28" t="s">
        <v>68025</v>
      </c>
      <c r="E43" s="28" t="s">
        <v>68026</v>
      </c>
      <c r="F43" s="27">
        <v>133.0</v>
      </c>
      <c r="G43" s="27">
        <v>2.40331339E8</v>
      </c>
    </row>
    <row r="44" ht="12.75" customHeight="1">
      <c r="A44" s="31">
        <v>133.0</v>
      </c>
      <c r="B44" s="32" t="s">
        <v>68027</v>
      </c>
      <c r="C44" s="31">
        <v>240.0</v>
      </c>
      <c r="D44" s="32" t="s">
        <v>68028</v>
      </c>
      <c r="E44" s="32" t="s">
        <v>68029</v>
      </c>
      <c r="F44" s="31">
        <v>163.0</v>
      </c>
      <c r="G44" s="31">
        <v>2.40331634E8</v>
      </c>
    </row>
    <row r="45" ht="12.75" customHeight="1">
      <c r="A45" s="27">
        <v>435.0</v>
      </c>
      <c r="B45" s="28" t="s">
        <v>68030</v>
      </c>
      <c r="C45" s="27">
        <v>240.0</v>
      </c>
      <c r="D45" s="28" t="s">
        <v>68031</v>
      </c>
      <c r="E45" s="28" t="s">
        <v>68032</v>
      </c>
      <c r="F45" s="29">
        <v>37.0</v>
      </c>
      <c r="G45" s="27">
        <v>2.40350378E8</v>
      </c>
    </row>
    <row r="46" ht="12.75" customHeight="1">
      <c r="A46" s="31">
        <v>836.0</v>
      </c>
      <c r="B46" s="32" t="s">
        <v>68033</v>
      </c>
      <c r="C46" s="31">
        <v>240.0</v>
      </c>
      <c r="D46" s="32" t="s">
        <v>68034</v>
      </c>
      <c r="E46" s="32" t="s">
        <v>68035</v>
      </c>
      <c r="F46" s="33">
        <v>61.0</v>
      </c>
      <c r="G46" s="31">
        <v>2.40360618E8</v>
      </c>
    </row>
    <row r="47" ht="12.75" customHeight="1">
      <c r="A47" s="27">
        <v>441.0</v>
      </c>
      <c r="B47" s="28" t="s">
        <v>68036</v>
      </c>
      <c r="C47" s="27">
        <v>240.0</v>
      </c>
      <c r="D47" s="28" t="s">
        <v>68037</v>
      </c>
      <c r="E47" s="28" t="s">
        <v>68038</v>
      </c>
      <c r="F47" s="27">
        <v>103.0</v>
      </c>
      <c r="G47" s="27">
        <v>2.40411033E8</v>
      </c>
    </row>
    <row r="48" ht="12.75" customHeight="1">
      <c r="A48" s="31">
        <v>444.0</v>
      </c>
      <c r="B48" s="32" t="s">
        <v>68039</v>
      </c>
      <c r="C48" s="31">
        <v>240.0</v>
      </c>
      <c r="D48" s="32" t="s">
        <v>68040</v>
      </c>
      <c r="E48" s="32" t="s">
        <v>68041</v>
      </c>
      <c r="F48" s="33">
        <v>64.0</v>
      </c>
      <c r="G48" s="31">
        <v>2.40440646E8</v>
      </c>
    </row>
    <row r="49" ht="12.75" customHeight="1">
      <c r="A49" s="27">
        <v>246.0</v>
      </c>
      <c r="B49" s="28" t="s">
        <v>68042</v>
      </c>
      <c r="C49" s="27">
        <v>240.0</v>
      </c>
      <c r="D49" s="28" t="s">
        <v>68043</v>
      </c>
      <c r="E49" s="28" t="s">
        <v>68044</v>
      </c>
      <c r="F49" s="29">
        <v>7.0</v>
      </c>
      <c r="G49" s="27">
        <v>2.40460071E8</v>
      </c>
    </row>
    <row r="50" ht="12.75" customHeight="1">
      <c r="A50" s="31">
        <v>447.0</v>
      </c>
      <c r="B50" s="32" t="s">
        <v>68045</v>
      </c>
      <c r="C50" s="31">
        <v>240.0</v>
      </c>
      <c r="D50" s="32" t="s">
        <v>68046</v>
      </c>
      <c r="E50" s="32" t="s">
        <v>68047</v>
      </c>
      <c r="F50" s="33">
        <v>70.0</v>
      </c>
      <c r="G50" s="31">
        <v>2.40470708E8</v>
      </c>
    </row>
    <row r="51" ht="12.75" customHeight="1">
      <c r="A51" s="27">
        <v>447.0</v>
      </c>
      <c r="B51" s="28" t="s">
        <v>68048</v>
      </c>
      <c r="C51" s="27">
        <v>240.0</v>
      </c>
      <c r="D51" s="28" t="s">
        <v>68049</v>
      </c>
      <c r="E51" s="28" t="s">
        <v>68050</v>
      </c>
      <c r="F51" s="27">
        <v>105.0</v>
      </c>
      <c r="G51" s="27">
        <v>2.40471057E8</v>
      </c>
    </row>
    <row r="52" ht="12.75" customHeight="1">
      <c r="A52" s="31">
        <v>447.0</v>
      </c>
      <c r="B52" s="32" t="s">
        <v>68051</v>
      </c>
      <c r="C52" s="31">
        <v>240.0</v>
      </c>
      <c r="D52" s="32" t="s">
        <v>68052</v>
      </c>
      <c r="E52" s="32" t="s">
        <v>68053</v>
      </c>
      <c r="F52" s="31">
        <v>154.0</v>
      </c>
      <c r="G52" s="31">
        <v>2.40471549E8</v>
      </c>
    </row>
    <row r="53" ht="12.75" customHeight="1">
      <c r="A53" s="27">
        <v>148.0</v>
      </c>
      <c r="B53" s="28" t="s">
        <v>68054</v>
      </c>
      <c r="C53" s="27">
        <v>240.0</v>
      </c>
      <c r="D53" s="28" t="s">
        <v>68055</v>
      </c>
      <c r="E53" s="28" t="s">
        <v>68056</v>
      </c>
      <c r="F53" s="29">
        <v>19.0</v>
      </c>
      <c r="G53" s="27">
        <v>2.40480198E8</v>
      </c>
    </row>
    <row r="54" ht="12.75" customHeight="1">
      <c r="A54" s="31">
        <v>148.0</v>
      </c>
      <c r="B54" s="32" t="s">
        <v>68057</v>
      </c>
      <c r="C54" s="31">
        <v>240.0</v>
      </c>
      <c r="D54" s="32" t="s">
        <v>68058</v>
      </c>
      <c r="E54" s="32" t="s">
        <v>68059</v>
      </c>
      <c r="F54" s="33">
        <v>67.0</v>
      </c>
      <c r="G54" s="31">
        <v>2.40480677E8</v>
      </c>
    </row>
    <row r="55" ht="12.75" customHeight="1">
      <c r="A55" s="27">
        <v>450.0</v>
      </c>
      <c r="B55" s="28" t="s">
        <v>68060</v>
      </c>
      <c r="C55" s="27">
        <v>240.0</v>
      </c>
      <c r="D55" s="28" t="s">
        <v>68061</v>
      </c>
      <c r="E55" s="28" t="s">
        <v>68062</v>
      </c>
      <c r="F55" s="29">
        <v>94.0</v>
      </c>
      <c r="G55" s="27">
        <v>2.40500944E8</v>
      </c>
    </row>
    <row r="56" ht="12.75" customHeight="1">
      <c r="A56" s="31">
        <v>752.0</v>
      </c>
      <c r="B56" s="32" t="s">
        <v>68063</v>
      </c>
      <c r="C56" s="31">
        <v>240.0</v>
      </c>
      <c r="D56" s="32" t="s">
        <v>68064</v>
      </c>
      <c r="E56" s="32" t="s">
        <v>68065</v>
      </c>
      <c r="F56" s="33">
        <v>46.0</v>
      </c>
      <c r="G56" s="31">
        <v>2.40520461E8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354.0</v>
      </c>
      <c r="B1" s="28" t="s">
        <v>68066</v>
      </c>
      <c r="C1" s="27">
        <v>240.0</v>
      </c>
      <c r="D1" s="28" t="s">
        <v>68067</v>
      </c>
      <c r="E1" s="28" t="s">
        <v>68068</v>
      </c>
      <c r="F1" s="29">
        <v>76.0</v>
      </c>
      <c r="G1" s="27">
        <v>2.40540762E8</v>
      </c>
    </row>
    <row r="2" ht="12.75" customHeight="1">
      <c r="A2" s="31">
        <v>156.0</v>
      </c>
      <c r="B2" s="32" t="s">
        <v>68069</v>
      </c>
      <c r="C2" s="31">
        <v>240.0</v>
      </c>
      <c r="D2" s="32" t="s">
        <v>68070</v>
      </c>
      <c r="E2" s="32" t="s">
        <v>68071</v>
      </c>
      <c r="F2" s="33">
        <v>62.0</v>
      </c>
      <c r="G2" s="31">
        <v>2.40560621E8</v>
      </c>
    </row>
    <row r="3" ht="12.75" customHeight="1">
      <c r="A3" s="27">
        <v>858.0</v>
      </c>
      <c r="B3" s="28" t="s">
        <v>68072</v>
      </c>
      <c r="C3" s="27">
        <v>240.0</v>
      </c>
      <c r="D3" s="28" t="s">
        <v>68073</v>
      </c>
      <c r="E3" s="28" t="s">
        <v>68074</v>
      </c>
      <c r="F3" s="27">
        <v>118.0</v>
      </c>
      <c r="G3" s="27">
        <v>2.40581189E8</v>
      </c>
    </row>
    <row r="4" ht="12.75" customHeight="1">
      <c r="A4" s="31">
        <v>159.0</v>
      </c>
      <c r="B4" s="32" t="s">
        <v>68075</v>
      </c>
      <c r="C4" s="31">
        <v>240.0</v>
      </c>
      <c r="D4" s="32" t="s">
        <v>68076</v>
      </c>
      <c r="E4" s="32" t="s">
        <v>68077</v>
      </c>
      <c r="F4" s="31">
        <v>142.0</v>
      </c>
      <c r="G4" s="31">
        <v>2.40591429E8</v>
      </c>
    </row>
    <row r="5" ht="12.75" customHeight="1">
      <c r="A5" s="27">
        <v>161.0</v>
      </c>
      <c r="B5" s="28" t="s">
        <v>68078</v>
      </c>
      <c r="C5" s="27">
        <v>240.0</v>
      </c>
      <c r="D5" s="28" t="s">
        <v>68079</v>
      </c>
      <c r="E5" s="28" t="s">
        <v>68080</v>
      </c>
      <c r="F5" s="29">
        <v>9.0</v>
      </c>
      <c r="G5" s="27">
        <v>2.40610092E8</v>
      </c>
    </row>
    <row r="6" ht="12.75" customHeight="1">
      <c r="A6" s="31">
        <v>161.0</v>
      </c>
      <c r="B6" s="32" t="s">
        <v>68081</v>
      </c>
      <c r="C6" s="31">
        <v>240.0</v>
      </c>
      <c r="D6" s="32" t="s">
        <v>68082</v>
      </c>
      <c r="E6" s="32" t="s">
        <v>68083</v>
      </c>
      <c r="F6" s="31">
        <v>181.0</v>
      </c>
      <c r="G6" s="31">
        <v>2.40611817E8</v>
      </c>
    </row>
    <row r="7" ht="12.75" customHeight="1">
      <c r="A7" s="27">
        <v>167.0</v>
      </c>
      <c r="B7" s="28" t="s">
        <v>68084</v>
      </c>
      <c r="C7" s="27">
        <v>240.0</v>
      </c>
      <c r="D7" s="28" t="s">
        <v>68085</v>
      </c>
      <c r="E7" s="28" t="s">
        <v>68086</v>
      </c>
      <c r="F7" s="29">
        <v>12.0</v>
      </c>
      <c r="G7" s="27">
        <v>2.40670124E8</v>
      </c>
    </row>
    <row r="8" ht="12.75" customHeight="1">
      <c r="A8" s="31">
        <v>167.0</v>
      </c>
      <c r="B8" s="32" t="s">
        <v>68087</v>
      </c>
      <c r="C8" s="31">
        <v>240.0</v>
      </c>
      <c r="D8" s="32" t="s">
        <v>68088</v>
      </c>
      <c r="E8" s="32" t="s">
        <v>68089</v>
      </c>
      <c r="F8" s="31">
        <v>118.0</v>
      </c>
      <c r="G8" s="31">
        <v>2.40671181E8</v>
      </c>
    </row>
    <row r="9" ht="12.75" customHeight="1">
      <c r="A9" s="27">
        <v>168.0</v>
      </c>
      <c r="B9" s="28" t="s">
        <v>68090</v>
      </c>
      <c r="C9" s="27">
        <v>240.0</v>
      </c>
      <c r="D9" s="28" t="s">
        <v>68091</v>
      </c>
      <c r="E9" s="28" t="s">
        <v>68092</v>
      </c>
      <c r="F9" s="29">
        <v>68.0</v>
      </c>
      <c r="G9" s="27">
        <v>2.4068068E8</v>
      </c>
    </row>
    <row r="10" ht="12.75" customHeight="1">
      <c r="A10" s="31">
        <v>168.0</v>
      </c>
      <c r="B10" s="32" t="s">
        <v>68093</v>
      </c>
      <c r="C10" s="31">
        <v>240.0</v>
      </c>
      <c r="D10" s="32" t="s">
        <v>68094</v>
      </c>
      <c r="E10" s="32" t="s">
        <v>68095</v>
      </c>
      <c r="F10" s="33">
        <v>85.0</v>
      </c>
      <c r="G10" s="31">
        <v>2.40680851E8</v>
      </c>
    </row>
    <row r="11" ht="12.75" customHeight="1">
      <c r="A11" s="27">
        <v>569.0</v>
      </c>
      <c r="B11" s="28" t="s">
        <v>68096</v>
      </c>
      <c r="C11" s="27">
        <v>240.0</v>
      </c>
      <c r="D11" s="28" t="s">
        <v>68097</v>
      </c>
      <c r="E11" s="28" t="s">
        <v>68098</v>
      </c>
      <c r="F11" s="29">
        <v>40.0</v>
      </c>
      <c r="G11" s="27">
        <v>2.40690409E8</v>
      </c>
    </row>
    <row r="12" ht="12.75" customHeight="1">
      <c r="A12" s="31">
        <v>569.0</v>
      </c>
      <c r="B12" s="32" t="s">
        <v>68099</v>
      </c>
      <c r="C12" s="31">
        <v>240.0</v>
      </c>
      <c r="D12" s="32" t="s">
        <v>68100</v>
      </c>
      <c r="E12" s="32" t="s">
        <v>68101</v>
      </c>
      <c r="F12" s="31">
        <v>111.0</v>
      </c>
      <c r="G12" s="31">
        <v>2.40691116E8</v>
      </c>
    </row>
    <row r="13" ht="12.75" customHeight="1">
      <c r="A13" s="27">
        <v>570.0</v>
      </c>
      <c r="B13" s="28" t="s">
        <v>68102</v>
      </c>
      <c r="C13" s="27">
        <v>240.0</v>
      </c>
      <c r="D13" s="28" t="s">
        <v>68103</v>
      </c>
      <c r="E13" s="28" t="s">
        <v>68104</v>
      </c>
      <c r="F13" s="29">
        <v>25.0</v>
      </c>
      <c r="G13" s="27">
        <v>2.40700252E8</v>
      </c>
    </row>
    <row r="14" ht="12.75" customHeight="1">
      <c r="A14" s="31">
        <v>773.0</v>
      </c>
      <c r="B14" s="32" t="s">
        <v>68105</v>
      </c>
      <c r="C14" s="31">
        <v>240.0</v>
      </c>
      <c r="D14" s="32" t="s">
        <v>68106</v>
      </c>
      <c r="E14" s="32" t="s">
        <v>68107</v>
      </c>
      <c r="F14" s="33">
        <v>82.0</v>
      </c>
      <c r="G14" s="31">
        <v>2.40730822E8</v>
      </c>
    </row>
    <row r="15" ht="12.75" customHeight="1">
      <c r="A15" s="27">
        <v>275.0</v>
      </c>
      <c r="B15" s="28" t="s">
        <v>68108</v>
      </c>
      <c r="C15" s="27">
        <v>240.0</v>
      </c>
      <c r="D15" s="28" t="s">
        <v>68109</v>
      </c>
      <c r="E15" s="28" t="s">
        <v>68110</v>
      </c>
      <c r="F15" s="29">
        <v>67.0</v>
      </c>
      <c r="G15" s="27">
        <v>2.40750673E8</v>
      </c>
    </row>
    <row r="16" ht="12.75" customHeight="1">
      <c r="A16" s="31">
        <v>275.0</v>
      </c>
      <c r="B16" s="32" t="s">
        <v>68111</v>
      </c>
      <c r="C16" s="31">
        <v>240.0</v>
      </c>
      <c r="D16" s="32" t="s">
        <v>68112</v>
      </c>
      <c r="E16" s="32" t="s">
        <v>68113</v>
      </c>
      <c r="F16" s="31">
        <v>121.0</v>
      </c>
      <c r="G16" s="31">
        <v>2.40751214E8</v>
      </c>
    </row>
    <row r="17" ht="12.75" customHeight="1">
      <c r="A17" s="27">
        <v>576.0</v>
      </c>
      <c r="B17" s="28" t="s">
        <v>68114</v>
      </c>
      <c r="C17" s="27">
        <v>240.0</v>
      </c>
      <c r="D17" s="28" t="s">
        <v>68115</v>
      </c>
      <c r="E17" s="28" t="s">
        <v>68116</v>
      </c>
      <c r="F17" s="29">
        <v>79.0</v>
      </c>
      <c r="G17" s="27">
        <v>2.40760797E8</v>
      </c>
    </row>
    <row r="18" ht="12.75" customHeight="1">
      <c r="A18" s="31">
        <v>581.0</v>
      </c>
      <c r="B18" s="32" t="s">
        <v>68117</v>
      </c>
      <c r="C18" s="31">
        <v>240.0</v>
      </c>
      <c r="D18" s="32" t="s">
        <v>68118</v>
      </c>
      <c r="E18" s="32" t="s">
        <v>68119</v>
      </c>
      <c r="F18" s="31">
        <v>193.0</v>
      </c>
      <c r="G18" s="31">
        <v>2.40811938E8</v>
      </c>
    </row>
    <row r="19" ht="12.75" customHeight="1">
      <c r="A19" s="27">
        <v>382.0</v>
      </c>
      <c r="B19" s="28" t="s">
        <v>68120</v>
      </c>
      <c r="C19" s="27">
        <v>240.0</v>
      </c>
      <c r="D19" s="28" t="s">
        <v>68121</v>
      </c>
      <c r="E19" s="28" t="s">
        <v>68122</v>
      </c>
      <c r="F19" s="29">
        <v>67.0</v>
      </c>
      <c r="G19" s="27">
        <v>2.40820679E8</v>
      </c>
    </row>
    <row r="20" ht="12.75" customHeight="1">
      <c r="A20" s="31">
        <v>284.0</v>
      </c>
      <c r="B20" s="32" t="s">
        <v>68123</v>
      </c>
      <c r="C20" s="31">
        <v>240.0</v>
      </c>
      <c r="D20" s="32" t="s">
        <v>68124</v>
      </c>
      <c r="E20" s="32" t="s">
        <v>68125</v>
      </c>
      <c r="F20" s="33">
        <v>52.0</v>
      </c>
      <c r="G20" s="31">
        <v>2.40840525E8</v>
      </c>
    </row>
    <row r="21" ht="12.75" customHeight="1">
      <c r="A21" s="27">
        <v>785.0</v>
      </c>
      <c r="B21" s="28" t="s">
        <v>68126</v>
      </c>
      <c r="C21" s="27">
        <v>240.0</v>
      </c>
      <c r="D21" s="28" t="s">
        <v>68127</v>
      </c>
      <c r="E21" s="28" t="s">
        <v>68128</v>
      </c>
      <c r="F21" s="27">
        <v>148.0</v>
      </c>
      <c r="G21" s="27">
        <v>2.4085148E8</v>
      </c>
    </row>
    <row r="22" ht="12.75" customHeight="1">
      <c r="A22" s="31">
        <v>785.0</v>
      </c>
      <c r="B22" s="32" t="s">
        <v>68129</v>
      </c>
      <c r="C22" s="31">
        <v>240.0</v>
      </c>
      <c r="D22" s="32" t="s">
        <v>68130</v>
      </c>
      <c r="E22" s="32" t="s">
        <v>68131</v>
      </c>
      <c r="F22" s="31">
        <v>178.0</v>
      </c>
      <c r="G22" s="31">
        <v>2.40851785E8</v>
      </c>
    </row>
    <row r="23" ht="12.75" customHeight="1">
      <c r="A23" s="27">
        <v>386.0</v>
      </c>
      <c r="B23" s="28" t="s">
        <v>68132</v>
      </c>
      <c r="C23" s="27">
        <v>240.0</v>
      </c>
      <c r="D23" s="28" t="s">
        <v>68133</v>
      </c>
      <c r="E23" s="28" t="s">
        <v>68134</v>
      </c>
      <c r="F23" s="29">
        <v>10.0</v>
      </c>
      <c r="G23" s="27">
        <v>2.40860105E8</v>
      </c>
    </row>
    <row r="24" ht="12.75" customHeight="1">
      <c r="A24" s="31">
        <v>487.0</v>
      </c>
      <c r="B24" s="32" t="s">
        <v>68135</v>
      </c>
      <c r="C24" s="31">
        <v>240.0</v>
      </c>
      <c r="D24" s="32" t="s">
        <v>68136</v>
      </c>
      <c r="E24" s="32" t="s">
        <v>68137</v>
      </c>
      <c r="F24" s="33">
        <v>87.0</v>
      </c>
      <c r="G24" s="31">
        <v>2.40870874E8</v>
      </c>
    </row>
    <row r="25" ht="12.75" customHeight="1">
      <c r="A25" s="27">
        <v>688.0</v>
      </c>
      <c r="B25" s="28" t="s">
        <v>68138</v>
      </c>
      <c r="C25" s="27">
        <v>240.0</v>
      </c>
      <c r="D25" s="28" t="s">
        <v>68139</v>
      </c>
      <c r="E25" s="28" t="s">
        <v>68140</v>
      </c>
      <c r="F25" s="27">
        <v>118.0</v>
      </c>
      <c r="G25" s="27">
        <v>2.40881184E8</v>
      </c>
    </row>
    <row r="26" ht="12.75" customHeight="1">
      <c r="A26" s="31">
        <v>688.0</v>
      </c>
      <c r="B26" s="32" t="s">
        <v>68141</v>
      </c>
      <c r="C26" s="31">
        <v>240.0</v>
      </c>
      <c r="D26" s="32" t="s">
        <v>68142</v>
      </c>
      <c r="E26" s="32" t="s">
        <v>68143</v>
      </c>
      <c r="F26" s="31">
        <v>215.0</v>
      </c>
      <c r="G26" s="31">
        <v>2.40882154E8</v>
      </c>
    </row>
    <row r="27" ht="12.75" customHeight="1">
      <c r="A27" s="27">
        <v>890.0</v>
      </c>
      <c r="B27" s="28" t="s">
        <v>68144</v>
      </c>
      <c r="C27" s="27">
        <v>240.0</v>
      </c>
      <c r="D27" s="28" t="s">
        <v>68145</v>
      </c>
      <c r="E27" s="28" t="s">
        <v>68146</v>
      </c>
      <c r="F27" s="27">
        <v>112.0</v>
      </c>
      <c r="G27" s="27">
        <v>2.40901127E8</v>
      </c>
    </row>
    <row r="28" ht="12.75" customHeight="1">
      <c r="A28" s="31">
        <v>891.0</v>
      </c>
      <c r="B28" s="32" t="s">
        <v>68147</v>
      </c>
      <c r="C28" s="31">
        <v>240.0</v>
      </c>
      <c r="D28" s="32" t="s">
        <v>68148</v>
      </c>
      <c r="E28" s="32" t="s">
        <v>68149</v>
      </c>
      <c r="F28" s="33">
        <v>31.0</v>
      </c>
      <c r="G28" s="31">
        <v>2.40910318E8</v>
      </c>
    </row>
    <row r="29" ht="12.75" customHeight="1">
      <c r="A29" s="27">
        <v>891.0</v>
      </c>
      <c r="B29" s="28" t="s">
        <v>68150</v>
      </c>
      <c r="C29" s="27">
        <v>240.0</v>
      </c>
      <c r="D29" s="28" t="s">
        <v>68151</v>
      </c>
      <c r="E29" s="28" t="s">
        <v>68152</v>
      </c>
      <c r="F29" s="27">
        <v>154.0</v>
      </c>
      <c r="G29" s="27">
        <v>2.40911546E8</v>
      </c>
    </row>
    <row r="30" ht="12.75" customHeight="1">
      <c r="A30" s="31">
        <v>891.0</v>
      </c>
      <c r="B30" s="32" t="s">
        <v>68153</v>
      </c>
      <c r="C30" s="31">
        <v>240.0</v>
      </c>
      <c r="D30" s="32" t="s">
        <v>68154</v>
      </c>
      <c r="E30" s="32" t="s">
        <v>68155</v>
      </c>
      <c r="F30" s="31">
        <v>160.0</v>
      </c>
      <c r="G30" s="31">
        <v>2.40911609E8</v>
      </c>
    </row>
    <row r="31" ht="12.75" customHeight="1">
      <c r="A31" s="27">
        <v>891.0</v>
      </c>
      <c r="B31" s="28" t="s">
        <v>68156</v>
      </c>
      <c r="C31" s="27">
        <v>240.0</v>
      </c>
      <c r="D31" s="28" t="s">
        <v>68157</v>
      </c>
      <c r="E31" s="28" t="s">
        <v>68158</v>
      </c>
      <c r="F31" s="27">
        <v>184.0</v>
      </c>
      <c r="G31" s="27">
        <v>2.40911841E8</v>
      </c>
    </row>
    <row r="32" ht="12.75" customHeight="1">
      <c r="A32" s="31">
        <v>891.0</v>
      </c>
      <c r="B32" s="32" t="s">
        <v>68159</v>
      </c>
      <c r="C32" s="31">
        <v>240.0</v>
      </c>
      <c r="D32" s="32" t="s">
        <v>68160</v>
      </c>
      <c r="E32" s="32" t="s">
        <v>68161</v>
      </c>
      <c r="F32" s="31">
        <v>215.0</v>
      </c>
      <c r="G32" s="31">
        <v>2.40912158E8</v>
      </c>
    </row>
    <row r="33" ht="12.75" customHeight="1">
      <c r="A33" s="27">
        <v>891.0</v>
      </c>
      <c r="B33" s="28" t="s">
        <v>68162</v>
      </c>
      <c r="C33" s="27">
        <v>240.0</v>
      </c>
      <c r="D33" s="28" t="s">
        <v>68163</v>
      </c>
      <c r="E33" s="28" t="s">
        <v>68164</v>
      </c>
      <c r="F33" s="27">
        <v>254.0</v>
      </c>
      <c r="G33" s="27">
        <v>2.40912545E8</v>
      </c>
    </row>
    <row r="34" ht="12.75" customHeight="1">
      <c r="A34" s="31">
        <v>891.0</v>
      </c>
      <c r="B34" s="32" t="s">
        <v>68165</v>
      </c>
      <c r="C34" s="31">
        <v>240.0</v>
      </c>
      <c r="D34" s="32" t="s">
        <v>68166</v>
      </c>
      <c r="E34" s="32" t="s">
        <v>68167</v>
      </c>
      <c r="F34" s="31">
        <v>325.0</v>
      </c>
      <c r="G34" s="31">
        <v>2.40913252E8</v>
      </c>
    </row>
    <row r="35" ht="12.75" customHeight="1">
      <c r="A35" s="27">
        <v>891.0</v>
      </c>
      <c r="B35" s="28" t="s">
        <v>68168</v>
      </c>
      <c r="C35" s="27">
        <v>240.0</v>
      </c>
      <c r="D35" s="28" t="s">
        <v>68169</v>
      </c>
      <c r="E35" s="28" t="s">
        <v>68170</v>
      </c>
      <c r="F35" s="27">
        <v>364.0</v>
      </c>
      <c r="G35" s="27">
        <v>2.40913649E8</v>
      </c>
    </row>
    <row r="36" ht="12.75" customHeight="1">
      <c r="A36" s="31">
        <v>193.0</v>
      </c>
      <c r="B36" s="32" t="s">
        <v>68171</v>
      </c>
      <c r="C36" s="31">
        <v>240.0</v>
      </c>
      <c r="D36" s="32" t="s">
        <v>68172</v>
      </c>
      <c r="E36" s="32" t="s">
        <v>68173</v>
      </c>
      <c r="F36" s="33">
        <v>15.0</v>
      </c>
      <c r="G36" s="31">
        <v>2.40930156E8</v>
      </c>
    </row>
    <row r="37" ht="12.75" customHeight="1">
      <c r="A37" s="27">
        <v>193.0</v>
      </c>
      <c r="B37" s="28" t="s">
        <v>68174</v>
      </c>
      <c r="C37" s="27">
        <v>240.0</v>
      </c>
      <c r="D37" s="28" t="s">
        <v>68175</v>
      </c>
      <c r="E37" s="28" t="s">
        <v>68176</v>
      </c>
      <c r="F37" s="29">
        <v>94.0</v>
      </c>
      <c r="G37" s="27">
        <v>2.40930943E8</v>
      </c>
    </row>
    <row r="38" ht="12.75" customHeight="1">
      <c r="A38" s="31">
        <v>203.0</v>
      </c>
      <c r="B38" s="32" t="s">
        <v>68177</v>
      </c>
      <c r="C38" s="31">
        <v>245.0</v>
      </c>
      <c r="D38" s="32" t="s">
        <v>68178</v>
      </c>
      <c r="E38" s="32" t="s">
        <v>68179</v>
      </c>
      <c r="F38" s="33">
        <v>13.0</v>
      </c>
      <c r="G38" s="31">
        <v>2.4503013E8</v>
      </c>
    </row>
    <row r="39" ht="12.75" customHeight="1">
      <c r="A39" s="27">
        <v>306.0</v>
      </c>
      <c r="B39" s="28" t="s">
        <v>68180</v>
      </c>
      <c r="C39" s="27">
        <v>245.0</v>
      </c>
      <c r="D39" s="28" t="s">
        <v>68181</v>
      </c>
      <c r="E39" s="28" t="s">
        <v>68182</v>
      </c>
      <c r="F39" s="29">
        <v>28.0</v>
      </c>
      <c r="G39" s="27">
        <v>2.45060289E8</v>
      </c>
    </row>
    <row r="40" ht="12.75" customHeight="1">
      <c r="A40" s="31">
        <v>309.0</v>
      </c>
      <c r="B40" s="32" t="s">
        <v>68183</v>
      </c>
      <c r="C40" s="31">
        <v>245.0</v>
      </c>
      <c r="D40" s="32" t="s">
        <v>68184</v>
      </c>
      <c r="E40" s="32" t="s">
        <v>68185</v>
      </c>
      <c r="F40" s="33">
        <v>10.0</v>
      </c>
      <c r="G40" s="31">
        <v>2.45090109E8</v>
      </c>
    </row>
    <row r="41" ht="12.75" customHeight="1">
      <c r="A41" s="27">
        <v>610.0</v>
      </c>
      <c r="B41" s="28" t="s">
        <v>68186</v>
      </c>
      <c r="C41" s="27">
        <v>245.0</v>
      </c>
      <c r="D41" s="28" t="s">
        <v>68187</v>
      </c>
      <c r="E41" s="28" t="s">
        <v>68188</v>
      </c>
      <c r="F41" s="29">
        <v>37.0</v>
      </c>
      <c r="G41" s="27">
        <v>2.45100378E8</v>
      </c>
    </row>
    <row r="42" ht="12.75" customHeight="1">
      <c r="A42" s="31">
        <v>112.0</v>
      </c>
      <c r="B42" s="32" t="s">
        <v>68189</v>
      </c>
      <c r="C42" s="31">
        <v>245.0</v>
      </c>
      <c r="D42" s="32" t="s">
        <v>68190</v>
      </c>
      <c r="E42" s="32" t="s">
        <v>68191</v>
      </c>
      <c r="F42" s="33">
        <v>25.0</v>
      </c>
      <c r="G42" s="31">
        <v>2.45120253E8</v>
      </c>
    </row>
    <row r="43" ht="12.75" customHeight="1">
      <c r="A43" s="27">
        <v>112.0</v>
      </c>
      <c r="B43" s="28" t="s">
        <v>68192</v>
      </c>
      <c r="C43" s="27">
        <v>245.0</v>
      </c>
      <c r="D43" s="28" t="s">
        <v>68193</v>
      </c>
      <c r="E43" s="28" t="s">
        <v>68194</v>
      </c>
      <c r="F43" s="29">
        <v>43.0</v>
      </c>
      <c r="G43" s="27">
        <v>2.45120437E8</v>
      </c>
    </row>
    <row r="44" ht="12.75" customHeight="1">
      <c r="A44" s="31">
        <v>112.0</v>
      </c>
      <c r="B44" s="32" t="s">
        <v>68195</v>
      </c>
      <c r="C44" s="31">
        <v>245.0</v>
      </c>
      <c r="D44" s="32" t="s">
        <v>68196</v>
      </c>
      <c r="E44" s="32" t="s">
        <v>68197</v>
      </c>
      <c r="F44" s="31">
        <v>103.0</v>
      </c>
      <c r="G44" s="31">
        <v>2.45121036E8</v>
      </c>
    </row>
    <row r="45" ht="12.75" customHeight="1">
      <c r="A45" s="27">
        <v>113.0</v>
      </c>
      <c r="B45" s="28" t="s">
        <v>68198</v>
      </c>
      <c r="C45" s="27">
        <v>245.0</v>
      </c>
      <c r="D45" s="28" t="s">
        <v>68199</v>
      </c>
      <c r="E45" s="28" t="s">
        <v>68200</v>
      </c>
      <c r="F45" s="29">
        <v>31.0</v>
      </c>
      <c r="G45" s="27">
        <v>2.45130319E8</v>
      </c>
    </row>
    <row r="46" ht="12.75" customHeight="1">
      <c r="A46" s="31">
        <v>215.0</v>
      </c>
      <c r="B46" s="32" t="s">
        <v>68201</v>
      </c>
      <c r="C46" s="31">
        <v>245.0</v>
      </c>
      <c r="D46" s="32" t="s">
        <v>68202</v>
      </c>
      <c r="E46" s="32" t="s">
        <v>68203</v>
      </c>
      <c r="F46" s="33">
        <v>5.0</v>
      </c>
      <c r="G46" s="31">
        <v>2.45150052E8</v>
      </c>
    </row>
    <row r="47" ht="12.75" customHeight="1">
      <c r="A47" s="27">
        <v>215.0</v>
      </c>
      <c r="B47" s="28" t="s">
        <v>68204</v>
      </c>
      <c r="C47" s="27">
        <v>245.0</v>
      </c>
      <c r="D47" s="28" t="s">
        <v>68205</v>
      </c>
      <c r="E47" s="28" t="s">
        <v>68206</v>
      </c>
      <c r="F47" s="29">
        <v>12.0</v>
      </c>
      <c r="G47" s="27">
        <v>2.45150128E8</v>
      </c>
    </row>
    <row r="48" ht="12.75" customHeight="1">
      <c r="A48" s="31">
        <v>215.0</v>
      </c>
      <c r="B48" s="32" t="s">
        <v>68207</v>
      </c>
      <c r="C48" s="31">
        <v>245.0</v>
      </c>
      <c r="D48" s="32" t="s">
        <v>68208</v>
      </c>
      <c r="E48" s="32" t="s">
        <v>68209</v>
      </c>
      <c r="F48" s="33">
        <v>13.0</v>
      </c>
      <c r="G48" s="31">
        <v>2.45150131E8</v>
      </c>
    </row>
    <row r="49" ht="12.75" customHeight="1">
      <c r="A49" s="27">
        <v>215.0</v>
      </c>
      <c r="B49" s="28" t="s">
        <v>68210</v>
      </c>
      <c r="C49" s="27">
        <v>245.0</v>
      </c>
      <c r="D49" s="28" t="s">
        <v>68211</v>
      </c>
      <c r="E49" s="28" t="s">
        <v>68212</v>
      </c>
      <c r="F49" s="29">
        <v>33.0</v>
      </c>
      <c r="G49" s="27">
        <v>2.45150331E8</v>
      </c>
    </row>
    <row r="50" ht="12.75" customHeight="1">
      <c r="A50" s="31">
        <v>215.0</v>
      </c>
      <c r="B50" s="32" t="s">
        <v>68213</v>
      </c>
      <c r="C50" s="31">
        <v>245.0</v>
      </c>
      <c r="D50" s="32" t="s">
        <v>68214</v>
      </c>
      <c r="E50" s="32" t="s">
        <v>68215</v>
      </c>
      <c r="F50" s="33">
        <v>46.0</v>
      </c>
      <c r="G50" s="31">
        <v>2.45150465E8</v>
      </c>
    </row>
    <row r="51" ht="12.75" customHeight="1">
      <c r="A51" s="27">
        <v>215.0</v>
      </c>
      <c r="B51" s="28" t="s">
        <v>68216</v>
      </c>
      <c r="C51" s="27">
        <v>245.0</v>
      </c>
      <c r="D51" s="28" t="s">
        <v>68217</v>
      </c>
      <c r="E51" s="28" t="s">
        <v>68218</v>
      </c>
      <c r="F51" s="29">
        <v>52.0</v>
      </c>
      <c r="G51" s="27">
        <v>2.45150528E8</v>
      </c>
    </row>
    <row r="52" ht="12.75" customHeight="1">
      <c r="A52" s="31">
        <v>215.0</v>
      </c>
      <c r="B52" s="32" t="s">
        <v>68219</v>
      </c>
      <c r="C52" s="31">
        <v>245.0</v>
      </c>
      <c r="D52" s="32" t="s">
        <v>68220</v>
      </c>
      <c r="E52" s="32" t="s">
        <v>68221</v>
      </c>
      <c r="F52" s="33">
        <v>53.0</v>
      </c>
      <c r="G52" s="31">
        <v>2.45150531E8</v>
      </c>
    </row>
    <row r="53" ht="12.75" customHeight="1">
      <c r="A53" s="27">
        <v>215.0</v>
      </c>
      <c r="B53" s="28" t="s">
        <v>68222</v>
      </c>
      <c r="C53" s="27">
        <v>245.0</v>
      </c>
      <c r="D53" s="28" t="s">
        <v>68223</v>
      </c>
      <c r="E53" s="28" t="s">
        <v>68224</v>
      </c>
      <c r="F53" s="29">
        <v>73.0</v>
      </c>
      <c r="G53" s="27">
        <v>2.45150731E8</v>
      </c>
    </row>
    <row r="54" ht="12.75" customHeight="1">
      <c r="A54" s="31">
        <v>215.0</v>
      </c>
      <c r="B54" s="32" t="s">
        <v>68225</v>
      </c>
      <c r="C54" s="31">
        <v>245.0</v>
      </c>
      <c r="D54" s="32" t="s">
        <v>68226</v>
      </c>
      <c r="E54" s="32" t="s">
        <v>68227</v>
      </c>
      <c r="F54" s="33">
        <v>79.0</v>
      </c>
      <c r="G54" s="31">
        <v>2.45150799E8</v>
      </c>
    </row>
    <row r="55" ht="12.75" customHeight="1">
      <c r="A55" s="27">
        <v>215.0</v>
      </c>
      <c r="B55" s="28" t="s">
        <v>68228</v>
      </c>
      <c r="C55" s="27">
        <v>245.0</v>
      </c>
      <c r="D55" s="28" t="s">
        <v>68229</v>
      </c>
      <c r="E55" s="28" t="s">
        <v>68230</v>
      </c>
      <c r="F55" s="27">
        <v>109.0</v>
      </c>
      <c r="G55" s="27">
        <v>2.45151093E8</v>
      </c>
    </row>
    <row r="56" ht="12.75" customHeight="1">
      <c r="A56" s="31">
        <v>215.0</v>
      </c>
      <c r="B56" s="32" t="s">
        <v>68231</v>
      </c>
      <c r="C56" s="31">
        <v>245.0</v>
      </c>
      <c r="D56" s="32" t="s">
        <v>68232</v>
      </c>
      <c r="E56" s="32" t="s">
        <v>68233</v>
      </c>
      <c r="F56" s="31">
        <v>117.0</v>
      </c>
      <c r="G56" s="31">
        <v>2.45151172E8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68234</v>
      </c>
      <c r="C1" s="27">
        <v>245.0</v>
      </c>
      <c r="D1" s="28" t="s">
        <v>68235</v>
      </c>
      <c r="E1" s="28" t="s">
        <v>68236</v>
      </c>
      <c r="F1" s="27">
        <v>121.0</v>
      </c>
      <c r="G1" s="27">
        <v>2.45151219E8</v>
      </c>
    </row>
    <row r="2" ht="12.75" customHeight="1">
      <c r="A2" s="31">
        <v>215.0</v>
      </c>
      <c r="B2" s="32" t="s">
        <v>68237</v>
      </c>
      <c r="C2" s="31">
        <v>245.0</v>
      </c>
      <c r="D2" s="32" t="s">
        <v>68238</v>
      </c>
      <c r="E2" s="32" t="s">
        <v>68239</v>
      </c>
      <c r="F2" s="31">
        <v>193.0</v>
      </c>
      <c r="G2" s="31">
        <v>2.4515193E8</v>
      </c>
    </row>
    <row r="3" ht="12.75" customHeight="1">
      <c r="A3" s="27">
        <v>215.0</v>
      </c>
      <c r="B3" s="28" t="s">
        <v>68240</v>
      </c>
      <c r="C3" s="27">
        <v>245.0</v>
      </c>
      <c r="D3" s="28" t="s">
        <v>68241</v>
      </c>
      <c r="E3" s="28" t="s">
        <v>68242</v>
      </c>
      <c r="F3" s="27">
        <v>202.0</v>
      </c>
      <c r="G3" s="27">
        <v>2.45152021E8</v>
      </c>
    </row>
    <row r="4" ht="12.75" customHeight="1">
      <c r="A4" s="31">
        <v>215.0</v>
      </c>
      <c r="B4" s="32" t="s">
        <v>68243</v>
      </c>
      <c r="C4" s="31">
        <v>245.0</v>
      </c>
      <c r="D4" s="32" t="s">
        <v>68244</v>
      </c>
      <c r="E4" s="32" t="s">
        <v>68245</v>
      </c>
      <c r="F4" s="31">
        <v>217.0</v>
      </c>
      <c r="G4" s="31">
        <v>2.45152171E8</v>
      </c>
    </row>
    <row r="5" ht="12.75" customHeight="1">
      <c r="A5" s="27">
        <v>215.0</v>
      </c>
      <c r="B5" s="28" t="s">
        <v>68246</v>
      </c>
      <c r="C5" s="27">
        <v>245.0</v>
      </c>
      <c r="D5" s="28" t="s">
        <v>68247</v>
      </c>
      <c r="E5" s="28" t="s">
        <v>68248</v>
      </c>
      <c r="F5" s="27">
        <v>256.0</v>
      </c>
      <c r="G5" s="27">
        <v>2.45152568E8</v>
      </c>
    </row>
    <row r="6" ht="12.75" customHeight="1">
      <c r="A6" s="31">
        <v>215.0</v>
      </c>
      <c r="B6" s="32" t="s">
        <v>68249</v>
      </c>
      <c r="C6" s="31">
        <v>245.0</v>
      </c>
      <c r="D6" s="32" t="s">
        <v>68250</v>
      </c>
      <c r="E6" s="32" t="s">
        <v>68251</v>
      </c>
      <c r="F6" s="31">
        <v>274.0</v>
      </c>
      <c r="G6" s="31">
        <v>2.45152742E8</v>
      </c>
    </row>
    <row r="7" ht="12.75" customHeight="1">
      <c r="A7" s="27">
        <v>215.0</v>
      </c>
      <c r="B7" s="28" t="s">
        <v>68252</v>
      </c>
      <c r="C7" s="27">
        <v>245.0</v>
      </c>
      <c r="D7" s="28" t="s">
        <v>68253</v>
      </c>
      <c r="E7" s="28" t="s">
        <v>68254</v>
      </c>
      <c r="F7" s="27">
        <v>301.0</v>
      </c>
      <c r="G7" s="27">
        <v>2.45153017E8</v>
      </c>
    </row>
    <row r="8" ht="12.75" customHeight="1">
      <c r="A8" s="31">
        <v>215.0</v>
      </c>
      <c r="B8" s="32" t="s">
        <v>68255</v>
      </c>
      <c r="C8" s="31">
        <v>245.0</v>
      </c>
      <c r="D8" s="32" t="s">
        <v>68256</v>
      </c>
      <c r="E8" s="32" t="s">
        <v>68257</v>
      </c>
      <c r="F8" s="31">
        <v>316.0</v>
      </c>
      <c r="G8" s="31">
        <v>2.45153167E8</v>
      </c>
    </row>
    <row r="9" ht="12.75" customHeight="1">
      <c r="A9" s="27">
        <v>215.0</v>
      </c>
      <c r="B9" s="28" t="s">
        <v>68258</v>
      </c>
      <c r="C9" s="27">
        <v>245.0</v>
      </c>
      <c r="D9" s="28" t="s">
        <v>68259</v>
      </c>
      <c r="E9" s="28" t="s">
        <v>68260</v>
      </c>
      <c r="F9" s="27">
        <v>322.0</v>
      </c>
      <c r="G9" s="27">
        <v>2.4515322E8</v>
      </c>
    </row>
    <row r="10" ht="12.75" customHeight="1">
      <c r="A10" s="31">
        <v>215.0</v>
      </c>
      <c r="B10" s="32" t="s">
        <v>68261</v>
      </c>
      <c r="C10" s="31">
        <v>245.0</v>
      </c>
      <c r="D10" s="32" t="s">
        <v>68262</v>
      </c>
      <c r="E10" s="32" t="s">
        <v>68263</v>
      </c>
      <c r="F10" s="31">
        <v>364.0</v>
      </c>
      <c r="G10" s="31">
        <v>2.45153646E8</v>
      </c>
    </row>
    <row r="11" ht="12.75" customHeight="1">
      <c r="A11" s="27">
        <v>215.0</v>
      </c>
      <c r="B11" s="28" t="s">
        <v>68264</v>
      </c>
      <c r="C11" s="27">
        <v>245.0</v>
      </c>
      <c r="D11" s="28" t="s">
        <v>68265</v>
      </c>
      <c r="E11" s="28" t="s">
        <v>68266</v>
      </c>
      <c r="F11" s="27">
        <v>373.0</v>
      </c>
      <c r="G11" s="27">
        <v>2.45153738E8</v>
      </c>
    </row>
    <row r="12" ht="12.75" customHeight="1">
      <c r="A12" s="31">
        <v>215.0</v>
      </c>
      <c r="B12" s="32" t="s">
        <v>68267</v>
      </c>
      <c r="C12" s="31">
        <v>245.0</v>
      </c>
      <c r="D12" s="32" t="s">
        <v>68268</v>
      </c>
      <c r="E12" s="32" t="s">
        <v>68269</v>
      </c>
      <c r="F12" s="31">
        <v>397.0</v>
      </c>
      <c r="G12" s="31">
        <v>2.4515397E8</v>
      </c>
    </row>
    <row r="13" ht="12.75" customHeight="1">
      <c r="A13" s="27">
        <v>215.0</v>
      </c>
      <c r="B13" s="28" t="s">
        <v>68270</v>
      </c>
      <c r="C13" s="27">
        <v>245.0</v>
      </c>
      <c r="D13" s="28" t="s">
        <v>68271</v>
      </c>
      <c r="E13" s="28" t="s">
        <v>68272</v>
      </c>
      <c r="F13" s="27">
        <v>409.0</v>
      </c>
      <c r="G13" s="27">
        <v>2.4515409E8</v>
      </c>
    </row>
    <row r="14" ht="12.75" customHeight="1">
      <c r="A14" s="31">
        <v>215.0</v>
      </c>
      <c r="B14" s="32" t="s">
        <v>68273</v>
      </c>
      <c r="C14" s="31">
        <v>245.0</v>
      </c>
      <c r="D14" s="32" t="s">
        <v>68274</v>
      </c>
      <c r="E14" s="32" t="s">
        <v>68275</v>
      </c>
      <c r="F14" s="31">
        <v>427.0</v>
      </c>
      <c r="G14" s="31">
        <v>2.45154274E8</v>
      </c>
    </row>
    <row r="15" ht="12.75" customHeight="1">
      <c r="A15" s="27">
        <v>215.0</v>
      </c>
      <c r="B15" s="28" t="s">
        <v>68276</v>
      </c>
      <c r="C15" s="27">
        <v>245.0</v>
      </c>
      <c r="D15" s="28" t="s">
        <v>68277</v>
      </c>
      <c r="E15" s="28" t="s">
        <v>68278</v>
      </c>
      <c r="F15" s="27">
        <v>466.0</v>
      </c>
      <c r="G15" s="27">
        <v>2.45154661E8</v>
      </c>
    </row>
    <row r="16" ht="12.75" customHeight="1">
      <c r="A16" s="31">
        <v>215.0</v>
      </c>
      <c r="B16" s="32" t="s">
        <v>68279</v>
      </c>
      <c r="C16" s="31">
        <v>245.0</v>
      </c>
      <c r="D16" s="32" t="s">
        <v>68280</v>
      </c>
      <c r="E16" s="32" t="s">
        <v>68281</v>
      </c>
      <c r="F16" s="31">
        <v>475.0</v>
      </c>
      <c r="G16" s="31">
        <v>2.45154753E8</v>
      </c>
    </row>
    <row r="17" ht="12.75" customHeight="1">
      <c r="A17" s="27">
        <v>215.0</v>
      </c>
      <c r="B17" s="28" t="s">
        <v>68282</v>
      </c>
      <c r="C17" s="27">
        <v>245.0</v>
      </c>
      <c r="D17" s="28" t="s">
        <v>68283</v>
      </c>
      <c r="E17" s="28" t="s">
        <v>68284</v>
      </c>
      <c r="F17" s="27">
        <v>532.0</v>
      </c>
      <c r="G17" s="27">
        <v>2.45155323E8</v>
      </c>
    </row>
    <row r="18" ht="12.75" customHeight="1">
      <c r="A18" s="31">
        <v>215.0</v>
      </c>
      <c r="B18" s="32" t="s">
        <v>68285</v>
      </c>
      <c r="C18" s="31">
        <v>245.0</v>
      </c>
      <c r="D18" s="32" t="s">
        <v>68286</v>
      </c>
      <c r="E18" s="32" t="s">
        <v>68287</v>
      </c>
      <c r="F18" s="31">
        <v>559.0</v>
      </c>
      <c r="G18" s="31">
        <v>2.45155594E8</v>
      </c>
    </row>
    <row r="19" ht="12.75" customHeight="1">
      <c r="A19" s="27">
        <v>215.0</v>
      </c>
      <c r="B19" s="28" t="s">
        <v>68288</v>
      </c>
      <c r="C19" s="27">
        <v>245.0</v>
      </c>
      <c r="D19" s="28" t="s">
        <v>68289</v>
      </c>
      <c r="E19" s="28" t="s">
        <v>68290</v>
      </c>
      <c r="F19" s="27">
        <v>571.0</v>
      </c>
      <c r="G19" s="27">
        <v>2.4515571E8</v>
      </c>
    </row>
    <row r="20" ht="12.75" customHeight="1">
      <c r="A20" s="31">
        <v>215.0</v>
      </c>
      <c r="B20" s="32" t="s">
        <v>68291</v>
      </c>
      <c r="C20" s="31">
        <v>245.0</v>
      </c>
      <c r="D20" s="32" t="s">
        <v>68292</v>
      </c>
      <c r="E20" s="32" t="s">
        <v>68293</v>
      </c>
      <c r="F20" s="31">
        <v>580.0</v>
      </c>
      <c r="G20" s="31">
        <v>2.45155802E8</v>
      </c>
    </row>
    <row r="21" ht="12.75" customHeight="1">
      <c r="A21" s="27">
        <v>215.0</v>
      </c>
      <c r="B21" s="28" t="s">
        <v>68294</v>
      </c>
      <c r="C21" s="27">
        <v>245.0</v>
      </c>
      <c r="D21" s="28" t="s">
        <v>68295</v>
      </c>
      <c r="E21" s="28" t="s">
        <v>68296</v>
      </c>
      <c r="F21" s="27">
        <v>592.0</v>
      </c>
      <c r="G21" s="27">
        <v>2.45155923E8</v>
      </c>
    </row>
    <row r="22" ht="12.75" customHeight="1">
      <c r="A22" s="31">
        <v>215.0</v>
      </c>
      <c r="B22" s="32" t="s">
        <v>68297</v>
      </c>
      <c r="C22" s="31">
        <v>245.0</v>
      </c>
      <c r="D22" s="32" t="s">
        <v>68298</v>
      </c>
      <c r="E22" s="32" t="s">
        <v>68299</v>
      </c>
      <c r="F22" s="31">
        <v>622.0</v>
      </c>
      <c r="G22" s="31">
        <v>2.45156227E8</v>
      </c>
    </row>
    <row r="23" ht="12.75" customHeight="1">
      <c r="A23" s="27">
        <v>215.0</v>
      </c>
      <c r="B23" s="28" t="s">
        <v>68300</v>
      </c>
      <c r="C23" s="27">
        <v>245.0</v>
      </c>
      <c r="D23" s="28" t="s">
        <v>68301</v>
      </c>
      <c r="E23" s="28" t="s">
        <v>68302</v>
      </c>
      <c r="F23" s="27">
        <v>640.0</v>
      </c>
      <c r="G23" s="27">
        <v>2.45156401E8</v>
      </c>
    </row>
    <row r="24" ht="12.75" customHeight="1">
      <c r="A24" s="31">
        <v>215.0</v>
      </c>
      <c r="B24" s="32" t="s">
        <v>68303</v>
      </c>
      <c r="C24" s="31">
        <v>245.0</v>
      </c>
      <c r="D24" s="32" t="s">
        <v>68304</v>
      </c>
      <c r="E24" s="32" t="s">
        <v>68305</v>
      </c>
      <c r="F24" s="31">
        <v>649.0</v>
      </c>
      <c r="G24" s="31">
        <v>2.45156498E8</v>
      </c>
    </row>
    <row r="25" ht="12.75" customHeight="1">
      <c r="A25" s="27">
        <v>215.0</v>
      </c>
      <c r="B25" s="28" t="s">
        <v>68306</v>
      </c>
      <c r="C25" s="27">
        <v>245.0</v>
      </c>
      <c r="D25" s="28" t="s">
        <v>68307</v>
      </c>
      <c r="E25" s="28" t="s">
        <v>68308</v>
      </c>
      <c r="F25" s="27">
        <v>673.0</v>
      </c>
      <c r="G25" s="27">
        <v>2.45156735E8</v>
      </c>
    </row>
    <row r="26" ht="12.75" customHeight="1">
      <c r="A26" s="31">
        <v>215.0</v>
      </c>
      <c r="B26" s="32" t="s">
        <v>68309</v>
      </c>
      <c r="C26" s="31">
        <v>245.0</v>
      </c>
      <c r="D26" s="32" t="s">
        <v>68310</v>
      </c>
      <c r="E26" s="32" t="s">
        <v>68311</v>
      </c>
      <c r="F26" s="31">
        <v>751.0</v>
      </c>
      <c r="G26" s="31">
        <v>2.45157518E8</v>
      </c>
    </row>
    <row r="27" ht="12.75" customHeight="1">
      <c r="A27" s="27">
        <v>418.0</v>
      </c>
      <c r="B27" s="28" t="s">
        <v>68312</v>
      </c>
      <c r="C27" s="27">
        <v>245.0</v>
      </c>
      <c r="D27" s="28" t="s">
        <v>68313</v>
      </c>
      <c r="E27" s="28" t="s">
        <v>68314</v>
      </c>
      <c r="F27" s="29">
        <v>19.0</v>
      </c>
      <c r="G27" s="27">
        <v>2.45180198E8</v>
      </c>
    </row>
    <row r="28" ht="12.75" customHeight="1">
      <c r="A28" s="31">
        <v>119.0</v>
      </c>
      <c r="B28" s="32" t="s">
        <v>68315</v>
      </c>
      <c r="C28" s="31">
        <v>245.0</v>
      </c>
      <c r="D28" s="32" t="s">
        <v>68316</v>
      </c>
      <c r="E28" s="32" t="s">
        <v>68317</v>
      </c>
      <c r="F28" s="33">
        <v>15.0</v>
      </c>
      <c r="G28" s="31">
        <v>2.45190159E8</v>
      </c>
    </row>
    <row r="29" ht="12.75" customHeight="1">
      <c r="A29" s="27">
        <v>119.0</v>
      </c>
      <c r="B29" s="28" t="s">
        <v>68318</v>
      </c>
      <c r="C29" s="27">
        <v>245.0</v>
      </c>
      <c r="D29" s="28" t="s">
        <v>68319</v>
      </c>
      <c r="E29" s="28" t="s">
        <v>68320</v>
      </c>
      <c r="F29" s="27">
        <v>115.0</v>
      </c>
      <c r="G29" s="27">
        <v>2.45191158E8</v>
      </c>
    </row>
    <row r="30" ht="12.75" customHeight="1">
      <c r="A30" s="31">
        <v>222.0</v>
      </c>
      <c r="B30" s="32" t="s">
        <v>68321</v>
      </c>
      <c r="C30" s="31">
        <v>245.0</v>
      </c>
      <c r="D30" s="32" t="s">
        <v>68322</v>
      </c>
      <c r="E30" s="32" t="s">
        <v>68323</v>
      </c>
      <c r="F30" s="33">
        <v>16.0</v>
      </c>
      <c r="G30" s="31">
        <v>2.45220166E8</v>
      </c>
    </row>
    <row r="31" ht="12.75" customHeight="1">
      <c r="A31" s="27">
        <v>222.0</v>
      </c>
      <c r="B31" s="28" t="s">
        <v>68324</v>
      </c>
      <c r="C31" s="27">
        <v>245.0</v>
      </c>
      <c r="D31" s="28" t="s">
        <v>68325</v>
      </c>
      <c r="E31" s="28" t="s">
        <v>68326</v>
      </c>
      <c r="F31" s="29">
        <v>25.0</v>
      </c>
      <c r="G31" s="27">
        <v>2.45220258E8</v>
      </c>
    </row>
    <row r="32" ht="12.75" customHeight="1">
      <c r="A32" s="31">
        <v>222.0</v>
      </c>
      <c r="B32" s="32" t="s">
        <v>68327</v>
      </c>
      <c r="C32" s="31">
        <v>245.0</v>
      </c>
      <c r="D32" s="32" t="s">
        <v>68328</v>
      </c>
      <c r="E32" s="32" t="s">
        <v>68329</v>
      </c>
      <c r="F32" s="33">
        <v>40.0</v>
      </c>
      <c r="G32" s="31">
        <v>2.45220403E8</v>
      </c>
    </row>
    <row r="33" ht="12.75" customHeight="1">
      <c r="A33" s="27">
        <v>126.0</v>
      </c>
      <c r="B33" s="28" t="s">
        <v>68330</v>
      </c>
      <c r="C33" s="27">
        <v>245.0</v>
      </c>
      <c r="D33" s="28" t="s">
        <v>68331</v>
      </c>
      <c r="E33" s="28" t="s">
        <v>68332</v>
      </c>
      <c r="F33" s="29">
        <v>18.0</v>
      </c>
      <c r="G33" s="27">
        <v>2.45260184E8</v>
      </c>
    </row>
    <row r="34" ht="12.75" customHeight="1">
      <c r="A34" s="31">
        <v>126.0</v>
      </c>
      <c r="B34" s="32" t="s">
        <v>68333</v>
      </c>
      <c r="C34" s="31">
        <v>245.0</v>
      </c>
      <c r="D34" s="32" t="s">
        <v>68334</v>
      </c>
      <c r="E34" s="32" t="s">
        <v>68335</v>
      </c>
      <c r="F34" s="33">
        <v>43.0</v>
      </c>
      <c r="G34" s="31">
        <v>2.45260434E8</v>
      </c>
    </row>
    <row r="35" ht="12.75" customHeight="1">
      <c r="A35" s="27">
        <v>126.0</v>
      </c>
      <c r="B35" s="28" t="s">
        <v>68336</v>
      </c>
      <c r="C35" s="27">
        <v>245.0</v>
      </c>
      <c r="D35" s="28" t="s">
        <v>68337</v>
      </c>
      <c r="E35" s="28" t="s">
        <v>68338</v>
      </c>
      <c r="F35" s="29">
        <v>45.0</v>
      </c>
      <c r="G35" s="27">
        <v>2.4526045E8</v>
      </c>
    </row>
    <row r="36" ht="12.75" customHeight="1">
      <c r="A36" s="31">
        <v>126.0</v>
      </c>
      <c r="B36" s="32" t="s">
        <v>68339</v>
      </c>
      <c r="C36" s="31">
        <v>245.0</v>
      </c>
      <c r="D36" s="32" t="s">
        <v>68340</v>
      </c>
      <c r="E36" s="32" t="s">
        <v>68341</v>
      </c>
      <c r="F36" s="33">
        <v>50.0</v>
      </c>
      <c r="G36" s="31">
        <v>2.452605E8</v>
      </c>
    </row>
    <row r="37" ht="12.75" customHeight="1">
      <c r="A37" s="27">
        <v>126.0</v>
      </c>
      <c r="B37" s="28" t="s">
        <v>68342</v>
      </c>
      <c r="C37" s="27">
        <v>245.0</v>
      </c>
      <c r="D37" s="28" t="s">
        <v>68343</v>
      </c>
      <c r="E37" s="28" t="s">
        <v>68344</v>
      </c>
      <c r="F37" s="29">
        <v>55.0</v>
      </c>
      <c r="G37" s="27">
        <v>2.45260555E8</v>
      </c>
    </row>
    <row r="38" ht="12.75" customHeight="1">
      <c r="A38" s="31">
        <v>126.0</v>
      </c>
      <c r="B38" s="32" t="s">
        <v>68345</v>
      </c>
      <c r="C38" s="31">
        <v>245.0</v>
      </c>
      <c r="D38" s="32" t="s">
        <v>68346</v>
      </c>
      <c r="E38" s="32" t="s">
        <v>68347</v>
      </c>
      <c r="F38" s="33">
        <v>72.0</v>
      </c>
      <c r="G38" s="31">
        <v>2.45260726E8</v>
      </c>
    </row>
    <row r="39" ht="12.75" customHeight="1">
      <c r="A39" s="27">
        <v>126.0</v>
      </c>
      <c r="B39" s="28" t="s">
        <v>68348</v>
      </c>
      <c r="C39" s="27">
        <v>245.0</v>
      </c>
      <c r="D39" s="28" t="s">
        <v>68349</v>
      </c>
      <c r="E39" s="28" t="s">
        <v>68350</v>
      </c>
      <c r="F39" s="29">
        <v>74.0</v>
      </c>
      <c r="G39" s="27">
        <v>2.45260742E8</v>
      </c>
    </row>
    <row r="40" ht="12.75" customHeight="1">
      <c r="A40" s="31">
        <v>126.0</v>
      </c>
      <c r="B40" s="32" t="s">
        <v>68351</v>
      </c>
      <c r="C40" s="31">
        <v>245.0</v>
      </c>
      <c r="D40" s="32" t="s">
        <v>68352</v>
      </c>
      <c r="E40" s="32" t="s">
        <v>68353</v>
      </c>
      <c r="F40" s="33">
        <v>91.0</v>
      </c>
      <c r="G40" s="31">
        <v>2.45260913E8</v>
      </c>
    </row>
    <row r="41" ht="12.75" customHeight="1">
      <c r="A41" s="27">
        <v>126.0</v>
      </c>
      <c r="B41" s="28" t="s">
        <v>68354</v>
      </c>
      <c r="C41" s="27">
        <v>245.0</v>
      </c>
      <c r="D41" s="28" t="s">
        <v>68355</v>
      </c>
      <c r="E41" s="28" t="s">
        <v>68356</v>
      </c>
      <c r="F41" s="29">
        <v>94.0</v>
      </c>
      <c r="G41" s="27">
        <v>2.45260942E8</v>
      </c>
    </row>
    <row r="42" ht="12.75" customHeight="1">
      <c r="A42" s="31">
        <v>126.0</v>
      </c>
      <c r="B42" s="32" t="s">
        <v>68357</v>
      </c>
      <c r="C42" s="31">
        <v>245.0</v>
      </c>
      <c r="D42" s="32" t="s">
        <v>68358</v>
      </c>
      <c r="E42" s="32" t="s">
        <v>68359</v>
      </c>
      <c r="F42" s="31">
        <v>118.0</v>
      </c>
      <c r="G42" s="31">
        <v>2.45261183E8</v>
      </c>
    </row>
    <row r="43" ht="12.75" customHeight="1">
      <c r="A43" s="27">
        <v>126.0</v>
      </c>
      <c r="B43" s="28" t="s">
        <v>68360</v>
      </c>
      <c r="C43" s="27">
        <v>245.0</v>
      </c>
      <c r="D43" s="28" t="s">
        <v>68361</v>
      </c>
      <c r="E43" s="28" t="s">
        <v>68362</v>
      </c>
      <c r="F43" s="27">
        <v>133.0</v>
      </c>
      <c r="G43" s="27">
        <v>2.45261338E8</v>
      </c>
    </row>
    <row r="44" ht="12.75" customHeight="1">
      <c r="A44" s="31">
        <v>126.0</v>
      </c>
      <c r="B44" s="32" t="s">
        <v>68363</v>
      </c>
      <c r="C44" s="31">
        <v>245.0</v>
      </c>
      <c r="D44" s="32" t="s">
        <v>68364</v>
      </c>
      <c r="E44" s="32" t="s">
        <v>68365</v>
      </c>
      <c r="F44" s="31">
        <v>139.0</v>
      </c>
      <c r="G44" s="31">
        <v>2.45261396E8</v>
      </c>
    </row>
    <row r="45" ht="12.75" customHeight="1">
      <c r="A45" s="27">
        <v>126.0</v>
      </c>
      <c r="B45" s="28" t="s">
        <v>68366</v>
      </c>
      <c r="C45" s="27">
        <v>245.0</v>
      </c>
      <c r="D45" s="28" t="s">
        <v>68367</v>
      </c>
      <c r="E45" s="28" t="s">
        <v>68368</v>
      </c>
      <c r="F45" s="27">
        <v>151.0</v>
      </c>
      <c r="G45" s="27">
        <v>2.45261512E8</v>
      </c>
    </row>
    <row r="46" ht="12.75" customHeight="1">
      <c r="A46" s="31">
        <v>126.0</v>
      </c>
      <c r="B46" s="32" t="s">
        <v>68369</v>
      </c>
      <c r="C46" s="31">
        <v>245.0</v>
      </c>
      <c r="D46" s="32" t="s">
        <v>68370</v>
      </c>
      <c r="E46" s="32" t="s">
        <v>68371</v>
      </c>
      <c r="F46" s="31">
        <v>172.0</v>
      </c>
      <c r="G46" s="31">
        <v>2.45261725E8</v>
      </c>
    </row>
    <row r="47" ht="12.75" customHeight="1">
      <c r="A47" s="27">
        <v>126.0</v>
      </c>
      <c r="B47" s="28" t="s">
        <v>68372</v>
      </c>
      <c r="C47" s="27">
        <v>245.0</v>
      </c>
      <c r="D47" s="28" t="s">
        <v>68373</v>
      </c>
      <c r="E47" s="28" t="s">
        <v>68374</v>
      </c>
      <c r="F47" s="27">
        <v>173.0</v>
      </c>
      <c r="G47" s="27">
        <v>2.45261738E8</v>
      </c>
    </row>
    <row r="48" ht="12.75" customHeight="1">
      <c r="A48" s="31">
        <v>126.0</v>
      </c>
      <c r="B48" s="32" t="s">
        <v>68375</v>
      </c>
      <c r="C48" s="31">
        <v>245.0</v>
      </c>
      <c r="D48" s="32" t="s">
        <v>68376</v>
      </c>
      <c r="E48" s="32" t="s">
        <v>68377</v>
      </c>
      <c r="F48" s="31">
        <v>253.0</v>
      </c>
      <c r="G48" s="31">
        <v>2.45262537E8</v>
      </c>
    </row>
    <row r="49" ht="12.75" customHeight="1">
      <c r="A49" s="27">
        <v>126.0</v>
      </c>
      <c r="B49" s="28" t="s">
        <v>68378</v>
      </c>
      <c r="C49" s="27">
        <v>245.0</v>
      </c>
      <c r="D49" s="28" t="s">
        <v>68379</v>
      </c>
      <c r="E49" s="28" t="s">
        <v>68380</v>
      </c>
      <c r="F49" s="27">
        <v>298.0</v>
      </c>
      <c r="G49" s="27">
        <v>2.45262982E8</v>
      </c>
    </row>
    <row r="50" ht="12.75" customHeight="1">
      <c r="A50" s="31">
        <v>126.0</v>
      </c>
      <c r="B50" s="32" t="s">
        <v>68381</v>
      </c>
      <c r="C50" s="31">
        <v>245.0</v>
      </c>
      <c r="D50" s="32" t="s">
        <v>68382</v>
      </c>
      <c r="E50" s="32" t="s">
        <v>68383</v>
      </c>
      <c r="F50" s="31">
        <v>307.0</v>
      </c>
      <c r="G50" s="31">
        <v>2.45263073E8</v>
      </c>
    </row>
    <row r="51" ht="12.75" customHeight="1">
      <c r="A51" s="27">
        <v>126.0</v>
      </c>
      <c r="B51" s="28" t="s">
        <v>68384</v>
      </c>
      <c r="C51" s="27">
        <v>245.0</v>
      </c>
      <c r="D51" s="28" t="s">
        <v>68385</v>
      </c>
      <c r="E51" s="28" t="s">
        <v>68386</v>
      </c>
      <c r="F51" s="27">
        <v>319.0</v>
      </c>
      <c r="G51" s="27">
        <v>2.45263194E8</v>
      </c>
    </row>
    <row r="52" ht="12.75" customHeight="1">
      <c r="A52" s="31">
        <v>126.0</v>
      </c>
      <c r="B52" s="32" t="s">
        <v>68387</v>
      </c>
      <c r="C52" s="31">
        <v>245.0</v>
      </c>
      <c r="D52" s="32" t="s">
        <v>68388</v>
      </c>
      <c r="E52" s="32" t="s">
        <v>68389</v>
      </c>
      <c r="F52" s="31">
        <v>328.0</v>
      </c>
      <c r="G52" s="31">
        <v>2.45263286E8</v>
      </c>
    </row>
    <row r="53" ht="12.75" customHeight="1">
      <c r="A53" s="27">
        <v>126.0</v>
      </c>
      <c r="B53" s="28" t="s">
        <v>68390</v>
      </c>
      <c r="C53" s="27">
        <v>245.0</v>
      </c>
      <c r="D53" s="28" t="s">
        <v>68391</v>
      </c>
      <c r="E53" s="28" t="s">
        <v>68392</v>
      </c>
      <c r="F53" s="27">
        <v>341.0</v>
      </c>
      <c r="G53" s="27">
        <v>2.45263415E8</v>
      </c>
    </row>
    <row r="54" ht="12.75" customHeight="1">
      <c r="A54" s="31">
        <v>126.0</v>
      </c>
      <c r="B54" s="32" t="s">
        <v>68393</v>
      </c>
      <c r="C54" s="31">
        <v>245.0</v>
      </c>
      <c r="D54" s="32" t="s">
        <v>68394</v>
      </c>
      <c r="E54" s="32" t="s">
        <v>68395</v>
      </c>
      <c r="F54" s="31">
        <v>370.0</v>
      </c>
      <c r="G54" s="31">
        <v>2.45263707E8</v>
      </c>
    </row>
    <row r="55" ht="12.75" customHeight="1">
      <c r="A55" s="27">
        <v>126.0</v>
      </c>
      <c r="B55" s="28" t="s">
        <v>68396</v>
      </c>
      <c r="C55" s="27">
        <v>245.0</v>
      </c>
      <c r="D55" s="28" t="s">
        <v>68397</v>
      </c>
      <c r="E55" s="28" t="s">
        <v>68398</v>
      </c>
      <c r="F55" s="27">
        <v>402.0</v>
      </c>
      <c r="G55" s="27">
        <v>2.45264027E8</v>
      </c>
    </row>
    <row r="56" ht="12.75" customHeight="1">
      <c r="A56" s="31">
        <v>126.0</v>
      </c>
      <c r="B56" s="32" t="s">
        <v>68399</v>
      </c>
      <c r="C56" s="31">
        <v>245.0</v>
      </c>
      <c r="D56" s="32" t="s">
        <v>68400</v>
      </c>
      <c r="E56" s="32" t="s">
        <v>68401</v>
      </c>
      <c r="F56" s="31">
        <v>409.0</v>
      </c>
      <c r="G56" s="31">
        <v>2.45264098E8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68402</v>
      </c>
      <c r="C1" s="27">
        <v>245.0</v>
      </c>
      <c r="D1" s="28" t="s">
        <v>68403</v>
      </c>
      <c r="E1" s="28" t="s">
        <v>68404</v>
      </c>
      <c r="F1" s="27">
        <v>448.0</v>
      </c>
      <c r="G1" s="27">
        <v>2.45264485E8</v>
      </c>
    </row>
    <row r="2" ht="12.75" customHeight="1">
      <c r="A2" s="31">
        <v>126.0</v>
      </c>
      <c r="B2" s="32" t="s">
        <v>68405</v>
      </c>
      <c r="C2" s="31">
        <v>245.0</v>
      </c>
      <c r="D2" s="32" t="s">
        <v>68406</v>
      </c>
      <c r="E2" s="32" t="s">
        <v>68407</v>
      </c>
      <c r="F2" s="31">
        <v>460.0</v>
      </c>
      <c r="G2" s="31">
        <v>2.45264601E8</v>
      </c>
    </row>
    <row r="3" ht="12.75" customHeight="1">
      <c r="A3" s="27">
        <v>126.0</v>
      </c>
      <c r="B3" s="28" t="s">
        <v>68408</v>
      </c>
      <c r="C3" s="27">
        <v>245.0</v>
      </c>
      <c r="D3" s="28" t="s">
        <v>68409</v>
      </c>
      <c r="E3" s="28" t="s">
        <v>68410</v>
      </c>
      <c r="F3" s="27">
        <v>463.0</v>
      </c>
      <c r="G3" s="27">
        <v>2.4526463E8</v>
      </c>
    </row>
    <row r="4" ht="12.75" customHeight="1">
      <c r="A4" s="31">
        <v>127.0</v>
      </c>
      <c r="B4" s="32" t="s">
        <v>68411</v>
      </c>
      <c r="C4" s="31">
        <v>245.0</v>
      </c>
      <c r="D4" s="32" t="s">
        <v>68412</v>
      </c>
      <c r="E4" s="32" t="s">
        <v>68413</v>
      </c>
      <c r="F4" s="33">
        <v>0.0</v>
      </c>
      <c r="G4" s="31">
        <v>2.45270008E8</v>
      </c>
    </row>
    <row r="5" ht="12.75" customHeight="1">
      <c r="A5" s="27">
        <v>127.0</v>
      </c>
      <c r="B5" s="28" t="s">
        <v>68414</v>
      </c>
      <c r="C5" s="27">
        <v>245.0</v>
      </c>
      <c r="D5" s="28" t="s">
        <v>68415</v>
      </c>
      <c r="E5" s="28" t="s">
        <v>68416</v>
      </c>
      <c r="F5" s="29">
        <v>8.0</v>
      </c>
      <c r="G5" s="27">
        <v>2.45270082E8</v>
      </c>
    </row>
    <row r="6" ht="12.75" customHeight="1">
      <c r="A6" s="31">
        <v>127.0</v>
      </c>
      <c r="B6" s="32" t="s">
        <v>68417</v>
      </c>
      <c r="C6" s="31">
        <v>245.0</v>
      </c>
      <c r="D6" s="32" t="s">
        <v>68418</v>
      </c>
      <c r="E6" s="32" t="s">
        <v>68419</v>
      </c>
      <c r="F6" s="33">
        <v>88.0</v>
      </c>
      <c r="G6" s="31">
        <v>2.45270882E8</v>
      </c>
    </row>
    <row r="7" ht="12.75" customHeight="1">
      <c r="A7" s="27">
        <v>127.0</v>
      </c>
      <c r="B7" s="28" t="s">
        <v>68420</v>
      </c>
      <c r="C7" s="27">
        <v>245.0</v>
      </c>
      <c r="D7" s="28" t="s">
        <v>68421</v>
      </c>
      <c r="E7" s="28" t="s">
        <v>68422</v>
      </c>
      <c r="F7" s="27">
        <v>109.0</v>
      </c>
      <c r="G7" s="27">
        <v>2.45271094E8</v>
      </c>
    </row>
    <row r="8" ht="12.75" customHeight="1">
      <c r="A8" s="31">
        <v>127.0</v>
      </c>
      <c r="B8" s="32" t="s">
        <v>68423</v>
      </c>
      <c r="C8" s="31">
        <v>245.0</v>
      </c>
      <c r="D8" s="32" t="s">
        <v>68424</v>
      </c>
      <c r="E8" s="32" t="s">
        <v>68425</v>
      </c>
      <c r="F8" s="31">
        <v>142.0</v>
      </c>
      <c r="G8" s="31">
        <v>2.45271423E8</v>
      </c>
    </row>
    <row r="9" ht="12.75" customHeight="1">
      <c r="A9" s="27">
        <v>127.0</v>
      </c>
      <c r="B9" s="28" t="s">
        <v>68426</v>
      </c>
      <c r="C9" s="27">
        <v>245.0</v>
      </c>
      <c r="D9" s="28" t="s">
        <v>68427</v>
      </c>
      <c r="E9" s="28" t="s">
        <v>68428</v>
      </c>
      <c r="F9" s="27">
        <v>190.0</v>
      </c>
      <c r="G9" s="27">
        <v>2.45271902E8</v>
      </c>
    </row>
    <row r="10" ht="12.75" customHeight="1">
      <c r="A10" s="31">
        <v>127.0</v>
      </c>
      <c r="B10" s="32" t="s">
        <v>68429</v>
      </c>
      <c r="C10" s="31">
        <v>245.0</v>
      </c>
      <c r="D10" s="32" t="s">
        <v>68430</v>
      </c>
      <c r="E10" s="32" t="s">
        <v>68431</v>
      </c>
      <c r="F10" s="31">
        <v>232.0</v>
      </c>
      <c r="G10" s="31">
        <v>2.45272327E8</v>
      </c>
    </row>
    <row r="11" ht="12.75" customHeight="1">
      <c r="A11" s="27">
        <v>127.0</v>
      </c>
      <c r="B11" s="28" t="s">
        <v>68432</v>
      </c>
      <c r="C11" s="27">
        <v>245.0</v>
      </c>
      <c r="D11" s="28" t="s">
        <v>68433</v>
      </c>
      <c r="E11" s="28" t="s">
        <v>68434</v>
      </c>
      <c r="F11" s="27">
        <v>256.0</v>
      </c>
      <c r="G11" s="27">
        <v>2.45272569E8</v>
      </c>
    </row>
    <row r="12" ht="12.75" customHeight="1">
      <c r="A12" s="31">
        <v>127.0</v>
      </c>
      <c r="B12" s="32" t="s">
        <v>68435</v>
      </c>
      <c r="C12" s="31">
        <v>245.0</v>
      </c>
      <c r="D12" s="32" t="s">
        <v>68436</v>
      </c>
      <c r="E12" s="32" t="s">
        <v>68437</v>
      </c>
      <c r="F12" s="31">
        <v>268.0</v>
      </c>
      <c r="G12" s="31">
        <v>2.4527268E8</v>
      </c>
    </row>
    <row r="13" ht="12.75" customHeight="1">
      <c r="A13" s="27">
        <v>127.0</v>
      </c>
      <c r="B13" s="28" t="s">
        <v>68438</v>
      </c>
      <c r="C13" s="27">
        <v>245.0</v>
      </c>
      <c r="D13" s="28" t="s">
        <v>68439</v>
      </c>
      <c r="E13" s="28" t="s">
        <v>68440</v>
      </c>
      <c r="F13" s="27">
        <v>298.0</v>
      </c>
      <c r="G13" s="27">
        <v>2.45272985E8</v>
      </c>
    </row>
    <row r="14" ht="12.75" customHeight="1">
      <c r="A14" s="31">
        <v>127.0</v>
      </c>
      <c r="B14" s="32" t="s">
        <v>68441</v>
      </c>
      <c r="C14" s="31">
        <v>245.0</v>
      </c>
      <c r="D14" s="32" t="s">
        <v>68442</v>
      </c>
      <c r="E14" s="32" t="s">
        <v>68443</v>
      </c>
      <c r="F14" s="31">
        <v>358.0</v>
      </c>
      <c r="G14" s="31">
        <v>2.45273584E8</v>
      </c>
    </row>
    <row r="15" ht="12.75" customHeight="1">
      <c r="A15" s="27">
        <v>127.0</v>
      </c>
      <c r="B15" s="28" t="s">
        <v>68444</v>
      </c>
      <c r="C15" s="27">
        <v>245.0</v>
      </c>
      <c r="D15" s="28" t="s">
        <v>68445</v>
      </c>
      <c r="E15" s="28" t="s">
        <v>68446</v>
      </c>
      <c r="F15" s="27">
        <v>364.0</v>
      </c>
      <c r="G15" s="27">
        <v>2.45273647E8</v>
      </c>
    </row>
    <row r="16" ht="12.75" customHeight="1">
      <c r="A16" s="31">
        <v>127.0</v>
      </c>
      <c r="B16" s="32" t="s">
        <v>68447</v>
      </c>
      <c r="C16" s="31">
        <v>245.0</v>
      </c>
      <c r="D16" s="32" t="s">
        <v>68448</v>
      </c>
      <c r="E16" s="32" t="s">
        <v>68449</v>
      </c>
      <c r="F16" s="31">
        <v>367.0</v>
      </c>
      <c r="G16" s="31">
        <v>2.45273676E8</v>
      </c>
    </row>
    <row r="17" ht="12.75" customHeight="1">
      <c r="A17" s="27">
        <v>127.0</v>
      </c>
      <c r="B17" s="28" t="s">
        <v>68450</v>
      </c>
      <c r="C17" s="27">
        <v>245.0</v>
      </c>
      <c r="D17" s="28" t="s">
        <v>68451</v>
      </c>
      <c r="E17" s="28" t="s">
        <v>68452</v>
      </c>
      <c r="F17" s="27">
        <v>394.0</v>
      </c>
      <c r="G17" s="27">
        <v>2.45273942E8</v>
      </c>
    </row>
    <row r="18" ht="12.75" customHeight="1">
      <c r="A18" s="31">
        <v>127.0</v>
      </c>
      <c r="B18" s="32" t="s">
        <v>68453</v>
      </c>
      <c r="C18" s="31">
        <v>245.0</v>
      </c>
      <c r="D18" s="32" t="s">
        <v>68454</v>
      </c>
      <c r="E18" s="32" t="s">
        <v>68455</v>
      </c>
      <c r="F18" s="31">
        <v>400.0</v>
      </c>
      <c r="G18" s="31">
        <v>2.45274004E8</v>
      </c>
    </row>
    <row r="19" ht="12.75" customHeight="1">
      <c r="A19" s="27">
        <v>127.0</v>
      </c>
      <c r="B19" s="28" t="s">
        <v>68456</v>
      </c>
      <c r="C19" s="27">
        <v>245.0</v>
      </c>
      <c r="D19" s="28" t="s">
        <v>68457</v>
      </c>
      <c r="E19" s="28" t="s">
        <v>68458</v>
      </c>
      <c r="F19" s="27">
        <v>442.0</v>
      </c>
      <c r="G19" s="27">
        <v>2.4527442E8</v>
      </c>
    </row>
    <row r="20" ht="12.75" customHeight="1">
      <c r="A20" s="31">
        <v>127.0</v>
      </c>
      <c r="B20" s="32" t="s">
        <v>68459</v>
      </c>
      <c r="C20" s="31">
        <v>245.0</v>
      </c>
      <c r="D20" s="32" t="s">
        <v>68460</v>
      </c>
      <c r="E20" s="32" t="s">
        <v>68461</v>
      </c>
      <c r="F20" s="31">
        <v>472.0</v>
      </c>
      <c r="G20" s="31">
        <v>2.45274725E8</v>
      </c>
    </row>
    <row r="21" ht="12.75" customHeight="1">
      <c r="A21" s="27">
        <v>127.0</v>
      </c>
      <c r="B21" s="28" t="s">
        <v>68462</v>
      </c>
      <c r="C21" s="27">
        <v>245.0</v>
      </c>
      <c r="D21" s="28" t="s">
        <v>68463</v>
      </c>
      <c r="E21" s="28" t="s">
        <v>68464</v>
      </c>
      <c r="F21" s="27">
        <v>481.0</v>
      </c>
      <c r="G21" s="27">
        <v>2.45274817E8</v>
      </c>
    </row>
    <row r="22" ht="12.75" customHeight="1">
      <c r="A22" s="31">
        <v>127.0</v>
      </c>
      <c r="B22" s="32" t="s">
        <v>68465</v>
      </c>
      <c r="C22" s="31">
        <v>245.0</v>
      </c>
      <c r="D22" s="32" t="s">
        <v>68466</v>
      </c>
      <c r="E22" s="32" t="s">
        <v>68467</v>
      </c>
      <c r="F22" s="31">
        <v>505.0</v>
      </c>
      <c r="G22" s="31">
        <v>2.45275058E8</v>
      </c>
    </row>
    <row r="23" ht="12.75" customHeight="1">
      <c r="A23" s="27">
        <v>127.0</v>
      </c>
      <c r="B23" s="28" t="s">
        <v>68468</v>
      </c>
      <c r="C23" s="27">
        <v>245.0</v>
      </c>
      <c r="D23" s="28" t="s">
        <v>68469</v>
      </c>
      <c r="E23" s="28" t="s">
        <v>68470</v>
      </c>
      <c r="F23" s="27">
        <v>535.0</v>
      </c>
      <c r="G23" s="27">
        <v>2.45275353E8</v>
      </c>
    </row>
    <row r="24" ht="12.75" customHeight="1">
      <c r="A24" s="31">
        <v>127.0</v>
      </c>
      <c r="B24" s="32" t="s">
        <v>68471</v>
      </c>
      <c r="C24" s="31">
        <v>245.0</v>
      </c>
      <c r="D24" s="32" t="s">
        <v>68472</v>
      </c>
      <c r="E24" s="32" t="s">
        <v>68473</v>
      </c>
      <c r="F24" s="31">
        <v>658.0</v>
      </c>
      <c r="G24" s="31">
        <v>2.45276581E8</v>
      </c>
    </row>
    <row r="25" ht="12.75" customHeight="1">
      <c r="A25" s="27">
        <v>127.0</v>
      </c>
      <c r="B25" s="28" t="s">
        <v>68474</v>
      </c>
      <c r="C25" s="27">
        <v>245.0</v>
      </c>
      <c r="D25" s="28" t="s">
        <v>68475</v>
      </c>
      <c r="E25" s="28" t="s">
        <v>68476</v>
      </c>
      <c r="F25" s="27">
        <v>709.0</v>
      </c>
      <c r="G25" s="27">
        <v>2.45277098E8</v>
      </c>
    </row>
    <row r="26" ht="12.75" customHeight="1">
      <c r="A26" s="31">
        <v>728.0</v>
      </c>
      <c r="B26" s="32" t="s">
        <v>68477</v>
      </c>
      <c r="C26" s="31">
        <v>245.0</v>
      </c>
      <c r="D26" s="32" t="s">
        <v>68478</v>
      </c>
      <c r="E26" s="32" t="s">
        <v>68479</v>
      </c>
      <c r="F26" s="33">
        <v>67.0</v>
      </c>
      <c r="G26" s="31">
        <v>2.45280672E8</v>
      </c>
    </row>
    <row r="27" ht="12.75" customHeight="1">
      <c r="A27" s="27">
        <v>329.0</v>
      </c>
      <c r="B27" s="28" t="s">
        <v>68480</v>
      </c>
      <c r="C27" s="27">
        <v>245.0</v>
      </c>
      <c r="D27" s="28" t="s">
        <v>68481</v>
      </c>
      <c r="E27" s="28" t="s">
        <v>68482</v>
      </c>
      <c r="F27" s="29">
        <v>52.0</v>
      </c>
      <c r="G27" s="27">
        <v>2.45290525E8</v>
      </c>
    </row>
    <row r="28" ht="12.75" customHeight="1">
      <c r="A28" s="31">
        <v>329.0</v>
      </c>
      <c r="B28" s="32" t="s">
        <v>68483</v>
      </c>
      <c r="C28" s="31">
        <v>245.0</v>
      </c>
      <c r="D28" s="32" t="s">
        <v>68484</v>
      </c>
      <c r="E28" s="32" t="s">
        <v>68485</v>
      </c>
      <c r="F28" s="33">
        <v>55.0</v>
      </c>
      <c r="G28" s="31">
        <v>2.45290554E8</v>
      </c>
    </row>
    <row r="29" ht="12.75" customHeight="1">
      <c r="A29" s="27">
        <v>329.0</v>
      </c>
      <c r="B29" s="28" t="s">
        <v>68486</v>
      </c>
      <c r="C29" s="27">
        <v>245.0</v>
      </c>
      <c r="D29" s="28" t="s">
        <v>68487</v>
      </c>
      <c r="E29" s="28" t="s">
        <v>68488</v>
      </c>
      <c r="F29" s="29">
        <v>91.0</v>
      </c>
      <c r="G29" s="27">
        <v>2.45290912E8</v>
      </c>
    </row>
    <row r="30" ht="12.75" customHeight="1">
      <c r="A30" s="31">
        <v>230.0</v>
      </c>
      <c r="B30" s="32" t="s">
        <v>68489</v>
      </c>
      <c r="C30" s="31">
        <v>245.0</v>
      </c>
      <c r="D30" s="32" t="s">
        <v>68490</v>
      </c>
      <c r="E30" s="32" t="s">
        <v>68491</v>
      </c>
      <c r="F30" s="33">
        <v>52.0</v>
      </c>
      <c r="G30" s="31">
        <v>2.45300523E8</v>
      </c>
    </row>
    <row r="31" ht="12.75" customHeight="1">
      <c r="A31" s="27">
        <v>133.0</v>
      </c>
      <c r="B31" s="28" t="s">
        <v>68492</v>
      </c>
      <c r="C31" s="27">
        <v>245.0</v>
      </c>
      <c r="D31" s="28" t="s">
        <v>68493</v>
      </c>
      <c r="E31" s="28" t="s">
        <v>68494</v>
      </c>
      <c r="F31" s="29">
        <v>24.0</v>
      </c>
      <c r="G31" s="27">
        <v>2.45330243E8</v>
      </c>
    </row>
    <row r="32" ht="12.75" customHeight="1">
      <c r="A32" s="31">
        <v>133.0</v>
      </c>
      <c r="B32" s="32" t="s">
        <v>68495</v>
      </c>
      <c r="C32" s="31">
        <v>245.0</v>
      </c>
      <c r="D32" s="32" t="s">
        <v>68496</v>
      </c>
      <c r="E32" s="32" t="s">
        <v>68497</v>
      </c>
      <c r="F32" s="33">
        <v>55.0</v>
      </c>
      <c r="G32" s="31">
        <v>2.45330551E8</v>
      </c>
    </row>
    <row r="33" ht="12.75" customHeight="1">
      <c r="A33" s="27">
        <v>133.0</v>
      </c>
      <c r="B33" s="28" t="s">
        <v>68498</v>
      </c>
      <c r="C33" s="27">
        <v>245.0</v>
      </c>
      <c r="D33" s="28" t="s">
        <v>68499</v>
      </c>
      <c r="E33" s="28" t="s">
        <v>68500</v>
      </c>
      <c r="F33" s="29">
        <v>73.0</v>
      </c>
      <c r="G33" s="27">
        <v>2.45330735E8</v>
      </c>
    </row>
    <row r="34" ht="12.75" customHeight="1">
      <c r="A34" s="31">
        <v>133.0</v>
      </c>
      <c r="B34" s="32" t="s">
        <v>68501</v>
      </c>
      <c r="C34" s="31">
        <v>245.0</v>
      </c>
      <c r="D34" s="32" t="s">
        <v>68502</v>
      </c>
      <c r="E34" s="32" t="s">
        <v>68503</v>
      </c>
      <c r="F34" s="33">
        <v>82.0</v>
      </c>
      <c r="G34" s="31">
        <v>2.45330827E8</v>
      </c>
    </row>
    <row r="35" ht="12.75" customHeight="1">
      <c r="A35" s="27">
        <v>133.0</v>
      </c>
      <c r="B35" s="28" t="s">
        <v>68504</v>
      </c>
      <c r="C35" s="27">
        <v>245.0</v>
      </c>
      <c r="D35" s="28" t="s">
        <v>68505</v>
      </c>
      <c r="E35" s="28" t="s">
        <v>68506</v>
      </c>
      <c r="F35" s="29">
        <v>88.0</v>
      </c>
      <c r="G35" s="27">
        <v>2.45330885E8</v>
      </c>
    </row>
    <row r="36" ht="12.75" customHeight="1">
      <c r="A36" s="31">
        <v>133.0</v>
      </c>
      <c r="B36" s="32" t="s">
        <v>68507</v>
      </c>
      <c r="C36" s="31">
        <v>245.0</v>
      </c>
      <c r="D36" s="32" t="s">
        <v>68508</v>
      </c>
      <c r="E36" s="32" t="s">
        <v>68509</v>
      </c>
      <c r="F36" s="33">
        <v>94.0</v>
      </c>
      <c r="G36" s="31">
        <v>2.45330948E8</v>
      </c>
    </row>
    <row r="37" ht="12.75" customHeight="1">
      <c r="A37" s="27">
        <v>133.0</v>
      </c>
      <c r="B37" s="28" t="s">
        <v>68510</v>
      </c>
      <c r="C37" s="27">
        <v>245.0</v>
      </c>
      <c r="D37" s="28" t="s">
        <v>68511</v>
      </c>
      <c r="E37" s="28" t="s">
        <v>68512</v>
      </c>
      <c r="F37" s="27">
        <v>111.0</v>
      </c>
      <c r="G37" s="27">
        <v>2.45331118E8</v>
      </c>
    </row>
    <row r="38" ht="12.75" customHeight="1">
      <c r="A38" s="31">
        <v>133.0</v>
      </c>
      <c r="B38" s="32" t="s">
        <v>68513</v>
      </c>
      <c r="C38" s="31">
        <v>245.0</v>
      </c>
      <c r="D38" s="32" t="s">
        <v>68514</v>
      </c>
      <c r="E38" s="32" t="s">
        <v>68515</v>
      </c>
      <c r="F38" s="31">
        <v>163.0</v>
      </c>
      <c r="G38" s="31">
        <v>2.45331639E8</v>
      </c>
    </row>
    <row r="39" ht="12.75" customHeight="1">
      <c r="A39" s="27">
        <v>133.0</v>
      </c>
      <c r="B39" s="28" t="s">
        <v>68516</v>
      </c>
      <c r="C39" s="27">
        <v>245.0</v>
      </c>
      <c r="D39" s="28" t="s">
        <v>68517</v>
      </c>
      <c r="E39" s="28" t="s">
        <v>68518</v>
      </c>
      <c r="F39" s="27">
        <v>167.0</v>
      </c>
      <c r="G39" s="27">
        <v>2.45331671E8</v>
      </c>
    </row>
    <row r="40" ht="12.75" customHeight="1">
      <c r="A40" s="31">
        <v>435.0</v>
      </c>
      <c r="B40" s="32" t="s">
        <v>68519</v>
      </c>
      <c r="C40" s="31">
        <v>245.0</v>
      </c>
      <c r="D40" s="32" t="s">
        <v>68520</v>
      </c>
      <c r="E40" s="32" t="s">
        <v>68521</v>
      </c>
      <c r="F40" s="33">
        <v>37.0</v>
      </c>
      <c r="G40" s="31">
        <v>2.45350373E8</v>
      </c>
    </row>
    <row r="41" ht="12.75" customHeight="1">
      <c r="A41" s="27">
        <v>836.0</v>
      </c>
      <c r="B41" s="28" t="s">
        <v>68522</v>
      </c>
      <c r="C41" s="27">
        <v>245.0</v>
      </c>
      <c r="D41" s="28" t="s">
        <v>68523</v>
      </c>
      <c r="E41" s="28" t="s">
        <v>68524</v>
      </c>
      <c r="F41" s="27">
        <v>109.0</v>
      </c>
      <c r="G41" s="27">
        <v>2.45361096E8</v>
      </c>
    </row>
    <row r="42" ht="12.75" customHeight="1">
      <c r="A42" s="31">
        <v>638.0</v>
      </c>
      <c r="B42" s="32" t="s">
        <v>68525</v>
      </c>
      <c r="C42" s="31">
        <v>245.0</v>
      </c>
      <c r="D42" s="32" t="s">
        <v>68526</v>
      </c>
      <c r="E42" s="32" t="s">
        <v>68527</v>
      </c>
      <c r="F42" s="33">
        <v>40.0</v>
      </c>
      <c r="G42" s="31">
        <v>2.45380406E8</v>
      </c>
    </row>
    <row r="43" ht="12.75" customHeight="1">
      <c r="A43" s="27">
        <v>441.0</v>
      </c>
      <c r="B43" s="28" t="s">
        <v>68528</v>
      </c>
      <c r="C43" s="27">
        <v>245.0</v>
      </c>
      <c r="D43" s="28" t="s">
        <v>68529</v>
      </c>
      <c r="E43" s="28" t="s">
        <v>68530</v>
      </c>
      <c r="F43" s="29">
        <v>94.0</v>
      </c>
      <c r="G43" s="27">
        <v>2.45410947E8</v>
      </c>
    </row>
    <row r="44" ht="12.75" customHeight="1">
      <c r="A44" s="31">
        <v>441.0</v>
      </c>
      <c r="B44" s="32" t="s">
        <v>68531</v>
      </c>
      <c r="C44" s="31">
        <v>245.0</v>
      </c>
      <c r="D44" s="32" t="s">
        <v>68532</v>
      </c>
      <c r="E44" s="32" t="s">
        <v>68533</v>
      </c>
      <c r="F44" s="31">
        <v>166.0</v>
      </c>
      <c r="G44" s="31">
        <v>2.45411667E8</v>
      </c>
    </row>
    <row r="45" ht="12.75" customHeight="1">
      <c r="A45" s="27">
        <v>444.0</v>
      </c>
      <c r="B45" s="28" t="s">
        <v>68534</v>
      </c>
      <c r="C45" s="27">
        <v>245.0</v>
      </c>
      <c r="D45" s="28" t="s">
        <v>68535</v>
      </c>
      <c r="E45" s="28" t="s">
        <v>68536</v>
      </c>
      <c r="F45" s="29">
        <v>64.0</v>
      </c>
      <c r="G45" s="27">
        <v>2.45440641E8</v>
      </c>
    </row>
    <row r="46" ht="12.75" customHeight="1">
      <c r="A46" s="31">
        <v>447.0</v>
      </c>
      <c r="B46" s="32" t="s">
        <v>68537</v>
      </c>
      <c r="C46" s="31">
        <v>245.0</v>
      </c>
      <c r="D46" s="32" t="s">
        <v>68538</v>
      </c>
      <c r="E46" s="32" t="s">
        <v>68539</v>
      </c>
      <c r="F46" s="31">
        <v>148.0</v>
      </c>
      <c r="G46" s="31">
        <v>2.45471481E8</v>
      </c>
    </row>
    <row r="47" ht="12.75" customHeight="1">
      <c r="A47" s="27">
        <v>447.0</v>
      </c>
      <c r="B47" s="28" t="s">
        <v>68540</v>
      </c>
      <c r="C47" s="27">
        <v>245.0</v>
      </c>
      <c r="D47" s="28" t="s">
        <v>68541</v>
      </c>
      <c r="E47" s="28" t="s">
        <v>68542</v>
      </c>
      <c r="F47" s="27">
        <v>154.0</v>
      </c>
      <c r="G47" s="27">
        <v>2.45471544E8</v>
      </c>
    </row>
    <row r="48" ht="12.75" customHeight="1">
      <c r="A48" s="31">
        <v>450.0</v>
      </c>
      <c r="B48" s="32" t="s">
        <v>68543</v>
      </c>
      <c r="C48" s="31">
        <v>245.0</v>
      </c>
      <c r="D48" s="32" t="s">
        <v>68544</v>
      </c>
      <c r="E48" s="32" t="s">
        <v>68545</v>
      </c>
      <c r="F48" s="33">
        <v>94.0</v>
      </c>
      <c r="G48" s="31">
        <v>2.45500949E8</v>
      </c>
    </row>
    <row r="49" ht="12.75" customHeight="1">
      <c r="A49" s="27">
        <v>251.0</v>
      </c>
      <c r="B49" s="28" t="s">
        <v>68546</v>
      </c>
      <c r="C49" s="27">
        <v>245.0</v>
      </c>
      <c r="D49" s="28" t="s">
        <v>68547</v>
      </c>
      <c r="E49" s="28" t="s">
        <v>68548</v>
      </c>
      <c r="F49" s="29">
        <v>73.0</v>
      </c>
      <c r="G49" s="27">
        <v>2.45510739E8</v>
      </c>
    </row>
    <row r="50" ht="12.75" customHeight="1">
      <c r="A50" s="31">
        <v>354.0</v>
      </c>
      <c r="B50" s="32" t="s">
        <v>68549</v>
      </c>
      <c r="C50" s="31">
        <v>245.0</v>
      </c>
      <c r="D50" s="32" t="s">
        <v>68550</v>
      </c>
      <c r="E50" s="32" t="s">
        <v>68551</v>
      </c>
      <c r="F50" s="33">
        <v>70.0</v>
      </c>
      <c r="G50" s="31">
        <v>2.45540709E8</v>
      </c>
    </row>
    <row r="51" ht="12.75" customHeight="1">
      <c r="A51" s="27">
        <v>858.0</v>
      </c>
      <c r="B51" s="28" t="s">
        <v>68552</v>
      </c>
      <c r="C51" s="27">
        <v>245.0</v>
      </c>
      <c r="D51" s="28" t="s">
        <v>68553</v>
      </c>
      <c r="E51" s="28" t="s">
        <v>68554</v>
      </c>
      <c r="F51" s="29">
        <v>10.0</v>
      </c>
      <c r="G51" s="27">
        <v>2.45580101E8</v>
      </c>
    </row>
    <row r="52" ht="12.75" customHeight="1">
      <c r="A52" s="31">
        <v>858.0</v>
      </c>
      <c r="B52" s="32" t="s">
        <v>68555</v>
      </c>
      <c r="C52" s="31">
        <v>245.0</v>
      </c>
      <c r="D52" s="32" t="s">
        <v>68556</v>
      </c>
      <c r="E52" s="32" t="s">
        <v>68557</v>
      </c>
      <c r="F52" s="33">
        <v>94.0</v>
      </c>
      <c r="G52" s="31">
        <v>2.45580943E8</v>
      </c>
    </row>
    <row r="53" ht="12.75" customHeight="1">
      <c r="A53" s="27">
        <v>858.0</v>
      </c>
      <c r="B53" s="28" t="s">
        <v>68558</v>
      </c>
      <c r="C53" s="27">
        <v>245.0</v>
      </c>
      <c r="D53" s="28" t="s">
        <v>68559</v>
      </c>
      <c r="E53" s="28" t="s">
        <v>68560</v>
      </c>
      <c r="F53" s="27">
        <v>118.0</v>
      </c>
      <c r="G53" s="27">
        <v>2.45581184E8</v>
      </c>
    </row>
    <row r="54" ht="12.75" customHeight="1">
      <c r="A54" s="31">
        <v>159.0</v>
      </c>
      <c r="B54" s="32" t="s">
        <v>68561</v>
      </c>
      <c r="C54" s="31">
        <v>245.0</v>
      </c>
      <c r="D54" s="32" t="s">
        <v>68562</v>
      </c>
      <c r="E54" s="32" t="s">
        <v>68563</v>
      </c>
      <c r="F54" s="33">
        <v>8.0</v>
      </c>
      <c r="G54" s="31">
        <v>2.45590083E8</v>
      </c>
    </row>
    <row r="55" ht="12.75" customHeight="1">
      <c r="A55" s="27">
        <v>159.0</v>
      </c>
      <c r="B55" s="28" t="s">
        <v>68564</v>
      </c>
      <c r="C55" s="27">
        <v>245.0</v>
      </c>
      <c r="D55" s="28" t="s">
        <v>68565</v>
      </c>
      <c r="E55" s="28" t="s">
        <v>68566</v>
      </c>
      <c r="F55" s="27">
        <v>103.0</v>
      </c>
      <c r="G55" s="27">
        <v>2.45591037E8</v>
      </c>
    </row>
    <row r="56" ht="12.75" customHeight="1">
      <c r="A56" s="31">
        <v>161.0</v>
      </c>
      <c r="B56" s="32" t="s">
        <v>68567</v>
      </c>
      <c r="C56" s="31">
        <v>245.0</v>
      </c>
      <c r="D56" s="32" t="s">
        <v>68568</v>
      </c>
      <c r="E56" s="32" t="s">
        <v>68569</v>
      </c>
      <c r="F56" s="31">
        <v>175.0</v>
      </c>
      <c r="G56" s="31">
        <v>2.45611759E8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564.0</v>
      </c>
      <c r="B1" s="28" t="s">
        <v>68570</v>
      </c>
      <c r="C1" s="27">
        <v>245.0</v>
      </c>
      <c r="D1" s="28" t="s">
        <v>68571</v>
      </c>
      <c r="E1" s="28" t="s">
        <v>68572</v>
      </c>
      <c r="F1" s="27">
        <v>118.0</v>
      </c>
      <c r="G1" s="27">
        <v>2.45641187E8</v>
      </c>
    </row>
    <row r="2" ht="12.75" customHeight="1">
      <c r="A2" s="31">
        <v>167.0</v>
      </c>
      <c r="B2" s="32" t="s">
        <v>68573</v>
      </c>
      <c r="C2" s="31">
        <v>245.0</v>
      </c>
      <c r="D2" s="32" t="s">
        <v>68574</v>
      </c>
      <c r="E2" s="32" t="s">
        <v>68575</v>
      </c>
      <c r="F2" s="33">
        <v>12.0</v>
      </c>
      <c r="G2" s="31">
        <v>2.45670129E8</v>
      </c>
    </row>
    <row r="3" ht="12.75" customHeight="1">
      <c r="A3" s="27">
        <v>167.0</v>
      </c>
      <c r="B3" s="28" t="s">
        <v>68576</v>
      </c>
      <c r="C3" s="27">
        <v>245.0</v>
      </c>
      <c r="D3" s="28" t="s">
        <v>68577</v>
      </c>
      <c r="E3" s="28" t="s">
        <v>68578</v>
      </c>
      <c r="F3" s="29">
        <v>22.0</v>
      </c>
      <c r="G3" s="27">
        <v>2.45670224E8</v>
      </c>
    </row>
    <row r="4" ht="12.75" customHeight="1">
      <c r="A4" s="31">
        <v>167.0</v>
      </c>
      <c r="B4" s="32" t="s">
        <v>68579</v>
      </c>
      <c r="C4" s="31">
        <v>245.0</v>
      </c>
      <c r="D4" s="32" t="s">
        <v>68580</v>
      </c>
      <c r="E4" s="32" t="s">
        <v>68581</v>
      </c>
      <c r="F4" s="33">
        <v>23.0</v>
      </c>
      <c r="G4" s="31">
        <v>2.45670237E8</v>
      </c>
    </row>
    <row r="5" ht="12.75" customHeight="1">
      <c r="A5" s="27">
        <v>167.0</v>
      </c>
      <c r="B5" s="28" t="s">
        <v>68582</v>
      </c>
      <c r="C5" s="27">
        <v>245.0</v>
      </c>
      <c r="D5" s="28" t="s">
        <v>68583</v>
      </c>
      <c r="E5" s="28" t="s">
        <v>68584</v>
      </c>
      <c r="F5" s="29">
        <v>60.0</v>
      </c>
      <c r="G5" s="27">
        <v>2.45670608E8</v>
      </c>
    </row>
    <row r="6" ht="12.75" customHeight="1">
      <c r="A6" s="31">
        <v>167.0</v>
      </c>
      <c r="B6" s="32" t="s">
        <v>68585</v>
      </c>
      <c r="C6" s="31">
        <v>245.0</v>
      </c>
      <c r="D6" s="32" t="s">
        <v>68586</v>
      </c>
      <c r="E6" s="32" t="s">
        <v>68587</v>
      </c>
      <c r="F6" s="33">
        <v>79.0</v>
      </c>
      <c r="G6" s="31">
        <v>2.4567079E8</v>
      </c>
    </row>
    <row r="7" ht="12.75" customHeight="1">
      <c r="A7" s="27">
        <v>167.0</v>
      </c>
      <c r="B7" s="28" t="s">
        <v>68588</v>
      </c>
      <c r="C7" s="27">
        <v>245.0</v>
      </c>
      <c r="D7" s="28" t="s">
        <v>68589</v>
      </c>
      <c r="E7" s="28" t="s">
        <v>68590</v>
      </c>
      <c r="F7" s="27">
        <v>100.0</v>
      </c>
      <c r="G7" s="27">
        <v>2.45671007E8</v>
      </c>
    </row>
    <row r="8" ht="12.75" customHeight="1">
      <c r="A8" s="31">
        <v>167.0</v>
      </c>
      <c r="B8" s="32" t="s">
        <v>68591</v>
      </c>
      <c r="C8" s="31">
        <v>245.0</v>
      </c>
      <c r="D8" s="32" t="s">
        <v>68592</v>
      </c>
      <c r="E8" s="32" t="s">
        <v>68593</v>
      </c>
      <c r="F8" s="31">
        <v>118.0</v>
      </c>
      <c r="G8" s="31">
        <v>2.45671186E8</v>
      </c>
    </row>
    <row r="9" ht="12.75" customHeight="1">
      <c r="A9" s="27">
        <v>167.0</v>
      </c>
      <c r="B9" s="28" t="s">
        <v>68594</v>
      </c>
      <c r="C9" s="27">
        <v>245.0</v>
      </c>
      <c r="D9" s="28" t="s">
        <v>68595</v>
      </c>
      <c r="E9" s="28" t="s">
        <v>68596</v>
      </c>
      <c r="F9" s="27">
        <v>133.0</v>
      </c>
      <c r="G9" s="27">
        <v>2.45671331E8</v>
      </c>
    </row>
    <row r="10" ht="12.75" customHeight="1">
      <c r="A10" s="31">
        <v>168.0</v>
      </c>
      <c r="B10" s="32" t="s">
        <v>68597</v>
      </c>
      <c r="C10" s="31">
        <v>245.0</v>
      </c>
      <c r="D10" s="32" t="s">
        <v>68598</v>
      </c>
      <c r="E10" s="32" t="s">
        <v>68599</v>
      </c>
      <c r="F10" s="33">
        <v>8.0</v>
      </c>
      <c r="G10" s="31">
        <v>2.45680085E8</v>
      </c>
    </row>
    <row r="11" ht="12.75" customHeight="1">
      <c r="A11" s="27">
        <v>168.0</v>
      </c>
      <c r="B11" s="28" t="s">
        <v>68600</v>
      </c>
      <c r="C11" s="27">
        <v>245.0</v>
      </c>
      <c r="D11" s="28" t="s">
        <v>68601</v>
      </c>
      <c r="E11" s="28" t="s">
        <v>68602</v>
      </c>
      <c r="F11" s="29">
        <v>20.0</v>
      </c>
      <c r="G11" s="27">
        <v>2.45680201E8</v>
      </c>
    </row>
    <row r="12" ht="12.75" customHeight="1">
      <c r="A12" s="31">
        <v>168.0</v>
      </c>
      <c r="B12" s="32" t="s">
        <v>68603</v>
      </c>
      <c r="C12" s="31">
        <v>245.0</v>
      </c>
      <c r="D12" s="32" t="s">
        <v>68604</v>
      </c>
      <c r="E12" s="32" t="s">
        <v>68605</v>
      </c>
      <c r="F12" s="33">
        <v>67.0</v>
      </c>
      <c r="G12" s="31">
        <v>2.45680672E8</v>
      </c>
    </row>
    <row r="13" ht="12.75" customHeight="1">
      <c r="A13" s="27">
        <v>168.0</v>
      </c>
      <c r="B13" s="28" t="s">
        <v>68606</v>
      </c>
      <c r="C13" s="27">
        <v>245.0</v>
      </c>
      <c r="D13" s="28" t="s">
        <v>68607</v>
      </c>
      <c r="E13" s="28" t="s">
        <v>68608</v>
      </c>
      <c r="F13" s="29">
        <v>85.0</v>
      </c>
      <c r="G13" s="27">
        <v>2.45680856E8</v>
      </c>
    </row>
    <row r="14" ht="12.75" customHeight="1">
      <c r="A14" s="31">
        <v>569.0</v>
      </c>
      <c r="B14" s="32" t="s">
        <v>68609</v>
      </c>
      <c r="C14" s="31">
        <v>245.0</v>
      </c>
      <c r="D14" s="32" t="s">
        <v>68610</v>
      </c>
      <c r="E14" s="32" t="s">
        <v>68611</v>
      </c>
      <c r="F14" s="31">
        <v>109.0</v>
      </c>
      <c r="G14" s="31">
        <v>2.4569109E8</v>
      </c>
    </row>
    <row r="15" ht="12.75" customHeight="1">
      <c r="A15" s="27">
        <v>570.0</v>
      </c>
      <c r="B15" s="28" t="s">
        <v>68612</v>
      </c>
      <c r="C15" s="27">
        <v>245.0</v>
      </c>
      <c r="D15" s="28" t="s">
        <v>68613</v>
      </c>
      <c r="E15" s="28" t="s">
        <v>68614</v>
      </c>
      <c r="F15" s="29">
        <v>25.0</v>
      </c>
      <c r="G15" s="27">
        <v>2.45700257E8</v>
      </c>
    </row>
    <row r="16" ht="12.75" customHeight="1">
      <c r="A16" s="31">
        <v>275.0</v>
      </c>
      <c r="B16" s="32" t="s">
        <v>68615</v>
      </c>
      <c r="C16" s="31">
        <v>245.0</v>
      </c>
      <c r="D16" s="32" t="s">
        <v>68616</v>
      </c>
      <c r="E16" s="32" t="s">
        <v>68617</v>
      </c>
      <c r="F16" s="33">
        <v>11.0</v>
      </c>
      <c r="G16" s="31">
        <v>2.45750115E8</v>
      </c>
    </row>
    <row r="17" ht="12.75" customHeight="1">
      <c r="A17" s="27">
        <v>275.0</v>
      </c>
      <c r="B17" s="28" t="s">
        <v>68618</v>
      </c>
      <c r="C17" s="27">
        <v>245.0</v>
      </c>
      <c r="D17" s="28" t="s">
        <v>68619</v>
      </c>
      <c r="E17" s="28" t="s">
        <v>68620</v>
      </c>
      <c r="F17" s="29">
        <v>67.0</v>
      </c>
      <c r="G17" s="27">
        <v>2.45750678E8</v>
      </c>
    </row>
    <row r="18" ht="12.75" customHeight="1">
      <c r="A18" s="31">
        <v>275.0</v>
      </c>
      <c r="B18" s="32" t="s">
        <v>68621</v>
      </c>
      <c r="C18" s="31">
        <v>245.0</v>
      </c>
      <c r="D18" s="32" t="s">
        <v>68622</v>
      </c>
      <c r="E18" s="32" t="s">
        <v>68623</v>
      </c>
      <c r="F18" s="31">
        <v>157.0</v>
      </c>
      <c r="G18" s="31">
        <v>2.45751572E8</v>
      </c>
    </row>
    <row r="19" ht="12.75" customHeight="1">
      <c r="A19" s="27">
        <v>275.0</v>
      </c>
      <c r="B19" s="28" t="s">
        <v>68624</v>
      </c>
      <c r="C19" s="27">
        <v>245.0</v>
      </c>
      <c r="D19" s="28" t="s">
        <v>68625</v>
      </c>
      <c r="E19" s="28" t="s">
        <v>68626</v>
      </c>
      <c r="F19" s="27">
        <v>223.0</v>
      </c>
      <c r="G19" s="27">
        <v>2.45752234E8</v>
      </c>
    </row>
    <row r="20" ht="12.75" customHeight="1">
      <c r="A20" s="31">
        <v>576.0</v>
      </c>
      <c r="B20" s="32" t="s">
        <v>68627</v>
      </c>
      <c r="C20" s="31">
        <v>245.0</v>
      </c>
      <c r="D20" s="32" t="s">
        <v>68628</v>
      </c>
      <c r="E20" s="32" t="s">
        <v>68629</v>
      </c>
      <c r="F20" s="31">
        <v>178.0</v>
      </c>
      <c r="G20" s="31">
        <v>2.45761788E8</v>
      </c>
    </row>
    <row r="21" ht="12.75" customHeight="1">
      <c r="A21" s="27">
        <v>581.0</v>
      </c>
      <c r="B21" s="28" t="s">
        <v>68630</v>
      </c>
      <c r="C21" s="27">
        <v>245.0</v>
      </c>
      <c r="D21" s="28" t="s">
        <v>68631</v>
      </c>
      <c r="E21" s="28" t="s">
        <v>68632</v>
      </c>
      <c r="F21" s="29">
        <v>22.0</v>
      </c>
      <c r="G21" s="27">
        <v>2.45810226E8</v>
      </c>
    </row>
    <row r="22" ht="12.75" customHeight="1">
      <c r="A22" s="31">
        <v>581.0</v>
      </c>
      <c r="B22" s="32" t="s">
        <v>68633</v>
      </c>
      <c r="C22" s="31">
        <v>245.0</v>
      </c>
      <c r="D22" s="32" t="s">
        <v>68634</v>
      </c>
      <c r="E22" s="32" t="s">
        <v>68635</v>
      </c>
      <c r="F22" s="31">
        <v>193.0</v>
      </c>
      <c r="G22" s="31">
        <v>2.45811933E8</v>
      </c>
    </row>
    <row r="23" ht="12.75" customHeight="1">
      <c r="A23" s="27">
        <v>382.0</v>
      </c>
      <c r="B23" s="28" t="s">
        <v>68636</v>
      </c>
      <c r="C23" s="27">
        <v>245.0</v>
      </c>
      <c r="D23" s="28" t="s">
        <v>68637</v>
      </c>
      <c r="E23" s="28" t="s">
        <v>68638</v>
      </c>
      <c r="F23" s="29">
        <v>73.0</v>
      </c>
      <c r="G23" s="27">
        <v>2.45820737E8</v>
      </c>
    </row>
    <row r="24" ht="12.75" customHeight="1">
      <c r="A24" s="31">
        <v>785.0</v>
      </c>
      <c r="B24" s="32" t="s">
        <v>68639</v>
      </c>
      <c r="C24" s="31">
        <v>245.0</v>
      </c>
      <c r="D24" s="32" t="s">
        <v>68640</v>
      </c>
      <c r="E24" s="32" t="s">
        <v>68641</v>
      </c>
      <c r="F24" s="31">
        <v>145.0</v>
      </c>
      <c r="G24" s="31">
        <v>2.45851456E8</v>
      </c>
    </row>
    <row r="25" ht="12.75" customHeight="1">
      <c r="A25" s="27">
        <v>386.0</v>
      </c>
      <c r="B25" s="28" t="s">
        <v>68642</v>
      </c>
      <c r="C25" s="27">
        <v>245.0</v>
      </c>
      <c r="D25" s="28" t="s">
        <v>68643</v>
      </c>
      <c r="E25" s="28" t="s">
        <v>68644</v>
      </c>
      <c r="F25" s="29">
        <v>8.0</v>
      </c>
      <c r="G25" s="27">
        <v>2.45860089E8</v>
      </c>
    </row>
    <row r="26" ht="12.75" customHeight="1">
      <c r="A26" s="31">
        <v>688.0</v>
      </c>
      <c r="B26" s="32" t="s">
        <v>68645</v>
      </c>
      <c r="C26" s="31">
        <v>245.0</v>
      </c>
      <c r="D26" s="32" t="s">
        <v>68646</v>
      </c>
      <c r="E26" s="32" t="s">
        <v>68647</v>
      </c>
      <c r="F26" s="33">
        <v>82.0</v>
      </c>
      <c r="G26" s="31">
        <v>2.45880827E8</v>
      </c>
    </row>
    <row r="27" ht="12.75" customHeight="1">
      <c r="A27" s="27">
        <v>688.0</v>
      </c>
      <c r="B27" s="28" t="s">
        <v>68648</v>
      </c>
      <c r="C27" s="27">
        <v>245.0</v>
      </c>
      <c r="D27" s="28" t="s">
        <v>68649</v>
      </c>
      <c r="E27" s="28" t="s">
        <v>68650</v>
      </c>
      <c r="F27" s="27">
        <v>187.0</v>
      </c>
      <c r="G27" s="27">
        <v>2.45881871E8</v>
      </c>
    </row>
    <row r="28" ht="12.75" customHeight="1">
      <c r="A28" s="31">
        <v>688.0</v>
      </c>
      <c r="B28" s="32" t="s">
        <v>68651</v>
      </c>
      <c r="C28" s="31">
        <v>245.0</v>
      </c>
      <c r="D28" s="32" t="s">
        <v>68652</v>
      </c>
      <c r="E28" s="32" t="s">
        <v>68653</v>
      </c>
      <c r="F28" s="31">
        <v>223.0</v>
      </c>
      <c r="G28" s="31">
        <v>2.45882238E8</v>
      </c>
    </row>
    <row r="29" ht="12.75" customHeight="1">
      <c r="A29" s="27">
        <v>189.0</v>
      </c>
      <c r="B29" s="28" t="s">
        <v>68654</v>
      </c>
      <c r="C29" s="27">
        <v>245.0</v>
      </c>
      <c r="D29" s="28" t="s">
        <v>68655</v>
      </c>
      <c r="E29" s="28" t="s">
        <v>68656</v>
      </c>
      <c r="F29" s="29">
        <v>55.0</v>
      </c>
      <c r="G29" s="27">
        <v>2.45890554E8</v>
      </c>
    </row>
    <row r="30" ht="12.75" customHeight="1">
      <c r="A30" s="31">
        <v>891.0</v>
      </c>
      <c r="B30" s="32" t="s">
        <v>68657</v>
      </c>
      <c r="C30" s="31">
        <v>245.0</v>
      </c>
      <c r="D30" s="32" t="s">
        <v>68658</v>
      </c>
      <c r="E30" s="32" t="s">
        <v>68659</v>
      </c>
      <c r="F30" s="33">
        <v>4.0</v>
      </c>
      <c r="G30" s="31">
        <v>2.45910047E8</v>
      </c>
    </row>
    <row r="31" ht="12.75" customHeight="1">
      <c r="A31" s="27">
        <v>891.0</v>
      </c>
      <c r="B31" s="28" t="s">
        <v>68660</v>
      </c>
      <c r="C31" s="27">
        <v>245.0</v>
      </c>
      <c r="D31" s="28" t="s">
        <v>68661</v>
      </c>
      <c r="E31" s="28" t="s">
        <v>68662</v>
      </c>
      <c r="F31" s="29">
        <v>31.0</v>
      </c>
      <c r="G31" s="27">
        <v>2.45910313E8</v>
      </c>
    </row>
    <row r="32" ht="12.75" customHeight="1">
      <c r="A32" s="31">
        <v>891.0</v>
      </c>
      <c r="B32" s="32" t="s">
        <v>68663</v>
      </c>
      <c r="C32" s="31">
        <v>245.0</v>
      </c>
      <c r="D32" s="32" t="s">
        <v>68664</v>
      </c>
      <c r="E32" s="32" t="s">
        <v>68665</v>
      </c>
      <c r="F32" s="33">
        <v>43.0</v>
      </c>
      <c r="G32" s="31">
        <v>2.45910434E8</v>
      </c>
    </row>
    <row r="33" ht="12.75" customHeight="1">
      <c r="A33" s="27">
        <v>891.0</v>
      </c>
      <c r="B33" s="28" t="s">
        <v>68666</v>
      </c>
      <c r="C33" s="27">
        <v>245.0</v>
      </c>
      <c r="D33" s="28" t="s">
        <v>68667</v>
      </c>
      <c r="E33" s="28" t="s">
        <v>68668</v>
      </c>
      <c r="F33" s="27">
        <v>154.0</v>
      </c>
      <c r="G33" s="27">
        <v>2.45911541E8</v>
      </c>
    </row>
    <row r="34" ht="12.75" customHeight="1">
      <c r="A34" s="31">
        <v>891.0</v>
      </c>
      <c r="B34" s="32" t="s">
        <v>68669</v>
      </c>
      <c r="C34" s="31">
        <v>245.0</v>
      </c>
      <c r="D34" s="32" t="s">
        <v>68670</v>
      </c>
      <c r="E34" s="32" t="s">
        <v>68671</v>
      </c>
      <c r="F34" s="31">
        <v>251.0</v>
      </c>
      <c r="G34" s="31">
        <v>2.45912511E8</v>
      </c>
    </row>
    <row r="35" ht="12.75" customHeight="1">
      <c r="A35" s="27">
        <v>891.0</v>
      </c>
      <c r="B35" s="28" t="s">
        <v>68672</v>
      </c>
      <c r="C35" s="27">
        <v>245.0</v>
      </c>
      <c r="D35" s="28" t="s">
        <v>68673</v>
      </c>
      <c r="E35" s="28" t="s">
        <v>68674</v>
      </c>
      <c r="F35" s="27">
        <v>325.0</v>
      </c>
      <c r="G35" s="27">
        <v>2.45913257E8</v>
      </c>
    </row>
    <row r="36" ht="12.75" customHeight="1">
      <c r="A36" s="31">
        <v>891.0</v>
      </c>
      <c r="B36" s="32" t="s">
        <v>68675</v>
      </c>
      <c r="C36" s="31">
        <v>245.0</v>
      </c>
      <c r="D36" s="32" t="s">
        <v>68676</v>
      </c>
      <c r="E36" s="32" t="s">
        <v>68677</v>
      </c>
      <c r="F36" s="31">
        <v>331.0</v>
      </c>
      <c r="G36" s="31">
        <v>2.4591331E8</v>
      </c>
    </row>
    <row r="37" ht="12.75" customHeight="1">
      <c r="A37" s="27">
        <v>891.0</v>
      </c>
      <c r="B37" s="28" t="s">
        <v>68678</v>
      </c>
      <c r="C37" s="27">
        <v>245.0</v>
      </c>
      <c r="D37" s="28" t="s">
        <v>68679</v>
      </c>
      <c r="E37" s="28" t="s">
        <v>68680</v>
      </c>
      <c r="F37" s="27">
        <v>340.0</v>
      </c>
      <c r="G37" s="27">
        <v>2.45913402E8</v>
      </c>
    </row>
    <row r="38" ht="12.75" customHeight="1">
      <c r="A38" s="31">
        <v>891.0</v>
      </c>
      <c r="B38" s="32" t="s">
        <v>68681</v>
      </c>
      <c r="C38" s="31">
        <v>245.0</v>
      </c>
      <c r="D38" s="32" t="s">
        <v>68682</v>
      </c>
      <c r="E38" s="32" t="s">
        <v>68683</v>
      </c>
      <c r="F38" s="31">
        <v>349.0</v>
      </c>
      <c r="G38" s="31">
        <v>2.45913499E8</v>
      </c>
    </row>
    <row r="39" ht="12.75" customHeight="1">
      <c r="A39" s="27">
        <v>891.0</v>
      </c>
      <c r="B39" s="28" t="s">
        <v>68684</v>
      </c>
      <c r="C39" s="27">
        <v>245.0</v>
      </c>
      <c r="D39" s="28" t="s">
        <v>68685</v>
      </c>
      <c r="E39" s="28" t="s">
        <v>68686</v>
      </c>
      <c r="F39" s="27">
        <v>355.0</v>
      </c>
      <c r="G39" s="27">
        <v>2.45913552E8</v>
      </c>
    </row>
    <row r="40" ht="12.75" customHeight="1">
      <c r="A40" s="31">
        <v>891.0</v>
      </c>
      <c r="B40" s="32" t="s">
        <v>68687</v>
      </c>
      <c r="C40" s="31">
        <v>245.0</v>
      </c>
      <c r="D40" s="32" t="s">
        <v>68688</v>
      </c>
      <c r="E40" s="32" t="s">
        <v>68689</v>
      </c>
      <c r="F40" s="31">
        <v>415.0</v>
      </c>
      <c r="G40" s="31">
        <v>2.45914151E8</v>
      </c>
    </row>
    <row r="41" ht="12.75" customHeight="1">
      <c r="A41" s="27">
        <v>193.0</v>
      </c>
      <c r="B41" s="28" t="s">
        <v>68690</v>
      </c>
      <c r="C41" s="27">
        <v>245.0</v>
      </c>
      <c r="D41" s="28" t="s">
        <v>68691</v>
      </c>
      <c r="E41" s="28" t="s">
        <v>68692</v>
      </c>
      <c r="F41" s="29">
        <v>91.0</v>
      </c>
      <c r="G41" s="27">
        <v>2.45930919E8</v>
      </c>
    </row>
    <row r="42" ht="12.75" customHeight="1">
      <c r="A42" s="31">
        <v>193.0</v>
      </c>
      <c r="B42" s="32" t="s">
        <v>68693</v>
      </c>
      <c r="C42" s="31">
        <v>245.0</v>
      </c>
      <c r="D42" s="32" t="s">
        <v>68694</v>
      </c>
      <c r="E42" s="32" t="s">
        <v>68695</v>
      </c>
      <c r="F42" s="31">
        <v>229.0</v>
      </c>
      <c r="G42" s="31">
        <v>2.45932296E8</v>
      </c>
    </row>
    <row r="43" ht="12.75" customHeight="1">
      <c r="A43" s="27">
        <v>401.0</v>
      </c>
      <c r="B43" s="28" t="s">
        <v>68696</v>
      </c>
      <c r="C43" s="27">
        <v>250.0</v>
      </c>
      <c r="D43" s="28" t="s">
        <v>68697</v>
      </c>
      <c r="E43" s="28" t="s">
        <v>68698</v>
      </c>
      <c r="F43" s="29">
        <v>7.0</v>
      </c>
      <c r="G43" s="27">
        <v>2.50010079E8</v>
      </c>
    </row>
    <row r="44" ht="12.75" customHeight="1">
      <c r="A44" s="31">
        <v>401.0</v>
      </c>
      <c r="B44" s="32" t="s">
        <v>68699</v>
      </c>
      <c r="C44" s="31">
        <v>250.0</v>
      </c>
      <c r="D44" s="32" t="s">
        <v>68700</v>
      </c>
      <c r="E44" s="32" t="s">
        <v>68701</v>
      </c>
      <c r="F44" s="33">
        <v>94.0</v>
      </c>
      <c r="G44" s="31">
        <v>2.50010945E8</v>
      </c>
    </row>
    <row r="45" ht="12.75" customHeight="1">
      <c r="A45" s="27">
        <v>304.0</v>
      </c>
      <c r="B45" s="28" t="s">
        <v>68702</v>
      </c>
      <c r="C45" s="27">
        <v>250.0</v>
      </c>
      <c r="D45" s="28" t="s">
        <v>68703</v>
      </c>
      <c r="E45" s="28" t="s">
        <v>68704</v>
      </c>
      <c r="F45" s="29">
        <v>13.0</v>
      </c>
      <c r="G45" s="27">
        <v>2.50040131E8</v>
      </c>
    </row>
    <row r="46" ht="12.75" customHeight="1">
      <c r="A46" s="31">
        <v>306.0</v>
      </c>
      <c r="B46" s="32" t="s">
        <v>68705</v>
      </c>
      <c r="C46" s="31">
        <v>250.0</v>
      </c>
      <c r="D46" s="32" t="s">
        <v>68706</v>
      </c>
      <c r="E46" s="32" t="s">
        <v>68707</v>
      </c>
      <c r="F46" s="33">
        <v>28.0</v>
      </c>
      <c r="G46" s="31">
        <v>2.50060287E8</v>
      </c>
    </row>
    <row r="47" ht="12.75" customHeight="1">
      <c r="A47" s="27">
        <v>306.0</v>
      </c>
      <c r="B47" s="28" t="s">
        <v>68708</v>
      </c>
      <c r="C47" s="27">
        <v>250.0</v>
      </c>
      <c r="D47" s="28" t="s">
        <v>68709</v>
      </c>
      <c r="E47" s="28" t="s">
        <v>68710</v>
      </c>
      <c r="F47" s="29">
        <v>70.0</v>
      </c>
      <c r="G47" s="27">
        <v>2.50060708E8</v>
      </c>
    </row>
    <row r="48" ht="12.75" customHeight="1">
      <c r="A48" s="31">
        <v>309.0</v>
      </c>
      <c r="B48" s="32" t="s">
        <v>68711</v>
      </c>
      <c r="C48" s="31">
        <v>250.0</v>
      </c>
      <c r="D48" s="32" t="s">
        <v>68712</v>
      </c>
      <c r="E48" s="32" t="s">
        <v>68713</v>
      </c>
      <c r="F48" s="33">
        <v>10.0</v>
      </c>
      <c r="G48" s="31">
        <v>2.50090107E8</v>
      </c>
    </row>
    <row r="49" ht="12.75" customHeight="1">
      <c r="A49" s="27">
        <v>309.0</v>
      </c>
      <c r="B49" s="28" t="s">
        <v>68714</v>
      </c>
      <c r="C49" s="27">
        <v>250.0</v>
      </c>
      <c r="D49" s="28" t="s">
        <v>68715</v>
      </c>
      <c r="E49" s="28" t="s">
        <v>68716</v>
      </c>
      <c r="F49" s="29">
        <v>22.0</v>
      </c>
      <c r="G49" s="27">
        <v>2.50090228E8</v>
      </c>
    </row>
    <row r="50" ht="12.75" customHeight="1">
      <c r="A50" s="31">
        <v>309.0</v>
      </c>
      <c r="B50" s="32" t="s">
        <v>68717</v>
      </c>
      <c r="C50" s="31">
        <v>250.0</v>
      </c>
      <c r="D50" s="32" t="s">
        <v>68718</v>
      </c>
      <c r="E50" s="32" t="s">
        <v>68719</v>
      </c>
      <c r="F50" s="33">
        <v>37.0</v>
      </c>
      <c r="G50" s="31">
        <v>2.50090378E8</v>
      </c>
    </row>
    <row r="51" ht="12.75" customHeight="1">
      <c r="A51" s="27">
        <v>309.0</v>
      </c>
      <c r="B51" s="28" t="s">
        <v>68720</v>
      </c>
      <c r="C51" s="27">
        <v>250.0</v>
      </c>
      <c r="D51" s="28" t="s">
        <v>68721</v>
      </c>
      <c r="E51" s="28" t="s">
        <v>68722</v>
      </c>
      <c r="F51" s="29">
        <v>70.0</v>
      </c>
      <c r="G51" s="27">
        <v>2.50090707E8</v>
      </c>
    </row>
    <row r="52" ht="12.75" customHeight="1">
      <c r="A52" s="31">
        <v>309.0</v>
      </c>
      <c r="B52" s="32" t="s">
        <v>68723</v>
      </c>
      <c r="C52" s="31">
        <v>250.0</v>
      </c>
      <c r="D52" s="32" t="s">
        <v>68724</v>
      </c>
      <c r="E52" s="32" t="s">
        <v>68725</v>
      </c>
      <c r="F52" s="31">
        <v>100.0</v>
      </c>
      <c r="G52" s="31">
        <v>2.50091001E8</v>
      </c>
    </row>
    <row r="53" ht="12.75" customHeight="1">
      <c r="A53" s="27">
        <v>610.0</v>
      </c>
      <c r="B53" s="28" t="s">
        <v>68726</v>
      </c>
      <c r="C53" s="27">
        <v>250.0</v>
      </c>
      <c r="D53" s="28" t="s">
        <v>68727</v>
      </c>
      <c r="E53" s="28" t="s">
        <v>68728</v>
      </c>
      <c r="F53" s="29">
        <v>37.0</v>
      </c>
      <c r="G53" s="27">
        <v>2.50100376E8</v>
      </c>
    </row>
    <row r="54" ht="12.75" customHeight="1">
      <c r="A54" s="31">
        <v>112.0</v>
      </c>
      <c r="B54" s="32" t="s">
        <v>68729</v>
      </c>
      <c r="C54" s="31">
        <v>250.0</v>
      </c>
      <c r="D54" s="32" t="s">
        <v>68730</v>
      </c>
      <c r="E54" s="32" t="s">
        <v>68731</v>
      </c>
      <c r="F54" s="33">
        <v>43.0</v>
      </c>
      <c r="G54" s="31">
        <v>2.50120435E8</v>
      </c>
    </row>
    <row r="55" ht="12.75" customHeight="1">
      <c r="A55" s="27">
        <v>112.0</v>
      </c>
      <c r="B55" s="28" t="s">
        <v>68732</v>
      </c>
      <c r="C55" s="27">
        <v>250.0</v>
      </c>
      <c r="D55" s="28" t="s">
        <v>68733</v>
      </c>
      <c r="E55" s="28" t="s">
        <v>68734</v>
      </c>
      <c r="F55" s="29">
        <v>73.0</v>
      </c>
      <c r="G55" s="27">
        <v>2.5012073E8</v>
      </c>
    </row>
    <row r="56" ht="12.75" customHeight="1">
      <c r="A56" s="31">
        <v>112.0</v>
      </c>
      <c r="B56" s="32" t="s">
        <v>68735</v>
      </c>
      <c r="C56" s="31">
        <v>250.0</v>
      </c>
      <c r="D56" s="32" t="s">
        <v>68736</v>
      </c>
      <c r="E56" s="32" t="s">
        <v>68737</v>
      </c>
      <c r="F56" s="33">
        <v>82.0</v>
      </c>
      <c r="G56" s="31">
        <v>2.50120822E8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113.0</v>
      </c>
      <c r="B1" s="28" t="s">
        <v>68738</v>
      </c>
      <c r="C1" s="27">
        <v>250.0</v>
      </c>
      <c r="D1" s="28" t="s">
        <v>68739</v>
      </c>
      <c r="E1" s="28" t="s">
        <v>68740</v>
      </c>
      <c r="F1" s="29">
        <v>31.0</v>
      </c>
      <c r="G1" s="27">
        <v>2.50130317E8</v>
      </c>
    </row>
    <row r="2" ht="12.75" customHeight="1">
      <c r="A2" s="31">
        <v>215.0</v>
      </c>
      <c r="B2" s="32" t="s">
        <v>68741</v>
      </c>
      <c r="C2" s="31">
        <v>250.0</v>
      </c>
      <c r="D2" s="32" t="s">
        <v>68742</v>
      </c>
      <c r="E2" s="32" t="s">
        <v>68743</v>
      </c>
      <c r="F2" s="33">
        <v>13.0</v>
      </c>
      <c r="G2" s="31">
        <v>2.50150139E8</v>
      </c>
    </row>
    <row r="3" ht="12.75" customHeight="1">
      <c r="A3" s="27">
        <v>215.0</v>
      </c>
      <c r="B3" s="28" t="s">
        <v>68744</v>
      </c>
      <c r="C3" s="27">
        <v>250.0</v>
      </c>
      <c r="D3" s="28" t="s">
        <v>68745</v>
      </c>
      <c r="E3" s="28" t="s">
        <v>68746</v>
      </c>
      <c r="F3" s="29">
        <v>29.0</v>
      </c>
      <c r="G3" s="27">
        <v>2.50150292E8</v>
      </c>
    </row>
    <row r="4" ht="12.75" customHeight="1">
      <c r="A4" s="31">
        <v>215.0</v>
      </c>
      <c r="B4" s="32" t="s">
        <v>68747</v>
      </c>
      <c r="C4" s="31">
        <v>250.0</v>
      </c>
      <c r="D4" s="32" t="s">
        <v>68748</v>
      </c>
      <c r="E4" s="32" t="s">
        <v>68749</v>
      </c>
      <c r="F4" s="33">
        <v>94.0</v>
      </c>
      <c r="G4" s="31">
        <v>2.50150942E8</v>
      </c>
    </row>
    <row r="5" ht="12.75" customHeight="1">
      <c r="A5" s="27">
        <v>215.0</v>
      </c>
      <c r="B5" s="28" t="s">
        <v>68750</v>
      </c>
      <c r="C5" s="27">
        <v>250.0</v>
      </c>
      <c r="D5" s="28" t="s">
        <v>68751</v>
      </c>
      <c r="E5" s="28" t="s">
        <v>68752</v>
      </c>
      <c r="F5" s="27">
        <v>175.0</v>
      </c>
      <c r="G5" s="27">
        <v>2.50151754E8</v>
      </c>
    </row>
    <row r="6" ht="12.75" customHeight="1">
      <c r="A6" s="31">
        <v>215.0</v>
      </c>
      <c r="B6" s="32" t="s">
        <v>68753</v>
      </c>
      <c r="C6" s="31">
        <v>250.0</v>
      </c>
      <c r="D6" s="32" t="s">
        <v>68754</v>
      </c>
      <c r="E6" s="32" t="s">
        <v>68755</v>
      </c>
      <c r="F6" s="31">
        <v>193.0</v>
      </c>
      <c r="G6" s="31">
        <v>2.50151938E8</v>
      </c>
    </row>
    <row r="7" ht="12.75" customHeight="1">
      <c r="A7" s="27">
        <v>215.0</v>
      </c>
      <c r="B7" s="28" t="s">
        <v>68756</v>
      </c>
      <c r="C7" s="27">
        <v>250.0</v>
      </c>
      <c r="D7" s="28" t="s">
        <v>68757</v>
      </c>
      <c r="E7" s="28" t="s">
        <v>68758</v>
      </c>
      <c r="F7" s="27">
        <v>316.0</v>
      </c>
      <c r="G7" s="27">
        <v>2.50153165E8</v>
      </c>
    </row>
    <row r="8" ht="12.75" customHeight="1">
      <c r="A8" s="31">
        <v>215.0</v>
      </c>
      <c r="B8" s="32" t="s">
        <v>68759</v>
      </c>
      <c r="C8" s="31">
        <v>250.0</v>
      </c>
      <c r="D8" s="32" t="s">
        <v>68760</v>
      </c>
      <c r="E8" s="32" t="s">
        <v>68761</v>
      </c>
      <c r="F8" s="31">
        <v>364.0</v>
      </c>
      <c r="G8" s="31">
        <v>2.50153644E8</v>
      </c>
    </row>
    <row r="9" ht="12.75" customHeight="1">
      <c r="A9" s="27">
        <v>215.0</v>
      </c>
      <c r="B9" s="28" t="s">
        <v>68762</v>
      </c>
      <c r="C9" s="27">
        <v>250.0</v>
      </c>
      <c r="D9" s="28" t="s">
        <v>68763</v>
      </c>
      <c r="E9" s="28" t="s">
        <v>68764</v>
      </c>
      <c r="F9" s="27">
        <v>409.0</v>
      </c>
      <c r="G9" s="27">
        <v>2.50154098E8</v>
      </c>
    </row>
    <row r="10" ht="12.75" customHeight="1">
      <c r="A10" s="31">
        <v>215.0</v>
      </c>
      <c r="B10" s="32" t="s">
        <v>68765</v>
      </c>
      <c r="C10" s="31">
        <v>250.0</v>
      </c>
      <c r="D10" s="32" t="s">
        <v>68766</v>
      </c>
      <c r="E10" s="32" t="s">
        <v>68767</v>
      </c>
      <c r="F10" s="31">
        <v>427.0</v>
      </c>
      <c r="G10" s="31">
        <v>2.50154272E8</v>
      </c>
    </row>
    <row r="11" ht="12.75" customHeight="1">
      <c r="A11" s="27">
        <v>215.0</v>
      </c>
      <c r="B11" s="28" t="s">
        <v>68768</v>
      </c>
      <c r="C11" s="27">
        <v>250.0</v>
      </c>
      <c r="D11" s="28" t="s">
        <v>68769</v>
      </c>
      <c r="E11" s="28" t="s">
        <v>68770</v>
      </c>
      <c r="F11" s="27">
        <v>451.0</v>
      </c>
      <c r="G11" s="27">
        <v>2.50154519E8</v>
      </c>
    </row>
    <row r="12" ht="12.75" customHeight="1">
      <c r="A12" s="31">
        <v>215.0</v>
      </c>
      <c r="B12" s="32" t="s">
        <v>68771</v>
      </c>
      <c r="C12" s="31">
        <v>250.0</v>
      </c>
      <c r="D12" s="32" t="s">
        <v>68772</v>
      </c>
      <c r="E12" s="32" t="s">
        <v>68773</v>
      </c>
      <c r="F12" s="31">
        <v>457.0</v>
      </c>
      <c r="G12" s="31">
        <v>2.50154577E8</v>
      </c>
    </row>
    <row r="13" ht="12.75" customHeight="1">
      <c r="A13" s="27">
        <v>215.0</v>
      </c>
      <c r="B13" s="28" t="s">
        <v>68774</v>
      </c>
      <c r="C13" s="27">
        <v>250.0</v>
      </c>
      <c r="D13" s="28" t="s">
        <v>68775</v>
      </c>
      <c r="E13" s="28" t="s">
        <v>68776</v>
      </c>
      <c r="F13" s="27">
        <v>466.0</v>
      </c>
      <c r="G13" s="27">
        <v>2.50154669E8</v>
      </c>
    </row>
    <row r="14" ht="12.75" customHeight="1">
      <c r="A14" s="31">
        <v>215.0</v>
      </c>
      <c r="B14" s="32" t="s">
        <v>68777</v>
      </c>
      <c r="C14" s="31">
        <v>250.0</v>
      </c>
      <c r="D14" s="32" t="s">
        <v>68778</v>
      </c>
      <c r="E14" s="32" t="s">
        <v>68779</v>
      </c>
      <c r="F14" s="31">
        <v>553.0</v>
      </c>
      <c r="G14" s="31">
        <v>2.50155534E8</v>
      </c>
    </row>
    <row r="15" ht="12.75" customHeight="1">
      <c r="A15" s="27">
        <v>215.0</v>
      </c>
      <c r="B15" s="28" t="s">
        <v>68780</v>
      </c>
      <c r="C15" s="27">
        <v>250.0</v>
      </c>
      <c r="D15" s="28" t="s">
        <v>68781</v>
      </c>
      <c r="E15" s="28" t="s">
        <v>68782</v>
      </c>
      <c r="F15" s="27">
        <v>616.0</v>
      </c>
      <c r="G15" s="27">
        <v>2.50156162E8</v>
      </c>
    </row>
    <row r="16" ht="12.75" customHeight="1">
      <c r="A16" s="31">
        <v>215.0</v>
      </c>
      <c r="B16" s="32" t="s">
        <v>68783</v>
      </c>
      <c r="C16" s="31">
        <v>250.0</v>
      </c>
      <c r="D16" s="32" t="s">
        <v>68784</v>
      </c>
      <c r="E16" s="32" t="s">
        <v>68785</v>
      </c>
      <c r="F16" s="31">
        <v>652.0</v>
      </c>
      <c r="G16" s="31">
        <v>2.5015652E8</v>
      </c>
    </row>
    <row r="17" ht="12.75" customHeight="1">
      <c r="A17" s="27">
        <v>215.0</v>
      </c>
      <c r="B17" s="28" t="s">
        <v>68786</v>
      </c>
      <c r="C17" s="27">
        <v>250.0</v>
      </c>
      <c r="D17" s="28" t="s">
        <v>68787</v>
      </c>
      <c r="E17" s="28" t="s">
        <v>68788</v>
      </c>
      <c r="F17" s="27">
        <v>673.0</v>
      </c>
      <c r="G17" s="27">
        <v>2.50156733E8</v>
      </c>
    </row>
    <row r="18" ht="12.75" customHeight="1">
      <c r="A18" s="31">
        <v>215.0</v>
      </c>
      <c r="B18" s="32" t="s">
        <v>68789</v>
      </c>
      <c r="C18" s="31">
        <v>250.0</v>
      </c>
      <c r="D18" s="32" t="s">
        <v>68790</v>
      </c>
      <c r="E18" s="32" t="s">
        <v>68791</v>
      </c>
      <c r="F18" s="31">
        <v>691.0</v>
      </c>
      <c r="G18" s="31">
        <v>2.50156917E8</v>
      </c>
    </row>
    <row r="19" ht="12.75" customHeight="1">
      <c r="A19" s="27">
        <v>215.0</v>
      </c>
      <c r="B19" s="28" t="s">
        <v>68792</v>
      </c>
      <c r="C19" s="27">
        <v>250.0</v>
      </c>
      <c r="D19" s="28" t="s">
        <v>68793</v>
      </c>
      <c r="E19" s="28" t="s">
        <v>68794</v>
      </c>
      <c r="F19" s="27">
        <v>739.0</v>
      </c>
      <c r="G19" s="27">
        <v>2.5015739E8</v>
      </c>
    </row>
    <row r="20" ht="12.75" customHeight="1">
      <c r="A20" s="31">
        <v>215.0</v>
      </c>
      <c r="B20" s="32" t="s">
        <v>68795</v>
      </c>
      <c r="C20" s="31">
        <v>250.0</v>
      </c>
      <c r="D20" s="32" t="s">
        <v>68796</v>
      </c>
      <c r="E20" s="32" t="s">
        <v>68797</v>
      </c>
      <c r="F20" s="31">
        <v>742.0</v>
      </c>
      <c r="G20" s="31">
        <v>2.50157424E8</v>
      </c>
    </row>
    <row r="21" ht="12.75" customHeight="1">
      <c r="A21" s="27">
        <v>418.0</v>
      </c>
      <c r="B21" s="28" t="s">
        <v>68798</v>
      </c>
      <c r="C21" s="27">
        <v>250.0</v>
      </c>
      <c r="D21" s="28" t="s">
        <v>68799</v>
      </c>
      <c r="E21" s="28" t="s">
        <v>68800</v>
      </c>
      <c r="F21" s="29">
        <v>5.0</v>
      </c>
      <c r="G21" s="27">
        <v>2.50180059E8</v>
      </c>
    </row>
    <row r="22" ht="12.75" customHeight="1">
      <c r="A22" s="31">
        <v>418.0</v>
      </c>
      <c r="B22" s="32" t="s">
        <v>68801</v>
      </c>
      <c r="C22" s="31">
        <v>250.0</v>
      </c>
      <c r="D22" s="32" t="s">
        <v>68802</v>
      </c>
      <c r="E22" s="32" t="s">
        <v>68803</v>
      </c>
      <c r="F22" s="33">
        <v>19.0</v>
      </c>
      <c r="G22" s="31">
        <v>2.50180196E8</v>
      </c>
    </row>
    <row r="23" ht="12.75" customHeight="1">
      <c r="A23" s="27">
        <v>119.0</v>
      </c>
      <c r="B23" s="28" t="s">
        <v>68804</v>
      </c>
      <c r="C23" s="27">
        <v>250.0</v>
      </c>
      <c r="D23" s="28" t="s">
        <v>68805</v>
      </c>
      <c r="E23" s="28" t="s">
        <v>68806</v>
      </c>
      <c r="F23" s="29">
        <v>22.0</v>
      </c>
      <c r="G23" s="27">
        <v>2.50190223E8</v>
      </c>
    </row>
    <row r="24" ht="12.75" customHeight="1">
      <c r="A24" s="31">
        <v>119.0</v>
      </c>
      <c r="B24" s="32" t="s">
        <v>68807</v>
      </c>
      <c r="C24" s="31">
        <v>250.0</v>
      </c>
      <c r="D24" s="32" t="s">
        <v>68808</v>
      </c>
      <c r="E24" s="32" t="s">
        <v>68809</v>
      </c>
      <c r="F24" s="33">
        <v>88.0</v>
      </c>
      <c r="G24" s="31">
        <v>2.50190881E8</v>
      </c>
    </row>
    <row r="25" ht="12.75" customHeight="1">
      <c r="A25" s="27">
        <v>119.0</v>
      </c>
      <c r="B25" s="28" t="s">
        <v>68810</v>
      </c>
      <c r="C25" s="27">
        <v>250.0</v>
      </c>
      <c r="D25" s="28" t="s">
        <v>68811</v>
      </c>
      <c r="E25" s="28" t="s">
        <v>68812</v>
      </c>
      <c r="F25" s="27">
        <v>115.0</v>
      </c>
      <c r="G25" s="27">
        <v>2.50191156E8</v>
      </c>
    </row>
    <row r="26" ht="12.75" customHeight="1">
      <c r="A26" s="31">
        <v>119.0</v>
      </c>
      <c r="B26" s="32" t="s">
        <v>68813</v>
      </c>
      <c r="C26" s="31">
        <v>250.0</v>
      </c>
      <c r="D26" s="32" t="s">
        <v>68814</v>
      </c>
      <c r="E26" s="32" t="s">
        <v>68815</v>
      </c>
      <c r="F26" s="31">
        <v>142.0</v>
      </c>
      <c r="G26" s="31">
        <v>2.50191422E8</v>
      </c>
    </row>
    <row r="27" ht="12.75" customHeight="1">
      <c r="A27" s="27">
        <v>119.0</v>
      </c>
      <c r="B27" s="28" t="s">
        <v>68816</v>
      </c>
      <c r="C27" s="27">
        <v>250.0</v>
      </c>
      <c r="D27" s="28" t="s">
        <v>68817</v>
      </c>
      <c r="E27" s="28" t="s">
        <v>68818</v>
      </c>
      <c r="F27" s="27">
        <v>313.0</v>
      </c>
      <c r="G27" s="27">
        <v>2.50193138E8</v>
      </c>
    </row>
    <row r="28" ht="12.75" customHeight="1">
      <c r="A28" s="31">
        <v>119.0</v>
      </c>
      <c r="B28" s="32" t="s">
        <v>68819</v>
      </c>
      <c r="C28" s="31">
        <v>250.0</v>
      </c>
      <c r="D28" s="32" t="s">
        <v>68820</v>
      </c>
      <c r="E28" s="32" t="s">
        <v>68821</v>
      </c>
      <c r="F28" s="31">
        <v>361.0</v>
      </c>
      <c r="G28" s="31">
        <v>2.50193617E8</v>
      </c>
    </row>
    <row r="29" ht="12.75" customHeight="1">
      <c r="A29" s="27">
        <v>222.0</v>
      </c>
      <c r="B29" s="28" t="s">
        <v>68822</v>
      </c>
      <c r="C29" s="27">
        <v>250.0</v>
      </c>
      <c r="D29" s="28" t="s">
        <v>68823</v>
      </c>
      <c r="E29" s="28" t="s">
        <v>68824</v>
      </c>
      <c r="F29" s="29">
        <v>25.0</v>
      </c>
      <c r="G29" s="27">
        <v>2.50220256E8</v>
      </c>
    </row>
    <row r="30" ht="12.75" customHeight="1">
      <c r="A30" s="31">
        <v>126.0</v>
      </c>
      <c r="B30" s="32" t="s">
        <v>68825</v>
      </c>
      <c r="C30" s="31">
        <v>250.0</v>
      </c>
      <c r="D30" s="32" t="s">
        <v>68826</v>
      </c>
      <c r="E30" s="32" t="s">
        <v>68827</v>
      </c>
      <c r="F30" s="33">
        <v>13.0</v>
      </c>
      <c r="G30" s="31">
        <v>2.50260137E8</v>
      </c>
    </row>
    <row r="31" ht="12.75" customHeight="1">
      <c r="A31" s="27">
        <v>126.0</v>
      </c>
      <c r="B31" s="28" t="s">
        <v>68828</v>
      </c>
      <c r="C31" s="27">
        <v>250.0</v>
      </c>
      <c r="D31" s="28" t="s">
        <v>68829</v>
      </c>
      <c r="E31" s="28" t="s">
        <v>68830</v>
      </c>
      <c r="F31" s="29">
        <v>28.0</v>
      </c>
      <c r="G31" s="27">
        <v>2.50260287E8</v>
      </c>
    </row>
    <row r="32" ht="12.75" customHeight="1">
      <c r="A32" s="31">
        <v>126.0</v>
      </c>
      <c r="B32" s="32" t="s">
        <v>68831</v>
      </c>
      <c r="C32" s="31">
        <v>250.0</v>
      </c>
      <c r="D32" s="32" t="s">
        <v>68832</v>
      </c>
      <c r="E32" s="32" t="s">
        <v>68833</v>
      </c>
      <c r="F32" s="33">
        <v>34.0</v>
      </c>
      <c r="G32" s="31">
        <v>2.5026034E8</v>
      </c>
    </row>
    <row r="33" ht="12.75" customHeight="1">
      <c r="A33" s="27">
        <v>126.0</v>
      </c>
      <c r="B33" s="28" t="s">
        <v>68834</v>
      </c>
      <c r="C33" s="27">
        <v>250.0</v>
      </c>
      <c r="D33" s="28" t="s">
        <v>68835</v>
      </c>
      <c r="E33" s="28" t="s">
        <v>68836</v>
      </c>
      <c r="F33" s="29">
        <v>72.0</v>
      </c>
      <c r="G33" s="27">
        <v>2.50260724E8</v>
      </c>
    </row>
    <row r="34" ht="12.75" customHeight="1">
      <c r="A34" s="31">
        <v>126.0</v>
      </c>
      <c r="B34" s="32" t="s">
        <v>68837</v>
      </c>
      <c r="C34" s="31">
        <v>250.0</v>
      </c>
      <c r="D34" s="32" t="s">
        <v>68838</v>
      </c>
      <c r="E34" s="32" t="s">
        <v>68839</v>
      </c>
      <c r="F34" s="33">
        <v>94.0</v>
      </c>
      <c r="G34" s="31">
        <v>2.5026094E8</v>
      </c>
    </row>
    <row r="35" ht="12.75" customHeight="1">
      <c r="A35" s="27">
        <v>126.0</v>
      </c>
      <c r="B35" s="28" t="s">
        <v>68840</v>
      </c>
      <c r="C35" s="27">
        <v>250.0</v>
      </c>
      <c r="D35" s="28" t="s">
        <v>68841</v>
      </c>
      <c r="E35" s="28" t="s">
        <v>68842</v>
      </c>
      <c r="F35" s="27">
        <v>109.0</v>
      </c>
      <c r="G35" s="27">
        <v>2.50261099E8</v>
      </c>
    </row>
    <row r="36" ht="12.75" customHeight="1">
      <c r="A36" s="31">
        <v>126.0</v>
      </c>
      <c r="B36" s="32" t="s">
        <v>68843</v>
      </c>
      <c r="C36" s="31">
        <v>250.0</v>
      </c>
      <c r="D36" s="32" t="s">
        <v>68844</v>
      </c>
      <c r="E36" s="32" t="s">
        <v>68845</v>
      </c>
      <c r="F36" s="31">
        <v>130.0</v>
      </c>
      <c r="G36" s="31">
        <v>2.50261307E8</v>
      </c>
    </row>
    <row r="37" ht="12.75" customHeight="1">
      <c r="A37" s="27">
        <v>126.0</v>
      </c>
      <c r="B37" s="28" t="s">
        <v>68846</v>
      </c>
      <c r="C37" s="27">
        <v>250.0</v>
      </c>
      <c r="D37" s="28" t="s">
        <v>68847</v>
      </c>
      <c r="E37" s="28" t="s">
        <v>68848</v>
      </c>
      <c r="F37" s="27">
        <v>133.0</v>
      </c>
      <c r="G37" s="27">
        <v>2.50261336E8</v>
      </c>
    </row>
    <row r="38" ht="12.75" customHeight="1">
      <c r="A38" s="31">
        <v>126.0</v>
      </c>
      <c r="B38" s="32" t="s">
        <v>68849</v>
      </c>
      <c r="C38" s="31">
        <v>250.0</v>
      </c>
      <c r="D38" s="32" t="s">
        <v>68850</v>
      </c>
      <c r="E38" s="32" t="s">
        <v>68851</v>
      </c>
      <c r="F38" s="31">
        <v>169.0</v>
      </c>
      <c r="G38" s="31">
        <v>2.50261699E8</v>
      </c>
    </row>
    <row r="39" ht="12.75" customHeight="1">
      <c r="A39" s="27">
        <v>126.0</v>
      </c>
      <c r="B39" s="28" t="s">
        <v>68852</v>
      </c>
      <c r="C39" s="27">
        <v>250.0</v>
      </c>
      <c r="D39" s="28" t="s">
        <v>68853</v>
      </c>
      <c r="E39" s="28" t="s">
        <v>68854</v>
      </c>
      <c r="F39" s="27">
        <v>172.0</v>
      </c>
      <c r="G39" s="27">
        <v>2.50261723E8</v>
      </c>
    </row>
    <row r="40" ht="12.75" customHeight="1">
      <c r="A40" s="31">
        <v>126.0</v>
      </c>
      <c r="B40" s="32" t="s">
        <v>68855</v>
      </c>
      <c r="C40" s="31">
        <v>250.0</v>
      </c>
      <c r="D40" s="32" t="s">
        <v>68856</v>
      </c>
      <c r="E40" s="32" t="s">
        <v>68857</v>
      </c>
      <c r="F40" s="31">
        <v>235.0</v>
      </c>
      <c r="G40" s="31">
        <v>2.50262351E8</v>
      </c>
    </row>
    <row r="41" ht="12.75" customHeight="1">
      <c r="A41" s="27">
        <v>126.0</v>
      </c>
      <c r="B41" s="28" t="s">
        <v>68858</v>
      </c>
      <c r="C41" s="27">
        <v>250.0</v>
      </c>
      <c r="D41" s="28" t="s">
        <v>68859</v>
      </c>
      <c r="E41" s="28" t="s">
        <v>68860</v>
      </c>
      <c r="F41" s="27">
        <v>241.0</v>
      </c>
      <c r="G41" s="27">
        <v>2.50262414E8</v>
      </c>
    </row>
    <row r="42" ht="12.75" customHeight="1">
      <c r="A42" s="31">
        <v>126.0</v>
      </c>
      <c r="B42" s="32" t="s">
        <v>68861</v>
      </c>
      <c r="C42" s="31">
        <v>250.0</v>
      </c>
      <c r="D42" s="32" t="s">
        <v>68862</v>
      </c>
      <c r="E42" s="32" t="s">
        <v>68863</v>
      </c>
      <c r="F42" s="31">
        <v>253.0</v>
      </c>
      <c r="G42" s="31">
        <v>2.50262535E8</v>
      </c>
    </row>
    <row r="43" ht="12.75" customHeight="1">
      <c r="A43" s="27">
        <v>126.0</v>
      </c>
      <c r="B43" s="28" t="s">
        <v>68864</v>
      </c>
      <c r="C43" s="27">
        <v>250.0</v>
      </c>
      <c r="D43" s="28" t="s">
        <v>68865</v>
      </c>
      <c r="E43" s="28" t="s">
        <v>68866</v>
      </c>
      <c r="F43" s="27">
        <v>298.0</v>
      </c>
      <c r="G43" s="27">
        <v>2.5026298E8</v>
      </c>
    </row>
    <row r="44" ht="12.75" customHeight="1">
      <c r="A44" s="31">
        <v>126.0</v>
      </c>
      <c r="B44" s="32" t="s">
        <v>68867</v>
      </c>
      <c r="C44" s="31">
        <v>250.0</v>
      </c>
      <c r="D44" s="32" t="s">
        <v>68868</v>
      </c>
      <c r="E44" s="32" t="s">
        <v>68869</v>
      </c>
      <c r="F44" s="31">
        <v>319.0</v>
      </c>
      <c r="G44" s="31">
        <v>2.50263192E8</v>
      </c>
    </row>
    <row r="45" ht="12.75" customHeight="1">
      <c r="A45" s="27">
        <v>126.0</v>
      </c>
      <c r="B45" s="28" t="s">
        <v>68870</v>
      </c>
      <c r="C45" s="27">
        <v>250.0</v>
      </c>
      <c r="D45" s="28" t="s">
        <v>68871</v>
      </c>
      <c r="E45" s="28" t="s">
        <v>68872</v>
      </c>
      <c r="F45" s="27">
        <v>328.0</v>
      </c>
      <c r="G45" s="27">
        <v>2.50263284E8</v>
      </c>
    </row>
    <row r="46" ht="12.75" customHeight="1">
      <c r="A46" s="31">
        <v>126.0</v>
      </c>
      <c r="B46" s="32" t="s">
        <v>68873</v>
      </c>
      <c r="C46" s="31">
        <v>250.0</v>
      </c>
      <c r="D46" s="32" t="s">
        <v>68874</v>
      </c>
      <c r="E46" s="32" t="s">
        <v>68875</v>
      </c>
      <c r="F46" s="31">
        <v>352.0</v>
      </c>
      <c r="G46" s="31">
        <v>2.50263521E8</v>
      </c>
    </row>
    <row r="47" ht="12.75" customHeight="1">
      <c r="A47" s="27">
        <v>126.0</v>
      </c>
      <c r="B47" s="28" t="s">
        <v>68876</v>
      </c>
      <c r="C47" s="27">
        <v>250.0</v>
      </c>
      <c r="D47" s="28" t="s">
        <v>68877</v>
      </c>
      <c r="E47" s="28" t="s">
        <v>68878</v>
      </c>
      <c r="F47" s="27">
        <v>358.0</v>
      </c>
      <c r="G47" s="27">
        <v>2.50263589E8</v>
      </c>
    </row>
    <row r="48" ht="12.75" customHeight="1">
      <c r="A48" s="31">
        <v>126.0</v>
      </c>
      <c r="B48" s="32" t="s">
        <v>68879</v>
      </c>
      <c r="C48" s="31">
        <v>250.0</v>
      </c>
      <c r="D48" s="32" t="s">
        <v>68880</v>
      </c>
      <c r="E48" s="32" t="s">
        <v>68881</v>
      </c>
      <c r="F48" s="31">
        <v>361.0</v>
      </c>
      <c r="G48" s="31">
        <v>2.50263613E8</v>
      </c>
    </row>
    <row r="49" ht="12.75" customHeight="1">
      <c r="A49" s="27">
        <v>126.0</v>
      </c>
      <c r="B49" s="28" t="s">
        <v>68882</v>
      </c>
      <c r="C49" s="27">
        <v>250.0</v>
      </c>
      <c r="D49" s="28" t="s">
        <v>68883</v>
      </c>
      <c r="E49" s="28" t="s">
        <v>68884</v>
      </c>
      <c r="F49" s="27">
        <v>400.0</v>
      </c>
      <c r="G49" s="27">
        <v>2.50264009E8</v>
      </c>
    </row>
    <row r="50" ht="12.75" customHeight="1">
      <c r="A50" s="31">
        <v>126.0</v>
      </c>
      <c r="B50" s="32" t="s">
        <v>68885</v>
      </c>
      <c r="C50" s="31">
        <v>250.0</v>
      </c>
      <c r="D50" s="32" t="s">
        <v>68886</v>
      </c>
      <c r="E50" s="32" t="s">
        <v>68887</v>
      </c>
      <c r="F50" s="31">
        <v>403.0</v>
      </c>
      <c r="G50" s="31">
        <v>2.50264038E8</v>
      </c>
    </row>
    <row r="51" ht="12.75" customHeight="1">
      <c r="A51" s="27">
        <v>126.0</v>
      </c>
      <c r="B51" s="28" t="s">
        <v>68888</v>
      </c>
      <c r="C51" s="27">
        <v>250.0</v>
      </c>
      <c r="D51" s="28" t="s">
        <v>68889</v>
      </c>
      <c r="E51" s="28" t="s">
        <v>68890</v>
      </c>
      <c r="F51" s="27">
        <v>409.0</v>
      </c>
      <c r="G51" s="27">
        <v>2.50264096E8</v>
      </c>
    </row>
    <row r="52" ht="12.75" customHeight="1">
      <c r="A52" s="31">
        <v>126.0</v>
      </c>
      <c r="B52" s="32" t="s">
        <v>68891</v>
      </c>
      <c r="C52" s="31">
        <v>250.0</v>
      </c>
      <c r="D52" s="32" t="s">
        <v>68892</v>
      </c>
      <c r="E52" s="32" t="s">
        <v>68893</v>
      </c>
      <c r="F52" s="31">
        <v>430.0</v>
      </c>
      <c r="G52" s="31">
        <v>2.50264304E8</v>
      </c>
    </row>
    <row r="53" ht="12.75" customHeight="1">
      <c r="A53" s="27">
        <v>126.0</v>
      </c>
      <c r="B53" s="28" t="s">
        <v>68894</v>
      </c>
      <c r="C53" s="27">
        <v>250.0</v>
      </c>
      <c r="D53" s="28" t="s">
        <v>68895</v>
      </c>
      <c r="E53" s="28" t="s">
        <v>68896</v>
      </c>
      <c r="F53" s="27">
        <v>463.0</v>
      </c>
      <c r="G53" s="27">
        <v>2.50264638E8</v>
      </c>
    </row>
    <row r="54" ht="12.75" customHeight="1">
      <c r="A54" s="31">
        <v>127.0</v>
      </c>
      <c r="B54" s="32" t="s">
        <v>68897</v>
      </c>
      <c r="C54" s="31">
        <v>250.0</v>
      </c>
      <c r="D54" s="32" t="s">
        <v>68898</v>
      </c>
      <c r="E54" s="32" t="s">
        <v>68899</v>
      </c>
      <c r="F54" s="33">
        <v>0.0</v>
      </c>
      <c r="G54" s="31">
        <v>2.50270006E8</v>
      </c>
    </row>
    <row r="55" ht="12.75" customHeight="1">
      <c r="A55" s="27">
        <v>127.0</v>
      </c>
      <c r="B55" s="28" t="s">
        <v>68900</v>
      </c>
      <c r="C55" s="27">
        <v>250.0</v>
      </c>
      <c r="D55" s="28" t="s">
        <v>68901</v>
      </c>
      <c r="E55" s="28" t="s">
        <v>68902</v>
      </c>
      <c r="F55" s="29">
        <v>37.0</v>
      </c>
      <c r="G55" s="27">
        <v>2.50270372E8</v>
      </c>
    </row>
    <row r="56" ht="12.75" customHeight="1">
      <c r="A56" s="31">
        <v>127.0</v>
      </c>
      <c r="B56" s="32" t="s">
        <v>68903</v>
      </c>
      <c r="C56" s="31">
        <v>250.0</v>
      </c>
      <c r="D56" s="32" t="s">
        <v>68904</v>
      </c>
      <c r="E56" s="32" t="s">
        <v>68905</v>
      </c>
      <c r="F56" s="33">
        <v>43.0</v>
      </c>
      <c r="G56" s="31">
        <v>2.50270435E8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68906</v>
      </c>
      <c r="C1" s="27">
        <v>250.0</v>
      </c>
      <c r="D1" s="28" t="s">
        <v>68907</v>
      </c>
      <c r="E1" s="28" t="s">
        <v>68908</v>
      </c>
      <c r="F1" s="29">
        <v>49.0</v>
      </c>
      <c r="G1" s="27">
        <v>2.50270493E8</v>
      </c>
    </row>
    <row r="2" ht="12.75" customHeight="1">
      <c r="A2" s="31">
        <v>127.0</v>
      </c>
      <c r="B2" s="32" t="s">
        <v>68909</v>
      </c>
      <c r="C2" s="31">
        <v>250.0</v>
      </c>
      <c r="D2" s="32" t="s">
        <v>68910</v>
      </c>
      <c r="E2" s="32" t="s">
        <v>68911</v>
      </c>
      <c r="F2" s="33">
        <v>55.0</v>
      </c>
      <c r="G2" s="31">
        <v>2.50270556E8</v>
      </c>
    </row>
    <row r="3" ht="12.75" customHeight="1">
      <c r="A3" s="27">
        <v>127.0</v>
      </c>
      <c r="B3" s="28" t="s">
        <v>68912</v>
      </c>
      <c r="C3" s="27">
        <v>250.0</v>
      </c>
      <c r="D3" s="28" t="s">
        <v>68913</v>
      </c>
      <c r="E3" s="28" t="s">
        <v>68914</v>
      </c>
      <c r="F3" s="29">
        <v>82.0</v>
      </c>
      <c r="G3" s="27">
        <v>2.50270822E8</v>
      </c>
    </row>
    <row r="4" ht="12.75" customHeight="1">
      <c r="A4" s="31">
        <v>127.0</v>
      </c>
      <c r="B4" s="32" t="s">
        <v>68915</v>
      </c>
      <c r="C4" s="31">
        <v>250.0</v>
      </c>
      <c r="D4" s="32" t="s">
        <v>68916</v>
      </c>
      <c r="E4" s="32" t="s">
        <v>68917</v>
      </c>
      <c r="F4" s="33">
        <v>91.0</v>
      </c>
      <c r="G4" s="31">
        <v>2.50270914E8</v>
      </c>
    </row>
    <row r="5" ht="12.75" customHeight="1">
      <c r="A5" s="27">
        <v>127.0</v>
      </c>
      <c r="B5" s="28" t="s">
        <v>68918</v>
      </c>
      <c r="C5" s="27">
        <v>250.0</v>
      </c>
      <c r="D5" s="28" t="s">
        <v>68919</v>
      </c>
      <c r="E5" s="28" t="s">
        <v>68920</v>
      </c>
      <c r="F5" s="27">
        <v>127.0</v>
      </c>
      <c r="G5" s="27">
        <v>2.50271276E8</v>
      </c>
    </row>
    <row r="6" ht="12.75" customHeight="1">
      <c r="A6" s="31">
        <v>127.0</v>
      </c>
      <c r="B6" s="32" t="s">
        <v>68921</v>
      </c>
      <c r="C6" s="31">
        <v>250.0</v>
      </c>
      <c r="D6" s="32" t="s">
        <v>68922</v>
      </c>
      <c r="E6" s="32" t="s">
        <v>68923</v>
      </c>
      <c r="F6" s="31">
        <v>139.0</v>
      </c>
      <c r="G6" s="31">
        <v>2.50271397E8</v>
      </c>
    </row>
    <row r="7" ht="12.75" customHeight="1">
      <c r="A7" s="27">
        <v>127.0</v>
      </c>
      <c r="B7" s="28" t="s">
        <v>68924</v>
      </c>
      <c r="C7" s="27">
        <v>250.0</v>
      </c>
      <c r="D7" s="28" t="s">
        <v>68925</v>
      </c>
      <c r="E7" s="28" t="s">
        <v>68926</v>
      </c>
      <c r="F7" s="27">
        <v>142.0</v>
      </c>
      <c r="G7" s="27">
        <v>2.50271421E8</v>
      </c>
    </row>
    <row r="8" ht="12.75" customHeight="1">
      <c r="A8" s="31">
        <v>127.0</v>
      </c>
      <c r="B8" s="32" t="s">
        <v>68927</v>
      </c>
      <c r="C8" s="31">
        <v>250.0</v>
      </c>
      <c r="D8" s="32" t="s">
        <v>68928</v>
      </c>
      <c r="E8" s="32" t="s">
        <v>68929</v>
      </c>
      <c r="F8" s="31">
        <v>163.0</v>
      </c>
      <c r="G8" s="31">
        <v>2.50271634E8</v>
      </c>
    </row>
    <row r="9" ht="12.75" customHeight="1">
      <c r="A9" s="27">
        <v>127.0</v>
      </c>
      <c r="B9" s="28" t="s">
        <v>68930</v>
      </c>
      <c r="C9" s="27">
        <v>250.0</v>
      </c>
      <c r="D9" s="28" t="s">
        <v>68931</v>
      </c>
      <c r="E9" s="28" t="s">
        <v>68932</v>
      </c>
      <c r="F9" s="27">
        <v>184.0</v>
      </c>
      <c r="G9" s="27">
        <v>2.50271847E8</v>
      </c>
    </row>
    <row r="10" ht="12.75" customHeight="1">
      <c r="A10" s="31">
        <v>127.0</v>
      </c>
      <c r="B10" s="32" t="s">
        <v>68933</v>
      </c>
      <c r="C10" s="31">
        <v>250.0</v>
      </c>
      <c r="D10" s="32" t="s">
        <v>68934</v>
      </c>
      <c r="E10" s="32" t="s">
        <v>68935</v>
      </c>
      <c r="F10" s="31">
        <v>190.0</v>
      </c>
      <c r="G10" s="31">
        <v>2.502719E8</v>
      </c>
    </row>
    <row r="11" ht="12.75" customHeight="1">
      <c r="A11" s="27">
        <v>127.0</v>
      </c>
      <c r="B11" s="28" t="s">
        <v>68936</v>
      </c>
      <c r="C11" s="27">
        <v>250.0</v>
      </c>
      <c r="D11" s="28" t="s">
        <v>68937</v>
      </c>
      <c r="E11" s="28" t="s">
        <v>68938</v>
      </c>
      <c r="F11" s="27">
        <v>214.0</v>
      </c>
      <c r="G11" s="27">
        <v>2.50272141E8</v>
      </c>
    </row>
    <row r="12" ht="12.75" customHeight="1">
      <c r="A12" s="31">
        <v>127.0</v>
      </c>
      <c r="B12" s="32" t="s">
        <v>68939</v>
      </c>
      <c r="C12" s="31">
        <v>250.0</v>
      </c>
      <c r="D12" s="32" t="s">
        <v>68940</v>
      </c>
      <c r="E12" s="32" t="s">
        <v>68941</v>
      </c>
      <c r="F12" s="31">
        <v>217.0</v>
      </c>
      <c r="G12" s="31">
        <v>2.5027217E8</v>
      </c>
    </row>
    <row r="13" ht="12.75" customHeight="1">
      <c r="A13" s="27">
        <v>127.0</v>
      </c>
      <c r="B13" s="28" t="s">
        <v>68942</v>
      </c>
      <c r="C13" s="27">
        <v>250.0</v>
      </c>
      <c r="D13" s="28" t="s">
        <v>68943</v>
      </c>
      <c r="E13" s="28" t="s">
        <v>68944</v>
      </c>
      <c r="F13" s="27">
        <v>232.0</v>
      </c>
      <c r="G13" s="27">
        <v>2.50272325E8</v>
      </c>
    </row>
    <row r="14" ht="12.75" customHeight="1">
      <c r="A14" s="31">
        <v>127.0</v>
      </c>
      <c r="B14" s="32" t="s">
        <v>68945</v>
      </c>
      <c r="C14" s="31">
        <v>250.0</v>
      </c>
      <c r="D14" s="32" t="s">
        <v>68946</v>
      </c>
      <c r="E14" s="32" t="s">
        <v>68947</v>
      </c>
      <c r="F14" s="31">
        <v>238.0</v>
      </c>
      <c r="G14" s="31">
        <v>2.50272383E8</v>
      </c>
    </row>
    <row r="15" ht="12.75" customHeight="1">
      <c r="A15" s="27">
        <v>127.0</v>
      </c>
      <c r="B15" s="28" t="s">
        <v>68948</v>
      </c>
      <c r="C15" s="27">
        <v>250.0</v>
      </c>
      <c r="D15" s="28" t="s">
        <v>68949</v>
      </c>
      <c r="E15" s="28" t="s">
        <v>68950</v>
      </c>
      <c r="F15" s="27">
        <v>259.0</v>
      </c>
      <c r="G15" s="27">
        <v>2.50272596E8</v>
      </c>
    </row>
    <row r="16" ht="12.75" customHeight="1">
      <c r="A16" s="31">
        <v>127.0</v>
      </c>
      <c r="B16" s="32" t="s">
        <v>68951</v>
      </c>
      <c r="C16" s="31">
        <v>250.0</v>
      </c>
      <c r="D16" s="32" t="s">
        <v>68952</v>
      </c>
      <c r="E16" s="32" t="s">
        <v>68953</v>
      </c>
      <c r="F16" s="31">
        <v>268.0</v>
      </c>
      <c r="G16" s="31">
        <v>2.50272688E8</v>
      </c>
    </row>
    <row r="17" ht="12.75" customHeight="1">
      <c r="A17" s="27">
        <v>127.0</v>
      </c>
      <c r="B17" s="28" t="s">
        <v>68954</v>
      </c>
      <c r="C17" s="27">
        <v>250.0</v>
      </c>
      <c r="D17" s="28" t="s">
        <v>68955</v>
      </c>
      <c r="E17" s="28" t="s">
        <v>68956</v>
      </c>
      <c r="F17" s="27">
        <v>271.0</v>
      </c>
      <c r="G17" s="27">
        <v>2.50272712E8</v>
      </c>
    </row>
    <row r="18" ht="12.75" customHeight="1">
      <c r="A18" s="31">
        <v>127.0</v>
      </c>
      <c r="B18" s="32" t="s">
        <v>68957</v>
      </c>
      <c r="C18" s="31">
        <v>250.0</v>
      </c>
      <c r="D18" s="32" t="s">
        <v>68958</v>
      </c>
      <c r="E18" s="32" t="s">
        <v>68959</v>
      </c>
      <c r="F18" s="31">
        <v>280.0</v>
      </c>
      <c r="G18" s="31">
        <v>2.50272804E8</v>
      </c>
    </row>
    <row r="19" ht="12.75" customHeight="1">
      <c r="A19" s="27">
        <v>127.0</v>
      </c>
      <c r="B19" s="28" t="s">
        <v>68960</v>
      </c>
      <c r="C19" s="27">
        <v>250.0</v>
      </c>
      <c r="D19" s="28" t="s">
        <v>68961</v>
      </c>
      <c r="E19" s="28" t="s">
        <v>68962</v>
      </c>
      <c r="F19" s="27">
        <v>298.0</v>
      </c>
      <c r="G19" s="27">
        <v>2.50272983E8</v>
      </c>
    </row>
    <row r="20" ht="12.75" customHeight="1">
      <c r="A20" s="31">
        <v>127.0</v>
      </c>
      <c r="B20" s="32" t="s">
        <v>68963</v>
      </c>
      <c r="C20" s="31">
        <v>250.0</v>
      </c>
      <c r="D20" s="32" t="s">
        <v>68964</v>
      </c>
      <c r="E20" s="32" t="s">
        <v>68965</v>
      </c>
      <c r="F20" s="31">
        <v>322.0</v>
      </c>
      <c r="G20" s="31">
        <v>2.50273229E8</v>
      </c>
    </row>
    <row r="21" ht="12.75" customHeight="1">
      <c r="A21" s="27">
        <v>127.0</v>
      </c>
      <c r="B21" s="28" t="s">
        <v>68966</v>
      </c>
      <c r="C21" s="27">
        <v>250.0</v>
      </c>
      <c r="D21" s="28" t="s">
        <v>68967</v>
      </c>
      <c r="E21" s="28" t="s">
        <v>68968</v>
      </c>
      <c r="F21" s="27">
        <v>325.0</v>
      </c>
      <c r="G21" s="27">
        <v>2.50273258E8</v>
      </c>
    </row>
    <row r="22" ht="12.75" customHeight="1">
      <c r="A22" s="31">
        <v>127.0</v>
      </c>
      <c r="B22" s="32" t="s">
        <v>68969</v>
      </c>
      <c r="C22" s="31">
        <v>250.0</v>
      </c>
      <c r="D22" s="32" t="s">
        <v>68970</v>
      </c>
      <c r="E22" s="32" t="s">
        <v>68971</v>
      </c>
      <c r="F22" s="31">
        <v>379.0</v>
      </c>
      <c r="G22" s="31">
        <v>2.50273795E8</v>
      </c>
    </row>
    <row r="23" ht="12.75" customHeight="1">
      <c r="A23" s="27">
        <v>127.0</v>
      </c>
      <c r="B23" s="28" t="s">
        <v>68972</v>
      </c>
      <c r="C23" s="27">
        <v>250.0</v>
      </c>
      <c r="D23" s="28" t="s">
        <v>68973</v>
      </c>
      <c r="E23" s="28" t="s">
        <v>68974</v>
      </c>
      <c r="F23" s="27">
        <v>388.0</v>
      </c>
      <c r="G23" s="27">
        <v>2.50273887E8</v>
      </c>
    </row>
    <row r="24" ht="12.75" customHeight="1">
      <c r="A24" s="31">
        <v>127.0</v>
      </c>
      <c r="B24" s="32" t="s">
        <v>68975</v>
      </c>
      <c r="C24" s="31">
        <v>250.0</v>
      </c>
      <c r="D24" s="32" t="s">
        <v>68976</v>
      </c>
      <c r="E24" s="32" t="s">
        <v>68977</v>
      </c>
      <c r="F24" s="31">
        <v>397.0</v>
      </c>
      <c r="G24" s="31">
        <v>2.50273979E8</v>
      </c>
    </row>
    <row r="25" ht="12.75" customHeight="1">
      <c r="A25" s="27">
        <v>127.0</v>
      </c>
      <c r="B25" s="28" t="s">
        <v>68978</v>
      </c>
      <c r="C25" s="27">
        <v>250.0</v>
      </c>
      <c r="D25" s="28" t="s">
        <v>68979</v>
      </c>
      <c r="E25" s="28" t="s">
        <v>68980</v>
      </c>
      <c r="F25" s="27">
        <v>412.0</v>
      </c>
      <c r="G25" s="27">
        <v>2.50274123E8</v>
      </c>
    </row>
    <row r="26" ht="12.75" customHeight="1">
      <c r="A26" s="31">
        <v>127.0</v>
      </c>
      <c r="B26" s="32" t="s">
        <v>68981</v>
      </c>
      <c r="C26" s="31">
        <v>250.0</v>
      </c>
      <c r="D26" s="32" t="s">
        <v>68982</v>
      </c>
      <c r="E26" s="32" t="s">
        <v>68983</v>
      </c>
      <c r="F26" s="31">
        <v>418.0</v>
      </c>
      <c r="G26" s="31">
        <v>2.50274181E8</v>
      </c>
    </row>
    <row r="27" ht="12.75" customHeight="1">
      <c r="A27" s="27">
        <v>127.0</v>
      </c>
      <c r="B27" s="28" t="s">
        <v>68984</v>
      </c>
      <c r="C27" s="27">
        <v>250.0</v>
      </c>
      <c r="D27" s="28" t="s">
        <v>68985</v>
      </c>
      <c r="E27" s="28" t="s">
        <v>68986</v>
      </c>
      <c r="F27" s="27">
        <v>442.0</v>
      </c>
      <c r="G27" s="27">
        <v>2.50274428E8</v>
      </c>
    </row>
    <row r="28" ht="12.75" customHeight="1">
      <c r="A28" s="31">
        <v>127.0</v>
      </c>
      <c r="B28" s="32" t="s">
        <v>68987</v>
      </c>
      <c r="C28" s="31">
        <v>250.0</v>
      </c>
      <c r="D28" s="32" t="s">
        <v>68988</v>
      </c>
      <c r="E28" s="32" t="s">
        <v>68989</v>
      </c>
      <c r="F28" s="31">
        <v>445.0</v>
      </c>
      <c r="G28" s="31">
        <v>2.50274457E8</v>
      </c>
    </row>
    <row r="29" ht="12.75" customHeight="1">
      <c r="A29" s="27">
        <v>127.0</v>
      </c>
      <c r="B29" s="28" t="s">
        <v>68990</v>
      </c>
      <c r="C29" s="27">
        <v>250.0</v>
      </c>
      <c r="D29" s="28" t="s">
        <v>68991</v>
      </c>
      <c r="E29" s="28" t="s">
        <v>68992</v>
      </c>
      <c r="F29" s="27">
        <v>469.0</v>
      </c>
      <c r="G29" s="27">
        <v>2.50274699E8</v>
      </c>
    </row>
    <row r="30" ht="12.75" customHeight="1">
      <c r="A30" s="31">
        <v>127.0</v>
      </c>
      <c r="B30" s="32" t="s">
        <v>68993</v>
      </c>
      <c r="C30" s="31">
        <v>250.0</v>
      </c>
      <c r="D30" s="32" t="s">
        <v>68994</v>
      </c>
      <c r="E30" s="32" t="s">
        <v>68995</v>
      </c>
      <c r="F30" s="31">
        <v>472.0</v>
      </c>
      <c r="G30" s="31">
        <v>2.50274723E8</v>
      </c>
    </row>
    <row r="31" ht="12.75" customHeight="1">
      <c r="A31" s="27">
        <v>127.0</v>
      </c>
      <c r="B31" s="28" t="s">
        <v>68996</v>
      </c>
      <c r="C31" s="27">
        <v>250.0</v>
      </c>
      <c r="D31" s="28" t="s">
        <v>68997</v>
      </c>
      <c r="E31" s="28" t="s">
        <v>68998</v>
      </c>
      <c r="F31" s="27">
        <v>481.0</v>
      </c>
      <c r="G31" s="27">
        <v>2.50274815E8</v>
      </c>
    </row>
    <row r="32" ht="12.75" customHeight="1">
      <c r="A32" s="31">
        <v>127.0</v>
      </c>
      <c r="B32" s="32" t="s">
        <v>68999</v>
      </c>
      <c r="C32" s="31">
        <v>250.0</v>
      </c>
      <c r="D32" s="32" t="s">
        <v>69000</v>
      </c>
      <c r="E32" s="32" t="s">
        <v>69001</v>
      </c>
      <c r="F32" s="31">
        <v>508.0</v>
      </c>
      <c r="G32" s="31">
        <v>2.50275085E8</v>
      </c>
    </row>
    <row r="33" ht="12.75" customHeight="1">
      <c r="A33" s="27">
        <v>127.0</v>
      </c>
      <c r="B33" s="28" t="s">
        <v>69002</v>
      </c>
      <c r="C33" s="27">
        <v>250.0</v>
      </c>
      <c r="D33" s="28" t="s">
        <v>69003</v>
      </c>
      <c r="E33" s="28" t="s">
        <v>69004</v>
      </c>
      <c r="F33" s="27">
        <v>526.0</v>
      </c>
      <c r="G33" s="27">
        <v>2.50275269E8</v>
      </c>
    </row>
    <row r="34" ht="12.75" customHeight="1">
      <c r="A34" s="31">
        <v>127.0</v>
      </c>
      <c r="B34" s="32" t="s">
        <v>69005</v>
      </c>
      <c r="C34" s="31">
        <v>250.0</v>
      </c>
      <c r="D34" s="32" t="s">
        <v>69006</v>
      </c>
      <c r="E34" s="32" t="s">
        <v>69007</v>
      </c>
      <c r="F34" s="31">
        <v>529.0</v>
      </c>
      <c r="G34" s="31">
        <v>2.50275298E8</v>
      </c>
    </row>
    <row r="35" ht="12.75" customHeight="1">
      <c r="A35" s="27">
        <v>127.0</v>
      </c>
      <c r="B35" s="28" t="s">
        <v>69008</v>
      </c>
      <c r="C35" s="27">
        <v>250.0</v>
      </c>
      <c r="D35" s="28" t="s">
        <v>69009</v>
      </c>
      <c r="E35" s="28" t="s">
        <v>69010</v>
      </c>
      <c r="F35" s="27">
        <v>532.0</v>
      </c>
      <c r="G35" s="27">
        <v>2.50275322E8</v>
      </c>
    </row>
    <row r="36" ht="12.75" customHeight="1">
      <c r="A36" s="31">
        <v>127.0</v>
      </c>
      <c r="B36" s="32" t="s">
        <v>69011</v>
      </c>
      <c r="C36" s="31">
        <v>250.0</v>
      </c>
      <c r="D36" s="32" t="s">
        <v>69012</v>
      </c>
      <c r="E36" s="32" t="s">
        <v>69013</v>
      </c>
      <c r="F36" s="31">
        <v>568.0</v>
      </c>
      <c r="G36" s="31">
        <v>2.50275685E8</v>
      </c>
    </row>
    <row r="37" ht="12.75" customHeight="1">
      <c r="A37" s="27">
        <v>127.0</v>
      </c>
      <c r="B37" s="28" t="s">
        <v>69014</v>
      </c>
      <c r="C37" s="27">
        <v>250.0</v>
      </c>
      <c r="D37" s="28" t="s">
        <v>69015</v>
      </c>
      <c r="E37" s="28" t="s">
        <v>69016</v>
      </c>
      <c r="F37" s="27">
        <v>592.0</v>
      </c>
      <c r="G37" s="27">
        <v>2.50275922E8</v>
      </c>
    </row>
    <row r="38" ht="12.75" customHeight="1">
      <c r="A38" s="31">
        <v>127.0</v>
      </c>
      <c r="B38" s="32" t="s">
        <v>69017</v>
      </c>
      <c r="C38" s="31">
        <v>250.0</v>
      </c>
      <c r="D38" s="32" t="s">
        <v>69018</v>
      </c>
      <c r="E38" s="32" t="s">
        <v>69019</v>
      </c>
      <c r="F38" s="31">
        <v>634.0</v>
      </c>
      <c r="G38" s="31">
        <v>2.50276347E8</v>
      </c>
    </row>
    <row r="39" ht="12.75" customHeight="1">
      <c r="A39" s="27">
        <v>127.0</v>
      </c>
      <c r="B39" s="28" t="s">
        <v>69020</v>
      </c>
      <c r="C39" s="27">
        <v>250.0</v>
      </c>
      <c r="D39" s="28" t="s">
        <v>69021</v>
      </c>
      <c r="E39" s="28" t="s">
        <v>69022</v>
      </c>
      <c r="F39" s="27">
        <v>655.0</v>
      </c>
      <c r="G39" s="27">
        <v>2.5027655E8</v>
      </c>
    </row>
    <row r="40" ht="12.75" customHeight="1">
      <c r="A40" s="31">
        <v>127.0</v>
      </c>
      <c r="B40" s="32" t="s">
        <v>69023</v>
      </c>
      <c r="C40" s="31">
        <v>250.0</v>
      </c>
      <c r="D40" s="32" t="s">
        <v>69024</v>
      </c>
      <c r="E40" s="32" t="s">
        <v>69025</v>
      </c>
      <c r="F40" s="31">
        <v>670.0</v>
      </c>
      <c r="G40" s="31">
        <v>2.50276705E8</v>
      </c>
    </row>
    <row r="41" ht="12.75" customHeight="1">
      <c r="A41" s="27">
        <v>728.0</v>
      </c>
      <c r="B41" s="28" t="s">
        <v>69026</v>
      </c>
      <c r="C41" s="27">
        <v>250.0</v>
      </c>
      <c r="D41" s="28" t="s">
        <v>69027</v>
      </c>
      <c r="E41" s="28" t="s">
        <v>69028</v>
      </c>
      <c r="F41" s="29">
        <v>67.0</v>
      </c>
      <c r="G41" s="27">
        <v>2.5028067E8</v>
      </c>
    </row>
    <row r="42" ht="12.75" customHeight="1">
      <c r="A42" s="31">
        <v>728.0</v>
      </c>
      <c r="B42" s="32" t="s">
        <v>69029</v>
      </c>
      <c r="C42" s="31">
        <v>250.0</v>
      </c>
      <c r="D42" s="32" t="s">
        <v>69030</v>
      </c>
      <c r="E42" s="32" t="s">
        <v>69031</v>
      </c>
      <c r="F42" s="31">
        <v>187.0</v>
      </c>
      <c r="G42" s="31">
        <v>2.50281879E8</v>
      </c>
    </row>
    <row r="43" ht="12.75" customHeight="1">
      <c r="A43" s="27">
        <v>728.0</v>
      </c>
      <c r="B43" s="28" t="s">
        <v>69032</v>
      </c>
      <c r="C43" s="27">
        <v>250.0</v>
      </c>
      <c r="D43" s="28" t="s">
        <v>69033</v>
      </c>
      <c r="E43" s="28" t="s">
        <v>69034</v>
      </c>
      <c r="F43" s="27">
        <v>193.0</v>
      </c>
      <c r="G43" s="27">
        <v>2.50281932E8</v>
      </c>
    </row>
    <row r="44" ht="12.75" customHeight="1">
      <c r="A44" s="31">
        <v>728.0</v>
      </c>
      <c r="B44" s="32" t="s">
        <v>69035</v>
      </c>
      <c r="C44" s="31">
        <v>250.0</v>
      </c>
      <c r="D44" s="32" t="s">
        <v>69036</v>
      </c>
      <c r="E44" s="32" t="s">
        <v>69037</v>
      </c>
      <c r="F44" s="31">
        <v>232.0</v>
      </c>
      <c r="G44" s="31">
        <v>2.50282328E8</v>
      </c>
    </row>
    <row r="45" ht="12.75" customHeight="1">
      <c r="A45" s="27">
        <v>329.0</v>
      </c>
      <c r="B45" s="28" t="s">
        <v>69038</v>
      </c>
      <c r="C45" s="27">
        <v>250.0</v>
      </c>
      <c r="D45" s="28" t="s">
        <v>69039</v>
      </c>
      <c r="E45" s="28" t="s">
        <v>69040</v>
      </c>
      <c r="F45" s="29">
        <v>52.0</v>
      </c>
      <c r="G45" s="27">
        <v>2.50290523E8</v>
      </c>
    </row>
    <row r="46" ht="12.75" customHeight="1">
      <c r="A46" s="31">
        <v>230.0</v>
      </c>
      <c r="B46" s="32" t="s">
        <v>69041</v>
      </c>
      <c r="C46" s="31">
        <v>250.0</v>
      </c>
      <c r="D46" s="32" t="s">
        <v>69042</v>
      </c>
      <c r="E46" s="32" t="s">
        <v>69043</v>
      </c>
      <c r="F46" s="33">
        <v>25.0</v>
      </c>
      <c r="G46" s="31">
        <v>2.50300255E8</v>
      </c>
    </row>
    <row r="47" ht="12.75" customHeight="1">
      <c r="A47" s="27">
        <v>230.0</v>
      </c>
      <c r="B47" s="28" t="s">
        <v>69044</v>
      </c>
      <c r="C47" s="27">
        <v>250.0</v>
      </c>
      <c r="D47" s="28" t="s">
        <v>69045</v>
      </c>
      <c r="E47" s="28" t="s">
        <v>69046</v>
      </c>
      <c r="F47" s="29">
        <v>52.0</v>
      </c>
      <c r="G47" s="27">
        <v>2.50300521E8</v>
      </c>
    </row>
    <row r="48" ht="12.75" customHeight="1">
      <c r="A48" s="31">
        <v>632.0</v>
      </c>
      <c r="B48" s="32" t="s">
        <v>69047</v>
      </c>
      <c r="C48" s="31">
        <v>250.0</v>
      </c>
      <c r="D48" s="32" t="s">
        <v>69048</v>
      </c>
      <c r="E48" s="32" t="s">
        <v>69049</v>
      </c>
      <c r="F48" s="33">
        <v>52.0</v>
      </c>
      <c r="G48" s="31">
        <v>2.50320527E8</v>
      </c>
    </row>
    <row r="49" ht="12.75" customHeight="1">
      <c r="A49" s="27">
        <v>133.0</v>
      </c>
      <c r="B49" s="28" t="s">
        <v>69050</v>
      </c>
      <c r="C49" s="27">
        <v>250.0</v>
      </c>
      <c r="D49" s="28" t="s">
        <v>69051</v>
      </c>
      <c r="E49" s="28" t="s">
        <v>69052</v>
      </c>
      <c r="F49" s="29">
        <v>23.0</v>
      </c>
      <c r="G49" s="27">
        <v>2.50330238E8</v>
      </c>
    </row>
    <row r="50" ht="12.75" customHeight="1">
      <c r="A50" s="31">
        <v>133.0</v>
      </c>
      <c r="B50" s="32" t="s">
        <v>69053</v>
      </c>
      <c r="C50" s="31">
        <v>250.0</v>
      </c>
      <c r="D50" s="32" t="s">
        <v>69054</v>
      </c>
      <c r="E50" s="32" t="s">
        <v>69055</v>
      </c>
      <c r="F50" s="33">
        <v>73.0</v>
      </c>
      <c r="G50" s="31">
        <v>2.50330733E8</v>
      </c>
    </row>
    <row r="51" ht="12.75" customHeight="1">
      <c r="A51" s="27">
        <v>133.0</v>
      </c>
      <c r="B51" s="28" t="s">
        <v>69056</v>
      </c>
      <c r="C51" s="27">
        <v>250.0</v>
      </c>
      <c r="D51" s="28" t="s">
        <v>69057</v>
      </c>
      <c r="E51" s="28" t="s">
        <v>69058</v>
      </c>
      <c r="F51" s="29">
        <v>94.0</v>
      </c>
      <c r="G51" s="27">
        <v>2.50330946E8</v>
      </c>
    </row>
    <row r="52" ht="12.75" customHeight="1">
      <c r="A52" s="31">
        <v>133.0</v>
      </c>
      <c r="B52" s="32" t="s">
        <v>69059</v>
      </c>
      <c r="C52" s="31">
        <v>250.0</v>
      </c>
      <c r="D52" s="32" t="s">
        <v>69060</v>
      </c>
      <c r="E52" s="32" t="s">
        <v>69061</v>
      </c>
      <c r="F52" s="31">
        <v>163.0</v>
      </c>
      <c r="G52" s="31">
        <v>2.50331637E8</v>
      </c>
    </row>
    <row r="53" ht="12.75" customHeight="1">
      <c r="A53" s="27">
        <v>435.0</v>
      </c>
      <c r="B53" s="28" t="s">
        <v>69062</v>
      </c>
      <c r="C53" s="27">
        <v>250.0</v>
      </c>
      <c r="D53" s="28" t="s">
        <v>69063</v>
      </c>
      <c r="E53" s="28" t="s">
        <v>69064</v>
      </c>
      <c r="F53" s="29">
        <v>37.0</v>
      </c>
      <c r="G53" s="27">
        <v>2.50350371E8</v>
      </c>
    </row>
    <row r="54" ht="12.75" customHeight="1">
      <c r="A54" s="31">
        <v>836.0</v>
      </c>
      <c r="B54" s="32" t="s">
        <v>69065</v>
      </c>
      <c r="C54" s="31">
        <v>250.0</v>
      </c>
      <c r="D54" s="32" t="s">
        <v>69066</v>
      </c>
      <c r="E54" s="32" t="s">
        <v>69067</v>
      </c>
      <c r="F54" s="33">
        <v>61.0</v>
      </c>
      <c r="G54" s="31">
        <v>2.50360611E8</v>
      </c>
    </row>
    <row r="55" ht="12.75" customHeight="1">
      <c r="A55" s="27">
        <v>836.0</v>
      </c>
      <c r="B55" s="28" t="s">
        <v>69068</v>
      </c>
      <c r="C55" s="27">
        <v>250.0</v>
      </c>
      <c r="D55" s="28" t="s">
        <v>69069</v>
      </c>
      <c r="E55" s="28" t="s">
        <v>69070</v>
      </c>
      <c r="F55" s="27">
        <v>100.0</v>
      </c>
      <c r="G55" s="27">
        <v>2.50361007E8</v>
      </c>
    </row>
    <row r="56" ht="12.75" customHeight="1">
      <c r="A56" s="31">
        <v>836.0</v>
      </c>
      <c r="B56" s="32" t="s">
        <v>69071</v>
      </c>
      <c r="C56" s="31">
        <v>250.0</v>
      </c>
      <c r="D56" s="32" t="s">
        <v>69072</v>
      </c>
      <c r="E56" s="32" t="s">
        <v>69073</v>
      </c>
      <c r="F56" s="31">
        <v>109.0</v>
      </c>
      <c r="G56" s="31">
        <v>2.50361094E8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638.0</v>
      </c>
      <c r="B1" s="28" t="s">
        <v>69074</v>
      </c>
      <c r="C1" s="27">
        <v>250.0</v>
      </c>
      <c r="D1" s="28" t="s">
        <v>69075</v>
      </c>
      <c r="E1" s="28" t="s">
        <v>69076</v>
      </c>
      <c r="F1" s="29">
        <v>40.0</v>
      </c>
      <c r="G1" s="27">
        <v>2.50380404E8</v>
      </c>
    </row>
    <row r="2" ht="12.75" customHeight="1">
      <c r="A2" s="31">
        <v>139.0</v>
      </c>
      <c r="B2" s="32" t="s">
        <v>69077</v>
      </c>
      <c r="C2" s="31">
        <v>250.0</v>
      </c>
      <c r="D2" s="32" t="s">
        <v>69078</v>
      </c>
      <c r="E2" s="32" t="s">
        <v>69079</v>
      </c>
      <c r="F2" s="33">
        <v>85.0</v>
      </c>
      <c r="G2" s="31">
        <v>2.50390852E8</v>
      </c>
    </row>
    <row r="3" ht="12.75" customHeight="1">
      <c r="A3" s="27">
        <v>441.0</v>
      </c>
      <c r="B3" s="28" t="s">
        <v>69080</v>
      </c>
      <c r="C3" s="27">
        <v>250.0</v>
      </c>
      <c r="D3" s="28" t="s">
        <v>69081</v>
      </c>
      <c r="E3" s="28" t="s">
        <v>69082</v>
      </c>
      <c r="F3" s="29">
        <v>94.0</v>
      </c>
      <c r="G3" s="27">
        <v>2.50410945E8</v>
      </c>
    </row>
    <row r="4" ht="12.75" customHeight="1">
      <c r="A4" s="31">
        <v>441.0</v>
      </c>
      <c r="B4" s="32" t="s">
        <v>69083</v>
      </c>
      <c r="C4" s="31">
        <v>250.0</v>
      </c>
      <c r="D4" s="32" t="s">
        <v>69084</v>
      </c>
      <c r="E4" s="32" t="s">
        <v>69085</v>
      </c>
      <c r="F4" s="31">
        <v>163.0</v>
      </c>
      <c r="G4" s="31">
        <v>2.50411636E8</v>
      </c>
    </row>
    <row r="5" ht="12.75" customHeight="1">
      <c r="A5" s="27">
        <v>342.0</v>
      </c>
      <c r="B5" s="28" t="s">
        <v>69086</v>
      </c>
      <c r="C5" s="27">
        <v>250.0</v>
      </c>
      <c r="D5" s="28" t="s">
        <v>69087</v>
      </c>
      <c r="E5" s="28" t="s">
        <v>69088</v>
      </c>
      <c r="F5" s="29">
        <v>31.0</v>
      </c>
      <c r="G5" s="27">
        <v>2.50420319E8</v>
      </c>
    </row>
    <row r="6" ht="12.75" customHeight="1">
      <c r="A6" s="31">
        <v>444.0</v>
      </c>
      <c r="B6" s="32" t="s">
        <v>69089</v>
      </c>
      <c r="C6" s="31">
        <v>250.0</v>
      </c>
      <c r="D6" s="32" t="s">
        <v>69090</v>
      </c>
      <c r="E6" s="32" t="s">
        <v>69091</v>
      </c>
      <c r="F6" s="33">
        <v>64.0</v>
      </c>
      <c r="G6" s="31">
        <v>2.50440649E8</v>
      </c>
    </row>
    <row r="7" ht="12.75" customHeight="1">
      <c r="A7" s="27">
        <v>447.0</v>
      </c>
      <c r="B7" s="28" t="s">
        <v>69092</v>
      </c>
      <c r="C7" s="27">
        <v>250.0</v>
      </c>
      <c r="D7" s="28" t="s">
        <v>69093</v>
      </c>
      <c r="E7" s="28" t="s">
        <v>69094</v>
      </c>
      <c r="F7" s="29">
        <v>70.0</v>
      </c>
      <c r="G7" s="27">
        <v>2.50470701E8</v>
      </c>
    </row>
    <row r="8" ht="12.75" customHeight="1">
      <c r="A8" s="31">
        <v>447.0</v>
      </c>
      <c r="B8" s="32" t="s">
        <v>69095</v>
      </c>
      <c r="C8" s="31">
        <v>250.0</v>
      </c>
      <c r="D8" s="32" t="s">
        <v>69096</v>
      </c>
      <c r="E8" s="32" t="s">
        <v>69097</v>
      </c>
      <c r="F8" s="31">
        <v>139.0</v>
      </c>
      <c r="G8" s="31">
        <v>2.50471397E8</v>
      </c>
    </row>
    <row r="9" ht="12.75" customHeight="1">
      <c r="A9" s="27">
        <v>447.0</v>
      </c>
      <c r="B9" s="28" t="s">
        <v>69098</v>
      </c>
      <c r="C9" s="27">
        <v>250.0</v>
      </c>
      <c r="D9" s="28" t="s">
        <v>69099</v>
      </c>
      <c r="E9" s="28" t="s">
        <v>69100</v>
      </c>
      <c r="F9" s="27">
        <v>145.0</v>
      </c>
      <c r="G9" s="27">
        <v>2.5047145E8</v>
      </c>
    </row>
    <row r="10" ht="12.75" customHeight="1">
      <c r="A10" s="31">
        <v>447.0</v>
      </c>
      <c r="B10" s="32" t="s">
        <v>69101</v>
      </c>
      <c r="C10" s="31">
        <v>250.0</v>
      </c>
      <c r="D10" s="32" t="s">
        <v>69102</v>
      </c>
      <c r="E10" s="32" t="s">
        <v>69103</v>
      </c>
      <c r="F10" s="31">
        <v>184.0</v>
      </c>
      <c r="G10" s="31">
        <v>2.50471847E8</v>
      </c>
    </row>
    <row r="11" ht="12.75" customHeight="1">
      <c r="A11" s="27">
        <v>447.0</v>
      </c>
      <c r="B11" s="28" t="s">
        <v>69104</v>
      </c>
      <c r="C11" s="27">
        <v>250.0</v>
      </c>
      <c r="D11" s="28" t="s">
        <v>69105</v>
      </c>
      <c r="E11" s="28" t="s">
        <v>69106</v>
      </c>
      <c r="F11" s="27">
        <v>259.0</v>
      </c>
      <c r="G11" s="27">
        <v>2.50472596E8</v>
      </c>
    </row>
    <row r="12" ht="12.75" customHeight="1">
      <c r="A12" s="31">
        <v>148.0</v>
      </c>
      <c r="B12" s="32" t="s">
        <v>69107</v>
      </c>
      <c r="C12" s="31">
        <v>250.0</v>
      </c>
      <c r="D12" s="32" t="s">
        <v>69108</v>
      </c>
      <c r="E12" s="32" t="s">
        <v>69109</v>
      </c>
      <c r="F12" s="33">
        <v>16.0</v>
      </c>
      <c r="G12" s="31">
        <v>2.50480162E8</v>
      </c>
    </row>
    <row r="13" ht="12.75" customHeight="1">
      <c r="A13" s="27">
        <v>148.0</v>
      </c>
      <c r="B13" s="28" t="s">
        <v>69110</v>
      </c>
      <c r="C13" s="27">
        <v>250.0</v>
      </c>
      <c r="D13" s="28" t="s">
        <v>69111</v>
      </c>
      <c r="E13" s="28" t="s">
        <v>69112</v>
      </c>
      <c r="F13" s="29">
        <v>22.0</v>
      </c>
      <c r="G13" s="27">
        <v>2.50480225E8</v>
      </c>
    </row>
    <row r="14" ht="12.75" customHeight="1">
      <c r="A14" s="31">
        <v>148.0</v>
      </c>
      <c r="B14" s="32" t="s">
        <v>69113</v>
      </c>
      <c r="C14" s="31">
        <v>250.0</v>
      </c>
      <c r="D14" s="32" t="s">
        <v>69114</v>
      </c>
      <c r="E14" s="32" t="s">
        <v>69115</v>
      </c>
      <c r="F14" s="33">
        <v>67.0</v>
      </c>
      <c r="G14" s="31">
        <v>2.5048067E8</v>
      </c>
    </row>
    <row r="15" ht="12.75" customHeight="1">
      <c r="A15" s="27">
        <v>148.0</v>
      </c>
      <c r="B15" s="28" t="s">
        <v>69116</v>
      </c>
      <c r="C15" s="27">
        <v>250.0</v>
      </c>
      <c r="D15" s="28" t="s">
        <v>69117</v>
      </c>
      <c r="E15" s="28" t="s">
        <v>69118</v>
      </c>
      <c r="F15" s="29">
        <v>88.0</v>
      </c>
      <c r="G15" s="27">
        <v>2.50480883E8</v>
      </c>
    </row>
    <row r="16" ht="12.75" customHeight="1">
      <c r="A16" s="31">
        <v>749.0</v>
      </c>
      <c r="B16" s="32" t="s">
        <v>69119</v>
      </c>
      <c r="C16" s="31">
        <v>250.0</v>
      </c>
      <c r="D16" s="32" t="s">
        <v>69120</v>
      </c>
      <c r="E16" s="32" t="s">
        <v>69121</v>
      </c>
      <c r="F16" s="33">
        <v>40.0</v>
      </c>
      <c r="G16" s="31">
        <v>2.50490402E8</v>
      </c>
    </row>
    <row r="17" ht="12.75" customHeight="1">
      <c r="A17" s="27">
        <v>450.0</v>
      </c>
      <c r="B17" s="28" t="s">
        <v>69122</v>
      </c>
      <c r="C17" s="27">
        <v>250.0</v>
      </c>
      <c r="D17" s="28" t="s">
        <v>69123</v>
      </c>
      <c r="E17" s="28" t="s">
        <v>69124</v>
      </c>
      <c r="F17" s="29">
        <v>94.0</v>
      </c>
      <c r="G17" s="27">
        <v>2.50500947E8</v>
      </c>
    </row>
    <row r="18" ht="12.75" customHeight="1">
      <c r="A18" s="31">
        <v>251.0</v>
      </c>
      <c r="B18" s="32" t="s">
        <v>69125</v>
      </c>
      <c r="C18" s="31">
        <v>250.0</v>
      </c>
      <c r="D18" s="32" t="s">
        <v>69126</v>
      </c>
      <c r="E18" s="32" t="s">
        <v>69127</v>
      </c>
      <c r="F18" s="33">
        <v>19.0</v>
      </c>
      <c r="G18" s="31">
        <v>2.50510195E8</v>
      </c>
    </row>
    <row r="19" ht="12.75" customHeight="1">
      <c r="A19" s="27">
        <v>251.0</v>
      </c>
      <c r="B19" s="28" t="s">
        <v>69128</v>
      </c>
      <c r="C19" s="27">
        <v>250.0</v>
      </c>
      <c r="D19" s="28" t="s">
        <v>69129</v>
      </c>
      <c r="E19" s="28" t="s">
        <v>69130</v>
      </c>
      <c r="F19" s="29">
        <v>73.0</v>
      </c>
      <c r="G19" s="27">
        <v>2.50510737E8</v>
      </c>
    </row>
    <row r="20" ht="12.75" customHeight="1">
      <c r="A20" s="31">
        <v>251.0</v>
      </c>
      <c r="B20" s="32" t="s">
        <v>69131</v>
      </c>
      <c r="C20" s="31">
        <v>250.0</v>
      </c>
      <c r="D20" s="32" t="s">
        <v>69132</v>
      </c>
      <c r="E20" s="32" t="s">
        <v>69133</v>
      </c>
      <c r="F20" s="33">
        <v>97.0</v>
      </c>
      <c r="G20" s="31">
        <v>2.50510979E8</v>
      </c>
    </row>
    <row r="21" ht="12.75" customHeight="1">
      <c r="A21" s="27">
        <v>752.0</v>
      </c>
      <c r="B21" s="28" t="s">
        <v>69134</v>
      </c>
      <c r="C21" s="27">
        <v>250.0</v>
      </c>
      <c r="D21" s="28" t="s">
        <v>69135</v>
      </c>
      <c r="E21" s="28" t="s">
        <v>69136</v>
      </c>
      <c r="F21" s="29">
        <v>46.0</v>
      </c>
      <c r="G21" s="27">
        <v>2.50520464E8</v>
      </c>
    </row>
    <row r="22" ht="12.75" customHeight="1">
      <c r="A22" s="31">
        <v>354.0</v>
      </c>
      <c r="B22" s="32" t="s">
        <v>69137</v>
      </c>
      <c r="C22" s="31">
        <v>250.0</v>
      </c>
      <c r="D22" s="32" t="s">
        <v>69138</v>
      </c>
      <c r="E22" s="32" t="s">
        <v>69139</v>
      </c>
      <c r="F22" s="33">
        <v>40.0</v>
      </c>
      <c r="G22" s="31">
        <v>2.50540402E8</v>
      </c>
    </row>
    <row r="23" ht="12.75" customHeight="1">
      <c r="A23" s="27">
        <v>354.0</v>
      </c>
      <c r="B23" s="28" t="s">
        <v>69140</v>
      </c>
      <c r="C23" s="27">
        <v>250.0</v>
      </c>
      <c r="D23" s="28" t="s">
        <v>69141</v>
      </c>
      <c r="E23" s="28" t="s">
        <v>69142</v>
      </c>
      <c r="F23" s="29">
        <v>76.0</v>
      </c>
      <c r="G23" s="27">
        <v>2.50540765E8</v>
      </c>
    </row>
    <row r="24" ht="12.75" customHeight="1">
      <c r="A24" s="31">
        <v>455.0</v>
      </c>
      <c r="B24" s="32" t="s">
        <v>69143</v>
      </c>
      <c r="C24" s="31">
        <v>250.0</v>
      </c>
      <c r="D24" s="32" t="s">
        <v>69144</v>
      </c>
      <c r="E24" s="32" t="s">
        <v>69145</v>
      </c>
      <c r="F24" s="33">
        <v>55.0</v>
      </c>
      <c r="G24" s="31">
        <v>2.50550555E8</v>
      </c>
    </row>
    <row r="25" ht="12.75" customHeight="1">
      <c r="A25" s="27">
        <v>156.0</v>
      </c>
      <c r="B25" s="28" t="s">
        <v>69146</v>
      </c>
      <c r="C25" s="27">
        <v>250.0</v>
      </c>
      <c r="D25" s="28" t="s">
        <v>69147</v>
      </c>
      <c r="E25" s="28" t="s">
        <v>69148</v>
      </c>
      <c r="F25" s="29">
        <v>37.0</v>
      </c>
      <c r="G25" s="27">
        <v>2.50560374E8</v>
      </c>
    </row>
    <row r="26" ht="12.75" customHeight="1">
      <c r="A26" s="31">
        <v>156.0</v>
      </c>
      <c r="B26" s="32" t="s">
        <v>69149</v>
      </c>
      <c r="C26" s="31">
        <v>250.0</v>
      </c>
      <c r="D26" s="32" t="s">
        <v>69150</v>
      </c>
      <c r="E26" s="32" t="s">
        <v>69151</v>
      </c>
      <c r="F26" s="33">
        <v>61.0</v>
      </c>
      <c r="G26" s="31">
        <v>2.50560611E8</v>
      </c>
    </row>
    <row r="27" ht="12.75" customHeight="1">
      <c r="A27" s="27">
        <v>156.0</v>
      </c>
      <c r="B27" s="28" t="s">
        <v>69152</v>
      </c>
      <c r="C27" s="27">
        <v>250.0</v>
      </c>
      <c r="D27" s="28" t="s">
        <v>69153</v>
      </c>
      <c r="E27" s="28" t="s">
        <v>69154</v>
      </c>
      <c r="F27" s="29">
        <v>73.0</v>
      </c>
      <c r="G27" s="27">
        <v>2.50560732E8</v>
      </c>
    </row>
    <row r="28" ht="12.75" customHeight="1">
      <c r="A28" s="31">
        <v>156.0</v>
      </c>
      <c r="B28" s="32" t="s">
        <v>69155</v>
      </c>
      <c r="C28" s="31">
        <v>250.0</v>
      </c>
      <c r="D28" s="32" t="s">
        <v>69156</v>
      </c>
      <c r="E28" s="32" t="s">
        <v>69157</v>
      </c>
      <c r="F28" s="33">
        <v>79.0</v>
      </c>
      <c r="G28" s="31">
        <v>2.5056079E8</v>
      </c>
    </row>
    <row r="29" ht="12.75" customHeight="1">
      <c r="A29" s="27">
        <v>457.0</v>
      </c>
      <c r="B29" s="28" t="s">
        <v>69158</v>
      </c>
      <c r="C29" s="27">
        <v>250.0</v>
      </c>
      <c r="D29" s="28" t="s">
        <v>69159</v>
      </c>
      <c r="E29" s="28" t="s">
        <v>69160</v>
      </c>
      <c r="F29" s="29">
        <v>37.0</v>
      </c>
      <c r="G29" s="27">
        <v>2.50570377E8</v>
      </c>
    </row>
    <row r="30" ht="12.75" customHeight="1">
      <c r="A30" s="31">
        <v>858.0</v>
      </c>
      <c r="B30" s="32" t="s">
        <v>69161</v>
      </c>
      <c r="C30" s="31">
        <v>250.0</v>
      </c>
      <c r="D30" s="32" t="s">
        <v>69162</v>
      </c>
      <c r="E30" s="32" t="s">
        <v>69163</v>
      </c>
      <c r="F30" s="33">
        <v>10.0</v>
      </c>
      <c r="G30" s="31">
        <v>2.50580109E8</v>
      </c>
    </row>
    <row r="31" ht="12.75" customHeight="1">
      <c r="A31" s="27">
        <v>858.0</v>
      </c>
      <c r="B31" s="28" t="s">
        <v>69164</v>
      </c>
      <c r="C31" s="27">
        <v>250.0</v>
      </c>
      <c r="D31" s="28" t="s">
        <v>69165</v>
      </c>
      <c r="E31" s="28" t="s">
        <v>69166</v>
      </c>
      <c r="F31" s="29">
        <v>88.0</v>
      </c>
      <c r="G31" s="27">
        <v>2.50580888E8</v>
      </c>
    </row>
    <row r="32" ht="12.75" customHeight="1">
      <c r="A32" s="31">
        <v>858.0</v>
      </c>
      <c r="B32" s="32" t="s">
        <v>69167</v>
      </c>
      <c r="C32" s="31">
        <v>250.0</v>
      </c>
      <c r="D32" s="32" t="s">
        <v>69168</v>
      </c>
      <c r="E32" s="32" t="s">
        <v>69169</v>
      </c>
      <c r="F32" s="33">
        <v>94.0</v>
      </c>
      <c r="G32" s="31">
        <v>2.50580941E8</v>
      </c>
    </row>
    <row r="33" ht="12.75" customHeight="1">
      <c r="A33" s="27">
        <v>858.0</v>
      </c>
      <c r="B33" s="28" t="s">
        <v>69170</v>
      </c>
      <c r="C33" s="27">
        <v>250.0</v>
      </c>
      <c r="D33" s="28" t="s">
        <v>69171</v>
      </c>
      <c r="E33" s="28" t="s">
        <v>69172</v>
      </c>
      <c r="F33" s="27">
        <v>118.0</v>
      </c>
      <c r="G33" s="27">
        <v>2.50581182E8</v>
      </c>
    </row>
    <row r="34" ht="12.75" customHeight="1">
      <c r="A34" s="31">
        <v>858.0</v>
      </c>
      <c r="B34" s="32" t="s">
        <v>69173</v>
      </c>
      <c r="C34" s="31">
        <v>250.0</v>
      </c>
      <c r="D34" s="32" t="s">
        <v>69174</v>
      </c>
      <c r="E34" s="32" t="s">
        <v>69175</v>
      </c>
      <c r="F34" s="31">
        <v>172.0</v>
      </c>
      <c r="G34" s="31">
        <v>2.50581724E8</v>
      </c>
    </row>
    <row r="35" ht="12.75" customHeight="1">
      <c r="A35" s="27">
        <v>159.0</v>
      </c>
      <c r="B35" s="28" t="s">
        <v>69176</v>
      </c>
      <c r="C35" s="27">
        <v>250.0</v>
      </c>
      <c r="D35" s="28" t="s">
        <v>69177</v>
      </c>
      <c r="E35" s="28" t="s">
        <v>69178</v>
      </c>
      <c r="F35" s="29">
        <v>67.0</v>
      </c>
      <c r="G35" s="27">
        <v>2.50590678E8</v>
      </c>
    </row>
    <row r="36" ht="12.75" customHeight="1">
      <c r="A36" s="31">
        <v>159.0</v>
      </c>
      <c r="B36" s="32" t="s">
        <v>69179</v>
      </c>
      <c r="C36" s="31">
        <v>250.0</v>
      </c>
      <c r="D36" s="32" t="s">
        <v>69180</v>
      </c>
      <c r="E36" s="32" t="s">
        <v>69181</v>
      </c>
      <c r="F36" s="31">
        <v>103.0</v>
      </c>
      <c r="G36" s="31">
        <v>2.50591035E8</v>
      </c>
    </row>
    <row r="37" ht="12.75" customHeight="1">
      <c r="A37" s="27">
        <v>159.0</v>
      </c>
      <c r="B37" s="28" t="s">
        <v>69182</v>
      </c>
      <c r="C37" s="27">
        <v>250.0</v>
      </c>
      <c r="D37" s="28" t="s">
        <v>69183</v>
      </c>
      <c r="E37" s="28" t="s">
        <v>69184</v>
      </c>
      <c r="F37" s="27">
        <v>121.0</v>
      </c>
      <c r="G37" s="27">
        <v>2.50591219E8</v>
      </c>
    </row>
    <row r="38" ht="12.75" customHeight="1">
      <c r="A38" s="31">
        <v>161.0</v>
      </c>
      <c r="B38" s="32" t="s">
        <v>69185</v>
      </c>
      <c r="C38" s="31">
        <v>250.0</v>
      </c>
      <c r="D38" s="32" t="s">
        <v>69186</v>
      </c>
      <c r="E38" s="32" t="s">
        <v>69187</v>
      </c>
      <c r="F38" s="31">
        <v>115.0</v>
      </c>
      <c r="G38" s="31">
        <v>2.50611157E8</v>
      </c>
    </row>
    <row r="39" ht="12.75" customHeight="1">
      <c r="A39" s="27">
        <v>161.0</v>
      </c>
      <c r="B39" s="28" t="s">
        <v>69188</v>
      </c>
      <c r="C39" s="27">
        <v>250.0</v>
      </c>
      <c r="D39" s="28" t="s">
        <v>69189</v>
      </c>
      <c r="E39" s="28" t="s">
        <v>69190</v>
      </c>
      <c r="F39" s="27">
        <v>175.0</v>
      </c>
      <c r="G39" s="27">
        <v>2.50611757E8</v>
      </c>
    </row>
    <row r="40" ht="12.75" customHeight="1">
      <c r="A40" s="31">
        <v>564.0</v>
      </c>
      <c r="B40" s="32" t="s">
        <v>69191</v>
      </c>
      <c r="C40" s="31">
        <v>250.0</v>
      </c>
      <c r="D40" s="32" t="s">
        <v>69192</v>
      </c>
      <c r="E40" s="32" t="s">
        <v>69193</v>
      </c>
      <c r="F40" s="31">
        <v>118.0</v>
      </c>
      <c r="G40" s="31">
        <v>2.50641185E8</v>
      </c>
    </row>
    <row r="41" ht="12.75" customHeight="1">
      <c r="A41" s="27">
        <v>465.0</v>
      </c>
      <c r="B41" s="28" t="s">
        <v>69194</v>
      </c>
      <c r="C41" s="27">
        <v>250.0</v>
      </c>
      <c r="D41" s="28" t="s">
        <v>69195</v>
      </c>
      <c r="E41" s="28" t="s">
        <v>69196</v>
      </c>
      <c r="F41" s="29">
        <v>64.0</v>
      </c>
      <c r="G41" s="27">
        <v>2.50650642E8</v>
      </c>
    </row>
    <row r="42" ht="12.75" customHeight="1">
      <c r="A42" s="31">
        <v>167.0</v>
      </c>
      <c r="B42" s="32" t="s">
        <v>69197</v>
      </c>
      <c r="C42" s="31">
        <v>250.0</v>
      </c>
      <c r="D42" s="32" t="s">
        <v>69198</v>
      </c>
      <c r="E42" s="32" t="s">
        <v>69199</v>
      </c>
      <c r="F42" s="33">
        <v>22.0</v>
      </c>
      <c r="G42" s="31">
        <v>2.50670222E8</v>
      </c>
    </row>
    <row r="43" ht="12.75" customHeight="1">
      <c r="A43" s="27">
        <v>167.0</v>
      </c>
      <c r="B43" s="28" t="s">
        <v>69200</v>
      </c>
      <c r="C43" s="27">
        <v>250.0</v>
      </c>
      <c r="D43" s="28" t="s">
        <v>69201</v>
      </c>
      <c r="E43" s="28" t="s">
        <v>69202</v>
      </c>
      <c r="F43" s="29">
        <v>28.0</v>
      </c>
      <c r="G43" s="27">
        <v>2.5067028E8</v>
      </c>
    </row>
    <row r="44" ht="12.75" customHeight="1">
      <c r="A44" s="31">
        <v>167.0</v>
      </c>
      <c r="B44" s="32" t="s">
        <v>69203</v>
      </c>
      <c r="C44" s="31">
        <v>250.0</v>
      </c>
      <c r="D44" s="32" t="s">
        <v>69204</v>
      </c>
      <c r="E44" s="32" t="s">
        <v>69205</v>
      </c>
      <c r="F44" s="31">
        <v>118.0</v>
      </c>
      <c r="G44" s="31">
        <v>2.50671184E8</v>
      </c>
    </row>
    <row r="45" ht="12.75" customHeight="1">
      <c r="A45" s="27">
        <v>167.0</v>
      </c>
      <c r="B45" s="28" t="s">
        <v>69206</v>
      </c>
      <c r="C45" s="27">
        <v>250.0</v>
      </c>
      <c r="D45" s="28" t="s">
        <v>69207</v>
      </c>
      <c r="E45" s="28" t="s">
        <v>69208</v>
      </c>
      <c r="F45" s="27">
        <v>127.0</v>
      </c>
      <c r="G45" s="27">
        <v>2.50671276E8</v>
      </c>
    </row>
    <row r="46" ht="12.75" customHeight="1">
      <c r="A46" s="31">
        <v>167.0</v>
      </c>
      <c r="B46" s="32" t="s">
        <v>69209</v>
      </c>
      <c r="C46" s="31">
        <v>250.0</v>
      </c>
      <c r="D46" s="32" t="s">
        <v>69210</v>
      </c>
      <c r="E46" s="32" t="s">
        <v>69211</v>
      </c>
      <c r="F46" s="31">
        <v>169.0</v>
      </c>
      <c r="G46" s="31">
        <v>2.50671692E8</v>
      </c>
    </row>
    <row r="47" ht="12.75" customHeight="1">
      <c r="A47" s="27">
        <v>167.0</v>
      </c>
      <c r="B47" s="28" t="s">
        <v>69212</v>
      </c>
      <c r="C47" s="27">
        <v>250.0</v>
      </c>
      <c r="D47" s="28" t="s">
        <v>69213</v>
      </c>
      <c r="E47" s="28" t="s">
        <v>69214</v>
      </c>
      <c r="F47" s="27">
        <v>175.0</v>
      </c>
      <c r="G47" s="27">
        <v>2.50671755E8</v>
      </c>
    </row>
    <row r="48" ht="12.75" customHeight="1">
      <c r="A48" s="31">
        <v>168.0</v>
      </c>
      <c r="B48" s="32" t="s">
        <v>69215</v>
      </c>
      <c r="C48" s="31">
        <v>250.0</v>
      </c>
      <c r="D48" s="32" t="s">
        <v>69216</v>
      </c>
      <c r="E48" s="32" t="s">
        <v>69217</v>
      </c>
      <c r="F48" s="33">
        <v>49.0</v>
      </c>
      <c r="G48" s="31">
        <v>2.50680496E8</v>
      </c>
    </row>
    <row r="49" ht="12.75" customHeight="1">
      <c r="A49" s="27">
        <v>168.0</v>
      </c>
      <c r="B49" s="28" t="s">
        <v>69218</v>
      </c>
      <c r="C49" s="27">
        <v>250.0</v>
      </c>
      <c r="D49" s="28" t="s">
        <v>69219</v>
      </c>
      <c r="E49" s="28" t="s">
        <v>69220</v>
      </c>
      <c r="F49" s="29">
        <v>70.0</v>
      </c>
      <c r="G49" s="27">
        <v>2.50680704E8</v>
      </c>
    </row>
    <row r="50" ht="12.75" customHeight="1">
      <c r="A50" s="31">
        <v>168.0</v>
      </c>
      <c r="B50" s="32" t="s">
        <v>69221</v>
      </c>
      <c r="C50" s="31">
        <v>250.0</v>
      </c>
      <c r="D50" s="32" t="s">
        <v>69222</v>
      </c>
      <c r="E50" s="32" t="s">
        <v>69223</v>
      </c>
      <c r="F50" s="33">
        <v>85.0</v>
      </c>
      <c r="G50" s="31">
        <v>2.50680854E8</v>
      </c>
    </row>
    <row r="51" ht="12.75" customHeight="1">
      <c r="A51" s="27">
        <v>168.0</v>
      </c>
      <c r="B51" s="28" t="s">
        <v>69224</v>
      </c>
      <c r="C51" s="27">
        <v>250.0</v>
      </c>
      <c r="D51" s="28" t="s">
        <v>69225</v>
      </c>
      <c r="E51" s="28" t="s">
        <v>69226</v>
      </c>
      <c r="F51" s="27">
        <v>118.0</v>
      </c>
      <c r="G51" s="27">
        <v>2.50681187E8</v>
      </c>
    </row>
    <row r="52" ht="12.75" customHeight="1">
      <c r="A52" s="31">
        <v>569.0</v>
      </c>
      <c r="B52" s="32" t="s">
        <v>69227</v>
      </c>
      <c r="C52" s="31">
        <v>250.0</v>
      </c>
      <c r="D52" s="32" t="s">
        <v>69228</v>
      </c>
      <c r="E52" s="32" t="s">
        <v>69229</v>
      </c>
      <c r="F52" s="33">
        <v>28.0</v>
      </c>
      <c r="G52" s="31">
        <v>2.50690286E8</v>
      </c>
    </row>
    <row r="53" ht="12.75" customHeight="1">
      <c r="A53" s="27">
        <v>569.0</v>
      </c>
      <c r="B53" s="28" t="s">
        <v>69230</v>
      </c>
      <c r="C53" s="27">
        <v>250.0</v>
      </c>
      <c r="D53" s="28" t="s">
        <v>69231</v>
      </c>
      <c r="E53" s="28" t="s">
        <v>69232</v>
      </c>
      <c r="F53" s="29">
        <v>91.0</v>
      </c>
      <c r="G53" s="27">
        <v>2.5069091E8</v>
      </c>
    </row>
    <row r="54" ht="12.75" customHeight="1">
      <c r="A54" s="31">
        <v>569.0</v>
      </c>
      <c r="B54" s="32" t="s">
        <v>69233</v>
      </c>
      <c r="C54" s="31">
        <v>250.0</v>
      </c>
      <c r="D54" s="32" t="s">
        <v>69234</v>
      </c>
      <c r="E54" s="32" t="s">
        <v>69235</v>
      </c>
      <c r="F54" s="31">
        <v>109.0</v>
      </c>
      <c r="G54" s="31">
        <v>2.50691098E8</v>
      </c>
    </row>
    <row r="55" ht="12.75" customHeight="1">
      <c r="A55" s="27">
        <v>570.0</v>
      </c>
      <c r="B55" s="28" t="s">
        <v>69236</v>
      </c>
      <c r="C55" s="27">
        <v>250.0</v>
      </c>
      <c r="D55" s="28" t="s">
        <v>69237</v>
      </c>
      <c r="E55" s="28" t="s">
        <v>69238</v>
      </c>
      <c r="F55" s="29">
        <v>25.0</v>
      </c>
      <c r="G55" s="27">
        <v>2.50700255E8</v>
      </c>
    </row>
    <row r="56" ht="12.75" customHeight="1">
      <c r="A56" s="31">
        <v>570.0</v>
      </c>
      <c r="B56" s="32" t="s">
        <v>69239</v>
      </c>
      <c r="C56" s="31">
        <v>250.0</v>
      </c>
      <c r="D56" s="32" t="s">
        <v>69240</v>
      </c>
      <c r="E56" s="32" t="s">
        <v>69241</v>
      </c>
      <c r="F56" s="33">
        <v>52.0</v>
      </c>
      <c r="G56" s="31">
        <v>2.50700521E8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172.0</v>
      </c>
      <c r="B1" s="28" t="s">
        <v>69242</v>
      </c>
      <c r="C1" s="27">
        <v>250.0</v>
      </c>
      <c r="D1" s="28" t="s">
        <v>69243</v>
      </c>
      <c r="E1" s="28" t="s">
        <v>69244</v>
      </c>
      <c r="F1" s="29">
        <v>73.0</v>
      </c>
      <c r="G1" s="27">
        <v>2.5072073E8</v>
      </c>
    </row>
    <row r="2" ht="12.75" customHeight="1">
      <c r="A2" s="31">
        <v>773.0</v>
      </c>
      <c r="B2" s="32" t="s">
        <v>69245</v>
      </c>
      <c r="C2" s="31">
        <v>250.0</v>
      </c>
      <c r="D2" s="32" t="s">
        <v>69246</v>
      </c>
      <c r="E2" s="32" t="s">
        <v>69247</v>
      </c>
      <c r="F2" s="33">
        <v>73.0</v>
      </c>
      <c r="G2" s="31">
        <v>2.50730733E8</v>
      </c>
    </row>
    <row r="3" ht="12.75" customHeight="1">
      <c r="A3" s="27">
        <v>773.0</v>
      </c>
      <c r="B3" s="28" t="s">
        <v>69248</v>
      </c>
      <c r="C3" s="27">
        <v>250.0</v>
      </c>
      <c r="D3" s="28" t="s">
        <v>69249</v>
      </c>
      <c r="E3" s="28" t="s">
        <v>69250</v>
      </c>
      <c r="F3" s="29">
        <v>79.0</v>
      </c>
      <c r="G3" s="27">
        <v>2.50730791E8</v>
      </c>
    </row>
    <row r="4" ht="12.75" customHeight="1">
      <c r="A4" s="31">
        <v>275.0</v>
      </c>
      <c r="B4" s="32" t="s">
        <v>69251</v>
      </c>
      <c r="C4" s="31">
        <v>250.0</v>
      </c>
      <c r="D4" s="32" t="s">
        <v>69252</v>
      </c>
      <c r="E4" s="32" t="s">
        <v>69253</v>
      </c>
      <c r="F4" s="33">
        <v>25.0</v>
      </c>
      <c r="G4" s="31">
        <v>2.5075025E8</v>
      </c>
    </row>
    <row r="5" ht="12.75" customHeight="1">
      <c r="A5" s="27">
        <v>275.0</v>
      </c>
      <c r="B5" s="28" t="s">
        <v>69254</v>
      </c>
      <c r="C5" s="27">
        <v>250.0</v>
      </c>
      <c r="D5" s="28" t="s">
        <v>69255</v>
      </c>
      <c r="E5" s="28" t="s">
        <v>69256</v>
      </c>
      <c r="F5" s="29">
        <v>34.0</v>
      </c>
      <c r="G5" s="27">
        <v>2.50750342E8</v>
      </c>
    </row>
    <row r="6" ht="12.75" customHeight="1">
      <c r="A6" s="31">
        <v>275.0</v>
      </c>
      <c r="B6" s="32" t="s">
        <v>69257</v>
      </c>
      <c r="C6" s="31">
        <v>250.0</v>
      </c>
      <c r="D6" s="32" t="s">
        <v>69258</v>
      </c>
      <c r="E6" s="32" t="s">
        <v>69259</v>
      </c>
      <c r="F6" s="33">
        <v>67.0</v>
      </c>
      <c r="G6" s="31">
        <v>2.50750676E8</v>
      </c>
    </row>
    <row r="7" ht="12.75" customHeight="1">
      <c r="A7" s="27">
        <v>275.0</v>
      </c>
      <c r="B7" s="28" t="s">
        <v>69260</v>
      </c>
      <c r="C7" s="27">
        <v>250.0</v>
      </c>
      <c r="D7" s="28" t="s">
        <v>69261</v>
      </c>
      <c r="E7" s="28" t="s">
        <v>69262</v>
      </c>
      <c r="F7" s="27">
        <v>157.0</v>
      </c>
      <c r="G7" s="27">
        <v>2.5075157E8</v>
      </c>
    </row>
    <row r="8" ht="12.75" customHeight="1">
      <c r="A8" s="31">
        <v>275.0</v>
      </c>
      <c r="B8" s="32" t="s">
        <v>69263</v>
      </c>
      <c r="C8" s="31">
        <v>250.0</v>
      </c>
      <c r="D8" s="32" t="s">
        <v>69264</v>
      </c>
      <c r="E8" s="32" t="s">
        <v>69265</v>
      </c>
      <c r="F8" s="31">
        <v>232.0</v>
      </c>
      <c r="G8" s="31">
        <v>2.50752324E8</v>
      </c>
    </row>
    <row r="9" ht="12.75" customHeight="1">
      <c r="A9" s="27">
        <v>576.0</v>
      </c>
      <c r="B9" s="28" t="s">
        <v>69266</v>
      </c>
      <c r="C9" s="27">
        <v>250.0</v>
      </c>
      <c r="D9" s="28" t="s">
        <v>69267</v>
      </c>
      <c r="E9" s="28" t="s">
        <v>69268</v>
      </c>
      <c r="F9" s="27">
        <v>121.0</v>
      </c>
      <c r="G9" s="27">
        <v>2.5076121E8</v>
      </c>
    </row>
    <row r="10" ht="12.75" customHeight="1">
      <c r="A10" s="31">
        <v>576.0</v>
      </c>
      <c r="B10" s="32" t="s">
        <v>69269</v>
      </c>
      <c r="C10" s="31">
        <v>250.0</v>
      </c>
      <c r="D10" s="32" t="s">
        <v>69270</v>
      </c>
      <c r="E10" s="32" t="s">
        <v>69271</v>
      </c>
      <c r="F10" s="31">
        <v>178.0</v>
      </c>
      <c r="G10" s="31">
        <v>2.50761786E8</v>
      </c>
    </row>
    <row r="11" ht="12.75" customHeight="1">
      <c r="A11" s="27">
        <v>777.0</v>
      </c>
      <c r="B11" s="28" t="s">
        <v>69272</v>
      </c>
      <c r="C11" s="27">
        <v>250.0</v>
      </c>
      <c r="D11" s="28" t="s">
        <v>69273</v>
      </c>
      <c r="E11" s="28" t="s">
        <v>69274</v>
      </c>
      <c r="F11" s="29">
        <v>55.0</v>
      </c>
      <c r="G11" s="27">
        <v>2.50770551E8</v>
      </c>
    </row>
    <row r="12" ht="12.75" customHeight="1">
      <c r="A12" s="31">
        <v>378.0</v>
      </c>
      <c r="B12" s="32" t="s">
        <v>69275</v>
      </c>
      <c r="C12" s="31">
        <v>250.0</v>
      </c>
      <c r="D12" s="32" t="s">
        <v>69276</v>
      </c>
      <c r="E12" s="32" t="s">
        <v>69277</v>
      </c>
      <c r="F12" s="33">
        <v>49.0</v>
      </c>
      <c r="G12" s="31">
        <v>2.50780491E8</v>
      </c>
    </row>
    <row r="13" ht="12.75" customHeight="1">
      <c r="A13" s="27">
        <v>378.0</v>
      </c>
      <c r="B13" s="28" t="s">
        <v>69278</v>
      </c>
      <c r="C13" s="27">
        <v>250.0</v>
      </c>
      <c r="D13" s="28" t="s">
        <v>69279</v>
      </c>
      <c r="E13" s="28" t="s">
        <v>69280</v>
      </c>
      <c r="F13" s="29">
        <v>76.0</v>
      </c>
      <c r="G13" s="27">
        <v>2.50780767E8</v>
      </c>
    </row>
    <row r="14" ht="12.75" customHeight="1">
      <c r="A14" s="31">
        <v>378.0</v>
      </c>
      <c r="B14" s="32" t="s">
        <v>69281</v>
      </c>
      <c r="C14" s="31">
        <v>250.0</v>
      </c>
      <c r="D14" s="32" t="s">
        <v>69282</v>
      </c>
      <c r="E14" s="32" t="s">
        <v>69283</v>
      </c>
      <c r="F14" s="31">
        <v>109.0</v>
      </c>
      <c r="G14" s="31">
        <v>2.5078109E8</v>
      </c>
    </row>
    <row r="15" ht="12.75" customHeight="1">
      <c r="A15" s="27">
        <v>379.0</v>
      </c>
      <c r="B15" s="28" t="s">
        <v>69284</v>
      </c>
      <c r="C15" s="27">
        <v>250.0</v>
      </c>
      <c r="D15" s="28" t="s">
        <v>69285</v>
      </c>
      <c r="E15" s="28" t="s">
        <v>69286</v>
      </c>
      <c r="F15" s="29">
        <v>52.0</v>
      </c>
      <c r="G15" s="27">
        <v>2.50790528E8</v>
      </c>
    </row>
    <row r="16" ht="12.75" customHeight="1">
      <c r="A16" s="31">
        <v>379.0</v>
      </c>
      <c r="B16" s="32" t="s">
        <v>69287</v>
      </c>
      <c r="C16" s="31">
        <v>250.0</v>
      </c>
      <c r="D16" s="32" t="s">
        <v>69288</v>
      </c>
      <c r="E16" s="32" t="s">
        <v>69289</v>
      </c>
      <c r="F16" s="33">
        <v>76.0</v>
      </c>
      <c r="G16" s="31">
        <v>2.5079076E8</v>
      </c>
    </row>
    <row r="17" ht="12.75" customHeight="1">
      <c r="A17" s="27">
        <v>581.0</v>
      </c>
      <c r="B17" s="28" t="s">
        <v>69290</v>
      </c>
      <c r="C17" s="27">
        <v>250.0</v>
      </c>
      <c r="D17" s="28" t="s">
        <v>69291</v>
      </c>
      <c r="E17" s="28" t="s">
        <v>69292</v>
      </c>
      <c r="F17" s="27">
        <v>142.0</v>
      </c>
      <c r="G17" s="27">
        <v>2.50811423E8</v>
      </c>
    </row>
    <row r="18" ht="12.75" customHeight="1">
      <c r="A18" s="31">
        <v>581.0</v>
      </c>
      <c r="B18" s="32" t="s">
        <v>69293</v>
      </c>
      <c r="C18" s="31">
        <v>250.0</v>
      </c>
      <c r="D18" s="32" t="s">
        <v>69294</v>
      </c>
      <c r="E18" s="32" t="s">
        <v>69295</v>
      </c>
      <c r="F18" s="31">
        <v>163.0</v>
      </c>
      <c r="G18" s="31">
        <v>2.50811636E8</v>
      </c>
    </row>
    <row r="19" ht="12.75" customHeight="1">
      <c r="A19" s="27">
        <v>581.0</v>
      </c>
      <c r="B19" s="28" t="s">
        <v>69296</v>
      </c>
      <c r="C19" s="27">
        <v>250.0</v>
      </c>
      <c r="D19" s="28" t="s">
        <v>69297</v>
      </c>
      <c r="E19" s="28" t="s">
        <v>69298</v>
      </c>
      <c r="F19" s="27">
        <v>184.0</v>
      </c>
      <c r="G19" s="27">
        <v>2.50811849E8</v>
      </c>
    </row>
    <row r="20" ht="12.75" customHeight="1">
      <c r="A20" s="31">
        <v>581.0</v>
      </c>
      <c r="B20" s="32" t="s">
        <v>69299</v>
      </c>
      <c r="C20" s="31">
        <v>250.0</v>
      </c>
      <c r="D20" s="32" t="s">
        <v>69300</v>
      </c>
      <c r="E20" s="32" t="s">
        <v>69301</v>
      </c>
      <c r="F20" s="31">
        <v>214.0</v>
      </c>
      <c r="G20" s="31">
        <v>2.50812143E8</v>
      </c>
    </row>
    <row r="21" ht="12.75" customHeight="1">
      <c r="A21" s="27">
        <v>581.0</v>
      </c>
      <c r="B21" s="28" t="s">
        <v>69302</v>
      </c>
      <c r="C21" s="27">
        <v>250.0</v>
      </c>
      <c r="D21" s="28" t="s">
        <v>69303</v>
      </c>
      <c r="E21" s="28" t="s">
        <v>69304</v>
      </c>
      <c r="F21" s="27">
        <v>226.0</v>
      </c>
      <c r="G21" s="27">
        <v>2.50812264E8</v>
      </c>
    </row>
    <row r="22" ht="12.75" customHeight="1">
      <c r="A22" s="31">
        <v>382.0</v>
      </c>
      <c r="B22" s="32" t="s">
        <v>69305</v>
      </c>
      <c r="C22" s="31">
        <v>250.0</v>
      </c>
      <c r="D22" s="32" t="s">
        <v>69306</v>
      </c>
      <c r="E22" s="32" t="s">
        <v>69307</v>
      </c>
      <c r="F22" s="33">
        <v>73.0</v>
      </c>
      <c r="G22" s="31">
        <v>2.50820735E8</v>
      </c>
    </row>
    <row r="23" ht="12.75" customHeight="1">
      <c r="A23" s="27">
        <v>284.0</v>
      </c>
      <c r="B23" s="28" t="s">
        <v>69308</v>
      </c>
      <c r="C23" s="27">
        <v>250.0</v>
      </c>
      <c r="D23" s="28" t="s">
        <v>69309</v>
      </c>
      <c r="E23" s="28" t="s">
        <v>69310</v>
      </c>
      <c r="F23" s="29">
        <v>52.0</v>
      </c>
      <c r="G23" s="27">
        <v>2.50840528E8</v>
      </c>
    </row>
    <row r="24" ht="12.75" customHeight="1">
      <c r="A24" s="31">
        <v>785.0</v>
      </c>
      <c r="B24" s="32" t="s">
        <v>69311</v>
      </c>
      <c r="C24" s="31">
        <v>250.0</v>
      </c>
      <c r="D24" s="32" t="s">
        <v>69312</v>
      </c>
      <c r="E24" s="32" t="s">
        <v>69313</v>
      </c>
      <c r="F24" s="31">
        <v>127.0</v>
      </c>
      <c r="G24" s="31">
        <v>2.5085127E8</v>
      </c>
    </row>
    <row r="25" ht="12.75" customHeight="1">
      <c r="A25" s="27">
        <v>785.0</v>
      </c>
      <c r="B25" s="28" t="s">
        <v>69314</v>
      </c>
      <c r="C25" s="27">
        <v>250.0</v>
      </c>
      <c r="D25" s="28" t="s">
        <v>69315</v>
      </c>
      <c r="E25" s="28" t="s">
        <v>69316</v>
      </c>
      <c r="F25" s="27">
        <v>145.0</v>
      </c>
      <c r="G25" s="27">
        <v>2.50851454E8</v>
      </c>
    </row>
    <row r="26" ht="12.75" customHeight="1">
      <c r="A26" s="31">
        <v>386.0</v>
      </c>
      <c r="B26" s="32" t="s">
        <v>69317</v>
      </c>
      <c r="C26" s="31">
        <v>250.0</v>
      </c>
      <c r="D26" s="32" t="s">
        <v>69318</v>
      </c>
      <c r="E26" s="32" t="s">
        <v>69319</v>
      </c>
      <c r="F26" s="33">
        <v>67.0</v>
      </c>
      <c r="G26" s="31">
        <v>2.50860674E8</v>
      </c>
    </row>
    <row r="27" ht="12.75" customHeight="1">
      <c r="A27" s="27">
        <v>487.0</v>
      </c>
      <c r="B27" s="28" t="s">
        <v>69320</v>
      </c>
      <c r="C27" s="27">
        <v>250.0</v>
      </c>
      <c r="D27" s="28" t="s">
        <v>69321</v>
      </c>
      <c r="E27" s="28" t="s">
        <v>69322</v>
      </c>
      <c r="F27" s="27">
        <v>109.0</v>
      </c>
      <c r="G27" s="27">
        <v>2.50871092E8</v>
      </c>
    </row>
    <row r="28" ht="12.75" customHeight="1">
      <c r="A28" s="31">
        <v>688.0</v>
      </c>
      <c r="B28" s="32" t="s">
        <v>69323</v>
      </c>
      <c r="C28" s="31">
        <v>250.0</v>
      </c>
      <c r="D28" s="32" t="s">
        <v>69324</v>
      </c>
      <c r="E28" s="32" t="s">
        <v>69325</v>
      </c>
      <c r="F28" s="31">
        <v>187.0</v>
      </c>
      <c r="G28" s="31">
        <v>2.50881879E8</v>
      </c>
    </row>
    <row r="29" ht="12.75" customHeight="1">
      <c r="A29" s="27">
        <v>688.0</v>
      </c>
      <c r="B29" s="28" t="s">
        <v>69326</v>
      </c>
      <c r="C29" s="27">
        <v>250.0</v>
      </c>
      <c r="D29" s="28" t="s">
        <v>69327</v>
      </c>
      <c r="E29" s="28" t="s">
        <v>69328</v>
      </c>
      <c r="F29" s="27">
        <v>190.0</v>
      </c>
      <c r="G29" s="27">
        <v>2.50881903E8</v>
      </c>
    </row>
    <row r="30" ht="12.75" customHeight="1">
      <c r="A30" s="31">
        <v>688.0</v>
      </c>
      <c r="B30" s="32" t="s">
        <v>69329</v>
      </c>
      <c r="C30" s="31">
        <v>250.0</v>
      </c>
      <c r="D30" s="32" t="s">
        <v>69330</v>
      </c>
      <c r="E30" s="32" t="s">
        <v>69331</v>
      </c>
      <c r="F30" s="31">
        <v>208.0</v>
      </c>
      <c r="G30" s="31">
        <v>2.50882081E8</v>
      </c>
    </row>
    <row r="31" ht="12.75" customHeight="1">
      <c r="A31" s="27">
        <v>688.0</v>
      </c>
      <c r="B31" s="28" t="s">
        <v>69332</v>
      </c>
      <c r="C31" s="27">
        <v>250.0</v>
      </c>
      <c r="D31" s="28" t="s">
        <v>69333</v>
      </c>
      <c r="E31" s="28" t="s">
        <v>69334</v>
      </c>
      <c r="F31" s="27">
        <v>223.0</v>
      </c>
      <c r="G31" s="27">
        <v>2.50882236E8</v>
      </c>
    </row>
    <row r="32" ht="12.75" customHeight="1">
      <c r="A32" s="31">
        <v>189.0</v>
      </c>
      <c r="B32" s="32" t="s">
        <v>69335</v>
      </c>
      <c r="C32" s="31">
        <v>250.0</v>
      </c>
      <c r="D32" s="32" t="s">
        <v>69336</v>
      </c>
      <c r="E32" s="32" t="s">
        <v>69337</v>
      </c>
      <c r="F32" s="33">
        <v>55.0</v>
      </c>
      <c r="G32" s="31">
        <v>2.50890552E8</v>
      </c>
    </row>
    <row r="33" ht="12.75" customHeight="1">
      <c r="A33" s="27">
        <v>890.0</v>
      </c>
      <c r="B33" s="28" t="s">
        <v>69338</v>
      </c>
      <c r="C33" s="27">
        <v>250.0</v>
      </c>
      <c r="D33" s="28" t="s">
        <v>69339</v>
      </c>
      <c r="E33" s="28" t="s">
        <v>69340</v>
      </c>
      <c r="F33" s="29">
        <v>22.0</v>
      </c>
      <c r="G33" s="27">
        <v>2.50900226E8</v>
      </c>
    </row>
    <row r="34" ht="12.75" customHeight="1">
      <c r="A34" s="31">
        <v>890.0</v>
      </c>
      <c r="B34" s="32" t="s">
        <v>69341</v>
      </c>
      <c r="C34" s="31">
        <v>250.0</v>
      </c>
      <c r="D34" s="32" t="s">
        <v>69342</v>
      </c>
      <c r="E34" s="32" t="s">
        <v>69343</v>
      </c>
      <c r="F34" s="33">
        <v>49.0</v>
      </c>
      <c r="G34" s="31">
        <v>2.50900497E8</v>
      </c>
    </row>
    <row r="35" ht="12.75" customHeight="1">
      <c r="A35" s="27">
        <v>890.0</v>
      </c>
      <c r="B35" s="28" t="s">
        <v>69344</v>
      </c>
      <c r="C35" s="27">
        <v>250.0</v>
      </c>
      <c r="D35" s="28" t="s">
        <v>69345</v>
      </c>
      <c r="E35" s="28" t="s">
        <v>69346</v>
      </c>
      <c r="F35" s="27">
        <v>112.0</v>
      </c>
      <c r="G35" s="27">
        <v>2.5090112E8</v>
      </c>
    </row>
    <row r="36" ht="12.75" customHeight="1">
      <c r="A36" s="31">
        <v>891.0</v>
      </c>
      <c r="B36" s="32" t="s">
        <v>69347</v>
      </c>
      <c r="C36" s="31">
        <v>250.0</v>
      </c>
      <c r="D36" s="32" t="s">
        <v>69348</v>
      </c>
      <c r="E36" s="32" t="s">
        <v>69349</v>
      </c>
      <c r="F36" s="33">
        <v>4.0</v>
      </c>
      <c r="G36" s="31">
        <v>2.50910045E8</v>
      </c>
    </row>
    <row r="37" ht="12.75" customHeight="1">
      <c r="A37" s="27">
        <v>891.0</v>
      </c>
      <c r="B37" s="28" t="s">
        <v>69350</v>
      </c>
      <c r="C37" s="27">
        <v>250.0</v>
      </c>
      <c r="D37" s="28" t="s">
        <v>69351</v>
      </c>
      <c r="E37" s="28" t="s">
        <v>69352</v>
      </c>
      <c r="F37" s="29">
        <v>31.0</v>
      </c>
      <c r="G37" s="27">
        <v>2.50910311E8</v>
      </c>
    </row>
    <row r="38" ht="12.75" customHeight="1">
      <c r="A38" s="31">
        <v>891.0</v>
      </c>
      <c r="B38" s="32" t="s">
        <v>69353</v>
      </c>
      <c r="C38" s="31">
        <v>250.0</v>
      </c>
      <c r="D38" s="32" t="s">
        <v>69354</v>
      </c>
      <c r="E38" s="32" t="s">
        <v>69355</v>
      </c>
      <c r="F38" s="33">
        <v>43.0</v>
      </c>
      <c r="G38" s="31">
        <v>2.50910432E8</v>
      </c>
    </row>
    <row r="39" ht="12.75" customHeight="1">
      <c r="A39" s="27">
        <v>891.0</v>
      </c>
      <c r="B39" s="28" t="s">
        <v>69356</v>
      </c>
      <c r="C39" s="27">
        <v>250.0</v>
      </c>
      <c r="D39" s="28" t="s">
        <v>69357</v>
      </c>
      <c r="E39" s="28" t="s">
        <v>69358</v>
      </c>
      <c r="F39" s="29">
        <v>91.0</v>
      </c>
      <c r="G39" s="27">
        <v>2.50910911E8</v>
      </c>
    </row>
    <row r="40" ht="12.75" customHeight="1">
      <c r="A40" s="31">
        <v>891.0</v>
      </c>
      <c r="B40" s="32" t="s">
        <v>69359</v>
      </c>
      <c r="C40" s="31">
        <v>250.0</v>
      </c>
      <c r="D40" s="32" t="s">
        <v>69360</v>
      </c>
      <c r="E40" s="32" t="s">
        <v>69361</v>
      </c>
      <c r="F40" s="31">
        <v>130.0</v>
      </c>
      <c r="G40" s="31">
        <v>2.50911307E8</v>
      </c>
    </row>
    <row r="41" ht="12.75" customHeight="1">
      <c r="A41" s="27">
        <v>891.0</v>
      </c>
      <c r="B41" s="28" t="s">
        <v>69362</v>
      </c>
      <c r="C41" s="27">
        <v>250.0</v>
      </c>
      <c r="D41" s="28" t="s">
        <v>69363</v>
      </c>
      <c r="E41" s="28" t="s">
        <v>69364</v>
      </c>
      <c r="F41" s="27">
        <v>136.0</v>
      </c>
      <c r="G41" s="27">
        <v>2.50911365E8</v>
      </c>
    </row>
    <row r="42" ht="12.75" customHeight="1">
      <c r="A42" s="31">
        <v>891.0</v>
      </c>
      <c r="B42" s="32" t="s">
        <v>69365</v>
      </c>
      <c r="C42" s="31">
        <v>250.0</v>
      </c>
      <c r="D42" s="32" t="s">
        <v>69366</v>
      </c>
      <c r="E42" s="32" t="s">
        <v>69367</v>
      </c>
      <c r="F42" s="31">
        <v>154.0</v>
      </c>
      <c r="G42" s="31">
        <v>2.50911549E8</v>
      </c>
    </row>
    <row r="43" ht="12.75" customHeight="1">
      <c r="A43" s="27">
        <v>891.0</v>
      </c>
      <c r="B43" s="28" t="s">
        <v>69368</v>
      </c>
      <c r="C43" s="27">
        <v>250.0</v>
      </c>
      <c r="D43" s="28" t="s">
        <v>69369</v>
      </c>
      <c r="E43" s="28" t="s">
        <v>69370</v>
      </c>
      <c r="F43" s="27">
        <v>250.0</v>
      </c>
      <c r="G43" s="27">
        <v>2.50912506E8</v>
      </c>
    </row>
    <row r="44" ht="12.75" customHeight="1">
      <c r="A44" s="31">
        <v>891.0</v>
      </c>
      <c r="B44" s="32" t="s">
        <v>69371</v>
      </c>
      <c r="C44" s="31">
        <v>250.0</v>
      </c>
      <c r="D44" s="32" t="s">
        <v>69372</v>
      </c>
      <c r="E44" s="32" t="s">
        <v>69373</v>
      </c>
      <c r="F44" s="31">
        <v>280.0</v>
      </c>
      <c r="G44" s="31">
        <v>2.50912801E8</v>
      </c>
    </row>
    <row r="45" ht="12.75" customHeight="1">
      <c r="A45" s="27">
        <v>891.0</v>
      </c>
      <c r="B45" s="28" t="s">
        <v>69374</v>
      </c>
      <c r="C45" s="27">
        <v>250.0</v>
      </c>
      <c r="D45" s="28" t="s">
        <v>69375</v>
      </c>
      <c r="E45" s="28" t="s">
        <v>69376</v>
      </c>
      <c r="F45" s="27">
        <v>325.0</v>
      </c>
      <c r="G45" s="27">
        <v>2.50913255E8</v>
      </c>
    </row>
    <row r="46" ht="12.75" customHeight="1">
      <c r="A46" s="31">
        <v>891.0</v>
      </c>
      <c r="B46" s="32" t="s">
        <v>69377</v>
      </c>
      <c r="C46" s="31">
        <v>250.0</v>
      </c>
      <c r="D46" s="32" t="s">
        <v>69378</v>
      </c>
      <c r="E46" s="32" t="s">
        <v>69379</v>
      </c>
      <c r="F46" s="31">
        <v>355.0</v>
      </c>
      <c r="G46" s="31">
        <v>2.5091355E8</v>
      </c>
    </row>
    <row r="47" ht="12.75" customHeight="1">
      <c r="A47" s="27">
        <v>193.0</v>
      </c>
      <c r="B47" s="28" t="s">
        <v>69380</v>
      </c>
      <c r="C47" s="27">
        <v>250.0</v>
      </c>
      <c r="D47" s="28" t="s">
        <v>69381</v>
      </c>
      <c r="E47" s="28" t="s">
        <v>69382</v>
      </c>
      <c r="F47" s="29">
        <v>22.0</v>
      </c>
      <c r="G47" s="27">
        <v>2.50930225E8</v>
      </c>
    </row>
    <row r="48" ht="12.75" customHeight="1">
      <c r="A48" s="31">
        <v>193.0</v>
      </c>
      <c r="B48" s="32" t="s">
        <v>69383</v>
      </c>
      <c r="C48" s="31">
        <v>250.0</v>
      </c>
      <c r="D48" s="32" t="s">
        <v>69384</v>
      </c>
      <c r="E48" s="32" t="s">
        <v>69385</v>
      </c>
      <c r="F48" s="31">
        <v>229.0</v>
      </c>
      <c r="G48" s="31">
        <v>2.50932294E8</v>
      </c>
    </row>
    <row r="49" ht="12.75" customHeight="1">
      <c r="A49" s="27">
        <v>794.0</v>
      </c>
      <c r="B49" s="28" t="s">
        <v>69386</v>
      </c>
      <c r="C49" s="27">
        <v>250.0</v>
      </c>
      <c r="D49" s="28" t="s">
        <v>69387</v>
      </c>
      <c r="E49" s="28" t="s">
        <v>69388</v>
      </c>
      <c r="F49" s="29">
        <v>97.0</v>
      </c>
      <c r="G49" s="27">
        <v>2.50940978E8</v>
      </c>
    </row>
    <row r="50" ht="12.75" customHeight="1">
      <c r="A50" s="31">
        <v>215.0</v>
      </c>
      <c r="B50" s="32" t="s">
        <v>69389</v>
      </c>
      <c r="C50" s="31">
        <v>255.0</v>
      </c>
      <c r="D50" s="32" t="s">
        <v>69390</v>
      </c>
      <c r="E50" s="32" t="s">
        <v>69391</v>
      </c>
      <c r="F50" s="31">
        <v>196.0</v>
      </c>
      <c r="G50" s="31">
        <v>2.55151962E8</v>
      </c>
    </row>
    <row r="51" ht="12.75" customHeight="1">
      <c r="A51" s="27">
        <v>126.0</v>
      </c>
      <c r="B51" s="28" t="s">
        <v>69392</v>
      </c>
      <c r="C51" s="27">
        <v>255.0</v>
      </c>
      <c r="D51" s="28" t="s">
        <v>69393</v>
      </c>
      <c r="E51" s="28" t="s">
        <v>69394</v>
      </c>
      <c r="F51" s="27">
        <v>298.0</v>
      </c>
      <c r="G51" s="27">
        <v>2.55262985E8</v>
      </c>
    </row>
    <row r="52" ht="12.75" customHeight="1">
      <c r="A52" s="31">
        <v>126.0</v>
      </c>
      <c r="B52" s="32" t="s">
        <v>69395</v>
      </c>
      <c r="C52" s="31">
        <v>255.0</v>
      </c>
      <c r="D52" s="32" t="s">
        <v>69396</v>
      </c>
      <c r="E52" s="32" t="s">
        <v>69397</v>
      </c>
      <c r="F52" s="31">
        <v>463.0</v>
      </c>
      <c r="G52" s="31">
        <v>2.55264633E8</v>
      </c>
    </row>
    <row r="53" ht="12.75" customHeight="1">
      <c r="A53" s="27">
        <v>127.0</v>
      </c>
      <c r="B53" s="28" t="s">
        <v>69398</v>
      </c>
      <c r="C53" s="27">
        <v>255.0</v>
      </c>
      <c r="D53" s="28" t="s">
        <v>69399</v>
      </c>
      <c r="E53" s="28" t="s">
        <v>69400</v>
      </c>
      <c r="F53" s="29">
        <v>0.0</v>
      </c>
      <c r="G53" s="27">
        <v>2.55270001E8</v>
      </c>
    </row>
    <row r="54" ht="12.75" customHeight="1">
      <c r="A54" s="31">
        <v>127.0</v>
      </c>
      <c r="B54" s="32" t="s">
        <v>69401</v>
      </c>
      <c r="C54" s="31">
        <v>255.0</v>
      </c>
      <c r="D54" s="32" t="s">
        <v>69402</v>
      </c>
      <c r="E54" s="32" t="s">
        <v>69403</v>
      </c>
      <c r="F54" s="31">
        <v>151.0</v>
      </c>
      <c r="G54" s="31">
        <v>2.55271518E8</v>
      </c>
    </row>
    <row r="55" ht="12.75" customHeight="1">
      <c r="A55" s="27">
        <v>167.0</v>
      </c>
      <c r="B55" s="28" t="s">
        <v>69404</v>
      </c>
      <c r="C55" s="27">
        <v>255.0</v>
      </c>
      <c r="D55" s="28" t="s">
        <v>69405</v>
      </c>
      <c r="E55" s="28" t="s">
        <v>69406</v>
      </c>
      <c r="F55" s="27">
        <v>118.0</v>
      </c>
      <c r="G55" s="27">
        <v>2.55671189E8</v>
      </c>
    </row>
    <row r="56" ht="12.75" customHeight="1">
      <c r="A56" s="31">
        <v>306.0</v>
      </c>
      <c r="B56" s="32" t="s">
        <v>69407</v>
      </c>
      <c r="C56" s="31">
        <v>260.0</v>
      </c>
      <c r="D56" s="32" t="s">
        <v>69408</v>
      </c>
      <c r="E56" s="32" t="s">
        <v>69409</v>
      </c>
      <c r="F56" s="33">
        <v>28.0</v>
      </c>
      <c r="G56" s="31">
        <v>2.6006028E8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610.0</v>
      </c>
      <c r="B1" s="28" t="s">
        <v>69410</v>
      </c>
      <c r="C1" s="27">
        <v>260.0</v>
      </c>
      <c r="D1" s="28" t="s">
        <v>69411</v>
      </c>
      <c r="E1" s="28" t="s">
        <v>69412</v>
      </c>
      <c r="F1" s="29">
        <v>37.0</v>
      </c>
      <c r="G1" s="27">
        <v>2.60100379E8</v>
      </c>
    </row>
    <row r="2" ht="12.75" customHeight="1">
      <c r="A2" s="31">
        <v>215.0</v>
      </c>
      <c r="B2" s="32" t="s">
        <v>69413</v>
      </c>
      <c r="C2" s="31">
        <v>260.0</v>
      </c>
      <c r="D2" s="32" t="s">
        <v>69414</v>
      </c>
      <c r="E2" s="32" t="s">
        <v>69415</v>
      </c>
      <c r="F2" s="33">
        <v>13.0</v>
      </c>
      <c r="G2" s="31">
        <v>2.60150132E8</v>
      </c>
    </row>
    <row r="3" ht="12.75" customHeight="1">
      <c r="A3" s="27">
        <v>215.0</v>
      </c>
      <c r="B3" s="28" t="s">
        <v>69416</v>
      </c>
      <c r="C3" s="27">
        <v>260.0</v>
      </c>
      <c r="D3" s="28" t="s">
        <v>69417</v>
      </c>
      <c r="E3" s="28" t="s">
        <v>69418</v>
      </c>
      <c r="F3" s="29">
        <v>38.0</v>
      </c>
      <c r="G3" s="27">
        <v>2.60150387E8</v>
      </c>
    </row>
    <row r="4" ht="12.75" customHeight="1">
      <c r="A4" s="31">
        <v>215.0</v>
      </c>
      <c r="B4" s="32" t="s">
        <v>69419</v>
      </c>
      <c r="C4" s="31">
        <v>260.0</v>
      </c>
      <c r="D4" s="32" t="s">
        <v>69420</v>
      </c>
      <c r="E4" s="32" t="s">
        <v>69421</v>
      </c>
      <c r="F4" s="31">
        <v>364.0</v>
      </c>
      <c r="G4" s="31">
        <v>2.60153647E8</v>
      </c>
    </row>
    <row r="5" ht="12.75" customHeight="1">
      <c r="A5" s="27">
        <v>215.0</v>
      </c>
      <c r="B5" s="28" t="s">
        <v>69422</v>
      </c>
      <c r="C5" s="27">
        <v>260.0</v>
      </c>
      <c r="D5" s="28" t="s">
        <v>69423</v>
      </c>
      <c r="E5" s="28" t="s">
        <v>69424</v>
      </c>
      <c r="F5" s="27">
        <v>580.0</v>
      </c>
      <c r="G5" s="27">
        <v>2.60155803E8</v>
      </c>
    </row>
    <row r="6" ht="12.75" customHeight="1">
      <c r="A6" s="31">
        <v>215.0</v>
      </c>
      <c r="B6" s="32" t="s">
        <v>69425</v>
      </c>
      <c r="C6" s="31">
        <v>260.0</v>
      </c>
      <c r="D6" s="32" t="s">
        <v>69426</v>
      </c>
      <c r="E6" s="32" t="s">
        <v>69427</v>
      </c>
      <c r="F6" s="31">
        <v>649.0</v>
      </c>
      <c r="G6" s="31">
        <v>2.60156499E8</v>
      </c>
    </row>
    <row r="7" ht="12.75" customHeight="1">
      <c r="A7" s="27">
        <v>119.0</v>
      </c>
      <c r="B7" s="28" t="s">
        <v>69428</v>
      </c>
      <c r="C7" s="27">
        <v>260.0</v>
      </c>
      <c r="D7" s="28" t="s">
        <v>69429</v>
      </c>
      <c r="E7" s="28" t="s">
        <v>69430</v>
      </c>
      <c r="F7" s="29">
        <v>32.0</v>
      </c>
      <c r="G7" s="27">
        <v>2.60190321E8</v>
      </c>
    </row>
    <row r="8" ht="12.75" customHeight="1">
      <c r="A8" s="31">
        <v>119.0</v>
      </c>
      <c r="B8" s="32" t="s">
        <v>69431</v>
      </c>
      <c r="C8" s="31">
        <v>260.0</v>
      </c>
      <c r="D8" s="32" t="s">
        <v>69432</v>
      </c>
      <c r="E8" s="32" t="s">
        <v>69433</v>
      </c>
      <c r="F8" s="33">
        <v>88.0</v>
      </c>
      <c r="G8" s="31">
        <v>2.60190884E8</v>
      </c>
    </row>
    <row r="9" ht="12.75" customHeight="1">
      <c r="A9" s="27">
        <v>126.0</v>
      </c>
      <c r="B9" s="28" t="s">
        <v>69434</v>
      </c>
      <c r="C9" s="27">
        <v>260.0</v>
      </c>
      <c r="D9" s="28" t="s">
        <v>69435</v>
      </c>
      <c r="E9" s="28" t="s">
        <v>69436</v>
      </c>
      <c r="F9" s="29">
        <v>43.0</v>
      </c>
      <c r="G9" s="27">
        <v>2.60260435E8</v>
      </c>
    </row>
    <row r="10" ht="12.75" customHeight="1">
      <c r="A10" s="31">
        <v>126.0</v>
      </c>
      <c r="B10" s="32" t="s">
        <v>69437</v>
      </c>
      <c r="C10" s="31">
        <v>260.0</v>
      </c>
      <c r="D10" s="32" t="s">
        <v>69438</v>
      </c>
      <c r="E10" s="32" t="s">
        <v>69439</v>
      </c>
      <c r="F10" s="33">
        <v>47.0</v>
      </c>
      <c r="G10" s="31">
        <v>2.60260477E8</v>
      </c>
    </row>
    <row r="11" ht="12.75" customHeight="1">
      <c r="A11" s="27">
        <v>126.0</v>
      </c>
      <c r="B11" s="28" t="s">
        <v>69440</v>
      </c>
      <c r="C11" s="27">
        <v>260.0</v>
      </c>
      <c r="D11" s="28" t="s">
        <v>69441</v>
      </c>
      <c r="E11" s="28" t="s">
        <v>69442</v>
      </c>
      <c r="F11" s="29">
        <v>54.0</v>
      </c>
      <c r="G11" s="27">
        <v>2.60260543E8</v>
      </c>
    </row>
    <row r="12" ht="12.75" customHeight="1">
      <c r="A12" s="31">
        <v>126.0</v>
      </c>
      <c r="B12" s="32" t="s">
        <v>69443</v>
      </c>
      <c r="C12" s="31">
        <v>260.0</v>
      </c>
      <c r="D12" s="32" t="s">
        <v>69444</v>
      </c>
      <c r="E12" s="32" t="s">
        <v>69445</v>
      </c>
      <c r="F12" s="33">
        <v>56.0</v>
      </c>
      <c r="G12" s="31">
        <v>2.60260569E8</v>
      </c>
    </row>
    <row r="13" ht="12.75" customHeight="1">
      <c r="A13" s="27">
        <v>126.0</v>
      </c>
      <c r="B13" s="28" t="s">
        <v>69446</v>
      </c>
      <c r="C13" s="27">
        <v>260.0</v>
      </c>
      <c r="D13" s="28" t="s">
        <v>69447</v>
      </c>
      <c r="E13" s="28" t="s">
        <v>69448</v>
      </c>
      <c r="F13" s="29">
        <v>75.0</v>
      </c>
      <c r="G13" s="27">
        <v>2.60260756E8</v>
      </c>
    </row>
    <row r="14" ht="12.75" customHeight="1">
      <c r="A14" s="31">
        <v>126.0</v>
      </c>
      <c r="B14" s="32" t="s">
        <v>69449</v>
      </c>
      <c r="C14" s="31">
        <v>260.0</v>
      </c>
      <c r="D14" s="32" t="s">
        <v>69450</v>
      </c>
      <c r="E14" s="32" t="s">
        <v>69451</v>
      </c>
      <c r="F14" s="31">
        <v>118.0</v>
      </c>
      <c r="G14" s="31">
        <v>2.60261184E8</v>
      </c>
    </row>
    <row r="15" ht="12.75" customHeight="1">
      <c r="A15" s="27">
        <v>126.0</v>
      </c>
      <c r="B15" s="28" t="s">
        <v>69452</v>
      </c>
      <c r="C15" s="27">
        <v>260.0</v>
      </c>
      <c r="D15" s="28" t="s">
        <v>69453</v>
      </c>
      <c r="E15" s="28" t="s">
        <v>69454</v>
      </c>
      <c r="F15" s="27">
        <v>172.0</v>
      </c>
      <c r="G15" s="27">
        <v>2.60261726E8</v>
      </c>
    </row>
    <row r="16" ht="12.75" customHeight="1">
      <c r="A16" s="31">
        <v>126.0</v>
      </c>
      <c r="B16" s="32" t="s">
        <v>69455</v>
      </c>
      <c r="C16" s="31">
        <v>260.0</v>
      </c>
      <c r="D16" s="32" t="s">
        <v>69456</v>
      </c>
      <c r="E16" s="32" t="s">
        <v>69457</v>
      </c>
      <c r="F16" s="31">
        <v>205.0</v>
      </c>
      <c r="G16" s="31">
        <v>2.60262059E8</v>
      </c>
    </row>
    <row r="17" ht="12.75" customHeight="1">
      <c r="A17" s="27">
        <v>126.0</v>
      </c>
      <c r="B17" s="28" t="s">
        <v>69458</v>
      </c>
      <c r="C17" s="27">
        <v>260.0</v>
      </c>
      <c r="D17" s="28" t="s">
        <v>69459</v>
      </c>
      <c r="E17" s="28" t="s">
        <v>69460</v>
      </c>
      <c r="F17" s="27">
        <v>298.0</v>
      </c>
      <c r="G17" s="27">
        <v>2.60262983E8</v>
      </c>
    </row>
    <row r="18" ht="12.75" customHeight="1">
      <c r="A18" s="31">
        <v>126.0</v>
      </c>
      <c r="B18" s="32" t="s">
        <v>69461</v>
      </c>
      <c r="C18" s="31">
        <v>260.0</v>
      </c>
      <c r="D18" s="32" t="s">
        <v>69462</v>
      </c>
      <c r="E18" s="32" t="s">
        <v>69463</v>
      </c>
      <c r="F18" s="31">
        <v>341.0</v>
      </c>
      <c r="G18" s="31">
        <v>2.60263416E8</v>
      </c>
    </row>
    <row r="19" ht="12.75" customHeight="1">
      <c r="A19" s="27">
        <v>126.0</v>
      </c>
      <c r="B19" s="28" t="s">
        <v>69464</v>
      </c>
      <c r="C19" s="27">
        <v>260.0</v>
      </c>
      <c r="D19" s="28" t="s">
        <v>69465</v>
      </c>
      <c r="E19" s="28" t="s">
        <v>69466</v>
      </c>
      <c r="F19" s="27">
        <v>463.0</v>
      </c>
      <c r="G19" s="27">
        <v>2.60264631E8</v>
      </c>
    </row>
    <row r="20" ht="12.75" customHeight="1">
      <c r="A20" s="31">
        <v>126.0</v>
      </c>
      <c r="B20" s="32" t="s">
        <v>69467</v>
      </c>
      <c r="C20" s="31">
        <v>260.0</v>
      </c>
      <c r="D20" s="32" t="s">
        <v>69468</v>
      </c>
      <c r="E20" s="32" t="s">
        <v>69469</v>
      </c>
      <c r="F20" s="31">
        <v>481.0</v>
      </c>
      <c r="G20" s="31">
        <v>2.60264815E8</v>
      </c>
    </row>
    <row r="21" ht="12.75" customHeight="1">
      <c r="A21" s="27">
        <v>127.0</v>
      </c>
      <c r="B21" s="28" t="s">
        <v>69470</v>
      </c>
      <c r="C21" s="27">
        <v>260.0</v>
      </c>
      <c r="D21" s="28" t="s">
        <v>69471</v>
      </c>
      <c r="E21" s="28" t="s">
        <v>69472</v>
      </c>
      <c r="F21" s="29">
        <v>0.0</v>
      </c>
      <c r="G21" s="27">
        <v>2.60270009E8</v>
      </c>
    </row>
    <row r="22" ht="12.75" customHeight="1">
      <c r="A22" s="31">
        <v>127.0</v>
      </c>
      <c r="B22" s="32" t="s">
        <v>69473</v>
      </c>
      <c r="C22" s="31">
        <v>260.0</v>
      </c>
      <c r="D22" s="32" t="s">
        <v>69474</v>
      </c>
      <c r="E22" s="32" t="s">
        <v>69475</v>
      </c>
      <c r="F22" s="33">
        <v>13.0</v>
      </c>
      <c r="G22" s="31">
        <v>2.60270133E8</v>
      </c>
    </row>
    <row r="23" ht="12.75" customHeight="1">
      <c r="A23" s="27">
        <v>127.0</v>
      </c>
      <c r="B23" s="28" t="s">
        <v>69476</v>
      </c>
      <c r="C23" s="27">
        <v>260.0</v>
      </c>
      <c r="D23" s="28" t="s">
        <v>69477</v>
      </c>
      <c r="E23" s="28" t="s">
        <v>69478</v>
      </c>
      <c r="F23" s="29">
        <v>27.0</v>
      </c>
      <c r="G23" s="27">
        <v>2.6027027E8</v>
      </c>
    </row>
    <row r="24" ht="12.75" customHeight="1">
      <c r="A24" s="31">
        <v>127.0</v>
      </c>
      <c r="B24" s="32" t="s">
        <v>69479</v>
      </c>
      <c r="C24" s="31">
        <v>260.0</v>
      </c>
      <c r="D24" s="32" t="s">
        <v>69480</v>
      </c>
      <c r="E24" s="32" t="s">
        <v>69481</v>
      </c>
      <c r="F24" s="33">
        <v>48.0</v>
      </c>
      <c r="G24" s="31">
        <v>2.60270483E8</v>
      </c>
    </row>
    <row r="25" ht="12.75" customHeight="1">
      <c r="A25" s="27">
        <v>127.0</v>
      </c>
      <c r="B25" s="28" t="s">
        <v>69482</v>
      </c>
      <c r="C25" s="27">
        <v>260.0</v>
      </c>
      <c r="D25" s="28" t="s">
        <v>69483</v>
      </c>
      <c r="E25" s="28" t="s">
        <v>69484</v>
      </c>
      <c r="F25" s="27">
        <v>481.0</v>
      </c>
      <c r="G25" s="27">
        <v>2.60274818E8</v>
      </c>
    </row>
    <row r="26" ht="12.75" customHeight="1">
      <c r="A26" s="31">
        <v>127.0</v>
      </c>
      <c r="B26" s="32" t="s">
        <v>69485</v>
      </c>
      <c r="C26" s="31">
        <v>260.0</v>
      </c>
      <c r="D26" s="32" t="s">
        <v>69486</v>
      </c>
      <c r="E26" s="32" t="s">
        <v>69487</v>
      </c>
      <c r="F26" s="31">
        <v>535.0</v>
      </c>
      <c r="G26" s="31">
        <v>2.60275354E8</v>
      </c>
    </row>
    <row r="27" ht="12.75" customHeight="1">
      <c r="A27" s="27">
        <v>127.0</v>
      </c>
      <c r="B27" s="28" t="s">
        <v>69488</v>
      </c>
      <c r="C27" s="27">
        <v>260.0</v>
      </c>
      <c r="D27" s="28" t="s">
        <v>69489</v>
      </c>
      <c r="E27" s="28" t="s">
        <v>69490</v>
      </c>
      <c r="F27" s="27">
        <v>583.0</v>
      </c>
      <c r="G27" s="27">
        <v>2.60275833E8</v>
      </c>
    </row>
    <row r="28" ht="12.75" customHeight="1">
      <c r="A28" s="31">
        <v>728.0</v>
      </c>
      <c r="B28" s="32" t="s">
        <v>69491</v>
      </c>
      <c r="C28" s="31">
        <v>260.0</v>
      </c>
      <c r="D28" s="32" t="s">
        <v>69492</v>
      </c>
      <c r="E28" s="32" t="s">
        <v>69493</v>
      </c>
      <c r="F28" s="31">
        <v>184.0</v>
      </c>
      <c r="G28" s="31">
        <v>2.60281843E8</v>
      </c>
    </row>
    <row r="29" ht="12.75" customHeight="1">
      <c r="A29" s="27">
        <v>230.0</v>
      </c>
      <c r="B29" s="28" t="s">
        <v>69494</v>
      </c>
      <c r="C29" s="27">
        <v>260.0</v>
      </c>
      <c r="D29" s="28" t="s">
        <v>69495</v>
      </c>
      <c r="E29" s="28" t="s">
        <v>69496</v>
      </c>
      <c r="F29" s="29">
        <v>52.0</v>
      </c>
      <c r="G29" s="27">
        <v>2.60300524E8</v>
      </c>
    </row>
    <row r="30" ht="12.75" customHeight="1">
      <c r="A30" s="31">
        <v>133.0</v>
      </c>
      <c r="B30" s="32" t="s">
        <v>69497</v>
      </c>
      <c r="C30" s="31">
        <v>260.0</v>
      </c>
      <c r="D30" s="32" t="s">
        <v>69498</v>
      </c>
      <c r="E30" s="32" t="s">
        <v>69499</v>
      </c>
      <c r="F30" s="33">
        <v>22.0</v>
      </c>
      <c r="G30" s="31">
        <v>2.60330228E8</v>
      </c>
    </row>
    <row r="31" ht="12.75" customHeight="1">
      <c r="A31" s="27">
        <v>133.0</v>
      </c>
      <c r="B31" s="28" t="s">
        <v>69500</v>
      </c>
      <c r="C31" s="27">
        <v>260.0</v>
      </c>
      <c r="D31" s="28" t="s">
        <v>69501</v>
      </c>
      <c r="E31" s="28" t="s">
        <v>69502</v>
      </c>
      <c r="F31" s="29">
        <v>55.0</v>
      </c>
      <c r="G31" s="27">
        <v>2.60330552E8</v>
      </c>
    </row>
    <row r="32" ht="12.75" customHeight="1">
      <c r="A32" s="31">
        <v>133.0</v>
      </c>
      <c r="B32" s="32" t="s">
        <v>69503</v>
      </c>
      <c r="C32" s="31">
        <v>260.0</v>
      </c>
      <c r="D32" s="32" t="s">
        <v>69504</v>
      </c>
      <c r="E32" s="32" t="s">
        <v>69505</v>
      </c>
      <c r="F32" s="31">
        <v>100.0</v>
      </c>
      <c r="G32" s="31">
        <v>2.60331001E8</v>
      </c>
    </row>
    <row r="33" ht="12.75" customHeight="1">
      <c r="A33" s="27">
        <v>444.0</v>
      </c>
      <c r="B33" s="28" t="s">
        <v>69506</v>
      </c>
      <c r="C33" s="27">
        <v>260.0</v>
      </c>
      <c r="D33" s="28" t="s">
        <v>69507</v>
      </c>
      <c r="E33" s="28" t="s">
        <v>69508</v>
      </c>
      <c r="F33" s="29">
        <v>55.0</v>
      </c>
      <c r="G33" s="27">
        <v>2.6044055E8</v>
      </c>
    </row>
    <row r="34" ht="12.75" customHeight="1">
      <c r="A34" s="31">
        <v>447.0</v>
      </c>
      <c r="B34" s="32" t="s">
        <v>69509</v>
      </c>
      <c r="C34" s="31">
        <v>260.0</v>
      </c>
      <c r="D34" s="32" t="s">
        <v>69510</v>
      </c>
      <c r="E34" s="32" t="s">
        <v>69511</v>
      </c>
      <c r="F34" s="31">
        <v>154.0</v>
      </c>
      <c r="G34" s="31">
        <v>2.60471545E8</v>
      </c>
    </row>
    <row r="35" ht="12.75" customHeight="1">
      <c r="A35" s="27">
        <v>251.0</v>
      </c>
      <c r="B35" s="28" t="s">
        <v>69512</v>
      </c>
      <c r="C35" s="27">
        <v>260.0</v>
      </c>
      <c r="D35" s="28" t="s">
        <v>69513</v>
      </c>
      <c r="E35" s="28" t="s">
        <v>69514</v>
      </c>
      <c r="F35" s="29">
        <v>19.0</v>
      </c>
      <c r="G35" s="27">
        <v>2.60510198E8</v>
      </c>
    </row>
    <row r="36" ht="12.75" customHeight="1">
      <c r="A36" s="31">
        <v>858.0</v>
      </c>
      <c r="B36" s="32" t="s">
        <v>69515</v>
      </c>
      <c r="C36" s="31">
        <v>260.0</v>
      </c>
      <c r="D36" s="32" t="s">
        <v>69516</v>
      </c>
      <c r="E36" s="32" t="s">
        <v>69517</v>
      </c>
      <c r="F36" s="31">
        <v>124.0</v>
      </c>
      <c r="G36" s="31">
        <v>2.60581248E8</v>
      </c>
    </row>
    <row r="37" ht="12.75" customHeight="1">
      <c r="A37" s="27">
        <v>161.0</v>
      </c>
      <c r="B37" s="28" t="s">
        <v>69518</v>
      </c>
      <c r="C37" s="27">
        <v>260.0</v>
      </c>
      <c r="D37" s="28" t="s">
        <v>69519</v>
      </c>
      <c r="E37" s="28" t="s">
        <v>69520</v>
      </c>
      <c r="F37" s="27">
        <v>175.0</v>
      </c>
      <c r="G37" s="27">
        <v>2.6061175E8</v>
      </c>
    </row>
    <row r="38" ht="12.75" customHeight="1">
      <c r="A38" s="31">
        <v>564.0</v>
      </c>
      <c r="B38" s="32" t="s">
        <v>69521</v>
      </c>
      <c r="C38" s="31">
        <v>260.0</v>
      </c>
      <c r="D38" s="32" t="s">
        <v>69522</v>
      </c>
      <c r="E38" s="32" t="s">
        <v>69523</v>
      </c>
      <c r="F38" s="31">
        <v>118.0</v>
      </c>
      <c r="G38" s="31">
        <v>2.60641188E8</v>
      </c>
    </row>
    <row r="39" ht="12.75" customHeight="1">
      <c r="A39" s="27">
        <v>167.0</v>
      </c>
      <c r="B39" s="28" t="s">
        <v>69524</v>
      </c>
      <c r="C39" s="27">
        <v>260.0</v>
      </c>
      <c r="D39" s="28" t="s">
        <v>69525</v>
      </c>
      <c r="E39" s="28" t="s">
        <v>69526</v>
      </c>
      <c r="F39" s="29">
        <v>20.0</v>
      </c>
      <c r="G39" s="27">
        <v>2.60670209E8</v>
      </c>
    </row>
    <row r="40" ht="12.75" customHeight="1">
      <c r="A40" s="31">
        <v>167.0</v>
      </c>
      <c r="B40" s="32" t="s">
        <v>69527</v>
      </c>
      <c r="C40" s="31">
        <v>260.0</v>
      </c>
      <c r="D40" s="32" t="s">
        <v>69528</v>
      </c>
      <c r="E40" s="32" t="s">
        <v>69529</v>
      </c>
      <c r="F40" s="33">
        <v>22.0</v>
      </c>
      <c r="G40" s="31">
        <v>2.60670225E8</v>
      </c>
    </row>
    <row r="41" ht="12.75" customHeight="1">
      <c r="A41" s="27">
        <v>167.0</v>
      </c>
      <c r="B41" s="28" t="s">
        <v>69530</v>
      </c>
      <c r="C41" s="27">
        <v>260.0</v>
      </c>
      <c r="D41" s="28" t="s">
        <v>69531</v>
      </c>
      <c r="E41" s="28" t="s">
        <v>69532</v>
      </c>
      <c r="F41" s="27">
        <v>106.0</v>
      </c>
      <c r="G41" s="27">
        <v>2.60671066E8</v>
      </c>
    </row>
    <row r="42" ht="12.75" customHeight="1">
      <c r="A42" s="31">
        <v>167.0</v>
      </c>
      <c r="B42" s="32" t="s">
        <v>69533</v>
      </c>
      <c r="C42" s="31">
        <v>260.0</v>
      </c>
      <c r="D42" s="32" t="s">
        <v>69534</v>
      </c>
      <c r="E42" s="32" t="s">
        <v>69535</v>
      </c>
      <c r="F42" s="31">
        <v>118.0</v>
      </c>
      <c r="G42" s="31">
        <v>2.60671187E8</v>
      </c>
    </row>
    <row r="43" ht="12.75" customHeight="1">
      <c r="A43" s="27">
        <v>167.0</v>
      </c>
      <c r="B43" s="28" t="s">
        <v>69536</v>
      </c>
      <c r="C43" s="27">
        <v>260.0</v>
      </c>
      <c r="D43" s="28" t="s">
        <v>69537</v>
      </c>
      <c r="E43" s="28" t="s">
        <v>69538</v>
      </c>
      <c r="F43" s="27">
        <v>138.0</v>
      </c>
      <c r="G43" s="27">
        <v>2.60671387E8</v>
      </c>
    </row>
    <row r="44" ht="12.75" customHeight="1">
      <c r="A44" s="31">
        <v>168.0</v>
      </c>
      <c r="B44" s="32" t="s">
        <v>69539</v>
      </c>
      <c r="C44" s="31">
        <v>260.0</v>
      </c>
      <c r="D44" s="32" t="s">
        <v>69540</v>
      </c>
      <c r="E44" s="32" t="s">
        <v>69541</v>
      </c>
      <c r="F44" s="33">
        <v>8.0</v>
      </c>
      <c r="G44" s="31">
        <v>2.60680086E8</v>
      </c>
    </row>
    <row r="45" ht="12.75" customHeight="1">
      <c r="A45" s="27">
        <v>168.0</v>
      </c>
      <c r="B45" s="28" t="s">
        <v>69542</v>
      </c>
      <c r="C45" s="27">
        <v>260.0</v>
      </c>
      <c r="D45" s="28" t="s">
        <v>69543</v>
      </c>
      <c r="E45" s="28" t="s">
        <v>69544</v>
      </c>
      <c r="F45" s="29">
        <v>67.0</v>
      </c>
      <c r="G45" s="27">
        <v>2.60680673E8</v>
      </c>
    </row>
    <row r="46" ht="12.75" customHeight="1">
      <c r="A46" s="31">
        <v>275.0</v>
      </c>
      <c r="B46" s="32" t="s">
        <v>69545</v>
      </c>
      <c r="C46" s="31">
        <v>260.0</v>
      </c>
      <c r="D46" s="32" t="s">
        <v>69546</v>
      </c>
      <c r="E46" s="32" t="s">
        <v>69547</v>
      </c>
      <c r="F46" s="33">
        <v>58.0</v>
      </c>
      <c r="G46" s="31">
        <v>2.60750587E8</v>
      </c>
    </row>
    <row r="47" ht="12.75" customHeight="1">
      <c r="A47" s="27">
        <v>379.0</v>
      </c>
      <c r="B47" s="28" t="s">
        <v>69548</v>
      </c>
      <c r="C47" s="27">
        <v>260.0</v>
      </c>
      <c r="D47" s="28" t="s">
        <v>69549</v>
      </c>
      <c r="E47" s="28" t="s">
        <v>69550</v>
      </c>
      <c r="F47" s="29">
        <v>37.0</v>
      </c>
      <c r="G47" s="27">
        <v>2.60790376E8</v>
      </c>
    </row>
    <row r="48" ht="12.75" customHeight="1">
      <c r="A48" s="31">
        <v>581.0</v>
      </c>
      <c r="B48" s="32" t="s">
        <v>69551</v>
      </c>
      <c r="C48" s="31">
        <v>260.0</v>
      </c>
      <c r="D48" s="32" t="s">
        <v>69552</v>
      </c>
      <c r="E48" s="32" t="s">
        <v>69553</v>
      </c>
      <c r="F48" s="31">
        <v>193.0</v>
      </c>
      <c r="G48" s="31">
        <v>2.60811934E8</v>
      </c>
    </row>
    <row r="49" ht="12.75" customHeight="1">
      <c r="A49" s="27">
        <v>785.0</v>
      </c>
      <c r="B49" s="28" t="s">
        <v>69554</v>
      </c>
      <c r="C49" s="27">
        <v>260.0</v>
      </c>
      <c r="D49" s="28" t="s">
        <v>69555</v>
      </c>
      <c r="E49" s="28" t="s">
        <v>69556</v>
      </c>
      <c r="F49" s="27">
        <v>145.0</v>
      </c>
      <c r="G49" s="27">
        <v>2.60851457E8</v>
      </c>
    </row>
    <row r="50" ht="12.75" customHeight="1">
      <c r="A50" s="31">
        <v>891.0</v>
      </c>
      <c r="B50" s="32" t="s">
        <v>69557</v>
      </c>
      <c r="C50" s="31">
        <v>260.0</v>
      </c>
      <c r="D50" s="32" t="s">
        <v>69558</v>
      </c>
      <c r="E50" s="32" t="s">
        <v>69559</v>
      </c>
      <c r="F50" s="31">
        <v>355.0</v>
      </c>
      <c r="G50" s="31">
        <v>2.60913553E8</v>
      </c>
    </row>
    <row r="51" ht="12.75" customHeight="1">
      <c r="A51" s="27">
        <v>891.0</v>
      </c>
      <c r="B51" s="28" t="s">
        <v>69560</v>
      </c>
      <c r="C51" s="27">
        <v>260.0</v>
      </c>
      <c r="D51" s="28" t="s">
        <v>69561</v>
      </c>
      <c r="E51" s="28" t="s">
        <v>69562</v>
      </c>
      <c r="F51" s="27">
        <v>373.0</v>
      </c>
      <c r="G51" s="27">
        <v>2.60913737E8</v>
      </c>
    </row>
    <row r="52" ht="12.75" customHeight="1">
      <c r="A52" s="31">
        <v>193.0</v>
      </c>
      <c r="B52" s="32" t="s">
        <v>69563</v>
      </c>
      <c r="C52" s="31">
        <v>260.0</v>
      </c>
      <c r="D52" s="32" t="s">
        <v>69564</v>
      </c>
      <c r="E52" s="32" t="s">
        <v>69565</v>
      </c>
      <c r="F52" s="31">
        <v>103.0</v>
      </c>
      <c r="G52" s="31">
        <v>2.6093103E8</v>
      </c>
    </row>
    <row r="53" ht="12.75" customHeight="1">
      <c r="A53" s="27">
        <v>306.0</v>
      </c>
      <c r="B53" s="28" t="s">
        <v>69566</v>
      </c>
      <c r="C53" s="27">
        <v>265.0</v>
      </c>
      <c r="D53" s="28" t="s">
        <v>69567</v>
      </c>
      <c r="E53" s="28" t="s">
        <v>69568</v>
      </c>
      <c r="F53" s="29">
        <v>28.0</v>
      </c>
      <c r="G53" s="27">
        <v>2.65060285E8</v>
      </c>
    </row>
    <row r="54" ht="12.75" customHeight="1">
      <c r="A54" s="31">
        <v>610.0</v>
      </c>
      <c r="B54" s="32" t="s">
        <v>69569</v>
      </c>
      <c r="C54" s="31">
        <v>265.0</v>
      </c>
      <c r="D54" s="32" t="s">
        <v>69570</v>
      </c>
      <c r="E54" s="32" t="s">
        <v>69571</v>
      </c>
      <c r="F54" s="33">
        <v>37.0</v>
      </c>
      <c r="G54" s="31">
        <v>2.65100374E8</v>
      </c>
    </row>
    <row r="55" ht="12.75" customHeight="1">
      <c r="A55" s="27">
        <v>112.0</v>
      </c>
      <c r="B55" s="28" t="s">
        <v>69572</v>
      </c>
      <c r="C55" s="27">
        <v>265.0</v>
      </c>
      <c r="D55" s="28" t="s">
        <v>69573</v>
      </c>
      <c r="E55" s="28" t="s">
        <v>69574</v>
      </c>
      <c r="F55" s="29">
        <v>14.0</v>
      </c>
      <c r="G55" s="27">
        <v>2.65120141E8</v>
      </c>
    </row>
    <row r="56" ht="12.75" customHeight="1">
      <c r="A56" s="31">
        <v>113.0</v>
      </c>
      <c r="B56" s="32" t="s">
        <v>69575</v>
      </c>
      <c r="C56" s="31">
        <v>265.0</v>
      </c>
      <c r="D56" s="32" t="s">
        <v>69576</v>
      </c>
      <c r="E56" s="32" t="s">
        <v>69577</v>
      </c>
      <c r="F56" s="33">
        <v>21.0</v>
      </c>
      <c r="G56" s="31">
        <v>2.6513021E8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215.0</v>
      </c>
      <c r="B1" s="28" t="s">
        <v>69578</v>
      </c>
      <c r="C1" s="27">
        <v>265.0</v>
      </c>
      <c r="D1" s="28" t="s">
        <v>69579</v>
      </c>
      <c r="E1" s="28" t="s">
        <v>69580</v>
      </c>
      <c r="F1" s="29">
        <v>13.0</v>
      </c>
      <c r="G1" s="27">
        <v>2.65150137E8</v>
      </c>
    </row>
    <row r="2" ht="12.75" customHeight="1">
      <c r="A2" s="31">
        <v>215.0</v>
      </c>
      <c r="B2" s="32" t="s">
        <v>69581</v>
      </c>
      <c r="C2" s="31">
        <v>265.0</v>
      </c>
      <c r="D2" s="32" t="s">
        <v>69582</v>
      </c>
      <c r="E2" s="32" t="s">
        <v>69583</v>
      </c>
      <c r="F2" s="33">
        <v>42.0</v>
      </c>
      <c r="G2" s="31">
        <v>2.65150429E8</v>
      </c>
    </row>
    <row r="3" ht="12.75" customHeight="1">
      <c r="A3" s="27">
        <v>215.0</v>
      </c>
      <c r="B3" s="28" t="s">
        <v>69584</v>
      </c>
      <c r="C3" s="27">
        <v>265.0</v>
      </c>
      <c r="D3" s="28" t="s">
        <v>69585</v>
      </c>
      <c r="E3" s="28" t="s">
        <v>69586</v>
      </c>
      <c r="F3" s="29">
        <v>54.0</v>
      </c>
      <c r="G3" s="27">
        <v>2.6515054E8</v>
      </c>
    </row>
    <row r="4" ht="12.75" customHeight="1">
      <c r="A4" s="31">
        <v>215.0</v>
      </c>
      <c r="B4" s="32" t="s">
        <v>69587</v>
      </c>
      <c r="C4" s="31">
        <v>265.0</v>
      </c>
      <c r="D4" s="32" t="s">
        <v>69588</v>
      </c>
      <c r="E4" s="32" t="s">
        <v>69589</v>
      </c>
      <c r="F4" s="33">
        <v>62.0</v>
      </c>
      <c r="G4" s="31">
        <v>2.65150629E8</v>
      </c>
    </row>
    <row r="5" ht="12.75" customHeight="1">
      <c r="A5" s="27">
        <v>215.0</v>
      </c>
      <c r="B5" s="28" t="s">
        <v>69590</v>
      </c>
      <c r="C5" s="27">
        <v>265.0</v>
      </c>
      <c r="D5" s="28" t="s">
        <v>69591</v>
      </c>
      <c r="E5" s="28" t="s">
        <v>69592</v>
      </c>
      <c r="F5" s="27">
        <v>241.0</v>
      </c>
      <c r="G5" s="27">
        <v>2.65152414E8</v>
      </c>
    </row>
    <row r="6" ht="12.75" customHeight="1">
      <c r="A6" s="31">
        <v>215.0</v>
      </c>
      <c r="B6" s="32" t="s">
        <v>69593</v>
      </c>
      <c r="C6" s="31">
        <v>265.0</v>
      </c>
      <c r="D6" s="32" t="s">
        <v>69594</v>
      </c>
      <c r="E6" s="32" t="s">
        <v>69595</v>
      </c>
      <c r="F6" s="31">
        <v>418.0</v>
      </c>
      <c r="G6" s="31">
        <v>2.65154188E8</v>
      </c>
    </row>
    <row r="7" ht="12.75" customHeight="1">
      <c r="A7" s="27">
        <v>215.0</v>
      </c>
      <c r="B7" s="28" t="s">
        <v>69596</v>
      </c>
      <c r="C7" s="27">
        <v>265.0</v>
      </c>
      <c r="D7" s="28" t="s">
        <v>69597</v>
      </c>
      <c r="E7" s="28" t="s">
        <v>69598</v>
      </c>
      <c r="F7" s="27">
        <v>427.0</v>
      </c>
      <c r="G7" s="27">
        <v>2.6515427E8</v>
      </c>
    </row>
    <row r="8" ht="12.75" customHeight="1">
      <c r="A8" s="31">
        <v>215.0</v>
      </c>
      <c r="B8" s="32" t="s">
        <v>69599</v>
      </c>
      <c r="C8" s="31">
        <v>265.0</v>
      </c>
      <c r="D8" s="32" t="s">
        <v>69600</v>
      </c>
      <c r="E8" s="32" t="s">
        <v>69601</v>
      </c>
      <c r="F8" s="31">
        <v>445.0</v>
      </c>
      <c r="G8" s="31">
        <v>2.65154454E8</v>
      </c>
    </row>
    <row r="9" ht="12.75" customHeight="1">
      <c r="A9" s="27">
        <v>215.0</v>
      </c>
      <c r="B9" s="28" t="s">
        <v>69602</v>
      </c>
      <c r="C9" s="27">
        <v>265.0</v>
      </c>
      <c r="D9" s="28" t="s">
        <v>69603</v>
      </c>
      <c r="E9" s="28" t="s">
        <v>69604</v>
      </c>
      <c r="F9" s="27">
        <v>451.0</v>
      </c>
      <c r="G9" s="27">
        <v>2.65154517E8</v>
      </c>
    </row>
    <row r="10" ht="12.75" customHeight="1">
      <c r="A10" s="31">
        <v>215.0</v>
      </c>
      <c r="B10" s="32" t="s">
        <v>69605</v>
      </c>
      <c r="C10" s="31">
        <v>265.0</v>
      </c>
      <c r="D10" s="32" t="s">
        <v>69606</v>
      </c>
      <c r="E10" s="32" t="s">
        <v>69607</v>
      </c>
      <c r="F10" s="31">
        <v>463.0</v>
      </c>
      <c r="G10" s="31">
        <v>2.65154638E8</v>
      </c>
    </row>
    <row r="11" ht="12.75" customHeight="1">
      <c r="A11" s="27">
        <v>215.0</v>
      </c>
      <c r="B11" s="28" t="s">
        <v>69608</v>
      </c>
      <c r="C11" s="27">
        <v>265.0</v>
      </c>
      <c r="D11" s="28" t="s">
        <v>69609</v>
      </c>
      <c r="E11" s="28" t="s">
        <v>69610</v>
      </c>
      <c r="F11" s="27">
        <v>532.0</v>
      </c>
      <c r="G11" s="27">
        <v>2.65155329E8</v>
      </c>
    </row>
    <row r="12" ht="12.75" customHeight="1">
      <c r="A12" s="31">
        <v>215.0</v>
      </c>
      <c r="B12" s="32" t="s">
        <v>69611</v>
      </c>
      <c r="C12" s="31">
        <v>265.0</v>
      </c>
      <c r="D12" s="32" t="s">
        <v>69612</v>
      </c>
      <c r="E12" s="32" t="s">
        <v>69613</v>
      </c>
      <c r="F12" s="31">
        <v>544.0</v>
      </c>
      <c r="G12" s="31">
        <v>2.6515544E8</v>
      </c>
    </row>
    <row r="13" ht="12.75" customHeight="1">
      <c r="A13" s="27">
        <v>215.0</v>
      </c>
      <c r="B13" s="28" t="s">
        <v>69614</v>
      </c>
      <c r="C13" s="27">
        <v>265.0</v>
      </c>
      <c r="D13" s="28" t="s">
        <v>69615</v>
      </c>
      <c r="E13" s="28" t="s">
        <v>69616</v>
      </c>
      <c r="F13" s="27">
        <v>592.0</v>
      </c>
      <c r="G13" s="27">
        <v>2.65155929E8</v>
      </c>
    </row>
    <row r="14" ht="12.75" customHeight="1">
      <c r="A14" s="31">
        <v>215.0</v>
      </c>
      <c r="B14" s="32" t="s">
        <v>69617</v>
      </c>
      <c r="C14" s="31">
        <v>265.0</v>
      </c>
      <c r="D14" s="32" t="s">
        <v>69618</v>
      </c>
      <c r="E14" s="32" t="s">
        <v>69619</v>
      </c>
      <c r="F14" s="31">
        <v>616.0</v>
      </c>
      <c r="G14" s="31">
        <v>2.6515616E8</v>
      </c>
    </row>
    <row r="15" ht="12.75" customHeight="1">
      <c r="A15" s="27">
        <v>215.0</v>
      </c>
      <c r="B15" s="28" t="s">
        <v>69620</v>
      </c>
      <c r="C15" s="27">
        <v>265.0</v>
      </c>
      <c r="D15" s="28" t="s">
        <v>69621</v>
      </c>
      <c r="E15" s="28" t="s">
        <v>69622</v>
      </c>
      <c r="F15" s="27">
        <v>700.0</v>
      </c>
      <c r="G15" s="27">
        <v>2.65157006E8</v>
      </c>
    </row>
    <row r="16" ht="12.75" customHeight="1">
      <c r="A16" s="31">
        <v>215.0</v>
      </c>
      <c r="B16" s="32" t="s">
        <v>69623</v>
      </c>
      <c r="C16" s="31">
        <v>265.0</v>
      </c>
      <c r="D16" s="32" t="s">
        <v>69624</v>
      </c>
      <c r="E16" s="32" t="s">
        <v>69625</v>
      </c>
      <c r="F16" s="31">
        <v>724.0</v>
      </c>
      <c r="G16" s="31">
        <v>2.65157248E8</v>
      </c>
    </row>
    <row r="17" ht="12.75" customHeight="1">
      <c r="A17" s="27">
        <v>119.0</v>
      </c>
      <c r="B17" s="28" t="s">
        <v>69626</v>
      </c>
      <c r="C17" s="27">
        <v>265.0</v>
      </c>
      <c r="D17" s="28" t="s">
        <v>69627</v>
      </c>
      <c r="E17" s="28" t="s">
        <v>69628</v>
      </c>
      <c r="F17" s="29">
        <v>30.0</v>
      </c>
      <c r="G17" s="27">
        <v>2.651903E8</v>
      </c>
    </row>
    <row r="18" ht="12.75" customHeight="1">
      <c r="A18" s="31">
        <v>119.0</v>
      </c>
      <c r="B18" s="32" t="s">
        <v>69629</v>
      </c>
      <c r="C18" s="31">
        <v>265.0</v>
      </c>
      <c r="D18" s="32" t="s">
        <v>69630</v>
      </c>
      <c r="E18" s="32" t="s">
        <v>69631</v>
      </c>
      <c r="F18" s="31">
        <v>115.0</v>
      </c>
      <c r="G18" s="31">
        <v>2.65191154E8</v>
      </c>
    </row>
    <row r="19" ht="12.75" customHeight="1">
      <c r="A19" s="27">
        <v>119.0</v>
      </c>
      <c r="B19" s="28" t="s">
        <v>69632</v>
      </c>
      <c r="C19" s="27">
        <v>265.0</v>
      </c>
      <c r="D19" s="28" t="s">
        <v>69633</v>
      </c>
      <c r="E19" s="28" t="s">
        <v>69634</v>
      </c>
      <c r="F19" s="27">
        <v>310.0</v>
      </c>
      <c r="G19" s="27">
        <v>2.65193107E8</v>
      </c>
    </row>
    <row r="20" ht="12.75" customHeight="1">
      <c r="A20" s="31">
        <v>222.0</v>
      </c>
      <c r="B20" s="32" t="s">
        <v>69635</v>
      </c>
      <c r="C20" s="31">
        <v>265.0</v>
      </c>
      <c r="D20" s="32" t="s">
        <v>69636</v>
      </c>
      <c r="E20" s="32" t="s">
        <v>69637</v>
      </c>
      <c r="F20" s="33">
        <v>4.0</v>
      </c>
      <c r="G20" s="31">
        <v>2.65220041E8</v>
      </c>
    </row>
    <row r="21" ht="12.75" customHeight="1">
      <c r="A21" s="27">
        <v>222.0</v>
      </c>
      <c r="B21" s="28" t="s">
        <v>69638</v>
      </c>
      <c r="C21" s="27">
        <v>265.0</v>
      </c>
      <c r="D21" s="28" t="s">
        <v>69639</v>
      </c>
      <c r="E21" s="28" t="s">
        <v>69640</v>
      </c>
      <c r="F21" s="29">
        <v>25.0</v>
      </c>
      <c r="G21" s="27">
        <v>2.65220254E8</v>
      </c>
    </row>
    <row r="22" ht="12.75" customHeight="1">
      <c r="A22" s="31">
        <v>222.0</v>
      </c>
      <c r="B22" s="32" t="s">
        <v>69641</v>
      </c>
      <c r="C22" s="31">
        <v>265.0</v>
      </c>
      <c r="D22" s="32" t="s">
        <v>69642</v>
      </c>
      <c r="E22" s="32" t="s">
        <v>69643</v>
      </c>
      <c r="F22" s="33">
        <v>40.0</v>
      </c>
      <c r="G22" s="31">
        <v>2.65220409E8</v>
      </c>
    </row>
    <row r="23" ht="12.75" customHeight="1">
      <c r="A23" s="27">
        <v>222.0</v>
      </c>
      <c r="B23" s="28" t="s">
        <v>69644</v>
      </c>
      <c r="C23" s="27">
        <v>265.0</v>
      </c>
      <c r="D23" s="28" t="s">
        <v>69645</v>
      </c>
      <c r="E23" s="28" t="s">
        <v>69646</v>
      </c>
      <c r="F23" s="29">
        <v>49.0</v>
      </c>
      <c r="G23" s="27">
        <v>2.65220496E8</v>
      </c>
    </row>
    <row r="24" ht="12.75" customHeight="1">
      <c r="A24" s="31">
        <v>126.0</v>
      </c>
      <c r="B24" s="32" t="s">
        <v>69647</v>
      </c>
      <c r="C24" s="31">
        <v>265.0</v>
      </c>
      <c r="D24" s="32" t="s">
        <v>69648</v>
      </c>
      <c r="E24" s="32" t="s">
        <v>69649</v>
      </c>
      <c r="F24" s="33">
        <v>0.0</v>
      </c>
      <c r="G24" s="31">
        <v>2.65260001E8</v>
      </c>
    </row>
    <row r="25" ht="12.75" customHeight="1">
      <c r="A25" s="27">
        <v>126.0</v>
      </c>
      <c r="B25" s="28" t="s">
        <v>69650</v>
      </c>
      <c r="C25" s="27">
        <v>265.0</v>
      </c>
      <c r="D25" s="28" t="s">
        <v>69651</v>
      </c>
      <c r="E25" s="28" t="s">
        <v>69652</v>
      </c>
      <c r="F25" s="29">
        <v>29.0</v>
      </c>
      <c r="G25" s="27">
        <v>2.65260298E8</v>
      </c>
    </row>
    <row r="26" ht="12.75" customHeight="1">
      <c r="A26" s="31">
        <v>126.0</v>
      </c>
      <c r="B26" s="32" t="s">
        <v>69653</v>
      </c>
      <c r="C26" s="31">
        <v>265.0</v>
      </c>
      <c r="D26" s="32" t="s">
        <v>69654</v>
      </c>
      <c r="E26" s="32" t="s">
        <v>69655</v>
      </c>
      <c r="F26" s="33">
        <v>32.0</v>
      </c>
      <c r="G26" s="31">
        <v>2.65260322E8</v>
      </c>
    </row>
    <row r="27" ht="12.75" customHeight="1">
      <c r="A27" s="27">
        <v>126.0</v>
      </c>
      <c r="B27" s="28" t="s">
        <v>69656</v>
      </c>
      <c r="C27" s="27">
        <v>265.0</v>
      </c>
      <c r="D27" s="28" t="s">
        <v>69657</v>
      </c>
      <c r="E27" s="28" t="s">
        <v>69658</v>
      </c>
      <c r="F27" s="29">
        <v>33.0</v>
      </c>
      <c r="G27" s="27">
        <v>2.65260335E8</v>
      </c>
    </row>
    <row r="28" ht="12.75" customHeight="1">
      <c r="A28" s="31">
        <v>126.0</v>
      </c>
      <c r="B28" s="32" t="s">
        <v>69659</v>
      </c>
      <c r="C28" s="31">
        <v>265.0</v>
      </c>
      <c r="D28" s="32" t="s">
        <v>69660</v>
      </c>
      <c r="E28" s="32" t="s">
        <v>69661</v>
      </c>
      <c r="F28" s="33">
        <v>43.0</v>
      </c>
      <c r="G28" s="31">
        <v>2.6526043E8</v>
      </c>
    </row>
    <row r="29" ht="12.75" customHeight="1">
      <c r="A29" s="27">
        <v>126.0</v>
      </c>
      <c r="B29" s="28" t="s">
        <v>69662</v>
      </c>
      <c r="C29" s="27">
        <v>265.0</v>
      </c>
      <c r="D29" s="28" t="s">
        <v>69663</v>
      </c>
      <c r="E29" s="28" t="s">
        <v>69664</v>
      </c>
      <c r="F29" s="27">
        <v>172.0</v>
      </c>
      <c r="G29" s="27">
        <v>2.65261721E8</v>
      </c>
    </row>
    <row r="30" ht="12.75" customHeight="1">
      <c r="A30" s="31">
        <v>126.0</v>
      </c>
      <c r="B30" s="32" t="s">
        <v>69665</v>
      </c>
      <c r="C30" s="31">
        <v>265.0</v>
      </c>
      <c r="D30" s="32" t="s">
        <v>69666</v>
      </c>
      <c r="E30" s="32" t="s">
        <v>69667</v>
      </c>
      <c r="F30" s="31">
        <v>298.0</v>
      </c>
      <c r="G30" s="31">
        <v>2.65262988E8</v>
      </c>
    </row>
    <row r="31" ht="12.75" customHeight="1">
      <c r="A31" s="27">
        <v>126.0</v>
      </c>
      <c r="B31" s="28" t="s">
        <v>69668</v>
      </c>
      <c r="C31" s="27">
        <v>265.0</v>
      </c>
      <c r="D31" s="28" t="s">
        <v>69669</v>
      </c>
      <c r="E31" s="28" t="s">
        <v>69670</v>
      </c>
      <c r="F31" s="27">
        <v>361.0</v>
      </c>
      <c r="G31" s="27">
        <v>2.65263611E8</v>
      </c>
    </row>
    <row r="32" ht="12.75" customHeight="1">
      <c r="A32" s="31">
        <v>126.0</v>
      </c>
      <c r="B32" s="32" t="s">
        <v>69671</v>
      </c>
      <c r="C32" s="31">
        <v>265.0</v>
      </c>
      <c r="D32" s="32" t="s">
        <v>69672</v>
      </c>
      <c r="E32" s="32" t="s">
        <v>69673</v>
      </c>
      <c r="F32" s="31">
        <v>463.0</v>
      </c>
      <c r="G32" s="31">
        <v>2.65264636E8</v>
      </c>
    </row>
    <row r="33" ht="12.75" customHeight="1">
      <c r="A33" s="27">
        <v>127.0</v>
      </c>
      <c r="B33" s="28" t="s">
        <v>69674</v>
      </c>
      <c r="C33" s="27">
        <v>265.0</v>
      </c>
      <c r="D33" s="28" t="s">
        <v>69675</v>
      </c>
      <c r="E33" s="28" t="s">
        <v>69676</v>
      </c>
      <c r="F33" s="29">
        <v>34.0</v>
      </c>
      <c r="G33" s="27">
        <v>2.65270341E8</v>
      </c>
    </row>
    <row r="34" ht="12.75" customHeight="1">
      <c r="A34" s="31">
        <v>127.0</v>
      </c>
      <c r="B34" s="32" t="s">
        <v>69677</v>
      </c>
      <c r="C34" s="31">
        <v>265.0</v>
      </c>
      <c r="D34" s="32" t="s">
        <v>69678</v>
      </c>
      <c r="E34" s="32" t="s">
        <v>69679</v>
      </c>
      <c r="F34" s="33">
        <v>51.0</v>
      </c>
      <c r="G34" s="31">
        <v>2.65270512E8</v>
      </c>
    </row>
    <row r="35" ht="12.75" customHeight="1">
      <c r="A35" s="27">
        <v>127.0</v>
      </c>
      <c r="B35" s="28" t="s">
        <v>69680</v>
      </c>
      <c r="C35" s="27">
        <v>265.0</v>
      </c>
      <c r="D35" s="28" t="s">
        <v>69681</v>
      </c>
      <c r="E35" s="28" t="s">
        <v>69682</v>
      </c>
      <c r="F35" s="27">
        <v>190.0</v>
      </c>
      <c r="G35" s="27">
        <v>2.65271908E8</v>
      </c>
    </row>
    <row r="36" ht="12.75" customHeight="1">
      <c r="A36" s="31">
        <v>127.0</v>
      </c>
      <c r="B36" s="32" t="s">
        <v>69683</v>
      </c>
      <c r="C36" s="31">
        <v>265.0</v>
      </c>
      <c r="D36" s="32" t="s">
        <v>69684</v>
      </c>
      <c r="E36" s="32" t="s">
        <v>69685</v>
      </c>
      <c r="F36" s="31">
        <v>259.0</v>
      </c>
      <c r="G36" s="31">
        <v>2.65272594E8</v>
      </c>
    </row>
    <row r="37" ht="12.75" customHeight="1">
      <c r="A37" s="27">
        <v>127.0</v>
      </c>
      <c r="B37" s="28" t="s">
        <v>69686</v>
      </c>
      <c r="C37" s="27">
        <v>265.0</v>
      </c>
      <c r="D37" s="28" t="s">
        <v>69687</v>
      </c>
      <c r="E37" s="28" t="s">
        <v>69688</v>
      </c>
      <c r="F37" s="27">
        <v>475.0</v>
      </c>
      <c r="G37" s="27">
        <v>2.6527475E8</v>
      </c>
    </row>
    <row r="38" ht="12.75" customHeight="1">
      <c r="A38" s="31">
        <v>230.0</v>
      </c>
      <c r="B38" s="32" t="s">
        <v>69689</v>
      </c>
      <c r="C38" s="31">
        <v>265.0</v>
      </c>
      <c r="D38" s="32" t="s">
        <v>69690</v>
      </c>
      <c r="E38" s="32" t="s">
        <v>69691</v>
      </c>
      <c r="F38" s="33">
        <v>52.0</v>
      </c>
      <c r="G38" s="31">
        <v>2.65300529E8</v>
      </c>
    </row>
    <row r="39" ht="12.75" customHeight="1">
      <c r="A39" s="27">
        <v>133.0</v>
      </c>
      <c r="B39" s="28" t="s">
        <v>69692</v>
      </c>
      <c r="C39" s="27">
        <v>265.0</v>
      </c>
      <c r="D39" s="28" t="s">
        <v>69693</v>
      </c>
      <c r="E39" s="28" t="s">
        <v>69694</v>
      </c>
      <c r="F39" s="29">
        <v>12.0</v>
      </c>
      <c r="G39" s="27">
        <v>2.65330128E8</v>
      </c>
    </row>
    <row r="40" ht="12.75" customHeight="1">
      <c r="A40" s="31">
        <v>133.0</v>
      </c>
      <c r="B40" s="32" t="s">
        <v>69695</v>
      </c>
      <c r="C40" s="31">
        <v>265.0</v>
      </c>
      <c r="D40" s="32" t="s">
        <v>69696</v>
      </c>
      <c r="E40" s="32" t="s">
        <v>69697</v>
      </c>
      <c r="F40" s="31">
        <v>100.0</v>
      </c>
      <c r="G40" s="31">
        <v>2.65331006E8</v>
      </c>
    </row>
    <row r="41" ht="12.75" customHeight="1">
      <c r="A41" s="27">
        <v>836.0</v>
      </c>
      <c r="B41" s="28" t="s">
        <v>69698</v>
      </c>
      <c r="C41" s="27">
        <v>265.0</v>
      </c>
      <c r="D41" s="28" t="s">
        <v>69699</v>
      </c>
      <c r="E41" s="28" t="s">
        <v>69700</v>
      </c>
      <c r="F41" s="29">
        <v>13.0</v>
      </c>
      <c r="G41" s="27">
        <v>2.6536013E8</v>
      </c>
    </row>
    <row r="42" ht="12.75" customHeight="1">
      <c r="A42" s="31">
        <v>441.0</v>
      </c>
      <c r="B42" s="32" t="s">
        <v>69701</v>
      </c>
      <c r="C42" s="31">
        <v>265.0</v>
      </c>
      <c r="D42" s="32" t="s">
        <v>69702</v>
      </c>
      <c r="E42" s="32" t="s">
        <v>69703</v>
      </c>
      <c r="F42" s="33">
        <v>94.0</v>
      </c>
      <c r="G42" s="31">
        <v>2.65410943E8</v>
      </c>
    </row>
    <row r="43" ht="12.75" customHeight="1">
      <c r="A43" s="27">
        <v>447.0</v>
      </c>
      <c r="B43" s="28" t="s">
        <v>69704</v>
      </c>
      <c r="C43" s="27">
        <v>265.0</v>
      </c>
      <c r="D43" s="28" t="s">
        <v>69705</v>
      </c>
      <c r="E43" s="28" t="s">
        <v>69706</v>
      </c>
      <c r="F43" s="27">
        <v>154.0</v>
      </c>
      <c r="G43" s="27">
        <v>2.6547154E8</v>
      </c>
    </row>
    <row r="44" ht="12.75" customHeight="1">
      <c r="A44" s="31">
        <v>251.0</v>
      </c>
      <c r="B44" s="32" t="s">
        <v>69707</v>
      </c>
      <c r="C44" s="31">
        <v>265.0</v>
      </c>
      <c r="D44" s="32" t="s">
        <v>69708</v>
      </c>
      <c r="E44" s="32" t="s">
        <v>69709</v>
      </c>
      <c r="F44" s="33">
        <v>61.0</v>
      </c>
      <c r="G44" s="31">
        <v>2.65510614E8</v>
      </c>
    </row>
    <row r="45" ht="12.75" customHeight="1">
      <c r="A45" s="27">
        <v>161.0</v>
      </c>
      <c r="B45" s="28" t="s">
        <v>69710</v>
      </c>
      <c r="C45" s="27">
        <v>265.0</v>
      </c>
      <c r="D45" s="28" t="s">
        <v>69711</v>
      </c>
      <c r="E45" s="28" t="s">
        <v>69712</v>
      </c>
      <c r="F45" s="27">
        <v>175.0</v>
      </c>
      <c r="G45" s="27">
        <v>2.65611755E8</v>
      </c>
    </row>
    <row r="46" ht="12.75" customHeight="1">
      <c r="A46" s="31">
        <v>167.0</v>
      </c>
      <c r="B46" s="32" t="s">
        <v>69713</v>
      </c>
      <c r="C46" s="31">
        <v>265.0</v>
      </c>
      <c r="D46" s="32" t="s">
        <v>69714</v>
      </c>
      <c r="E46" s="32" t="s">
        <v>69715</v>
      </c>
      <c r="F46" s="31">
        <v>118.0</v>
      </c>
      <c r="G46" s="31">
        <v>2.65671182E8</v>
      </c>
    </row>
    <row r="47" ht="12.75" customHeight="1">
      <c r="A47" s="27">
        <v>167.0</v>
      </c>
      <c r="B47" s="28" t="s">
        <v>69716</v>
      </c>
      <c r="C47" s="27">
        <v>265.0</v>
      </c>
      <c r="D47" s="28" t="s">
        <v>69717</v>
      </c>
      <c r="E47" s="28" t="s">
        <v>69718</v>
      </c>
      <c r="F47" s="27">
        <v>138.0</v>
      </c>
      <c r="G47" s="27">
        <v>2.65671382E8</v>
      </c>
    </row>
    <row r="48" ht="12.75" customHeight="1">
      <c r="A48" s="31">
        <v>168.0</v>
      </c>
      <c r="B48" s="32" t="s">
        <v>69719</v>
      </c>
      <c r="C48" s="31">
        <v>265.0</v>
      </c>
      <c r="D48" s="32" t="s">
        <v>69720</v>
      </c>
      <c r="E48" s="32" t="s">
        <v>69721</v>
      </c>
      <c r="F48" s="33">
        <v>18.0</v>
      </c>
      <c r="G48" s="31">
        <v>2.65680186E8</v>
      </c>
    </row>
    <row r="49" ht="12.75" customHeight="1">
      <c r="A49" s="27">
        <v>168.0</v>
      </c>
      <c r="B49" s="28" t="s">
        <v>69722</v>
      </c>
      <c r="C49" s="27">
        <v>265.0</v>
      </c>
      <c r="D49" s="28" t="s">
        <v>69723</v>
      </c>
      <c r="E49" s="28" t="s">
        <v>69724</v>
      </c>
      <c r="F49" s="29">
        <v>67.0</v>
      </c>
      <c r="G49" s="27">
        <v>2.65680678E8</v>
      </c>
    </row>
    <row r="50" ht="12.75" customHeight="1">
      <c r="A50" s="31">
        <v>569.0</v>
      </c>
      <c r="B50" s="32" t="s">
        <v>69725</v>
      </c>
      <c r="C50" s="31">
        <v>265.0</v>
      </c>
      <c r="D50" s="32" t="s">
        <v>69726</v>
      </c>
      <c r="E50" s="32" t="s">
        <v>69727</v>
      </c>
      <c r="F50" s="33">
        <v>14.0</v>
      </c>
      <c r="G50" s="31">
        <v>2.65690147E8</v>
      </c>
    </row>
    <row r="51" ht="12.75" customHeight="1">
      <c r="A51" s="27">
        <v>275.0</v>
      </c>
      <c r="B51" s="28" t="s">
        <v>69728</v>
      </c>
      <c r="C51" s="27">
        <v>265.0</v>
      </c>
      <c r="D51" s="28" t="s">
        <v>69729</v>
      </c>
      <c r="E51" s="28" t="s">
        <v>69730</v>
      </c>
      <c r="F51" s="27">
        <v>145.0</v>
      </c>
      <c r="G51" s="27">
        <v>2.65751457E8</v>
      </c>
    </row>
    <row r="52" ht="12.75" customHeight="1">
      <c r="A52" s="31">
        <v>275.0</v>
      </c>
      <c r="B52" s="32" t="s">
        <v>69731</v>
      </c>
      <c r="C52" s="31">
        <v>265.0</v>
      </c>
      <c r="D52" s="32" t="s">
        <v>69732</v>
      </c>
      <c r="E52" s="32" t="s">
        <v>69733</v>
      </c>
      <c r="F52" s="31">
        <v>205.0</v>
      </c>
      <c r="G52" s="31">
        <v>2.65752056E8</v>
      </c>
    </row>
    <row r="53" ht="12.75" customHeight="1">
      <c r="A53" s="27">
        <v>576.0</v>
      </c>
      <c r="B53" s="28" t="s">
        <v>69734</v>
      </c>
      <c r="C53" s="27">
        <v>265.0</v>
      </c>
      <c r="D53" s="28" t="s">
        <v>69735</v>
      </c>
      <c r="E53" s="28" t="s">
        <v>69736</v>
      </c>
      <c r="F53" s="29">
        <v>22.0</v>
      </c>
      <c r="G53" s="27">
        <v>2.65760222E8</v>
      </c>
    </row>
    <row r="54" ht="12.75" customHeight="1">
      <c r="A54" s="31">
        <v>576.0</v>
      </c>
      <c r="B54" s="32" t="s">
        <v>69737</v>
      </c>
      <c r="C54" s="31">
        <v>265.0</v>
      </c>
      <c r="D54" s="32" t="s">
        <v>69738</v>
      </c>
      <c r="E54" s="32" t="s">
        <v>69739</v>
      </c>
      <c r="F54" s="31">
        <v>178.0</v>
      </c>
      <c r="G54" s="31">
        <v>2.65761784E8</v>
      </c>
    </row>
    <row r="55" ht="12.75" customHeight="1">
      <c r="A55" s="27">
        <v>581.0</v>
      </c>
      <c r="B55" s="28" t="s">
        <v>69740</v>
      </c>
      <c r="C55" s="27">
        <v>265.0</v>
      </c>
      <c r="D55" s="28" t="s">
        <v>69741</v>
      </c>
      <c r="E55" s="28" t="s">
        <v>69742</v>
      </c>
      <c r="F55" s="27">
        <v>193.0</v>
      </c>
      <c r="G55" s="27">
        <v>2.65811939E8</v>
      </c>
    </row>
    <row r="56" ht="12.75" customHeight="1">
      <c r="A56" s="31">
        <v>382.0</v>
      </c>
      <c r="B56" s="32" t="s">
        <v>69743</v>
      </c>
      <c r="C56" s="31">
        <v>265.0</v>
      </c>
      <c r="D56" s="32" t="s">
        <v>69744</v>
      </c>
      <c r="E56" s="32" t="s">
        <v>69745</v>
      </c>
      <c r="F56" s="33">
        <v>6.0</v>
      </c>
      <c r="G56" s="31">
        <v>2.65820067E8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785.0</v>
      </c>
      <c r="B1" s="28" t="s">
        <v>69746</v>
      </c>
      <c r="C1" s="27">
        <v>265.0</v>
      </c>
      <c r="D1" s="28" t="s">
        <v>69747</v>
      </c>
      <c r="E1" s="28" t="s">
        <v>69748</v>
      </c>
      <c r="F1" s="27">
        <v>145.0</v>
      </c>
      <c r="G1" s="27">
        <v>2.65851452E8</v>
      </c>
    </row>
    <row r="2" ht="12.75" customHeight="1">
      <c r="A2" s="31">
        <v>785.0</v>
      </c>
      <c r="B2" s="32" t="s">
        <v>69749</v>
      </c>
      <c r="C2" s="31">
        <v>265.0</v>
      </c>
      <c r="D2" s="32" t="s">
        <v>69750</v>
      </c>
      <c r="E2" s="32" t="s">
        <v>69751</v>
      </c>
      <c r="F2" s="31">
        <v>178.0</v>
      </c>
      <c r="G2" s="31">
        <v>2.65851786E8</v>
      </c>
    </row>
    <row r="3" ht="12.75" customHeight="1">
      <c r="A3" s="27">
        <v>891.0</v>
      </c>
      <c r="B3" s="28" t="s">
        <v>69752</v>
      </c>
      <c r="C3" s="27">
        <v>265.0</v>
      </c>
      <c r="D3" s="28" t="s">
        <v>69753</v>
      </c>
      <c r="E3" s="28" t="s">
        <v>69754</v>
      </c>
      <c r="F3" s="27">
        <v>178.0</v>
      </c>
      <c r="G3" s="27">
        <v>2.65911789E8</v>
      </c>
    </row>
    <row r="4" ht="12.75" customHeight="1">
      <c r="A4" s="31">
        <v>891.0</v>
      </c>
      <c r="B4" s="32" t="s">
        <v>69755</v>
      </c>
      <c r="C4" s="31">
        <v>265.0</v>
      </c>
      <c r="D4" s="32" t="s">
        <v>69756</v>
      </c>
      <c r="E4" s="32" t="s">
        <v>69757</v>
      </c>
      <c r="F4" s="31">
        <v>415.0</v>
      </c>
      <c r="G4" s="31">
        <v>2.65914157E8</v>
      </c>
    </row>
    <row r="5" ht="12.75" customHeight="1">
      <c r="A5" s="27">
        <v>401.0</v>
      </c>
      <c r="B5" s="28" t="s">
        <v>69758</v>
      </c>
      <c r="C5" s="27">
        <v>270.0</v>
      </c>
      <c r="D5" s="28" t="s">
        <v>69759</v>
      </c>
      <c r="E5" s="28" t="s">
        <v>69760</v>
      </c>
      <c r="F5" s="29">
        <v>5.0</v>
      </c>
      <c r="G5" s="27">
        <v>2.70010059E8</v>
      </c>
    </row>
    <row r="6" ht="12.75" customHeight="1">
      <c r="A6" s="31">
        <v>401.0</v>
      </c>
      <c r="B6" s="32" t="s">
        <v>69761</v>
      </c>
      <c r="C6" s="31">
        <v>270.0</v>
      </c>
      <c r="D6" s="32" t="s">
        <v>69762</v>
      </c>
      <c r="E6" s="32" t="s">
        <v>69763</v>
      </c>
      <c r="F6" s="33">
        <v>40.0</v>
      </c>
      <c r="G6" s="31">
        <v>2.70010404E8</v>
      </c>
    </row>
    <row r="7" ht="12.75" customHeight="1">
      <c r="A7" s="27">
        <v>401.0</v>
      </c>
      <c r="B7" s="28" t="s">
        <v>69764</v>
      </c>
      <c r="C7" s="27">
        <v>270.0</v>
      </c>
      <c r="D7" s="28" t="s">
        <v>69765</v>
      </c>
      <c r="E7" s="28" t="s">
        <v>69766</v>
      </c>
      <c r="F7" s="27">
        <v>103.0</v>
      </c>
      <c r="G7" s="27">
        <v>2.70011032E8</v>
      </c>
    </row>
    <row r="8" ht="12.75" customHeight="1">
      <c r="A8" s="31">
        <v>306.0</v>
      </c>
      <c r="B8" s="32" t="s">
        <v>69767</v>
      </c>
      <c r="C8" s="31">
        <v>270.0</v>
      </c>
      <c r="D8" s="32" t="s">
        <v>69768</v>
      </c>
      <c r="E8" s="32" t="s">
        <v>69769</v>
      </c>
      <c r="F8" s="33">
        <v>28.0</v>
      </c>
      <c r="G8" s="31">
        <v>2.70060283E8</v>
      </c>
    </row>
    <row r="9" ht="12.75" customHeight="1">
      <c r="A9" s="27">
        <v>610.0</v>
      </c>
      <c r="B9" s="28" t="s">
        <v>69770</v>
      </c>
      <c r="C9" s="27">
        <v>270.0</v>
      </c>
      <c r="D9" s="28" t="s">
        <v>69771</v>
      </c>
      <c r="E9" s="28" t="s">
        <v>69772</v>
      </c>
      <c r="F9" s="29">
        <v>37.0</v>
      </c>
      <c r="G9" s="27">
        <v>2.70100372E8</v>
      </c>
    </row>
    <row r="10" ht="12.75" customHeight="1">
      <c r="A10" s="31">
        <v>215.0</v>
      </c>
      <c r="B10" s="32" t="s">
        <v>69773</v>
      </c>
      <c r="C10" s="31">
        <v>270.0</v>
      </c>
      <c r="D10" s="32" t="s">
        <v>69774</v>
      </c>
      <c r="E10" s="32" t="s">
        <v>69775</v>
      </c>
      <c r="F10" s="33">
        <v>13.0</v>
      </c>
      <c r="G10" s="31">
        <v>2.70150135E8</v>
      </c>
    </row>
    <row r="11" ht="12.75" customHeight="1">
      <c r="A11" s="27">
        <v>215.0</v>
      </c>
      <c r="B11" s="28" t="s">
        <v>69776</v>
      </c>
      <c r="C11" s="27">
        <v>270.0</v>
      </c>
      <c r="D11" s="28" t="s">
        <v>69777</v>
      </c>
      <c r="E11" s="28" t="s">
        <v>69778</v>
      </c>
      <c r="F11" s="27">
        <v>121.0</v>
      </c>
      <c r="G11" s="27">
        <v>2.70151213E8</v>
      </c>
    </row>
    <row r="12" ht="12.75" customHeight="1">
      <c r="A12" s="31">
        <v>215.0</v>
      </c>
      <c r="B12" s="32" t="s">
        <v>69779</v>
      </c>
      <c r="C12" s="31">
        <v>270.0</v>
      </c>
      <c r="D12" s="32" t="s">
        <v>69780</v>
      </c>
      <c r="E12" s="32" t="s">
        <v>69781</v>
      </c>
      <c r="F12" s="31">
        <v>274.0</v>
      </c>
      <c r="G12" s="31">
        <v>2.70152746E8</v>
      </c>
    </row>
    <row r="13" ht="12.75" customHeight="1">
      <c r="A13" s="27">
        <v>215.0</v>
      </c>
      <c r="B13" s="28" t="s">
        <v>69782</v>
      </c>
      <c r="C13" s="27">
        <v>270.0</v>
      </c>
      <c r="D13" s="28" t="s">
        <v>69783</v>
      </c>
      <c r="E13" s="28" t="s">
        <v>69784</v>
      </c>
      <c r="F13" s="27">
        <v>364.0</v>
      </c>
      <c r="G13" s="27">
        <v>2.7015364E8</v>
      </c>
    </row>
    <row r="14" ht="12.75" customHeight="1">
      <c r="A14" s="31">
        <v>215.0</v>
      </c>
      <c r="B14" s="32" t="s">
        <v>69785</v>
      </c>
      <c r="C14" s="31">
        <v>270.0</v>
      </c>
      <c r="D14" s="32" t="s">
        <v>69786</v>
      </c>
      <c r="E14" s="32" t="s">
        <v>69787</v>
      </c>
      <c r="F14" s="31">
        <v>427.0</v>
      </c>
      <c r="G14" s="31">
        <v>2.70154278E8</v>
      </c>
    </row>
    <row r="15" ht="12.75" customHeight="1">
      <c r="A15" s="27">
        <v>215.0</v>
      </c>
      <c r="B15" s="28" t="s">
        <v>69788</v>
      </c>
      <c r="C15" s="27">
        <v>270.0</v>
      </c>
      <c r="D15" s="28" t="s">
        <v>69789</v>
      </c>
      <c r="E15" s="28" t="s">
        <v>69790</v>
      </c>
      <c r="F15" s="27">
        <v>475.0</v>
      </c>
      <c r="G15" s="27">
        <v>2.70154757E8</v>
      </c>
    </row>
    <row r="16" ht="12.75" customHeight="1">
      <c r="A16" s="31">
        <v>215.0</v>
      </c>
      <c r="B16" s="32" t="s">
        <v>69791</v>
      </c>
      <c r="C16" s="31">
        <v>270.0</v>
      </c>
      <c r="D16" s="32" t="s">
        <v>69792</v>
      </c>
      <c r="E16" s="32" t="s">
        <v>69793</v>
      </c>
      <c r="F16" s="31">
        <v>553.0</v>
      </c>
      <c r="G16" s="31">
        <v>2.7015553E8</v>
      </c>
    </row>
    <row r="17" ht="12.75" customHeight="1">
      <c r="A17" s="27">
        <v>215.0</v>
      </c>
      <c r="B17" s="28" t="s">
        <v>69794</v>
      </c>
      <c r="C17" s="27">
        <v>270.0</v>
      </c>
      <c r="D17" s="28" t="s">
        <v>69795</v>
      </c>
      <c r="E17" s="28" t="s">
        <v>69796</v>
      </c>
      <c r="F17" s="27">
        <v>679.0</v>
      </c>
      <c r="G17" s="27">
        <v>2.70156797E8</v>
      </c>
    </row>
    <row r="18" ht="12.75" customHeight="1">
      <c r="A18" s="31">
        <v>119.0</v>
      </c>
      <c r="B18" s="32" t="s">
        <v>69797</v>
      </c>
      <c r="C18" s="31">
        <v>270.0</v>
      </c>
      <c r="D18" s="32" t="s">
        <v>69798</v>
      </c>
      <c r="E18" s="32" t="s">
        <v>69799</v>
      </c>
      <c r="F18" s="31">
        <v>282.0</v>
      </c>
      <c r="G18" s="31">
        <v>2.70192827E8</v>
      </c>
    </row>
    <row r="19" ht="12.75" customHeight="1">
      <c r="A19" s="27">
        <v>126.0</v>
      </c>
      <c r="B19" s="28" t="s">
        <v>69800</v>
      </c>
      <c r="C19" s="27">
        <v>270.0</v>
      </c>
      <c r="D19" s="28" t="s">
        <v>69801</v>
      </c>
      <c r="E19" s="28" t="s">
        <v>69802</v>
      </c>
      <c r="F19" s="29">
        <v>22.0</v>
      </c>
      <c r="G19" s="27">
        <v>2.70260225E8</v>
      </c>
    </row>
    <row r="20" ht="12.75" customHeight="1">
      <c r="A20" s="31">
        <v>126.0</v>
      </c>
      <c r="B20" s="32" t="s">
        <v>69803</v>
      </c>
      <c r="C20" s="31">
        <v>270.0</v>
      </c>
      <c r="D20" s="32" t="s">
        <v>69804</v>
      </c>
      <c r="E20" s="32" t="s">
        <v>69805</v>
      </c>
      <c r="F20" s="33">
        <v>43.0</v>
      </c>
      <c r="G20" s="31">
        <v>2.70260438E8</v>
      </c>
    </row>
    <row r="21" ht="12.75" customHeight="1">
      <c r="A21" s="27">
        <v>126.0</v>
      </c>
      <c r="B21" s="28" t="s">
        <v>69806</v>
      </c>
      <c r="C21" s="27">
        <v>270.0</v>
      </c>
      <c r="D21" s="28" t="s">
        <v>69807</v>
      </c>
      <c r="E21" s="28" t="s">
        <v>69808</v>
      </c>
      <c r="F21" s="27">
        <v>118.0</v>
      </c>
      <c r="G21" s="27">
        <v>2.70261187E8</v>
      </c>
    </row>
    <row r="22" ht="12.75" customHeight="1">
      <c r="A22" s="31">
        <v>126.0</v>
      </c>
      <c r="B22" s="32" t="s">
        <v>69809</v>
      </c>
      <c r="C22" s="31">
        <v>270.0</v>
      </c>
      <c r="D22" s="32" t="s">
        <v>69810</v>
      </c>
      <c r="E22" s="32" t="s">
        <v>69811</v>
      </c>
      <c r="F22" s="31">
        <v>172.0</v>
      </c>
      <c r="G22" s="31">
        <v>2.70261729E8</v>
      </c>
    </row>
    <row r="23" ht="12.75" customHeight="1">
      <c r="A23" s="27">
        <v>126.0</v>
      </c>
      <c r="B23" s="28" t="s">
        <v>69812</v>
      </c>
      <c r="C23" s="27">
        <v>270.0</v>
      </c>
      <c r="D23" s="28" t="s">
        <v>69813</v>
      </c>
      <c r="E23" s="28" t="s">
        <v>69814</v>
      </c>
      <c r="F23" s="27">
        <v>205.0</v>
      </c>
      <c r="G23" s="27">
        <v>2.70262052E8</v>
      </c>
    </row>
    <row r="24" ht="12.75" customHeight="1">
      <c r="A24" s="31">
        <v>126.0</v>
      </c>
      <c r="B24" s="32" t="s">
        <v>69815</v>
      </c>
      <c r="C24" s="31">
        <v>270.0</v>
      </c>
      <c r="D24" s="32" t="s">
        <v>69816</v>
      </c>
      <c r="E24" s="32" t="s">
        <v>69817</v>
      </c>
      <c r="F24" s="31">
        <v>298.0</v>
      </c>
      <c r="G24" s="31">
        <v>2.70262986E8</v>
      </c>
    </row>
    <row r="25" ht="12.75" customHeight="1">
      <c r="A25" s="27">
        <v>126.0</v>
      </c>
      <c r="B25" s="28" t="s">
        <v>69818</v>
      </c>
      <c r="C25" s="27">
        <v>270.0</v>
      </c>
      <c r="D25" s="28" t="s">
        <v>69819</v>
      </c>
      <c r="E25" s="28" t="s">
        <v>69820</v>
      </c>
      <c r="F25" s="27">
        <v>361.0</v>
      </c>
      <c r="G25" s="27">
        <v>2.70263619E8</v>
      </c>
    </row>
    <row r="26" ht="12.75" customHeight="1">
      <c r="A26" s="31">
        <v>126.0</v>
      </c>
      <c r="B26" s="32" t="s">
        <v>69821</v>
      </c>
      <c r="C26" s="31">
        <v>270.0</v>
      </c>
      <c r="D26" s="32" t="s">
        <v>69822</v>
      </c>
      <c r="E26" s="32" t="s">
        <v>69823</v>
      </c>
      <c r="F26" s="31">
        <v>463.0</v>
      </c>
      <c r="G26" s="31">
        <v>2.70264634E8</v>
      </c>
    </row>
    <row r="27" ht="12.75" customHeight="1">
      <c r="A27" s="27">
        <v>127.0</v>
      </c>
      <c r="B27" s="28" t="s">
        <v>69824</v>
      </c>
      <c r="C27" s="27">
        <v>270.0</v>
      </c>
      <c r="D27" s="28" t="s">
        <v>69825</v>
      </c>
      <c r="E27" s="28" t="s">
        <v>69826</v>
      </c>
      <c r="F27" s="29">
        <v>0.0</v>
      </c>
      <c r="G27" s="27">
        <v>2.70270002E8</v>
      </c>
    </row>
    <row r="28" ht="12.75" customHeight="1">
      <c r="A28" s="31">
        <v>127.0</v>
      </c>
      <c r="B28" s="32" t="s">
        <v>69827</v>
      </c>
      <c r="C28" s="31">
        <v>270.0</v>
      </c>
      <c r="D28" s="32" t="s">
        <v>69828</v>
      </c>
      <c r="E28" s="32" t="s">
        <v>69829</v>
      </c>
      <c r="F28" s="31">
        <v>256.0</v>
      </c>
      <c r="G28" s="31">
        <v>2.70272563E8</v>
      </c>
    </row>
    <row r="29" ht="12.75" customHeight="1">
      <c r="A29" s="27">
        <v>127.0</v>
      </c>
      <c r="B29" s="28" t="s">
        <v>69830</v>
      </c>
      <c r="C29" s="27">
        <v>270.0</v>
      </c>
      <c r="D29" s="28" t="s">
        <v>69831</v>
      </c>
      <c r="E29" s="28" t="s">
        <v>69832</v>
      </c>
      <c r="F29" s="27">
        <v>280.0</v>
      </c>
      <c r="G29" s="27">
        <v>2.702728E8</v>
      </c>
    </row>
    <row r="30" ht="12.75" customHeight="1">
      <c r="A30" s="31">
        <v>127.0</v>
      </c>
      <c r="B30" s="32" t="s">
        <v>69833</v>
      </c>
      <c r="C30" s="31">
        <v>270.0</v>
      </c>
      <c r="D30" s="32" t="s">
        <v>69834</v>
      </c>
      <c r="E30" s="32" t="s">
        <v>69835</v>
      </c>
      <c r="F30" s="31">
        <v>364.0</v>
      </c>
      <c r="G30" s="31">
        <v>2.70273641E8</v>
      </c>
    </row>
    <row r="31" ht="12.75" customHeight="1">
      <c r="A31" s="27">
        <v>127.0</v>
      </c>
      <c r="B31" s="28" t="s">
        <v>69836</v>
      </c>
      <c r="C31" s="27">
        <v>270.0</v>
      </c>
      <c r="D31" s="28" t="s">
        <v>69837</v>
      </c>
      <c r="E31" s="28" t="s">
        <v>69838</v>
      </c>
      <c r="F31" s="27">
        <v>424.0</v>
      </c>
      <c r="G31" s="27">
        <v>2.7027424E8</v>
      </c>
    </row>
    <row r="32" ht="12.75" customHeight="1">
      <c r="A32" s="31">
        <v>127.0</v>
      </c>
      <c r="B32" s="32" t="s">
        <v>69839</v>
      </c>
      <c r="C32" s="31">
        <v>270.0</v>
      </c>
      <c r="D32" s="32" t="s">
        <v>69840</v>
      </c>
      <c r="E32" s="32" t="s">
        <v>69841</v>
      </c>
      <c r="F32" s="31">
        <v>472.0</v>
      </c>
      <c r="G32" s="31">
        <v>2.70274729E8</v>
      </c>
    </row>
    <row r="33" ht="12.75" customHeight="1">
      <c r="A33" s="27">
        <v>127.0</v>
      </c>
      <c r="B33" s="28" t="s">
        <v>69842</v>
      </c>
      <c r="C33" s="27">
        <v>270.0</v>
      </c>
      <c r="D33" s="28" t="s">
        <v>69843</v>
      </c>
      <c r="E33" s="28" t="s">
        <v>69844</v>
      </c>
      <c r="F33" s="27">
        <v>535.0</v>
      </c>
      <c r="G33" s="27">
        <v>2.70275357E8</v>
      </c>
    </row>
    <row r="34" ht="12.75" customHeight="1">
      <c r="A34" s="31">
        <v>728.0</v>
      </c>
      <c r="B34" s="32" t="s">
        <v>69845</v>
      </c>
      <c r="C34" s="31">
        <v>270.0</v>
      </c>
      <c r="D34" s="32" t="s">
        <v>69846</v>
      </c>
      <c r="E34" s="32" t="s">
        <v>69847</v>
      </c>
      <c r="F34" s="33">
        <v>67.0</v>
      </c>
      <c r="G34" s="31">
        <v>2.70280676E8</v>
      </c>
    </row>
    <row r="35" ht="12.75" customHeight="1">
      <c r="A35" s="27">
        <v>329.0</v>
      </c>
      <c r="B35" s="28" t="s">
        <v>69848</v>
      </c>
      <c r="C35" s="27">
        <v>270.0</v>
      </c>
      <c r="D35" s="28" t="s">
        <v>69849</v>
      </c>
      <c r="E35" s="28" t="s">
        <v>69850</v>
      </c>
      <c r="F35" s="27">
        <v>112.0</v>
      </c>
      <c r="G35" s="27">
        <v>2.70291128E8</v>
      </c>
    </row>
    <row r="36" ht="12.75" customHeight="1">
      <c r="A36" s="31">
        <v>230.0</v>
      </c>
      <c r="B36" s="32" t="s">
        <v>69851</v>
      </c>
      <c r="C36" s="31">
        <v>270.0</v>
      </c>
      <c r="D36" s="32" t="s">
        <v>69852</v>
      </c>
      <c r="E36" s="32" t="s">
        <v>69853</v>
      </c>
      <c r="F36" s="33">
        <v>52.0</v>
      </c>
      <c r="G36" s="31">
        <v>2.70300527E8</v>
      </c>
    </row>
    <row r="37" ht="12.75" customHeight="1">
      <c r="A37" s="27">
        <v>133.0</v>
      </c>
      <c r="B37" s="28" t="s">
        <v>69854</v>
      </c>
      <c r="C37" s="27">
        <v>270.0</v>
      </c>
      <c r="D37" s="28" t="s">
        <v>69855</v>
      </c>
      <c r="E37" s="28" t="s">
        <v>69856</v>
      </c>
      <c r="F37" s="29">
        <v>12.0</v>
      </c>
      <c r="G37" s="27">
        <v>2.70330126E8</v>
      </c>
    </row>
    <row r="38" ht="12.75" customHeight="1">
      <c r="A38" s="31">
        <v>133.0</v>
      </c>
      <c r="B38" s="32" t="s">
        <v>69857</v>
      </c>
      <c r="C38" s="31">
        <v>270.0</v>
      </c>
      <c r="D38" s="32" t="s">
        <v>69858</v>
      </c>
      <c r="E38" s="32" t="s">
        <v>69859</v>
      </c>
      <c r="F38" s="33">
        <v>52.0</v>
      </c>
      <c r="G38" s="31">
        <v>2.70330526E8</v>
      </c>
    </row>
    <row r="39" ht="12.75" customHeight="1">
      <c r="A39" s="27">
        <v>133.0</v>
      </c>
      <c r="B39" s="28" t="s">
        <v>69860</v>
      </c>
      <c r="C39" s="27">
        <v>270.0</v>
      </c>
      <c r="D39" s="28" t="s">
        <v>69861</v>
      </c>
      <c r="E39" s="28" t="s">
        <v>69862</v>
      </c>
      <c r="F39" s="27">
        <v>100.0</v>
      </c>
      <c r="G39" s="27">
        <v>2.70331004E8</v>
      </c>
    </row>
    <row r="40" ht="12.75" customHeight="1">
      <c r="A40" s="31">
        <v>435.0</v>
      </c>
      <c r="B40" s="32" t="s">
        <v>69863</v>
      </c>
      <c r="C40" s="31">
        <v>270.0</v>
      </c>
      <c r="D40" s="32" t="s">
        <v>69864</v>
      </c>
      <c r="E40" s="32" t="s">
        <v>69865</v>
      </c>
      <c r="F40" s="33">
        <v>9.0</v>
      </c>
      <c r="G40" s="31">
        <v>2.70350098E8</v>
      </c>
    </row>
    <row r="41" ht="12.75" customHeight="1">
      <c r="A41" s="27">
        <v>441.0</v>
      </c>
      <c r="B41" s="28" t="s">
        <v>69866</v>
      </c>
      <c r="C41" s="27">
        <v>270.0</v>
      </c>
      <c r="D41" s="28" t="s">
        <v>69867</v>
      </c>
      <c r="E41" s="28" t="s">
        <v>69868</v>
      </c>
      <c r="F41" s="29">
        <v>94.0</v>
      </c>
      <c r="G41" s="27">
        <v>2.70410941E8</v>
      </c>
    </row>
    <row r="42" ht="12.75" customHeight="1">
      <c r="A42" s="31">
        <v>447.0</v>
      </c>
      <c r="B42" s="32" t="s">
        <v>69869</v>
      </c>
      <c r="C42" s="31">
        <v>270.0</v>
      </c>
      <c r="D42" s="32" t="s">
        <v>69870</v>
      </c>
      <c r="E42" s="32" t="s">
        <v>69871</v>
      </c>
      <c r="F42" s="33">
        <v>6.0</v>
      </c>
      <c r="G42" s="31">
        <v>2.7047006E8</v>
      </c>
    </row>
    <row r="43" ht="12.75" customHeight="1">
      <c r="A43" s="27">
        <v>447.0</v>
      </c>
      <c r="B43" s="28" t="s">
        <v>69872</v>
      </c>
      <c r="C43" s="27">
        <v>270.0</v>
      </c>
      <c r="D43" s="28" t="s">
        <v>69873</v>
      </c>
      <c r="E43" s="28" t="s">
        <v>69874</v>
      </c>
      <c r="F43" s="29">
        <v>8.0</v>
      </c>
      <c r="G43" s="27">
        <v>2.70470086E8</v>
      </c>
    </row>
    <row r="44" ht="12.75" customHeight="1">
      <c r="A44" s="31">
        <v>447.0</v>
      </c>
      <c r="B44" s="32" t="s">
        <v>69875</v>
      </c>
      <c r="C44" s="31">
        <v>270.0</v>
      </c>
      <c r="D44" s="32" t="s">
        <v>69876</v>
      </c>
      <c r="E44" s="32" t="s">
        <v>69877</v>
      </c>
      <c r="F44" s="33">
        <v>55.0</v>
      </c>
      <c r="G44" s="31">
        <v>2.70470552E8</v>
      </c>
    </row>
    <row r="45" ht="12.75" customHeight="1">
      <c r="A45" s="27">
        <v>447.0</v>
      </c>
      <c r="B45" s="28" t="s">
        <v>69878</v>
      </c>
      <c r="C45" s="27">
        <v>270.0</v>
      </c>
      <c r="D45" s="28" t="s">
        <v>69879</v>
      </c>
      <c r="E45" s="28" t="s">
        <v>69880</v>
      </c>
      <c r="F45" s="27">
        <v>154.0</v>
      </c>
      <c r="G45" s="27">
        <v>2.70471548E8</v>
      </c>
    </row>
    <row r="46" ht="12.75" customHeight="1">
      <c r="A46" s="31">
        <v>447.0</v>
      </c>
      <c r="B46" s="32" t="s">
        <v>69881</v>
      </c>
      <c r="C46" s="31">
        <v>270.0</v>
      </c>
      <c r="D46" s="32" t="s">
        <v>69882</v>
      </c>
      <c r="E46" s="32" t="s">
        <v>69883</v>
      </c>
      <c r="F46" s="31">
        <v>181.0</v>
      </c>
      <c r="G46" s="31">
        <v>2.70471814E8</v>
      </c>
    </row>
    <row r="47" ht="12.75" customHeight="1">
      <c r="A47" s="27">
        <v>450.0</v>
      </c>
      <c r="B47" s="28" t="s">
        <v>69884</v>
      </c>
      <c r="C47" s="27">
        <v>270.0</v>
      </c>
      <c r="D47" s="28" t="s">
        <v>69885</v>
      </c>
      <c r="E47" s="28" t="s">
        <v>69886</v>
      </c>
      <c r="F47" s="29">
        <v>94.0</v>
      </c>
      <c r="G47" s="27">
        <v>2.70500943E8</v>
      </c>
    </row>
    <row r="48" ht="12.75" customHeight="1">
      <c r="A48" s="31">
        <v>354.0</v>
      </c>
      <c r="B48" s="32" t="s">
        <v>69887</v>
      </c>
      <c r="C48" s="31">
        <v>270.0</v>
      </c>
      <c r="D48" s="32" t="s">
        <v>69888</v>
      </c>
      <c r="E48" s="32" t="s">
        <v>69889</v>
      </c>
      <c r="F48" s="33">
        <v>76.0</v>
      </c>
      <c r="G48" s="31">
        <v>2.70540761E8</v>
      </c>
    </row>
    <row r="49" ht="12.75" customHeight="1">
      <c r="A49" s="27">
        <v>167.0</v>
      </c>
      <c r="B49" s="28" t="s">
        <v>69890</v>
      </c>
      <c r="C49" s="27">
        <v>270.0</v>
      </c>
      <c r="D49" s="28" t="s">
        <v>69891</v>
      </c>
      <c r="E49" s="28" t="s">
        <v>69892</v>
      </c>
      <c r="F49" s="27">
        <v>118.0</v>
      </c>
      <c r="G49" s="27">
        <v>2.7067118E8</v>
      </c>
    </row>
    <row r="50" ht="12.75" customHeight="1">
      <c r="A50" s="31">
        <v>167.0</v>
      </c>
      <c r="B50" s="32" t="s">
        <v>69893</v>
      </c>
      <c r="C50" s="31">
        <v>270.0</v>
      </c>
      <c r="D50" s="32" t="s">
        <v>69894</v>
      </c>
      <c r="E50" s="32" t="s">
        <v>69895</v>
      </c>
      <c r="F50" s="31">
        <v>155.0</v>
      </c>
      <c r="G50" s="31">
        <v>2.70671551E8</v>
      </c>
    </row>
    <row r="51" ht="12.75" customHeight="1">
      <c r="A51" s="27">
        <v>168.0</v>
      </c>
      <c r="B51" s="28" t="s">
        <v>69896</v>
      </c>
      <c r="C51" s="27">
        <v>270.0</v>
      </c>
      <c r="D51" s="28" t="s">
        <v>69897</v>
      </c>
      <c r="E51" s="28" t="s">
        <v>69898</v>
      </c>
      <c r="F51" s="29">
        <v>10.0</v>
      </c>
      <c r="G51" s="27">
        <v>2.706801E8</v>
      </c>
    </row>
    <row r="52" ht="12.75" customHeight="1">
      <c r="A52" s="31">
        <v>168.0</v>
      </c>
      <c r="B52" s="32" t="s">
        <v>69899</v>
      </c>
      <c r="C52" s="31">
        <v>270.0</v>
      </c>
      <c r="D52" s="32" t="s">
        <v>69900</v>
      </c>
      <c r="E52" s="32" t="s">
        <v>69901</v>
      </c>
      <c r="F52" s="33">
        <v>15.0</v>
      </c>
      <c r="G52" s="31">
        <v>2.70680155E8</v>
      </c>
    </row>
    <row r="53" ht="12.75" customHeight="1">
      <c r="A53" s="27">
        <v>168.0</v>
      </c>
      <c r="B53" s="28" t="s">
        <v>69902</v>
      </c>
      <c r="C53" s="27">
        <v>270.0</v>
      </c>
      <c r="D53" s="28" t="s">
        <v>69903</v>
      </c>
      <c r="E53" s="28" t="s">
        <v>69904</v>
      </c>
      <c r="F53" s="29">
        <v>31.0</v>
      </c>
      <c r="G53" s="27">
        <v>2.70680313E8</v>
      </c>
    </row>
    <row r="54" ht="12.75" customHeight="1">
      <c r="A54" s="31">
        <v>168.0</v>
      </c>
      <c r="B54" s="32" t="s">
        <v>69905</v>
      </c>
      <c r="C54" s="31">
        <v>270.0</v>
      </c>
      <c r="D54" s="32" t="s">
        <v>69906</v>
      </c>
      <c r="E54" s="32" t="s">
        <v>69907</v>
      </c>
      <c r="F54" s="31">
        <v>139.0</v>
      </c>
      <c r="G54" s="31">
        <v>2.70681396E8</v>
      </c>
    </row>
    <row r="55" ht="12.75" customHeight="1">
      <c r="A55" s="27">
        <v>569.0</v>
      </c>
      <c r="B55" s="28" t="s">
        <v>69908</v>
      </c>
      <c r="C55" s="27">
        <v>270.0</v>
      </c>
      <c r="D55" s="28" t="s">
        <v>69909</v>
      </c>
      <c r="E55" s="28" t="s">
        <v>69910</v>
      </c>
      <c r="F55" s="27">
        <v>109.0</v>
      </c>
      <c r="G55" s="27">
        <v>2.70691094E8</v>
      </c>
    </row>
    <row r="56" ht="12.75" customHeight="1">
      <c r="A56" s="31">
        <v>275.0</v>
      </c>
      <c r="B56" s="32" t="s">
        <v>69911</v>
      </c>
      <c r="C56" s="31">
        <v>270.0</v>
      </c>
      <c r="D56" s="32" t="s">
        <v>69912</v>
      </c>
      <c r="E56" s="32" t="s">
        <v>69913</v>
      </c>
      <c r="F56" s="33">
        <v>19.0</v>
      </c>
      <c r="G56" s="31">
        <v>2.70750193E8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581.0</v>
      </c>
      <c r="B1" s="28" t="s">
        <v>69914</v>
      </c>
      <c r="C1" s="27">
        <v>270.0</v>
      </c>
      <c r="D1" s="28" t="s">
        <v>69915</v>
      </c>
      <c r="E1" s="28" t="s">
        <v>69916</v>
      </c>
      <c r="F1" s="27">
        <v>193.0</v>
      </c>
      <c r="G1" s="27">
        <v>2.70811937E8</v>
      </c>
    </row>
    <row r="2" ht="12.75" customHeight="1">
      <c r="A2" s="31">
        <v>785.0</v>
      </c>
      <c r="B2" s="32" t="s">
        <v>69917</v>
      </c>
      <c r="C2" s="31">
        <v>270.0</v>
      </c>
      <c r="D2" s="32" t="s">
        <v>69918</v>
      </c>
      <c r="E2" s="32" t="s">
        <v>69919</v>
      </c>
      <c r="F2" s="31">
        <v>145.0</v>
      </c>
      <c r="G2" s="31">
        <v>2.7085145E8</v>
      </c>
    </row>
    <row r="3" ht="12.75" customHeight="1">
      <c r="A3" s="27">
        <v>487.0</v>
      </c>
      <c r="B3" s="28" t="s">
        <v>69920</v>
      </c>
      <c r="C3" s="27">
        <v>270.0</v>
      </c>
      <c r="D3" s="28" t="s">
        <v>69921</v>
      </c>
      <c r="E3" s="28" t="s">
        <v>69922</v>
      </c>
      <c r="F3" s="27">
        <v>109.0</v>
      </c>
      <c r="G3" s="27">
        <v>2.70871098E8</v>
      </c>
    </row>
    <row r="4" ht="12.75" customHeight="1">
      <c r="A4" s="31">
        <v>487.0</v>
      </c>
      <c r="B4" s="32" t="s">
        <v>69923</v>
      </c>
      <c r="C4" s="31">
        <v>270.0</v>
      </c>
      <c r="D4" s="32" t="s">
        <v>69924</v>
      </c>
      <c r="E4" s="32" t="s">
        <v>69925</v>
      </c>
      <c r="F4" s="31">
        <v>121.0</v>
      </c>
      <c r="G4" s="31">
        <v>2.70871214E8</v>
      </c>
    </row>
    <row r="5" ht="12.75" customHeight="1">
      <c r="A5" s="27">
        <v>487.0</v>
      </c>
      <c r="B5" s="28" t="s">
        <v>69926</v>
      </c>
      <c r="C5" s="27">
        <v>270.0</v>
      </c>
      <c r="D5" s="28" t="s">
        <v>69927</v>
      </c>
      <c r="E5" s="28" t="s">
        <v>69928</v>
      </c>
      <c r="F5" s="27">
        <v>136.0</v>
      </c>
      <c r="G5" s="27">
        <v>2.70871364E8</v>
      </c>
    </row>
    <row r="6" ht="12.75" customHeight="1">
      <c r="A6" s="31">
        <v>891.0</v>
      </c>
      <c r="B6" s="32" t="s">
        <v>69929</v>
      </c>
      <c r="C6" s="31">
        <v>270.0</v>
      </c>
      <c r="D6" s="32" t="s">
        <v>69930</v>
      </c>
      <c r="E6" s="32" t="s">
        <v>69931</v>
      </c>
      <c r="F6" s="31">
        <v>178.0</v>
      </c>
      <c r="G6" s="31">
        <v>2.70911787E8</v>
      </c>
    </row>
    <row r="7" ht="12.75" customHeight="1">
      <c r="A7" s="27">
        <v>891.0</v>
      </c>
      <c r="B7" s="28" t="s">
        <v>69932</v>
      </c>
      <c r="C7" s="27">
        <v>270.0</v>
      </c>
      <c r="D7" s="28" t="s">
        <v>69933</v>
      </c>
      <c r="E7" s="28" t="s">
        <v>69934</v>
      </c>
      <c r="F7" s="27">
        <v>355.0</v>
      </c>
      <c r="G7" s="27">
        <v>2.70913556E8</v>
      </c>
    </row>
    <row r="8" ht="12.75" customHeight="1">
      <c r="A8" s="31">
        <v>306.0</v>
      </c>
      <c r="B8" s="32" t="s">
        <v>69935</v>
      </c>
      <c r="C8" s="31">
        <v>275.0</v>
      </c>
      <c r="D8" s="32" t="s">
        <v>69936</v>
      </c>
      <c r="E8" s="32" t="s">
        <v>69937</v>
      </c>
      <c r="F8" s="33">
        <v>28.0</v>
      </c>
      <c r="G8" s="31">
        <v>2.75060288E8</v>
      </c>
    </row>
    <row r="9" ht="12.75" customHeight="1">
      <c r="A9" s="27">
        <v>610.0</v>
      </c>
      <c r="B9" s="28" t="s">
        <v>69938</v>
      </c>
      <c r="C9" s="27">
        <v>275.0</v>
      </c>
      <c r="D9" s="28" t="s">
        <v>69939</v>
      </c>
      <c r="E9" s="28" t="s">
        <v>69940</v>
      </c>
      <c r="F9" s="29">
        <v>37.0</v>
      </c>
      <c r="G9" s="27">
        <v>2.75100377E8</v>
      </c>
    </row>
    <row r="10" ht="12.75" customHeight="1">
      <c r="A10" s="31">
        <v>113.0</v>
      </c>
      <c r="B10" s="32" t="s">
        <v>69941</v>
      </c>
      <c r="C10" s="31">
        <v>275.0</v>
      </c>
      <c r="D10" s="32" t="s">
        <v>69942</v>
      </c>
      <c r="E10" s="32" t="s">
        <v>69943</v>
      </c>
      <c r="F10" s="33">
        <v>23.0</v>
      </c>
      <c r="G10" s="31">
        <v>2.75130239E8</v>
      </c>
    </row>
    <row r="11" ht="12.75" customHeight="1">
      <c r="A11" s="27">
        <v>113.0</v>
      </c>
      <c r="B11" s="28" t="s">
        <v>69944</v>
      </c>
      <c r="C11" s="27">
        <v>275.0</v>
      </c>
      <c r="D11" s="28" t="s">
        <v>69945</v>
      </c>
      <c r="E11" s="28" t="s">
        <v>69946</v>
      </c>
      <c r="F11" s="27">
        <v>175.0</v>
      </c>
      <c r="G11" s="27">
        <v>2.75131759E8</v>
      </c>
    </row>
    <row r="12" ht="12.75" customHeight="1">
      <c r="A12" s="31">
        <v>215.0</v>
      </c>
      <c r="B12" s="32" t="s">
        <v>69947</v>
      </c>
      <c r="C12" s="31">
        <v>275.0</v>
      </c>
      <c r="D12" s="32" t="s">
        <v>69948</v>
      </c>
      <c r="E12" s="32" t="s">
        <v>69949</v>
      </c>
      <c r="F12" s="33">
        <v>13.0</v>
      </c>
      <c r="G12" s="31">
        <v>2.7515013E8</v>
      </c>
    </row>
    <row r="13" ht="12.75" customHeight="1">
      <c r="A13" s="27">
        <v>215.0</v>
      </c>
      <c r="B13" s="28" t="s">
        <v>69950</v>
      </c>
      <c r="C13" s="27">
        <v>275.0</v>
      </c>
      <c r="D13" s="28" t="s">
        <v>69951</v>
      </c>
      <c r="E13" s="28" t="s">
        <v>69952</v>
      </c>
      <c r="F13" s="29">
        <v>25.0</v>
      </c>
      <c r="G13" s="27">
        <v>2.75150251E8</v>
      </c>
    </row>
    <row r="14" ht="12.75" customHeight="1">
      <c r="A14" s="31">
        <v>215.0</v>
      </c>
      <c r="B14" s="32" t="s">
        <v>69953</v>
      </c>
      <c r="C14" s="31">
        <v>275.0</v>
      </c>
      <c r="D14" s="32" t="s">
        <v>69954</v>
      </c>
      <c r="E14" s="32" t="s">
        <v>69955</v>
      </c>
      <c r="F14" s="31">
        <v>364.0</v>
      </c>
      <c r="G14" s="31">
        <v>2.75153645E8</v>
      </c>
    </row>
    <row r="15" ht="12.75" customHeight="1">
      <c r="A15" s="27">
        <v>215.0</v>
      </c>
      <c r="B15" s="28" t="s">
        <v>69956</v>
      </c>
      <c r="C15" s="27">
        <v>275.0</v>
      </c>
      <c r="D15" s="28" t="s">
        <v>69957</v>
      </c>
      <c r="E15" s="28" t="s">
        <v>69958</v>
      </c>
      <c r="F15" s="27">
        <v>469.0</v>
      </c>
      <c r="G15" s="27">
        <v>2.75154699E8</v>
      </c>
    </row>
    <row r="16" ht="12.75" customHeight="1">
      <c r="A16" s="31">
        <v>215.0</v>
      </c>
      <c r="B16" s="32" t="s">
        <v>69959</v>
      </c>
      <c r="C16" s="31">
        <v>275.0</v>
      </c>
      <c r="D16" s="32" t="s">
        <v>69960</v>
      </c>
      <c r="E16" s="32" t="s">
        <v>69961</v>
      </c>
      <c r="F16" s="31">
        <v>613.0</v>
      </c>
      <c r="G16" s="31">
        <v>2.75156134E8</v>
      </c>
    </row>
    <row r="17" ht="12.75" customHeight="1">
      <c r="A17" s="27">
        <v>119.0</v>
      </c>
      <c r="B17" s="28" t="s">
        <v>69962</v>
      </c>
      <c r="C17" s="27">
        <v>275.0</v>
      </c>
      <c r="D17" s="28" t="s">
        <v>69963</v>
      </c>
      <c r="E17" s="28" t="s">
        <v>69964</v>
      </c>
      <c r="F17" s="29">
        <v>41.0</v>
      </c>
      <c r="G17" s="27">
        <v>2.75190411E8</v>
      </c>
    </row>
    <row r="18" ht="12.75" customHeight="1">
      <c r="A18" s="31">
        <v>126.0</v>
      </c>
      <c r="B18" s="32" t="s">
        <v>69965</v>
      </c>
      <c r="C18" s="31">
        <v>275.0</v>
      </c>
      <c r="D18" s="32" t="s">
        <v>69966</v>
      </c>
      <c r="E18" s="32" t="s">
        <v>69967</v>
      </c>
      <c r="F18" s="33">
        <v>0.0</v>
      </c>
      <c r="G18" s="31">
        <v>2.75260004E8</v>
      </c>
    </row>
    <row r="19" ht="12.75" customHeight="1">
      <c r="A19" s="27">
        <v>126.0</v>
      </c>
      <c r="B19" s="28" t="s">
        <v>69968</v>
      </c>
      <c r="C19" s="27">
        <v>275.0</v>
      </c>
      <c r="D19" s="28" t="s">
        <v>69969</v>
      </c>
      <c r="E19" s="28" t="s">
        <v>69970</v>
      </c>
      <c r="F19" s="29">
        <v>21.0</v>
      </c>
      <c r="G19" s="27">
        <v>2.75260217E8</v>
      </c>
    </row>
    <row r="20" ht="12.75" customHeight="1">
      <c r="A20" s="31">
        <v>126.0</v>
      </c>
      <c r="B20" s="32" t="s">
        <v>69971</v>
      </c>
      <c r="C20" s="31">
        <v>275.0</v>
      </c>
      <c r="D20" s="32" t="s">
        <v>69972</v>
      </c>
      <c r="E20" s="32" t="s">
        <v>69973</v>
      </c>
      <c r="F20" s="33">
        <v>57.0</v>
      </c>
      <c r="G20" s="31">
        <v>2.7526057E8</v>
      </c>
    </row>
    <row r="21" ht="12.75" customHeight="1">
      <c r="A21" s="27">
        <v>126.0</v>
      </c>
      <c r="B21" s="28" t="s">
        <v>69974</v>
      </c>
      <c r="C21" s="27">
        <v>275.0</v>
      </c>
      <c r="D21" s="28" t="s">
        <v>69975</v>
      </c>
      <c r="E21" s="28" t="s">
        <v>69976</v>
      </c>
      <c r="F21" s="29">
        <v>77.0</v>
      </c>
      <c r="G21" s="27">
        <v>2.7526077E8</v>
      </c>
    </row>
    <row r="22" ht="12.75" customHeight="1">
      <c r="A22" s="31">
        <v>126.0</v>
      </c>
      <c r="B22" s="32" t="s">
        <v>69977</v>
      </c>
      <c r="C22" s="31">
        <v>275.0</v>
      </c>
      <c r="D22" s="32" t="s">
        <v>69978</v>
      </c>
      <c r="E22" s="32" t="s">
        <v>69979</v>
      </c>
      <c r="F22" s="31">
        <v>109.0</v>
      </c>
      <c r="G22" s="31">
        <v>2.7526109E8</v>
      </c>
    </row>
    <row r="23" ht="12.75" customHeight="1">
      <c r="A23" s="27">
        <v>126.0</v>
      </c>
      <c r="B23" s="28" t="s">
        <v>69980</v>
      </c>
      <c r="C23" s="27">
        <v>275.0</v>
      </c>
      <c r="D23" s="28" t="s">
        <v>69981</v>
      </c>
      <c r="E23" s="28" t="s">
        <v>69982</v>
      </c>
      <c r="F23" s="27">
        <v>118.0</v>
      </c>
      <c r="G23" s="27">
        <v>2.75261182E8</v>
      </c>
    </row>
    <row r="24" ht="12.75" customHeight="1">
      <c r="A24" s="31">
        <v>126.0</v>
      </c>
      <c r="B24" s="32" t="s">
        <v>69983</v>
      </c>
      <c r="C24" s="31">
        <v>275.0</v>
      </c>
      <c r="D24" s="32" t="s">
        <v>69984</v>
      </c>
      <c r="E24" s="32" t="s">
        <v>69985</v>
      </c>
      <c r="F24" s="31">
        <v>244.0</v>
      </c>
      <c r="G24" s="31">
        <v>2.75262444E8</v>
      </c>
    </row>
    <row r="25" ht="12.75" customHeight="1">
      <c r="A25" s="27">
        <v>126.0</v>
      </c>
      <c r="B25" s="28" t="s">
        <v>69986</v>
      </c>
      <c r="C25" s="27">
        <v>275.0</v>
      </c>
      <c r="D25" s="28" t="s">
        <v>69987</v>
      </c>
      <c r="E25" s="28" t="s">
        <v>69988</v>
      </c>
      <c r="F25" s="27">
        <v>298.0</v>
      </c>
      <c r="G25" s="27">
        <v>2.75262981E8</v>
      </c>
    </row>
    <row r="26" ht="12.75" customHeight="1">
      <c r="A26" s="31">
        <v>126.0</v>
      </c>
      <c r="B26" s="32" t="s">
        <v>69989</v>
      </c>
      <c r="C26" s="31">
        <v>275.0</v>
      </c>
      <c r="D26" s="32" t="s">
        <v>69990</v>
      </c>
      <c r="E26" s="32" t="s">
        <v>69991</v>
      </c>
      <c r="F26" s="31">
        <v>463.0</v>
      </c>
      <c r="G26" s="31">
        <v>2.75264639E8</v>
      </c>
    </row>
    <row r="27" ht="12.75" customHeight="1">
      <c r="A27" s="27">
        <v>127.0</v>
      </c>
      <c r="B27" s="28" t="s">
        <v>69992</v>
      </c>
      <c r="C27" s="27">
        <v>275.0</v>
      </c>
      <c r="D27" s="28" t="s">
        <v>69993</v>
      </c>
      <c r="E27" s="28" t="s">
        <v>69994</v>
      </c>
      <c r="F27" s="29">
        <v>64.0</v>
      </c>
      <c r="G27" s="27">
        <v>2.75270649E8</v>
      </c>
    </row>
    <row r="28" ht="12.75" customHeight="1">
      <c r="A28" s="31">
        <v>127.0</v>
      </c>
      <c r="B28" s="32" t="s">
        <v>69995</v>
      </c>
      <c r="C28" s="31">
        <v>275.0</v>
      </c>
      <c r="D28" s="32" t="s">
        <v>69996</v>
      </c>
      <c r="E28" s="32" t="s">
        <v>69997</v>
      </c>
      <c r="F28" s="31">
        <v>127.0</v>
      </c>
      <c r="G28" s="31">
        <v>2.75271277E8</v>
      </c>
    </row>
    <row r="29" ht="12.75" customHeight="1">
      <c r="A29" s="27">
        <v>127.0</v>
      </c>
      <c r="B29" s="28" t="s">
        <v>69998</v>
      </c>
      <c r="C29" s="27">
        <v>275.0</v>
      </c>
      <c r="D29" s="28" t="s">
        <v>69999</v>
      </c>
      <c r="E29" s="28" t="s">
        <v>70000</v>
      </c>
      <c r="F29" s="27">
        <v>424.0</v>
      </c>
      <c r="G29" s="27">
        <v>2.75274245E8</v>
      </c>
    </row>
    <row r="30" ht="12.75" customHeight="1">
      <c r="A30" s="31">
        <v>728.0</v>
      </c>
      <c r="B30" s="32" t="s">
        <v>70001</v>
      </c>
      <c r="C30" s="31">
        <v>275.0</v>
      </c>
      <c r="D30" s="32" t="s">
        <v>70002</v>
      </c>
      <c r="E30" s="32" t="s">
        <v>70003</v>
      </c>
      <c r="F30" s="33">
        <v>49.0</v>
      </c>
      <c r="G30" s="31">
        <v>2.75280497E8</v>
      </c>
    </row>
    <row r="31" ht="12.75" customHeight="1">
      <c r="A31" s="27">
        <v>230.0</v>
      </c>
      <c r="B31" s="28" t="s">
        <v>70004</v>
      </c>
      <c r="C31" s="27">
        <v>275.0</v>
      </c>
      <c r="D31" s="28" t="s">
        <v>70005</v>
      </c>
      <c r="E31" s="28" t="s">
        <v>70006</v>
      </c>
      <c r="F31" s="27">
        <v>106.0</v>
      </c>
      <c r="G31" s="27">
        <v>2.75301068E8</v>
      </c>
    </row>
    <row r="32" ht="12.75" customHeight="1">
      <c r="A32" s="31">
        <v>133.0</v>
      </c>
      <c r="B32" s="32" t="s">
        <v>70007</v>
      </c>
      <c r="C32" s="31">
        <v>275.0</v>
      </c>
      <c r="D32" s="32" t="s">
        <v>70008</v>
      </c>
      <c r="E32" s="32" t="s">
        <v>70009</v>
      </c>
      <c r="F32" s="33">
        <v>28.0</v>
      </c>
      <c r="G32" s="31">
        <v>2.75330284E8</v>
      </c>
    </row>
    <row r="33" ht="12.75" customHeight="1">
      <c r="A33" s="27">
        <v>133.0</v>
      </c>
      <c r="B33" s="28" t="s">
        <v>70010</v>
      </c>
      <c r="C33" s="27">
        <v>275.0</v>
      </c>
      <c r="D33" s="28" t="s">
        <v>70011</v>
      </c>
      <c r="E33" s="28" t="s">
        <v>70012</v>
      </c>
      <c r="F33" s="29">
        <v>55.0</v>
      </c>
      <c r="G33" s="27">
        <v>2.7533055E8</v>
      </c>
    </row>
    <row r="34" ht="12.75" customHeight="1">
      <c r="A34" s="31">
        <v>447.0</v>
      </c>
      <c r="B34" s="32" t="s">
        <v>70013</v>
      </c>
      <c r="C34" s="31">
        <v>275.0</v>
      </c>
      <c r="D34" s="32" t="s">
        <v>70014</v>
      </c>
      <c r="E34" s="32" t="s">
        <v>70015</v>
      </c>
      <c r="F34" s="31">
        <v>154.0</v>
      </c>
      <c r="G34" s="31">
        <v>2.75471543E8</v>
      </c>
    </row>
    <row r="35" ht="12.75" customHeight="1">
      <c r="A35" s="27">
        <v>148.0</v>
      </c>
      <c r="B35" s="28" t="s">
        <v>70016</v>
      </c>
      <c r="C35" s="27">
        <v>275.0</v>
      </c>
      <c r="D35" s="28" t="s">
        <v>70017</v>
      </c>
      <c r="E35" s="28" t="s">
        <v>70018</v>
      </c>
      <c r="F35" s="29">
        <v>14.0</v>
      </c>
      <c r="G35" s="27">
        <v>2.75480147E8</v>
      </c>
    </row>
    <row r="36" ht="12.75" customHeight="1">
      <c r="A36" s="31">
        <v>148.0</v>
      </c>
      <c r="B36" s="32" t="s">
        <v>70019</v>
      </c>
      <c r="C36" s="31">
        <v>275.0</v>
      </c>
      <c r="D36" s="32" t="s">
        <v>70020</v>
      </c>
      <c r="E36" s="32" t="s">
        <v>70021</v>
      </c>
      <c r="F36" s="33">
        <v>67.0</v>
      </c>
      <c r="G36" s="31">
        <v>2.75480671E8</v>
      </c>
    </row>
    <row r="37" ht="12.75" customHeight="1">
      <c r="A37" s="27">
        <v>354.0</v>
      </c>
      <c r="B37" s="28" t="s">
        <v>70022</v>
      </c>
      <c r="C37" s="27">
        <v>275.0</v>
      </c>
      <c r="D37" s="28" t="s">
        <v>70023</v>
      </c>
      <c r="E37" s="28" t="s">
        <v>70024</v>
      </c>
      <c r="F37" s="29">
        <v>76.0</v>
      </c>
      <c r="G37" s="27">
        <v>2.75540766E8</v>
      </c>
    </row>
    <row r="38" ht="12.75" customHeight="1">
      <c r="A38" s="31">
        <v>159.0</v>
      </c>
      <c r="B38" s="32" t="s">
        <v>70025</v>
      </c>
      <c r="C38" s="31">
        <v>275.0</v>
      </c>
      <c r="D38" s="32" t="s">
        <v>70026</v>
      </c>
      <c r="E38" s="32" t="s">
        <v>70027</v>
      </c>
      <c r="F38" s="31">
        <v>117.0</v>
      </c>
      <c r="G38" s="31">
        <v>2.75591173E8</v>
      </c>
    </row>
    <row r="39" ht="12.75" customHeight="1">
      <c r="A39" s="27">
        <v>167.0</v>
      </c>
      <c r="B39" s="28" t="s">
        <v>70028</v>
      </c>
      <c r="C39" s="27">
        <v>275.0</v>
      </c>
      <c r="D39" s="28" t="s">
        <v>70029</v>
      </c>
      <c r="E39" s="28" t="s">
        <v>70030</v>
      </c>
      <c r="F39" s="27">
        <v>118.0</v>
      </c>
      <c r="G39" s="27">
        <v>2.75671185E8</v>
      </c>
    </row>
    <row r="40" ht="12.75" customHeight="1">
      <c r="A40" s="31">
        <v>168.0</v>
      </c>
      <c r="B40" s="32" t="s">
        <v>70031</v>
      </c>
      <c r="C40" s="31">
        <v>275.0</v>
      </c>
      <c r="D40" s="32" t="s">
        <v>70032</v>
      </c>
      <c r="E40" s="32" t="s">
        <v>70033</v>
      </c>
      <c r="F40" s="33">
        <v>67.0</v>
      </c>
      <c r="G40" s="31">
        <v>2.75680671E8</v>
      </c>
    </row>
    <row r="41" ht="12.75" customHeight="1">
      <c r="A41" s="27">
        <v>275.0</v>
      </c>
      <c r="B41" s="28" t="s">
        <v>70034</v>
      </c>
      <c r="C41" s="27">
        <v>275.0</v>
      </c>
      <c r="D41" s="28" t="s">
        <v>70035</v>
      </c>
      <c r="E41" s="28" t="s">
        <v>70036</v>
      </c>
      <c r="F41" s="29">
        <v>64.0</v>
      </c>
      <c r="G41" s="27">
        <v>2.75750648E8</v>
      </c>
    </row>
    <row r="42" ht="12.75" customHeight="1">
      <c r="A42" s="31">
        <v>275.0</v>
      </c>
      <c r="B42" s="32" t="s">
        <v>70037</v>
      </c>
      <c r="C42" s="31">
        <v>275.0</v>
      </c>
      <c r="D42" s="32" t="s">
        <v>70038</v>
      </c>
      <c r="E42" s="32" t="s">
        <v>70039</v>
      </c>
      <c r="F42" s="31">
        <v>115.0</v>
      </c>
      <c r="G42" s="31">
        <v>2.75751155E8</v>
      </c>
    </row>
    <row r="43" ht="12.75" customHeight="1">
      <c r="A43" s="27">
        <v>275.0</v>
      </c>
      <c r="B43" s="28" t="s">
        <v>70040</v>
      </c>
      <c r="C43" s="27">
        <v>275.0</v>
      </c>
      <c r="D43" s="28" t="s">
        <v>70041</v>
      </c>
      <c r="E43" s="28" t="s">
        <v>70042</v>
      </c>
      <c r="F43" s="27">
        <v>208.0</v>
      </c>
      <c r="G43" s="27">
        <v>2.75752088E8</v>
      </c>
    </row>
    <row r="44" ht="12.75" customHeight="1">
      <c r="A44" s="31">
        <v>581.0</v>
      </c>
      <c r="B44" s="32" t="s">
        <v>70043</v>
      </c>
      <c r="C44" s="31">
        <v>275.0</v>
      </c>
      <c r="D44" s="32" t="s">
        <v>70044</v>
      </c>
      <c r="E44" s="32" t="s">
        <v>70045</v>
      </c>
      <c r="F44" s="31">
        <v>193.0</v>
      </c>
      <c r="G44" s="31">
        <v>2.75811932E8</v>
      </c>
    </row>
    <row r="45" ht="12.75" customHeight="1">
      <c r="A45" s="27">
        <v>785.0</v>
      </c>
      <c r="B45" s="28" t="s">
        <v>70046</v>
      </c>
      <c r="C45" s="27">
        <v>275.0</v>
      </c>
      <c r="D45" s="28" t="s">
        <v>70047</v>
      </c>
      <c r="E45" s="28" t="s">
        <v>70048</v>
      </c>
      <c r="F45" s="27">
        <v>145.0</v>
      </c>
      <c r="G45" s="27">
        <v>2.75851455E8</v>
      </c>
    </row>
    <row r="46" ht="12.75" customHeight="1">
      <c r="A46" s="31">
        <v>785.0</v>
      </c>
      <c r="B46" s="32" t="s">
        <v>70049</v>
      </c>
      <c r="C46" s="31">
        <v>275.0</v>
      </c>
      <c r="D46" s="32" t="s">
        <v>70050</v>
      </c>
      <c r="E46" s="32" t="s">
        <v>70051</v>
      </c>
      <c r="F46" s="31">
        <v>178.0</v>
      </c>
      <c r="G46" s="31">
        <v>2.75851789E8</v>
      </c>
    </row>
    <row r="47" ht="12.75" customHeight="1">
      <c r="A47" s="27">
        <v>688.0</v>
      </c>
      <c r="B47" s="28" t="s">
        <v>70052</v>
      </c>
      <c r="C47" s="27">
        <v>275.0</v>
      </c>
      <c r="D47" s="28" t="s">
        <v>70053</v>
      </c>
      <c r="E47" s="28" t="s">
        <v>70054</v>
      </c>
      <c r="F47" s="29">
        <v>91.0</v>
      </c>
      <c r="G47" s="27">
        <v>2.75880918E8</v>
      </c>
    </row>
    <row r="48" ht="12.75" customHeight="1">
      <c r="A48" s="31">
        <v>891.0</v>
      </c>
      <c r="B48" s="32" t="s">
        <v>70055</v>
      </c>
      <c r="C48" s="31">
        <v>275.0</v>
      </c>
      <c r="D48" s="32" t="s">
        <v>70056</v>
      </c>
      <c r="E48" s="32" t="s">
        <v>70057</v>
      </c>
      <c r="F48" s="31">
        <v>250.0</v>
      </c>
      <c r="G48" s="31">
        <v>2.75912507E8</v>
      </c>
    </row>
    <row r="49" ht="12.75" customHeight="1">
      <c r="A49" s="27">
        <v>891.0</v>
      </c>
      <c r="B49" s="28" t="s">
        <v>70058</v>
      </c>
      <c r="C49" s="27">
        <v>275.0</v>
      </c>
      <c r="D49" s="28" t="s">
        <v>70059</v>
      </c>
      <c r="E49" s="28" t="s">
        <v>70060</v>
      </c>
      <c r="F49" s="27">
        <v>344.0</v>
      </c>
      <c r="G49" s="27">
        <v>2.75913443E8</v>
      </c>
    </row>
    <row r="50" ht="12.75" customHeight="1">
      <c r="A50" s="31">
        <v>306.0</v>
      </c>
      <c r="B50" s="32" t="s">
        <v>70061</v>
      </c>
      <c r="C50" s="31">
        <v>280.0</v>
      </c>
      <c r="D50" s="32" t="s">
        <v>70062</v>
      </c>
      <c r="E50" s="32" t="s">
        <v>70063</v>
      </c>
      <c r="F50" s="31">
        <v>106.0</v>
      </c>
      <c r="G50" s="31">
        <v>2.80061069E8</v>
      </c>
    </row>
    <row r="51" ht="12.75" customHeight="1">
      <c r="A51" s="27">
        <v>610.0</v>
      </c>
      <c r="B51" s="28" t="s">
        <v>70064</v>
      </c>
      <c r="C51" s="27">
        <v>280.0</v>
      </c>
      <c r="D51" s="28" t="s">
        <v>70065</v>
      </c>
      <c r="E51" s="28" t="s">
        <v>70066</v>
      </c>
      <c r="F51" s="29">
        <v>37.0</v>
      </c>
      <c r="G51" s="27">
        <v>2.80100375E8</v>
      </c>
    </row>
    <row r="52" ht="12.75" customHeight="1">
      <c r="A52" s="31">
        <v>112.0</v>
      </c>
      <c r="B52" s="32" t="s">
        <v>70067</v>
      </c>
      <c r="C52" s="31">
        <v>280.0</v>
      </c>
      <c r="D52" s="32" t="s">
        <v>70068</v>
      </c>
      <c r="E52" s="32" t="s">
        <v>70069</v>
      </c>
      <c r="F52" s="33">
        <v>43.0</v>
      </c>
      <c r="G52" s="31">
        <v>2.80120434E8</v>
      </c>
    </row>
    <row r="53" ht="12.75" customHeight="1">
      <c r="A53" s="27">
        <v>113.0</v>
      </c>
      <c r="B53" s="28" t="s">
        <v>70070</v>
      </c>
      <c r="C53" s="27">
        <v>280.0</v>
      </c>
      <c r="D53" s="28" t="s">
        <v>70071</v>
      </c>
      <c r="E53" s="28" t="s">
        <v>70072</v>
      </c>
      <c r="F53" s="29">
        <v>12.0</v>
      </c>
      <c r="G53" s="27">
        <v>2.80130129E8</v>
      </c>
    </row>
    <row r="54" ht="12.75" customHeight="1">
      <c r="A54" s="31">
        <v>113.0</v>
      </c>
      <c r="B54" s="32" t="s">
        <v>70073</v>
      </c>
      <c r="C54" s="31">
        <v>280.0</v>
      </c>
      <c r="D54" s="32" t="s">
        <v>70074</v>
      </c>
      <c r="E54" s="32" t="s">
        <v>70075</v>
      </c>
      <c r="F54" s="33">
        <v>14.0</v>
      </c>
      <c r="G54" s="31">
        <v>2.80130145E8</v>
      </c>
    </row>
    <row r="55" ht="12.75" customHeight="1">
      <c r="A55" s="27">
        <v>113.0</v>
      </c>
      <c r="B55" s="28" t="s">
        <v>70076</v>
      </c>
      <c r="C55" s="27">
        <v>280.0</v>
      </c>
      <c r="D55" s="28" t="s">
        <v>70077</v>
      </c>
      <c r="E55" s="28" t="s">
        <v>70078</v>
      </c>
      <c r="F55" s="29">
        <v>31.0</v>
      </c>
      <c r="G55" s="27">
        <v>2.80130316E8</v>
      </c>
    </row>
    <row r="56" ht="12.75" customHeight="1">
      <c r="A56" s="31">
        <v>113.0</v>
      </c>
      <c r="B56" s="32" t="s">
        <v>70079</v>
      </c>
      <c r="C56" s="31">
        <v>280.0</v>
      </c>
      <c r="D56" s="32" t="s">
        <v>70080</v>
      </c>
      <c r="E56" s="32" t="s">
        <v>70081</v>
      </c>
      <c r="F56" s="33">
        <v>88.0</v>
      </c>
      <c r="G56" s="31">
        <v>2.80130882E8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113.0</v>
      </c>
      <c r="B1" s="28" t="s">
        <v>70082</v>
      </c>
      <c r="C1" s="27">
        <v>280.0</v>
      </c>
      <c r="D1" s="28" t="s">
        <v>70083</v>
      </c>
      <c r="E1" s="28" t="s">
        <v>70084</v>
      </c>
      <c r="F1" s="29">
        <v>91.0</v>
      </c>
      <c r="G1" s="27">
        <v>2.80130916E8</v>
      </c>
    </row>
    <row r="2" ht="12.75" customHeight="1">
      <c r="A2" s="31">
        <v>113.0</v>
      </c>
      <c r="B2" s="32" t="s">
        <v>70085</v>
      </c>
      <c r="C2" s="31">
        <v>280.0</v>
      </c>
      <c r="D2" s="32" t="s">
        <v>70086</v>
      </c>
      <c r="E2" s="32" t="s">
        <v>70087</v>
      </c>
      <c r="F2" s="31">
        <v>142.0</v>
      </c>
      <c r="G2" s="31">
        <v>2.80131423E8</v>
      </c>
    </row>
    <row r="3" ht="12.75" customHeight="1">
      <c r="A3" s="27">
        <v>113.0</v>
      </c>
      <c r="B3" s="28" t="s">
        <v>70088</v>
      </c>
      <c r="C3" s="27">
        <v>280.0</v>
      </c>
      <c r="D3" s="28" t="s">
        <v>70089</v>
      </c>
      <c r="E3" s="28" t="s">
        <v>70090</v>
      </c>
      <c r="F3" s="27">
        <v>145.0</v>
      </c>
      <c r="G3" s="27">
        <v>2.80131452E8</v>
      </c>
    </row>
    <row r="4" ht="12.75" customHeight="1">
      <c r="A4" s="31">
        <v>215.0</v>
      </c>
      <c r="B4" s="32" t="s">
        <v>70091</v>
      </c>
      <c r="C4" s="31">
        <v>280.0</v>
      </c>
      <c r="D4" s="32" t="s">
        <v>70092</v>
      </c>
      <c r="E4" s="32" t="s">
        <v>70093</v>
      </c>
      <c r="F4" s="31">
        <v>418.0</v>
      </c>
      <c r="G4" s="31">
        <v>2.80154189E8</v>
      </c>
    </row>
    <row r="5" ht="12.75" customHeight="1">
      <c r="A5" s="27">
        <v>215.0</v>
      </c>
      <c r="B5" s="28" t="s">
        <v>70094</v>
      </c>
      <c r="C5" s="27">
        <v>280.0</v>
      </c>
      <c r="D5" s="28" t="s">
        <v>70095</v>
      </c>
      <c r="E5" s="28" t="s">
        <v>70096</v>
      </c>
      <c r="F5" s="27">
        <v>427.0</v>
      </c>
      <c r="G5" s="27">
        <v>2.80154271E8</v>
      </c>
    </row>
    <row r="6" ht="12.75" customHeight="1">
      <c r="A6" s="31">
        <v>215.0</v>
      </c>
      <c r="B6" s="32" t="s">
        <v>70097</v>
      </c>
      <c r="C6" s="31">
        <v>280.0</v>
      </c>
      <c r="D6" s="32" t="s">
        <v>70098</v>
      </c>
      <c r="E6" s="32" t="s">
        <v>70099</v>
      </c>
      <c r="F6" s="31">
        <v>466.0</v>
      </c>
      <c r="G6" s="31">
        <v>2.80154668E8</v>
      </c>
    </row>
    <row r="7" ht="12.75" customHeight="1">
      <c r="A7" s="27">
        <v>119.0</v>
      </c>
      <c r="B7" s="28" t="s">
        <v>70100</v>
      </c>
      <c r="C7" s="27">
        <v>280.0</v>
      </c>
      <c r="D7" s="28" t="s">
        <v>70101</v>
      </c>
      <c r="E7" s="28" t="s">
        <v>70102</v>
      </c>
      <c r="F7" s="29">
        <v>45.0</v>
      </c>
      <c r="G7" s="27">
        <v>2.80190451E8</v>
      </c>
    </row>
    <row r="8" ht="12.75" customHeight="1">
      <c r="A8" s="31">
        <v>119.0</v>
      </c>
      <c r="B8" s="32" t="s">
        <v>70103</v>
      </c>
      <c r="C8" s="31">
        <v>280.0</v>
      </c>
      <c r="D8" s="32" t="s">
        <v>70104</v>
      </c>
      <c r="E8" s="32" t="s">
        <v>70105</v>
      </c>
      <c r="F8" s="31">
        <v>115.0</v>
      </c>
      <c r="G8" s="31">
        <v>2.80191155E8</v>
      </c>
    </row>
    <row r="9" ht="12.75" customHeight="1">
      <c r="A9" s="27">
        <v>126.0</v>
      </c>
      <c r="B9" s="28" t="s">
        <v>70106</v>
      </c>
      <c r="C9" s="27">
        <v>280.0</v>
      </c>
      <c r="D9" s="28" t="s">
        <v>70107</v>
      </c>
      <c r="E9" s="28" t="s">
        <v>70108</v>
      </c>
      <c r="F9" s="29">
        <v>0.0</v>
      </c>
      <c r="G9" s="27">
        <v>2.80260002E8</v>
      </c>
    </row>
    <row r="10" ht="12.75" customHeight="1">
      <c r="A10" s="31">
        <v>126.0</v>
      </c>
      <c r="B10" s="32" t="s">
        <v>70109</v>
      </c>
      <c r="C10" s="31">
        <v>280.0</v>
      </c>
      <c r="D10" s="32" t="s">
        <v>70110</v>
      </c>
      <c r="E10" s="32" t="s">
        <v>70111</v>
      </c>
      <c r="F10" s="33">
        <v>39.0</v>
      </c>
      <c r="G10" s="31">
        <v>2.80260394E8</v>
      </c>
    </row>
    <row r="11" ht="12.75" customHeight="1">
      <c r="A11" s="27">
        <v>126.0</v>
      </c>
      <c r="B11" s="28" t="s">
        <v>70112</v>
      </c>
      <c r="C11" s="27">
        <v>280.0</v>
      </c>
      <c r="D11" s="28" t="s">
        <v>70113</v>
      </c>
      <c r="E11" s="28" t="s">
        <v>70114</v>
      </c>
      <c r="F11" s="29">
        <v>55.0</v>
      </c>
      <c r="G11" s="27">
        <v>2.80260552E8</v>
      </c>
    </row>
    <row r="12" ht="12.75" customHeight="1">
      <c r="A12" s="31">
        <v>126.0</v>
      </c>
      <c r="B12" s="32" t="s">
        <v>70115</v>
      </c>
      <c r="C12" s="31">
        <v>280.0</v>
      </c>
      <c r="D12" s="32" t="s">
        <v>70116</v>
      </c>
      <c r="E12" s="32" t="s">
        <v>70117</v>
      </c>
      <c r="F12" s="31">
        <v>181.0</v>
      </c>
      <c r="G12" s="31">
        <v>2.80261814E8</v>
      </c>
    </row>
    <row r="13" ht="12.75" customHeight="1">
      <c r="A13" s="27">
        <v>126.0</v>
      </c>
      <c r="B13" s="28" t="s">
        <v>70118</v>
      </c>
      <c r="C13" s="27">
        <v>280.0</v>
      </c>
      <c r="D13" s="28" t="s">
        <v>70119</v>
      </c>
      <c r="E13" s="28" t="s">
        <v>70120</v>
      </c>
      <c r="F13" s="27">
        <v>191.0</v>
      </c>
      <c r="G13" s="27">
        <v>2.80261919E8</v>
      </c>
    </row>
    <row r="14" ht="12.75" customHeight="1">
      <c r="A14" s="31">
        <v>126.0</v>
      </c>
      <c r="B14" s="32" t="s">
        <v>70121</v>
      </c>
      <c r="C14" s="31">
        <v>280.0</v>
      </c>
      <c r="D14" s="32" t="s">
        <v>70122</v>
      </c>
      <c r="E14" s="32" t="s">
        <v>70123</v>
      </c>
      <c r="F14" s="31">
        <v>298.0</v>
      </c>
      <c r="G14" s="31">
        <v>2.80262989E8</v>
      </c>
    </row>
    <row r="15" ht="12.75" customHeight="1">
      <c r="A15" s="27">
        <v>126.0</v>
      </c>
      <c r="B15" s="28" t="s">
        <v>70124</v>
      </c>
      <c r="C15" s="27">
        <v>280.0</v>
      </c>
      <c r="D15" s="28" t="s">
        <v>70125</v>
      </c>
      <c r="E15" s="28" t="s">
        <v>70126</v>
      </c>
      <c r="F15" s="27">
        <v>463.0</v>
      </c>
      <c r="G15" s="27">
        <v>2.80264637E8</v>
      </c>
    </row>
    <row r="16" ht="12.75" customHeight="1">
      <c r="A16" s="31">
        <v>127.0</v>
      </c>
      <c r="B16" s="32" t="s">
        <v>70127</v>
      </c>
      <c r="C16" s="31">
        <v>280.0</v>
      </c>
      <c r="D16" s="32" t="s">
        <v>70128</v>
      </c>
      <c r="E16" s="32" t="s">
        <v>70129</v>
      </c>
      <c r="F16" s="33">
        <v>13.0</v>
      </c>
      <c r="G16" s="31">
        <v>2.80270139E8</v>
      </c>
    </row>
    <row r="17" ht="12.75" customHeight="1">
      <c r="A17" s="27">
        <v>127.0</v>
      </c>
      <c r="B17" s="28" t="s">
        <v>70130</v>
      </c>
      <c r="C17" s="27">
        <v>280.0</v>
      </c>
      <c r="D17" s="28" t="s">
        <v>70131</v>
      </c>
      <c r="E17" s="28" t="s">
        <v>70132</v>
      </c>
      <c r="F17" s="29">
        <v>51.0</v>
      </c>
      <c r="G17" s="27">
        <v>2.80270513E8</v>
      </c>
    </row>
    <row r="18" ht="12.75" customHeight="1">
      <c r="A18" s="31">
        <v>127.0</v>
      </c>
      <c r="B18" s="32" t="s">
        <v>70133</v>
      </c>
      <c r="C18" s="31">
        <v>280.0</v>
      </c>
      <c r="D18" s="32" t="s">
        <v>70134</v>
      </c>
      <c r="E18" s="32" t="s">
        <v>70135</v>
      </c>
      <c r="F18" s="31">
        <v>280.0</v>
      </c>
      <c r="G18" s="31">
        <v>2.80272803E8</v>
      </c>
    </row>
    <row r="19" ht="12.75" customHeight="1">
      <c r="A19" s="27">
        <v>127.0</v>
      </c>
      <c r="B19" s="28" t="s">
        <v>70136</v>
      </c>
      <c r="C19" s="27">
        <v>280.0</v>
      </c>
      <c r="D19" s="28" t="s">
        <v>70137</v>
      </c>
      <c r="E19" s="28" t="s">
        <v>70138</v>
      </c>
      <c r="F19" s="27">
        <v>328.0</v>
      </c>
      <c r="G19" s="27">
        <v>2.80273286E8</v>
      </c>
    </row>
    <row r="20" ht="12.75" customHeight="1">
      <c r="A20" s="31">
        <v>127.0</v>
      </c>
      <c r="B20" s="32" t="s">
        <v>70139</v>
      </c>
      <c r="C20" s="31">
        <v>280.0</v>
      </c>
      <c r="D20" s="32" t="s">
        <v>70140</v>
      </c>
      <c r="E20" s="32" t="s">
        <v>70141</v>
      </c>
      <c r="F20" s="31">
        <v>337.0</v>
      </c>
      <c r="G20" s="31">
        <v>2.80273378E8</v>
      </c>
    </row>
    <row r="21" ht="12.75" customHeight="1">
      <c r="A21" s="27">
        <v>127.0</v>
      </c>
      <c r="B21" s="28" t="s">
        <v>70142</v>
      </c>
      <c r="C21" s="27">
        <v>280.0</v>
      </c>
      <c r="D21" s="28" t="s">
        <v>70143</v>
      </c>
      <c r="E21" s="28" t="s">
        <v>70144</v>
      </c>
      <c r="F21" s="27">
        <v>358.0</v>
      </c>
      <c r="G21" s="27">
        <v>2.80273581E8</v>
      </c>
    </row>
    <row r="22" ht="12.75" customHeight="1">
      <c r="A22" s="31">
        <v>127.0</v>
      </c>
      <c r="B22" s="32" t="s">
        <v>70145</v>
      </c>
      <c r="C22" s="31">
        <v>280.0</v>
      </c>
      <c r="D22" s="32" t="s">
        <v>70146</v>
      </c>
      <c r="E22" s="32" t="s">
        <v>70147</v>
      </c>
      <c r="F22" s="31">
        <v>424.0</v>
      </c>
      <c r="G22" s="31">
        <v>2.80274243E8</v>
      </c>
    </row>
    <row r="23" ht="12.75" customHeight="1">
      <c r="A23" s="27">
        <v>127.0</v>
      </c>
      <c r="B23" s="28" t="s">
        <v>70148</v>
      </c>
      <c r="C23" s="27">
        <v>280.0</v>
      </c>
      <c r="D23" s="28" t="s">
        <v>70149</v>
      </c>
      <c r="E23" s="28" t="s">
        <v>70150</v>
      </c>
      <c r="F23" s="27">
        <v>652.0</v>
      </c>
      <c r="G23" s="27">
        <v>2.8027652E8</v>
      </c>
    </row>
    <row r="24" ht="12.75" customHeight="1">
      <c r="A24" s="31">
        <v>133.0</v>
      </c>
      <c r="B24" s="32" t="s">
        <v>70151</v>
      </c>
      <c r="C24" s="31">
        <v>280.0</v>
      </c>
      <c r="D24" s="32" t="s">
        <v>70152</v>
      </c>
      <c r="E24" s="32" t="s">
        <v>70153</v>
      </c>
      <c r="F24" s="31">
        <v>100.0</v>
      </c>
      <c r="G24" s="31">
        <v>2.80331007E8</v>
      </c>
    </row>
    <row r="25" ht="12.75" customHeight="1">
      <c r="A25" s="27">
        <v>435.0</v>
      </c>
      <c r="B25" s="28" t="s">
        <v>70154</v>
      </c>
      <c r="C25" s="27">
        <v>280.0</v>
      </c>
      <c r="D25" s="28" t="s">
        <v>70155</v>
      </c>
      <c r="E25" s="28" t="s">
        <v>70156</v>
      </c>
      <c r="F25" s="29">
        <v>37.0</v>
      </c>
      <c r="G25" s="27">
        <v>2.8035037E8</v>
      </c>
    </row>
    <row r="26" ht="12.75" customHeight="1">
      <c r="A26" s="31">
        <v>139.0</v>
      </c>
      <c r="B26" s="32" t="s">
        <v>70157</v>
      </c>
      <c r="C26" s="31">
        <v>280.0</v>
      </c>
      <c r="D26" s="32" t="s">
        <v>70158</v>
      </c>
      <c r="E26" s="32" t="s">
        <v>70159</v>
      </c>
      <c r="F26" s="33">
        <v>10.0</v>
      </c>
      <c r="G26" s="31">
        <v>2.80390101E8</v>
      </c>
    </row>
    <row r="27" ht="12.75" customHeight="1">
      <c r="A27" s="27">
        <v>139.0</v>
      </c>
      <c r="B27" s="28" t="s">
        <v>70160</v>
      </c>
      <c r="C27" s="27">
        <v>280.0</v>
      </c>
      <c r="D27" s="28" t="s">
        <v>70161</v>
      </c>
      <c r="E27" s="28" t="s">
        <v>70162</v>
      </c>
      <c r="F27" s="29">
        <v>15.0</v>
      </c>
      <c r="G27" s="27">
        <v>2.80390156E8</v>
      </c>
    </row>
    <row r="28" ht="12.75" customHeight="1">
      <c r="A28" s="31">
        <v>139.0</v>
      </c>
      <c r="B28" s="32" t="s">
        <v>70163</v>
      </c>
      <c r="C28" s="31">
        <v>280.0</v>
      </c>
      <c r="D28" s="32" t="s">
        <v>70164</v>
      </c>
      <c r="E28" s="32" t="s">
        <v>70165</v>
      </c>
      <c r="F28" s="33">
        <v>76.0</v>
      </c>
      <c r="G28" s="31">
        <v>2.80390769E8</v>
      </c>
    </row>
    <row r="29" ht="12.75" customHeight="1">
      <c r="A29" s="27">
        <v>139.0</v>
      </c>
      <c r="B29" s="28" t="s">
        <v>70166</v>
      </c>
      <c r="C29" s="27">
        <v>280.0</v>
      </c>
      <c r="D29" s="28" t="s">
        <v>70167</v>
      </c>
      <c r="E29" s="28" t="s">
        <v>70168</v>
      </c>
      <c r="F29" s="29">
        <v>85.0</v>
      </c>
      <c r="G29" s="27">
        <v>2.80390851E8</v>
      </c>
    </row>
    <row r="30" ht="12.75" customHeight="1">
      <c r="A30" s="31">
        <v>447.0</v>
      </c>
      <c r="B30" s="32" t="s">
        <v>70169</v>
      </c>
      <c r="C30" s="31">
        <v>280.0</v>
      </c>
      <c r="D30" s="32" t="s">
        <v>70170</v>
      </c>
      <c r="E30" s="32" t="s">
        <v>70171</v>
      </c>
      <c r="F30" s="31">
        <v>154.0</v>
      </c>
      <c r="G30" s="31">
        <v>2.80471541E8</v>
      </c>
    </row>
    <row r="31" ht="12.75" customHeight="1">
      <c r="A31" s="27">
        <v>858.0</v>
      </c>
      <c r="B31" s="28" t="s">
        <v>70172</v>
      </c>
      <c r="C31" s="27">
        <v>280.0</v>
      </c>
      <c r="D31" s="28" t="s">
        <v>70173</v>
      </c>
      <c r="E31" s="28" t="s">
        <v>70174</v>
      </c>
      <c r="F31" s="29">
        <v>31.0</v>
      </c>
      <c r="G31" s="27">
        <v>2.80580311E8</v>
      </c>
    </row>
    <row r="32" ht="12.75" customHeight="1">
      <c r="A32" s="31">
        <v>161.0</v>
      </c>
      <c r="B32" s="32" t="s">
        <v>70175</v>
      </c>
      <c r="C32" s="31">
        <v>280.0</v>
      </c>
      <c r="D32" s="32" t="s">
        <v>70176</v>
      </c>
      <c r="E32" s="32" t="s">
        <v>70177</v>
      </c>
      <c r="F32" s="31">
        <v>115.0</v>
      </c>
      <c r="G32" s="31">
        <v>2.80611156E8</v>
      </c>
    </row>
    <row r="33" ht="12.75" customHeight="1">
      <c r="A33" s="27">
        <v>161.0</v>
      </c>
      <c r="B33" s="28" t="s">
        <v>70178</v>
      </c>
      <c r="C33" s="27">
        <v>280.0</v>
      </c>
      <c r="D33" s="28" t="s">
        <v>70179</v>
      </c>
      <c r="E33" s="28" t="s">
        <v>70180</v>
      </c>
      <c r="F33" s="27">
        <v>175.0</v>
      </c>
      <c r="G33" s="27">
        <v>2.80611756E8</v>
      </c>
    </row>
    <row r="34" ht="12.75" customHeight="1">
      <c r="A34" s="31">
        <v>161.0</v>
      </c>
      <c r="B34" s="32" t="s">
        <v>70181</v>
      </c>
      <c r="C34" s="31">
        <v>280.0</v>
      </c>
      <c r="D34" s="32" t="s">
        <v>70182</v>
      </c>
      <c r="E34" s="32" t="s">
        <v>70183</v>
      </c>
      <c r="F34" s="31">
        <v>226.0</v>
      </c>
      <c r="G34" s="31">
        <v>2.80612263E8</v>
      </c>
    </row>
    <row r="35" ht="12.75" customHeight="1">
      <c r="A35" s="27">
        <v>564.0</v>
      </c>
      <c r="B35" s="28" t="s">
        <v>70184</v>
      </c>
      <c r="C35" s="27">
        <v>280.0</v>
      </c>
      <c r="D35" s="28" t="s">
        <v>70185</v>
      </c>
      <c r="E35" s="28" t="s">
        <v>70186</v>
      </c>
      <c r="F35" s="27">
        <v>118.0</v>
      </c>
      <c r="G35" s="27">
        <v>2.80641184E8</v>
      </c>
    </row>
    <row r="36" ht="12.75" customHeight="1">
      <c r="A36" s="31">
        <v>167.0</v>
      </c>
      <c r="B36" s="32" t="s">
        <v>70187</v>
      </c>
      <c r="C36" s="31">
        <v>280.0</v>
      </c>
      <c r="D36" s="32" t="s">
        <v>70188</v>
      </c>
      <c r="E36" s="32" t="s">
        <v>70189</v>
      </c>
      <c r="F36" s="33">
        <v>22.0</v>
      </c>
      <c r="G36" s="31">
        <v>2.80670221E8</v>
      </c>
    </row>
    <row r="37" ht="12.75" customHeight="1">
      <c r="A37" s="27">
        <v>167.0</v>
      </c>
      <c r="B37" s="28" t="s">
        <v>70190</v>
      </c>
      <c r="C37" s="27">
        <v>280.0</v>
      </c>
      <c r="D37" s="28" t="s">
        <v>70191</v>
      </c>
      <c r="E37" s="28" t="s">
        <v>70192</v>
      </c>
      <c r="F37" s="27">
        <v>160.0</v>
      </c>
      <c r="G37" s="27">
        <v>2.80671604E8</v>
      </c>
    </row>
    <row r="38" ht="12.75" customHeight="1">
      <c r="A38" s="31">
        <v>168.0</v>
      </c>
      <c r="B38" s="32" t="s">
        <v>70193</v>
      </c>
      <c r="C38" s="31">
        <v>280.0</v>
      </c>
      <c r="D38" s="32" t="s">
        <v>70194</v>
      </c>
      <c r="E38" s="32" t="s">
        <v>70195</v>
      </c>
      <c r="F38" s="33">
        <v>8.0</v>
      </c>
      <c r="G38" s="31">
        <v>2.80680082E8</v>
      </c>
    </row>
    <row r="39" ht="12.75" customHeight="1">
      <c r="A39" s="27">
        <v>172.0</v>
      </c>
      <c r="B39" s="28" t="s">
        <v>70196</v>
      </c>
      <c r="C39" s="27">
        <v>280.0</v>
      </c>
      <c r="D39" s="28" t="s">
        <v>70197</v>
      </c>
      <c r="E39" s="28" t="s">
        <v>70198</v>
      </c>
      <c r="F39" s="29">
        <v>43.0</v>
      </c>
      <c r="G39" s="27">
        <v>2.80720434E8</v>
      </c>
    </row>
    <row r="40" ht="12.75" customHeight="1">
      <c r="A40" s="31">
        <v>172.0</v>
      </c>
      <c r="B40" s="32" t="s">
        <v>70199</v>
      </c>
      <c r="C40" s="31">
        <v>280.0</v>
      </c>
      <c r="D40" s="32" t="s">
        <v>70200</v>
      </c>
      <c r="E40" s="32" t="s">
        <v>70201</v>
      </c>
      <c r="F40" s="33">
        <v>73.0</v>
      </c>
      <c r="G40" s="31">
        <v>2.80720739E8</v>
      </c>
    </row>
    <row r="41" ht="12.75" customHeight="1">
      <c r="A41" s="27">
        <v>773.0</v>
      </c>
      <c r="B41" s="28" t="s">
        <v>70202</v>
      </c>
      <c r="C41" s="27">
        <v>280.0</v>
      </c>
      <c r="D41" s="28" t="s">
        <v>70203</v>
      </c>
      <c r="E41" s="28" t="s">
        <v>70204</v>
      </c>
      <c r="F41" s="29">
        <v>73.0</v>
      </c>
      <c r="G41" s="27">
        <v>2.80730732E8</v>
      </c>
    </row>
    <row r="42" ht="12.75" customHeight="1">
      <c r="A42" s="31">
        <v>378.0</v>
      </c>
      <c r="B42" s="32" t="s">
        <v>70205</v>
      </c>
      <c r="C42" s="31">
        <v>280.0</v>
      </c>
      <c r="D42" s="32" t="s">
        <v>70206</v>
      </c>
      <c r="E42" s="32" t="s">
        <v>70207</v>
      </c>
      <c r="F42" s="33">
        <v>43.0</v>
      </c>
      <c r="G42" s="31">
        <v>2.80780432E8</v>
      </c>
    </row>
    <row r="43" ht="12.75" customHeight="1">
      <c r="A43" s="27">
        <v>378.0</v>
      </c>
      <c r="B43" s="28" t="s">
        <v>70208</v>
      </c>
      <c r="C43" s="27">
        <v>280.0</v>
      </c>
      <c r="D43" s="28" t="s">
        <v>70209</v>
      </c>
      <c r="E43" s="28" t="s">
        <v>70210</v>
      </c>
      <c r="F43" s="27">
        <v>109.0</v>
      </c>
      <c r="G43" s="27">
        <v>2.80781099E8</v>
      </c>
    </row>
    <row r="44" ht="12.75" customHeight="1">
      <c r="A44" s="31">
        <v>378.0</v>
      </c>
      <c r="B44" s="32" t="s">
        <v>70211</v>
      </c>
      <c r="C44" s="31">
        <v>280.0</v>
      </c>
      <c r="D44" s="32" t="s">
        <v>70212</v>
      </c>
      <c r="E44" s="32" t="s">
        <v>70213</v>
      </c>
      <c r="F44" s="31">
        <v>127.0</v>
      </c>
      <c r="G44" s="31">
        <v>2.80781273E8</v>
      </c>
    </row>
    <row r="45" ht="12.75" customHeight="1">
      <c r="A45" s="27">
        <v>189.0</v>
      </c>
      <c r="B45" s="28" t="s">
        <v>70214</v>
      </c>
      <c r="C45" s="27">
        <v>280.0</v>
      </c>
      <c r="D45" s="28" t="s">
        <v>70215</v>
      </c>
      <c r="E45" s="28" t="s">
        <v>70216</v>
      </c>
      <c r="F45" s="29">
        <v>16.0</v>
      </c>
      <c r="G45" s="27">
        <v>2.80890164E8</v>
      </c>
    </row>
    <row r="46" ht="12.75" customHeight="1">
      <c r="A46" s="31">
        <v>189.0</v>
      </c>
      <c r="B46" s="32" t="s">
        <v>70217</v>
      </c>
      <c r="C46" s="31">
        <v>280.0</v>
      </c>
      <c r="D46" s="32" t="s">
        <v>70218</v>
      </c>
      <c r="E46" s="32" t="s">
        <v>70219</v>
      </c>
      <c r="F46" s="33">
        <v>34.0</v>
      </c>
      <c r="G46" s="31">
        <v>2.80890348E8</v>
      </c>
    </row>
    <row r="47" ht="12.75" customHeight="1">
      <c r="A47" s="27">
        <v>189.0</v>
      </c>
      <c r="B47" s="28" t="s">
        <v>70220</v>
      </c>
      <c r="C47" s="27">
        <v>280.0</v>
      </c>
      <c r="D47" s="28" t="s">
        <v>70221</v>
      </c>
      <c r="E47" s="28" t="s">
        <v>70222</v>
      </c>
      <c r="F47" s="29">
        <v>55.0</v>
      </c>
      <c r="G47" s="27">
        <v>2.80890551E8</v>
      </c>
    </row>
    <row r="48" ht="12.75" customHeight="1">
      <c r="A48" s="31">
        <v>189.0</v>
      </c>
      <c r="B48" s="32" t="s">
        <v>70223</v>
      </c>
      <c r="C48" s="31">
        <v>280.0</v>
      </c>
      <c r="D48" s="32" t="s">
        <v>70224</v>
      </c>
      <c r="E48" s="32" t="s">
        <v>70225</v>
      </c>
      <c r="F48" s="33">
        <v>64.0</v>
      </c>
      <c r="G48" s="31">
        <v>2.80890643E8</v>
      </c>
    </row>
    <row r="49" ht="12.75" customHeight="1">
      <c r="A49" s="27">
        <v>891.0</v>
      </c>
      <c r="B49" s="28" t="s">
        <v>70226</v>
      </c>
      <c r="C49" s="27">
        <v>280.0</v>
      </c>
      <c r="D49" s="28" t="s">
        <v>70227</v>
      </c>
      <c r="E49" s="28" t="s">
        <v>70228</v>
      </c>
      <c r="F49" s="27">
        <v>154.0</v>
      </c>
      <c r="G49" s="27">
        <v>2.80911548E8</v>
      </c>
    </row>
    <row r="50" ht="12.75" customHeight="1">
      <c r="A50" s="31">
        <v>193.0</v>
      </c>
      <c r="B50" s="32" t="s">
        <v>70229</v>
      </c>
      <c r="C50" s="31">
        <v>280.0</v>
      </c>
      <c r="D50" s="32" t="s">
        <v>70230</v>
      </c>
      <c r="E50" s="32" t="s">
        <v>70231</v>
      </c>
      <c r="F50" s="33">
        <v>20.0</v>
      </c>
      <c r="G50" s="31">
        <v>2.80930208E8</v>
      </c>
    </row>
    <row r="51" ht="12.75" customHeight="1">
      <c r="A51" s="27">
        <v>610.0</v>
      </c>
      <c r="B51" s="28" t="s">
        <v>70232</v>
      </c>
      <c r="C51" s="27">
        <v>285.0</v>
      </c>
      <c r="D51" s="28" t="s">
        <v>70233</v>
      </c>
      <c r="E51" s="28" t="s">
        <v>70234</v>
      </c>
      <c r="F51" s="29">
        <v>37.0</v>
      </c>
      <c r="G51" s="27">
        <v>2.8510037E8</v>
      </c>
    </row>
    <row r="52" ht="12.75" customHeight="1">
      <c r="A52" s="31">
        <v>610.0</v>
      </c>
      <c r="B52" s="32" t="s">
        <v>70235</v>
      </c>
      <c r="C52" s="31">
        <v>285.0</v>
      </c>
      <c r="D52" s="32" t="s">
        <v>70236</v>
      </c>
      <c r="E52" s="32" t="s">
        <v>70237</v>
      </c>
      <c r="F52" s="31">
        <v>193.0</v>
      </c>
      <c r="G52" s="31">
        <v>2.85101937E8</v>
      </c>
    </row>
    <row r="53" ht="12.75" customHeight="1">
      <c r="A53" s="27">
        <v>215.0</v>
      </c>
      <c r="B53" s="28" t="s">
        <v>70238</v>
      </c>
      <c r="C53" s="27">
        <v>285.0</v>
      </c>
      <c r="D53" s="28" t="s">
        <v>70239</v>
      </c>
      <c r="E53" s="28" t="s">
        <v>70240</v>
      </c>
      <c r="F53" s="29">
        <v>13.0</v>
      </c>
      <c r="G53" s="27">
        <v>2.85150133E8</v>
      </c>
    </row>
    <row r="54" ht="12.75" customHeight="1">
      <c r="A54" s="31">
        <v>215.0</v>
      </c>
      <c r="B54" s="32" t="s">
        <v>70241</v>
      </c>
      <c r="C54" s="31">
        <v>285.0</v>
      </c>
      <c r="D54" s="32" t="s">
        <v>70242</v>
      </c>
      <c r="E54" s="32" t="s">
        <v>70243</v>
      </c>
      <c r="F54" s="31">
        <v>148.0</v>
      </c>
      <c r="G54" s="31">
        <v>2.85151482E8</v>
      </c>
    </row>
    <row r="55" ht="12.75" customHeight="1">
      <c r="A55" s="27">
        <v>215.0</v>
      </c>
      <c r="B55" s="28" t="s">
        <v>70244</v>
      </c>
      <c r="C55" s="27">
        <v>285.0</v>
      </c>
      <c r="D55" s="28" t="s">
        <v>70245</v>
      </c>
      <c r="E55" s="28" t="s">
        <v>70246</v>
      </c>
      <c r="F55" s="27">
        <v>217.0</v>
      </c>
      <c r="G55" s="27">
        <v>2.85152173E8</v>
      </c>
    </row>
    <row r="56" ht="12.75" customHeight="1">
      <c r="A56" s="31">
        <v>126.0</v>
      </c>
      <c r="B56" s="32" t="s">
        <v>70247</v>
      </c>
      <c r="C56" s="31">
        <v>285.0</v>
      </c>
      <c r="D56" s="32" t="s">
        <v>70248</v>
      </c>
      <c r="E56" s="32" t="s">
        <v>70249</v>
      </c>
      <c r="F56" s="33">
        <v>21.0</v>
      </c>
      <c r="G56" s="31">
        <v>2.8526021E8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126.0</v>
      </c>
      <c r="B1" s="28" t="s">
        <v>70250</v>
      </c>
      <c r="C1" s="27">
        <v>285.0</v>
      </c>
      <c r="D1" s="28" t="s">
        <v>70251</v>
      </c>
      <c r="E1" s="28" t="s">
        <v>70252</v>
      </c>
      <c r="F1" s="27">
        <v>118.0</v>
      </c>
      <c r="G1" s="27">
        <v>2.85261185E8</v>
      </c>
    </row>
    <row r="2" ht="12.75" customHeight="1">
      <c r="A2" s="31">
        <v>126.0</v>
      </c>
      <c r="B2" s="32" t="s">
        <v>70253</v>
      </c>
      <c r="C2" s="31">
        <v>285.0</v>
      </c>
      <c r="D2" s="32" t="s">
        <v>70254</v>
      </c>
      <c r="E2" s="32" t="s">
        <v>70255</v>
      </c>
      <c r="F2" s="31">
        <v>151.0</v>
      </c>
      <c r="G2" s="31">
        <v>2.85261514E8</v>
      </c>
    </row>
    <row r="3" ht="12.75" customHeight="1">
      <c r="A3" s="27">
        <v>126.0</v>
      </c>
      <c r="B3" s="28" t="s">
        <v>70256</v>
      </c>
      <c r="C3" s="27">
        <v>285.0</v>
      </c>
      <c r="D3" s="28" t="s">
        <v>70257</v>
      </c>
      <c r="E3" s="28" t="s">
        <v>70258</v>
      </c>
      <c r="F3" s="27">
        <v>172.0</v>
      </c>
      <c r="G3" s="27">
        <v>2.85261727E8</v>
      </c>
    </row>
    <row r="4" ht="12.75" customHeight="1">
      <c r="A4" s="31">
        <v>126.0</v>
      </c>
      <c r="B4" s="32" t="s">
        <v>70259</v>
      </c>
      <c r="C4" s="31">
        <v>285.0</v>
      </c>
      <c r="D4" s="32" t="s">
        <v>70260</v>
      </c>
      <c r="E4" s="32" t="s">
        <v>70261</v>
      </c>
      <c r="F4" s="31">
        <v>205.0</v>
      </c>
      <c r="G4" s="31">
        <v>2.8526205E8</v>
      </c>
    </row>
    <row r="5" ht="12.75" customHeight="1">
      <c r="A5" s="27">
        <v>126.0</v>
      </c>
      <c r="B5" s="28" t="s">
        <v>70262</v>
      </c>
      <c r="C5" s="27">
        <v>285.0</v>
      </c>
      <c r="D5" s="28" t="s">
        <v>70263</v>
      </c>
      <c r="E5" s="28" t="s">
        <v>70264</v>
      </c>
      <c r="F5" s="27">
        <v>463.0</v>
      </c>
      <c r="G5" s="27">
        <v>2.85264632E8</v>
      </c>
    </row>
    <row r="6" ht="12.75" customHeight="1">
      <c r="A6" s="31">
        <v>126.0</v>
      </c>
      <c r="B6" s="32" t="s">
        <v>70265</v>
      </c>
      <c r="C6" s="31">
        <v>285.0</v>
      </c>
      <c r="D6" s="32" t="s">
        <v>70266</v>
      </c>
      <c r="E6" s="32" t="s">
        <v>70267</v>
      </c>
      <c r="F6" s="31">
        <v>481.0</v>
      </c>
      <c r="G6" s="31">
        <v>2.85264816E8</v>
      </c>
    </row>
    <row r="7" ht="12.75" customHeight="1">
      <c r="A7" s="27">
        <v>127.0</v>
      </c>
      <c r="B7" s="28" t="s">
        <v>70268</v>
      </c>
      <c r="C7" s="27">
        <v>285.0</v>
      </c>
      <c r="D7" s="28" t="s">
        <v>70269</v>
      </c>
      <c r="E7" s="28" t="s">
        <v>70270</v>
      </c>
      <c r="F7" s="29">
        <v>0.0</v>
      </c>
      <c r="G7" s="27">
        <v>2.8527E8</v>
      </c>
    </row>
    <row r="8" ht="12.75" customHeight="1">
      <c r="A8" s="31">
        <v>127.0</v>
      </c>
      <c r="B8" s="32" t="s">
        <v>70271</v>
      </c>
      <c r="C8" s="31">
        <v>285.0</v>
      </c>
      <c r="D8" s="32" t="s">
        <v>70272</v>
      </c>
      <c r="E8" s="32" t="s">
        <v>70273</v>
      </c>
      <c r="F8" s="33">
        <v>13.0</v>
      </c>
      <c r="G8" s="31">
        <v>2.85270134E8</v>
      </c>
    </row>
    <row r="9" ht="12.75" customHeight="1">
      <c r="A9" s="27">
        <v>127.0</v>
      </c>
      <c r="B9" s="28" t="s">
        <v>70274</v>
      </c>
      <c r="C9" s="27">
        <v>285.0</v>
      </c>
      <c r="D9" s="28" t="s">
        <v>70275</v>
      </c>
      <c r="E9" s="28" t="s">
        <v>70276</v>
      </c>
      <c r="F9" s="27">
        <v>193.0</v>
      </c>
      <c r="G9" s="27">
        <v>2.85271933E8</v>
      </c>
    </row>
    <row r="10" ht="12.75" customHeight="1">
      <c r="A10" s="31">
        <v>133.0</v>
      </c>
      <c r="B10" s="32" t="s">
        <v>70277</v>
      </c>
      <c r="C10" s="31">
        <v>285.0</v>
      </c>
      <c r="D10" s="32" t="s">
        <v>70278</v>
      </c>
      <c r="E10" s="32" t="s">
        <v>70279</v>
      </c>
      <c r="F10" s="33">
        <v>11.0</v>
      </c>
      <c r="G10" s="31">
        <v>2.85330111E8</v>
      </c>
    </row>
    <row r="11" ht="12.75" customHeight="1">
      <c r="A11" s="27">
        <v>251.0</v>
      </c>
      <c r="B11" s="28" t="s">
        <v>70280</v>
      </c>
      <c r="C11" s="27">
        <v>285.0</v>
      </c>
      <c r="D11" s="28" t="s">
        <v>70281</v>
      </c>
      <c r="E11" s="28" t="s">
        <v>70282</v>
      </c>
      <c r="F11" s="29">
        <v>40.0</v>
      </c>
      <c r="G11" s="27">
        <v>2.85510407E8</v>
      </c>
    </row>
    <row r="12" ht="12.75" customHeight="1">
      <c r="A12" s="31">
        <v>354.0</v>
      </c>
      <c r="B12" s="32" t="s">
        <v>70283</v>
      </c>
      <c r="C12" s="31">
        <v>285.0</v>
      </c>
      <c r="D12" s="32" t="s">
        <v>70284</v>
      </c>
      <c r="E12" s="32" t="s">
        <v>70285</v>
      </c>
      <c r="F12" s="33">
        <v>6.0</v>
      </c>
      <c r="G12" s="31">
        <v>2.85540064E8</v>
      </c>
    </row>
    <row r="13" ht="12.75" customHeight="1">
      <c r="A13" s="27">
        <v>161.0</v>
      </c>
      <c r="B13" s="28" t="s">
        <v>70286</v>
      </c>
      <c r="C13" s="27">
        <v>285.0</v>
      </c>
      <c r="D13" s="28" t="s">
        <v>70287</v>
      </c>
      <c r="E13" s="28" t="s">
        <v>70288</v>
      </c>
      <c r="F13" s="29">
        <v>31.0</v>
      </c>
      <c r="G13" s="27">
        <v>2.8561031E8</v>
      </c>
    </row>
    <row r="14" ht="12.75" customHeight="1">
      <c r="A14" s="31">
        <v>167.0</v>
      </c>
      <c r="B14" s="32" t="s">
        <v>70289</v>
      </c>
      <c r="C14" s="31">
        <v>285.0</v>
      </c>
      <c r="D14" s="32" t="s">
        <v>70290</v>
      </c>
      <c r="E14" s="32" t="s">
        <v>70291</v>
      </c>
      <c r="F14" s="31">
        <v>118.0</v>
      </c>
      <c r="G14" s="31">
        <v>2.85671188E8</v>
      </c>
    </row>
    <row r="15" ht="12.75" customHeight="1">
      <c r="A15" s="27">
        <v>167.0</v>
      </c>
      <c r="B15" s="28" t="s">
        <v>70292</v>
      </c>
      <c r="C15" s="27">
        <v>285.0</v>
      </c>
      <c r="D15" s="28" t="s">
        <v>70293</v>
      </c>
      <c r="E15" s="28" t="s">
        <v>70294</v>
      </c>
      <c r="F15" s="27">
        <v>139.0</v>
      </c>
      <c r="G15" s="27">
        <v>2.85671391E8</v>
      </c>
    </row>
    <row r="16" ht="12.75" customHeight="1">
      <c r="A16" s="31">
        <v>168.0</v>
      </c>
      <c r="B16" s="32" t="s">
        <v>70295</v>
      </c>
      <c r="C16" s="31">
        <v>285.0</v>
      </c>
      <c r="D16" s="32" t="s">
        <v>70296</v>
      </c>
      <c r="E16" s="32" t="s">
        <v>70297</v>
      </c>
      <c r="F16" s="33">
        <v>85.0</v>
      </c>
      <c r="G16" s="31">
        <v>2.85680858E8</v>
      </c>
    </row>
    <row r="17" ht="12.75" customHeight="1">
      <c r="A17" s="27">
        <v>610.0</v>
      </c>
      <c r="B17" s="28" t="s">
        <v>70298</v>
      </c>
      <c r="C17" s="27">
        <v>290.0</v>
      </c>
      <c r="D17" s="28" t="s">
        <v>70299</v>
      </c>
      <c r="E17" s="28" t="s">
        <v>70300</v>
      </c>
      <c r="F17" s="29">
        <v>37.0</v>
      </c>
      <c r="G17" s="27">
        <v>2.90100378E8</v>
      </c>
    </row>
    <row r="18" ht="12.75" customHeight="1">
      <c r="A18" s="31">
        <v>113.0</v>
      </c>
      <c r="B18" s="32" t="s">
        <v>70301</v>
      </c>
      <c r="C18" s="31">
        <v>290.0</v>
      </c>
      <c r="D18" s="32" t="s">
        <v>70302</v>
      </c>
      <c r="E18" s="32" t="s">
        <v>70303</v>
      </c>
      <c r="F18" s="33">
        <v>12.0</v>
      </c>
      <c r="G18" s="31">
        <v>2.90130122E8</v>
      </c>
    </row>
    <row r="19" ht="12.75" customHeight="1">
      <c r="A19" s="27">
        <v>215.0</v>
      </c>
      <c r="B19" s="28" t="s">
        <v>70304</v>
      </c>
      <c r="C19" s="27">
        <v>290.0</v>
      </c>
      <c r="D19" s="28" t="s">
        <v>70305</v>
      </c>
      <c r="E19" s="28" t="s">
        <v>70306</v>
      </c>
      <c r="F19" s="29">
        <v>56.0</v>
      </c>
      <c r="G19" s="27">
        <v>2.9015056E8</v>
      </c>
    </row>
    <row r="20" ht="12.75" customHeight="1">
      <c r="A20" s="31">
        <v>215.0</v>
      </c>
      <c r="B20" s="32" t="s">
        <v>70307</v>
      </c>
      <c r="C20" s="31">
        <v>290.0</v>
      </c>
      <c r="D20" s="32" t="s">
        <v>70308</v>
      </c>
      <c r="E20" s="32" t="s">
        <v>70309</v>
      </c>
      <c r="F20" s="31">
        <v>214.0</v>
      </c>
      <c r="G20" s="31">
        <v>2.90152142E8</v>
      </c>
    </row>
    <row r="21" ht="12.75" customHeight="1">
      <c r="A21" s="27">
        <v>215.0</v>
      </c>
      <c r="B21" s="28" t="s">
        <v>70310</v>
      </c>
      <c r="C21" s="27">
        <v>290.0</v>
      </c>
      <c r="D21" s="28" t="s">
        <v>70311</v>
      </c>
      <c r="E21" s="28" t="s">
        <v>70312</v>
      </c>
      <c r="F21" s="27">
        <v>296.0</v>
      </c>
      <c r="G21" s="27">
        <v>2.90152968E8</v>
      </c>
    </row>
    <row r="22" ht="12.75" customHeight="1">
      <c r="A22" s="31">
        <v>215.0</v>
      </c>
      <c r="B22" s="32" t="s">
        <v>70313</v>
      </c>
      <c r="C22" s="31">
        <v>290.0</v>
      </c>
      <c r="D22" s="32" t="s">
        <v>70314</v>
      </c>
      <c r="E22" s="32" t="s">
        <v>70315</v>
      </c>
      <c r="F22" s="31">
        <v>706.0</v>
      </c>
      <c r="G22" s="31">
        <v>2.90157068E8</v>
      </c>
    </row>
    <row r="23" ht="12.75" customHeight="1">
      <c r="A23" s="27">
        <v>119.0</v>
      </c>
      <c r="B23" s="28" t="s">
        <v>70316</v>
      </c>
      <c r="C23" s="27">
        <v>290.0</v>
      </c>
      <c r="D23" s="28" t="s">
        <v>70317</v>
      </c>
      <c r="E23" s="28" t="s">
        <v>70318</v>
      </c>
      <c r="F23" s="27">
        <v>115.0</v>
      </c>
      <c r="G23" s="27">
        <v>2.90191158E8</v>
      </c>
    </row>
    <row r="24" ht="12.75" customHeight="1">
      <c r="A24" s="31">
        <v>126.0</v>
      </c>
      <c r="B24" s="32" t="s">
        <v>70319</v>
      </c>
      <c r="C24" s="31">
        <v>290.0</v>
      </c>
      <c r="D24" s="32" t="s">
        <v>70320</v>
      </c>
      <c r="E24" s="32" t="s">
        <v>70321</v>
      </c>
      <c r="F24" s="33">
        <v>0.0</v>
      </c>
      <c r="G24" s="31">
        <v>2.90260005E8</v>
      </c>
    </row>
    <row r="25" ht="12.75" customHeight="1">
      <c r="A25" s="27">
        <v>126.0</v>
      </c>
      <c r="B25" s="28" t="s">
        <v>70322</v>
      </c>
      <c r="C25" s="27">
        <v>290.0</v>
      </c>
      <c r="D25" s="28" t="s">
        <v>70323</v>
      </c>
      <c r="E25" s="28" t="s">
        <v>70324</v>
      </c>
      <c r="F25" s="29">
        <v>21.0</v>
      </c>
      <c r="G25" s="27">
        <v>2.90260218E8</v>
      </c>
    </row>
    <row r="26" ht="12.75" customHeight="1">
      <c r="A26" s="31">
        <v>126.0</v>
      </c>
      <c r="B26" s="32" t="s">
        <v>70325</v>
      </c>
      <c r="C26" s="31">
        <v>290.0</v>
      </c>
      <c r="D26" s="32" t="s">
        <v>70326</v>
      </c>
      <c r="E26" s="32" t="s">
        <v>70327</v>
      </c>
      <c r="F26" s="33">
        <v>22.0</v>
      </c>
      <c r="G26" s="31">
        <v>2.90260221E8</v>
      </c>
    </row>
    <row r="27" ht="12.75" customHeight="1">
      <c r="A27" s="27">
        <v>126.0</v>
      </c>
      <c r="B27" s="28" t="s">
        <v>70328</v>
      </c>
      <c r="C27" s="27">
        <v>290.0</v>
      </c>
      <c r="D27" s="28" t="s">
        <v>70329</v>
      </c>
      <c r="E27" s="28" t="s">
        <v>70330</v>
      </c>
      <c r="F27" s="29">
        <v>50.0</v>
      </c>
      <c r="G27" s="27">
        <v>2.902605E8</v>
      </c>
    </row>
    <row r="28" ht="12.75" customHeight="1">
      <c r="A28" s="31">
        <v>126.0</v>
      </c>
      <c r="B28" s="32" t="s">
        <v>70331</v>
      </c>
      <c r="C28" s="31">
        <v>290.0</v>
      </c>
      <c r="D28" s="32" t="s">
        <v>70332</v>
      </c>
      <c r="E28" s="32" t="s">
        <v>70333</v>
      </c>
      <c r="F28" s="31">
        <v>172.0</v>
      </c>
      <c r="G28" s="31">
        <v>2.90261725E8</v>
      </c>
    </row>
    <row r="29" ht="12.75" customHeight="1">
      <c r="A29" s="27">
        <v>126.0</v>
      </c>
      <c r="B29" s="28" t="s">
        <v>70334</v>
      </c>
      <c r="C29" s="27">
        <v>290.0</v>
      </c>
      <c r="D29" s="28" t="s">
        <v>70335</v>
      </c>
      <c r="E29" s="28" t="s">
        <v>70336</v>
      </c>
      <c r="F29" s="27">
        <v>463.0</v>
      </c>
      <c r="G29" s="27">
        <v>2.9026463E8</v>
      </c>
    </row>
    <row r="30" ht="12.75" customHeight="1">
      <c r="A30" s="31">
        <v>127.0</v>
      </c>
      <c r="B30" s="32" t="s">
        <v>70337</v>
      </c>
      <c r="C30" s="31">
        <v>290.0</v>
      </c>
      <c r="D30" s="32" t="s">
        <v>70338</v>
      </c>
      <c r="E30" s="32" t="s">
        <v>70339</v>
      </c>
      <c r="F30" s="33">
        <v>34.0</v>
      </c>
      <c r="G30" s="31">
        <v>2.90270345E8</v>
      </c>
    </row>
    <row r="31" ht="12.75" customHeight="1">
      <c r="A31" s="27">
        <v>127.0</v>
      </c>
      <c r="B31" s="28" t="s">
        <v>70340</v>
      </c>
      <c r="C31" s="27">
        <v>290.0</v>
      </c>
      <c r="D31" s="28" t="s">
        <v>70341</v>
      </c>
      <c r="E31" s="28" t="s">
        <v>70342</v>
      </c>
      <c r="F31" s="29">
        <v>51.0</v>
      </c>
      <c r="G31" s="27">
        <v>2.90270516E8</v>
      </c>
    </row>
    <row r="32" ht="12.75" customHeight="1">
      <c r="A32" s="31">
        <v>127.0</v>
      </c>
      <c r="B32" s="32" t="s">
        <v>70343</v>
      </c>
      <c r="C32" s="31">
        <v>290.0</v>
      </c>
      <c r="D32" s="32" t="s">
        <v>70344</v>
      </c>
      <c r="E32" s="32" t="s">
        <v>70345</v>
      </c>
      <c r="F32" s="31">
        <v>127.0</v>
      </c>
      <c r="G32" s="31">
        <v>2.90271278E8</v>
      </c>
    </row>
    <row r="33" ht="12.75" customHeight="1">
      <c r="A33" s="27">
        <v>127.0</v>
      </c>
      <c r="B33" s="28" t="s">
        <v>70346</v>
      </c>
      <c r="C33" s="27">
        <v>290.0</v>
      </c>
      <c r="D33" s="28" t="s">
        <v>70347</v>
      </c>
      <c r="E33" s="28" t="s">
        <v>70348</v>
      </c>
      <c r="F33" s="27">
        <v>190.0</v>
      </c>
      <c r="G33" s="27">
        <v>2.90271902E8</v>
      </c>
    </row>
    <row r="34" ht="12.75" customHeight="1">
      <c r="A34" s="31">
        <v>127.0</v>
      </c>
      <c r="B34" s="32" t="s">
        <v>70349</v>
      </c>
      <c r="C34" s="31">
        <v>290.0</v>
      </c>
      <c r="D34" s="32" t="s">
        <v>70350</v>
      </c>
      <c r="E34" s="32" t="s">
        <v>70351</v>
      </c>
      <c r="F34" s="31">
        <v>328.0</v>
      </c>
      <c r="G34" s="31">
        <v>2.90273289E8</v>
      </c>
    </row>
    <row r="35" ht="12.75" customHeight="1">
      <c r="A35" s="27">
        <v>133.0</v>
      </c>
      <c r="B35" s="28" t="s">
        <v>70352</v>
      </c>
      <c r="C35" s="27">
        <v>290.0</v>
      </c>
      <c r="D35" s="28" t="s">
        <v>70353</v>
      </c>
      <c r="E35" s="28" t="s">
        <v>70354</v>
      </c>
      <c r="F35" s="29">
        <v>16.0</v>
      </c>
      <c r="G35" s="27">
        <v>2.90330164E8</v>
      </c>
    </row>
    <row r="36" ht="12.75" customHeight="1">
      <c r="A36" s="31">
        <v>133.0</v>
      </c>
      <c r="B36" s="32" t="s">
        <v>70355</v>
      </c>
      <c r="C36" s="31">
        <v>290.0</v>
      </c>
      <c r="D36" s="32" t="s">
        <v>70356</v>
      </c>
      <c r="E36" s="32" t="s">
        <v>70357</v>
      </c>
      <c r="F36" s="31">
        <v>142.0</v>
      </c>
      <c r="G36" s="31">
        <v>2.90331426E8</v>
      </c>
    </row>
    <row r="37" ht="12.75" customHeight="1">
      <c r="A37" s="27">
        <v>836.0</v>
      </c>
      <c r="B37" s="28" t="s">
        <v>70358</v>
      </c>
      <c r="C37" s="27">
        <v>290.0</v>
      </c>
      <c r="D37" s="28" t="s">
        <v>70359</v>
      </c>
      <c r="E37" s="28" t="s">
        <v>70360</v>
      </c>
      <c r="F37" s="29">
        <v>88.0</v>
      </c>
      <c r="G37" s="27">
        <v>2.90360884E8</v>
      </c>
    </row>
    <row r="38" ht="12.75" customHeight="1">
      <c r="A38" s="31">
        <v>447.0</v>
      </c>
      <c r="B38" s="32" t="s">
        <v>70361</v>
      </c>
      <c r="C38" s="31">
        <v>290.0</v>
      </c>
      <c r="D38" s="32" t="s">
        <v>70362</v>
      </c>
      <c r="E38" s="32" t="s">
        <v>70363</v>
      </c>
      <c r="F38" s="31">
        <v>172.0</v>
      </c>
      <c r="G38" s="31">
        <v>2.90471728E8</v>
      </c>
    </row>
    <row r="39" ht="12.75" customHeight="1">
      <c r="A39" s="27">
        <v>858.0</v>
      </c>
      <c r="B39" s="28" t="s">
        <v>70364</v>
      </c>
      <c r="C39" s="27">
        <v>290.0</v>
      </c>
      <c r="D39" s="28" t="s">
        <v>70365</v>
      </c>
      <c r="E39" s="28" t="s">
        <v>70366</v>
      </c>
      <c r="F39" s="27">
        <v>118.0</v>
      </c>
      <c r="G39" s="27">
        <v>2.90581184E8</v>
      </c>
    </row>
    <row r="40" ht="12.75" customHeight="1">
      <c r="A40" s="31">
        <v>167.0</v>
      </c>
      <c r="B40" s="32" t="s">
        <v>70367</v>
      </c>
      <c r="C40" s="31">
        <v>290.0</v>
      </c>
      <c r="D40" s="32" t="s">
        <v>70368</v>
      </c>
      <c r="E40" s="32" t="s">
        <v>70369</v>
      </c>
      <c r="F40" s="33">
        <v>22.0</v>
      </c>
      <c r="G40" s="31">
        <v>2.90670224E8</v>
      </c>
    </row>
    <row r="41" ht="12.75" customHeight="1">
      <c r="A41" s="27">
        <v>167.0</v>
      </c>
      <c r="B41" s="28" t="s">
        <v>70370</v>
      </c>
      <c r="C41" s="27">
        <v>290.0</v>
      </c>
      <c r="D41" s="28" t="s">
        <v>70371</v>
      </c>
      <c r="E41" s="28" t="s">
        <v>70372</v>
      </c>
      <c r="F41" s="27">
        <v>106.0</v>
      </c>
      <c r="G41" s="27">
        <v>2.90671065E8</v>
      </c>
    </row>
    <row r="42" ht="12.75" customHeight="1">
      <c r="A42" s="31">
        <v>168.0</v>
      </c>
      <c r="B42" s="32" t="s">
        <v>70373</v>
      </c>
      <c r="C42" s="31">
        <v>290.0</v>
      </c>
      <c r="D42" s="32" t="s">
        <v>70374</v>
      </c>
      <c r="E42" s="32" t="s">
        <v>70375</v>
      </c>
      <c r="F42" s="33">
        <v>14.0</v>
      </c>
      <c r="G42" s="31">
        <v>2.90680148E8</v>
      </c>
    </row>
    <row r="43" ht="12.75" customHeight="1">
      <c r="A43" s="27">
        <v>275.0</v>
      </c>
      <c r="B43" s="28" t="s">
        <v>70376</v>
      </c>
      <c r="C43" s="27">
        <v>290.0</v>
      </c>
      <c r="D43" s="28" t="s">
        <v>70377</v>
      </c>
      <c r="E43" s="28" t="s">
        <v>70378</v>
      </c>
      <c r="F43" s="27">
        <v>178.0</v>
      </c>
      <c r="G43" s="27">
        <v>2.90751785E8</v>
      </c>
    </row>
    <row r="44" ht="12.75" customHeight="1">
      <c r="A44" s="31">
        <v>581.0</v>
      </c>
      <c r="B44" s="32" t="s">
        <v>70379</v>
      </c>
      <c r="C44" s="31">
        <v>290.0</v>
      </c>
      <c r="D44" s="32" t="s">
        <v>70380</v>
      </c>
      <c r="E44" s="32" t="s">
        <v>70381</v>
      </c>
      <c r="F44" s="31">
        <v>193.0</v>
      </c>
      <c r="G44" s="31">
        <v>2.90811933E8</v>
      </c>
    </row>
    <row r="45" ht="12.75" customHeight="1">
      <c r="A45" s="27">
        <v>386.0</v>
      </c>
      <c r="B45" s="28" t="s">
        <v>70382</v>
      </c>
      <c r="C45" s="27">
        <v>290.0</v>
      </c>
      <c r="D45" s="28" t="s">
        <v>70383</v>
      </c>
      <c r="E45" s="28" t="s">
        <v>70384</v>
      </c>
      <c r="F45" s="29">
        <v>70.0</v>
      </c>
      <c r="G45" s="27">
        <v>2.908607E8</v>
      </c>
    </row>
    <row r="46" ht="12.75" customHeight="1">
      <c r="A46" s="31">
        <v>891.0</v>
      </c>
      <c r="B46" s="32" t="s">
        <v>70385</v>
      </c>
      <c r="C46" s="31">
        <v>290.0</v>
      </c>
      <c r="D46" s="32" t="s">
        <v>70386</v>
      </c>
      <c r="E46" s="32" t="s">
        <v>70387</v>
      </c>
      <c r="F46" s="31">
        <v>154.0</v>
      </c>
      <c r="G46" s="31">
        <v>2.90911541E8</v>
      </c>
    </row>
    <row r="47" ht="12.75" customHeight="1">
      <c r="A47" s="27">
        <v>891.0</v>
      </c>
      <c r="B47" s="28" t="s">
        <v>70388</v>
      </c>
      <c r="C47" s="27">
        <v>290.0</v>
      </c>
      <c r="D47" s="28" t="s">
        <v>70389</v>
      </c>
      <c r="E47" s="28" t="s">
        <v>70390</v>
      </c>
      <c r="F47" s="27">
        <v>250.0</v>
      </c>
      <c r="G47" s="27">
        <v>2.90912508E8</v>
      </c>
    </row>
    <row r="48" ht="12.75" customHeight="1">
      <c r="A48" s="31">
        <v>891.0</v>
      </c>
      <c r="B48" s="32" t="s">
        <v>70391</v>
      </c>
      <c r="C48" s="31">
        <v>290.0</v>
      </c>
      <c r="D48" s="32" t="s">
        <v>70392</v>
      </c>
      <c r="E48" s="32" t="s">
        <v>70393</v>
      </c>
      <c r="F48" s="31">
        <v>379.0</v>
      </c>
      <c r="G48" s="31">
        <v>2.90913794E8</v>
      </c>
    </row>
    <row r="49" ht="12.75" customHeight="1">
      <c r="A49" s="27">
        <v>309.0</v>
      </c>
      <c r="B49" s="28" t="s">
        <v>70394</v>
      </c>
      <c r="C49" s="27">
        <v>295.0</v>
      </c>
      <c r="D49" s="28" t="s">
        <v>70395</v>
      </c>
      <c r="E49" s="28" t="s">
        <v>70396</v>
      </c>
      <c r="F49" s="29">
        <v>22.0</v>
      </c>
      <c r="G49" s="27">
        <v>2.95090225E8</v>
      </c>
    </row>
    <row r="50" ht="12.75" customHeight="1">
      <c r="A50" s="31">
        <v>112.0</v>
      </c>
      <c r="B50" s="32" t="s">
        <v>70397</v>
      </c>
      <c r="C50" s="31">
        <v>295.0</v>
      </c>
      <c r="D50" s="32" t="s">
        <v>70398</v>
      </c>
      <c r="E50" s="32" t="s">
        <v>70399</v>
      </c>
      <c r="F50" s="33">
        <v>10.0</v>
      </c>
      <c r="G50" s="31">
        <v>2.95120108E8</v>
      </c>
    </row>
    <row r="51" ht="12.75" customHeight="1">
      <c r="A51" s="27">
        <v>215.0</v>
      </c>
      <c r="B51" s="28" t="s">
        <v>70400</v>
      </c>
      <c r="C51" s="27">
        <v>295.0</v>
      </c>
      <c r="D51" s="28" t="s">
        <v>70401</v>
      </c>
      <c r="E51" s="28" t="s">
        <v>70402</v>
      </c>
      <c r="F51" s="29">
        <v>13.0</v>
      </c>
      <c r="G51" s="27">
        <v>2.95150136E8</v>
      </c>
    </row>
    <row r="52" ht="12.75" customHeight="1">
      <c r="A52" s="31">
        <v>119.0</v>
      </c>
      <c r="B52" s="32" t="s">
        <v>70403</v>
      </c>
      <c r="C52" s="31">
        <v>295.0</v>
      </c>
      <c r="D52" s="32" t="s">
        <v>70404</v>
      </c>
      <c r="E52" s="32" t="s">
        <v>70405</v>
      </c>
      <c r="F52" s="33">
        <v>47.0</v>
      </c>
      <c r="G52" s="31">
        <v>2.95190475E8</v>
      </c>
    </row>
    <row r="53" ht="12.75" customHeight="1">
      <c r="A53" s="27">
        <v>126.0</v>
      </c>
      <c r="B53" s="28" t="s">
        <v>70406</v>
      </c>
      <c r="C53" s="27">
        <v>295.0</v>
      </c>
      <c r="D53" s="28" t="s">
        <v>70407</v>
      </c>
      <c r="E53" s="28" t="s">
        <v>70408</v>
      </c>
      <c r="F53" s="29">
        <v>22.0</v>
      </c>
      <c r="G53" s="27">
        <v>2.95260226E8</v>
      </c>
    </row>
    <row r="54" ht="12.75" customHeight="1">
      <c r="A54" s="31">
        <v>126.0</v>
      </c>
      <c r="B54" s="32" t="s">
        <v>70409</v>
      </c>
      <c r="C54" s="31">
        <v>295.0</v>
      </c>
      <c r="D54" s="32" t="s">
        <v>70410</v>
      </c>
      <c r="E54" s="32" t="s">
        <v>70411</v>
      </c>
      <c r="F54" s="33">
        <v>81.0</v>
      </c>
      <c r="G54" s="31">
        <v>2.95260813E8</v>
      </c>
    </row>
    <row r="55" ht="12.75" customHeight="1">
      <c r="A55" s="27">
        <v>126.0</v>
      </c>
      <c r="B55" s="28" t="s">
        <v>70412</v>
      </c>
      <c r="C55" s="27">
        <v>295.0</v>
      </c>
      <c r="D55" s="28" t="s">
        <v>70413</v>
      </c>
      <c r="E55" s="28" t="s">
        <v>70414</v>
      </c>
      <c r="F55" s="27">
        <v>172.0</v>
      </c>
      <c r="G55" s="27">
        <v>2.9526172E8</v>
      </c>
    </row>
    <row r="56" ht="12.75" customHeight="1">
      <c r="A56" s="31">
        <v>126.0</v>
      </c>
      <c r="B56" s="32" t="s">
        <v>70415</v>
      </c>
      <c r="C56" s="31">
        <v>295.0</v>
      </c>
      <c r="D56" s="32" t="s">
        <v>70416</v>
      </c>
      <c r="E56" s="32" t="s">
        <v>70417</v>
      </c>
      <c r="F56" s="31">
        <v>463.0</v>
      </c>
      <c r="G56" s="31">
        <v>2.95264635E8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127.0</v>
      </c>
      <c r="B1" s="28" t="s">
        <v>70418</v>
      </c>
      <c r="C1" s="27">
        <v>295.0</v>
      </c>
      <c r="D1" s="28" t="s">
        <v>70419</v>
      </c>
      <c r="E1" s="28" t="s">
        <v>70420</v>
      </c>
      <c r="F1" s="29">
        <v>0.0</v>
      </c>
      <c r="G1" s="27">
        <v>2.95270003E8</v>
      </c>
    </row>
    <row r="2" ht="12.75" customHeight="1">
      <c r="A2" s="31">
        <v>127.0</v>
      </c>
      <c r="B2" s="32" t="s">
        <v>70421</v>
      </c>
      <c r="C2" s="31">
        <v>295.0</v>
      </c>
      <c r="D2" s="32" t="s">
        <v>70422</v>
      </c>
      <c r="E2" s="32" t="s">
        <v>70423</v>
      </c>
      <c r="F2" s="33">
        <v>13.0</v>
      </c>
      <c r="G2" s="31">
        <v>2.95270137E8</v>
      </c>
    </row>
    <row r="3" ht="12.75" customHeight="1">
      <c r="A3" s="27">
        <v>127.0</v>
      </c>
      <c r="B3" s="28" t="s">
        <v>70424</v>
      </c>
      <c r="C3" s="27">
        <v>295.0</v>
      </c>
      <c r="D3" s="28" t="s">
        <v>70425</v>
      </c>
      <c r="E3" s="28" t="s">
        <v>70426</v>
      </c>
      <c r="F3" s="29">
        <v>45.0</v>
      </c>
      <c r="G3" s="27">
        <v>2.95270458E8</v>
      </c>
    </row>
    <row r="4" ht="12.75" customHeight="1">
      <c r="A4" s="31">
        <v>127.0</v>
      </c>
      <c r="B4" s="32" t="s">
        <v>70427</v>
      </c>
      <c r="C4" s="31">
        <v>295.0</v>
      </c>
      <c r="D4" s="32" t="s">
        <v>70428</v>
      </c>
      <c r="E4" s="32" t="s">
        <v>70429</v>
      </c>
      <c r="F4" s="33">
        <v>47.0</v>
      </c>
      <c r="G4" s="31">
        <v>2.95270474E8</v>
      </c>
    </row>
    <row r="5" ht="12.75" customHeight="1">
      <c r="A5" s="27">
        <v>127.0</v>
      </c>
      <c r="B5" s="28" t="s">
        <v>70430</v>
      </c>
      <c r="C5" s="27">
        <v>295.0</v>
      </c>
      <c r="D5" s="28" t="s">
        <v>70431</v>
      </c>
      <c r="E5" s="28" t="s">
        <v>70432</v>
      </c>
      <c r="F5" s="27">
        <v>406.0</v>
      </c>
      <c r="G5" s="27">
        <v>2.95274067E8</v>
      </c>
    </row>
    <row r="6" ht="12.75" customHeight="1">
      <c r="A6" s="31">
        <v>127.0</v>
      </c>
      <c r="B6" s="32" t="s">
        <v>70433</v>
      </c>
      <c r="C6" s="31">
        <v>295.0</v>
      </c>
      <c r="D6" s="32" t="s">
        <v>70434</v>
      </c>
      <c r="E6" s="32" t="s">
        <v>70435</v>
      </c>
      <c r="F6" s="31">
        <v>424.0</v>
      </c>
      <c r="G6" s="31">
        <v>2.95274241E8</v>
      </c>
    </row>
    <row r="7" ht="12.75" customHeight="1">
      <c r="A7" s="27">
        <v>329.0</v>
      </c>
      <c r="B7" s="28" t="s">
        <v>70436</v>
      </c>
      <c r="C7" s="27">
        <v>295.0</v>
      </c>
      <c r="D7" s="28" t="s">
        <v>70437</v>
      </c>
      <c r="E7" s="28" t="s">
        <v>70438</v>
      </c>
      <c r="F7" s="29">
        <v>91.0</v>
      </c>
      <c r="G7" s="27">
        <v>2.95290917E8</v>
      </c>
    </row>
    <row r="8" ht="12.75" customHeight="1">
      <c r="A8" s="31">
        <v>133.0</v>
      </c>
      <c r="B8" s="32" t="s">
        <v>70439</v>
      </c>
      <c r="C8" s="31">
        <v>295.0</v>
      </c>
      <c r="D8" s="32" t="s">
        <v>70440</v>
      </c>
      <c r="E8" s="32" t="s">
        <v>70441</v>
      </c>
      <c r="F8" s="31">
        <v>100.0</v>
      </c>
      <c r="G8" s="31">
        <v>2.95331005E8</v>
      </c>
    </row>
    <row r="9" ht="12.75" customHeight="1">
      <c r="A9" s="27">
        <v>435.0</v>
      </c>
      <c r="B9" s="28" t="s">
        <v>70442</v>
      </c>
      <c r="C9" s="27">
        <v>295.0</v>
      </c>
      <c r="D9" s="28" t="s">
        <v>70443</v>
      </c>
      <c r="E9" s="28" t="s">
        <v>70444</v>
      </c>
      <c r="F9" s="29">
        <v>15.0</v>
      </c>
      <c r="G9" s="27">
        <v>2.95350152E8</v>
      </c>
    </row>
    <row r="10" ht="12.75" customHeight="1">
      <c r="A10" s="31">
        <v>444.0</v>
      </c>
      <c r="B10" s="32" t="s">
        <v>70445</v>
      </c>
      <c r="C10" s="31">
        <v>295.0</v>
      </c>
      <c r="D10" s="32" t="s">
        <v>70446</v>
      </c>
      <c r="E10" s="32" t="s">
        <v>70447</v>
      </c>
      <c r="F10" s="33">
        <v>5.0</v>
      </c>
      <c r="G10" s="31">
        <v>2.95440059E8</v>
      </c>
    </row>
    <row r="11" ht="12.75" customHeight="1">
      <c r="A11" s="27">
        <v>447.0</v>
      </c>
      <c r="B11" s="28" t="s">
        <v>70448</v>
      </c>
      <c r="C11" s="27">
        <v>295.0</v>
      </c>
      <c r="D11" s="28" t="s">
        <v>70449</v>
      </c>
      <c r="E11" s="28" t="s">
        <v>70450</v>
      </c>
      <c r="F11" s="27">
        <v>154.0</v>
      </c>
      <c r="G11" s="27">
        <v>2.95471549E8</v>
      </c>
    </row>
    <row r="12" ht="12.75" customHeight="1">
      <c r="A12" s="31">
        <v>450.0</v>
      </c>
      <c r="B12" s="32" t="s">
        <v>70451</v>
      </c>
      <c r="C12" s="31">
        <v>295.0</v>
      </c>
      <c r="D12" s="32" t="s">
        <v>70452</v>
      </c>
      <c r="E12" s="32" t="s">
        <v>70453</v>
      </c>
      <c r="F12" s="33">
        <v>28.0</v>
      </c>
      <c r="G12" s="31">
        <v>2.95500281E8</v>
      </c>
    </row>
    <row r="13" ht="12.75" customHeight="1">
      <c r="A13" s="27">
        <v>354.0</v>
      </c>
      <c r="B13" s="28" t="s">
        <v>70454</v>
      </c>
      <c r="C13" s="27">
        <v>295.0</v>
      </c>
      <c r="D13" s="28" t="s">
        <v>70455</v>
      </c>
      <c r="E13" s="28" t="s">
        <v>70456</v>
      </c>
      <c r="F13" s="29">
        <v>70.0</v>
      </c>
      <c r="G13" s="27">
        <v>2.95540704E8</v>
      </c>
    </row>
    <row r="14" ht="12.75" customHeight="1">
      <c r="A14" s="31">
        <v>159.0</v>
      </c>
      <c r="B14" s="32" t="s">
        <v>70457</v>
      </c>
      <c r="C14" s="31">
        <v>295.0</v>
      </c>
      <c r="D14" s="32" t="s">
        <v>70458</v>
      </c>
      <c r="E14" s="32" t="s">
        <v>70459</v>
      </c>
      <c r="F14" s="31">
        <v>130.0</v>
      </c>
      <c r="G14" s="31">
        <v>2.95591308E8</v>
      </c>
    </row>
    <row r="15" ht="12.75" customHeight="1">
      <c r="A15" s="27">
        <v>161.0</v>
      </c>
      <c r="B15" s="28" t="s">
        <v>70460</v>
      </c>
      <c r="C15" s="27">
        <v>295.0</v>
      </c>
      <c r="D15" s="28" t="s">
        <v>70461</v>
      </c>
      <c r="E15" s="28" t="s">
        <v>70462</v>
      </c>
      <c r="F15" s="29">
        <v>9.0</v>
      </c>
      <c r="G15" s="27">
        <v>2.95610092E8</v>
      </c>
    </row>
    <row r="16" ht="12.75" customHeight="1">
      <c r="A16" s="31">
        <v>167.0</v>
      </c>
      <c r="B16" s="32" t="s">
        <v>70463</v>
      </c>
      <c r="C16" s="31">
        <v>295.0</v>
      </c>
      <c r="D16" s="32" t="s">
        <v>70464</v>
      </c>
      <c r="E16" s="32" t="s">
        <v>70465</v>
      </c>
      <c r="F16" s="33">
        <v>79.0</v>
      </c>
      <c r="G16" s="31">
        <v>2.95670795E8</v>
      </c>
    </row>
    <row r="17" ht="12.75" customHeight="1">
      <c r="A17" s="27">
        <v>581.0</v>
      </c>
      <c r="B17" s="28" t="s">
        <v>70466</v>
      </c>
      <c r="C17" s="27">
        <v>295.0</v>
      </c>
      <c r="D17" s="28" t="s">
        <v>70467</v>
      </c>
      <c r="E17" s="28" t="s">
        <v>70468</v>
      </c>
      <c r="F17" s="27">
        <v>193.0</v>
      </c>
      <c r="G17" s="27">
        <v>2.95811938E8</v>
      </c>
    </row>
    <row r="18" ht="12.75" customHeight="1">
      <c r="A18" s="31">
        <v>785.0</v>
      </c>
      <c r="B18" s="32" t="s">
        <v>70469</v>
      </c>
      <c r="C18" s="31">
        <v>295.0</v>
      </c>
      <c r="D18" s="32" t="s">
        <v>70470</v>
      </c>
      <c r="E18" s="32" t="s">
        <v>70471</v>
      </c>
      <c r="F18" s="31">
        <v>136.0</v>
      </c>
      <c r="G18" s="31">
        <v>2.95851369E8</v>
      </c>
    </row>
    <row r="19" ht="12.75" customHeight="1">
      <c r="A19" s="27">
        <v>891.0</v>
      </c>
      <c r="B19" s="28" t="s">
        <v>70472</v>
      </c>
      <c r="C19" s="27">
        <v>295.0</v>
      </c>
      <c r="D19" s="28" t="s">
        <v>70473</v>
      </c>
      <c r="E19" s="28" t="s">
        <v>70474</v>
      </c>
      <c r="F19" s="29">
        <v>4.0</v>
      </c>
      <c r="G19" s="27">
        <v>2.95910042E8</v>
      </c>
    </row>
    <row r="20" ht="12.75" customHeight="1">
      <c r="A20" s="31">
        <v>193.0</v>
      </c>
      <c r="B20" s="32" t="s">
        <v>70475</v>
      </c>
      <c r="C20" s="31">
        <v>295.0</v>
      </c>
      <c r="D20" s="32" t="s">
        <v>70476</v>
      </c>
      <c r="E20" s="32" t="s">
        <v>70477</v>
      </c>
      <c r="F20" s="31">
        <v>220.0</v>
      </c>
      <c r="G20" s="31">
        <v>2.95932204E8</v>
      </c>
    </row>
    <row r="21" ht="12.75" customHeight="1">
      <c r="A21" s="27">
        <v>610.0</v>
      </c>
      <c r="B21" s="28" t="s">
        <v>70478</v>
      </c>
      <c r="C21" s="27">
        <v>300.0</v>
      </c>
      <c r="D21" s="28" t="s">
        <v>70479</v>
      </c>
      <c r="E21" s="28" t="s">
        <v>70480</v>
      </c>
      <c r="F21" s="29">
        <v>37.0</v>
      </c>
      <c r="G21" s="27">
        <v>3.00100376E8</v>
      </c>
    </row>
    <row r="22" ht="12.75" customHeight="1">
      <c r="A22" s="31">
        <v>215.0</v>
      </c>
      <c r="B22" s="32" t="s">
        <v>70481</v>
      </c>
      <c r="C22" s="31">
        <v>300.0</v>
      </c>
      <c r="D22" s="32" t="s">
        <v>70482</v>
      </c>
      <c r="E22" s="32" t="s">
        <v>70483</v>
      </c>
      <c r="F22" s="33">
        <v>14.0</v>
      </c>
      <c r="G22" s="31">
        <v>3.00150142E8</v>
      </c>
    </row>
    <row r="23" ht="12.75" customHeight="1">
      <c r="A23" s="27">
        <v>215.0</v>
      </c>
      <c r="B23" s="28" t="s">
        <v>70484</v>
      </c>
      <c r="C23" s="27">
        <v>300.0</v>
      </c>
      <c r="D23" s="28" t="s">
        <v>70485</v>
      </c>
      <c r="E23" s="28" t="s">
        <v>70486</v>
      </c>
      <c r="F23" s="29">
        <v>16.0</v>
      </c>
      <c r="G23" s="27">
        <v>3.00150168E8</v>
      </c>
    </row>
    <row r="24" ht="12.75" customHeight="1">
      <c r="A24" s="31">
        <v>215.0</v>
      </c>
      <c r="B24" s="32" t="s">
        <v>70487</v>
      </c>
      <c r="C24" s="31">
        <v>300.0</v>
      </c>
      <c r="D24" s="32" t="s">
        <v>70488</v>
      </c>
      <c r="E24" s="32" t="s">
        <v>70489</v>
      </c>
      <c r="F24" s="33">
        <v>45.0</v>
      </c>
      <c r="G24" s="31">
        <v>3.0015045E8</v>
      </c>
    </row>
    <row r="25" ht="12.75" customHeight="1">
      <c r="A25" s="27">
        <v>215.0</v>
      </c>
      <c r="B25" s="28" t="s">
        <v>70490</v>
      </c>
      <c r="C25" s="27">
        <v>300.0</v>
      </c>
      <c r="D25" s="28" t="s">
        <v>70491</v>
      </c>
      <c r="E25" s="28" t="s">
        <v>70492</v>
      </c>
      <c r="F25" s="29">
        <v>52.0</v>
      </c>
      <c r="G25" s="27">
        <v>3.00150526E8</v>
      </c>
    </row>
    <row r="26" ht="12.75" customHeight="1">
      <c r="A26" s="31">
        <v>215.0</v>
      </c>
      <c r="B26" s="32" t="s">
        <v>70493</v>
      </c>
      <c r="C26" s="31">
        <v>300.0</v>
      </c>
      <c r="D26" s="32" t="s">
        <v>70494</v>
      </c>
      <c r="E26" s="32" t="s">
        <v>70495</v>
      </c>
      <c r="F26" s="33">
        <v>57.0</v>
      </c>
      <c r="G26" s="31">
        <v>3.00150571E8</v>
      </c>
    </row>
    <row r="27" ht="12.75" customHeight="1">
      <c r="A27" s="27">
        <v>215.0</v>
      </c>
      <c r="B27" s="28" t="s">
        <v>70496</v>
      </c>
      <c r="C27" s="27">
        <v>300.0</v>
      </c>
      <c r="D27" s="28" t="s">
        <v>70497</v>
      </c>
      <c r="E27" s="28" t="s">
        <v>70498</v>
      </c>
      <c r="F27" s="29">
        <v>59.0</v>
      </c>
      <c r="G27" s="27">
        <v>3.00150597E8</v>
      </c>
    </row>
    <row r="28" ht="12.75" customHeight="1">
      <c r="A28" s="31">
        <v>215.0</v>
      </c>
      <c r="B28" s="32" t="s">
        <v>70499</v>
      </c>
      <c r="C28" s="31">
        <v>300.0</v>
      </c>
      <c r="D28" s="32" t="s">
        <v>70500</v>
      </c>
      <c r="E28" s="32" t="s">
        <v>70501</v>
      </c>
      <c r="F28" s="33">
        <v>65.0</v>
      </c>
      <c r="G28" s="31">
        <v>3.0015065E8</v>
      </c>
    </row>
    <row r="29" ht="12.75" customHeight="1">
      <c r="A29" s="27">
        <v>215.0</v>
      </c>
      <c r="B29" s="28" t="s">
        <v>70502</v>
      </c>
      <c r="C29" s="27">
        <v>300.0</v>
      </c>
      <c r="D29" s="28" t="s">
        <v>70503</v>
      </c>
      <c r="E29" s="28" t="s">
        <v>70504</v>
      </c>
      <c r="F29" s="27">
        <v>103.0</v>
      </c>
      <c r="G29" s="27">
        <v>3.00151033E8</v>
      </c>
    </row>
    <row r="30" ht="12.75" customHeight="1">
      <c r="A30" s="31">
        <v>215.0</v>
      </c>
      <c r="B30" s="32" t="s">
        <v>70505</v>
      </c>
      <c r="C30" s="31">
        <v>300.0</v>
      </c>
      <c r="D30" s="32" t="s">
        <v>70506</v>
      </c>
      <c r="E30" s="32" t="s">
        <v>70507</v>
      </c>
      <c r="F30" s="31">
        <v>256.0</v>
      </c>
      <c r="G30" s="31">
        <v>3.00152566E8</v>
      </c>
    </row>
    <row r="31" ht="12.75" customHeight="1">
      <c r="A31" s="27">
        <v>215.0</v>
      </c>
      <c r="B31" s="28" t="s">
        <v>70508</v>
      </c>
      <c r="C31" s="27">
        <v>300.0</v>
      </c>
      <c r="D31" s="28" t="s">
        <v>70509</v>
      </c>
      <c r="E31" s="28" t="s">
        <v>70510</v>
      </c>
      <c r="F31" s="27">
        <v>364.0</v>
      </c>
      <c r="G31" s="27">
        <v>3.00153644E8</v>
      </c>
    </row>
    <row r="32" ht="12.75" customHeight="1">
      <c r="A32" s="31">
        <v>215.0</v>
      </c>
      <c r="B32" s="32" t="s">
        <v>70511</v>
      </c>
      <c r="C32" s="31">
        <v>300.0</v>
      </c>
      <c r="D32" s="32" t="s">
        <v>70512</v>
      </c>
      <c r="E32" s="32" t="s">
        <v>70513</v>
      </c>
      <c r="F32" s="31">
        <v>427.0</v>
      </c>
      <c r="G32" s="31">
        <v>3.00154272E8</v>
      </c>
    </row>
    <row r="33" ht="12.75" customHeight="1">
      <c r="A33" s="27">
        <v>215.0</v>
      </c>
      <c r="B33" s="28" t="s">
        <v>70514</v>
      </c>
      <c r="C33" s="27">
        <v>300.0</v>
      </c>
      <c r="D33" s="28" t="s">
        <v>70515</v>
      </c>
      <c r="E33" s="28" t="s">
        <v>70516</v>
      </c>
      <c r="F33" s="27">
        <v>553.0</v>
      </c>
      <c r="G33" s="27">
        <v>3.00155534E8</v>
      </c>
    </row>
    <row r="34" ht="12.75" customHeight="1">
      <c r="A34" s="31">
        <v>215.0</v>
      </c>
      <c r="B34" s="32" t="s">
        <v>70517</v>
      </c>
      <c r="C34" s="31">
        <v>300.0</v>
      </c>
      <c r="D34" s="32" t="s">
        <v>70518</v>
      </c>
      <c r="E34" s="32" t="s">
        <v>70519</v>
      </c>
      <c r="F34" s="31">
        <v>613.0</v>
      </c>
      <c r="G34" s="31">
        <v>3.00156133E8</v>
      </c>
    </row>
    <row r="35" ht="12.75" customHeight="1">
      <c r="A35" s="27">
        <v>215.0</v>
      </c>
      <c r="B35" s="28" t="s">
        <v>70520</v>
      </c>
      <c r="C35" s="27">
        <v>300.0</v>
      </c>
      <c r="D35" s="28" t="s">
        <v>70521</v>
      </c>
      <c r="E35" s="28" t="s">
        <v>70522</v>
      </c>
      <c r="F35" s="27">
        <v>616.0</v>
      </c>
      <c r="G35" s="27">
        <v>3.00156162E8</v>
      </c>
    </row>
    <row r="36" ht="12.75" customHeight="1">
      <c r="A36" s="31">
        <v>215.0</v>
      </c>
      <c r="B36" s="32" t="s">
        <v>70523</v>
      </c>
      <c r="C36" s="31">
        <v>300.0</v>
      </c>
      <c r="D36" s="32" t="s">
        <v>70524</v>
      </c>
      <c r="E36" s="32" t="s">
        <v>70525</v>
      </c>
      <c r="F36" s="31">
        <v>658.0</v>
      </c>
      <c r="G36" s="31">
        <v>3.00156588E8</v>
      </c>
    </row>
    <row r="37" ht="12.75" customHeight="1">
      <c r="A37" s="27">
        <v>119.0</v>
      </c>
      <c r="B37" s="28" t="s">
        <v>70526</v>
      </c>
      <c r="C37" s="27">
        <v>300.0</v>
      </c>
      <c r="D37" s="28" t="s">
        <v>70527</v>
      </c>
      <c r="E37" s="28" t="s">
        <v>70528</v>
      </c>
      <c r="F37" s="27">
        <v>217.0</v>
      </c>
      <c r="G37" s="27">
        <v>3.00192171E8</v>
      </c>
    </row>
    <row r="38" ht="12.75" customHeight="1">
      <c r="A38" s="31">
        <v>222.0</v>
      </c>
      <c r="B38" s="32" t="s">
        <v>70529</v>
      </c>
      <c r="C38" s="31">
        <v>300.0</v>
      </c>
      <c r="D38" s="32" t="s">
        <v>70530</v>
      </c>
      <c r="E38" s="32" t="s">
        <v>70531</v>
      </c>
      <c r="F38" s="33">
        <v>6.0</v>
      </c>
      <c r="G38" s="31">
        <v>3.00220069E8</v>
      </c>
    </row>
    <row r="39" ht="12.75" customHeight="1">
      <c r="A39" s="27">
        <v>222.0</v>
      </c>
      <c r="B39" s="28" t="s">
        <v>70532</v>
      </c>
      <c r="C39" s="27">
        <v>300.0</v>
      </c>
      <c r="D39" s="28" t="s">
        <v>70533</v>
      </c>
      <c r="E39" s="28" t="s">
        <v>70534</v>
      </c>
      <c r="F39" s="29">
        <v>25.0</v>
      </c>
      <c r="G39" s="27">
        <v>3.00220256E8</v>
      </c>
    </row>
    <row r="40" ht="12.75" customHeight="1">
      <c r="A40" s="31">
        <v>126.0</v>
      </c>
      <c r="B40" s="32" t="s">
        <v>70535</v>
      </c>
      <c r="C40" s="31">
        <v>300.0</v>
      </c>
      <c r="D40" s="32" t="s">
        <v>70536</v>
      </c>
      <c r="E40" s="32" t="s">
        <v>70537</v>
      </c>
      <c r="F40" s="33">
        <v>0.0</v>
      </c>
      <c r="G40" s="31">
        <v>3.00260003E8</v>
      </c>
    </row>
    <row r="41" ht="12.75" customHeight="1">
      <c r="A41" s="27">
        <v>126.0</v>
      </c>
      <c r="B41" s="28" t="s">
        <v>70538</v>
      </c>
      <c r="C41" s="27">
        <v>300.0</v>
      </c>
      <c r="D41" s="28" t="s">
        <v>70539</v>
      </c>
      <c r="E41" s="28" t="s">
        <v>70540</v>
      </c>
      <c r="F41" s="29">
        <v>22.0</v>
      </c>
      <c r="G41" s="27">
        <v>3.00260229E8</v>
      </c>
    </row>
    <row r="42" ht="12.75" customHeight="1">
      <c r="A42" s="31">
        <v>126.0</v>
      </c>
      <c r="B42" s="32" t="s">
        <v>70541</v>
      </c>
      <c r="C42" s="31">
        <v>300.0</v>
      </c>
      <c r="D42" s="32" t="s">
        <v>70542</v>
      </c>
      <c r="E42" s="32" t="s">
        <v>70543</v>
      </c>
      <c r="F42" s="33">
        <v>43.0</v>
      </c>
      <c r="G42" s="31">
        <v>3.00260432E8</v>
      </c>
    </row>
    <row r="43" ht="12.75" customHeight="1">
      <c r="A43" s="27">
        <v>126.0</v>
      </c>
      <c r="B43" s="28" t="s">
        <v>70544</v>
      </c>
      <c r="C43" s="27">
        <v>300.0</v>
      </c>
      <c r="D43" s="28" t="s">
        <v>70545</v>
      </c>
      <c r="E43" s="28" t="s">
        <v>70546</v>
      </c>
      <c r="F43" s="29">
        <v>57.0</v>
      </c>
      <c r="G43" s="27">
        <v>3.00260579E8</v>
      </c>
    </row>
    <row r="44" ht="12.75" customHeight="1">
      <c r="A44" s="31">
        <v>126.0</v>
      </c>
      <c r="B44" s="32" t="s">
        <v>70547</v>
      </c>
      <c r="C44" s="31">
        <v>300.0</v>
      </c>
      <c r="D44" s="32" t="s">
        <v>70548</v>
      </c>
      <c r="E44" s="32" t="s">
        <v>70549</v>
      </c>
      <c r="F44" s="31">
        <v>118.0</v>
      </c>
      <c r="G44" s="31">
        <v>3.00261181E8</v>
      </c>
    </row>
    <row r="45" ht="12.75" customHeight="1">
      <c r="A45" s="27">
        <v>126.0</v>
      </c>
      <c r="B45" s="28" t="s">
        <v>70550</v>
      </c>
      <c r="C45" s="27">
        <v>300.0</v>
      </c>
      <c r="D45" s="28" t="s">
        <v>70551</v>
      </c>
      <c r="E45" s="28" t="s">
        <v>70552</v>
      </c>
      <c r="F45" s="27">
        <v>181.0</v>
      </c>
      <c r="G45" s="27">
        <v>3.00261815E8</v>
      </c>
    </row>
    <row r="46" ht="12.75" customHeight="1">
      <c r="A46" s="31">
        <v>126.0</v>
      </c>
      <c r="B46" s="32" t="s">
        <v>70553</v>
      </c>
      <c r="C46" s="31">
        <v>300.0</v>
      </c>
      <c r="D46" s="32" t="s">
        <v>70554</v>
      </c>
      <c r="E46" s="32" t="s">
        <v>70555</v>
      </c>
      <c r="F46" s="31">
        <v>298.0</v>
      </c>
      <c r="G46" s="31">
        <v>3.0026298E8</v>
      </c>
    </row>
    <row r="47" ht="12.75" customHeight="1">
      <c r="A47" s="27">
        <v>126.0</v>
      </c>
      <c r="B47" s="28" t="s">
        <v>70556</v>
      </c>
      <c r="C47" s="27">
        <v>300.0</v>
      </c>
      <c r="D47" s="28" t="s">
        <v>70557</v>
      </c>
      <c r="E47" s="28" t="s">
        <v>70558</v>
      </c>
      <c r="F47" s="27">
        <v>319.0</v>
      </c>
      <c r="G47" s="27">
        <v>3.00263192E8</v>
      </c>
    </row>
    <row r="48" ht="12.75" customHeight="1">
      <c r="A48" s="31">
        <v>126.0</v>
      </c>
      <c r="B48" s="32" t="s">
        <v>70559</v>
      </c>
      <c r="C48" s="31">
        <v>300.0</v>
      </c>
      <c r="D48" s="32" t="s">
        <v>70560</v>
      </c>
      <c r="E48" s="32" t="s">
        <v>70561</v>
      </c>
      <c r="F48" s="31">
        <v>463.0</v>
      </c>
      <c r="G48" s="31">
        <v>3.00264638E8</v>
      </c>
    </row>
    <row r="49" ht="12.75" customHeight="1">
      <c r="A49" s="27">
        <v>127.0</v>
      </c>
      <c r="B49" s="28" t="s">
        <v>70562</v>
      </c>
      <c r="C49" s="27">
        <v>300.0</v>
      </c>
      <c r="D49" s="28" t="s">
        <v>70563</v>
      </c>
      <c r="E49" s="28" t="s">
        <v>70564</v>
      </c>
      <c r="F49" s="29">
        <v>44.0</v>
      </c>
      <c r="G49" s="27">
        <v>3.00270448E8</v>
      </c>
    </row>
    <row r="50" ht="12.75" customHeight="1">
      <c r="A50" s="31">
        <v>127.0</v>
      </c>
      <c r="B50" s="32" t="s">
        <v>70565</v>
      </c>
      <c r="C50" s="31">
        <v>300.0</v>
      </c>
      <c r="D50" s="32" t="s">
        <v>70566</v>
      </c>
      <c r="E50" s="32" t="s">
        <v>70567</v>
      </c>
      <c r="F50" s="31">
        <v>424.0</v>
      </c>
      <c r="G50" s="31">
        <v>3.00274244E8</v>
      </c>
    </row>
    <row r="51" ht="12.75" customHeight="1">
      <c r="A51" s="27">
        <v>127.0</v>
      </c>
      <c r="B51" s="28" t="s">
        <v>70568</v>
      </c>
      <c r="C51" s="27">
        <v>300.0</v>
      </c>
      <c r="D51" s="28" t="s">
        <v>70569</v>
      </c>
      <c r="E51" s="28" t="s">
        <v>70570</v>
      </c>
      <c r="F51" s="27">
        <v>475.0</v>
      </c>
      <c r="G51" s="27">
        <v>3.00274752E8</v>
      </c>
    </row>
    <row r="52" ht="12.75" customHeight="1">
      <c r="A52" s="31">
        <v>127.0</v>
      </c>
      <c r="B52" s="32" t="s">
        <v>70571</v>
      </c>
      <c r="C52" s="31">
        <v>300.0</v>
      </c>
      <c r="D52" s="32" t="s">
        <v>70572</v>
      </c>
      <c r="E52" s="32" t="s">
        <v>70573</v>
      </c>
      <c r="F52" s="31">
        <v>487.0</v>
      </c>
      <c r="G52" s="31">
        <v>3.00274873E8</v>
      </c>
    </row>
    <row r="53" ht="12.75" customHeight="1">
      <c r="A53" s="27">
        <v>230.0</v>
      </c>
      <c r="B53" s="28" t="s">
        <v>70574</v>
      </c>
      <c r="C53" s="27">
        <v>300.0</v>
      </c>
      <c r="D53" s="28" t="s">
        <v>70575</v>
      </c>
      <c r="E53" s="28" t="s">
        <v>70576</v>
      </c>
      <c r="F53" s="29">
        <v>8.0</v>
      </c>
      <c r="G53" s="27">
        <v>3.00300084E8</v>
      </c>
    </row>
    <row r="54" ht="12.75" customHeight="1">
      <c r="A54" s="31">
        <v>230.0</v>
      </c>
      <c r="B54" s="32" t="s">
        <v>70577</v>
      </c>
      <c r="C54" s="31">
        <v>300.0</v>
      </c>
      <c r="D54" s="32" t="s">
        <v>70578</v>
      </c>
      <c r="E54" s="32" t="s">
        <v>70579</v>
      </c>
      <c r="F54" s="33">
        <v>11.0</v>
      </c>
      <c r="G54" s="31">
        <v>3.00300118E8</v>
      </c>
    </row>
    <row r="55" ht="12.75" customHeight="1">
      <c r="A55" s="27">
        <v>230.0</v>
      </c>
      <c r="B55" s="28" t="s">
        <v>70580</v>
      </c>
      <c r="C55" s="27">
        <v>300.0</v>
      </c>
      <c r="D55" s="28" t="s">
        <v>70581</v>
      </c>
      <c r="E55" s="28" t="s">
        <v>70582</v>
      </c>
      <c r="F55" s="29">
        <v>12.0</v>
      </c>
      <c r="G55" s="27">
        <v>3.00300121E8</v>
      </c>
    </row>
    <row r="56" ht="12.75" customHeight="1">
      <c r="A56" s="31">
        <v>230.0</v>
      </c>
      <c r="B56" s="32" t="s">
        <v>70583</v>
      </c>
      <c r="C56" s="31">
        <v>300.0</v>
      </c>
      <c r="D56" s="32" t="s">
        <v>70584</v>
      </c>
      <c r="E56" s="32" t="s">
        <v>70585</v>
      </c>
      <c r="F56" s="33">
        <v>52.0</v>
      </c>
      <c r="G56" s="31">
        <v>3.00300521E8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1.14"/>
    <col customWidth="1" min="3" max="3" width="7.29"/>
    <col customWidth="1" min="4" max="4" width="27.57"/>
    <col customWidth="1" min="5" max="5" width="50.86"/>
    <col customWidth="1" min="6" max="6" width="8.43"/>
    <col customWidth="1" min="7" max="7" width="8.29"/>
    <col customWidth="1" min="8" max="26" width="8.71"/>
  </cols>
  <sheetData>
    <row r="1" ht="12.75" customHeight="1">
      <c r="A1" s="27">
        <v>133.0</v>
      </c>
      <c r="B1" s="28" t="s">
        <v>70586</v>
      </c>
      <c r="C1" s="27">
        <v>300.0</v>
      </c>
      <c r="D1" s="28" t="s">
        <v>70587</v>
      </c>
      <c r="E1" s="28" t="s">
        <v>70588</v>
      </c>
      <c r="F1" s="29">
        <v>15.0</v>
      </c>
      <c r="G1" s="27">
        <v>3.00330159E8</v>
      </c>
    </row>
    <row r="2" ht="12.75" customHeight="1">
      <c r="A2" s="31">
        <v>133.0</v>
      </c>
      <c r="B2" s="32" t="s">
        <v>70589</v>
      </c>
      <c r="C2" s="31">
        <v>300.0</v>
      </c>
      <c r="D2" s="32" t="s">
        <v>70590</v>
      </c>
      <c r="E2" s="32" t="s">
        <v>70591</v>
      </c>
      <c r="F2" s="33">
        <v>23.0</v>
      </c>
      <c r="G2" s="31">
        <v>3.00330238E8</v>
      </c>
    </row>
    <row r="3" ht="12.75" customHeight="1">
      <c r="A3" s="27">
        <v>133.0</v>
      </c>
      <c r="B3" s="28" t="s">
        <v>70592</v>
      </c>
      <c r="C3" s="27">
        <v>300.0</v>
      </c>
      <c r="D3" s="28" t="s">
        <v>70593</v>
      </c>
      <c r="E3" s="28" t="s">
        <v>70594</v>
      </c>
      <c r="F3" s="27">
        <v>100.0</v>
      </c>
      <c r="G3" s="27">
        <v>3.00331008E8</v>
      </c>
    </row>
    <row r="4" ht="12.75" customHeight="1">
      <c r="A4" s="31">
        <v>447.0</v>
      </c>
      <c r="B4" s="32" t="s">
        <v>70595</v>
      </c>
      <c r="C4" s="31">
        <v>300.0</v>
      </c>
      <c r="D4" s="32" t="s">
        <v>70596</v>
      </c>
      <c r="E4" s="32" t="s">
        <v>70597</v>
      </c>
      <c r="F4" s="31">
        <v>154.0</v>
      </c>
      <c r="G4" s="31">
        <v>3.00471542E8</v>
      </c>
    </row>
    <row r="5" ht="12.75" customHeight="1">
      <c r="A5" s="27">
        <v>148.0</v>
      </c>
      <c r="B5" s="28" t="s">
        <v>70598</v>
      </c>
      <c r="C5" s="27">
        <v>300.0</v>
      </c>
      <c r="D5" s="28" t="s">
        <v>70599</v>
      </c>
      <c r="E5" s="28" t="s">
        <v>70600</v>
      </c>
      <c r="F5" s="29">
        <v>49.0</v>
      </c>
      <c r="G5" s="27">
        <v>3.00480496E8</v>
      </c>
    </row>
    <row r="6" ht="12.75" customHeight="1">
      <c r="A6" s="31">
        <v>159.0</v>
      </c>
      <c r="B6" s="32" t="s">
        <v>70601</v>
      </c>
      <c r="C6" s="31">
        <v>300.0</v>
      </c>
      <c r="D6" s="32" t="s">
        <v>70602</v>
      </c>
      <c r="E6" s="32" t="s">
        <v>70603</v>
      </c>
      <c r="F6" s="33">
        <v>91.0</v>
      </c>
      <c r="G6" s="31">
        <v>3.00590915E8</v>
      </c>
    </row>
    <row r="7" ht="12.75" customHeight="1">
      <c r="A7" s="27">
        <v>167.0</v>
      </c>
      <c r="B7" s="28" t="s">
        <v>70604</v>
      </c>
      <c r="C7" s="27">
        <v>300.0</v>
      </c>
      <c r="D7" s="28" t="s">
        <v>70605</v>
      </c>
      <c r="E7" s="28" t="s">
        <v>70606</v>
      </c>
      <c r="F7" s="29">
        <v>14.0</v>
      </c>
      <c r="G7" s="27">
        <v>3.00670143E8</v>
      </c>
    </row>
    <row r="8" ht="12.75" customHeight="1">
      <c r="A8" s="31">
        <v>168.0</v>
      </c>
      <c r="B8" s="32" t="s">
        <v>70607</v>
      </c>
      <c r="C8" s="31">
        <v>300.0</v>
      </c>
      <c r="D8" s="32" t="s">
        <v>70608</v>
      </c>
      <c r="E8" s="32" t="s">
        <v>70609</v>
      </c>
      <c r="F8" s="33">
        <v>67.0</v>
      </c>
      <c r="G8" s="31">
        <v>3.0068067E8</v>
      </c>
    </row>
    <row r="9" ht="12.75" customHeight="1">
      <c r="A9" s="27">
        <v>275.0</v>
      </c>
      <c r="B9" s="28" t="s">
        <v>70610</v>
      </c>
      <c r="C9" s="27">
        <v>300.0</v>
      </c>
      <c r="D9" s="28" t="s">
        <v>70611</v>
      </c>
      <c r="E9" s="28" t="s">
        <v>70612</v>
      </c>
      <c r="F9" s="29">
        <v>17.0</v>
      </c>
      <c r="G9" s="27">
        <v>3.00750171E8</v>
      </c>
    </row>
    <row r="10" ht="12.75" customHeight="1">
      <c r="A10" s="31">
        <v>275.0</v>
      </c>
      <c r="B10" s="32" t="s">
        <v>70613</v>
      </c>
      <c r="C10" s="31">
        <v>300.0</v>
      </c>
      <c r="D10" s="32" t="s">
        <v>70614</v>
      </c>
      <c r="E10" s="32" t="s">
        <v>70615</v>
      </c>
      <c r="F10" s="31">
        <v>139.0</v>
      </c>
      <c r="G10" s="31">
        <v>3.00751396E8</v>
      </c>
    </row>
    <row r="11" ht="12.75" customHeight="1">
      <c r="A11" s="27">
        <v>891.0</v>
      </c>
      <c r="B11" s="28" t="s">
        <v>70616</v>
      </c>
      <c r="C11" s="27">
        <v>300.0</v>
      </c>
      <c r="D11" s="28" t="s">
        <v>70617</v>
      </c>
      <c r="E11" s="28" t="s">
        <v>70618</v>
      </c>
      <c r="F11" s="27">
        <v>355.0</v>
      </c>
      <c r="G11" s="27">
        <v>3.0091355E8</v>
      </c>
    </row>
    <row r="12" ht="12.75" customHeight="1">
      <c r="A12" s="31">
        <v>215.0</v>
      </c>
      <c r="B12" s="32" t="s">
        <v>70619</v>
      </c>
      <c r="C12" s="31">
        <v>305.0</v>
      </c>
      <c r="D12" s="32" t="s">
        <v>70620</v>
      </c>
      <c r="E12" s="32" t="s">
        <v>70621</v>
      </c>
      <c r="F12" s="33">
        <v>13.0</v>
      </c>
      <c r="G12" s="31">
        <v>3.05150134E8</v>
      </c>
    </row>
    <row r="13" ht="12.75" customHeight="1">
      <c r="A13" s="27">
        <v>215.0</v>
      </c>
      <c r="B13" s="28" t="s">
        <v>70622</v>
      </c>
      <c r="C13" s="27">
        <v>305.0</v>
      </c>
      <c r="D13" s="28" t="s">
        <v>70623</v>
      </c>
      <c r="E13" s="28" t="s">
        <v>70624</v>
      </c>
      <c r="F13" s="27">
        <v>706.0</v>
      </c>
      <c r="G13" s="27">
        <v>3.05157061E8</v>
      </c>
    </row>
    <row r="14" ht="12.75" customHeight="1">
      <c r="A14" s="31">
        <v>126.0</v>
      </c>
      <c r="B14" s="32" t="s">
        <v>70625</v>
      </c>
      <c r="C14" s="31">
        <v>305.0</v>
      </c>
      <c r="D14" s="32" t="s">
        <v>70626</v>
      </c>
      <c r="E14" s="32" t="s">
        <v>70627</v>
      </c>
      <c r="F14" s="33">
        <v>0.0</v>
      </c>
      <c r="G14" s="31">
        <v>3.05260008E8</v>
      </c>
    </row>
    <row r="15" ht="12.75" customHeight="1">
      <c r="A15" s="27">
        <v>126.0</v>
      </c>
      <c r="B15" s="28" t="s">
        <v>70628</v>
      </c>
      <c r="C15" s="27">
        <v>305.0</v>
      </c>
      <c r="D15" s="28" t="s">
        <v>70629</v>
      </c>
      <c r="E15" s="28" t="s">
        <v>70630</v>
      </c>
      <c r="F15" s="29">
        <v>21.0</v>
      </c>
      <c r="G15" s="27">
        <v>3.05260211E8</v>
      </c>
    </row>
    <row r="16" ht="12.75" customHeight="1">
      <c r="A16" s="31">
        <v>441.0</v>
      </c>
      <c r="B16" s="32" t="s">
        <v>70631</v>
      </c>
      <c r="C16" s="31">
        <v>305.0</v>
      </c>
      <c r="D16" s="32" t="s">
        <v>70632</v>
      </c>
      <c r="E16" s="32" t="s">
        <v>70633</v>
      </c>
      <c r="F16" s="33">
        <v>28.0</v>
      </c>
      <c r="G16" s="31">
        <v>3.05410287E8</v>
      </c>
    </row>
    <row r="17" ht="12.75" customHeight="1">
      <c r="A17" s="27">
        <v>161.0</v>
      </c>
      <c r="B17" s="28" t="s">
        <v>70634</v>
      </c>
      <c r="C17" s="27">
        <v>305.0</v>
      </c>
      <c r="D17" s="28" t="s">
        <v>70635</v>
      </c>
      <c r="E17" s="28" t="s">
        <v>70636</v>
      </c>
      <c r="F17" s="27">
        <v>175.0</v>
      </c>
      <c r="G17" s="27">
        <v>3.05611752E8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